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-120" yWindow="240" windowWidth="20730" windowHeight="10800" activeTab="8"/>
  </bookViews>
  <sheets>
    <sheet name="ม.1" sheetId="12" r:id="rId1"/>
    <sheet name="ม.2" sheetId="2" r:id="rId2"/>
    <sheet name="ม.3" sheetId="13" r:id="rId3"/>
    <sheet name="ม.4" sheetId="4" r:id="rId4"/>
    <sheet name="ม.5" sheetId="5" r:id="rId5"/>
    <sheet name="ม.6" sheetId="6" r:id="rId6"/>
    <sheet name="ม.7" sheetId="11" r:id="rId7"/>
    <sheet name="ม.8" sheetId="10" r:id="rId8"/>
    <sheet name="ม.6-8 อรสิริน" sheetId="14" r:id="rId9"/>
  </sheets>
  <definedNames>
    <definedName name="_xlnm.Print_Area" localSheetId="1">ม.2!$A$1:$AF$1202</definedName>
    <definedName name="_xlnm.Print_Area" localSheetId="3">ม.4!$A$1:$AF$1138</definedName>
    <definedName name="_xlnm.Print_Area" localSheetId="4">ม.5!$A$1:$AF$1791</definedName>
    <definedName name="_xlnm.Print_Area" localSheetId="5">ม.6!$A$1:$AF$1069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H641" i="14" l="1"/>
  <c r="I636" i="14"/>
  <c r="K636" i="14" s="1"/>
  <c r="W636" i="14" s="1"/>
  <c r="X636" i="14" s="1"/>
  <c r="Z636" i="14" s="1"/>
  <c r="I635" i="14"/>
  <c r="K635" i="14" s="1"/>
  <c r="W635" i="14" s="1"/>
  <c r="X635" i="14" s="1"/>
  <c r="Z635" i="14" s="1"/>
  <c r="I634" i="14"/>
  <c r="K634" i="14" s="1"/>
  <c r="W634" i="14" s="1"/>
  <c r="X634" i="14" s="1"/>
  <c r="Z634" i="14" s="1"/>
  <c r="I633" i="14"/>
  <c r="K633" i="14" s="1"/>
  <c r="W633" i="14" s="1"/>
  <c r="X633" i="14" s="1"/>
  <c r="Z633" i="14" s="1"/>
  <c r="I632" i="14"/>
  <c r="K632" i="14" s="1"/>
  <c r="W632" i="14" s="1"/>
  <c r="X632" i="14" s="1"/>
  <c r="Z632" i="14" s="1"/>
  <c r="I631" i="14"/>
  <c r="K631" i="14" s="1"/>
  <c r="W631" i="14" s="1"/>
  <c r="X631" i="14" s="1"/>
  <c r="Z631" i="14" s="1"/>
  <c r="I630" i="14"/>
  <c r="K630" i="14" s="1"/>
  <c r="W630" i="14" s="1"/>
  <c r="X630" i="14" s="1"/>
  <c r="Z630" i="14" s="1"/>
  <c r="I629" i="14"/>
  <c r="K629" i="14" s="1"/>
  <c r="W629" i="14" s="1"/>
  <c r="X629" i="14" s="1"/>
  <c r="Z629" i="14" s="1"/>
  <c r="I628" i="14"/>
  <c r="K628" i="14" s="1"/>
  <c r="W628" i="14" s="1"/>
  <c r="X628" i="14" s="1"/>
  <c r="Z628" i="14" s="1"/>
  <c r="I627" i="14"/>
  <c r="K627" i="14" s="1"/>
  <c r="W627" i="14" s="1"/>
  <c r="X627" i="14" s="1"/>
  <c r="Z627" i="14" s="1"/>
  <c r="I626" i="14"/>
  <c r="K626" i="14" s="1"/>
  <c r="W626" i="14" s="1"/>
  <c r="X626" i="14" s="1"/>
  <c r="Z626" i="14" s="1"/>
  <c r="I625" i="14"/>
  <c r="K625" i="14" s="1"/>
  <c r="W625" i="14" s="1"/>
  <c r="X625" i="14" s="1"/>
  <c r="Z625" i="14" s="1"/>
  <c r="I624" i="14"/>
  <c r="K624" i="14" s="1"/>
  <c r="W624" i="14" s="1"/>
  <c r="X624" i="14" s="1"/>
  <c r="Z624" i="14" s="1"/>
  <c r="S589" i="14"/>
  <c r="I589" i="14"/>
  <c r="K589" i="14" s="1"/>
  <c r="S588" i="14"/>
  <c r="U588" i="14" s="1"/>
  <c r="I588" i="14"/>
  <c r="K588" i="14" s="1"/>
  <c r="S587" i="14"/>
  <c r="U587" i="14" s="1"/>
  <c r="V587" i="14" s="1"/>
  <c r="I587" i="14"/>
  <c r="K587" i="14" s="1"/>
  <c r="W587" i="14" s="1"/>
  <c r="X587" i="14" s="1"/>
  <c r="Z587" i="14" s="1"/>
  <c r="AC587" i="14" s="1"/>
  <c r="S586" i="14"/>
  <c r="I586" i="14"/>
  <c r="K586" i="14" s="1"/>
  <c r="S585" i="14"/>
  <c r="I585" i="14"/>
  <c r="K585" i="14" s="1"/>
  <c r="S584" i="14"/>
  <c r="U584" i="14" s="1"/>
  <c r="V584" i="14" s="1"/>
  <c r="I584" i="14"/>
  <c r="K584" i="14" s="1"/>
  <c r="S583" i="14"/>
  <c r="U583" i="14" s="1"/>
  <c r="V583" i="14" s="1"/>
  <c r="I583" i="14"/>
  <c r="K583" i="14" s="1"/>
  <c r="W583" i="14" s="1"/>
  <c r="X583" i="14" s="1"/>
  <c r="Z583" i="14" s="1"/>
  <c r="S567" i="14"/>
  <c r="I567" i="14"/>
  <c r="K567" i="14" s="1"/>
  <c r="S566" i="14"/>
  <c r="U566" i="14" s="1"/>
  <c r="V566" i="14" s="1"/>
  <c r="I566" i="14"/>
  <c r="K566" i="14" s="1"/>
  <c r="S565" i="14"/>
  <c r="U565" i="14" s="1"/>
  <c r="I565" i="14"/>
  <c r="K565" i="14" s="1"/>
  <c r="S564" i="14"/>
  <c r="I564" i="14"/>
  <c r="K564" i="14" s="1"/>
  <c r="S563" i="14"/>
  <c r="U563" i="14" s="1"/>
  <c r="V563" i="14" s="1"/>
  <c r="I563" i="14"/>
  <c r="K563" i="14" s="1"/>
  <c r="S562" i="14"/>
  <c r="U562" i="14" s="1"/>
  <c r="V562" i="14" s="1"/>
  <c r="I562" i="14"/>
  <c r="K562" i="14" s="1"/>
  <c r="AG540" i="14"/>
  <c r="AF540" i="14"/>
  <c r="AE540" i="14"/>
  <c r="AD540" i="14"/>
  <c r="I530" i="14"/>
  <c r="K530" i="14" s="1"/>
  <c r="W530" i="14" s="1"/>
  <c r="X530" i="14" s="1"/>
  <c r="Z530" i="14" s="1"/>
  <c r="AC530" i="14" s="1"/>
  <c r="I529" i="14"/>
  <c r="K529" i="14" s="1"/>
  <c r="W529" i="14" s="1"/>
  <c r="X529" i="14" s="1"/>
  <c r="Z529" i="14" s="1"/>
  <c r="AC529" i="14" s="1"/>
  <c r="I528" i="14"/>
  <c r="K528" i="14" s="1"/>
  <c r="W528" i="14" s="1"/>
  <c r="X528" i="14" s="1"/>
  <c r="Z528" i="14" s="1"/>
  <c r="AC528" i="14" s="1"/>
  <c r="I527" i="14"/>
  <c r="K527" i="14" s="1"/>
  <c r="W527" i="14" s="1"/>
  <c r="X527" i="14" s="1"/>
  <c r="Z527" i="14" s="1"/>
  <c r="AC527" i="14" s="1"/>
  <c r="I526" i="14"/>
  <c r="K526" i="14" s="1"/>
  <c r="W526" i="14" s="1"/>
  <c r="X526" i="14" s="1"/>
  <c r="Z526" i="14" s="1"/>
  <c r="AC526" i="14" s="1"/>
  <c r="I525" i="14"/>
  <c r="K525" i="14" s="1"/>
  <c r="W525" i="14" s="1"/>
  <c r="X525" i="14" s="1"/>
  <c r="Z525" i="14" s="1"/>
  <c r="AC525" i="14" s="1"/>
  <c r="I524" i="14"/>
  <c r="K524" i="14" s="1"/>
  <c r="W524" i="14" s="1"/>
  <c r="X524" i="14" s="1"/>
  <c r="Z524" i="14" s="1"/>
  <c r="AC524" i="14" s="1"/>
  <c r="I523" i="14"/>
  <c r="K523" i="14" s="1"/>
  <c r="W523" i="14" s="1"/>
  <c r="X523" i="14" s="1"/>
  <c r="Z523" i="14" s="1"/>
  <c r="AC523" i="14" s="1"/>
  <c r="I522" i="14"/>
  <c r="K522" i="14" s="1"/>
  <c r="W522" i="14" s="1"/>
  <c r="X522" i="14" s="1"/>
  <c r="Z522" i="14" s="1"/>
  <c r="AC522" i="14" s="1"/>
  <c r="I521" i="14"/>
  <c r="K521" i="14" s="1"/>
  <c r="W521" i="14" s="1"/>
  <c r="X521" i="14" s="1"/>
  <c r="Z521" i="14" s="1"/>
  <c r="AG499" i="14"/>
  <c r="AF499" i="14"/>
  <c r="AE499" i="14"/>
  <c r="AD499" i="14"/>
  <c r="I498" i="14"/>
  <c r="K498" i="14" s="1"/>
  <c r="W498" i="14" s="1"/>
  <c r="X498" i="14" s="1"/>
  <c r="Z498" i="14" s="1"/>
  <c r="AC498" i="14" s="1"/>
  <c r="I497" i="14"/>
  <c r="K497" i="14" s="1"/>
  <c r="W497" i="14" s="1"/>
  <c r="X497" i="14" s="1"/>
  <c r="Z497" i="14" s="1"/>
  <c r="AC497" i="14" s="1"/>
  <c r="I496" i="14"/>
  <c r="K496" i="14" s="1"/>
  <c r="W496" i="14" s="1"/>
  <c r="X496" i="14" s="1"/>
  <c r="Z496" i="14" s="1"/>
  <c r="AC496" i="14" s="1"/>
  <c r="Z495" i="14"/>
  <c r="AC495" i="14" s="1"/>
  <c r="I495" i="14"/>
  <c r="K495" i="14" s="1"/>
  <c r="W495" i="14" s="1"/>
  <c r="X495" i="14" s="1"/>
  <c r="I494" i="14"/>
  <c r="K494" i="14" s="1"/>
  <c r="W494" i="14" s="1"/>
  <c r="X494" i="14" s="1"/>
  <c r="Z494" i="14" s="1"/>
  <c r="AC494" i="14" s="1"/>
  <c r="W493" i="14"/>
  <c r="X493" i="14" s="1"/>
  <c r="Z493" i="14" s="1"/>
  <c r="AC493" i="14" s="1"/>
  <c r="I493" i="14"/>
  <c r="K493" i="14" s="1"/>
  <c r="I492" i="14"/>
  <c r="K492" i="14" s="1"/>
  <c r="W492" i="14" s="1"/>
  <c r="X492" i="14" s="1"/>
  <c r="Z492" i="14" s="1"/>
  <c r="AC492" i="14" s="1"/>
  <c r="I491" i="14"/>
  <c r="K491" i="14" s="1"/>
  <c r="W491" i="14" s="1"/>
  <c r="X491" i="14" s="1"/>
  <c r="Z491" i="14" s="1"/>
  <c r="AC491" i="14" s="1"/>
  <c r="I490" i="14"/>
  <c r="K490" i="14" s="1"/>
  <c r="W490" i="14" s="1"/>
  <c r="X490" i="14" s="1"/>
  <c r="Z490" i="14" s="1"/>
  <c r="AC490" i="14" s="1"/>
  <c r="I489" i="14"/>
  <c r="K489" i="14" s="1"/>
  <c r="W489" i="14" s="1"/>
  <c r="X489" i="14" s="1"/>
  <c r="Z489" i="14" s="1"/>
  <c r="AC489" i="14" s="1"/>
  <c r="I488" i="14"/>
  <c r="K488" i="14" s="1"/>
  <c r="W488" i="14" s="1"/>
  <c r="X488" i="14" s="1"/>
  <c r="Z488" i="14" s="1"/>
  <c r="AC488" i="14" s="1"/>
  <c r="I487" i="14"/>
  <c r="K487" i="14" s="1"/>
  <c r="W487" i="14" s="1"/>
  <c r="X487" i="14" s="1"/>
  <c r="Z487" i="14" s="1"/>
  <c r="AC487" i="14" s="1"/>
  <c r="I486" i="14"/>
  <c r="K486" i="14" s="1"/>
  <c r="W486" i="14" s="1"/>
  <c r="X486" i="14" s="1"/>
  <c r="Z486" i="14" s="1"/>
  <c r="AC486" i="14" s="1"/>
  <c r="I485" i="14"/>
  <c r="K485" i="14" s="1"/>
  <c r="W485" i="14" s="1"/>
  <c r="X485" i="14" s="1"/>
  <c r="Z485" i="14" s="1"/>
  <c r="AC485" i="14" s="1"/>
  <c r="I484" i="14"/>
  <c r="K484" i="14" s="1"/>
  <c r="W484" i="14" s="1"/>
  <c r="X484" i="14" s="1"/>
  <c r="Z484" i="14" s="1"/>
  <c r="AC484" i="14" s="1"/>
  <c r="I483" i="14"/>
  <c r="K483" i="14" s="1"/>
  <c r="W483" i="14" s="1"/>
  <c r="X483" i="14" s="1"/>
  <c r="Z483" i="14" s="1"/>
  <c r="AC483" i="14" s="1"/>
  <c r="I482" i="14"/>
  <c r="K482" i="14" s="1"/>
  <c r="W482" i="14" s="1"/>
  <c r="X482" i="14" s="1"/>
  <c r="Z482" i="14" s="1"/>
  <c r="AC482" i="14" s="1"/>
  <c r="I481" i="14"/>
  <c r="K481" i="14" s="1"/>
  <c r="W481" i="14" s="1"/>
  <c r="X481" i="14" s="1"/>
  <c r="Z481" i="14" s="1"/>
  <c r="AC481" i="14" s="1"/>
  <c r="I480" i="14"/>
  <c r="K480" i="14" s="1"/>
  <c r="W480" i="14" s="1"/>
  <c r="X480" i="14" s="1"/>
  <c r="Z480" i="14" s="1"/>
  <c r="AG458" i="14"/>
  <c r="AF458" i="14"/>
  <c r="AE458" i="14"/>
  <c r="AD458" i="14"/>
  <c r="I457" i="14"/>
  <c r="K457" i="14" s="1"/>
  <c r="W457" i="14" s="1"/>
  <c r="X457" i="14" s="1"/>
  <c r="Z457" i="14" s="1"/>
  <c r="AC457" i="14" s="1"/>
  <c r="I456" i="14"/>
  <c r="K456" i="14" s="1"/>
  <c r="W456" i="14" s="1"/>
  <c r="X456" i="14" s="1"/>
  <c r="Z456" i="14" s="1"/>
  <c r="AC456" i="14" s="1"/>
  <c r="I455" i="14"/>
  <c r="K455" i="14" s="1"/>
  <c r="W455" i="14" s="1"/>
  <c r="X455" i="14" s="1"/>
  <c r="Z455" i="14" s="1"/>
  <c r="AC455" i="14" s="1"/>
  <c r="I454" i="14"/>
  <c r="K454" i="14" s="1"/>
  <c r="W454" i="14" s="1"/>
  <c r="X454" i="14" s="1"/>
  <c r="Z454" i="14" s="1"/>
  <c r="AC454" i="14" s="1"/>
  <c r="I453" i="14"/>
  <c r="K453" i="14" s="1"/>
  <c r="W453" i="14" s="1"/>
  <c r="X453" i="14" s="1"/>
  <c r="Z453" i="14" s="1"/>
  <c r="AC453" i="14" s="1"/>
  <c r="I452" i="14"/>
  <c r="K452" i="14" s="1"/>
  <c r="W452" i="14" s="1"/>
  <c r="X452" i="14" s="1"/>
  <c r="Z452" i="14" s="1"/>
  <c r="AC452" i="14" s="1"/>
  <c r="I451" i="14"/>
  <c r="K451" i="14" s="1"/>
  <c r="W451" i="14" s="1"/>
  <c r="X451" i="14" s="1"/>
  <c r="Z451" i="14" s="1"/>
  <c r="AC451" i="14" s="1"/>
  <c r="I450" i="14"/>
  <c r="K450" i="14" s="1"/>
  <c r="W450" i="14" s="1"/>
  <c r="X450" i="14" s="1"/>
  <c r="Z450" i="14" s="1"/>
  <c r="AC450" i="14" s="1"/>
  <c r="I449" i="14"/>
  <c r="K449" i="14" s="1"/>
  <c r="W449" i="14" s="1"/>
  <c r="X449" i="14" s="1"/>
  <c r="Z449" i="14" s="1"/>
  <c r="AC449" i="14" s="1"/>
  <c r="I448" i="14"/>
  <c r="K448" i="14" s="1"/>
  <c r="W448" i="14" s="1"/>
  <c r="X448" i="14" s="1"/>
  <c r="Z448" i="14" s="1"/>
  <c r="AC448" i="14" s="1"/>
  <c r="I447" i="14"/>
  <c r="K447" i="14" s="1"/>
  <c r="W447" i="14" s="1"/>
  <c r="X447" i="14" s="1"/>
  <c r="Z447" i="14" s="1"/>
  <c r="AC447" i="14" s="1"/>
  <c r="I446" i="14"/>
  <c r="K446" i="14" s="1"/>
  <c r="W446" i="14" s="1"/>
  <c r="X446" i="14" s="1"/>
  <c r="Z446" i="14" s="1"/>
  <c r="AC446" i="14" s="1"/>
  <c r="I445" i="14"/>
  <c r="K445" i="14" s="1"/>
  <c r="W445" i="14" s="1"/>
  <c r="X445" i="14" s="1"/>
  <c r="Z445" i="14" s="1"/>
  <c r="AC445" i="14" s="1"/>
  <c r="I444" i="14"/>
  <c r="K444" i="14" s="1"/>
  <c r="W444" i="14" s="1"/>
  <c r="X444" i="14" s="1"/>
  <c r="Z444" i="14" s="1"/>
  <c r="AC444" i="14" s="1"/>
  <c r="I443" i="14"/>
  <c r="K443" i="14" s="1"/>
  <c r="W443" i="14" s="1"/>
  <c r="X443" i="14" s="1"/>
  <c r="Z443" i="14" s="1"/>
  <c r="AC443" i="14" s="1"/>
  <c r="I442" i="14"/>
  <c r="K442" i="14" s="1"/>
  <c r="W442" i="14" s="1"/>
  <c r="X442" i="14" s="1"/>
  <c r="Z442" i="14" s="1"/>
  <c r="AC442" i="14" s="1"/>
  <c r="I441" i="14"/>
  <c r="K441" i="14" s="1"/>
  <c r="W441" i="14" s="1"/>
  <c r="X441" i="14" s="1"/>
  <c r="Z441" i="14" s="1"/>
  <c r="AC441" i="14" s="1"/>
  <c r="I440" i="14"/>
  <c r="K440" i="14" s="1"/>
  <c r="W440" i="14" s="1"/>
  <c r="X440" i="14" s="1"/>
  <c r="Z440" i="14" s="1"/>
  <c r="AC440" i="14" s="1"/>
  <c r="I439" i="14"/>
  <c r="K439" i="14" s="1"/>
  <c r="W439" i="14" s="1"/>
  <c r="X439" i="14" s="1"/>
  <c r="Z439" i="14" s="1"/>
  <c r="AG417" i="14"/>
  <c r="AF417" i="14"/>
  <c r="AE417" i="14"/>
  <c r="AD417" i="14"/>
  <c r="I416" i="14"/>
  <c r="K416" i="14" s="1"/>
  <c r="W416" i="14" s="1"/>
  <c r="X416" i="14" s="1"/>
  <c r="Z416" i="14" s="1"/>
  <c r="AC416" i="14" s="1"/>
  <c r="I415" i="14"/>
  <c r="K415" i="14" s="1"/>
  <c r="W415" i="14" s="1"/>
  <c r="X415" i="14" s="1"/>
  <c r="Z415" i="14" s="1"/>
  <c r="AC415" i="14" s="1"/>
  <c r="I414" i="14"/>
  <c r="K414" i="14" s="1"/>
  <c r="W414" i="14" s="1"/>
  <c r="X414" i="14" s="1"/>
  <c r="Z414" i="14" s="1"/>
  <c r="AC414" i="14" s="1"/>
  <c r="I413" i="14"/>
  <c r="K413" i="14" s="1"/>
  <c r="W413" i="14" s="1"/>
  <c r="X413" i="14" s="1"/>
  <c r="Z413" i="14" s="1"/>
  <c r="AC413" i="14" s="1"/>
  <c r="I412" i="14"/>
  <c r="K412" i="14" s="1"/>
  <c r="W412" i="14" s="1"/>
  <c r="X412" i="14" s="1"/>
  <c r="Z412" i="14" s="1"/>
  <c r="AC412" i="14" s="1"/>
  <c r="I411" i="14"/>
  <c r="K411" i="14" s="1"/>
  <c r="W411" i="14" s="1"/>
  <c r="X411" i="14" s="1"/>
  <c r="Z411" i="14" s="1"/>
  <c r="AC411" i="14" s="1"/>
  <c r="I410" i="14"/>
  <c r="K410" i="14" s="1"/>
  <c r="W410" i="14" s="1"/>
  <c r="X410" i="14" s="1"/>
  <c r="Z410" i="14" s="1"/>
  <c r="AC410" i="14" s="1"/>
  <c r="I409" i="14"/>
  <c r="K409" i="14" s="1"/>
  <c r="W409" i="14" s="1"/>
  <c r="X409" i="14" s="1"/>
  <c r="Z409" i="14" s="1"/>
  <c r="AC409" i="14" s="1"/>
  <c r="I408" i="14"/>
  <c r="K408" i="14" s="1"/>
  <c r="W408" i="14" s="1"/>
  <c r="X408" i="14" s="1"/>
  <c r="Z408" i="14" s="1"/>
  <c r="AC408" i="14" s="1"/>
  <c r="K407" i="14"/>
  <c r="W407" i="14" s="1"/>
  <c r="X407" i="14" s="1"/>
  <c r="Z407" i="14" s="1"/>
  <c r="AC407" i="14" s="1"/>
  <c r="I407" i="14"/>
  <c r="I406" i="14"/>
  <c r="K406" i="14" s="1"/>
  <c r="W406" i="14" s="1"/>
  <c r="X406" i="14" s="1"/>
  <c r="Z406" i="14" s="1"/>
  <c r="AC406" i="14" s="1"/>
  <c r="K405" i="14"/>
  <c r="W405" i="14" s="1"/>
  <c r="X405" i="14" s="1"/>
  <c r="Z405" i="14" s="1"/>
  <c r="AC405" i="14" s="1"/>
  <c r="I405" i="14"/>
  <c r="I404" i="14"/>
  <c r="K404" i="14" s="1"/>
  <c r="W404" i="14" s="1"/>
  <c r="X404" i="14" s="1"/>
  <c r="Z404" i="14" s="1"/>
  <c r="AC404" i="14" s="1"/>
  <c r="K403" i="14"/>
  <c r="W403" i="14" s="1"/>
  <c r="X403" i="14" s="1"/>
  <c r="Z403" i="14" s="1"/>
  <c r="AC403" i="14" s="1"/>
  <c r="I403" i="14"/>
  <c r="I402" i="14"/>
  <c r="K402" i="14" s="1"/>
  <c r="W402" i="14" s="1"/>
  <c r="X402" i="14" s="1"/>
  <c r="Z402" i="14" s="1"/>
  <c r="AC402" i="14" s="1"/>
  <c r="I401" i="14"/>
  <c r="K401" i="14" s="1"/>
  <c r="W401" i="14" s="1"/>
  <c r="X401" i="14" s="1"/>
  <c r="Z401" i="14" s="1"/>
  <c r="AC401" i="14" s="1"/>
  <c r="I400" i="14"/>
  <c r="K400" i="14" s="1"/>
  <c r="W400" i="14" s="1"/>
  <c r="X400" i="14" s="1"/>
  <c r="Z400" i="14" s="1"/>
  <c r="AC400" i="14" s="1"/>
  <c r="I399" i="14"/>
  <c r="K399" i="14" s="1"/>
  <c r="W399" i="14" s="1"/>
  <c r="X399" i="14" s="1"/>
  <c r="Z399" i="14" s="1"/>
  <c r="AC399" i="14" s="1"/>
  <c r="I398" i="14"/>
  <c r="K398" i="14" s="1"/>
  <c r="W398" i="14" s="1"/>
  <c r="X398" i="14" s="1"/>
  <c r="Z398" i="14" s="1"/>
  <c r="AG376" i="14"/>
  <c r="AF376" i="14"/>
  <c r="AE376" i="14"/>
  <c r="AD376" i="14"/>
  <c r="I375" i="14"/>
  <c r="K375" i="14" s="1"/>
  <c r="W375" i="14" s="1"/>
  <c r="X375" i="14" s="1"/>
  <c r="Z375" i="14" s="1"/>
  <c r="AC375" i="14" s="1"/>
  <c r="I374" i="14"/>
  <c r="K374" i="14" s="1"/>
  <c r="W374" i="14" s="1"/>
  <c r="X374" i="14" s="1"/>
  <c r="Z374" i="14" s="1"/>
  <c r="AC374" i="14" s="1"/>
  <c r="X373" i="14"/>
  <c r="Z373" i="14" s="1"/>
  <c r="AC373" i="14" s="1"/>
  <c r="I373" i="14"/>
  <c r="K373" i="14" s="1"/>
  <c r="W373" i="14" s="1"/>
  <c r="I372" i="14"/>
  <c r="K372" i="14" s="1"/>
  <c r="W372" i="14" s="1"/>
  <c r="X372" i="14" s="1"/>
  <c r="Z372" i="14" s="1"/>
  <c r="AC372" i="14" s="1"/>
  <c r="I371" i="14"/>
  <c r="K371" i="14" s="1"/>
  <c r="W371" i="14" s="1"/>
  <c r="X371" i="14" s="1"/>
  <c r="Z371" i="14" s="1"/>
  <c r="AC371" i="14" s="1"/>
  <c r="I370" i="14"/>
  <c r="K370" i="14" s="1"/>
  <c r="W370" i="14" s="1"/>
  <c r="X370" i="14" s="1"/>
  <c r="Z370" i="14" s="1"/>
  <c r="AC370" i="14" s="1"/>
  <c r="I369" i="14"/>
  <c r="K369" i="14" s="1"/>
  <c r="W369" i="14" s="1"/>
  <c r="X369" i="14" s="1"/>
  <c r="Z369" i="14" s="1"/>
  <c r="AC369" i="14" s="1"/>
  <c r="I368" i="14"/>
  <c r="K368" i="14" s="1"/>
  <c r="W368" i="14" s="1"/>
  <c r="X368" i="14" s="1"/>
  <c r="Z368" i="14" s="1"/>
  <c r="AC368" i="14" s="1"/>
  <c r="I367" i="14"/>
  <c r="K367" i="14" s="1"/>
  <c r="W367" i="14" s="1"/>
  <c r="X367" i="14" s="1"/>
  <c r="Z367" i="14" s="1"/>
  <c r="AC367" i="14" s="1"/>
  <c r="I366" i="14"/>
  <c r="K366" i="14" s="1"/>
  <c r="W366" i="14" s="1"/>
  <c r="X366" i="14" s="1"/>
  <c r="Z366" i="14" s="1"/>
  <c r="AC366" i="14" s="1"/>
  <c r="K365" i="14"/>
  <c r="W365" i="14" s="1"/>
  <c r="X365" i="14" s="1"/>
  <c r="Z365" i="14" s="1"/>
  <c r="AC365" i="14" s="1"/>
  <c r="I365" i="14"/>
  <c r="I364" i="14"/>
  <c r="K364" i="14" s="1"/>
  <c r="W364" i="14" s="1"/>
  <c r="X364" i="14" s="1"/>
  <c r="Z364" i="14" s="1"/>
  <c r="AC364" i="14" s="1"/>
  <c r="K363" i="14"/>
  <c r="W363" i="14" s="1"/>
  <c r="X363" i="14" s="1"/>
  <c r="Z363" i="14" s="1"/>
  <c r="AC363" i="14" s="1"/>
  <c r="I363" i="14"/>
  <c r="I362" i="14"/>
  <c r="K362" i="14" s="1"/>
  <c r="W362" i="14" s="1"/>
  <c r="X362" i="14" s="1"/>
  <c r="Z362" i="14" s="1"/>
  <c r="AC362" i="14" s="1"/>
  <c r="K361" i="14"/>
  <c r="W361" i="14" s="1"/>
  <c r="X361" i="14" s="1"/>
  <c r="Z361" i="14" s="1"/>
  <c r="AC361" i="14" s="1"/>
  <c r="I361" i="14"/>
  <c r="I360" i="14"/>
  <c r="K360" i="14" s="1"/>
  <c r="W360" i="14" s="1"/>
  <c r="X360" i="14" s="1"/>
  <c r="Z360" i="14" s="1"/>
  <c r="AC360" i="14" s="1"/>
  <c r="K359" i="14"/>
  <c r="W359" i="14" s="1"/>
  <c r="X359" i="14" s="1"/>
  <c r="Z359" i="14" s="1"/>
  <c r="AC359" i="14" s="1"/>
  <c r="I359" i="14"/>
  <c r="I358" i="14"/>
  <c r="K358" i="14" s="1"/>
  <c r="W358" i="14" s="1"/>
  <c r="X358" i="14" s="1"/>
  <c r="Z358" i="14" s="1"/>
  <c r="AC358" i="14" s="1"/>
  <c r="K357" i="14"/>
  <c r="W357" i="14" s="1"/>
  <c r="X357" i="14" s="1"/>
  <c r="Z357" i="14" s="1"/>
  <c r="I357" i="14"/>
  <c r="AG335" i="14"/>
  <c r="AF335" i="14"/>
  <c r="AE335" i="14"/>
  <c r="AD335" i="14"/>
  <c r="K334" i="14"/>
  <c r="W334" i="14" s="1"/>
  <c r="X334" i="14" s="1"/>
  <c r="Z334" i="14" s="1"/>
  <c r="AC334" i="14" s="1"/>
  <c r="I334" i="14"/>
  <c r="I333" i="14"/>
  <c r="K333" i="14" s="1"/>
  <c r="W333" i="14" s="1"/>
  <c r="X333" i="14" s="1"/>
  <c r="Z333" i="14" s="1"/>
  <c r="AC333" i="14" s="1"/>
  <c r="I332" i="14"/>
  <c r="K332" i="14" s="1"/>
  <c r="W332" i="14" s="1"/>
  <c r="X332" i="14" s="1"/>
  <c r="Z332" i="14" s="1"/>
  <c r="AC332" i="14" s="1"/>
  <c r="I331" i="14"/>
  <c r="K331" i="14" s="1"/>
  <c r="W331" i="14" s="1"/>
  <c r="X331" i="14" s="1"/>
  <c r="Z331" i="14" s="1"/>
  <c r="AC331" i="14" s="1"/>
  <c r="K330" i="14"/>
  <c r="W330" i="14" s="1"/>
  <c r="X330" i="14" s="1"/>
  <c r="Z330" i="14" s="1"/>
  <c r="AC330" i="14" s="1"/>
  <c r="I330" i="14"/>
  <c r="I329" i="14"/>
  <c r="K329" i="14" s="1"/>
  <c r="W329" i="14" s="1"/>
  <c r="X329" i="14" s="1"/>
  <c r="Z329" i="14" s="1"/>
  <c r="AC329" i="14" s="1"/>
  <c r="I328" i="14"/>
  <c r="K328" i="14" s="1"/>
  <c r="W328" i="14" s="1"/>
  <c r="X328" i="14" s="1"/>
  <c r="Z328" i="14" s="1"/>
  <c r="AC328" i="14" s="1"/>
  <c r="I327" i="14"/>
  <c r="K327" i="14" s="1"/>
  <c r="W327" i="14" s="1"/>
  <c r="X327" i="14" s="1"/>
  <c r="Z327" i="14" s="1"/>
  <c r="AC327" i="14" s="1"/>
  <c r="K326" i="14"/>
  <c r="W326" i="14" s="1"/>
  <c r="X326" i="14" s="1"/>
  <c r="Z326" i="14" s="1"/>
  <c r="AC326" i="14" s="1"/>
  <c r="I326" i="14"/>
  <c r="I325" i="14"/>
  <c r="K325" i="14" s="1"/>
  <c r="W325" i="14" s="1"/>
  <c r="X325" i="14" s="1"/>
  <c r="Z325" i="14" s="1"/>
  <c r="AC325" i="14" s="1"/>
  <c r="I324" i="14"/>
  <c r="K324" i="14" s="1"/>
  <c r="W324" i="14" s="1"/>
  <c r="X324" i="14" s="1"/>
  <c r="Z324" i="14" s="1"/>
  <c r="AC324" i="14" s="1"/>
  <c r="I323" i="14"/>
  <c r="K323" i="14" s="1"/>
  <c r="W323" i="14" s="1"/>
  <c r="X323" i="14" s="1"/>
  <c r="Z323" i="14" s="1"/>
  <c r="AC323" i="14" s="1"/>
  <c r="K322" i="14"/>
  <c r="W322" i="14" s="1"/>
  <c r="X322" i="14" s="1"/>
  <c r="Z322" i="14" s="1"/>
  <c r="AC322" i="14" s="1"/>
  <c r="I322" i="14"/>
  <c r="I321" i="14"/>
  <c r="K321" i="14" s="1"/>
  <c r="W321" i="14" s="1"/>
  <c r="X321" i="14" s="1"/>
  <c r="Z321" i="14" s="1"/>
  <c r="AC321" i="14" s="1"/>
  <c r="I320" i="14"/>
  <c r="K320" i="14" s="1"/>
  <c r="W320" i="14" s="1"/>
  <c r="X320" i="14" s="1"/>
  <c r="Z320" i="14" s="1"/>
  <c r="AC320" i="14" s="1"/>
  <c r="I319" i="14"/>
  <c r="K319" i="14" s="1"/>
  <c r="W319" i="14" s="1"/>
  <c r="X319" i="14" s="1"/>
  <c r="Z319" i="14" s="1"/>
  <c r="AC319" i="14" s="1"/>
  <c r="K318" i="14"/>
  <c r="W318" i="14" s="1"/>
  <c r="X318" i="14" s="1"/>
  <c r="Z318" i="14" s="1"/>
  <c r="AC318" i="14" s="1"/>
  <c r="I318" i="14"/>
  <c r="I317" i="14"/>
  <c r="K317" i="14" s="1"/>
  <c r="W317" i="14" s="1"/>
  <c r="X317" i="14" s="1"/>
  <c r="Z317" i="14" s="1"/>
  <c r="AC317" i="14" s="1"/>
  <c r="I316" i="14"/>
  <c r="K316" i="14" s="1"/>
  <c r="W316" i="14" s="1"/>
  <c r="X316" i="14" s="1"/>
  <c r="Z316" i="14" s="1"/>
  <c r="AG294" i="14"/>
  <c r="AF294" i="14"/>
  <c r="AE294" i="14"/>
  <c r="AD294" i="14"/>
  <c r="I293" i="14"/>
  <c r="K293" i="14" s="1"/>
  <c r="W293" i="14" s="1"/>
  <c r="X293" i="14" s="1"/>
  <c r="Z293" i="14" s="1"/>
  <c r="AC293" i="14" s="1"/>
  <c r="I292" i="14"/>
  <c r="K292" i="14" s="1"/>
  <c r="W292" i="14" s="1"/>
  <c r="X292" i="14" s="1"/>
  <c r="Z292" i="14" s="1"/>
  <c r="AC292" i="14" s="1"/>
  <c r="I291" i="14"/>
  <c r="K291" i="14" s="1"/>
  <c r="W291" i="14" s="1"/>
  <c r="X291" i="14" s="1"/>
  <c r="Z291" i="14" s="1"/>
  <c r="AC291" i="14" s="1"/>
  <c r="I290" i="14"/>
  <c r="K290" i="14" s="1"/>
  <c r="W290" i="14" s="1"/>
  <c r="X290" i="14" s="1"/>
  <c r="Z290" i="14" s="1"/>
  <c r="AC290" i="14" s="1"/>
  <c r="I289" i="14"/>
  <c r="K289" i="14" s="1"/>
  <c r="W289" i="14" s="1"/>
  <c r="X289" i="14" s="1"/>
  <c r="Z289" i="14" s="1"/>
  <c r="AC289" i="14" s="1"/>
  <c r="I288" i="14"/>
  <c r="K288" i="14" s="1"/>
  <c r="W288" i="14" s="1"/>
  <c r="X288" i="14" s="1"/>
  <c r="Z288" i="14" s="1"/>
  <c r="AC288" i="14" s="1"/>
  <c r="I287" i="14"/>
  <c r="K287" i="14" s="1"/>
  <c r="W287" i="14" s="1"/>
  <c r="X287" i="14" s="1"/>
  <c r="Z287" i="14" s="1"/>
  <c r="AC287" i="14" s="1"/>
  <c r="I286" i="14"/>
  <c r="K286" i="14" s="1"/>
  <c r="W286" i="14" s="1"/>
  <c r="X286" i="14" s="1"/>
  <c r="Z286" i="14" s="1"/>
  <c r="AC286" i="14" s="1"/>
  <c r="I285" i="14"/>
  <c r="K285" i="14" s="1"/>
  <c r="W285" i="14" s="1"/>
  <c r="X285" i="14" s="1"/>
  <c r="Z285" i="14" s="1"/>
  <c r="AC285" i="14" s="1"/>
  <c r="I284" i="14"/>
  <c r="K284" i="14" s="1"/>
  <c r="W284" i="14" s="1"/>
  <c r="X284" i="14" s="1"/>
  <c r="Z284" i="14" s="1"/>
  <c r="AC284" i="14" s="1"/>
  <c r="I283" i="14"/>
  <c r="K283" i="14" s="1"/>
  <c r="W283" i="14" s="1"/>
  <c r="X283" i="14" s="1"/>
  <c r="Z283" i="14" s="1"/>
  <c r="AC283" i="14" s="1"/>
  <c r="I282" i="14"/>
  <c r="K282" i="14" s="1"/>
  <c r="W282" i="14" s="1"/>
  <c r="X282" i="14" s="1"/>
  <c r="Z282" i="14" s="1"/>
  <c r="AC282" i="14" s="1"/>
  <c r="I281" i="14"/>
  <c r="K281" i="14" s="1"/>
  <c r="W281" i="14" s="1"/>
  <c r="X281" i="14" s="1"/>
  <c r="Z281" i="14" s="1"/>
  <c r="AC281" i="14" s="1"/>
  <c r="I280" i="14"/>
  <c r="K280" i="14" s="1"/>
  <c r="W280" i="14" s="1"/>
  <c r="X280" i="14" s="1"/>
  <c r="Z280" i="14" s="1"/>
  <c r="AC280" i="14" s="1"/>
  <c r="I279" i="14"/>
  <c r="K279" i="14" s="1"/>
  <c r="W279" i="14" s="1"/>
  <c r="X279" i="14" s="1"/>
  <c r="Z279" i="14" s="1"/>
  <c r="AC279" i="14" s="1"/>
  <c r="I278" i="14"/>
  <c r="K278" i="14" s="1"/>
  <c r="W278" i="14" s="1"/>
  <c r="X278" i="14" s="1"/>
  <c r="Z278" i="14" s="1"/>
  <c r="AC278" i="14" s="1"/>
  <c r="I277" i="14"/>
  <c r="K277" i="14" s="1"/>
  <c r="W277" i="14" s="1"/>
  <c r="X277" i="14" s="1"/>
  <c r="Z277" i="14" s="1"/>
  <c r="AC277" i="14" s="1"/>
  <c r="I276" i="14"/>
  <c r="K276" i="14" s="1"/>
  <c r="W276" i="14" s="1"/>
  <c r="X276" i="14" s="1"/>
  <c r="Z276" i="14" s="1"/>
  <c r="AC276" i="14" s="1"/>
  <c r="I275" i="14"/>
  <c r="K275" i="14" s="1"/>
  <c r="W275" i="14" s="1"/>
  <c r="X275" i="14" s="1"/>
  <c r="Z275" i="14" s="1"/>
  <c r="AG257" i="14"/>
  <c r="AF257" i="14"/>
  <c r="AE257" i="14"/>
  <c r="AD257" i="14"/>
  <c r="I256" i="14"/>
  <c r="K256" i="14" s="1"/>
  <c r="W256" i="14" s="1"/>
  <c r="X256" i="14" s="1"/>
  <c r="Z256" i="14" s="1"/>
  <c r="AC256" i="14" s="1"/>
  <c r="I255" i="14"/>
  <c r="K255" i="14" s="1"/>
  <c r="W255" i="14" s="1"/>
  <c r="X255" i="14" s="1"/>
  <c r="Z255" i="14" s="1"/>
  <c r="AC255" i="14" s="1"/>
  <c r="I254" i="14"/>
  <c r="K254" i="14" s="1"/>
  <c r="W254" i="14" s="1"/>
  <c r="X254" i="14" s="1"/>
  <c r="Z254" i="14" s="1"/>
  <c r="AC254" i="14" s="1"/>
  <c r="I253" i="14"/>
  <c r="K253" i="14" s="1"/>
  <c r="W253" i="14" s="1"/>
  <c r="X253" i="14" s="1"/>
  <c r="Z253" i="14" s="1"/>
  <c r="AC253" i="14" s="1"/>
  <c r="I252" i="14"/>
  <c r="K252" i="14" s="1"/>
  <c r="W252" i="14" s="1"/>
  <c r="X252" i="14" s="1"/>
  <c r="Z252" i="14" s="1"/>
  <c r="AC252" i="14" s="1"/>
  <c r="I251" i="14"/>
  <c r="K251" i="14" s="1"/>
  <c r="W251" i="14" s="1"/>
  <c r="X251" i="14" s="1"/>
  <c r="Z251" i="14" s="1"/>
  <c r="AC251" i="14" s="1"/>
  <c r="I250" i="14"/>
  <c r="K250" i="14" s="1"/>
  <c r="W250" i="14" s="1"/>
  <c r="X250" i="14" s="1"/>
  <c r="Z250" i="14" s="1"/>
  <c r="AC250" i="14" s="1"/>
  <c r="I249" i="14"/>
  <c r="K249" i="14" s="1"/>
  <c r="W249" i="14" s="1"/>
  <c r="X249" i="14" s="1"/>
  <c r="Z249" i="14" s="1"/>
  <c r="AC249" i="14" s="1"/>
  <c r="I248" i="14"/>
  <c r="K248" i="14" s="1"/>
  <c r="W248" i="14" s="1"/>
  <c r="X248" i="14" s="1"/>
  <c r="Z248" i="14" s="1"/>
  <c r="AC248" i="14" s="1"/>
  <c r="I247" i="14"/>
  <c r="K247" i="14" s="1"/>
  <c r="W247" i="14" s="1"/>
  <c r="X247" i="14" s="1"/>
  <c r="Z247" i="14" s="1"/>
  <c r="AC247" i="14" s="1"/>
  <c r="I246" i="14"/>
  <c r="K246" i="14" s="1"/>
  <c r="W246" i="14" s="1"/>
  <c r="X246" i="14" s="1"/>
  <c r="Z246" i="14" s="1"/>
  <c r="AC246" i="14" s="1"/>
  <c r="I245" i="14"/>
  <c r="K245" i="14" s="1"/>
  <c r="W245" i="14" s="1"/>
  <c r="X245" i="14" s="1"/>
  <c r="Z245" i="14" s="1"/>
  <c r="AC245" i="14" s="1"/>
  <c r="I244" i="14"/>
  <c r="K244" i="14" s="1"/>
  <c r="W244" i="14" s="1"/>
  <c r="X244" i="14" s="1"/>
  <c r="Z244" i="14" s="1"/>
  <c r="AC244" i="14" s="1"/>
  <c r="Z243" i="14"/>
  <c r="AC243" i="14" s="1"/>
  <c r="I243" i="14"/>
  <c r="K243" i="14" s="1"/>
  <c r="W243" i="14" s="1"/>
  <c r="X243" i="14" s="1"/>
  <c r="K242" i="14"/>
  <c r="W242" i="14" s="1"/>
  <c r="X242" i="14" s="1"/>
  <c r="Z242" i="14" s="1"/>
  <c r="AC242" i="14" s="1"/>
  <c r="I242" i="14"/>
  <c r="I241" i="14"/>
  <c r="K241" i="14" s="1"/>
  <c r="W241" i="14" s="1"/>
  <c r="X241" i="14" s="1"/>
  <c r="Z241" i="14" s="1"/>
  <c r="AC241" i="14" s="1"/>
  <c r="K240" i="14"/>
  <c r="W240" i="14" s="1"/>
  <c r="X240" i="14" s="1"/>
  <c r="Z240" i="14" s="1"/>
  <c r="AC240" i="14" s="1"/>
  <c r="I240" i="14"/>
  <c r="I239" i="14"/>
  <c r="K239" i="14" s="1"/>
  <c r="W239" i="14" s="1"/>
  <c r="X239" i="14" s="1"/>
  <c r="Z239" i="14" s="1"/>
  <c r="AC239" i="14" s="1"/>
  <c r="K238" i="14"/>
  <c r="W238" i="14" s="1"/>
  <c r="X238" i="14" s="1"/>
  <c r="Z238" i="14" s="1"/>
  <c r="AC238" i="14" s="1"/>
  <c r="I238" i="14"/>
  <c r="I237" i="14"/>
  <c r="K237" i="14" s="1"/>
  <c r="W237" i="14" s="1"/>
  <c r="X237" i="14" s="1"/>
  <c r="Z237" i="14" s="1"/>
  <c r="AC237" i="14" s="1"/>
  <c r="K236" i="14"/>
  <c r="W236" i="14" s="1"/>
  <c r="X236" i="14" s="1"/>
  <c r="Z236" i="14" s="1"/>
  <c r="AC236" i="14" s="1"/>
  <c r="I236" i="14"/>
  <c r="I235" i="14"/>
  <c r="K235" i="14" s="1"/>
  <c r="W235" i="14" s="1"/>
  <c r="X235" i="14" s="1"/>
  <c r="Z235" i="14" s="1"/>
  <c r="AC235" i="14" s="1"/>
  <c r="I234" i="14"/>
  <c r="K234" i="14" s="1"/>
  <c r="W234" i="14" s="1"/>
  <c r="X234" i="14" s="1"/>
  <c r="Z234" i="14" s="1"/>
  <c r="AC234" i="14" s="1"/>
  <c r="AG213" i="14"/>
  <c r="AF213" i="14"/>
  <c r="AE213" i="14"/>
  <c r="AD213" i="14"/>
  <c r="I212" i="14"/>
  <c r="K212" i="14" s="1"/>
  <c r="W212" i="14" s="1"/>
  <c r="X212" i="14" s="1"/>
  <c r="Z212" i="14" s="1"/>
  <c r="AC212" i="14" s="1"/>
  <c r="I211" i="14"/>
  <c r="K211" i="14" s="1"/>
  <c r="W211" i="14" s="1"/>
  <c r="X211" i="14" s="1"/>
  <c r="Z211" i="14" s="1"/>
  <c r="AC211" i="14" s="1"/>
  <c r="I210" i="14"/>
  <c r="K210" i="14" s="1"/>
  <c r="W210" i="14" s="1"/>
  <c r="X210" i="14" s="1"/>
  <c r="Z210" i="14" s="1"/>
  <c r="AC210" i="14" s="1"/>
  <c r="I209" i="14"/>
  <c r="K209" i="14" s="1"/>
  <c r="W209" i="14" s="1"/>
  <c r="X209" i="14" s="1"/>
  <c r="Z209" i="14" s="1"/>
  <c r="AC209" i="14" s="1"/>
  <c r="K208" i="14"/>
  <c r="W208" i="14" s="1"/>
  <c r="X208" i="14" s="1"/>
  <c r="Z208" i="14" s="1"/>
  <c r="AC208" i="14" s="1"/>
  <c r="I208" i="14"/>
  <c r="I207" i="14"/>
  <c r="K207" i="14" s="1"/>
  <c r="W207" i="14" s="1"/>
  <c r="X207" i="14" s="1"/>
  <c r="Z207" i="14" s="1"/>
  <c r="AC207" i="14" s="1"/>
  <c r="I206" i="14"/>
  <c r="K206" i="14" s="1"/>
  <c r="W206" i="14" s="1"/>
  <c r="X206" i="14" s="1"/>
  <c r="Z206" i="14" s="1"/>
  <c r="AC206" i="14" s="1"/>
  <c r="I205" i="14"/>
  <c r="K205" i="14" s="1"/>
  <c r="W205" i="14" s="1"/>
  <c r="X205" i="14" s="1"/>
  <c r="Z205" i="14" s="1"/>
  <c r="AC205" i="14" s="1"/>
  <c r="I204" i="14"/>
  <c r="K204" i="14" s="1"/>
  <c r="W204" i="14" s="1"/>
  <c r="X204" i="14" s="1"/>
  <c r="Z204" i="14" s="1"/>
  <c r="AC204" i="14" s="1"/>
  <c r="I203" i="14"/>
  <c r="K203" i="14" s="1"/>
  <c r="W203" i="14" s="1"/>
  <c r="X203" i="14" s="1"/>
  <c r="Z203" i="14" s="1"/>
  <c r="AC203" i="14" s="1"/>
  <c r="K202" i="14"/>
  <c r="W202" i="14" s="1"/>
  <c r="X202" i="14" s="1"/>
  <c r="Z202" i="14" s="1"/>
  <c r="AC202" i="14" s="1"/>
  <c r="I202" i="14"/>
  <c r="I201" i="14"/>
  <c r="K201" i="14" s="1"/>
  <c r="W201" i="14" s="1"/>
  <c r="X201" i="14" s="1"/>
  <c r="Z201" i="14" s="1"/>
  <c r="AC201" i="14" s="1"/>
  <c r="I200" i="14"/>
  <c r="K200" i="14" s="1"/>
  <c r="W200" i="14" s="1"/>
  <c r="X200" i="14" s="1"/>
  <c r="Z200" i="14" s="1"/>
  <c r="AC200" i="14" s="1"/>
  <c r="I199" i="14"/>
  <c r="K199" i="14" s="1"/>
  <c r="W199" i="14" s="1"/>
  <c r="X199" i="14" s="1"/>
  <c r="Z199" i="14" s="1"/>
  <c r="AC199" i="14" s="1"/>
  <c r="I198" i="14"/>
  <c r="K198" i="14" s="1"/>
  <c r="W198" i="14" s="1"/>
  <c r="X198" i="14" s="1"/>
  <c r="Z198" i="14" s="1"/>
  <c r="AC198" i="14" s="1"/>
  <c r="I197" i="14"/>
  <c r="K197" i="14" s="1"/>
  <c r="W197" i="14" s="1"/>
  <c r="X197" i="14" s="1"/>
  <c r="Z197" i="14" s="1"/>
  <c r="AC197" i="14" s="1"/>
  <c r="I196" i="14"/>
  <c r="K196" i="14" s="1"/>
  <c r="W196" i="14" s="1"/>
  <c r="X196" i="14" s="1"/>
  <c r="Z196" i="14" s="1"/>
  <c r="AC196" i="14" s="1"/>
  <c r="I195" i="14"/>
  <c r="K195" i="14" s="1"/>
  <c r="W195" i="14" s="1"/>
  <c r="X195" i="14" s="1"/>
  <c r="Z195" i="14" s="1"/>
  <c r="AC195" i="14" s="1"/>
  <c r="I194" i="14"/>
  <c r="K194" i="14" s="1"/>
  <c r="W194" i="14" s="1"/>
  <c r="X194" i="14" s="1"/>
  <c r="Z194" i="14" s="1"/>
  <c r="AG171" i="14"/>
  <c r="AF171" i="14"/>
  <c r="AE171" i="14"/>
  <c r="AD171" i="14"/>
  <c r="I170" i="14"/>
  <c r="K170" i="14" s="1"/>
  <c r="W170" i="14" s="1"/>
  <c r="X170" i="14" s="1"/>
  <c r="Z170" i="14" s="1"/>
  <c r="AC170" i="14" s="1"/>
  <c r="I169" i="14"/>
  <c r="K169" i="14" s="1"/>
  <c r="W169" i="14" s="1"/>
  <c r="X169" i="14" s="1"/>
  <c r="Z169" i="14" s="1"/>
  <c r="AC169" i="14" s="1"/>
  <c r="K168" i="14"/>
  <c r="W168" i="14" s="1"/>
  <c r="X168" i="14" s="1"/>
  <c r="Z168" i="14" s="1"/>
  <c r="AC168" i="14" s="1"/>
  <c r="I168" i="14"/>
  <c r="I167" i="14"/>
  <c r="K167" i="14" s="1"/>
  <c r="W167" i="14" s="1"/>
  <c r="X167" i="14" s="1"/>
  <c r="Z167" i="14" s="1"/>
  <c r="AC167" i="14" s="1"/>
  <c r="I166" i="14"/>
  <c r="K166" i="14" s="1"/>
  <c r="W166" i="14" s="1"/>
  <c r="X166" i="14" s="1"/>
  <c r="Z166" i="14" s="1"/>
  <c r="AC166" i="14" s="1"/>
  <c r="I165" i="14"/>
  <c r="K165" i="14" s="1"/>
  <c r="W165" i="14" s="1"/>
  <c r="X165" i="14" s="1"/>
  <c r="Z165" i="14" s="1"/>
  <c r="AC165" i="14" s="1"/>
  <c r="AC164" i="14"/>
  <c r="K164" i="14"/>
  <c r="I163" i="14"/>
  <c r="K163" i="14" s="1"/>
  <c r="W163" i="14" s="1"/>
  <c r="X163" i="14" s="1"/>
  <c r="Z163" i="14" s="1"/>
  <c r="AC163" i="14" s="1"/>
  <c r="I162" i="14"/>
  <c r="K162" i="14" s="1"/>
  <c r="W162" i="14" s="1"/>
  <c r="X162" i="14" s="1"/>
  <c r="Z162" i="14" s="1"/>
  <c r="AC162" i="14" s="1"/>
  <c r="I161" i="14"/>
  <c r="K161" i="14" s="1"/>
  <c r="W161" i="14" s="1"/>
  <c r="X161" i="14" s="1"/>
  <c r="Z161" i="14" s="1"/>
  <c r="AC161" i="14" s="1"/>
  <c r="I160" i="14"/>
  <c r="K160" i="14" s="1"/>
  <c r="W160" i="14" s="1"/>
  <c r="X160" i="14" s="1"/>
  <c r="Z160" i="14" s="1"/>
  <c r="AC160" i="14" s="1"/>
  <c r="I159" i="14"/>
  <c r="K159" i="14" s="1"/>
  <c r="W159" i="14" s="1"/>
  <c r="X159" i="14" s="1"/>
  <c r="Z159" i="14" s="1"/>
  <c r="AC159" i="14" s="1"/>
  <c r="K158" i="14"/>
  <c r="W158" i="14" s="1"/>
  <c r="X158" i="14" s="1"/>
  <c r="Z158" i="14" s="1"/>
  <c r="AC158" i="14" s="1"/>
  <c r="I158" i="14"/>
  <c r="I157" i="14"/>
  <c r="K157" i="14" s="1"/>
  <c r="W157" i="14" s="1"/>
  <c r="X157" i="14" s="1"/>
  <c r="Z157" i="14" s="1"/>
  <c r="AC157" i="14" s="1"/>
  <c r="I156" i="14"/>
  <c r="K156" i="14" s="1"/>
  <c r="W156" i="14" s="1"/>
  <c r="X156" i="14" s="1"/>
  <c r="Z156" i="14" s="1"/>
  <c r="AC156" i="14" s="1"/>
  <c r="I155" i="14"/>
  <c r="K155" i="14" s="1"/>
  <c r="W155" i="14" s="1"/>
  <c r="X155" i="14" s="1"/>
  <c r="Z155" i="14" s="1"/>
  <c r="AC155" i="14" s="1"/>
  <c r="K154" i="14"/>
  <c r="W154" i="14" s="1"/>
  <c r="X154" i="14" s="1"/>
  <c r="Z154" i="14" s="1"/>
  <c r="AC154" i="14" s="1"/>
  <c r="I154" i="14"/>
  <c r="I153" i="14"/>
  <c r="K153" i="14" s="1"/>
  <c r="W153" i="14" s="1"/>
  <c r="X153" i="14" s="1"/>
  <c r="Z153" i="14" s="1"/>
  <c r="AC153" i="14" s="1"/>
  <c r="I152" i="14"/>
  <c r="K152" i="14" s="1"/>
  <c r="W152" i="14" s="1"/>
  <c r="X152" i="14" s="1"/>
  <c r="Z152" i="14" s="1"/>
  <c r="AG130" i="14"/>
  <c r="AF130" i="14"/>
  <c r="AE130" i="14"/>
  <c r="AD130" i="14"/>
  <c r="AC128" i="14"/>
  <c r="I127" i="14"/>
  <c r="K127" i="14" s="1"/>
  <c r="W127" i="14" s="1"/>
  <c r="X127" i="14" s="1"/>
  <c r="Z127" i="14" s="1"/>
  <c r="AC127" i="14" s="1"/>
  <c r="I126" i="14"/>
  <c r="K126" i="14" s="1"/>
  <c r="W126" i="14" s="1"/>
  <c r="X126" i="14" s="1"/>
  <c r="Z126" i="14" s="1"/>
  <c r="AC126" i="14" s="1"/>
  <c r="I125" i="14"/>
  <c r="K125" i="14" s="1"/>
  <c r="W125" i="14" s="1"/>
  <c r="X125" i="14" s="1"/>
  <c r="Z125" i="14" s="1"/>
  <c r="AC125" i="14" s="1"/>
  <c r="I124" i="14"/>
  <c r="K124" i="14" s="1"/>
  <c r="W124" i="14" s="1"/>
  <c r="X124" i="14" s="1"/>
  <c r="Z124" i="14" s="1"/>
  <c r="AC124" i="14" s="1"/>
  <c r="I123" i="14"/>
  <c r="K123" i="14" s="1"/>
  <c r="W123" i="14" s="1"/>
  <c r="X123" i="14" s="1"/>
  <c r="Z123" i="14" s="1"/>
  <c r="AC123" i="14" s="1"/>
  <c r="I122" i="14"/>
  <c r="K122" i="14" s="1"/>
  <c r="W122" i="14" s="1"/>
  <c r="X122" i="14" s="1"/>
  <c r="Z122" i="14" s="1"/>
  <c r="AC122" i="14" s="1"/>
  <c r="I121" i="14"/>
  <c r="K121" i="14" s="1"/>
  <c r="W121" i="14" s="1"/>
  <c r="X121" i="14" s="1"/>
  <c r="Z121" i="14" s="1"/>
  <c r="AC121" i="14" s="1"/>
  <c r="I120" i="14"/>
  <c r="K120" i="14" s="1"/>
  <c r="W120" i="14" s="1"/>
  <c r="X120" i="14" s="1"/>
  <c r="Z120" i="14" s="1"/>
  <c r="AC120" i="14" s="1"/>
  <c r="I119" i="14"/>
  <c r="K119" i="14" s="1"/>
  <c r="W119" i="14" s="1"/>
  <c r="X119" i="14" s="1"/>
  <c r="Z119" i="14" s="1"/>
  <c r="AC119" i="14" s="1"/>
  <c r="I118" i="14"/>
  <c r="K118" i="14" s="1"/>
  <c r="W118" i="14" s="1"/>
  <c r="X118" i="14" s="1"/>
  <c r="Z118" i="14" s="1"/>
  <c r="AC118" i="14" s="1"/>
  <c r="I117" i="14"/>
  <c r="K117" i="14" s="1"/>
  <c r="W117" i="14" s="1"/>
  <c r="X117" i="14" s="1"/>
  <c r="Z117" i="14" s="1"/>
  <c r="AC117" i="14" s="1"/>
  <c r="I116" i="14"/>
  <c r="K116" i="14" s="1"/>
  <c r="W116" i="14" s="1"/>
  <c r="X116" i="14" s="1"/>
  <c r="Z116" i="14" s="1"/>
  <c r="AC116" i="14" s="1"/>
  <c r="I115" i="14"/>
  <c r="K115" i="14" s="1"/>
  <c r="W115" i="14" s="1"/>
  <c r="X115" i="14" s="1"/>
  <c r="Z115" i="14" s="1"/>
  <c r="AC115" i="14" s="1"/>
  <c r="I114" i="14"/>
  <c r="K114" i="14" s="1"/>
  <c r="W114" i="14" s="1"/>
  <c r="X114" i="14" s="1"/>
  <c r="Z114" i="14" s="1"/>
  <c r="AC114" i="14" s="1"/>
  <c r="I113" i="14"/>
  <c r="K113" i="14" s="1"/>
  <c r="W113" i="14" s="1"/>
  <c r="X113" i="14" s="1"/>
  <c r="Z113" i="14" s="1"/>
  <c r="AC113" i="14" s="1"/>
  <c r="I112" i="14"/>
  <c r="K112" i="14" s="1"/>
  <c r="W112" i="14" s="1"/>
  <c r="X112" i="14" s="1"/>
  <c r="Z112" i="14" s="1"/>
  <c r="AC112" i="14" s="1"/>
  <c r="I111" i="14"/>
  <c r="K111" i="14" s="1"/>
  <c r="W111" i="14" s="1"/>
  <c r="X111" i="14" s="1"/>
  <c r="Z111" i="14" s="1"/>
  <c r="AD93" i="14"/>
  <c r="AD94" i="14" s="1"/>
  <c r="I93" i="14"/>
  <c r="K93" i="14" s="1"/>
  <c r="W93" i="14" s="1"/>
  <c r="X93" i="14" s="1"/>
  <c r="Z93" i="14" s="1"/>
  <c r="AC93" i="14" s="1"/>
  <c r="I92" i="14"/>
  <c r="K92" i="14" s="1"/>
  <c r="W92" i="14" s="1"/>
  <c r="X92" i="14" s="1"/>
  <c r="Z92" i="14" s="1"/>
  <c r="AC92" i="14" s="1"/>
  <c r="I91" i="14"/>
  <c r="K91" i="14" s="1"/>
  <c r="W91" i="14" s="1"/>
  <c r="X91" i="14" s="1"/>
  <c r="Z91" i="14" s="1"/>
  <c r="AC91" i="14" s="1"/>
  <c r="I90" i="14"/>
  <c r="K90" i="14" s="1"/>
  <c r="W90" i="14" s="1"/>
  <c r="X90" i="14" s="1"/>
  <c r="Z90" i="14" s="1"/>
  <c r="AC90" i="14" s="1"/>
  <c r="I89" i="14"/>
  <c r="K89" i="14" s="1"/>
  <c r="W89" i="14" s="1"/>
  <c r="X89" i="14" s="1"/>
  <c r="Z89" i="14" s="1"/>
  <c r="AC89" i="14" s="1"/>
  <c r="I88" i="14"/>
  <c r="K88" i="14" s="1"/>
  <c r="W88" i="14" s="1"/>
  <c r="X88" i="14" s="1"/>
  <c r="Z88" i="14" s="1"/>
  <c r="AC88" i="14" s="1"/>
  <c r="I87" i="14"/>
  <c r="K87" i="14" s="1"/>
  <c r="W87" i="14" s="1"/>
  <c r="X87" i="14" s="1"/>
  <c r="Z87" i="14" s="1"/>
  <c r="AC87" i="14" s="1"/>
  <c r="I86" i="14"/>
  <c r="K86" i="14" s="1"/>
  <c r="W86" i="14" s="1"/>
  <c r="X86" i="14" s="1"/>
  <c r="Z86" i="14" s="1"/>
  <c r="AC86" i="14" s="1"/>
  <c r="I85" i="14"/>
  <c r="K85" i="14" s="1"/>
  <c r="W85" i="14" s="1"/>
  <c r="X85" i="14" s="1"/>
  <c r="Z85" i="14" s="1"/>
  <c r="AC85" i="14" s="1"/>
  <c r="I84" i="14"/>
  <c r="K84" i="14" s="1"/>
  <c r="W84" i="14" s="1"/>
  <c r="X84" i="14" s="1"/>
  <c r="Z84" i="14" s="1"/>
  <c r="AC84" i="14" s="1"/>
  <c r="I83" i="14"/>
  <c r="K83" i="14" s="1"/>
  <c r="W83" i="14" s="1"/>
  <c r="X83" i="14" s="1"/>
  <c r="Z83" i="14" s="1"/>
  <c r="AC83" i="14" s="1"/>
  <c r="I82" i="14"/>
  <c r="K82" i="14" s="1"/>
  <c r="W82" i="14" s="1"/>
  <c r="X82" i="14" s="1"/>
  <c r="Z82" i="14" s="1"/>
  <c r="AC82" i="14" s="1"/>
  <c r="I81" i="14"/>
  <c r="K81" i="14" s="1"/>
  <c r="W81" i="14" s="1"/>
  <c r="X81" i="14" s="1"/>
  <c r="Z81" i="14" s="1"/>
  <c r="AC81" i="14" s="1"/>
  <c r="I80" i="14"/>
  <c r="K80" i="14" s="1"/>
  <c r="W80" i="14" s="1"/>
  <c r="X80" i="14" s="1"/>
  <c r="Z80" i="14" s="1"/>
  <c r="AC80" i="14" s="1"/>
  <c r="K79" i="14"/>
  <c r="W79" i="14" s="1"/>
  <c r="X79" i="14" s="1"/>
  <c r="Z79" i="14" s="1"/>
  <c r="AC79" i="14" s="1"/>
  <c r="I79" i="14"/>
  <c r="I78" i="14"/>
  <c r="K78" i="14" s="1"/>
  <c r="W78" i="14" s="1"/>
  <c r="X78" i="14" s="1"/>
  <c r="Z78" i="14" s="1"/>
  <c r="AC78" i="14" s="1"/>
  <c r="I77" i="14"/>
  <c r="K77" i="14" s="1"/>
  <c r="W77" i="14" s="1"/>
  <c r="X77" i="14" s="1"/>
  <c r="Z77" i="14" s="1"/>
  <c r="I59" i="14"/>
  <c r="K59" i="14" s="1"/>
  <c r="W59" i="14" s="1"/>
  <c r="X59" i="14" s="1"/>
  <c r="Z59" i="14" s="1"/>
  <c r="AC59" i="14" s="1"/>
  <c r="I58" i="14"/>
  <c r="K58" i="14" s="1"/>
  <c r="W58" i="14" s="1"/>
  <c r="X58" i="14" s="1"/>
  <c r="Z58" i="14" s="1"/>
  <c r="AC58" i="14" s="1"/>
  <c r="I57" i="14"/>
  <c r="K57" i="14" s="1"/>
  <c r="W57" i="14" s="1"/>
  <c r="X57" i="14" s="1"/>
  <c r="Z57" i="14" s="1"/>
  <c r="AC57" i="14" s="1"/>
  <c r="I56" i="14"/>
  <c r="K56" i="14" s="1"/>
  <c r="W56" i="14" s="1"/>
  <c r="X56" i="14" s="1"/>
  <c r="Z56" i="14" s="1"/>
  <c r="AC56" i="14" s="1"/>
  <c r="AE55" i="14"/>
  <c r="AD55" i="14"/>
  <c r="I55" i="14"/>
  <c r="K55" i="14" s="1"/>
  <c r="W55" i="14" s="1"/>
  <c r="X55" i="14" s="1"/>
  <c r="Z55" i="14" s="1"/>
  <c r="AC55" i="14" s="1"/>
  <c r="AE54" i="14"/>
  <c r="AD54" i="14"/>
  <c r="AF54" i="14" s="1"/>
  <c r="I54" i="14"/>
  <c r="K54" i="14" s="1"/>
  <c r="W54" i="14" s="1"/>
  <c r="X54" i="14" s="1"/>
  <c r="Z54" i="14" s="1"/>
  <c r="AC54" i="14" s="1"/>
  <c r="AD53" i="14"/>
  <c r="I53" i="14"/>
  <c r="K53" i="14" s="1"/>
  <c r="W53" i="14" s="1"/>
  <c r="X53" i="14" s="1"/>
  <c r="Z53" i="14" s="1"/>
  <c r="AC53" i="14" s="1"/>
  <c r="AD52" i="14"/>
  <c r="I52" i="14"/>
  <c r="K52" i="14" s="1"/>
  <c r="W52" i="14" s="1"/>
  <c r="X52" i="14" s="1"/>
  <c r="Z52" i="14" s="1"/>
  <c r="AC52" i="14" s="1"/>
  <c r="AD51" i="14"/>
  <c r="W51" i="14"/>
  <c r="X51" i="14" s="1"/>
  <c r="Z51" i="14" s="1"/>
  <c r="AC51" i="14" s="1"/>
  <c r="I51" i="14"/>
  <c r="K51" i="14" s="1"/>
  <c r="AD50" i="14"/>
  <c r="I50" i="14"/>
  <c r="K50" i="14" s="1"/>
  <c r="W50" i="14" s="1"/>
  <c r="X50" i="14" s="1"/>
  <c r="Z50" i="14" s="1"/>
  <c r="AC50" i="14" s="1"/>
  <c r="AD49" i="14"/>
  <c r="I49" i="14"/>
  <c r="K49" i="14" s="1"/>
  <c r="W49" i="14" s="1"/>
  <c r="X49" i="14" s="1"/>
  <c r="Z49" i="14" s="1"/>
  <c r="AC49" i="14" s="1"/>
  <c r="AD48" i="14"/>
  <c r="I48" i="14"/>
  <c r="K48" i="14" s="1"/>
  <c r="W48" i="14" s="1"/>
  <c r="X48" i="14" s="1"/>
  <c r="Z48" i="14" s="1"/>
  <c r="AC48" i="14" s="1"/>
  <c r="AD47" i="14"/>
  <c r="I47" i="14"/>
  <c r="K47" i="14" s="1"/>
  <c r="W47" i="14" s="1"/>
  <c r="X47" i="14" s="1"/>
  <c r="Z47" i="14" s="1"/>
  <c r="AC47" i="14" s="1"/>
  <c r="AD46" i="14"/>
  <c r="I46" i="14"/>
  <c r="K46" i="14" s="1"/>
  <c r="W46" i="14" s="1"/>
  <c r="X46" i="14" s="1"/>
  <c r="Z46" i="14" s="1"/>
  <c r="AC46" i="14" s="1"/>
  <c r="AD45" i="14"/>
  <c r="I45" i="14"/>
  <c r="K45" i="14" s="1"/>
  <c r="W45" i="14" s="1"/>
  <c r="X45" i="14" s="1"/>
  <c r="Z45" i="14" s="1"/>
  <c r="AC45" i="14" s="1"/>
  <c r="AF45" i="14" s="1"/>
  <c r="AD44" i="14"/>
  <c r="I44" i="14"/>
  <c r="K44" i="14" s="1"/>
  <c r="W44" i="14" s="1"/>
  <c r="X44" i="14" s="1"/>
  <c r="Z44" i="14" s="1"/>
  <c r="AC44" i="14" s="1"/>
  <c r="AD43" i="14"/>
  <c r="I43" i="14"/>
  <c r="K43" i="14" s="1"/>
  <c r="W43" i="14" s="1"/>
  <c r="X43" i="14" s="1"/>
  <c r="Z43" i="14" s="1"/>
  <c r="AD26" i="14"/>
  <c r="I26" i="14"/>
  <c r="K26" i="14" s="1"/>
  <c r="W26" i="14" s="1"/>
  <c r="X26" i="14" s="1"/>
  <c r="Z26" i="14" s="1"/>
  <c r="AC26" i="14" s="1"/>
  <c r="AD25" i="14"/>
  <c r="I25" i="14"/>
  <c r="K25" i="14" s="1"/>
  <c r="W25" i="14" s="1"/>
  <c r="X25" i="14" s="1"/>
  <c r="Z25" i="14" s="1"/>
  <c r="AC25" i="14" s="1"/>
  <c r="AD24" i="14"/>
  <c r="I24" i="14"/>
  <c r="K24" i="14" s="1"/>
  <c r="W24" i="14" s="1"/>
  <c r="X24" i="14" s="1"/>
  <c r="Z24" i="14" s="1"/>
  <c r="AC24" i="14" s="1"/>
  <c r="AD23" i="14"/>
  <c r="I23" i="14"/>
  <c r="K23" i="14" s="1"/>
  <c r="W23" i="14" s="1"/>
  <c r="X23" i="14" s="1"/>
  <c r="Z23" i="14" s="1"/>
  <c r="AC23" i="14" s="1"/>
  <c r="AD22" i="14"/>
  <c r="I22" i="14"/>
  <c r="K22" i="14" s="1"/>
  <c r="W22" i="14" s="1"/>
  <c r="X22" i="14" s="1"/>
  <c r="Z22" i="14" s="1"/>
  <c r="AC22" i="14" s="1"/>
  <c r="AD21" i="14"/>
  <c r="I21" i="14"/>
  <c r="K21" i="14" s="1"/>
  <c r="W21" i="14" s="1"/>
  <c r="X21" i="14" s="1"/>
  <c r="Z21" i="14" s="1"/>
  <c r="AC21" i="14" s="1"/>
  <c r="AD20" i="14"/>
  <c r="I20" i="14"/>
  <c r="K20" i="14" s="1"/>
  <c r="W20" i="14" s="1"/>
  <c r="X20" i="14" s="1"/>
  <c r="Z20" i="14" s="1"/>
  <c r="AC20" i="14" s="1"/>
  <c r="AD19" i="14"/>
  <c r="I19" i="14"/>
  <c r="K19" i="14" s="1"/>
  <c r="W19" i="14" s="1"/>
  <c r="X19" i="14" s="1"/>
  <c r="Z19" i="14" s="1"/>
  <c r="AC19" i="14" s="1"/>
  <c r="AD18" i="14"/>
  <c r="I18" i="14"/>
  <c r="K18" i="14" s="1"/>
  <c r="W18" i="14" s="1"/>
  <c r="X18" i="14" s="1"/>
  <c r="Z18" i="14" s="1"/>
  <c r="AC18" i="14" s="1"/>
  <c r="AD17" i="14"/>
  <c r="I17" i="14"/>
  <c r="K17" i="14" s="1"/>
  <c r="W17" i="14" s="1"/>
  <c r="X17" i="14" s="1"/>
  <c r="Z17" i="14" s="1"/>
  <c r="AC17" i="14" s="1"/>
  <c r="AD16" i="14"/>
  <c r="I16" i="14"/>
  <c r="K16" i="14" s="1"/>
  <c r="W16" i="14" s="1"/>
  <c r="X16" i="14" s="1"/>
  <c r="Z16" i="14" s="1"/>
  <c r="AC16" i="14" s="1"/>
  <c r="AD15" i="14"/>
  <c r="I15" i="14"/>
  <c r="K15" i="14" s="1"/>
  <c r="W15" i="14" s="1"/>
  <c r="X15" i="14" s="1"/>
  <c r="Z15" i="14" s="1"/>
  <c r="AC15" i="14" s="1"/>
  <c r="AD14" i="14"/>
  <c r="I14" i="14"/>
  <c r="K14" i="14" s="1"/>
  <c r="W14" i="14" s="1"/>
  <c r="X14" i="14" s="1"/>
  <c r="Z14" i="14" s="1"/>
  <c r="AC14" i="14" s="1"/>
  <c r="AD13" i="14"/>
  <c r="I13" i="14"/>
  <c r="K13" i="14" s="1"/>
  <c r="W13" i="14" s="1"/>
  <c r="X13" i="14" s="1"/>
  <c r="Z13" i="14" s="1"/>
  <c r="AC13" i="14" s="1"/>
  <c r="AD12" i="14"/>
  <c r="I12" i="14"/>
  <c r="K12" i="14" s="1"/>
  <c r="W12" i="14" s="1"/>
  <c r="X12" i="14" s="1"/>
  <c r="Z12" i="14" s="1"/>
  <c r="AC12" i="14" s="1"/>
  <c r="AD11" i="14"/>
  <c r="I11" i="14"/>
  <c r="K11" i="14" s="1"/>
  <c r="W11" i="14" s="1"/>
  <c r="X11" i="14" s="1"/>
  <c r="Z11" i="14" s="1"/>
  <c r="AC11" i="14" s="1"/>
  <c r="AD10" i="14"/>
  <c r="I10" i="14"/>
  <c r="K10" i="14" s="1"/>
  <c r="W10" i="14" s="1"/>
  <c r="X10" i="14" s="1"/>
  <c r="Z10" i="14" s="1"/>
  <c r="AC10" i="14" s="1"/>
  <c r="AD9" i="14"/>
  <c r="I9" i="14"/>
  <c r="K9" i="14" s="1"/>
  <c r="W9" i="14" s="1"/>
  <c r="X9" i="14" s="1"/>
  <c r="Z9" i="14" s="1"/>
  <c r="W584" i="14" l="1"/>
  <c r="X584" i="14" s="1"/>
  <c r="Z584" i="14" s="1"/>
  <c r="AC584" i="14" s="1"/>
  <c r="AG54" i="14"/>
  <c r="U567" i="14"/>
  <c r="V567" i="14" s="1"/>
  <c r="W567" i="14" s="1"/>
  <c r="X567" i="14" s="1"/>
  <c r="Z567" i="14" s="1"/>
  <c r="AC567" i="14" s="1"/>
  <c r="U586" i="14"/>
  <c r="V586" i="14" s="1"/>
  <c r="W586" i="14" s="1"/>
  <c r="X586" i="14" s="1"/>
  <c r="Z586" i="14" s="1"/>
  <c r="AC586" i="14" s="1"/>
  <c r="V565" i="14"/>
  <c r="W565" i="14" s="1"/>
  <c r="X565" i="14" s="1"/>
  <c r="Z565" i="14" s="1"/>
  <c r="AC565" i="14" s="1"/>
  <c r="V588" i="14"/>
  <c r="W588" i="14" s="1"/>
  <c r="X588" i="14" s="1"/>
  <c r="Z588" i="14" s="1"/>
  <c r="AC588" i="14" s="1"/>
  <c r="AE14" i="14"/>
  <c r="AG14" i="14" s="1"/>
  <c r="AF14" i="14"/>
  <c r="AF22" i="14"/>
  <c r="AE22" i="14"/>
  <c r="AG22" i="14" s="1"/>
  <c r="AF26" i="14"/>
  <c r="AE26" i="14"/>
  <c r="AF20" i="14"/>
  <c r="AE20" i="14"/>
  <c r="AG20" i="14" s="1"/>
  <c r="AF24" i="14"/>
  <c r="AE24" i="14"/>
  <c r="AE52" i="14"/>
  <c r="AG52" i="14" s="1"/>
  <c r="AF52" i="14"/>
  <c r="AE10" i="14"/>
  <c r="AG10" i="14" s="1"/>
  <c r="AF10" i="14"/>
  <c r="AE18" i="14"/>
  <c r="AG18" i="14" s="1"/>
  <c r="AF18" i="14"/>
  <c r="AE25" i="14"/>
  <c r="AG25" i="14" s="1"/>
  <c r="AF25" i="14"/>
  <c r="AC43" i="14"/>
  <c r="Z61" i="14"/>
  <c r="AC9" i="14"/>
  <c r="Z28" i="14"/>
  <c r="AF13" i="14"/>
  <c r="AE13" i="14"/>
  <c r="AF19" i="14"/>
  <c r="AE19" i="14"/>
  <c r="AG19" i="14" s="1"/>
  <c r="AE44" i="14"/>
  <c r="AG44" i="14" s="1"/>
  <c r="AF44" i="14"/>
  <c r="AE46" i="14"/>
  <c r="AG46" i="14" s="1"/>
  <c r="AF46" i="14"/>
  <c r="AF47" i="14"/>
  <c r="AE47" i="14"/>
  <c r="AE12" i="14"/>
  <c r="AG12" i="14" s="1"/>
  <c r="AF12" i="14"/>
  <c r="AE16" i="14"/>
  <c r="AG16" i="14" s="1"/>
  <c r="AF16" i="14"/>
  <c r="AF21" i="14"/>
  <c r="AE21" i="14"/>
  <c r="AG21" i="14" s="1"/>
  <c r="AE48" i="14"/>
  <c r="AG48" i="14" s="1"/>
  <c r="AF48" i="14"/>
  <c r="AF11" i="14"/>
  <c r="AE11" i="14"/>
  <c r="AG11" i="14" s="1"/>
  <c r="AF15" i="14"/>
  <c r="AE15" i="14"/>
  <c r="AF17" i="14"/>
  <c r="AE17" i="14"/>
  <c r="AG17" i="14" s="1"/>
  <c r="AF23" i="14"/>
  <c r="AE23" i="14"/>
  <c r="AG23" i="14" s="1"/>
  <c r="AG13" i="14"/>
  <c r="AG15" i="14"/>
  <c r="AE50" i="14"/>
  <c r="AG50" i="14" s="1"/>
  <c r="AF50" i="14"/>
  <c r="AE45" i="14"/>
  <c r="AG45" i="14" s="1"/>
  <c r="AG47" i="14"/>
  <c r="AF49" i="14"/>
  <c r="AE49" i="14"/>
  <c r="AG49" i="14" s="1"/>
  <c r="AF51" i="14"/>
  <c r="AE51" i="14"/>
  <c r="AG51" i="14" s="1"/>
  <c r="AF53" i="14"/>
  <c r="AE53" i="14"/>
  <c r="AG24" i="14"/>
  <c r="AG53" i="14"/>
  <c r="Z171" i="14"/>
  <c r="AC152" i="14"/>
  <c r="AC171" i="14" s="1"/>
  <c r="AG26" i="14"/>
  <c r="AD61" i="14"/>
  <c r="AF93" i="14"/>
  <c r="AF94" i="14" s="1"/>
  <c r="AE93" i="14"/>
  <c r="AE94" i="14" s="1"/>
  <c r="Z130" i="14"/>
  <c r="AC111" i="14"/>
  <c r="AC130" i="14" s="1"/>
  <c r="AC194" i="14"/>
  <c r="AC213" i="14" s="1"/>
  <c r="Z213" i="14"/>
  <c r="AF55" i="14"/>
  <c r="AG55" i="14"/>
  <c r="Z94" i="14"/>
  <c r="AC77" i="14"/>
  <c r="AC94" i="14" s="1"/>
  <c r="Z376" i="14"/>
  <c r="AC357" i="14"/>
  <c r="AC376" i="14" s="1"/>
  <c r="Z335" i="14"/>
  <c r="AC316" i="14"/>
  <c r="AC335" i="14" s="1"/>
  <c r="Z294" i="14"/>
  <c r="AC275" i="14"/>
  <c r="AC294" i="14" s="1"/>
  <c r="Z417" i="14"/>
  <c r="AC398" i="14"/>
  <c r="AC417" i="14" s="1"/>
  <c r="AC257" i="14"/>
  <c r="Z257" i="14"/>
  <c r="Z458" i="14"/>
  <c r="AC439" i="14"/>
  <c r="AC458" i="14" s="1"/>
  <c r="AC480" i="14"/>
  <c r="AC499" i="14" s="1"/>
  <c r="Z499" i="14"/>
  <c r="W562" i="14"/>
  <c r="X562" i="14" s="1"/>
  <c r="Z562" i="14" s="1"/>
  <c r="W566" i="14"/>
  <c r="X566" i="14" s="1"/>
  <c r="Z566" i="14" s="1"/>
  <c r="AC566" i="14" s="1"/>
  <c r="AC521" i="14"/>
  <c r="AC540" i="14" s="1"/>
  <c r="Z540" i="14"/>
  <c r="AC583" i="14"/>
  <c r="Z642" i="14"/>
  <c r="W563" i="14"/>
  <c r="X563" i="14" s="1"/>
  <c r="Z563" i="14" s="1"/>
  <c r="AC563" i="14" s="1"/>
  <c r="V564" i="14"/>
  <c r="W564" i="14" s="1"/>
  <c r="X564" i="14" s="1"/>
  <c r="Z564" i="14" s="1"/>
  <c r="AC564" i="14" s="1"/>
  <c r="U564" i="14"/>
  <c r="U585" i="14"/>
  <c r="V585" i="14" s="1"/>
  <c r="W585" i="14" s="1"/>
  <c r="X585" i="14" s="1"/>
  <c r="Z585" i="14" s="1"/>
  <c r="U589" i="14"/>
  <c r="V589" i="14" s="1"/>
  <c r="W589" i="14" s="1"/>
  <c r="X589" i="14" s="1"/>
  <c r="Z589" i="14" s="1"/>
  <c r="AC589" i="14" s="1"/>
  <c r="Q1195" i="5"/>
  <c r="Q1194" i="5"/>
  <c r="AG93" i="14" l="1"/>
  <c r="AG94" i="14" s="1"/>
  <c r="AC585" i="14"/>
  <c r="AC602" i="14" s="1"/>
  <c r="Z602" i="14"/>
  <c r="AF9" i="14"/>
  <c r="AC28" i="14"/>
  <c r="AE9" i="14"/>
  <c r="AG9" i="14" s="1"/>
  <c r="Z568" i="14"/>
  <c r="AC562" i="14"/>
  <c r="AC568" i="14" s="1"/>
  <c r="AF43" i="14"/>
  <c r="AF61" i="14" s="1"/>
  <c r="AC61" i="14"/>
  <c r="AE43" i="14"/>
  <c r="S100" i="13"/>
  <c r="U100" i="13" s="1"/>
  <c r="S99" i="13"/>
  <c r="U99" i="13" s="1"/>
  <c r="K99" i="13"/>
  <c r="S98" i="13"/>
  <c r="U98" i="13" s="1"/>
  <c r="I98" i="13"/>
  <c r="K98" i="13" s="1"/>
  <c r="V98" i="13" l="1"/>
  <c r="AE61" i="14"/>
  <c r="AG43" i="14"/>
  <c r="AG61" i="14" s="1"/>
  <c r="AH640" i="14"/>
  <c r="AH642" i="14" s="1"/>
  <c r="AH645" i="14" s="1"/>
  <c r="V99" i="13"/>
  <c r="W99" i="13" s="1"/>
  <c r="X99" i="13" s="1"/>
  <c r="Z99" i="13" s="1"/>
  <c r="AB99" i="13" s="1"/>
  <c r="W98" i="13"/>
  <c r="X98" i="13" s="1"/>
  <c r="V100" i="13"/>
  <c r="W100" i="13" s="1"/>
  <c r="X100" i="13" s="1"/>
  <c r="Z100" i="13" s="1"/>
  <c r="AB100" i="13" s="1"/>
  <c r="AC100" i="13" l="1"/>
  <c r="K277" i="12"/>
  <c r="K276" i="12"/>
  <c r="I275" i="12"/>
  <c r="U1041" i="6"/>
  <c r="V1041" i="6" s="1"/>
  <c r="W1041" i="6" s="1"/>
  <c r="I1043" i="6"/>
  <c r="K1043" i="6" s="1"/>
  <c r="W1043" i="6" s="1"/>
  <c r="X1043" i="6" s="1"/>
  <c r="Z1043" i="6" s="1"/>
  <c r="AB1043" i="6" s="1"/>
  <c r="AB1041" i="6"/>
  <c r="I1041" i="6"/>
  <c r="K1041" i="6" s="1"/>
  <c r="W1042" i="6" s="1"/>
  <c r="X1042" i="6" s="1"/>
  <c r="Z1042" i="6" s="1"/>
  <c r="AB1042" i="6" s="1"/>
  <c r="AB1056" i="6" l="1"/>
  <c r="X1041" i="6"/>
  <c r="K205" i="10" l="1"/>
  <c r="I204" i="10"/>
  <c r="K204" i="10" s="1"/>
  <c r="S204" i="10"/>
  <c r="U204" i="10" s="1"/>
  <c r="AB204" i="10"/>
  <c r="P205" i="10"/>
  <c r="S205" i="10" s="1"/>
  <c r="U205" i="10" l="1"/>
  <c r="V205" i="10"/>
  <c r="W205" i="10" s="1"/>
  <c r="X205" i="10" s="1"/>
  <c r="Z205" i="10" s="1"/>
  <c r="AB205" i="10" s="1"/>
  <c r="V204" i="10"/>
  <c r="W204" i="10" s="1"/>
  <c r="X204" i="10" s="1"/>
  <c r="K140" i="10" l="1"/>
  <c r="K141" i="10"/>
  <c r="K142" i="10"/>
  <c r="P140" i="10"/>
  <c r="S140" i="10" s="1"/>
  <c r="AB140" i="10"/>
  <c r="P141" i="10"/>
  <c r="S141" i="10" s="1"/>
  <c r="P142" i="10"/>
  <c r="S142" i="10" s="1"/>
  <c r="H142" i="10" l="1"/>
  <c r="H140" i="10"/>
  <c r="H141" i="10"/>
  <c r="U141" i="10"/>
  <c r="V141" i="10" s="1"/>
  <c r="W141" i="10" s="1"/>
  <c r="X141" i="10" s="1"/>
  <c r="Z141" i="10" s="1"/>
  <c r="AB141" i="10" s="1"/>
  <c r="U140" i="10"/>
  <c r="V140" i="10" s="1"/>
  <c r="W140" i="10" s="1"/>
  <c r="X140" i="10" s="1"/>
  <c r="U142" i="10"/>
  <c r="V142" i="10" s="1"/>
  <c r="W142" i="10" s="1"/>
  <c r="X142" i="10" s="1"/>
  <c r="Z142" i="10" s="1"/>
  <c r="AB142" i="10" s="1"/>
  <c r="I114" i="10"/>
  <c r="K114" i="10"/>
  <c r="K113" i="10"/>
  <c r="I116" i="10"/>
  <c r="K116" i="10" s="1"/>
  <c r="I115" i="10"/>
  <c r="K115" i="10" s="1"/>
  <c r="P113" i="10"/>
  <c r="S113" i="10" s="1"/>
  <c r="AB107" i="10"/>
  <c r="P107" i="10"/>
  <c r="S107" i="10" s="1"/>
  <c r="K43" i="10"/>
  <c r="U113" i="10" l="1"/>
  <c r="V113" i="10" s="1"/>
  <c r="U107" i="10"/>
  <c r="V107" i="10"/>
  <c r="AD107" i="10"/>
  <c r="AE107" i="10" s="1"/>
  <c r="AF107" i="10" s="1"/>
  <c r="Q466" i="6"/>
  <c r="Q465" i="6"/>
  <c r="W113" i="10" l="1"/>
  <c r="X113" i="10" s="1"/>
  <c r="Z113" i="10" s="1"/>
  <c r="AB113" i="10" s="1"/>
  <c r="P105" i="5"/>
  <c r="J104" i="5" s="1"/>
  <c r="K104" i="5" s="1"/>
  <c r="I102" i="5"/>
  <c r="K102" i="5" s="1"/>
  <c r="S104" i="5"/>
  <c r="S179" i="4"/>
  <c r="U179" i="4" s="1"/>
  <c r="AB179" i="4"/>
  <c r="S180" i="4"/>
  <c r="U180" i="4" s="1"/>
  <c r="AB180" i="4"/>
  <c r="P181" i="4"/>
  <c r="S181" i="4" s="1"/>
  <c r="J103" i="5" l="1"/>
  <c r="K103" i="5" s="1"/>
  <c r="U104" i="5"/>
  <c r="V104" i="5" s="1"/>
  <c r="W104" i="5" s="1"/>
  <c r="X104" i="5" s="1"/>
  <c r="Z104" i="5" s="1"/>
  <c r="AB104" i="5" s="1"/>
  <c r="U181" i="4"/>
  <c r="V181" i="4" s="1"/>
  <c r="I3495" i="13" l="1"/>
  <c r="K3495" i="13" s="1"/>
  <c r="W3495" i="13" s="1"/>
  <c r="X3495" i="13" s="1"/>
  <c r="Z3495" i="13" s="1"/>
  <c r="AB3495" i="13" s="1"/>
  <c r="AB3507" i="13" s="1"/>
  <c r="I3468" i="13" l="1"/>
  <c r="K3468" i="13" s="1"/>
  <c r="W3468" i="13" s="1"/>
  <c r="X3468" i="13" s="1"/>
  <c r="Z3468" i="13" s="1"/>
  <c r="AB3468" i="13" s="1"/>
  <c r="I3467" i="13"/>
  <c r="K3467" i="13" s="1"/>
  <c r="W3467" i="13" s="1"/>
  <c r="X3467" i="13" s="1"/>
  <c r="Z3467" i="13" s="1"/>
  <c r="AB3467" i="13" s="1"/>
  <c r="I3466" i="13"/>
  <c r="K3466" i="13" s="1"/>
  <c r="W3466" i="13" s="1"/>
  <c r="X3466" i="13" s="1"/>
  <c r="Z3466" i="13" s="1"/>
  <c r="AB3466" i="13" s="1"/>
  <c r="I3437" i="13"/>
  <c r="K3437" i="13" s="1"/>
  <c r="W3437" i="13" s="1"/>
  <c r="X3437" i="13" s="1"/>
  <c r="Z3437" i="13" s="1"/>
  <c r="AB3437" i="13" s="1"/>
  <c r="AB3451" i="13" s="1"/>
  <c r="AB3480" i="13" l="1"/>
  <c r="I1183" i="2"/>
  <c r="K1183" i="2" s="1"/>
  <c r="U1183" i="2"/>
  <c r="P1183" i="2"/>
  <c r="S1183" i="2" s="1"/>
  <c r="V1183" i="2" s="1"/>
  <c r="AB1182" i="2"/>
  <c r="AD1181" i="2" s="1"/>
  <c r="AE1181" i="2" s="1"/>
  <c r="AF1181" i="2" s="1"/>
  <c r="P1182" i="2"/>
  <c r="S1182" i="2" s="1"/>
  <c r="I1182" i="2"/>
  <c r="K1182" i="2" s="1"/>
  <c r="W1183" i="2" l="1"/>
  <c r="X1183" i="2"/>
  <c r="Z1183" i="2" s="1"/>
  <c r="AB1183" i="2" s="1"/>
  <c r="AB1197" i="2" s="1"/>
  <c r="U1182" i="2"/>
  <c r="V1182" i="2" s="1"/>
  <c r="W1182" i="2" l="1"/>
  <c r="X1182" i="2" s="1"/>
  <c r="I3409" i="13"/>
  <c r="K3409" i="13" s="1"/>
  <c r="W3409" i="13" s="1"/>
  <c r="X3409" i="13" s="1"/>
  <c r="AB3409" i="13" s="1"/>
  <c r="I3410" i="13"/>
  <c r="K3410" i="13" s="1"/>
  <c r="W3410" i="13" s="1"/>
  <c r="X3410" i="13" s="1"/>
  <c r="I3408" i="13"/>
  <c r="K3408" i="13" s="1"/>
  <c r="W3408" i="13" s="1"/>
  <c r="AB3380" i="13"/>
  <c r="S3379" i="13"/>
  <c r="U3379" i="13" s="1"/>
  <c r="V3379" i="13" s="1"/>
  <c r="I3380" i="13"/>
  <c r="K3380" i="13" s="1"/>
  <c r="W3380" i="13" s="1"/>
  <c r="X3380" i="13" s="1"/>
  <c r="I3379" i="13"/>
  <c r="K3379" i="13" s="1"/>
  <c r="I3350" i="13"/>
  <c r="K3350" i="13" s="1"/>
  <c r="W3350" i="13" s="1"/>
  <c r="X3350" i="13" s="1"/>
  <c r="Z3350" i="13" s="1"/>
  <c r="AB3350" i="13" s="1"/>
  <c r="S1697" i="13"/>
  <c r="S1696" i="13"/>
  <c r="I1697" i="13"/>
  <c r="K1697" i="13" s="1"/>
  <c r="W1697" i="13" s="1"/>
  <c r="X1697" i="13" s="1"/>
  <c r="Z1697" i="13" s="1"/>
  <c r="AB1697" i="13" s="1"/>
  <c r="I1696" i="13"/>
  <c r="K1696" i="13" s="1"/>
  <c r="W1696" i="13" s="1"/>
  <c r="X1696" i="13" s="1"/>
  <c r="Z1696" i="13" s="1"/>
  <c r="AB1696" i="13" s="1"/>
  <c r="I3321" i="13"/>
  <c r="K3321" i="13" s="1"/>
  <c r="W3321" i="13" s="1"/>
  <c r="X3321" i="13" s="1"/>
  <c r="Z3321" i="13" s="1"/>
  <c r="AB3321" i="13" s="1"/>
  <c r="I3292" i="13"/>
  <c r="K3292" i="13" s="1"/>
  <c r="X3292" i="13" s="1"/>
  <c r="Z3292" i="13" s="1"/>
  <c r="AB3292" i="13" s="1"/>
  <c r="I3263" i="13"/>
  <c r="K3263" i="13" s="1"/>
  <c r="X3263" i="13" s="1"/>
  <c r="Z3263" i="13" s="1"/>
  <c r="AB3263" i="13" s="1"/>
  <c r="P3235" i="13"/>
  <c r="S3235" i="13" s="1"/>
  <c r="P3234" i="13"/>
  <c r="S3234" i="13" s="1"/>
  <c r="U3234" i="13" s="1"/>
  <c r="V3234" i="13" s="1"/>
  <c r="I3234" i="13"/>
  <c r="K3234" i="13" s="1"/>
  <c r="I3205" i="13"/>
  <c r="K3205" i="13" s="1"/>
  <c r="W3205" i="13" s="1"/>
  <c r="X3205" i="13" s="1"/>
  <c r="Z3205" i="13" s="1"/>
  <c r="AB3205" i="13" s="1"/>
  <c r="I3178" i="13"/>
  <c r="K3178" i="13" s="1"/>
  <c r="W3178" i="13" s="1"/>
  <c r="X3178" i="13" s="1"/>
  <c r="Z3178" i="13" s="1"/>
  <c r="AB3178" i="13" s="1"/>
  <c r="I3177" i="13"/>
  <c r="K3177" i="13" s="1"/>
  <c r="W3177" i="13" s="1"/>
  <c r="X3177" i="13" s="1"/>
  <c r="Z3177" i="13" s="1"/>
  <c r="AB3177" i="13" s="1"/>
  <c r="I3176" i="13"/>
  <c r="K3176" i="13" s="1"/>
  <c r="W3176" i="13" s="1"/>
  <c r="X3176" i="13" s="1"/>
  <c r="Z3176" i="13" s="1"/>
  <c r="AB3176" i="13" s="1"/>
  <c r="I3147" i="13"/>
  <c r="K3147" i="13" s="1"/>
  <c r="W3147" i="13" s="1"/>
  <c r="X3147" i="13" s="1"/>
  <c r="Z3147" i="13" s="1"/>
  <c r="AB3147" i="13" s="1"/>
  <c r="I3118" i="13"/>
  <c r="K3118" i="13" s="1"/>
  <c r="X3118" i="13" s="1"/>
  <c r="Z3118" i="13" s="1"/>
  <c r="AB3118" i="13" s="1"/>
  <c r="S3089" i="13"/>
  <c r="U3089" i="13" s="1"/>
  <c r="I3089" i="13"/>
  <c r="K3089" i="13" s="1"/>
  <c r="K3061" i="13"/>
  <c r="X3061" i="13" s="1"/>
  <c r="Z3061" i="13" s="1"/>
  <c r="AB3061" i="13" s="1"/>
  <c r="K3060" i="13"/>
  <c r="X3060" i="13" s="1"/>
  <c r="Z3060" i="13" s="1"/>
  <c r="AB3060" i="13" s="1"/>
  <c r="I3032" i="13"/>
  <c r="K3032" i="13" s="1"/>
  <c r="X3032" i="13" s="1"/>
  <c r="Z3032" i="13" s="1"/>
  <c r="AB3032" i="13" s="1"/>
  <c r="I3031" i="13"/>
  <c r="K3031" i="13" s="1"/>
  <c r="X3031" i="13" s="1"/>
  <c r="Z3031" i="13" s="1"/>
  <c r="AB3031" i="13" s="1"/>
  <c r="I3014" i="13"/>
  <c r="K3014" i="13" s="1"/>
  <c r="I3013" i="13"/>
  <c r="K3013" i="13" s="1"/>
  <c r="I3002" i="13"/>
  <c r="K3002" i="13" s="1"/>
  <c r="X3002" i="13" s="1"/>
  <c r="Z3002" i="13" s="1"/>
  <c r="AB3002" i="13" s="1"/>
  <c r="I2975" i="13"/>
  <c r="K2975" i="13" s="1"/>
  <c r="X2975" i="13" s="1"/>
  <c r="Z2975" i="13" s="1"/>
  <c r="AB2975" i="13" s="1"/>
  <c r="I2974" i="13"/>
  <c r="K2974" i="13" s="1"/>
  <c r="X2974" i="13" s="1"/>
  <c r="Z2974" i="13" s="1"/>
  <c r="AB2974" i="13" s="1"/>
  <c r="I2973" i="13"/>
  <c r="K2973" i="13" s="1"/>
  <c r="X2973" i="13" s="1"/>
  <c r="Z2973" i="13" s="1"/>
  <c r="AB2973" i="13" s="1"/>
  <c r="K2956" i="13"/>
  <c r="K2946" i="13"/>
  <c r="X2946" i="13" s="1"/>
  <c r="Z2946" i="13" s="1"/>
  <c r="AB2946" i="13" s="1"/>
  <c r="K2945" i="13"/>
  <c r="X2945" i="13" s="1"/>
  <c r="Z2945" i="13" s="1"/>
  <c r="AB2945" i="13" s="1"/>
  <c r="K2944" i="13"/>
  <c r="X2944" i="13" s="1"/>
  <c r="Z2944" i="13" s="1"/>
  <c r="AB2944" i="13" s="1"/>
  <c r="I2915" i="13"/>
  <c r="K2915" i="13" s="1"/>
  <c r="W2915" i="13" s="1"/>
  <c r="X2915" i="13" s="1"/>
  <c r="Z2915" i="13" s="1"/>
  <c r="AB2915" i="13" s="1"/>
  <c r="I2886" i="13"/>
  <c r="K2886" i="13" s="1"/>
  <c r="W2886" i="13" s="1"/>
  <c r="X2886" i="13" s="1"/>
  <c r="Z2886" i="13" s="1"/>
  <c r="AB2886" i="13" s="1"/>
  <c r="I2857" i="13"/>
  <c r="K2857" i="13" s="1"/>
  <c r="W2857" i="13" s="1"/>
  <c r="X2857" i="13" s="1"/>
  <c r="Z2857" i="13" s="1"/>
  <c r="AB2857" i="13" s="1"/>
  <c r="AB2871" i="13" s="1"/>
  <c r="I2828" i="13"/>
  <c r="K2828" i="13" s="1"/>
  <c r="W2828" i="13" s="1"/>
  <c r="X2828" i="13" s="1"/>
  <c r="Z2828" i="13" s="1"/>
  <c r="AB2828" i="13" s="1"/>
  <c r="I2799" i="13"/>
  <c r="K2799" i="13" s="1"/>
  <c r="W2799" i="13" s="1"/>
  <c r="X2799" i="13" s="1"/>
  <c r="Z2799" i="13" s="1"/>
  <c r="AB2799" i="13" s="1"/>
  <c r="I2770" i="13"/>
  <c r="K2770" i="13" s="1"/>
  <c r="W2770" i="13" s="1"/>
  <c r="X2770" i="13" s="1"/>
  <c r="Z2770" i="13" s="1"/>
  <c r="AB2770" i="13" s="1"/>
  <c r="AB2743" i="13"/>
  <c r="I2743" i="13"/>
  <c r="K2743" i="13" s="1"/>
  <c r="W2743" i="13" s="1"/>
  <c r="X2743" i="13" s="1"/>
  <c r="S2742" i="13"/>
  <c r="I2742" i="13"/>
  <c r="K2742" i="13" s="1"/>
  <c r="AB2741" i="13"/>
  <c r="S2741" i="13"/>
  <c r="I2741" i="13"/>
  <c r="K2741" i="13" s="1"/>
  <c r="I2712" i="13"/>
  <c r="K2712" i="13" s="1"/>
  <c r="W2712" i="13" s="1"/>
  <c r="X2712" i="13" s="1"/>
  <c r="Z2712" i="13" s="1"/>
  <c r="AB2712" i="13" s="1"/>
  <c r="I2684" i="13"/>
  <c r="K2684" i="13" s="1"/>
  <c r="W2684" i="13" s="1"/>
  <c r="X2684" i="13" s="1"/>
  <c r="Z2684" i="13" s="1"/>
  <c r="AB2684" i="13" s="1"/>
  <c r="I2683" i="13"/>
  <c r="K2683" i="13" s="1"/>
  <c r="W2683" i="13" s="1"/>
  <c r="X2683" i="13" s="1"/>
  <c r="Z2683" i="13" s="1"/>
  <c r="AB2683" i="13" s="1"/>
  <c r="I2656" i="13"/>
  <c r="K2656" i="13" s="1"/>
  <c r="W2656" i="13" s="1"/>
  <c r="X2656" i="13" s="1"/>
  <c r="Z2656" i="13" s="1"/>
  <c r="AB2656" i="13" s="1"/>
  <c r="I2655" i="13"/>
  <c r="K2655" i="13" s="1"/>
  <c r="W2655" i="13" s="1"/>
  <c r="X2655" i="13" s="1"/>
  <c r="Z2655" i="13" s="1"/>
  <c r="AB2655" i="13" s="1"/>
  <c r="I2654" i="13"/>
  <c r="K2654" i="13" s="1"/>
  <c r="W2654" i="13" s="1"/>
  <c r="X2654" i="13" s="1"/>
  <c r="Z2654" i="13" s="1"/>
  <c r="AB2654" i="13" s="1"/>
  <c r="I2625" i="13"/>
  <c r="K2625" i="13" s="1"/>
  <c r="W2625" i="13" s="1"/>
  <c r="X2625" i="13" s="1"/>
  <c r="Z2625" i="13" s="1"/>
  <c r="AB2625" i="13" s="1"/>
  <c r="I2596" i="13"/>
  <c r="K2596" i="13" s="1"/>
  <c r="W2596" i="13" s="1"/>
  <c r="X2596" i="13" s="1"/>
  <c r="Z2596" i="13" s="1"/>
  <c r="AB2596" i="13" s="1"/>
  <c r="I2567" i="13"/>
  <c r="K2567" i="13" s="1"/>
  <c r="W2567" i="13" s="1"/>
  <c r="X2567" i="13" s="1"/>
  <c r="Z2567" i="13" s="1"/>
  <c r="AB2567" i="13" s="1"/>
  <c r="I2538" i="13"/>
  <c r="K2538" i="13" s="1"/>
  <c r="W2538" i="13" s="1"/>
  <c r="X2538" i="13" s="1"/>
  <c r="Z2538" i="13" s="1"/>
  <c r="AB2538" i="13" s="1"/>
  <c r="AB2552" i="13" s="1"/>
  <c r="I2512" i="13"/>
  <c r="K2512" i="13" s="1"/>
  <c r="W2512" i="13" s="1"/>
  <c r="X2512" i="13" s="1"/>
  <c r="Z2512" i="13" s="1"/>
  <c r="AB2512" i="13" s="1"/>
  <c r="I2511" i="13"/>
  <c r="K2511" i="13" s="1"/>
  <c r="W2511" i="13" s="1"/>
  <c r="X2511" i="13" s="1"/>
  <c r="Z2511" i="13" s="1"/>
  <c r="AB2511" i="13" s="1"/>
  <c r="I2510" i="13"/>
  <c r="K2510" i="13" s="1"/>
  <c r="W2510" i="13" s="1"/>
  <c r="X2510" i="13" s="1"/>
  <c r="Z2510" i="13" s="1"/>
  <c r="AB2510" i="13" s="1"/>
  <c r="I2509" i="13"/>
  <c r="K2509" i="13" s="1"/>
  <c r="W2509" i="13" s="1"/>
  <c r="X2509" i="13" s="1"/>
  <c r="Z2509" i="13" s="1"/>
  <c r="AB2509" i="13" s="1"/>
  <c r="I2480" i="13"/>
  <c r="K2480" i="13" s="1"/>
  <c r="W2480" i="13" s="1"/>
  <c r="X2480" i="13" s="1"/>
  <c r="Z2480" i="13" s="1"/>
  <c r="AB2480" i="13" s="1"/>
  <c r="I2451" i="13"/>
  <c r="K2451" i="13" s="1"/>
  <c r="W2451" i="13" s="1"/>
  <c r="X2451" i="13" s="1"/>
  <c r="Z2451" i="13" s="1"/>
  <c r="AB2451" i="13" s="1"/>
  <c r="I2422" i="13"/>
  <c r="K2422" i="13" s="1"/>
  <c r="W2422" i="13" s="1"/>
  <c r="X2422" i="13" s="1"/>
  <c r="Z2422" i="13" s="1"/>
  <c r="AB2422" i="13" s="1"/>
  <c r="AB2436" i="13" s="1"/>
  <c r="S2396" i="13"/>
  <c r="I2396" i="13"/>
  <c r="K2396" i="13" s="1"/>
  <c r="AB2395" i="13"/>
  <c r="S2395" i="13"/>
  <c r="I2395" i="13"/>
  <c r="K2395" i="13" s="1"/>
  <c r="S2394" i="13"/>
  <c r="U2394" i="13" s="1"/>
  <c r="V2394" i="13" s="1"/>
  <c r="I2394" i="13"/>
  <c r="K2394" i="13" s="1"/>
  <c r="AB2393" i="13"/>
  <c r="I2393" i="13"/>
  <c r="K2393" i="13" s="1"/>
  <c r="W2393" i="13" s="1"/>
  <c r="X2393" i="13" s="1"/>
  <c r="I2364" i="13"/>
  <c r="K2364" i="13" s="1"/>
  <c r="W2364" i="13" s="1"/>
  <c r="X2364" i="13" s="1"/>
  <c r="Z2364" i="13" s="1"/>
  <c r="AB2364" i="13" s="1"/>
  <c r="I2336" i="13"/>
  <c r="K2336" i="13" s="1"/>
  <c r="W2336" i="13" s="1"/>
  <c r="X2336" i="13" s="1"/>
  <c r="Z2336" i="13" s="1"/>
  <c r="AB2336" i="13" s="1"/>
  <c r="I2335" i="13"/>
  <c r="K2335" i="13" s="1"/>
  <c r="W2335" i="13" s="1"/>
  <c r="X2335" i="13" s="1"/>
  <c r="Z2335" i="13" s="1"/>
  <c r="AB2335" i="13" s="1"/>
  <c r="I2306" i="13"/>
  <c r="K2306" i="13" s="1"/>
  <c r="W2306" i="13" s="1"/>
  <c r="X2306" i="13" s="1"/>
  <c r="Z2306" i="13" s="1"/>
  <c r="AB2306" i="13" s="1"/>
  <c r="I2279" i="13"/>
  <c r="K2279" i="13" s="1"/>
  <c r="W2279" i="13" s="1"/>
  <c r="X2279" i="13" s="1"/>
  <c r="Z2279" i="13" s="1"/>
  <c r="AB2279" i="13" s="1"/>
  <c r="I2278" i="13"/>
  <c r="K2278" i="13" s="1"/>
  <c r="W2278" i="13" s="1"/>
  <c r="X2278" i="13" s="1"/>
  <c r="Z2278" i="13" s="1"/>
  <c r="AB2278" i="13" s="1"/>
  <c r="I2277" i="13"/>
  <c r="K2277" i="13" s="1"/>
  <c r="W2277" i="13" s="1"/>
  <c r="X2277" i="13" s="1"/>
  <c r="Z2277" i="13" s="1"/>
  <c r="AB2277" i="13" s="1"/>
  <c r="I2248" i="13"/>
  <c r="K2248" i="13" s="1"/>
  <c r="W2248" i="13" s="1"/>
  <c r="X2248" i="13" s="1"/>
  <c r="Z2248" i="13" s="1"/>
  <c r="AB2248" i="13" s="1"/>
  <c r="I2219" i="13"/>
  <c r="K2219" i="13" s="1"/>
  <c r="W2219" i="13" s="1"/>
  <c r="X2219" i="13" s="1"/>
  <c r="Z2219" i="13" s="1"/>
  <c r="AB2219" i="13" s="1"/>
  <c r="I2190" i="13"/>
  <c r="K2190" i="13" s="1"/>
  <c r="W2190" i="13" s="1"/>
  <c r="X2190" i="13" s="1"/>
  <c r="Z2190" i="13" s="1"/>
  <c r="AB2190" i="13" s="1"/>
  <c r="I2161" i="13"/>
  <c r="K2161" i="13" s="1"/>
  <c r="W2161" i="13" s="1"/>
  <c r="X2161" i="13" s="1"/>
  <c r="Z2161" i="13" s="1"/>
  <c r="AB2161" i="13" s="1"/>
  <c r="I2133" i="13"/>
  <c r="K2133" i="13" s="1"/>
  <c r="W2133" i="13" s="1"/>
  <c r="X2133" i="13" s="1"/>
  <c r="Z2133" i="13" s="1"/>
  <c r="AB2133" i="13" s="1"/>
  <c r="I2132" i="13"/>
  <c r="K2132" i="13" s="1"/>
  <c r="W2132" i="13" s="1"/>
  <c r="X2132" i="13" s="1"/>
  <c r="Z2132" i="13" s="1"/>
  <c r="AB2132" i="13" s="1"/>
  <c r="I2104" i="13"/>
  <c r="K2104" i="13" s="1"/>
  <c r="W2104" i="13" s="1"/>
  <c r="X2104" i="13" s="1"/>
  <c r="Z2104" i="13" s="1"/>
  <c r="AB2104" i="13" s="1"/>
  <c r="I2103" i="13"/>
  <c r="K2103" i="13" s="1"/>
  <c r="W2103" i="13" s="1"/>
  <c r="X2103" i="13" s="1"/>
  <c r="Z2103" i="13" s="1"/>
  <c r="AB2103" i="13" s="1"/>
  <c r="I2074" i="13"/>
  <c r="K2074" i="13" s="1"/>
  <c r="W2074" i="13" s="1"/>
  <c r="X2074" i="13" s="1"/>
  <c r="Z2074" i="13" s="1"/>
  <c r="AB2074" i="13" s="1"/>
  <c r="I2046" i="13"/>
  <c r="K2046" i="13" s="1"/>
  <c r="W2046" i="13" s="1"/>
  <c r="X2046" i="13" s="1"/>
  <c r="Z2046" i="13" s="1"/>
  <c r="AB2046" i="13" s="1"/>
  <c r="I2045" i="13"/>
  <c r="K2045" i="13" s="1"/>
  <c r="W2045" i="13" s="1"/>
  <c r="X2045" i="13" s="1"/>
  <c r="Z2045" i="13" s="1"/>
  <c r="AB2045" i="13" s="1"/>
  <c r="I2016" i="13"/>
  <c r="K2016" i="13" s="1"/>
  <c r="W2016" i="13" s="1"/>
  <c r="X2016" i="13" s="1"/>
  <c r="Z2016" i="13" s="1"/>
  <c r="AB2016" i="13" s="1"/>
  <c r="I1987" i="13"/>
  <c r="K1987" i="13" s="1"/>
  <c r="W1987" i="13" s="1"/>
  <c r="X1987" i="13" s="1"/>
  <c r="Z1987" i="13" s="1"/>
  <c r="AB1987" i="13" s="1"/>
  <c r="I1958" i="13"/>
  <c r="K1958" i="13" s="1"/>
  <c r="W1958" i="13" s="1"/>
  <c r="X1958" i="13" s="1"/>
  <c r="Z1958" i="13" s="1"/>
  <c r="AB1958" i="13" s="1"/>
  <c r="K1933" i="13"/>
  <c r="W1933" i="13" s="1"/>
  <c r="X1933" i="13" s="1"/>
  <c r="Z1933" i="13" s="1"/>
  <c r="AB1933" i="13" s="1"/>
  <c r="S1932" i="13"/>
  <c r="U1932" i="13" s="1"/>
  <c r="K1932" i="13"/>
  <c r="K1931" i="13"/>
  <c r="W1931" i="13" s="1"/>
  <c r="X1931" i="13" s="1"/>
  <c r="Z1931" i="13" s="1"/>
  <c r="AB1931" i="13" s="1"/>
  <c r="S1930" i="13"/>
  <c r="K1930" i="13"/>
  <c r="K1929" i="13"/>
  <c r="W1929" i="13" s="1"/>
  <c r="X1929" i="13" s="1"/>
  <c r="Z1929" i="13" s="1"/>
  <c r="AB1929" i="13" s="1"/>
  <c r="AB1901" i="13"/>
  <c r="I1901" i="13"/>
  <c r="K1901" i="13" s="1"/>
  <c r="W1901" i="13" s="1"/>
  <c r="X1901" i="13" s="1"/>
  <c r="I1900" i="13"/>
  <c r="K1900" i="13" s="1"/>
  <c r="W1900" i="13" s="1"/>
  <c r="X1900" i="13" s="1"/>
  <c r="Z1900" i="13" s="1"/>
  <c r="AB1900" i="13" s="1"/>
  <c r="I1873" i="13"/>
  <c r="K1873" i="13" s="1"/>
  <c r="W1873" i="13" s="1"/>
  <c r="X1873" i="13" s="1"/>
  <c r="Z1873" i="13" s="1"/>
  <c r="AB1873" i="13" s="1"/>
  <c r="I1872" i="13"/>
  <c r="K1872" i="13" s="1"/>
  <c r="W1872" i="13" s="1"/>
  <c r="X1872" i="13" s="1"/>
  <c r="Z1872" i="13" s="1"/>
  <c r="AB1872" i="13" s="1"/>
  <c r="I1871" i="13"/>
  <c r="K1871" i="13" s="1"/>
  <c r="W1871" i="13" s="1"/>
  <c r="X1871" i="13" s="1"/>
  <c r="Z1871" i="13" s="1"/>
  <c r="AB1871" i="13" s="1"/>
  <c r="I1842" i="13"/>
  <c r="K1842" i="13" s="1"/>
  <c r="W1842" i="13" s="1"/>
  <c r="X1842" i="13" s="1"/>
  <c r="Z1842" i="13" s="1"/>
  <c r="AB1842" i="13" s="1"/>
  <c r="I1813" i="13"/>
  <c r="K1813" i="13" s="1"/>
  <c r="W1813" i="13" s="1"/>
  <c r="X1813" i="13" s="1"/>
  <c r="Z1813" i="13" s="1"/>
  <c r="AB1813" i="13" s="1"/>
  <c r="I1784" i="13"/>
  <c r="K1784" i="13" s="1"/>
  <c r="W1784" i="13" s="1"/>
  <c r="X1784" i="13" s="1"/>
  <c r="Z1784" i="13" s="1"/>
  <c r="AB1784" i="13" s="1"/>
  <c r="I1783" i="13"/>
  <c r="K1783" i="13" s="1"/>
  <c r="W1783" i="13" s="1"/>
  <c r="X1783" i="13" s="1"/>
  <c r="Z1783" i="13" s="1"/>
  <c r="AB1783" i="13" s="1"/>
  <c r="I1755" i="13"/>
  <c r="K1755" i="13" s="1"/>
  <c r="W1755" i="13" s="1"/>
  <c r="X1755" i="13" s="1"/>
  <c r="Z1755" i="13" s="1"/>
  <c r="AB1755" i="13" s="1"/>
  <c r="I1754" i="13"/>
  <c r="K1754" i="13" s="1"/>
  <c r="W1754" i="13" s="1"/>
  <c r="X1754" i="13" s="1"/>
  <c r="Z1754" i="13" s="1"/>
  <c r="AB1754" i="13" s="1"/>
  <c r="I1731" i="13"/>
  <c r="K1731" i="13" s="1"/>
  <c r="W1731" i="13" s="1"/>
  <c r="X1731" i="13" s="1"/>
  <c r="Z1731" i="13" s="1"/>
  <c r="AB1731" i="13" s="1"/>
  <c r="I1730" i="13"/>
  <c r="K1730" i="13" s="1"/>
  <c r="W1730" i="13" s="1"/>
  <c r="X1730" i="13" s="1"/>
  <c r="Z1730" i="13" s="1"/>
  <c r="AB1730" i="13" s="1"/>
  <c r="I1729" i="13"/>
  <c r="K1729" i="13" s="1"/>
  <c r="W1729" i="13" s="1"/>
  <c r="X1729" i="13" s="1"/>
  <c r="Z1729" i="13" s="1"/>
  <c r="AB1729" i="13" s="1"/>
  <c r="I1728" i="13"/>
  <c r="K1728" i="13" s="1"/>
  <c r="W1728" i="13" s="1"/>
  <c r="X1728" i="13" s="1"/>
  <c r="Z1728" i="13" s="1"/>
  <c r="AB1728" i="13" s="1"/>
  <c r="I1727" i="13"/>
  <c r="K1727" i="13" s="1"/>
  <c r="W1727" i="13" s="1"/>
  <c r="X1727" i="13" s="1"/>
  <c r="Z1727" i="13" s="1"/>
  <c r="AB1727" i="13" s="1"/>
  <c r="I1726" i="13"/>
  <c r="K1726" i="13" s="1"/>
  <c r="W1726" i="13" s="1"/>
  <c r="X1726" i="13" s="1"/>
  <c r="Z1726" i="13" s="1"/>
  <c r="AB1726" i="13" s="1"/>
  <c r="I1725" i="13"/>
  <c r="K1725" i="13" s="1"/>
  <c r="W1725" i="13" s="1"/>
  <c r="X1725" i="13" s="1"/>
  <c r="Z1725" i="13" s="1"/>
  <c r="AB1725" i="13" s="1"/>
  <c r="AB1674" i="13"/>
  <c r="I1673" i="13"/>
  <c r="K1673" i="13" s="1"/>
  <c r="W1673" i="13" s="1"/>
  <c r="X1673" i="13" s="1"/>
  <c r="Z1673" i="13" s="1"/>
  <c r="AB1673" i="13" s="1"/>
  <c r="I1672" i="13"/>
  <c r="K1672" i="13" s="1"/>
  <c r="W1672" i="13" s="1"/>
  <c r="X1672" i="13" s="1"/>
  <c r="Z1672" i="13" s="1"/>
  <c r="AB1672" i="13" s="1"/>
  <c r="I1671" i="13"/>
  <c r="K1671" i="13" s="1"/>
  <c r="W1671" i="13" s="1"/>
  <c r="X1671" i="13" s="1"/>
  <c r="Z1671" i="13" s="1"/>
  <c r="AB1671" i="13" s="1"/>
  <c r="S1670" i="13"/>
  <c r="I1670" i="13"/>
  <c r="K1670" i="13" s="1"/>
  <c r="I1669" i="13"/>
  <c r="K1669" i="13" s="1"/>
  <c r="W1669" i="13" s="1"/>
  <c r="X1669" i="13" s="1"/>
  <c r="Z1669" i="13" s="1"/>
  <c r="AB1669" i="13" s="1"/>
  <c r="I1668" i="13"/>
  <c r="K1668" i="13" s="1"/>
  <c r="W1668" i="13" s="1"/>
  <c r="X1668" i="13" s="1"/>
  <c r="Z1668" i="13" s="1"/>
  <c r="AB1668" i="13" s="1"/>
  <c r="I1667" i="13"/>
  <c r="K1667" i="13" s="1"/>
  <c r="W1667" i="13" s="1"/>
  <c r="X1667" i="13" s="1"/>
  <c r="Z1667" i="13" s="1"/>
  <c r="AB1667" i="13" s="1"/>
  <c r="I1666" i="13"/>
  <c r="K1666" i="13" s="1"/>
  <c r="W1666" i="13" s="1"/>
  <c r="X1666" i="13" s="1"/>
  <c r="Z1666" i="13" s="1"/>
  <c r="AB1666" i="13" s="1"/>
  <c r="I1637" i="13"/>
  <c r="K1637" i="13" s="1"/>
  <c r="W1637" i="13" s="1"/>
  <c r="X1637" i="13" s="1"/>
  <c r="Z1637" i="13" s="1"/>
  <c r="AB1637" i="13" s="1"/>
  <c r="S1609" i="13"/>
  <c r="U1609" i="13" s="1"/>
  <c r="K1609" i="13"/>
  <c r="S1608" i="13"/>
  <c r="I1608" i="13"/>
  <c r="K1608" i="13" s="1"/>
  <c r="I1579" i="13"/>
  <c r="K1579" i="13" s="1"/>
  <c r="W1579" i="13" s="1"/>
  <c r="X1579" i="13" s="1"/>
  <c r="Z1579" i="13" s="1"/>
  <c r="AB1579" i="13" s="1"/>
  <c r="I1550" i="13"/>
  <c r="K1550" i="13" s="1"/>
  <c r="W1550" i="13" s="1"/>
  <c r="X1550" i="13" s="1"/>
  <c r="Z1550" i="13" s="1"/>
  <c r="AB1550" i="13" s="1"/>
  <c r="I1521" i="13"/>
  <c r="K1521" i="13" s="1"/>
  <c r="W1521" i="13" s="1"/>
  <c r="X1521" i="13" s="1"/>
  <c r="Z1521" i="13" s="1"/>
  <c r="AB1521" i="13" s="1"/>
  <c r="I1492" i="13"/>
  <c r="K1492" i="13" s="1"/>
  <c r="W1492" i="13" s="1"/>
  <c r="X1492" i="13" s="1"/>
  <c r="Z1492" i="13" s="1"/>
  <c r="AB1492" i="13" s="1"/>
  <c r="I1463" i="13"/>
  <c r="K1463" i="13" s="1"/>
  <c r="W1463" i="13" s="1"/>
  <c r="X1463" i="13" s="1"/>
  <c r="Z1463" i="13" s="1"/>
  <c r="AB1463" i="13" s="1"/>
  <c r="I1434" i="13"/>
  <c r="K1434" i="13" s="1"/>
  <c r="W1434" i="13" s="1"/>
  <c r="X1434" i="13" s="1"/>
  <c r="Z1434" i="13" s="1"/>
  <c r="AB1434" i="13" s="1"/>
  <c r="I1405" i="13"/>
  <c r="K1405" i="13" s="1"/>
  <c r="W1405" i="13" s="1"/>
  <c r="X1405" i="13" s="1"/>
  <c r="Z1405" i="13" s="1"/>
  <c r="AB1405" i="13" s="1"/>
  <c r="I1376" i="13"/>
  <c r="K1376" i="13" s="1"/>
  <c r="W1376" i="13" s="1"/>
  <c r="X1376" i="13" s="1"/>
  <c r="Z1376" i="13" s="1"/>
  <c r="AB1376" i="13" s="1"/>
  <c r="I1347" i="13"/>
  <c r="K1347" i="13" s="1"/>
  <c r="W1347" i="13" s="1"/>
  <c r="X1347" i="13" s="1"/>
  <c r="Z1347" i="13" s="1"/>
  <c r="AB1347" i="13" s="1"/>
  <c r="I1318" i="13"/>
  <c r="K1318" i="13" s="1"/>
  <c r="W1318" i="13" s="1"/>
  <c r="X1318" i="13" s="1"/>
  <c r="Z1318" i="13" s="1"/>
  <c r="AB1318" i="13" s="1"/>
  <c r="S1289" i="13"/>
  <c r="U1289" i="13" s="1"/>
  <c r="I1289" i="13"/>
  <c r="K1289" i="13" s="1"/>
  <c r="AB1260" i="13"/>
  <c r="I1260" i="13"/>
  <c r="K1260" i="13" s="1"/>
  <c r="W1260" i="13" s="1"/>
  <c r="X1260" i="13" s="1"/>
  <c r="I1231" i="13"/>
  <c r="K1231" i="13" s="1"/>
  <c r="W1231" i="13" s="1"/>
  <c r="X1231" i="13" s="1"/>
  <c r="Z1231" i="13" s="1"/>
  <c r="AB1231" i="13" s="1"/>
  <c r="AB1245" i="13" s="1"/>
  <c r="I1205" i="13"/>
  <c r="K1205" i="13" s="1"/>
  <c r="W1205" i="13" s="1"/>
  <c r="X1205" i="13" s="1"/>
  <c r="Z1205" i="13" s="1"/>
  <c r="AB1205" i="13" s="1"/>
  <c r="I1204" i="13"/>
  <c r="K1204" i="13" s="1"/>
  <c r="W1204" i="13" s="1"/>
  <c r="X1204" i="13" s="1"/>
  <c r="Z1204" i="13" s="1"/>
  <c r="AB1204" i="13" s="1"/>
  <c r="I1203" i="13"/>
  <c r="K1203" i="13" s="1"/>
  <c r="W1203" i="13" s="1"/>
  <c r="X1203" i="13" s="1"/>
  <c r="Z1203" i="13" s="1"/>
  <c r="AB1203" i="13" s="1"/>
  <c r="I1202" i="13"/>
  <c r="K1202" i="13" s="1"/>
  <c r="W1202" i="13" s="1"/>
  <c r="X1202" i="13" s="1"/>
  <c r="Z1202" i="13" s="1"/>
  <c r="AB1202" i="13" s="1"/>
  <c r="I1173" i="13"/>
  <c r="K1173" i="13" s="1"/>
  <c r="W1173" i="13" s="1"/>
  <c r="X1173" i="13" s="1"/>
  <c r="Z1173" i="13" s="1"/>
  <c r="AB1173" i="13" s="1"/>
  <c r="I1144" i="13"/>
  <c r="K1144" i="13" s="1"/>
  <c r="W1144" i="13" s="1"/>
  <c r="X1144" i="13" s="1"/>
  <c r="Z1144" i="13" s="1"/>
  <c r="AB1144" i="13" s="1"/>
  <c r="I1115" i="13"/>
  <c r="K1115" i="13" s="1"/>
  <c r="W1115" i="13" s="1"/>
  <c r="X1115" i="13" s="1"/>
  <c r="Z1115" i="13" s="1"/>
  <c r="AB1115" i="13" s="1"/>
  <c r="I1086" i="13"/>
  <c r="K1086" i="13" s="1"/>
  <c r="W1086" i="13" s="1"/>
  <c r="X1086" i="13" s="1"/>
  <c r="Z1086" i="13" s="1"/>
  <c r="AB1086" i="13" s="1"/>
  <c r="I1057" i="13"/>
  <c r="K1057" i="13" s="1"/>
  <c r="W1057" i="13" s="1"/>
  <c r="X1057" i="13" s="1"/>
  <c r="Z1057" i="13" s="1"/>
  <c r="AB1057" i="13" s="1"/>
  <c r="AB1071" i="13" s="1"/>
  <c r="I1029" i="13"/>
  <c r="K1029" i="13" s="1"/>
  <c r="W1029" i="13" s="1"/>
  <c r="X1029" i="13" s="1"/>
  <c r="Z1029" i="13" s="1"/>
  <c r="AB1029" i="13" s="1"/>
  <c r="I1028" i="13"/>
  <c r="K1028" i="13" s="1"/>
  <c r="W1028" i="13" s="1"/>
  <c r="X1028" i="13" s="1"/>
  <c r="Z1028" i="13" s="1"/>
  <c r="AB1028" i="13" s="1"/>
  <c r="I1000" i="13"/>
  <c r="K1000" i="13" s="1"/>
  <c r="W1000" i="13" s="1"/>
  <c r="X1000" i="13" s="1"/>
  <c r="Z1000" i="13" s="1"/>
  <c r="AB1000" i="13" s="1"/>
  <c r="I999" i="13"/>
  <c r="K999" i="13" s="1"/>
  <c r="W999" i="13" s="1"/>
  <c r="X999" i="13" s="1"/>
  <c r="Z999" i="13" s="1"/>
  <c r="AB999" i="13" s="1"/>
  <c r="I970" i="13"/>
  <c r="K970" i="13" s="1"/>
  <c r="W970" i="13" s="1"/>
  <c r="X970" i="13" s="1"/>
  <c r="Z970" i="13" s="1"/>
  <c r="AB970" i="13" s="1"/>
  <c r="I941" i="13"/>
  <c r="K941" i="13" s="1"/>
  <c r="W941" i="13" s="1"/>
  <c r="X941" i="13" s="1"/>
  <c r="Z941" i="13" s="1"/>
  <c r="AB941" i="13" s="1"/>
  <c r="AB955" i="13" s="1"/>
  <c r="I913" i="13"/>
  <c r="K913" i="13" s="1"/>
  <c r="W913" i="13" s="1"/>
  <c r="X913" i="13" s="1"/>
  <c r="Z913" i="13" s="1"/>
  <c r="AB913" i="13" s="1"/>
  <c r="I912" i="13"/>
  <c r="K912" i="13" s="1"/>
  <c r="W912" i="13" s="1"/>
  <c r="X912" i="13" s="1"/>
  <c r="Z912" i="13" s="1"/>
  <c r="AB912" i="13" s="1"/>
  <c r="I884" i="13"/>
  <c r="K884" i="13" s="1"/>
  <c r="W884" i="13" s="1"/>
  <c r="X884" i="13" s="1"/>
  <c r="Z884" i="13" s="1"/>
  <c r="AB884" i="13" s="1"/>
  <c r="I883" i="13"/>
  <c r="K883" i="13" s="1"/>
  <c r="W883" i="13" s="1"/>
  <c r="X883" i="13" s="1"/>
  <c r="Z883" i="13" s="1"/>
  <c r="AB883" i="13" s="1"/>
  <c r="I856" i="13"/>
  <c r="K856" i="13" s="1"/>
  <c r="W856" i="13" s="1"/>
  <c r="X856" i="13" s="1"/>
  <c r="Z856" i="13" s="1"/>
  <c r="AB856" i="13" s="1"/>
  <c r="I855" i="13"/>
  <c r="K855" i="13" s="1"/>
  <c r="W855" i="13" s="1"/>
  <c r="X855" i="13" s="1"/>
  <c r="Z855" i="13" s="1"/>
  <c r="AB855" i="13" s="1"/>
  <c r="I854" i="13"/>
  <c r="K854" i="13" s="1"/>
  <c r="W854" i="13" s="1"/>
  <c r="X854" i="13" s="1"/>
  <c r="Z854" i="13" s="1"/>
  <c r="AB854" i="13" s="1"/>
  <c r="I836" i="13"/>
  <c r="K836" i="13" s="1"/>
  <c r="Z832" i="13"/>
  <c r="AB832" i="13" s="1"/>
  <c r="I832" i="13"/>
  <c r="K832" i="13" s="1"/>
  <c r="W832" i="13" s="1"/>
  <c r="X832" i="13" s="1"/>
  <c r="I831" i="13"/>
  <c r="K831" i="13" s="1"/>
  <c r="W831" i="13" s="1"/>
  <c r="X831" i="13" s="1"/>
  <c r="Z831" i="13" s="1"/>
  <c r="AB831" i="13" s="1"/>
  <c r="I830" i="13"/>
  <c r="K830" i="13" s="1"/>
  <c r="W830" i="13" s="1"/>
  <c r="X830" i="13" s="1"/>
  <c r="Z830" i="13" s="1"/>
  <c r="AB830" i="13" s="1"/>
  <c r="I829" i="13"/>
  <c r="K829" i="13" s="1"/>
  <c r="W829" i="13" s="1"/>
  <c r="X829" i="13" s="1"/>
  <c r="Z829" i="13" s="1"/>
  <c r="AB829" i="13" s="1"/>
  <c r="I828" i="13"/>
  <c r="K828" i="13" s="1"/>
  <c r="W828" i="13" s="1"/>
  <c r="X828" i="13" s="1"/>
  <c r="Z828" i="13" s="1"/>
  <c r="AB828" i="13" s="1"/>
  <c r="I827" i="13"/>
  <c r="K827" i="13" s="1"/>
  <c r="W827" i="13" s="1"/>
  <c r="X827" i="13" s="1"/>
  <c r="Z827" i="13" s="1"/>
  <c r="AB827" i="13" s="1"/>
  <c r="I826" i="13"/>
  <c r="K826" i="13" s="1"/>
  <c r="W826" i="13" s="1"/>
  <c r="X826" i="13" s="1"/>
  <c r="Z826" i="13" s="1"/>
  <c r="AB826" i="13" s="1"/>
  <c r="I825" i="13"/>
  <c r="K825" i="13" s="1"/>
  <c r="W825" i="13" s="1"/>
  <c r="X825" i="13" s="1"/>
  <c r="Z825" i="13" s="1"/>
  <c r="AB825" i="13" s="1"/>
  <c r="I796" i="13"/>
  <c r="K796" i="13" s="1"/>
  <c r="W796" i="13" s="1"/>
  <c r="X796" i="13" s="1"/>
  <c r="Z796" i="13" s="1"/>
  <c r="AB796" i="13" s="1"/>
  <c r="I767" i="13"/>
  <c r="K767" i="13" s="1"/>
  <c r="W767" i="13" s="1"/>
  <c r="X767" i="13" s="1"/>
  <c r="Z767" i="13" s="1"/>
  <c r="AB767" i="13" s="1"/>
  <c r="I738" i="13"/>
  <c r="K738" i="13" s="1"/>
  <c r="W738" i="13" s="1"/>
  <c r="X738" i="13" s="1"/>
  <c r="Z738" i="13" s="1"/>
  <c r="AB738" i="13" s="1"/>
  <c r="I709" i="13"/>
  <c r="K709" i="13" s="1"/>
  <c r="W709" i="13" s="1"/>
  <c r="X709" i="13" s="1"/>
  <c r="Z709" i="13" s="1"/>
  <c r="AB709" i="13" s="1"/>
  <c r="AB723" i="13" s="1"/>
  <c r="I680" i="13"/>
  <c r="K680" i="13" s="1"/>
  <c r="W680" i="13" s="1"/>
  <c r="X680" i="13" s="1"/>
  <c r="Z680" i="13" s="1"/>
  <c r="AB680" i="13" s="1"/>
  <c r="I652" i="13"/>
  <c r="K652" i="13" s="1"/>
  <c r="W652" i="13" s="1"/>
  <c r="X652" i="13" s="1"/>
  <c r="Z652" i="13" s="1"/>
  <c r="AB652" i="13" s="1"/>
  <c r="I651" i="13"/>
  <c r="K651" i="13" s="1"/>
  <c r="W651" i="13" s="1"/>
  <c r="X651" i="13" s="1"/>
  <c r="Z651" i="13" s="1"/>
  <c r="AB651" i="13" s="1"/>
  <c r="Y624" i="13"/>
  <c r="I624" i="13"/>
  <c r="K624" i="13" s="1"/>
  <c r="W624" i="13" s="1"/>
  <c r="X624" i="13" s="1"/>
  <c r="Z624" i="13" s="1"/>
  <c r="AB624" i="13" s="1"/>
  <c r="Y623" i="13"/>
  <c r="I623" i="13"/>
  <c r="K623" i="13" s="1"/>
  <c r="W623" i="13" s="1"/>
  <c r="X623" i="13" s="1"/>
  <c r="Z623" i="13" s="1"/>
  <c r="AB623" i="13" s="1"/>
  <c r="I622" i="13"/>
  <c r="K622" i="13" s="1"/>
  <c r="W622" i="13" s="1"/>
  <c r="X622" i="13" s="1"/>
  <c r="Z622" i="13" s="1"/>
  <c r="AB622" i="13" s="1"/>
  <c r="I593" i="13"/>
  <c r="K593" i="13" s="1"/>
  <c r="W593" i="13" s="1"/>
  <c r="X593" i="13" s="1"/>
  <c r="Z593" i="13" s="1"/>
  <c r="AB593" i="13" s="1"/>
  <c r="I565" i="13"/>
  <c r="K565" i="13" s="1"/>
  <c r="W565" i="13" s="1"/>
  <c r="X565" i="13" s="1"/>
  <c r="Z565" i="13" s="1"/>
  <c r="AB565" i="13" s="1"/>
  <c r="I564" i="13"/>
  <c r="K564" i="13" s="1"/>
  <c r="W564" i="13" s="1"/>
  <c r="X564" i="13" s="1"/>
  <c r="Z564" i="13" s="1"/>
  <c r="AB564" i="13" s="1"/>
  <c r="P535" i="13"/>
  <c r="S535" i="13" s="1"/>
  <c r="U535" i="13" s="1"/>
  <c r="I535" i="13"/>
  <c r="K535" i="13" s="1"/>
  <c r="S507" i="13"/>
  <c r="I507" i="13"/>
  <c r="K507" i="13" s="1"/>
  <c r="P506" i="13"/>
  <c r="S506" i="13" s="1"/>
  <c r="I506" i="13"/>
  <c r="K506" i="13" s="1"/>
  <c r="I483" i="13"/>
  <c r="K483" i="13" s="1"/>
  <c r="W483" i="13" s="1"/>
  <c r="X483" i="13" s="1"/>
  <c r="Z483" i="13" s="1"/>
  <c r="AB483" i="13" s="1"/>
  <c r="I482" i="13"/>
  <c r="K482" i="13" s="1"/>
  <c r="W482" i="13" s="1"/>
  <c r="X482" i="13" s="1"/>
  <c r="Z482" i="13" s="1"/>
  <c r="AB482" i="13" s="1"/>
  <c r="I481" i="13"/>
  <c r="K481" i="13" s="1"/>
  <c r="W481" i="13" s="1"/>
  <c r="X481" i="13" s="1"/>
  <c r="Z481" i="13" s="1"/>
  <c r="AB481" i="13" s="1"/>
  <c r="I480" i="13"/>
  <c r="K480" i="13" s="1"/>
  <c r="W480" i="13" s="1"/>
  <c r="X480" i="13" s="1"/>
  <c r="Z480" i="13" s="1"/>
  <c r="AB480" i="13" s="1"/>
  <c r="I479" i="13"/>
  <c r="K479" i="13" s="1"/>
  <c r="W479" i="13" s="1"/>
  <c r="X479" i="13" s="1"/>
  <c r="Z479" i="13" s="1"/>
  <c r="AB479" i="13" s="1"/>
  <c r="I478" i="13"/>
  <c r="K478" i="13" s="1"/>
  <c r="W478" i="13" s="1"/>
  <c r="X478" i="13" s="1"/>
  <c r="Z478" i="13" s="1"/>
  <c r="AB478" i="13" s="1"/>
  <c r="S477" i="13"/>
  <c r="U477" i="13" s="1"/>
  <c r="I477" i="13"/>
  <c r="K477" i="13" s="1"/>
  <c r="AB454" i="13"/>
  <c r="S453" i="13"/>
  <c r="K453" i="13"/>
  <c r="S452" i="13"/>
  <c r="U452" i="13" s="1"/>
  <c r="V452" i="13" s="1"/>
  <c r="K452" i="13"/>
  <c r="S451" i="13"/>
  <c r="K451" i="13"/>
  <c r="S450" i="13"/>
  <c r="K450" i="13"/>
  <c r="S449" i="13"/>
  <c r="U449" i="13" s="1"/>
  <c r="K449" i="13"/>
  <c r="S448" i="13"/>
  <c r="U448" i="13" s="1"/>
  <c r="V448" i="13" s="1"/>
  <c r="K448" i="13"/>
  <c r="P419" i="13"/>
  <c r="S419" i="13" s="1"/>
  <c r="I419" i="13"/>
  <c r="K419" i="13" s="1"/>
  <c r="P391" i="13"/>
  <c r="S391" i="13" s="1"/>
  <c r="I391" i="13"/>
  <c r="K391" i="13" s="1"/>
  <c r="P390" i="13"/>
  <c r="S390" i="13" s="1"/>
  <c r="I390" i="13"/>
  <c r="K390" i="13" s="1"/>
  <c r="AB363" i="13"/>
  <c r="P363" i="13"/>
  <c r="S363" i="13" s="1"/>
  <c r="U363" i="13" s="1"/>
  <c r="I363" i="13"/>
  <c r="K363" i="13" s="1"/>
  <c r="P362" i="13"/>
  <c r="S362" i="13" s="1"/>
  <c r="I362" i="13"/>
  <c r="K362" i="13" s="1"/>
  <c r="AB361" i="13"/>
  <c r="P361" i="13"/>
  <c r="S361" i="13" s="1"/>
  <c r="I361" i="13"/>
  <c r="K361" i="13" s="1"/>
  <c r="S333" i="13"/>
  <c r="I333" i="13"/>
  <c r="K333" i="13" s="1"/>
  <c r="P332" i="13"/>
  <c r="S332" i="13" s="1"/>
  <c r="I332" i="13"/>
  <c r="K332" i="13" s="1"/>
  <c r="S307" i="13"/>
  <c r="S306" i="13"/>
  <c r="U306" i="13" s="1"/>
  <c r="AB305" i="13"/>
  <c r="S305" i="13"/>
  <c r="U305" i="13" s="1"/>
  <c r="S304" i="13"/>
  <c r="P275" i="13"/>
  <c r="S275" i="13" s="1"/>
  <c r="I275" i="13"/>
  <c r="K275" i="13" s="1"/>
  <c r="AB274" i="13"/>
  <c r="P274" i="13"/>
  <c r="S274" i="13" s="1"/>
  <c r="I274" i="13"/>
  <c r="K274" i="13" s="1"/>
  <c r="P247" i="13"/>
  <c r="S247" i="13" s="1"/>
  <c r="I247" i="13"/>
  <c r="K247" i="13" s="1"/>
  <c r="P246" i="13"/>
  <c r="S246" i="13" s="1"/>
  <c r="I246" i="13"/>
  <c r="K246" i="13" s="1"/>
  <c r="AB245" i="13"/>
  <c r="P245" i="13"/>
  <c r="S245" i="13" s="1"/>
  <c r="I245" i="13"/>
  <c r="K245" i="13" s="1"/>
  <c r="S219" i="13"/>
  <c r="U219" i="13" s="1"/>
  <c r="I219" i="13"/>
  <c r="K219" i="13" s="1"/>
  <c r="AB218" i="13"/>
  <c r="S218" i="13"/>
  <c r="U218" i="13" s="1"/>
  <c r="V218" i="13" s="1"/>
  <c r="I218" i="13"/>
  <c r="K218" i="13" s="1"/>
  <c r="S217" i="13"/>
  <c r="U217" i="13" s="1"/>
  <c r="I217" i="13"/>
  <c r="K217" i="13" s="1"/>
  <c r="AB216" i="13"/>
  <c r="P216" i="13"/>
  <c r="S216" i="13" s="1"/>
  <c r="I216" i="13"/>
  <c r="K216" i="13" s="1"/>
  <c r="S189" i="13"/>
  <c r="I189" i="13"/>
  <c r="K189" i="13" s="1"/>
  <c r="P188" i="13"/>
  <c r="S188" i="13" s="1"/>
  <c r="I188" i="13"/>
  <c r="K188" i="13" s="1"/>
  <c r="AB187" i="13"/>
  <c r="P187" i="13"/>
  <c r="S187" i="13" s="1"/>
  <c r="I187" i="13"/>
  <c r="K187" i="13" s="1"/>
  <c r="AB160" i="13"/>
  <c r="I160" i="13"/>
  <c r="K160" i="13" s="1"/>
  <c r="W160" i="13" s="1"/>
  <c r="X160" i="13" s="1"/>
  <c r="AB159" i="13"/>
  <c r="I159" i="13"/>
  <c r="K159" i="13" s="1"/>
  <c r="W159" i="13" s="1"/>
  <c r="X159" i="13" s="1"/>
  <c r="P158" i="13"/>
  <c r="S158" i="13" s="1"/>
  <c r="I158" i="13"/>
  <c r="K158" i="13" s="1"/>
  <c r="I131" i="13"/>
  <c r="K131" i="13" s="1"/>
  <c r="Z131" i="13" s="1"/>
  <c r="AB131" i="13" s="1"/>
  <c r="I130" i="13"/>
  <c r="K130" i="13" s="1"/>
  <c r="Z130" i="13" s="1"/>
  <c r="AB130" i="13" s="1"/>
  <c r="AB129" i="13"/>
  <c r="P129" i="13"/>
  <c r="S129" i="13" s="1"/>
  <c r="I129" i="13"/>
  <c r="K129" i="13" s="1"/>
  <c r="S110" i="13"/>
  <c r="U110" i="13" s="1"/>
  <c r="V110" i="13" s="1"/>
  <c r="I110" i="13"/>
  <c r="K110" i="13" s="1"/>
  <c r="S109" i="13"/>
  <c r="I109" i="13"/>
  <c r="K109" i="13" s="1"/>
  <c r="P108" i="13"/>
  <c r="S108" i="13" s="1"/>
  <c r="P107" i="13"/>
  <c r="S107" i="13" s="1"/>
  <c r="P106" i="13"/>
  <c r="S106" i="13" s="1"/>
  <c r="P105" i="13"/>
  <c r="S105" i="13" s="1"/>
  <c r="P104" i="13"/>
  <c r="S104" i="13" s="1"/>
  <c r="P103" i="13"/>
  <c r="S103" i="13" s="1"/>
  <c r="P102" i="13"/>
  <c r="S102" i="13" s="1"/>
  <c r="P101" i="13"/>
  <c r="S101" i="13" s="1"/>
  <c r="I101" i="13"/>
  <c r="K101" i="13" s="1"/>
  <c r="I97" i="13"/>
  <c r="K97" i="13" s="1"/>
  <c r="S71" i="13"/>
  <c r="K71" i="13"/>
  <c r="AB70" i="13"/>
  <c r="U70" i="13"/>
  <c r="V70" i="13" s="1"/>
  <c r="I70" i="13"/>
  <c r="K70" i="13" s="1"/>
  <c r="AB69" i="13"/>
  <c r="V69" i="13"/>
  <c r="I69" i="13"/>
  <c r="K69" i="13" s="1"/>
  <c r="S68" i="13"/>
  <c r="U68" i="13" s="1"/>
  <c r="I68" i="13"/>
  <c r="K68" i="13" s="1"/>
  <c r="P41" i="13"/>
  <c r="S41" i="13" s="1"/>
  <c r="AB40" i="13"/>
  <c r="P40" i="13"/>
  <c r="S40" i="13" s="1"/>
  <c r="I40" i="13"/>
  <c r="K40" i="13" s="1"/>
  <c r="P11" i="13"/>
  <c r="S11" i="13" s="1"/>
  <c r="AB10" i="13"/>
  <c r="P10" i="13"/>
  <c r="S10" i="13" s="1"/>
  <c r="I10" i="13"/>
  <c r="K10" i="13" s="1"/>
  <c r="Z3410" i="13" l="1"/>
  <c r="AB3410" i="13" s="1"/>
  <c r="X3408" i="13"/>
  <c r="AB3408" i="13" s="1"/>
  <c r="W3379" i="13"/>
  <c r="X3379" i="13" s="1"/>
  <c r="Z3379" i="13" s="1"/>
  <c r="AB3379" i="13" s="1"/>
  <c r="AB3364" i="13"/>
  <c r="W69" i="13"/>
  <c r="X69" i="13" s="1"/>
  <c r="V219" i="13"/>
  <c r="W219" i="13" s="1"/>
  <c r="X219" i="13" s="1"/>
  <c r="Z219" i="13" s="1"/>
  <c r="AB219" i="13" s="1"/>
  <c r="V306" i="13"/>
  <c r="U307" i="13"/>
  <c r="V307" i="13" s="1"/>
  <c r="W307" i="13" s="1"/>
  <c r="X307" i="13" s="1"/>
  <c r="Z307" i="13" s="1"/>
  <c r="AB307" i="13" s="1"/>
  <c r="AB1710" i="13"/>
  <c r="U11" i="13"/>
  <c r="V11" i="13" s="1"/>
  <c r="W11" i="13" s="1"/>
  <c r="X11" i="13" s="1"/>
  <c r="Z11" i="13" s="1"/>
  <c r="AB11" i="13" s="1"/>
  <c r="U10" i="13"/>
  <c r="V10" i="13" s="1"/>
  <c r="W10" i="13" s="1"/>
  <c r="X10" i="13" s="1"/>
  <c r="U247" i="13"/>
  <c r="V247" i="13" s="1"/>
  <c r="W247" i="13" s="1"/>
  <c r="X247" i="13" s="1"/>
  <c r="AB247" i="13" s="1"/>
  <c r="U451" i="13"/>
  <c r="V451" i="13" s="1"/>
  <c r="W451" i="13" s="1"/>
  <c r="X451" i="13" s="1"/>
  <c r="Z451" i="13" s="1"/>
  <c r="AB451" i="13" s="1"/>
  <c r="AB1274" i="13"/>
  <c r="U106" i="13"/>
  <c r="V106" i="13" s="1"/>
  <c r="W106" i="13" s="1"/>
  <c r="X106" i="13" s="1"/>
  <c r="Z106" i="13" s="1"/>
  <c r="AB106" i="13" s="1"/>
  <c r="U158" i="13"/>
  <c r="V158" i="13" s="1"/>
  <c r="W158" i="13" s="1"/>
  <c r="X158" i="13" s="1"/>
  <c r="Z158" i="13" s="1"/>
  <c r="AB158" i="13" s="1"/>
  <c r="W70" i="13"/>
  <c r="X70" i="13" s="1"/>
  <c r="U71" i="13"/>
  <c r="V71" i="13" s="1"/>
  <c r="W71" i="13" s="1"/>
  <c r="X71" i="13" s="1"/>
  <c r="Z71" i="13" s="1"/>
  <c r="AB71" i="13" s="1"/>
  <c r="U216" i="13"/>
  <c r="V216" i="13" s="1"/>
  <c r="W216" i="13" s="1"/>
  <c r="X216" i="13" s="1"/>
  <c r="U246" i="13"/>
  <c r="V246" i="13" s="1"/>
  <c r="W246" i="13" s="1"/>
  <c r="X246" i="13" s="1"/>
  <c r="Z246" i="13" s="1"/>
  <c r="AB246" i="13" s="1"/>
  <c r="U275" i="13"/>
  <c r="V275" i="13" s="1"/>
  <c r="W275" i="13" s="1"/>
  <c r="X275" i="13" s="1"/>
  <c r="U361" i="13"/>
  <c r="V361" i="13" s="1"/>
  <c r="W361" i="13" s="1"/>
  <c r="X361" i="13" s="1"/>
  <c r="W448" i="13"/>
  <c r="X448" i="13" s="1"/>
  <c r="Z448" i="13" s="1"/>
  <c r="AB448" i="13" s="1"/>
  <c r="U1930" i="13"/>
  <c r="V1930" i="13" s="1"/>
  <c r="W1930" i="13" s="1"/>
  <c r="X1930" i="13" s="1"/>
  <c r="Z1930" i="13" s="1"/>
  <c r="AB1930" i="13" s="1"/>
  <c r="W2394" i="13"/>
  <c r="X2394" i="13" s="1"/>
  <c r="Z2394" i="13" s="1"/>
  <c r="AB2394" i="13" s="1"/>
  <c r="U102" i="13"/>
  <c r="V102" i="13" s="1"/>
  <c r="W102" i="13" s="1"/>
  <c r="X102" i="13" s="1"/>
  <c r="Z102" i="13" s="1"/>
  <c r="AB102" i="13" s="1"/>
  <c r="U109" i="13"/>
  <c r="V109" i="13" s="1"/>
  <c r="W109" i="13" s="1"/>
  <c r="X109" i="13" s="1"/>
  <c r="Z109" i="13" s="1"/>
  <c r="AB109" i="13" s="1"/>
  <c r="V68" i="13"/>
  <c r="W68" i="13" s="1"/>
  <c r="X68" i="13" s="1"/>
  <c r="Z68" i="13" s="1"/>
  <c r="AB68" i="13" s="1"/>
  <c r="U101" i="13"/>
  <c r="V101" i="13" s="1"/>
  <c r="W101" i="13" s="1"/>
  <c r="X101" i="13" s="1"/>
  <c r="Z101" i="13" s="1"/>
  <c r="AB101" i="13" s="1"/>
  <c r="U104" i="13"/>
  <c r="V104" i="13" s="1"/>
  <c r="W104" i="13" s="1"/>
  <c r="X104" i="13" s="1"/>
  <c r="Z104" i="13" s="1"/>
  <c r="AB104" i="13" s="1"/>
  <c r="U108" i="13"/>
  <c r="V108" i="13" s="1"/>
  <c r="W108" i="13" s="1"/>
  <c r="X108" i="13" s="1"/>
  <c r="Z108" i="13" s="1"/>
  <c r="AB108" i="13" s="1"/>
  <c r="W110" i="13"/>
  <c r="X110" i="13" s="1"/>
  <c r="Z110" i="13" s="1"/>
  <c r="AB110" i="13" s="1"/>
  <c r="U304" i="13"/>
  <c r="V304" i="13" s="1"/>
  <c r="W304" i="13" s="1"/>
  <c r="X304" i="13" s="1"/>
  <c r="U450" i="13"/>
  <c r="V450" i="13" s="1"/>
  <c r="W450" i="13" s="1"/>
  <c r="X450" i="13" s="1"/>
  <c r="Z450" i="13" s="1"/>
  <c r="AB450" i="13" s="1"/>
  <c r="V217" i="13"/>
  <c r="W217" i="13" s="1"/>
  <c r="X217" i="13" s="1"/>
  <c r="Z217" i="13" s="1"/>
  <c r="AB217" i="13" s="1"/>
  <c r="V305" i="13"/>
  <c r="V477" i="13"/>
  <c r="W477" i="13" s="1"/>
  <c r="X477" i="13" s="1"/>
  <c r="Z477" i="13" s="1"/>
  <c r="AB477" i="13" s="1"/>
  <c r="V1932" i="13"/>
  <c r="W1932" i="13" s="1"/>
  <c r="X1932" i="13" s="1"/>
  <c r="Z1932" i="13" s="1"/>
  <c r="AB1932" i="13" s="1"/>
  <c r="W218" i="13"/>
  <c r="X218" i="13" s="1"/>
  <c r="V1609" i="13"/>
  <c r="Y1609" i="13" s="1"/>
  <c r="W3234" i="13"/>
  <c r="X3234" i="13" s="1"/>
  <c r="Z3234" i="13" s="1"/>
  <c r="AB3234" i="13" s="1"/>
  <c r="W452" i="13"/>
  <c r="X452" i="13" s="1"/>
  <c r="Z452" i="13" s="1"/>
  <c r="AB452" i="13" s="1"/>
  <c r="U453" i="13"/>
  <c r="V453" i="13" s="1"/>
  <c r="W453" i="13" s="1"/>
  <c r="X453" i="13" s="1"/>
  <c r="Z453" i="13" s="1"/>
  <c r="AB453" i="13" s="1"/>
  <c r="U40" i="13"/>
  <c r="V40" i="13" s="1"/>
  <c r="W40" i="13" s="1"/>
  <c r="U103" i="13"/>
  <c r="V103" i="13" s="1"/>
  <c r="W103" i="13" s="1"/>
  <c r="X103" i="13" s="1"/>
  <c r="Z103" i="13" s="1"/>
  <c r="AB103" i="13" s="1"/>
  <c r="U105" i="13"/>
  <c r="V105" i="13" s="1"/>
  <c r="W105" i="13" s="1"/>
  <c r="X105" i="13" s="1"/>
  <c r="Z105" i="13" s="1"/>
  <c r="AB105" i="13" s="1"/>
  <c r="AB143" i="13"/>
  <c r="U332" i="13"/>
  <c r="V332" i="13" s="1"/>
  <c r="W332" i="13" s="1"/>
  <c r="X332" i="13" s="1"/>
  <c r="AB694" i="13"/>
  <c r="AB810" i="13"/>
  <c r="U107" i="13"/>
  <c r="V107" i="13" s="1"/>
  <c r="W107" i="13" s="1"/>
  <c r="X107" i="13" s="1"/>
  <c r="Z107" i="13" s="1"/>
  <c r="AB107" i="13" s="1"/>
  <c r="U188" i="13"/>
  <c r="V188" i="13" s="1"/>
  <c r="W188" i="13" s="1"/>
  <c r="X188" i="13" s="1"/>
  <c r="Z188" i="13" s="1"/>
  <c r="AB188" i="13" s="1"/>
  <c r="U245" i="13"/>
  <c r="V245" i="13" s="1"/>
  <c r="W245" i="13" s="1"/>
  <c r="X245" i="13" s="1"/>
  <c r="U274" i="13"/>
  <c r="V274" i="13" s="1"/>
  <c r="W274" i="13" s="1"/>
  <c r="X274" i="13" s="1"/>
  <c r="AB1042" i="13"/>
  <c r="AB1100" i="13"/>
  <c r="AB1013" i="13"/>
  <c r="AB781" i="13"/>
  <c r="AB926" i="13"/>
  <c r="U419" i="13"/>
  <c r="V419" i="13" s="1"/>
  <c r="W419" i="13" s="1"/>
  <c r="X419" i="13" s="1"/>
  <c r="Z419" i="13" s="1"/>
  <c r="AB419" i="13" s="1"/>
  <c r="AB1158" i="13"/>
  <c r="U390" i="13"/>
  <c r="V390" i="13" s="1"/>
  <c r="W390" i="13" s="1"/>
  <c r="X390" i="13" s="1"/>
  <c r="AB897" i="13"/>
  <c r="AB984" i="13"/>
  <c r="AB1332" i="13"/>
  <c r="AB1419" i="13"/>
  <c r="AB1564" i="13"/>
  <c r="AB1798" i="13"/>
  <c r="AB578" i="13"/>
  <c r="AB1187" i="13"/>
  <c r="AB1477" i="13"/>
  <c r="AB1651" i="13"/>
  <c r="AB1768" i="13"/>
  <c r="AB3074" i="13"/>
  <c r="U41" i="13"/>
  <c r="V41" i="13" s="1"/>
  <c r="W41" i="13" s="1"/>
  <c r="X41" i="13" s="1"/>
  <c r="Z41" i="13" s="1"/>
  <c r="AB41" i="13" s="1"/>
  <c r="U129" i="13"/>
  <c r="V129" i="13" s="1"/>
  <c r="W129" i="13" s="1"/>
  <c r="X129" i="13" s="1"/>
  <c r="U187" i="13"/>
  <c r="V187" i="13" s="1"/>
  <c r="W187" i="13" s="1"/>
  <c r="X187" i="13" s="1"/>
  <c r="U189" i="13"/>
  <c r="V189" i="13" s="1"/>
  <c r="W189" i="13" s="1"/>
  <c r="X189" i="13" s="1"/>
  <c r="Z189" i="13" s="1"/>
  <c r="AB189" i="13" s="1"/>
  <c r="U333" i="13"/>
  <c r="V333" i="13" s="1"/>
  <c r="W333" i="13" s="1"/>
  <c r="X333" i="13" s="1"/>
  <c r="Z333" i="13" s="1"/>
  <c r="AB333" i="13" s="1"/>
  <c r="U362" i="13"/>
  <c r="V362" i="13" s="1"/>
  <c r="W362" i="13" s="1"/>
  <c r="X362" i="13" s="1"/>
  <c r="Z362" i="13" s="1"/>
  <c r="AB362" i="13" s="1"/>
  <c r="V363" i="13"/>
  <c r="W363" i="13" s="1"/>
  <c r="X363" i="13" s="1"/>
  <c r="U506" i="13"/>
  <c r="V506" i="13" s="1"/>
  <c r="W506" i="13" s="1"/>
  <c r="X506" i="13" s="1"/>
  <c r="Z506" i="13" s="1"/>
  <c r="AB506" i="13" s="1"/>
  <c r="AB1129" i="13"/>
  <c r="AB1448" i="13"/>
  <c r="AB1535" i="13"/>
  <c r="AB1593" i="13"/>
  <c r="AB2001" i="13"/>
  <c r="AB839" i="13"/>
  <c r="AB1216" i="13"/>
  <c r="AB1390" i="13"/>
  <c r="U391" i="13"/>
  <c r="V391" i="13" s="1"/>
  <c r="W391" i="13" s="1"/>
  <c r="X391" i="13" s="1"/>
  <c r="Z391" i="13" s="1"/>
  <c r="AB391" i="13" s="1"/>
  <c r="V449" i="13"/>
  <c r="W449" i="13" s="1"/>
  <c r="X449" i="13" s="1"/>
  <c r="Z449" i="13" s="1"/>
  <c r="AB449" i="13" s="1"/>
  <c r="U507" i="13"/>
  <c r="V507" i="13" s="1"/>
  <c r="W507" i="13" s="1"/>
  <c r="X507" i="13" s="1"/>
  <c r="V535" i="13"/>
  <c r="W535" i="13" s="1"/>
  <c r="X535" i="13" s="1"/>
  <c r="Z535" i="13" s="1"/>
  <c r="AB535" i="13" s="1"/>
  <c r="AB607" i="13"/>
  <c r="AB636" i="13"/>
  <c r="AB665" i="13"/>
  <c r="AB752" i="13"/>
  <c r="AB868" i="13"/>
  <c r="AB1361" i="13"/>
  <c r="AB1506" i="13"/>
  <c r="Z1608" i="13"/>
  <c r="AB1608" i="13" s="1"/>
  <c r="AB1739" i="13"/>
  <c r="AB1827" i="13"/>
  <c r="AB2059" i="13"/>
  <c r="V1289" i="13"/>
  <c r="W1289" i="13" s="1"/>
  <c r="X1289" i="13" s="1"/>
  <c r="Z1289" i="13" s="1"/>
  <c r="AB1289" i="13" s="1"/>
  <c r="AB1303" i="13" s="1"/>
  <c r="AB2291" i="13"/>
  <c r="U1608" i="13"/>
  <c r="V1608" i="13" s="1"/>
  <c r="Y1608" i="13" s="1"/>
  <c r="U1670" i="13"/>
  <c r="V1670" i="13" s="1"/>
  <c r="W1670" i="13" s="1"/>
  <c r="X1670" i="13" s="1"/>
  <c r="Z1670" i="13" s="1"/>
  <c r="AB1670" i="13" s="1"/>
  <c r="AB2668" i="13"/>
  <c r="AB1914" i="13"/>
  <c r="AB1972" i="13"/>
  <c r="AB2030" i="13"/>
  <c r="AB2175" i="13"/>
  <c r="Z1609" i="13"/>
  <c r="AB1609" i="13" s="1"/>
  <c r="AB2146" i="13"/>
  <c r="AB1856" i="13"/>
  <c r="AB1885" i="13"/>
  <c r="AB2117" i="13"/>
  <c r="AB2233" i="13"/>
  <c r="AB2088" i="13"/>
  <c r="AB2204" i="13"/>
  <c r="AB2262" i="13"/>
  <c r="AB2320" i="13"/>
  <c r="AB2349" i="13"/>
  <c r="AB2378" i="13"/>
  <c r="U2396" i="13"/>
  <c r="V2396" i="13" s="1"/>
  <c r="W2396" i="13" s="1"/>
  <c r="X2396" i="13" s="1"/>
  <c r="Z2396" i="13" s="1"/>
  <c r="AB2396" i="13" s="1"/>
  <c r="AB2465" i="13"/>
  <c r="AB2494" i="13"/>
  <c r="AB2523" i="13"/>
  <c r="AB2581" i="13"/>
  <c r="AB2610" i="13"/>
  <c r="U2741" i="13"/>
  <c r="V2741" i="13" s="1"/>
  <c r="W2741" i="13" s="1"/>
  <c r="X2741" i="13" s="1"/>
  <c r="AB2784" i="13"/>
  <c r="AB2958" i="13"/>
  <c r="AB3016" i="13"/>
  <c r="AB3161" i="13"/>
  <c r="AB3219" i="13"/>
  <c r="AB3277" i="13"/>
  <c r="AB2639" i="13"/>
  <c r="AB2726" i="13"/>
  <c r="AB2813" i="13"/>
  <c r="AB2842" i="13"/>
  <c r="AB2929" i="13"/>
  <c r="AB3132" i="13"/>
  <c r="AB3190" i="13"/>
  <c r="U2395" i="13"/>
  <c r="V2395" i="13" s="1"/>
  <c r="W2395" i="13" s="1"/>
  <c r="X2395" i="13" s="1"/>
  <c r="AB2697" i="13"/>
  <c r="U2742" i="13"/>
  <c r="V2742" i="13" s="1"/>
  <c r="W2742" i="13" s="1"/>
  <c r="X2742" i="13" s="1"/>
  <c r="Z2742" i="13" s="1"/>
  <c r="AB2742" i="13" s="1"/>
  <c r="AB2755" i="13" s="1"/>
  <c r="AB3335" i="13"/>
  <c r="AB2900" i="13"/>
  <c r="AB3045" i="13"/>
  <c r="U3235" i="13"/>
  <c r="V3235" i="13" s="1"/>
  <c r="W3235" i="13" s="1"/>
  <c r="X3235" i="13" s="1"/>
  <c r="Z3235" i="13" s="1"/>
  <c r="AB3235" i="13" s="1"/>
  <c r="AB3306" i="13"/>
  <c r="AB2987" i="13"/>
  <c r="V3089" i="13"/>
  <c r="W3089" i="13" s="1"/>
  <c r="X3089" i="13" s="1"/>
  <c r="Z3089" i="13" s="1"/>
  <c r="AB3089" i="13" s="1"/>
  <c r="AB3248" i="13" l="1"/>
  <c r="X306" i="13"/>
  <c r="Z306" i="13" s="1"/>
  <c r="AB306" i="13" s="1"/>
  <c r="AB317" i="13" s="1"/>
  <c r="X305" i="13"/>
  <c r="AC108" i="13"/>
  <c r="AC101" i="13"/>
  <c r="AC188" i="13"/>
  <c r="AB82" i="13"/>
  <c r="AB3422" i="13"/>
  <c r="AB3393" i="13"/>
  <c r="AB114" i="13"/>
  <c r="W1609" i="13"/>
  <c r="X1609" i="13" s="1"/>
  <c r="AB491" i="13"/>
  <c r="AB1943" i="13"/>
  <c r="AB259" i="13"/>
  <c r="AB24" i="13"/>
  <c r="AB230" i="13"/>
  <c r="AB346" i="13"/>
  <c r="AB53" i="13"/>
  <c r="AB3103" i="13"/>
  <c r="AB462" i="13"/>
  <c r="AB520" i="13"/>
  <c r="AB2407" i="13"/>
  <c r="AB1681" i="13"/>
  <c r="AB375" i="13"/>
  <c r="AB433" i="13"/>
  <c r="Z275" i="13"/>
  <c r="AB275" i="13" s="1"/>
  <c r="AB1622" i="13"/>
  <c r="AB404" i="13"/>
  <c r="AB549" i="13"/>
  <c r="X40" i="13"/>
  <c r="W1608" i="13"/>
  <c r="X1608" i="13" s="1"/>
  <c r="AB201" i="13"/>
  <c r="AB288" i="13" l="1"/>
  <c r="AD1126" i="12" l="1"/>
  <c r="AE1126" i="12" s="1"/>
  <c r="AF1126" i="12" s="1"/>
  <c r="AB1126" i="12"/>
  <c r="W1126" i="12"/>
  <c r="X1126" i="12" s="1"/>
  <c r="I1125" i="12"/>
  <c r="K1125" i="12" s="1"/>
  <c r="W1125" i="12" s="1"/>
  <c r="X1125" i="12" s="1"/>
  <c r="Z1125" i="12" s="1"/>
  <c r="AB1125" i="12" s="1"/>
  <c r="AB1137" i="12" l="1"/>
  <c r="I1493" i="12" l="1"/>
  <c r="K1493" i="12" s="1"/>
  <c r="W1493" i="12" s="1"/>
  <c r="X1493" i="12" s="1"/>
  <c r="Z1493" i="12" s="1"/>
  <c r="AB1493" i="12" s="1"/>
  <c r="AB1509" i="12" s="1"/>
  <c r="I1462" i="12"/>
  <c r="K1462" i="12" s="1"/>
  <c r="W1462" i="12" s="1"/>
  <c r="X1462" i="12" s="1"/>
  <c r="Z1462" i="12" s="1"/>
  <c r="AB1462" i="12" s="1"/>
  <c r="AB1478" i="12" s="1"/>
  <c r="I1431" i="12"/>
  <c r="K1431" i="12" s="1"/>
  <c r="W1431" i="12" s="1"/>
  <c r="X1431" i="12" s="1"/>
  <c r="Z1431" i="12" s="1"/>
  <c r="AB1431" i="12" s="1"/>
  <c r="AB1447" i="12" s="1"/>
  <c r="I1401" i="12"/>
  <c r="K1401" i="12" s="1"/>
  <c r="W1401" i="12" s="1"/>
  <c r="X1401" i="12" s="1"/>
  <c r="Z1401" i="12" s="1"/>
  <c r="AB1401" i="12" s="1"/>
  <c r="I1400" i="12"/>
  <c r="K1400" i="12" s="1"/>
  <c r="W1400" i="12" s="1"/>
  <c r="X1400" i="12" s="1"/>
  <c r="Z1400" i="12" s="1"/>
  <c r="AB1400" i="12" s="1"/>
  <c r="I1369" i="12"/>
  <c r="K1369" i="12" s="1"/>
  <c r="W1369" i="12" s="1"/>
  <c r="X1369" i="12" s="1"/>
  <c r="Z1369" i="12" s="1"/>
  <c r="AB1369" i="12" s="1"/>
  <c r="AB1385" i="12" s="1"/>
  <c r="I1339" i="12"/>
  <c r="K1339" i="12" s="1"/>
  <c r="W1339" i="12" s="1"/>
  <c r="X1339" i="12" s="1"/>
  <c r="Z1339" i="12" s="1"/>
  <c r="AB1339" i="12" s="1"/>
  <c r="AB1354" i="12" s="1"/>
  <c r="I1308" i="12"/>
  <c r="K1308" i="12" s="1"/>
  <c r="W1308" i="12" s="1"/>
  <c r="X1308" i="12" s="1"/>
  <c r="Z1308" i="12" s="1"/>
  <c r="AB1308" i="12" s="1"/>
  <c r="AB1323" i="12" s="1"/>
  <c r="I1277" i="12"/>
  <c r="K1277" i="12" s="1"/>
  <c r="W1277" i="12" s="1"/>
  <c r="X1277" i="12" s="1"/>
  <c r="Z1277" i="12" s="1"/>
  <c r="AB1277" i="12" s="1"/>
  <c r="AB1292" i="12" s="1"/>
  <c r="I1246" i="12"/>
  <c r="K1246" i="12" s="1"/>
  <c r="W1246" i="12" s="1"/>
  <c r="X1246" i="12" s="1"/>
  <c r="Z1246" i="12" s="1"/>
  <c r="AB1246" i="12" s="1"/>
  <c r="AB1261" i="12" s="1"/>
  <c r="I1215" i="12"/>
  <c r="K1215" i="12" s="1"/>
  <c r="W1215" i="12" s="1"/>
  <c r="X1215" i="12" s="1"/>
  <c r="Z1215" i="12" s="1"/>
  <c r="AB1215" i="12" s="1"/>
  <c r="AB1230" i="12" s="1"/>
  <c r="I1183" i="12"/>
  <c r="K1183" i="12" s="1"/>
  <c r="W1183" i="12" s="1"/>
  <c r="X1183" i="12" s="1"/>
  <c r="Z1183" i="12" s="1"/>
  <c r="AB1183" i="12" s="1"/>
  <c r="AB1199" i="12" s="1"/>
  <c r="I1153" i="12"/>
  <c r="K1153" i="12" s="1"/>
  <c r="W1153" i="12" s="1"/>
  <c r="X1153" i="12" s="1"/>
  <c r="Z1153" i="12" s="1"/>
  <c r="AB1153" i="12" s="1"/>
  <c r="AB1168" i="12" s="1"/>
  <c r="I1099" i="12"/>
  <c r="K1099" i="12" s="1"/>
  <c r="W1099" i="12" s="1"/>
  <c r="X1099" i="12" s="1"/>
  <c r="Z1099" i="12" s="1"/>
  <c r="AB1099" i="12" s="1"/>
  <c r="I1071" i="12"/>
  <c r="K1071" i="12" s="1"/>
  <c r="W1071" i="12" s="1"/>
  <c r="X1071" i="12" s="1"/>
  <c r="I1070" i="12"/>
  <c r="K1070" i="12" s="1"/>
  <c r="W1070" i="12" s="1"/>
  <c r="X1070" i="12" s="1"/>
  <c r="I1069" i="12"/>
  <c r="K1069" i="12" s="1"/>
  <c r="W1069" i="12" s="1"/>
  <c r="X1069" i="12" s="1"/>
  <c r="S1068" i="12"/>
  <c r="U1068" i="12" s="1"/>
  <c r="S1067" i="12"/>
  <c r="U1067" i="12" s="1"/>
  <c r="V1067" i="12" s="1"/>
  <c r="I1067" i="12"/>
  <c r="K1067" i="12" s="1"/>
  <c r="AB1066" i="12"/>
  <c r="I1066" i="12"/>
  <c r="K1066" i="12" s="1"/>
  <c r="Y1036" i="12"/>
  <c r="I1036" i="12"/>
  <c r="K1036" i="12" s="1"/>
  <c r="W1036" i="12" s="1"/>
  <c r="X1036" i="12" s="1"/>
  <c r="Z1036" i="12" s="1"/>
  <c r="AB1036" i="12" s="1"/>
  <c r="S1005" i="12"/>
  <c r="I1005" i="12"/>
  <c r="K1005" i="12" s="1"/>
  <c r="I187" i="12"/>
  <c r="K187" i="12" s="1"/>
  <c r="W187" i="12" s="1"/>
  <c r="X187" i="12" s="1"/>
  <c r="Z187" i="12" s="1"/>
  <c r="AB187" i="12" s="1"/>
  <c r="S186" i="12"/>
  <c r="I186" i="12"/>
  <c r="K186" i="12" s="1"/>
  <c r="AB185" i="12"/>
  <c r="I185" i="12"/>
  <c r="K185" i="12" s="1"/>
  <c r="S975" i="12"/>
  <c r="AB974" i="12"/>
  <c r="S974" i="12"/>
  <c r="U974" i="12" s="1"/>
  <c r="AB973" i="12"/>
  <c r="S973" i="12"/>
  <c r="I973" i="12"/>
  <c r="K973" i="12" s="1"/>
  <c r="I946" i="12"/>
  <c r="K946" i="12" s="1"/>
  <c r="W946" i="12" s="1"/>
  <c r="X946" i="12" s="1"/>
  <c r="Z946" i="12" s="1"/>
  <c r="AB946" i="12" s="1"/>
  <c r="I916" i="12"/>
  <c r="K916" i="12" s="1"/>
  <c r="W916" i="12" s="1"/>
  <c r="X916" i="12" s="1"/>
  <c r="Z916" i="12" s="1"/>
  <c r="AB916" i="12" s="1"/>
  <c r="S885" i="12"/>
  <c r="U885" i="12" s="1"/>
  <c r="V885" i="12" s="1"/>
  <c r="I885" i="12"/>
  <c r="K885" i="12" s="1"/>
  <c r="AB884" i="12"/>
  <c r="P884" i="12"/>
  <c r="S884" i="12" s="1"/>
  <c r="U884" i="12" s="1"/>
  <c r="I884" i="12"/>
  <c r="K884" i="12" s="1"/>
  <c r="I855" i="12"/>
  <c r="K855" i="12" s="1"/>
  <c r="W855" i="12" s="1"/>
  <c r="X855" i="12" s="1"/>
  <c r="Z855" i="12" s="1"/>
  <c r="AB855" i="12" s="1"/>
  <c r="S826" i="12"/>
  <c r="U826" i="12" s="1"/>
  <c r="V826" i="12" s="1"/>
  <c r="I826" i="12"/>
  <c r="K826" i="12" s="1"/>
  <c r="I798" i="12"/>
  <c r="K798" i="12" s="1"/>
  <c r="W798" i="12" s="1"/>
  <c r="X798" i="12" s="1"/>
  <c r="Z798" i="12" s="1"/>
  <c r="AB798" i="12" s="1"/>
  <c r="AB797" i="12"/>
  <c r="I797" i="12"/>
  <c r="K797" i="12" s="1"/>
  <c r="W797" i="12" s="1"/>
  <c r="X797" i="12" s="1"/>
  <c r="I769" i="12"/>
  <c r="K769" i="12" s="1"/>
  <c r="W769" i="12" s="1"/>
  <c r="X769" i="12" s="1"/>
  <c r="Z769" i="12" s="1"/>
  <c r="AB769" i="12" s="1"/>
  <c r="I768" i="12"/>
  <c r="K768" i="12" s="1"/>
  <c r="W768" i="12" s="1"/>
  <c r="X768" i="12" s="1"/>
  <c r="Z768" i="12" s="1"/>
  <c r="AB768" i="12" s="1"/>
  <c r="I742" i="12"/>
  <c r="K742" i="12" s="1"/>
  <c r="W742" i="12" s="1"/>
  <c r="X742" i="12" s="1"/>
  <c r="Z742" i="12" s="1"/>
  <c r="AB742" i="12" s="1"/>
  <c r="I741" i="12"/>
  <c r="K741" i="12" s="1"/>
  <c r="W741" i="12" s="1"/>
  <c r="X741" i="12" s="1"/>
  <c r="Z741" i="12" s="1"/>
  <c r="AB741" i="12" s="1"/>
  <c r="I740" i="12"/>
  <c r="K740" i="12" s="1"/>
  <c r="W740" i="12" s="1"/>
  <c r="X740" i="12" s="1"/>
  <c r="Z740" i="12" s="1"/>
  <c r="AB740" i="12" s="1"/>
  <c r="U739" i="12"/>
  <c r="V739" i="12" s="1"/>
  <c r="I739" i="12"/>
  <c r="K739" i="12" s="1"/>
  <c r="U710" i="12"/>
  <c r="V710" i="12" s="1"/>
  <c r="I710" i="12"/>
  <c r="K710" i="12" s="1"/>
  <c r="U681" i="12"/>
  <c r="V681" i="12" s="1"/>
  <c r="I681" i="12"/>
  <c r="K681" i="12" s="1"/>
  <c r="Y653" i="12"/>
  <c r="I653" i="12"/>
  <c r="K653" i="12" s="1"/>
  <c r="W653" i="12" s="1"/>
  <c r="X653" i="12" s="1"/>
  <c r="Z653" i="12" s="1"/>
  <c r="AB653" i="12" s="1"/>
  <c r="Y652" i="12"/>
  <c r="I652" i="12"/>
  <c r="K652" i="12" s="1"/>
  <c r="W652" i="12" s="1"/>
  <c r="AB629" i="12"/>
  <c r="U629" i="12"/>
  <c r="V629" i="12" s="1"/>
  <c r="I629" i="12"/>
  <c r="K629" i="12" s="1"/>
  <c r="U628" i="12"/>
  <c r="V628" i="12" s="1"/>
  <c r="I628" i="12"/>
  <c r="K628" i="12" s="1"/>
  <c r="U627" i="12"/>
  <c r="V627" i="12" s="1"/>
  <c r="I627" i="12"/>
  <c r="K627" i="12" s="1"/>
  <c r="U626" i="12"/>
  <c r="V626" i="12" s="1"/>
  <c r="I626" i="12"/>
  <c r="K626" i="12" s="1"/>
  <c r="AB625" i="12"/>
  <c r="S625" i="12"/>
  <c r="U625" i="12" s="1"/>
  <c r="I625" i="12"/>
  <c r="K625" i="12" s="1"/>
  <c r="U624" i="12"/>
  <c r="V624" i="12" s="1"/>
  <c r="I624" i="12"/>
  <c r="K624" i="12" s="1"/>
  <c r="Y623" i="12"/>
  <c r="I623" i="12"/>
  <c r="K623" i="12" s="1"/>
  <c r="W623" i="12" s="1"/>
  <c r="X623" i="12" s="1"/>
  <c r="Z623" i="12" s="1"/>
  <c r="AB623" i="12" s="1"/>
  <c r="Y595" i="12"/>
  <c r="I595" i="12"/>
  <c r="K595" i="12" s="1"/>
  <c r="Y594" i="12"/>
  <c r="I594" i="12"/>
  <c r="K594" i="12" s="1"/>
  <c r="W594" i="12" s="1"/>
  <c r="Y566" i="12"/>
  <c r="I566" i="12"/>
  <c r="K566" i="12" s="1"/>
  <c r="W566" i="12" s="1"/>
  <c r="Y565" i="12"/>
  <c r="I565" i="12"/>
  <c r="K565" i="12" s="1"/>
  <c r="W565" i="12" s="1"/>
  <c r="Y536" i="12"/>
  <c r="I536" i="12"/>
  <c r="K536" i="12" s="1"/>
  <c r="W536" i="12" s="1"/>
  <c r="X536" i="12" s="1"/>
  <c r="Z536" i="12" s="1"/>
  <c r="AB536" i="12" s="1"/>
  <c r="AD536" i="12" s="1"/>
  <c r="AE536" i="12" s="1"/>
  <c r="AF536" i="12" s="1"/>
  <c r="Y507" i="12"/>
  <c r="I507" i="12"/>
  <c r="K507" i="12" s="1"/>
  <c r="W507" i="12" s="1"/>
  <c r="X507" i="12" s="1"/>
  <c r="Z507" i="12" s="1"/>
  <c r="AB507" i="12" s="1"/>
  <c r="Y479" i="12"/>
  <c r="I479" i="12"/>
  <c r="K479" i="12" s="1"/>
  <c r="Y478" i="12"/>
  <c r="I478" i="12"/>
  <c r="K478" i="12" s="1"/>
  <c r="W478" i="12" s="1"/>
  <c r="Y449" i="12"/>
  <c r="I449" i="12"/>
  <c r="K449" i="12" s="1"/>
  <c r="W449" i="12" s="1"/>
  <c r="X449" i="12" s="1"/>
  <c r="Z449" i="12" s="1"/>
  <c r="AB449" i="12" s="1"/>
  <c r="AD421" i="12"/>
  <c r="AE421" i="12" s="1"/>
  <c r="AF421" i="12" s="1"/>
  <c r="I420" i="12"/>
  <c r="K420" i="12" s="1"/>
  <c r="W420" i="12" s="1"/>
  <c r="X420" i="12" s="1"/>
  <c r="Z420" i="12" s="1"/>
  <c r="AB420" i="12" s="1"/>
  <c r="I391" i="12"/>
  <c r="K391" i="12" s="1"/>
  <c r="W391" i="12" s="1"/>
  <c r="X391" i="12" s="1"/>
  <c r="Z391" i="12" s="1"/>
  <c r="AB391" i="12" s="1"/>
  <c r="I362" i="12"/>
  <c r="K362" i="12" s="1"/>
  <c r="W362" i="12" s="1"/>
  <c r="X362" i="12" s="1"/>
  <c r="Z362" i="12" s="1"/>
  <c r="AB362" i="12" s="1"/>
  <c r="I334" i="12"/>
  <c r="K334" i="12" s="1"/>
  <c r="W334" i="12" s="1"/>
  <c r="X334" i="12" s="1"/>
  <c r="Z334" i="12" s="1"/>
  <c r="AB334" i="12" s="1"/>
  <c r="I333" i="12"/>
  <c r="K333" i="12" s="1"/>
  <c r="W333" i="12" s="1"/>
  <c r="X333" i="12" s="1"/>
  <c r="Z333" i="12" s="1"/>
  <c r="AB333" i="12" s="1"/>
  <c r="U304" i="12"/>
  <c r="V304" i="12" s="1"/>
  <c r="I304" i="12"/>
  <c r="K304" i="12" s="1"/>
  <c r="S277" i="12"/>
  <c r="U277" i="12" s="1"/>
  <c r="S276" i="12"/>
  <c r="U276" i="12" s="1"/>
  <c r="AB275" i="12"/>
  <c r="S275" i="12"/>
  <c r="U275" i="12" s="1"/>
  <c r="V275" i="12" s="1"/>
  <c r="K275" i="12"/>
  <c r="P254" i="12"/>
  <c r="S254" i="12" s="1"/>
  <c r="I254" i="12"/>
  <c r="K254" i="12" s="1"/>
  <c r="P253" i="12"/>
  <c r="S253" i="12" s="1"/>
  <c r="I253" i="12"/>
  <c r="K253" i="12" s="1"/>
  <c r="P252" i="12"/>
  <c r="S252" i="12" s="1"/>
  <c r="I252" i="12"/>
  <c r="K252" i="12" s="1"/>
  <c r="AB251" i="12"/>
  <c r="P251" i="12"/>
  <c r="S251" i="12" s="1"/>
  <c r="I251" i="12"/>
  <c r="K251" i="12" s="1"/>
  <c r="AB250" i="12"/>
  <c r="S250" i="12"/>
  <c r="U250" i="12" s="1"/>
  <c r="AB249" i="12"/>
  <c r="S249" i="12"/>
  <c r="U249" i="12" s="1"/>
  <c r="I249" i="12"/>
  <c r="K249" i="12" s="1"/>
  <c r="AB248" i="12"/>
  <c r="S248" i="12"/>
  <c r="U248" i="12" s="1"/>
  <c r="I248" i="12"/>
  <c r="K248" i="12" s="1"/>
  <c r="W248" i="12" s="1"/>
  <c r="X248" i="12" s="1"/>
  <c r="K247" i="12"/>
  <c r="W247" i="12" s="1"/>
  <c r="X247" i="12" s="1"/>
  <c r="AB246" i="12"/>
  <c r="AD246" i="12" s="1"/>
  <c r="AE246" i="12" s="1"/>
  <c r="AF246" i="12" s="1"/>
  <c r="S246" i="12"/>
  <c r="U246" i="12" s="1"/>
  <c r="K246" i="12"/>
  <c r="S218" i="12"/>
  <c r="U218" i="12" s="1"/>
  <c r="S217" i="12"/>
  <c r="I217" i="12"/>
  <c r="K217" i="12" s="1"/>
  <c r="AB162" i="12"/>
  <c r="W162" i="12"/>
  <c r="X162" i="12" s="1"/>
  <c r="I161" i="12"/>
  <c r="K161" i="12" s="1"/>
  <c r="W161" i="12" s="1"/>
  <c r="X161" i="12" s="1"/>
  <c r="Z161" i="12" s="1"/>
  <c r="AB161" i="12" s="1"/>
  <c r="P160" i="12"/>
  <c r="S160" i="12" s="1"/>
  <c r="P159" i="12"/>
  <c r="S159" i="12" s="1"/>
  <c r="U159" i="12" s="1"/>
  <c r="P158" i="12"/>
  <c r="S158" i="12" s="1"/>
  <c r="P157" i="12"/>
  <c r="S157" i="12" s="1"/>
  <c r="U157" i="12" s="1"/>
  <c r="P156" i="12"/>
  <c r="S156" i="12" s="1"/>
  <c r="P155" i="12"/>
  <c r="S155" i="12" s="1"/>
  <c r="U155" i="12" s="1"/>
  <c r="I155" i="12"/>
  <c r="K155" i="12" s="1"/>
  <c r="P129" i="12"/>
  <c r="S129" i="12" s="1"/>
  <c r="I129" i="12"/>
  <c r="K129" i="12" s="1"/>
  <c r="P128" i="12"/>
  <c r="S128" i="12" s="1"/>
  <c r="I128" i="12"/>
  <c r="K128" i="12" s="1"/>
  <c r="AB127" i="12"/>
  <c r="P127" i="12"/>
  <c r="S127" i="12" s="1"/>
  <c r="I127" i="12"/>
  <c r="K127" i="12" s="1"/>
  <c r="I126" i="12"/>
  <c r="K126" i="12" s="1"/>
  <c r="P98" i="12"/>
  <c r="S98" i="12" s="1"/>
  <c r="I98" i="12"/>
  <c r="K98" i="12" s="1"/>
  <c r="AB97" i="12"/>
  <c r="P97" i="12"/>
  <c r="S97" i="12" s="1"/>
  <c r="I97" i="12"/>
  <c r="K97" i="12" s="1"/>
  <c r="P71" i="12"/>
  <c r="S71" i="12" s="1"/>
  <c r="I71" i="12"/>
  <c r="K71" i="12" s="1"/>
  <c r="AB70" i="12"/>
  <c r="S70" i="12"/>
  <c r="U70" i="12" s="1"/>
  <c r="V70" i="12" s="1"/>
  <c r="I70" i="12"/>
  <c r="K70" i="12" s="1"/>
  <c r="AB69" i="12"/>
  <c r="I69" i="12"/>
  <c r="K69" i="12" s="1"/>
  <c r="W69" i="12" s="1"/>
  <c r="X69" i="12" s="1"/>
  <c r="AB68" i="12"/>
  <c r="I68" i="12"/>
  <c r="K68" i="12" s="1"/>
  <c r="W68" i="12" s="1"/>
  <c r="X68" i="12" s="1"/>
  <c r="P46" i="12"/>
  <c r="S46" i="12" s="1"/>
  <c r="I46" i="12"/>
  <c r="K46" i="12" s="1"/>
  <c r="P45" i="12"/>
  <c r="S45" i="12" s="1"/>
  <c r="P44" i="12"/>
  <c r="S44" i="12" s="1"/>
  <c r="P43" i="12"/>
  <c r="S43" i="12" s="1"/>
  <c r="P42" i="12"/>
  <c r="S42" i="12" s="1"/>
  <c r="I42" i="12"/>
  <c r="K42" i="12" s="1"/>
  <c r="P41" i="12"/>
  <c r="S41" i="12" s="1"/>
  <c r="I41" i="12"/>
  <c r="K41" i="12" s="1"/>
  <c r="AB40" i="12"/>
  <c r="AD40" i="12" s="1"/>
  <c r="AE40" i="12" s="1"/>
  <c r="AF40" i="12" s="1"/>
  <c r="P40" i="12"/>
  <c r="S40" i="12" s="1"/>
  <c r="I40" i="12"/>
  <c r="K40" i="12" s="1"/>
  <c r="AB39" i="12"/>
  <c r="AD39" i="12" s="1"/>
  <c r="AE39" i="12" s="1"/>
  <c r="AF39" i="12" s="1"/>
  <c r="I39" i="12"/>
  <c r="K39" i="12" s="1"/>
  <c r="U16" i="12"/>
  <c r="V16" i="12" s="1"/>
  <c r="I16" i="12"/>
  <c r="K16" i="12" s="1"/>
  <c r="S15" i="12"/>
  <c r="I15" i="12"/>
  <c r="K15" i="12" s="1"/>
  <c r="AB14" i="12"/>
  <c r="S14" i="12"/>
  <c r="U14" i="12" s="1"/>
  <c r="I14" i="12"/>
  <c r="K14" i="12" s="1"/>
  <c r="AB13" i="12"/>
  <c r="S13" i="12"/>
  <c r="U13" i="12" s="1"/>
  <c r="V13" i="12" s="1"/>
  <c r="I13" i="12"/>
  <c r="K13" i="12" s="1"/>
  <c r="AB12" i="12"/>
  <c r="S12" i="12"/>
  <c r="U12" i="12" s="1"/>
  <c r="AB11" i="12"/>
  <c r="AD11" i="12" s="1"/>
  <c r="AE11" i="12" s="1"/>
  <c r="AF11" i="12" s="1"/>
  <c r="S11" i="12"/>
  <c r="U11" i="12" s="1"/>
  <c r="V11" i="12" s="1"/>
  <c r="W11" i="12" s="1"/>
  <c r="X11" i="12" s="1"/>
  <c r="AB10" i="12"/>
  <c r="S10" i="12"/>
  <c r="I10" i="12"/>
  <c r="K10" i="12" s="1"/>
  <c r="W479" i="12" l="1"/>
  <c r="X479" i="12" s="1"/>
  <c r="Z479" i="12" s="1"/>
  <c r="AB479" i="12" s="1"/>
  <c r="W595" i="12"/>
  <c r="X595" i="12" s="1"/>
  <c r="Z595" i="12" s="1"/>
  <c r="AB595" i="12" s="1"/>
  <c r="AD595" i="12" s="1"/>
  <c r="AE595" i="12" s="1"/>
  <c r="AF595" i="12" s="1"/>
  <c r="X478" i="12"/>
  <c r="Z478" i="12" s="1"/>
  <c r="AB478" i="12" s="1"/>
  <c r="AD478" i="12" s="1"/>
  <c r="AE478" i="12" s="1"/>
  <c r="AF478" i="12" s="1"/>
  <c r="W16" i="12"/>
  <c r="X16" i="12" s="1"/>
  <c r="X594" i="12"/>
  <c r="Z594" i="12" s="1"/>
  <c r="AB594" i="12" s="1"/>
  <c r="W885" i="12"/>
  <c r="X885" i="12" s="1"/>
  <c r="Z885" i="12" s="1"/>
  <c r="AB885" i="12" s="1"/>
  <c r="AB900" i="12" s="1"/>
  <c r="W629" i="12"/>
  <c r="X629" i="12" s="1"/>
  <c r="W681" i="12"/>
  <c r="X681" i="12" s="1"/>
  <c r="Z681" i="12" s="1"/>
  <c r="AB681" i="12" s="1"/>
  <c r="U973" i="12"/>
  <c r="V973" i="12" s="1"/>
  <c r="W973" i="12" s="1"/>
  <c r="X973" i="12" s="1"/>
  <c r="U10" i="12"/>
  <c r="V10" i="12" s="1"/>
  <c r="W10" i="12" s="1"/>
  <c r="X10" i="12" s="1"/>
  <c r="V12" i="12"/>
  <c r="W12" i="12" s="1"/>
  <c r="X12" i="12" s="1"/>
  <c r="V277" i="12"/>
  <c r="W277" i="12" s="1"/>
  <c r="X277" i="12" s="1"/>
  <c r="Z277" i="12" s="1"/>
  <c r="AB277" i="12" s="1"/>
  <c r="AD797" i="12"/>
  <c r="AE797" i="12" s="1"/>
  <c r="AF797" i="12" s="1"/>
  <c r="V974" i="12"/>
  <c r="W974" i="12" s="1"/>
  <c r="X974" i="12" s="1"/>
  <c r="X652" i="12"/>
  <c r="Z652" i="12" s="1"/>
  <c r="AB652" i="12" s="1"/>
  <c r="AB666" i="12" s="1"/>
  <c r="V1068" i="12"/>
  <c r="W1068" i="12" s="1"/>
  <c r="X1068" i="12" s="1"/>
  <c r="Z1068" i="12" s="1"/>
  <c r="AB1068" i="12" s="1"/>
  <c r="AB1084" i="12" s="1"/>
  <c r="V14" i="12"/>
  <c r="W14" i="12" s="1"/>
  <c r="X14" i="12" s="1"/>
  <c r="V246" i="12"/>
  <c r="W246" i="12" s="1"/>
  <c r="X246" i="12" s="1"/>
  <c r="U45" i="12"/>
  <c r="V45" i="12" s="1"/>
  <c r="W45" i="12" s="1"/>
  <c r="X45" i="12" s="1"/>
  <c r="Z45" i="12" s="1"/>
  <c r="AB45" i="12" s="1"/>
  <c r="AD45" i="12" s="1"/>
  <c r="AE45" i="12" s="1"/>
  <c r="AF45" i="12" s="1"/>
  <c r="X566" i="12"/>
  <c r="Z566" i="12" s="1"/>
  <c r="AB566" i="12" s="1"/>
  <c r="X565" i="12"/>
  <c r="Z565" i="12" s="1"/>
  <c r="AB565" i="12" s="1"/>
  <c r="AD565" i="12" s="1"/>
  <c r="AE565" i="12" s="1"/>
  <c r="AF565" i="12" s="1"/>
  <c r="AB1416" i="12"/>
  <c r="V218" i="12"/>
  <c r="W218" i="12" s="1"/>
  <c r="X218" i="12" s="1"/>
  <c r="Z218" i="12" s="1"/>
  <c r="AB218" i="12" s="1"/>
  <c r="W304" i="12"/>
  <c r="X304" i="12" s="1"/>
  <c r="Z304" i="12" s="1"/>
  <c r="AB304" i="12" s="1"/>
  <c r="AD304" i="12" s="1"/>
  <c r="AE304" i="12" s="1"/>
  <c r="AF304" i="12" s="1"/>
  <c r="W624" i="12"/>
  <c r="X624" i="12" s="1"/>
  <c r="Z624" i="12" s="1"/>
  <c r="AB624" i="12" s="1"/>
  <c r="W628" i="12"/>
  <c r="X628" i="12" s="1"/>
  <c r="Z628" i="12" s="1"/>
  <c r="AB628" i="12" s="1"/>
  <c r="W710" i="12"/>
  <c r="X710" i="12" s="1"/>
  <c r="Z710" i="12" s="1"/>
  <c r="AB710" i="12" s="1"/>
  <c r="AD10" i="12"/>
  <c r="AE10" i="12" s="1"/>
  <c r="AF10" i="12" s="1"/>
  <c r="W13" i="12"/>
  <c r="X13" i="12" s="1"/>
  <c r="U15" i="12"/>
  <c r="V15" i="12" s="1"/>
  <c r="W15" i="12" s="1"/>
  <c r="X15" i="12" s="1"/>
  <c r="Z15" i="12" s="1"/>
  <c r="AB15" i="12" s="1"/>
  <c r="U217" i="12"/>
  <c r="V217" i="12" s="1"/>
  <c r="W217" i="12" s="1"/>
  <c r="X217" i="12" s="1"/>
  <c r="Z217" i="12" s="1"/>
  <c r="AB217" i="12" s="1"/>
  <c r="V249" i="12"/>
  <c r="W249" i="12" s="1"/>
  <c r="X249" i="12" s="1"/>
  <c r="AD275" i="12"/>
  <c r="AE275" i="12" s="1"/>
  <c r="AF275" i="12" s="1"/>
  <c r="W626" i="12"/>
  <c r="X626" i="12" s="1"/>
  <c r="Z626" i="12" s="1"/>
  <c r="AB626" i="12" s="1"/>
  <c r="U975" i="12"/>
  <c r="V975" i="12" s="1"/>
  <c r="W975" i="12" s="1"/>
  <c r="X975" i="12" s="1"/>
  <c r="Z975" i="12" s="1"/>
  <c r="AB975" i="12" s="1"/>
  <c r="V155" i="12"/>
  <c r="W155" i="12" s="1"/>
  <c r="X155" i="12" s="1"/>
  <c r="Z155" i="12" s="1"/>
  <c r="AB155" i="12" s="1"/>
  <c r="V157" i="12"/>
  <c r="W157" i="12" s="1"/>
  <c r="X157" i="12" s="1"/>
  <c r="Z157" i="12" s="1"/>
  <c r="AB157" i="12" s="1"/>
  <c r="V159" i="12"/>
  <c r="W159" i="12" s="1"/>
  <c r="X159" i="12" s="1"/>
  <c r="Z159" i="12" s="1"/>
  <c r="AB159" i="12" s="1"/>
  <c r="V276" i="12"/>
  <c r="W276" i="12" s="1"/>
  <c r="U127" i="12"/>
  <c r="V127" i="12" s="1"/>
  <c r="W127" i="12" s="1"/>
  <c r="X127" i="12" s="1"/>
  <c r="U158" i="12"/>
  <c r="V158" i="12" s="1"/>
  <c r="W158" i="12" s="1"/>
  <c r="X158" i="12" s="1"/>
  <c r="Z158" i="12" s="1"/>
  <c r="AB158" i="12" s="1"/>
  <c r="U44" i="12"/>
  <c r="V44" i="12" s="1"/>
  <c r="W44" i="12" s="1"/>
  <c r="X44" i="12" s="1"/>
  <c r="Z44" i="12" s="1"/>
  <c r="AB44" i="12" s="1"/>
  <c r="AD507" i="12"/>
  <c r="AE507" i="12" s="1"/>
  <c r="AF507" i="12" s="1"/>
  <c r="AB521" i="12"/>
  <c r="U40" i="12"/>
  <c r="V40" i="12" s="1"/>
  <c r="W40" i="12" s="1"/>
  <c r="X40" i="12" s="1"/>
  <c r="U129" i="12"/>
  <c r="V129" i="12" s="1"/>
  <c r="W129" i="12" s="1"/>
  <c r="X129" i="12" s="1"/>
  <c r="U156" i="12"/>
  <c r="V156" i="12" s="1"/>
  <c r="W156" i="12" s="1"/>
  <c r="X156" i="12" s="1"/>
  <c r="Z156" i="12" s="1"/>
  <c r="AB156" i="12" s="1"/>
  <c r="U46" i="12"/>
  <c r="V46" i="12" s="1"/>
  <c r="W46" i="12" s="1"/>
  <c r="X46" i="12" s="1"/>
  <c r="Z46" i="12" s="1"/>
  <c r="AB46" i="12" s="1"/>
  <c r="W70" i="12"/>
  <c r="X70" i="12" s="1"/>
  <c r="U97" i="12"/>
  <c r="V97" i="12" s="1"/>
  <c r="W97" i="12" s="1"/>
  <c r="X97" i="12" s="1"/>
  <c r="U128" i="12"/>
  <c r="V128" i="12" s="1"/>
  <c r="W128" i="12" s="1"/>
  <c r="X128" i="12" s="1"/>
  <c r="Z128" i="12" s="1"/>
  <c r="AB128" i="12" s="1"/>
  <c r="AB140" i="12" s="1"/>
  <c r="AD391" i="12"/>
  <c r="AE391" i="12" s="1"/>
  <c r="AF391" i="12" s="1"/>
  <c r="AB405" i="12"/>
  <c r="U160" i="12"/>
  <c r="V160" i="12" s="1"/>
  <c r="W160" i="12" s="1"/>
  <c r="X160" i="12" s="1"/>
  <c r="Z160" i="12" s="1"/>
  <c r="AB160" i="12" s="1"/>
  <c r="U41" i="12"/>
  <c r="V41" i="12" s="1"/>
  <c r="W41" i="12" s="1"/>
  <c r="X41" i="12" s="1"/>
  <c r="Z41" i="12" s="1"/>
  <c r="AB41" i="12" s="1"/>
  <c r="U43" i="12"/>
  <c r="V43" i="12" s="1"/>
  <c r="W43" i="12" s="1"/>
  <c r="X43" i="12" s="1"/>
  <c r="Z43" i="12" s="1"/>
  <c r="AB43" i="12" s="1"/>
  <c r="U71" i="12"/>
  <c r="V71" i="12" s="1"/>
  <c r="W71" i="12" s="1"/>
  <c r="X71" i="12" s="1"/>
  <c r="Z71" i="12" s="1"/>
  <c r="AB71" i="12" s="1"/>
  <c r="W275" i="12"/>
  <c r="U253" i="12"/>
  <c r="V253" i="12" s="1"/>
  <c r="W253" i="12" s="1"/>
  <c r="X253" i="12" s="1"/>
  <c r="Z253" i="12" s="1"/>
  <c r="AB253" i="12" s="1"/>
  <c r="AB434" i="12"/>
  <c r="AD420" i="12"/>
  <c r="AE420" i="12" s="1"/>
  <c r="AF420" i="12" s="1"/>
  <c r="AD449" i="12"/>
  <c r="AE449" i="12" s="1"/>
  <c r="AF449" i="12" s="1"/>
  <c r="AB347" i="12"/>
  <c r="AD362" i="12"/>
  <c r="AE362" i="12" s="1"/>
  <c r="AF362" i="12" s="1"/>
  <c r="AB376" i="12"/>
  <c r="U42" i="12"/>
  <c r="V42" i="12" s="1"/>
  <c r="W42" i="12" s="1"/>
  <c r="X42" i="12" s="1"/>
  <c r="Z42" i="12" s="1"/>
  <c r="AB42" i="12" s="1"/>
  <c r="U98" i="12"/>
  <c r="V98" i="12" s="1"/>
  <c r="W98" i="12" s="1"/>
  <c r="X98" i="12" s="1"/>
  <c r="Z98" i="12" s="1"/>
  <c r="AB98" i="12" s="1"/>
  <c r="V250" i="12"/>
  <c r="W250" i="12" s="1"/>
  <c r="X250" i="12" s="1"/>
  <c r="U252" i="12"/>
  <c r="V252" i="12" s="1"/>
  <c r="W252" i="12" s="1"/>
  <c r="X252" i="12" s="1"/>
  <c r="Z252" i="12" s="1"/>
  <c r="AB252" i="12" s="1"/>
  <c r="U254" i="12"/>
  <c r="V254" i="12" s="1"/>
  <c r="W254" i="12" s="1"/>
  <c r="X254" i="12" s="1"/>
  <c r="Z254" i="12" s="1"/>
  <c r="AB254" i="12" s="1"/>
  <c r="AD333" i="12"/>
  <c r="AE333" i="12" s="1"/>
  <c r="AF333" i="12" s="1"/>
  <c r="AB958" i="12"/>
  <c r="AD126" i="12"/>
  <c r="AE126" i="12" s="1"/>
  <c r="AF126" i="12" s="1"/>
  <c r="V248" i="12"/>
  <c r="U251" i="12"/>
  <c r="V251" i="12" s="1"/>
  <c r="W251" i="12" s="1"/>
  <c r="X251" i="12" s="1"/>
  <c r="AB463" i="12"/>
  <c r="AB550" i="12"/>
  <c r="AD623" i="12"/>
  <c r="AE623" i="12" s="1"/>
  <c r="AF623" i="12" s="1"/>
  <c r="W826" i="12"/>
  <c r="X826" i="12" s="1"/>
  <c r="Z826" i="12" s="1"/>
  <c r="AB826" i="12" s="1"/>
  <c r="W627" i="12"/>
  <c r="X627" i="12" s="1"/>
  <c r="Z627" i="12" s="1"/>
  <c r="AB627" i="12" s="1"/>
  <c r="W739" i="12"/>
  <c r="X739" i="12" s="1"/>
  <c r="Z739" i="12" s="1"/>
  <c r="AD768" i="12"/>
  <c r="AE768" i="12" s="1"/>
  <c r="AF768" i="12" s="1"/>
  <c r="AB782" i="12"/>
  <c r="AD798" i="12"/>
  <c r="AE798" i="12" s="1"/>
  <c r="AF798" i="12" s="1"/>
  <c r="AB811" i="12"/>
  <c r="AB869" i="12"/>
  <c r="AD855" i="12"/>
  <c r="AE855" i="12" s="1"/>
  <c r="AF855" i="12" s="1"/>
  <c r="AD1036" i="12"/>
  <c r="AE1036" i="12" s="1"/>
  <c r="AF1036" i="12" s="1"/>
  <c r="AB1051" i="12"/>
  <c r="AB1110" i="12"/>
  <c r="V625" i="12"/>
  <c r="W625" i="12" s="1"/>
  <c r="X625" i="12" s="1"/>
  <c r="V884" i="12"/>
  <c r="W884" i="12" s="1"/>
  <c r="X884" i="12" s="1"/>
  <c r="AB931" i="12"/>
  <c r="U1005" i="12"/>
  <c r="V1005" i="12" s="1"/>
  <c r="W1005" i="12" s="1"/>
  <c r="X1005" i="12" s="1"/>
  <c r="Z1005" i="12" s="1"/>
  <c r="AB1005" i="12" s="1"/>
  <c r="U186" i="12"/>
  <c r="V186" i="12" s="1"/>
  <c r="W186" i="12" s="1"/>
  <c r="X186" i="12" s="1"/>
  <c r="Z186" i="12" s="1"/>
  <c r="AB186" i="12" s="1"/>
  <c r="AD1066" i="12"/>
  <c r="AE1066" i="12" s="1"/>
  <c r="AF1066" i="12" s="1"/>
  <c r="I1139" i="2"/>
  <c r="I1109" i="2"/>
  <c r="I1079" i="2"/>
  <c r="I1050" i="2"/>
  <c r="I1051" i="2"/>
  <c r="I1109" i="4"/>
  <c r="K1109" i="4" s="1"/>
  <c r="W1109" i="4" s="1"/>
  <c r="X1109" i="4" s="1"/>
  <c r="Z1109" i="4" s="1"/>
  <c r="AB1109" i="4" s="1"/>
  <c r="I1110" i="4"/>
  <c r="K1110" i="4" s="1"/>
  <c r="W1110" i="4" s="1"/>
  <c r="X1110" i="4" s="1"/>
  <c r="Z1110" i="4" s="1"/>
  <c r="AB1110" i="4" s="1"/>
  <c r="AD1108" i="4"/>
  <c r="AE1108" i="4" s="1"/>
  <c r="AF1108" i="4" s="1"/>
  <c r="I1108" i="4"/>
  <c r="K1108" i="4" s="1"/>
  <c r="W1108" i="4" s="1"/>
  <c r="X1108" i="4" s="1"/>
  <c r="AB1108" i="4" s="1"/>
  <c r="AB739" i="12" l="1"/>
  <c r="AG739" i="12"/>
  <c r="AB608" i="12"/>
  <c r="AB492" i="12"/>
  <c r="AB724" i="12"/>
  <c r="AD594" i="12"/>
  <c r="AE594" i="12" s="1"/>
  <c r="AF594" i="12" s="1"/>
  <c r="AD566" i="12"/>
  <c r="AE566" i="12" s="1"/>
  <c r="AF566" i="12" s="1"/>
  <c r="AB318" i="12"/>
  <c r="X276" i="12"/>
  <c r="Z276" i="12" s="1"/>
  <c r="AB276" i="12" s="1"/>
  <c r="AB695" i="12"/>
  <c r="AD681" i="12"/>
  <c r="AE681" i="12" s="1"/>
  <c r="AF681" i="12" s="1"/>
  <c r="AD652" i="12"/>
  <c r="AE652" i="12" s="1"/>
  <c r="AF652" i="12" s="1"/>
  <c r="AD218" i="12"/>
  <c r="AE218" i="12" s="1"/>
  <c r="AF218" i="12" s="1"/>
  <c r="W1067" i="12"/>
  <c r="X1067" i="12" s="1"/>
  <c r="AB840" i="12"/>
  <c r="AB990" i="12"/>
  <c r="AB24" i="12"/>
  <c r="AB231" i="12"/>
  <c r="AD217" i="12"/>
  <c r="AE217" i="12" s="1"/>
  <c r="AF217" i="12" s="1"/>
  <c r="X275" i="12"/>
  <c r="AD710" i="12"/>
  <c r="AE710" i="12" s="1"/>
  <c r="AF710" i="12" s="1"/>
  <c r="AB579" i="12"/>
  <c r="AB202" i="12"/>
  <c r="AB260" i="12"/>
  <c r="AD42" i="12"/>
  <c r="AE42" i="12" s="1"/>
  <c r="AF42" i="12" s="1"/>
  <c r="AB82" i="12"/>
  <c r="AD43" i="12"/>
  <c r="AE43" i="12" s="1"/>
  <c r="AF43" i="12" s="1"/>
  <c r="AB170" i="12"/>
  <c r="AB1021" i="12"/>
  <c r="AB53" i="12"/>
  <c r="AB111" i="12"/>
  <c r="AD46" i="12"/>
  <c r="AE46" i="12" s="1"/>
  <c r="AF46" i="12" s="1"/>
  <c r="AD44" i="12"/>
  <c r="AE44" i="12" s="1"/>
  <c r="AF44" i="12" s="1"/>
  <c r="AB753" i="12"/>
  <c r="AD739" i="12"/>
  <c r="AE739" i="12" s="1"/>
  <c r="AF739" i="12" s="1"/>
  <c r="AD41" i="12"/>
  <c r="AE41" i="12" s="1"/>
  <c r="AF41" i="12" s="1"/>
  <c r="AB637" i="12"/>
  <c r="AB1129" i="4"/>
  <c r="U802" i="4"/>
  <c r="V802" i="4" s="1"/>
  <c r="K836" i="4"/>
  <c r="W836" i="4" s="1"/>
  <c r="X836" i="4" s="1"/>
  <c r="Z836" i="4" s="1"/>
  <c r="K835" i="4"/>
  <c r="W835" i="4" s="1"/>
  <c r="X835" i="4" s="1"/>
  <c r="Z835" i="4" s="1"/>
  <c r="I836" i="4"/>
  <c r="I837" i="4"/>
  <c r="K837" i="4" s="1"/>
  <c r="W837" i="4" s="1"/>
  <c r="X837" i="4" s="1"/>
  <c r="Z837" i="4" s="1"/>
  <c r="I838" i="4"/>
  <c r="K838" i="4" s="1"/>
  <c r="W838" i="4" s="1"/>
  <c r="X838" i="4" s="1"/>
  <c r="Z838" i="4" s="1"/>
  <c r="I835" i="4"/>
  <c r="I802" i="4"/>
  <c r="K802" i="4" s="1"/>
  <c r="S270" i="10"/>
  <c r="K270" i="10"/>
  <c r="S269" i="10"/>
  <c r="I269" i="10"/>
  <c r="K269" i="10" s="1"/>
  <c r="S268" i="10"/>
  <c r="U268" i="10" s="1"/>
  <c r="V268" i="10" s="1"/>
  <c r="I268" i="10"/>
  <c r="K268" i="10" s="1"/>
  <c r="I235" i="10"/>
  <c r="K235" i="10" s="1"/>
  <c r="W235" i="10" s="1"/>
  <c r="X235" i="10" s="1"/>
  <c r="Z235" i="10" s="1"/>
  <c r="AB235" i="10" s="1"/>
  <c r="I234" i="10"/>
  <c r="K234" i="10" s="1"/>
  <c r="W234" i="10" s="1"/>
  <c r="X234" i="10" s="1"/>
  <c r="Z234" i="10" s="1"/>
  <c r="AB234" i="10" s="1"/>
  <c r="I203" i="10"/>
  <c r="K203" i="10" s="1"/>
  <c r="U202" i="10"/>
  <c r="V202" i="10" s="1"/>
  <c r="I202" i="10"/>
  <c r="K202" i="10" s="1"/>
  <c r="AI179" i="10"/>
  <c r="S178" i="10"/>
  <c r="S177" i="10"/>
  <c r="U177" i="10" s="1"/>
  <c r="S176" i="10"/>
  <c r="I176" i="10"/>
  <c r="K176" i="10" s="1"/>
  <c r="S175" i="10"/>
  <c r="I175" i="10"/>
  <c r="K175" i="10" s="1"/>
  <c r="AB174" i="10"/>
  <c r="S174" i="10"/>
  <c r="I174" i="10"/>
  <c r="K174" i="10" s="1"/>
  <c r="AB173" i="10"/>
  <c r="I173" i="10"/>
  <c r="K173" i="10" s="1"/>
  <c r="W173" i="10" s="1"/>
  <c r="X173" i="10" s="1"/>
  <c r="AB172" i="10"/>
  <c r="I172" i="10"/>
  <c r="K172" i="10" s="1"/>
  <c r="W172" i="10" s="1"/>
  <c r="X172" i="10" s="1"/>
  <c r="AB171" i="10"/>
  <c r="I171" i="10"/>
  <c r="K171" i="10" s="1"/>
  <c r="W171" i="10" s="1"/>
  <c r="X171" i="10" s="1"/>
  <c r="I139" i="10"/>
  <c r="K139" i="10" s="1"/>
  <c r="P116" i="10"/>
  <c r="S115" i="10"/>
  <c r="U115" i="10" s="1"/>
  <c r="V115" i="10" s="1"/>
  <c r="W115" i="10" s="1"/>
  <c r="X115" i="10" s="1"/>
  <c r="Z115" i="10" s="1"/>
  <c r="AB115" i="10" s="1"/>
  <c r="P115" i="10"/>
  <c r="P114" i="10"/>
  <c r="I112" i="10"/>
  <c r="K112" i="10" s="1"/>
  <c r="P110" i="10"/>
  <c r="P109" i="10"/>
  <c r="S109" i="10" s="1"/>
  <c r="U109" i="10" s="1"/>
  <c r="V109" i="10" s="1"/>
  <c r="P108" i="10"/>
  <c r="I106" i="10"/>
  <c r="P75" i="10"/>
  <c r="S75" i="10" s="1"/>
  <c r="P74" i="10"/>
  <c r="S74" i="10" s="1"/>
  <c r="I74" i="10"/>
  <c r="K74" i="10" s="1"/>
  <c r="S43" i="10"/>
  <c r="P43" i="10"/>
  <c r="AB42" i="10"/>
  <c r="AC42" i="10" s="1"/>
  <c r="S42" i="10"/>
  <c r="K42" i="10"/>
  <c r="P11" i="10"/>
  <c r="S11" i="10" s="1"/>
  <c r="U11" i="10" s="1"/>
  <c r="V11" i="10" s="1"/>
  <c r="W11" i="10" s="1"/>
  <c r="X11" i="10" s="1"/>
  <c r="Z11" i="10" s="1"/>
  <c r="AB11" i="10" s="1"/>
  <c r="AB10" i="10"/>
  <c r="AD10" i="10" s="1"/>
  <c r="AE10" i="10" s="1"/>
  <c r="AF10" i="10" s="1"/>
  <c r="U10" i="10"/>
  <c r="S10" i="10"/>
  <c r="I10" i="10"/>
  <c r="K10" i="10" s="1"/>
  <c r="W202" i="10" l="1"/>
  <c r="X202" i="10" s="1"/>
  <c r="Z202" i="10" s="1"/>
  <c r="AB202" i="10" s="1"/>
  <c r="AB219" i="10" s="1"/>
  <c r="W802" i="4"/>
  <c r="X802" i="4" s="1"/>
  <c r="Z802" i="4" s="1"/>
  <c r="S108" i="10"/>
  <c r="P111" i="10"/>
  <c r="H107" i="10" s="1"/>
  <c r="S114" i="10"/>
  <c r="P117" i="10"/>
  <c r="H113" i="10" s="1"/>
  <c r="V177" i="10"/>
  <c r="W177" i="10" s="1"/>
  <c r="X177" i="10" s="1"/>
  <c r="Z177" i="10" s="1"/>
  <c r="AB177" i="10" s="1"/>
  <c r="W268" i="10"/>
  <c r="X268" i="10" s="1"/>
  <c r="Z268" i="10" s="1"/>
  <c r="AB268" i="10" s="1"/>
  <c r="H109" i="10"/>
  <c r="U270" i="10"/>
  <c r="V270" i="10" s="1"/>
  <c r="W270" i="10" s="1"/>
  <c r="X270" i="10" s="1"/>
  <c r="Z270" i="10" s="1"/>
  <c r="AB270" i="10" s="1"/>
  <c r="I110" i="10"/>
  <c r="K110" i="10" s="1"/>
  <c r="I108" i="10"/>
  <c r="K108" i="10" s="1"/>
  <c r="I109" i="10"/>
  <c r="K109" i="10" s="1"/>
  <c r="W109" i="10" s="1"/>
  <c r="X109" i="10" s="1"/>
  <c r="Z109" i="10" s="1"/>
  <c r="AB109" i="10" s="1"/>
  <c r="I107" i="10"/>
  <c r="K107" i="10" s="1"/>
  <c r="W107" i="10" s="1"/>
  <c r="X107" i="10" s="1"/>
  <c r="V10" i="10"/>
  <c r="W10" i="10" s="1"/>
  <c r="X10" i="10" s="1"/>
  <c r="K106" i="10"/>
  <c r="S110" i="10"/>
  <c r="H110" i="10"/>
  <c r="S116" i="10"/>
  <c r="H116" i="10"/>
  <c r="U175" i="10"/>
  <c r="V175" i="10" s="1"/>
  <c r="W175" i="10" s="1"/>
  <c r="X175" i="10" s="1"/>
  <c r="Z175" i="10" s="1"/>
  <c r="AB175" i="10" s="1"/>
  <c r="AB187" i="10" s="1"/>
  <c r="U176" i="10"/>
  <c r="V176" i="10" s="1"/>
  <c r="W176" i="10" s="1"/>
  <c r="X176" i="10" s="1"/>
  <c r="Z176" i="10" s="1"/>
  <c r="AB176" i="10" s="1"/>
  <c r="U178" i="10"/>
  <c r="V178" i="10" s="1"/>
  <c r="W178" i="10" s="1"/>
  <c r="X178" i="10" s="1"/>
  <c r="Z178" i="10" s="1"/>
  <c r="AB178" i="10" s="1"/>
  <c r="AB289" i="12"/>
  <c r="AD11" i="10"/>
  <c r="AE11" i="10" s="1"/>
  <c r="AF11" i="10" s="1"/>
  <c r="AB27" i="10"/>
  <c r="U116" i="10"/>
  <c r="V116" i="10" s="1"/>
  <c r="W116" i="10" s="1"/>
  <c r="X116" i="10" s="1"/>
  <c r="Z116" i="10" s="1"/>
  <c r="AB116" i="10" s="1"/>
  <c r="AD202" i="10"/>
  <c r="AE202" i="10" s="1"/>
  <c r="AF202" i="10" s="1"/>
  <c r="U110" i="10"/>
  <c r="V110" i="10" s="1"/>
  <c r="AB253" i="10"/>
  <c r="AD234" i="10"/>
  <c r="AE234" i="10" s="1"/>
  <c r="AF234" i="10" s="1"/>
  <c r="U114" i="10"/>
  <c r="V114" i="10" s="1"/>
  <c r="W114" i="10" s="1"/>
  <c r="X114" i="10" s="1"/>
  <c r="Z114" i="10" s="1"/>
  <c r="AB114" i="10" s="1"/>
  <c r="AD268" i="10"/>
  <c r="AE268" i="10" s="1"/>
  <c r="AF268" i="10" s="1"/>
  <c r="U75" i="10"/>
  <c r="V75" i="10" s="1"/>
  <c r="W75" i="10" s="1"/>
  <c r="X75" i="10" s="1"/>
  <c r="Z75" i="10" s="1"/>
  <c r="AB75" i="10" s="1"/>
  <c r="U108" i="10"/>
  <c r="V108" i="10" s="1"/>
  <c r="U42" i="10"/>
  <c r="V42" i="10" s="1"/>
  <c r="U43" i="10"/>
  <c r="V43" i="10" s="1"/>
  <c r="U74" i="10"/>
  <c r="V74" i="10" s="1"/>
  <c r="W74" i="10" s="1"/>
  <c r="X74" i="10" s="1"/>
  <c r="U174" i="10"/>
  <c r="V174" i="10" s="1"/>
  <c r="W174" i="10" s="1"/>
  <c r="X174" i="10" s="1"/>
  <c r="U269" i="10"/>
  <c r="V269" i="10" s="1"/>
  <c r="W269" i="10" s="1"/>
  <c r="X269" i="10" s="1"/>
  <c r="Z269" i="10" s="1"/>
  <c r="AB269" i="10" s="1"/>
  <c r="AD42" i="10"/>
  <c r="W108" i="10" l="1"/>
  <c r="X108" i="10" s="1"/>
  <c r="Z108" i="10" s="1"/>
  <c r="AB108" i="10" s="1"/>
  <c r="W110" i="10"/>
  <c r="X110" i="10" s="1"/>
  <c r="Z110" i="10" s="1"/>
  <c r="AB110" i="10" s="1"/>
  <c r="H114" i="10"/>
  <c r="H115" i="10"/>
  <c r="W43" i="10"/>
  <c r="X43" i="10" s="1"/>
  <c r="Z43" i="10" s="1"/>
  <c r="AB43" i="10" s="1"/>
  <c r="AB59" i="10" s="1"/>
  <c r="X42" i="10"/>
  <c r="H108" i="10"/>
  <c r="W42" i="10"/>
  <c r="AB156" i="10"/>
  <c r="AB285" i="10"/>
  <c r="AB91" i="10"/>
  <c r="AE42" i="10"/>
  <c r="AF42" i="10" s="1"/>
  <c r="AB124" i="10" l="1"/>
  <c r="I11" i="11" l="1"/>
  <c r="I12" i="11"/>
  <c r="I13" i="11"/>
  <c r="K13" i="11" s="1"/>
  <c r="S424" i="11"/>
  <c r="U424" i="11" s="1"/>
  <c r="V424" i="11" s="1"/>
  <c r="I424" i="11"/>
  <c r="K424" i="11" s="1"/>
  <c r="I392" i="11"/>
  <c r="K392" i="11" s="1"/>
  <c r="W392" i="11" s="1"/>
  <c r="X392" i="11" s="1"/>
  <c r="Z392" i="11" s="1"/>
  <c r="AB392" i="11" s="1"/>
  <c r="I361" i="11"/>
  <c r="K361" i="11" s="1"/>
  <c r="W361" i="11" s="1"/>
  <c r="X361" i="11" s="1"/>
  <c r="Z361" i="11" s="1"/>
  <c r="AB361" i="11" s="1"/>
  <c r="I360" i="11"/>
  <c r="K360" i="11" s="1"/>
  <c r="W360" i="11" s="1"/>
  <c r="X360" i="11" s="1"/>
  <c r="Z360" i="11" s="1"/>
  <c r="AB360" i="11" s="1"/>
  <c r="I328" i="11"/>
  <c r="K328" i="11" s="1"/>
  <c r="W328" i="11" s="1"/>
  <c r="X328" i="11" s="1"/>
  <c r="Z328" i="11" s="1"/>
  <c r="AB328" i="11" s="1"/>
  <c r="I298" i="11"/>
  <c r="K298" i="11" s="1"/>
  <c r="S297" i="11"/>
  <c r="U297" i="11" s="1"/>
  <c r="V297" i="11" s="1"/>
  <c r="I297" i="11"/>
  <c r="K297" i="11" s="1"/>
  <c r="AB296" i="11"/>
  <c r="I296" i="11"/>
  <c r="K296" i="11" s="1"/>
  <c r="W296" i="11" s="1"/>
  <c r="X296" i="11" s="1"/>
  <c r="S268" i="11"/>
  <c r="I268" i="11"/>
  <c r="K268" i="11" s="1"/>
  <c r="AB267" i="11"/>
  <c r="P267" i="11"/>
  <c r="S267" i="11" s="1"/>
  <c r="I267" i="11"/>
  <c r="K267" i="11" s="1"/>
  <c r="AB266" i="11"/>
  <c r="I266" i="11"/>
  <c r="K266" i="11" s="1"/>
  <c r="W266" i="11" s="1"/>
  <c r="AB265" i="11"/>
  <c r="P265" i="11"/>
  <c r="S265" i="11" s="1"/>
  <c r="U265" i="11" s="1"/>
  <c r="I265" i="11"/>
  <c r="K265" i="11" s="1"/>
  <c r="AB264" i="11"/>
  <c r="AD264" i="11" s="1"/>
  <c r="AE264" i="11" s="1"/>
  <c r="AF264" i="11" s="1"/>
  <c r="I264" i="11"/>
  <c r="K264" i="11" s="1"/>
  <c r="W264" i="11" s="1"/>
  <c r="X264" i="11" s="1"/>
  <c r="S233" i="11"/>
  <c r="U233" i="11" s="1"/>
  <c r="I233" i="11"/>
  <c r="K233" i="11" s="1"/>
  <c r="I201" i="11"/>
  <c r="K201" i="11" s="1"/>
  <c r="W201" i="11" s="1"/>
  <c r="X201" i="11" s="1"/>
  <c r="Z201" i="11" s="1"/>
  <c r="AB201" i="11" s="1"/>
  <c r="AD201" i="11" s="1"/>
  <c r="AE201" i="11" s="1"/>
  <c r="AF201" i="11" s="1"/>
  <c r="P172" i="11"/>
  <c r="S172" i="11" s="1"/>
  <c r="I172" i="11"/>
  <c r="K172" i="11" s="1"/>
  <c r="P171" i="11"/>
  <c r="S171" i="11" s="1"/>
  <c r="U171" i="11" s="1"/>
  <c r="I171" i="11"/>
  <c r="K171" i="11" s="1"/>
  <c r="P140" i="11"/>
  <c r="S140" i="11" s="1"/>
  <c r="I140" i="11"/>
  <c r="K140" i="11" s="1"/>
  <c r="AD139" i="11"/>
  <c r="AE139" i="11" s="1"/>
  <c r="AF139" i="11" s="1"/>
  <c r="I139" i="11"/>
  <c r="K139" i="11" s="1"/>
  <c r="P138" i="11"/>
  <c r="S138" i="11" s="1"/>
  <c r="I138" i="11"/>
  <c r="K138" i="11" s="1"/>
  <c r="AG119" i="11"/>
  <c r="P117" i="11"/>
  <c r="S117" i="11" s="1"/>
  <c r="P116" i="11"/>
  <c r="S116" i="11" s="1"/>
  <c r="P115" i="11"/>
  <c r="S115" i="11" s="1"/>
  <c r="U115" i="11" s="1"/>
  <c r="P114" i="11"/>
  <c r="S114" i="11" s="1"/>
  <c r="U114" i="11" s="1"/>
  <c r="AG113" i="11"/>
  <c r="P113" i="11"/>
  <c r="S113" i="11" s="1"/>
  <c r="I113" i="11"/>
  <c r="K113" i="11" s="1"/>
  <c r="P112" i="11"/>
  <c r="S112" i="11" s="1"/>
  <c r="P111" i="11"/>
  <c r="S111" i="11" s="1"/>
  <c r="U111" i="11" s="1"/>
  <c r="P110" i="11"/>
  <c r="S110" i="11" s="1"/>
  <c r="U110" i="11" s="1"/>
  <c r="V110" i="11" s="1"/>
  <c r="W110" i="11" s="1"/>
  <c r="X110" i="11" s="1"/>
  <c r="Z110" i="11" s="1"/>
  <c r="AB110" i="11" s="1"/>
  <c r="P109" i="11"/>
  <c r="S109" i="11" s="1"/>
  <c r="P108" i="11"/>
  <c r="S108" i="11" s="1"/>
  <c r="P107" i="11"/>
  <c r="S107" i="11" s="1"/>
  <c r="P106" i="11"/>
  <c r="S106" i="11" s="1"/>
  <c r="I106" i="11"/>
  <c r="K106" i="11" s="1"/>
  <c r="P78" i="11"/>
  <c r="S78" i="11" s="1"/>
  <c r="P77" i="11"/>
  <c r="S77" i="11" s="1"/>
  <c r="P76" i="11"/>
  <c r="S76" i="11" s="1"/>
  <c r="U76" i="11" s="1"/>
  <c r="P75" i="11"/>
  <c r="S75" i="11" s="1"/>
  <c r="U75" i="11" s="1"/>
  <c r="V75" i="11" s="1"/>
  <c r="I75" i="11"/>
  <c r="K75" i="11" s="1"/>
  <c r="AB74" i="11"/>
  <c r="AD74" i="11" s="1"/>
  <c r="AE74" i="11" s="1"/>
  <c r="AF74" i="11" s="1"/>
  <c r="I74" i="11"/>
  <c r="K74" i="11" s="1"/>
  <c r="W74" i="11" s="1"/>
  <c r="X74" i="11" s="1"/>
  <c r="P48" i="11"/>
  <c r="S48" i="11" s="1"/>
  <c r="U48" i="11" s="1"/>
  <c r="V48" i="11" s="1"/>
  <c r="I48" i="11"/>
  <c r="K48" i="11" s="1"/>
  <c r="AB47" i="11"/>
  <c r="I47" i="11"/>
  <c r="K47" i="11" s="1"/>
  <c r="W47" i="11" s="1"/>
  <c r="X47" i="11" s="1"/>
  <c r="AB46" i="11"/>
  <c r="I46" i="11"/>
  <c r="K46" i="11" s="1"/>
  <c r="W46" i="11" s="1"/>
  <c r="X46" i="11" s="1"/>
  <c r="AB45" i="11"/>
  <c r="I45" i="11"/>
  <c r="K45" i="11" s="1"/>
  <c r="W45" i="11" s="1"/>
  <c r="X45" i="11" s="1"/>
  <c r="AB44" i="11"/>
  <c r="I44" i="11"/>
  <c r="K44" i="11" s="1"/>
  <c r="W44" i="11" s="1"/>
  <c r="X44" i="11" s="1"/>
  <c r="AB43" i="11"/>
  <c r="I43" i="11"/>
  <c r="K43" i="11" s="1"/>
  <c r="W43" i="11" s="1"/>
  <c r="X43" i="11" s="1"/>
  <c r="AB42" i="11"/>
  <c r="I42" i="11"/>
  <c r="K42" i="11" s="1"/>
  <c r="W42" i="11" s="1"/>
  <c r="X42" i="11" s="1"/>
  <c r="P13" i="11"/>
  <c r="S13" i="11" s="1"/>
  <c r="P12" i="11"/>
  <c r="S12" i="11" s="1"/>
  <c r="K12" i="11"/>
  <c r="AB11" i="11"/>
  <c r="AD11" i="11" s="1"/>
  <c r="AE11" i="11" s="1"/>
  <c r="AF11" i="11" s="1"/>
  <c r="S11" i="11"/>
  <c r="K11" i="11"/>
  <c r="AB10" i="11"/>
  <c r="AD10" i="11" s="1"/>
  <c r="AE10" i="11" s="1"/>
  <c r="AF10" i="11" s="1"/>
  <c r="I10" i="11"/>
  <c r="K10" i="11" s="1"/>
  <c r="W10" i="11" s="1"/>
  <c r="X10" i="11" s="1"/>
  <c r="X266" i="11" l="1"/>
  <c r="AD296" i="11"/>
  <c r="AE296" i="11" s="1"/>
  <c r="AF296" i="11" s="1"/>
  <c r="AD42" i="11"/>
  <c r="AE42" i="11" s="1"/>
  <c r="AF42" i="11" s="1"/>
  <c r="U107" i="11"/>
  <c r="V107" i="11" s="1"/>
  <c r="W107" i="11" s="1"/>
  <c r="X107" i="11" s="1"/>
  <c r="Z107" i="11" s="1"/>
  <c r="AB107" i="11" s="1"/>
  <c r="U113" i="11"/>
  <c r="V113" i="11" s="1"/>
  <c r="W113" i="11" s="1"/>
  <c r="X113" i="11" s="1"/>
  <c r="Z113" i="11" s="1"/>
  <c r="AB113" i="11" s="1"/>
  <c r="W48" i="11"/>
  <c r="X48" i="11" s="1"/>
  <c r="Z48" i="11" s="1"/>
  <c r="AB48" i="11" s="1"/>
  <c r="V111" i="11"/>
  <c r="W111" i="11" s="1"/>
  <c r="X111" i="11" s="1"/>
  <c r="Z111" i="11" s="1"/>
  <c r="AB111" i="11" s="1"/>
  <c r="V115" i="11"/>
  <c r="W115" i="11" s="1"/>
  <c r="X115" i="11" s="1"/>
  <c r="Z115" i="11" s="1"/>
  <c r="AB115" i="11" s="1"/>
  <c r="AD43" i="11"/>
  <c r="AE43" i="11" s="1"/>
  <c r="AF43" i="11" s="1"/>
  <c r="U106" i="11"/>
  <c r="V106" i="11" s="1"/>
  <c r="W106" i="11" s="1"/>
  <c r="X106" i="11" s="1"/>
  <c r="Z106" i="11" s="1"/>
  <c r="AB106" i="11" s="1"/>
  <c r="V233" i="11"/>
  <c r="W233" i="11" s="1"/>
  <c r="U12" i="11"/>
  <c r="V12" i="11" s="1"/>
  <c r="W12" i="11" s="1"/>
  <c r="X12" i="11" s="1"/>
  <c r="Z12" i="11" s="1"/>
  <c r="AB12" i="11" s="1"/>
  <c r="AB345" i="11"/>
  <c r="AD328" i="11"/>
  <c r="AE328" i="11" s="1"/>
  <c r="AF328" i="11" s="1"/>
  <c r="W75" i="11"/>
  <c r="X75" i="11" s="1"/>
  <c r="Z75" i="11" s="1"/>
  <c r="AB75" i="11" s="1"/>
  <c r="AB377" i="11"/>
  <c r="AB409" i="11"/>
  <c r="AB59" i="11"/>
  <c r="U77" i="11"/>
  <c r="V77" i="11" s="1"/>
  <c r="W77" i="11" s="1"/>
  <c r="X77" i="11" s="1"/>
  <c r="Z77" i="11" s="1"/>
  <c r="AB77" i="11" s="1"/>
  <c r="U109" i="11"/>
  <c r="V109" i="11" s="1"/>
  <c r="W109" i="11" s="1"/>
  <c r="X109" i="11" s="1"/>
  <c r="Z109" i="11" s="1"/>
  <c r="AB109" i="11" s="1"/>
  <c r="U117" i="11"/>
  <c r="V117" i="11"/>
  <c r="W117" i="11" s="1"/>
  <c r="X117" i="11" s="1"/>
  <c r="Z117" i="11" s="1"/>
  <c r="AB117" i="11" s="1"/>
  <c r="U138" i="11"/>
  <c r="V138" i="11" s="1"/>
  <c r="W138" i="11" s="1"/>
  <c r="X138" i="11" s="1"/>
  <c r="Z138" i="11" s="1"/>
  <c r="AB138" i="11" s="1"/>
  <c r="U172" i="11"/>
  <c r="V172" i="11" s="1"/>
  <c r="W172" i="11" s="1"/>
  <c r="X172" i="11" s="1"/>
  <c r="Z172" i="11" s="1"/>
  <c r="AB172" i="11" s="1"/>
  <c r="AB218" i="11"/>
  <c r="W424" i="11"/>
  <c r="X424" i="11" s="1"/>
  <c r="Z424" i="11" s="1"/>
  <c r="AB424" i="11" s="1"/>
  <c r="W297" i="11"/>
  <c r="U11" i="11"/>
  <c r="V11" i="11" s="1"/>
  <c r="W11" i="11" s="1"/>
  <c r="X11" i="11" s="1"/>
  <c r="U108" i="11"/>
  <c r="V108" i="11" s="1"/>
  <c r="W108" i="11" s="1"/>
  <c r="X108" i="11" s="1"/>
  <c r="Z108" i="11" s="1"/>
  <c r="AB108" i="11" s="1"/>
  <c r="U116" i="11"/>
  <c r="V116" i="11" s="1"/>
  <c r="W116" i="11" s="1"/>
  <c r="X116" i="11" s="1"/>
  <c r="Z116" i="11" s="1"/>
  <c r="AB116" i="11" s="1"/>
  <c r="U268" i="11"/>
  <c r="V268" i="11" s="1"/>
  <c r="W268" i="11" s="1"/>
  <c r="U112" i="11"/>
  <c r="V112" i="11" s="1"/>
  <c r="W112" i="11" s="1"/>
  <c r="X112" i="11" s="1"/>
  <c r="Z112" i="11" s="1"/>
  <c r="AB112" i="11" s="1"/>
  <c r="U140" i="11"/>
  <c r="V140" i="11" s="1"/>
  <c r="W140" i="11" s="1"/>
  <c r="X140" i="11" s="1"/>
  <c r="Z140" i="11" s="1"/>
  <c r="AB140" i="11" s="1"/>
  <c r="U13" i="11"/>
  <c r="V13" i="11" s="1"/>
  <c r="W13" i="11" s="1"/>
  <c r="X13" i="11" s="1"/>
  <c r="Z13" i="11" s="1"/>
  <c r="AB13" i="11" s="1"/>
  <c r="V76" i="11"/>
  <c r="W76" i="11" s="1"/>
  <c r="X76" i="11" s="1"/>
  <c r="Z76" i="11" s="1"/>
  <c r="AB76" i="11" s="1"/>
  <c r="U78" i="11"/>
  <c r="V78" i="11" s="1"/>
  <c r="W78" i="11" s="1"/>
  <c r="X78" i="11" s="1"/>
  <c r="Z78" i="11" s="1"/>
  <c r="AB78" i="11" s="1"/>
  <c r="V114" i="11"/>
  <c r="W114" i="11" s="1"/>
  <c r="X114" i="11" s="1"/>
  <c r="Z114" i="11" s="1"/>
  <c r="AB114" i="11" s="1"/>
  <c r="V171" i="11"/>
  <c r="W171" i="11" s="1"/>
  <c r="X171" i="11" s="1"/>
  <c r="Z171" i="11" s="1"/>
  <c r="AB171" i="11" s="1"/>
  <c r="V265" i="11"/>
  <c r="W265" i="11" s="1"/>
  <c r="U267" i="11"/>
  <c r="V267" i="11" s="1"/>
  <c r="I974" i="6"/>
  <c r="K974" i="6" s="1"/>
  <c r="I945" i="6"/>
  <c r="I944" i="6"/>
  <c r="I735" i="6"/>
  <c r="K735" i="6" s="1"/>
  <c r="W735" i="6" s="1"/>
  <c r="X735" i="6" s="1"/>
  <c r="Z735" i="6" s="1"/>
  <c r="I736" i="6"/>
  <c r="K736" i="6" s="1"/>
  <c r="W736" i="6" s="1"/>
  <c r="X736" i="6" s="1"/>
  <c r="Z736" i="6" s="1"/>
  <c r="I737" i="6"/>
  <c r="K737" i="6" s="1"/>
  <c r="W737" i="6" s="1"/>
  <c r="X737" i="6" s="1"/>
  <c r="Z737" i="6" s="1"/>
  <c r="I738" i="6"/>
  <c r="K738" i="6" s="1"/>
  <c r="W738" i="6" s="1"/>
  <c r="X738" i="6" s="1"/>
  <c r="Z738" i="6" s="1"/>
  <c r="I739" i="6"/>
  <c r="I734" i="6"/>
  <c r="K734" i="6" s="1"/>
  <c r="W734" i="6" s="1"/>
  <c r="X734" i="6" s="1"/>
  <c r="Z734" i="6" s="1"/>
  <c r="AD706" i="6"/>
  <c r="AE706" i="6" s="1"/>
  <c r="AF706" i="6" s="1"/>
  <c r="AD673" i="6"/>
  <c r="AE673" i="6" s="1"/>
  <c r="AF673" i="6" s="1"/>
  <c r="I706" i="6"/>
  <c r="K706" i="6" s="1"/>
  <c r="W706" i="6" s="1"/>
  <c r="X706" i="6" s="1"/>
  <c r="Z706" i="6" s="1"/>
  <c r="AB706" i="6" s="1"/>
  <c r="I681" i="6"/>
  <c r="K681" i="6" s="1"/>
  <c r="I680" i="6"/>
  <c r="K680" i="6" s="1"/>
  <c r="I673" i="6"/>
  <c r="K673" i="6" s="1"/>
  <c r="W673" i="6" s="1"/>
  <c r="X673" i="6" s="1"/>
  <c r="Z673" i="6" s="1"/>
  <c r="AB673" i="6" s="1"/>
  <c r="I643" i="6"/>
  <c r="K643" i="6" s="1"/>
  <c r="W643" i="6" s="1"/>
  <c r="X643" i="6" s="1"/>
  <c r="Z643" i="6" s="1"/>
  <c r="AB643" i="6" s="1"/>
  <c r="I614" i="6"/>
  <c r="K614" i="6" s="1"/>
  <c r="W614" i="6" s="1"/>
  <c r="X614" i="6" s="1"/>
  <c r="Z614" i="6" s="1"/>
  <c r="I613" i="6"/>
  <c r="K613" i="6" s="1"/>
  <c r="W613" i="6" s="1"/>
  <c r="X613" i="6" s="1"/>
  <c r="Z613" i="6" s="1"/>
  <c r="X233" i="11" l="1"/>
  <c r="Z233" i="11" s="1"/>
  <c r="AB233" i="11" s="1"/>
  <c r="X268" i="11"/>
  <c r="Z268" i="11" s="1"/>
  <c r="AB268" i="11" s="1"/>
  <c r="AB281" i="11" s="1"/>
  <c r="AB123" i="11"/>
  <c r="X265" i="11"/>
  <c r="W267" i="11"/>
  <c r="X267" i="11" s="1"/>
  <c r="AB249" i="11"/>
  <c r="AB155" i="11"/>
  <c r="AD138" i="11"/>
  <c r="AE138" i="11" s="1"/>
  <c r="AF138" i="11" s="1"/>
  <c r="X297" i="11"/>
  <c r="Z297" i="11"/>
  <c r="AB297" i="11" s="1"/>
  <c r="AB441" i="11"/>
  <c r="AB91" i="11"/>
  <c r="AB27" i="11"/>
  <c r="AD171" i="11"/>
  <c r="AE171" i="11" s="1"/>
  <c r="AF171" i="11" s="1"/>
  <c r="AB186" i="11"/>
  <c r="K584" i="6"/>
  <c r="W584" i="6" s="1"/>
  <c r="X584" i="6" s="1"/>
  <c r="Z584" i="6" s="1"/>
  <c r="I584" i="6"/>
  <c r="I583" i="6"/>
  <c r="K583" i="6" s="1"/>
  <c r="W583" i="6" s="1"/>
  <c r="X583" i="6" s="1"/>
  <c r="S555" i="6"/>
  <c r="U555" i="6" s="1"/>
  <c r="V555" i="6" s="1"/>
  <c r="W555" i="6" s="1"/>
  <c r="X555" i="6" s="1"/>
  <c r="Z555" i="6" s="1"/>
  <c r="S556" i="6"/>
  <c r="U556" i="6" s="1"/>
  <c r="V556" i="6" s="1"/>
  <c r="W556" i="6" s="1"/>
  <c r="X556" i="6" s="1"/>
  <c r="Z556" i="6" s="1"/>
  <c r="S557" i="6"/>
  <c r="U557" i="6" s="1"/>
  <c r="V557" i="6" s="1"/>
  <c r="W557" i="6" s="1"/>
  <c r="X557" i="6" s="1"/>
  <c r="Z557" i="6" s="1"/>
  <c r="S554" i="6"/>
  <c r="I553" i="6"/>
  <c r="K553" i="6" s="1"/>
  <c r="U493" i="6"/>
  <c r="S494" i="6"/>
  <c r="U494" i="6" s="1"/>
  <c r="V494" i="6" s="1"/>
  <c r="S493" i="6"/>
  <c r="S464" i="6"/>
  <c r="S465" i="6"/>
  <c r="S466" i="6"/>
  <c r="S463" i="6"/>
  <c r="K494" i="6"/>
  <c r="K493" i="6"/>
  <c r="I464" i="6"/>
  <c r="K464" i="6" s="1"/>
  <c r="I463" i="6"/>
  <c r="K463" i="6" s="1"/>
  <c r="U440" i="6"/>
  <c r="V440" i="6" s="1"/>
  <c r="S434" i="6"/>
  <c r="U434" i="6" s="1"/>
  <c r="S435" i="6"/>
  <c r="S436" i="6"/>
  <c r="U436" i="6" s="1"/>
  <c r="S437" i="6"/>
  <c r="U437" i="6" s="1"/>
  <c r="V437" i="6" s="1"/>
  <c r="S438" i="6"/>
  <c r="S439" i="6"/>
  <c r="S433" i="6"/>
  <c r="U433" i="6" s="1"/>
  <c r="I434" i="6"/>
  <c r="K434" i="6" s="1"/>
  <c r="I435" i="6"/>
  <c r="K435" i="6" s="1"/>
  <c r="I436" i="6"/>
  <c r="K436" i="6" s="1"/>
  <c r="I437" i="6"/>
  <c r="K437" i="6" s="1"/>
  <c r="I438" i="6"/>
  <c r="K438" i="6" s="1"/>
  <c r="I439" i="6"/>
  <c r="K439" i="6" s="1"/>
  <c r="I440" i="6"/>
  <c r="K440" i="6" s="1"/>
  <c r="I441" i="6"/>
  <c r="I433" i="6"/>
  <c r="K433" i="6" s="1"/>
  <c r="S406" i="6"/>
  <c r="U406" i="6" s="1"/>
  <c r="S407" i="6"/>
  <c r="U407" i="6" s="1"/>
  <c r="S408" i="6"/>
  <c r="S409" i="6"/>
  <c r="U409" i="6" s="1"/>
  <c r="V409" i="6" s="1"/>
  <c r="S405" i="6"/>
  <c r="U405" i="6" s="1"/>
  <c r="V405" i="6" s="1"/>
  <c r="S346" i="6"/>
  <c r="U346" i="6" s="1"/>
  <c r="V346" i="6" s="1"/>
  <c r="S345" i="6"/>
  <c r="U345" i="6" s="1"/>
  <c r="V345" i="6" s="1"/>
  <c r="I404" i="6"/>
  <c r="K404" i="6" s="1"/>
  <c r="W404" i="6" s="1"/>
  <c r="X404" i="6" s="1"/>
  <c r="I405" i="6"/>
  <c r="K405" i="6" s="1"/>
  <c r="I406" i="6"/>
  <c r="K406" i="6" s="1"/>
  <c r="I407" i="6"/>
  <c r="K407" i="6" s="1"/>
  <c r="I408" i="6"/>
  <c r="K408" i="6" s="1"/>
  <c r="W408" i="6" s="1"/>
  <c r="X408" i="6" s="1"/>
  <c r="I409" i="6"/>
  <c r="K409" i="6" s="1"/>
  <c r="I403" i="6"/>
  <c r="K403" i="6" s="1"/>
  <c r="W403" i="6" s="1"/>
  <c r="X403" i="6" s="1"/>
  <c r="I373" i="6"/>
  <c r="K373" i="6" s="1"/>
  <c r="W373" i="6" s="1"/>
  <c r="X373" i="6" s="1"/>
  <c r="Z373" i="6" s="1"/>
  <c r="I344" i="6"/>
  <c r="K344" i="6" s="1"/>
  <c r="W344" i="6" s="1"/>
  <c r="X344" i="6" s="1"/>
  <c r="I345" i="6"/>
  <c r="K345" i="6" s="1"/>
  <c r="I346" i="6"/>
  <c r="K346" i="6" s="1"/>
  <c r="I347" i="6"/>
  <c r="K347" i="6" s="1"/>
  <c r="W347" i="6" s="1"/>
  <c r="X347" i="6" s="1"/>
  <c r="Z347" i="6" s="1"/>
  <c r="I343" i="6"/>
  <c r="K343" i="6" s="1"/>
  <c r="W343" i="6" s="1"/>
  <c r="X343" i="6" s="1"/>
  <c r="S314" i="6"/>
  <c r="U314" i="6" s="1"/>
  <c r="V314" i="6" s="1"/>
  <c r="S313" i="6"/>
  <c r="U313" i="6" s="1"/>
  <c r="V313" i="6" s="1"/>
  <c r="S285" i="6"/>
  <c r="U285" i="6" s="1"/>
  <c r="V285" i="6" s="1"/>
  <c r="S286" i="6"/>
  <c r="U286" i="6" s="1"/>
  <c r="V286" i="6" s="1"/>
  <c r="S284" i="6"/>
  <c r="I314" i="6"/>
  <c r="K314" i="6" s="1"/>
  <c r="I313" i="6"/>
  <c r="K313" i="6" s="1"/>
  <c r="I284" i="6"/>
  <c r="K284" i="6" s="1"/>
  <c r="I285" i="6"/>
  <c r="K285" i="6" s="1"/>
  <c r="I286" i="6"/>
  <c r="K286" i="6" s="1"/>
  <c r="I283" i="6"/>
  <c r="K283" i="6" s="1"/>
  <c r="W283" i="6" s="1"/>
  <c r="X283" i="6" s="1"/>
  <c r="AD297" i="11" l="1"/>
  <c r="AE297" i="11" s="1"/>
  <c r="AF297" i="11" s="1"/>
  <c r="AB313" i="11"/>
  <c r="W409" i="6"/>
  <c r="X409" i="6" s="1"/>
  <c r="W345" i="6"/>
  <c r="X345" i="6" s="1"/>
  <c r="Z345" i="6" s="1"/>
  <c r="V493" i="6"/>
  <c r="W493" i="6" s="1"/>
  <c r="X493" i="6" s="1"/>
  <c r="U435" i="6"/>
  <c r="V435" i="6" s="1"/>
  <c r="W435" i="6" s="1"/>
  <c r="X435" i="6" s="1"/>
  <c r="Z435" i="6" s="1"/>
  <c r="W494" i="6"/>
  <c r="X494" i="6" s="1"/>
  <c r="Z494" i="6" s="1"/>
  <c r="V433" i="6"/>
  <c r="W433" i="6" s="1"/>
  <c r="X433" i="6" s="1"/>
  <c r="Z433" i="6" s="1"/>
  <c r="U439" i="6"/>
  <c r="V439" i="6" s="1"/>
  <c r="W439" i="6" s="1"/>
  <c r="X439" i="6" s="1"/>
  <c r="W405" i="6"/>
  <c r="X405" i="6" s="1"/>
  <c r="Z405" i="6" s="1"/>
  <c r="W285" i="6"/>
  <c r="X285" i="6" s="1"/>
  <c r="W314" i="6"/>
  <c r="X314" i="6" s="1"/>
  <c r="Z314" i="6" s="1"/>
  <c r="V436" i="6"/>
  <c r="W436" i="6" s="1"/>
  <c r="X436" i="6" s="1"/>
  <c r="Z436" i="6" s="1"/>
  <c r="U438" i="6"/>
  <c r="V438" i="6" s="1"/>
  <c r="W438" i="6" s="1"/>
  <c r="X438" i="6" s="1"/>
  <c r="Z438" i="6" s="1"/>
  <c r="U554" i="6"/>
  <c r="V554" i="6" s="1"/>
  <c r="W554" i="6" s="1"/>
  <c r="X554" i="6" s="1"/>
  <c r="W313" i="6"/>
  <c r="X313" i="6" s="1"/>
  <c r="W286" i="6"/>
  <c r="X286" i="6" s="1"/>
  <c r="Z286" i="6" s="1"/>
  <c r="W440" i="6"/>
  <c r="X440" i="6" s="1"/>
  <c r="W346" i="6"/>
  <c r="X346" i="6" s="1"/>
  <c r="Z346" i="6" s="1"/>
  <c r="W437" i="6"/>
  <c r="X437" i="6" s="1"/>
  <c r="Z437" i="6" s="1"/>
  <c r="U284" i="6"/>
  <c r="V284" i="6" s="1"/>
  <c r="W284" i="6" s="1"/>
  <c r="X284" i="6" s="1"/>
  <c r="V406" i="6"/>
  <c r="W406" i="6" s="1"/>
  <c r="X406" i="6" s="1"/>
  <c r="Z406" i="6" s="1"/>
  <c r="V407" i="6"/>
  <c r="W407" i="6" s="1"/>
  <c r="X407" i="6" s="1"/>
  <c r="Z407" i="6" s="1"/>
  <c r="V434" i="6"/>
  <c r="W434" i="6" s="1"/>
  <c r="X434" i="6" s="1"/>
  <c r="Z434" i="6" s="1"/>
  <c r="S254" i="6"/>
  <c r="U254" i="6" s="1"/>
  <c r="S255" i="6"/>
  <c r="U255" i="6" s="1"/>
  <c r="S253" i="6"/>
  <c r="U253" i="6" s="1"/>
  <c r="I253" i="6"/>
  <c r="K253" i="6" s="1"/>
  <c r="S194" i="6"/>
  <c r="U194" i="6" s="1"/>
  <c r="V194" i="6" s="1"/>
  <c r="S193" i="6"/>
  <c r="U193" i="6" s="1"/>
  <c r="V193" i="6" s="1"/>
  <c r="I194" i="6"/>
  <c r="K194" i="6" s="1"/>
  <c r="I193" i="6"/>
  <c r="K193" i="6" s="1"/>
  <c r="S164" i="6"/>
  <c r="U164" i="6" s="1"/>
  <c r="V164" i="6" s="1"/>
  <c r="S163" i="6"/>
  <c r="I164" i="6"/>
  <c r="K164" i="6" s="1"/>
  <c r="I163" i="6"/>
  <c r="K163" i="6" s="1"/>
  <c r="S135" i="6"/>
  <c r="U135" i="6" s="1"/>
  <c r="V135" i="6" s="1"/>
  <c r="W135" i="6" s="1"/>
  <c r="X135" i="6" s="1"/>
  <c r="Z135" i="6" s="1"/>
  <c r="S134" i="6"/>
  <c r="U134" i="6" s="1"/>
  <c r="V134" i="6" s="1"/>
  <c r="I134" i="6"/>
  <c r="K134" i="6" s="1"/>
  <c r="I133" i="6"/>
  <c r="K133" i="6" s="1"/>
  <c r="W133" i="6" s="1"/>
  <c r="X133" i="6" s="1"/>
  <c r="S104" i="6"/>
  <c r="U104" i="6" s="1"/>
  <c r="V104" i="6" s="1"/>
  <c r="W104" i="6" s="1"/>
  <c r="X104" i="6" s="1"/>
  <c r="Z104" i="6" s="1"/>
  <c r="S103" i="6"/>
  <c r="U103" i="6" s="1"/>
  <c r="V103" i="6" s="1"/>
  <c r="I103" i="6"/>
  <c r="K103" i="6" s="1"/>
  <c r="S76" i="6"/>
  <c r="V254" i="6" l="1"/>
  <c r="W254" i="6" s="1"/>
  <c r="X254" i="6" s="1"/>
  <c r="V255" i="6"/>
  <c r="W255" i="6" s="1"/>
  <c r="X255" i="6" s="1"/>
  <c r="Z255" i="6" s="1"/>
  <c r="W103" i="6"/>
  <c r="X103" i="6" s="1"/>
  <c r="Z103" i="6" s="1"/>
  <c r="W134" i="6"/>
  <c r="X134" i="6" s="1"/>
  <c r="W164" i="6"/>
  <c r="X164" i="6" s="1"/>
  <c r="Z164" i="6" s="1"/>
  <c r="V253" i="6"/>
  <c r="W253" i="6" s="1"/>
  <c r="X253" i="6" s="1"/>
  <c r="W193" i="6"/>
  <c r="X193" i="6" s="1"/>
  <c r="W194" i="6"/>
  <c r="X194" i="6" s="1"/>
  <c r="Z194" i="6" s="1"/>
  <c r="U163" i="6"/>
  <c r="V163" i="6" s="1"/>
  <c r="W163" i="6" s="1"/>
  <c r="X163" i="6" s="1"/>
  <c r="U76" i="6" l="1"/>
  <c r="V76" i="6" s="1"/>
  <c r="S79" i="6"/>
  <c r="U79" i="6" s="1"/>
  <c r="S80" i="6"/>
  <c r="U80" i="6" s="1"/>
  <c r="V80" i="6" s="1"/>
  <c r="S81" i="6"/>
  <c r="U81" i="6" s="1"/>
  <c r="S82" i="6"/>
  <c r="U82" i="6" s="1"/>
  <c r="S83" i="6"/>
  <c r="U83" i="6" s="1"/>
  <c r="S84" i="6"/>
  <c r="U84" i="6" s="1"/>
  <c r="S85" i="6"/>
  <c r="U85" i="6" s="1"/>
  <c r="S86" i="6"/>
  <c r="U86" i="6" s="1"/>
  <c r="S87" i="6"/>
  <c r="U87" i="6" s="1"/>
  <c r="S78" i="6"/>
  <c r="U78" i="6" s="1"/>
  <c r="I80" i="6"/>
  <c r="K80" i="6" s="1"/>
  <c r="I81" i="6"/>
  <c r="K81" i="6" s="1"/>
  <c r="I82" i="6"/>
  <c r="K82" i="6" s="1"/>
  <c r="I83" i="6"/>
  <c r="K83" i="6" s="1"/>
  <c r="I84" i="6"/>
  <c r="K84" i="6" s="1"/>
  <c r="I85" i="6"/>
  <c r="K85" i="6" s="1"/>
  <c r="I86" i="6"/>
  <c r="K86" i="6" s="1"/>
  <c r="I87" i="6"/>
  <c r="I72" i="6"/>
  <c r="K72" i="6" s="1"/>
  <c r="W72" i="6" s="1"/>
  <c r="X72" i="6" s="1"/>
  <c r="I73" i="6"/>
  <c r="K73" i="6" s="1"/>
  <c r="W73" i="6" s="1"/>
  <c r="X73" i="6" s="1"/>
  <c r="I74" i="6"/>
  <c r="K74" i="6" s="1"/>
  <c r="W74" i="6" s="1"/>
  <c r="X74" i="6" s="1"/>
  <c r="I75" i="6"/>
  <c r="K75" i="6" s="1"/>
  <c r="W75" i="6" s="1"/>
  <c r="X75" i="6" s="1"/>
  <c r="I76" i="6"/>
  <c r="K76" i="6" s="1"/>
  <c r="I77" i="6"/>
  <c r="K77" i="6" s="1"/>
  <c r="I78" i="6"/>
  <c r="K78" i="6" s="1"/>
  <c r="I79" i="6"/>
  <c r="K79" i="6" s="1"/>
  <c r="I71" i="6"/>
  <c r="K71" i="6" s="1"/>
  <c r="W71" i="6" s="1"/>
  <c r="X71" i="6" s="1"/>
  <c r="S40" i="6"/>
  <c r="U40" i="6" s="1"/>
  <c r="V40" i="6" s="1"/>
  <c r="S14" i="6"/>
  <c r="U14" i="6" s="1"/>
  <c r="V14" i="6" s="1"/>
  <c r="S15" i="6"/>
  <c r="U15" i="6" s="1"/>
  <c r="V15" i="6" s="1"/>
  <c r="S16" i="6"/>
  <c r="U16" i="6" s="1"/>
  <c r="V16" i="6" s="1"/>
  <c r="S17" i="6"/>
  <c r="U17" i="6" s="1"/>
  <c r="V17" i="6" s="1"/>
  <c r="S18" i="6"/>
  <c r="U18" i="6" s="1"/>
  <c r="V18" i="6" s="1"/>
  <c r="S13" i="6"/>
  <c r="U13" i="6" s="1"/>
  <c r="V13" i="6" s="1"/>
  <c r="I40" i="6"/>
  <c r="K40" i="6" s="1"/>
  <c r="I14" i="6"/>
  <c r="K14" i="6" s="1"/>
  <c r="I15" i="6"/>
  <c r="K15" i="6" s="1"/>
  <c r="I16" i="6"/>
  <c r="K16" i="6" s="1"/>
  <c r="I17" i="6"/>
  <c r="K17" i="6" s="1"/>
  <c r="I18" i="6"/>
  <c r="K18" i="6" s="1"/>
  <c r="I19" i="6"/>
  <c r="U10" i="6"/>
  <c r="V10" i="6" s="1"/>
  <c r="U11" i="6"/>
  <c r="V11" i="6" s="1"/>
  <c r="U12" i="6"/>
  <c r="V12" i="6" s="1"/>
  <c r="I11" i="6"/>
  <c r="K11" i="6" s="1"/>
  <c r="I12" i="6"/>
  <c r="K12" i="6" s="1"/>
  <c r="I13" i="6"/>
  <c r="K13" i="6" s="1"/>
  <c r="I10" i="6"/>
  <c r="K10" i="6" s="1"/>
  <c r="AB765" i="6"/>
  <c r="I765" i="6"/>
  <c r="K765" i="6" s="1"/>
  <c r="W765" i="6" s="1"/>
  <c r="X765" i="6" s="1"/>
  <c r="S764" i="6"/>
  <c r="U764" i="6" s="1"/>
  <c r="V764" i="6" s="1"/>
  <c r="S524" i="6"/>
  <c r="U524" i="6" s="1"/>
  <c r="V524" i="6" s="1"/>
  <c r="S523" i="6"/>
  <c r="U523" i="6" s="1"/>
  <c r="V523" i="6" s="1"/>
  <c r="I524" i="6"/>
  <c r="K524" i="6" s="1"/>
  <c r="I523" i="6"/>
  <c r="K523" i="6" s="1"/>
  <c r="I1007" i="6"/>
  <c r="K1007" i="6" s="1"/>
  <c r="W1007" i="6" s="1"/>
  <c r="X1007" i="6" s="1"/>
  <c r="Z1007" i="6" s="1"/>
  <c r="AB1007" i="6" s="1"/>
  <c r="W524" i="6" l="1"/>
  <c r="X524" i="6" s="1"/>
  <c r="Z524" i="6" s="1"/>
  <c r="W40" i="6"/>
  <c r="X40" i="6" s="1"/>
  <c r="Z40" i="6" s="1"/>
  <c r="V84" i="6"/>
  <c r="W523" i="6"/>
  <c r="X523" i="6" s="1"/>
  <c r="W80" i="6"/>
  <c r="X80" i="6" s="1"/>
  <c r="W10" i="6"/>
  <c r="X10" i="6" s="1"/>
  <c r="Z10" i="6" s="1"/>
  <c r="V87" i="6"/>
  <c r="W87" i="6" s="1"/>
  <c r="X87" i="6" s="1"/>
  <c r="V83" i="6"/>
  <c r="W83" i="6" s="1"/>
  <c r="X83" i="6" s="1"/>
  <c r="Z83" i="6" s="1"/>
  <c r="V79" i="6"/>
  <c r="W79" i="6" s="1"/>
  <c r="X79" i="6" s="1"/>
  <c r="Z79" i="6" s="1"/>
  <c r="W11" i="6"/>
  <c r="X11" i="6" s="1"/>
  <c r="Z11" i="6" s="1"/>
  <c r="W13" i="6"/>
  <c r="X13" i="6" s="1"/>
  <c r="Z13" i="6" s="1"/>
  <c r="V86" i="6"/>
  <c r="W86" i="6" s="1"/>
  <c r="X86" i="6" s="1"/>
  <c r="V82" i="6"/>
  <c r="W82" i="6" s="1"/>
  <c r="X82" i="6" s="1"/>
  <c r="Z82" i="6" s="1"/>
  <c r="V78" i="6"/>
  <c r="W78" i="6" s="1"/>
  <c r="X78" i="6" s="1"/>
  <c r="W84" i="6"/>
  <c r="X84" i="6" s="1"/>
  <c r="Z84" i="6" s="1"/>
  <c r="W12" i="6"/>
  <c r="X12" i="6" s="1"/>
  <c r="Z12" i="6" s="1"/>
  <c r="V85" i="6"/>
  <c r="W85" i="6" s="1"/>
  <c r="X85" i="6" s="1"/>
  <c r="Z85" i="6" s="1"/>
  <c r="V81" i="6"/>
  <c r="W81" i="6" s="1"/>
  <c r="X81" i="6" s="1"/>
  <c r="Z81" i="6" s="1"/>
  <c r="W76" i="6"/>
  <c r="X76" i="6" s="1"/>
  <c r="Z76" i="6" s="1"/>
  <c r="W15" i="6"/>
  <c r="X15" i="6" s="1"/>
  <c r="Z15" i="6" s="1"/>
  <c r="W18" i="6"/>
  <c r="X18" i="6" s="1"/>
  <c r="Z18" i="6" s="1"/>
  <c r="W16" i="6"/>
  <c r="X16" i="6" s="1"/>
  <c r="Z16" i="6" s="1"/>
  <c r="W14" i="6"/>
  <c r="X14" i="6" s="1"/>
  <c r="Z14" i="6" s="1"/>
  <c r="W17" i="6"/>
  <c r="X17" i="6" s="1"/>
  <c r="AB1022" i="6"/>
  <c r="I549" i="2" l="1"/>
  <c r="AB72" i="2"/>
  <c r="I72" i="2"/>
  <c r="K72" i="2" s="1"/>
  <c r="W72" i="2" s="1"/>
  <c r="X72" i="2" s="1"/>
  <c r="S459" i="2" l="1"/>
  <c r="V459" i="2" s="1"/>
  <c r="I1006" i="4" l="1"/>
  <c r="I1003" i="4"/>
  <c r="I1004" i="4"/>
  <c r="I1005" i="4"/>
  <c r="I1001" i="4"/>
  <c r="I1002" i="4"/>
  <c r="I1000" i="4"/>
  <c r="I968" i="4"/>
  <c r="I967" i="4"/>
  <c r="I935" i="4"/>
  <c r="K935" i="4" s="1"/>
  <c r="W935" i="4" s="1"/>
  <c r="X935" i="4" s="1"/>
  <c r="Z935" i="4" s="1"/>
  <c r="AB935" i="4" s="1"/>
  <c r="I934" i="4"/>
  <c r="K934" i="4" s="1"/>
  <c r="W934" i="4" s="1"/>
  <c r="X934" i="4" s="1"/>
  <c r="Z934" i="4" s="1"/>
  <c r="AB934" i="4" s="1"/>
  <c r="I901" i="4"/>
  <c r="K901" i="4" s="1"/>
  <c r="W901" i="4" s="1"/>
  <c r="X901" i="4" s="1"/>
  <c r="Z901" i="4" s="1"/>
  <c r="AB901" i="4" s="1"/>
  <c r="AD1072" i="4" l="1"/>
  <c r="AE1072" i="4" s="1"/>
  <c r="AF1072" i="4" s="1"/>
  <c r="I1072" i="4"/>
  <c r="K1072" i="4" s="1"/>
  <c r="W1072" i="4" s="1"/>
  <c r="X1072" i="4" s="1"/>
  <c r="Z1072" i="4" s="1"/>
  <c r="AB1072" i="4" s="1"/>
  <c r="AB1093" i="4" s="1"/>
  <c r="U770" i="4" l="1"/>
  <c r="V770" i="4" s="1"/>
  <c r="W770" i="4" s="1"/>
  <c r="X770" i="4" s="1"/>
  <c r="Z770" i="4" s="1"/>
  <c r="I769" i="4"/>
  <c r="K769" i="4" s="1"/>
  <c r="U407" i="4"/>
  <c r="V407" i="4" s="1"/>
  <c r="I407" i="4"/>
  <c r="K407" i="4" s="1"/>
  <c r="I408" i="4"/>
  <c r="K408" i="4" s="1"/>
  <c r="W408" i="4" s="1"/>
  <c r="X408" i="4" s="1"/>
  <c r="I409" i="4"/>
  <c r="K409" i="4" s="1"/>
  <c r="W409" i="4" s="1"/>
  <c r="X409" i="4" s="1"/>
  <c r="Z409" i="4" s="1"/>
  <c r="I406" i="4"/>
  <c r="K406" i="4" s="1"/>
  <c r="W406" i="4" s="1"/>
  <c r="X406" i="4" s="1"/>
  <c r="S274" i="4"/>
  <c r="U274" i="4" s="1"/>
  <c r="V274" i="4" s="1"/>
  <c r="I274" i="4"/>
  <c r="K274" i="4" s="1"/>
  <c r="S241" i="4"/>
  <c r="I242" i="4"/>
  <c r="K242" i="4" s="1"/>
  <c r="W242" i="4" s="1"/>
  <c r="X242" i="4" s="1"/>
  <c r="Z242" i="4" s="1"/>
  <c r="I241" i="4"/>
  <c r="K241" i="4" s="1"/>
  <c r="S210" i="4"/>
  <c r="U210" i="4" s="1"/>
  <c r="V210" i="4" s="1"/>
  <c r="S209" i="4"/>
  <c r="U209" i="4" s="1"/>
  <c r="V209" i="4" s="1"/>
  <c r="I209" i="4"/>
  <c r="K209" i="4" s="1"/>
  <c r="I210" i="4"/>
  <c r="K210" i="4" s="1"/>
  <c r="I208" i="4"/>
  <c r="K208" i="4" s="1"/>
  <c r="I177" i="4"/>
  <c r="K177" i="4" s="1"/>
  <c r="W177" i="4" s="1"/>
  <c r="X177" i="4" s="1"/>
  <c r="I178" i="4"/>
  <c r="K178" i="4" s="1"/>
  <c r="I176" i="4"/>
  <c r="K176" i="4" s="1"/>
  <c r="W176" i="4" s="1"/>
  <c r="X176" i="4" s="1"/>
  <c r="S151" i="4"/>
  <c r="U151" i="4" s="1"/>
  <c r="S152" i="4"/>
  <c r="U152" i="4" s="1"/>
  <c r="S153" i="4"/>
  <c r="U153" i="4" s="1"/>
  <c r="S154" i="4"/>
  <c r="U154" i="4" s="1"/>
  <c r="S155" i="4"/>
  <c r="U155" i="4" s="1"/>
  <c r="S156" i="4"/>
  <c r="U156" i="4" s="1"/>
  <c r="S157" i="4"/>
  <c r="U157" i="4" s="1"/>
  <c r="S147" i="4"/>
  <c r="U147" i="4" s="1"/>
  <c r="S148" i="4"/>
  <c r="U148" i="4" s="1"/>
  <c r="S149" i="4"/>
  <c r="U149" i="4" s="1"/>
  <c r="S150" i="4"/>
  <c r="U150" i="4" s="1"/>
  <c r="S146" i="4"/>
  <c r="U146" i="4" s="1"/>
  <c r="S143" i="4"/>
  <c r="S144" i="4"/>
  <c r="S145" i="4"/>
  <c r="U145" i="4" s="1"/>
  <c r="V145" i="4" s="1"/>
  <c r="S142" i="4"/>
  <c r="U142" i="4" s="1"/>
  <c r="V142" i="4" s="1"/>
  <c r="I149" i="4"/>
  <c r="K149" i="4" s="1"/>
  <c r="W149" i="4" s="1"/>
  <c r="X149" i="4" s="1"/>
  <c r="Z149" i="4" s="1"/>
  <c r="I150" i="4"/>
  <c r="K150" i="4" s="1"/>
  <c r="W150" i="4" s="1"/>
  <c r="X150" i="4" s="1"/>
  <c r="Z150" i="4" s="1"/>
  <c r="I151" i="4"/>
  <c r="K151" i="4" s="1"/>
  <c r="W151" i="4" s="1"/>
  <c r="X151" i="4" s="1"/>
  <c r="Z151" i="4" s="1"/>
  <c r="I152" i="4"/>
  <c r="K152" i="4" s="1"/>
  <c r="W152" i="4" s="1"/>
  <c r="X152" i="4" s="1"/>
  <c r="Z152" i="4" s="1"/>
  <c r="I153" i="4"/>
  <c r="K153" i="4" s="1"/>
  <c r="W153" i="4" s="1"/>
  <c r="X153" i="4" s="1"/>
  <c r="Z153" i="4" s="1"/>
  <c r="I154" i="4"/>
  <c r="K154" i="4" s="1"/>
  <c r="W154" i="4" s="1"/>
  <c r="X154" i="4" s="1"/>
  <c r="Z154" i="4" s="1"/>
  <c r="I155" i="4"/>
  <c r="K155" i="4" s="1"/>
  <c r="W155" i="4" s="1"/>
  <c r="X155" i="4" s="1"/>
  <c r="Z155" i="4" s="1"/>
  <c r="I156" i="4"/>
  <c r="K156" i="4" s="1"/>
  <c r="W156" i="4" s="1"/>
  <c r="X156" i="4" s="1"/>
  <c r="Z156" i="4" s="1"/>
  <c r="I157" i="4"/>
  <c r="K157" i="4" s="1"/>
  <c r="W157" i="4" s="1"/>
  <c r="X157" i="4" s="1"/>
  <c r="Z157" i="4" s="1"/>
  <c r="I145" i="4"/>
  <c r="K145" i="4" s="1"/>
  <c r="I146" i="4"/>
  <c r="K146" i="4" s="1"/>
  <c r="W146" i="4" s="1"/>
  <c r="X146" i="4" s="1"/>
  <c r="Z146" i="4" s="1"/>
  <c r="I147" i="4"/>
  <c r="K147" i="4" s="1"/>
  <c r="W147" i="4" s="1"/>
  <c r="X147" i="4" s="1"/>
  <c r="Z147" i="4" s="1"/>
  <c r="I148" i="4"/>
  <c r="K148" i="4" s="1"/>
  <c r="W148" i="4" s="1"/>
  <c r="X148" i="4" s="1"/>
  <c r="Z148" i="4" s="1"/>
  <c r="I143" i="4"/>
  <c r="K143" i="4" s="1"/>
  <c r="I144" i="4"/>
  <c r="K144" i="4" s="1"/>
  <c r="I142" i="4"/>
  <c r="K142" i="4" s="1"/>
  <c r="S110" i="4"/>
  <c r="S109" i="4"/>
  <c r="U109" i="4" s="1"/>
  <c r="V109" i="4" s="1"/>
  <c r="W109" i="4" s="1"/>
  <c r="X109" i="4" s="1"/>
  <c r="I110" i="4"/>
  <c r="K110" i="4" s="1"/>
  <c r="I109" i="4"/>
  <c r="K109" i="4" s="1"/>
  <c r="K179" i="4" l="1"/>
  <c r="W179" i="4" s="1"/>
  <c r="X179" i="4" s="1"/>
  <c r="K181" i="4"/>
  <c r="W181" i="4" s="1"/>
  <c r="X181" i="4" s="1"/>
  <c r="Z181" i="4" s="1"/>
  <c r="AB181" i="4" s="1"/>
  <c r="K180" i="4"/>
  <c r="W180" i="4" s="1"/>
  <c r="X180" i="4" s="1"/>
  <c r="U241" i="4"/>
  <c r="V241" i="4" s="1"/>
  <c r="W241" i="4" s="1"/>
  <c r="X241" i="4" s="1"/>
  <c r="W145" i="4"/>
  <c r="X145" i="4" s="1"/>
  <c r="W209" i="4"/>
  <c r="X209" i="4" s="1"/>
  <c r="W210" i="4"/>
  <c r="X210" i="4" s="1"/>
  <c r="Z210" i="4" s="1"/>
  <c r="U110" i="4"/>
  <c r="V110" i="4" s="1"/>
  <c r="W110" i="4" s="1"/>
  <c r="X110" i="4" s="1"/>
  <c r="Z110" i="4" s="1"/>
  <c r="U144" i="4"/>
  <c r="V144" i="4" s="1"/>
  <c r="W144" i="4" s="1"/>
  <c r="X144" i="4" s="1"/>
  <c r="Z144" i="4" s="1"/>
  <c r="W274" i="4"/>
  <c r="X274" i="4" s="1"/>
  <c r="Z274" i="4" s="1"/>
  <c r="W407" i="4"/>
  <c r="X407" i="4" s="1"/>
  <c r="W142" i="4"/>
  <c r="X142" i="4" s="1"/>
  <c r="Z142" i="4" s="1"/>
  <c r="U143" i="4"/>
  <c r="V143" i="4" s="1"/>
  <c r="W143" i="4" s="1"/>
  <c r="X143" i="4" s="1"/>
  <c r="Z143" i="4" s="1"/>
  <c r="S77" i="4" l="1"/>
  <c r="U77" i="4" s="1"/>
  <c r="S76" i="4"/>
  <c r="U76" i="4" s="1"/>
  <c r="I77" i="4"/>
  <c r="K77" i="4" s="1"/>
  <c r="I76" i="4"/>
  <c r="K76" i="4" s="1"/>
  <c r="V77" i="4" l="1"/>
  <c r="W77" i="4" s="1"/>
  <c r="V76" i="4"/>
  <c r="W76" i="4" s="1"/>
  <c r="X76" i="4" s="1"/>
  <c r="I43" i="4"/>
  <c r="K43" i="4" s="1"/>
  <c r="S43" i="4"/>
  <c r="S44" i="4"/>
  <c r="I44" i="4"/>
  <c r="K44" i="4" s="1"/>
  <c r="S12" i="4"/>
  <c r="U12" i="4" s="1"/>
  <c r="S11" i="4"/>
  <c r="U11" i="4" s="1"/>
  <c r="I12" i="4"/>
  <c r="K12" i="4" s="1"/>
  <c r="I10" i="4"/>
  <c r="K10" i="4" s="1"/>
  <c r="W10" i="4" s="1"/>
  <c r="X10" i="4" s="1"/>
  <c r="I11" i="4"/>
  <c r="K11" i="4" s="1"/>
  <c r="V11" i="4" l="1"/>
  <c r="W11" i="4" s="1"/>
  <c r="X11" i="4" s="1"/>
  <c r="U44" i="4"/>
  <c r="V44" i="4"/>
  <c r="W44" i="4" s="1"/>
  <c r="X44" i="4" s="1"/>
  <c r="Z44" i="4" s="1"/>
  <c r="V12" i="4"/>
  <c r="W12" i="4" s="1"/>
  <c r="X12" i="4" s="1"/>
  <c r="Z12" i="4" s="1"/>
  <c r="U43" i="4"/>
  <c r="V43" i="4" s="1"/>
  <c r="W43" i="4" s="1"/>
  <c r="X43" i="4" s="1"/>
  <c r="X77" i="4"/>
  <c r="Z77" i="4" s="1"/>
  <c r="S1341" i="5"/>
  <c r="U1341" i="5" s="1"/>
  <c r="V1341" i="5" s="1"/>
  <c r="S224" i="6" l="1"/>
  <c r="U224" i="6" s="1"/>
  <c r="V224" i="6" s="1"/>
  <c r="S223" i="6"/>
  <c r="U223" i="6" s="1"/>
  <c r="I224" i="6"/>
  <c r="K224" i="6" s="1"/>
  <c r="I223" i="6"/>
  <c r="K223" i="6" s="1"/>
  <c r="I916" i="5"/>
  <c r="K916" i="5" s="1"/>
  <c r="I915" i="5"/>
  <c r="K915" i="5" s="1"/>
  <c r="I856" i="5"/>
  <c r="K856" i="5" s="1"/>
  <c r="W856" i="5" s="1"/>
  <c r="X856" i="5" s="1"/>
  <c r="I857" i="5"/>
  <c r="K857" i="5" s="1"/>
  <c r="W857" i="5" s="1"/>
  <c r="X857" i="5" s="1"/>
  <c r="Z857" i="5" s="1"/>
  <c r="I858" i="5"/>
  <c r="K858" i="5" s="1"/>
  <c r="W858" i="5" s="1"/>
  <c r="X858" i="5" s="1"/>
  <c r="Z858" i="5" s="1"/>
  <c r="I855" i="5"/>
  <c r="K855" i="5" s="1"/>
  <c r="W855" i="5" s="1"/>
  <c r="X855" i="5" s="1"/>
  <c r="I793" i="5"/>
  <c r="K793" i="5" s="1"/>
  <c r="W793" i="5" s="1"/>
  <c r="X793" i="5" s="1"/>
  <c r="Z793" i="5" s="1"/>
  <c r="I792" i="5"/>
  <c r="K792" i="5" s="1"/>
  <c r="W792" i="5" s="1"/>
  <c r="X792" i="5" s="1"/>
  <c r="Z792" i="5" s="1"/>
  <c r="S643" i="5"/>
  <c r="S644" i="5"/>
  <c r="S645" i="5"/>
  <c r="S642" i="5"/>
  <c r="I642" i="5"/>
  <c r="K642" i="5" s="1"/>
  <c r="S616" i="5"/>
  <c r="S615" i="5"/>
  <c r="I613" i="5"/>
  <c r="K613" i="5" s="1"/>
  <c r="W613" i="5" s="1"/>
  <c r="X613" i="5" s="1"/>
  <c r="I614" i="5"/>
  <c r="K614" i="5" s="1"/>
  <c r="W614" i="5" s="1"/>
  <c r="X614" i="5" s="1"/>
  <c r="I615" i="5"/>
  <c r="K615" i="5" s="1"/>
  <c r="I612" i="5"/>
  <c r="K612" i="5" s="1"/>
  <c r="W612" i="5" s="1"/>
  <c r="X612" i="5" s="1"/>
  <c r="I552" i="5"/>
  <c r="K552" i="5" s="1"/>
  <c r="W552" i="5" s="1"/>
  <c r="X552" i="5" s="1"/>
  <c r="Z552" i="5" s="1"/>
  <c r="S522" i="5"/>
  <c r="U522" i="5" s="1"/>
  <c r="V522" i="5" s="1"/>
  <c r="I523" i="5"/>
  <c r="K523" i="5" s="1"/>
  <c r="W523" i="5" s="1"/>
  <c r="X523" i="5" s="1"/>
  <c r="I524" i="5"/>
  <c r="K524" i="5" s="1"/>
  <c r="W524" i="5" s="1"/>
  <c r="X524" i="5" s="1"/>
  <c r="Z524" i="5" s="1"/>
  <c r="I522" i="5"/>
  <c r="K522" i="5" s="1"/>
  <c r="I493" i="5"/>
  <c r="K493" i="5" s="1"/>
  <c r="W493" i="5" s="1"/>
  <c r="X493" i="5" s="1"/>
  <c r="Z493" i="5" s="1"/>
  <c r="I494" i="5"/>
  <c r="K494" i="5" s="1"/>
  <c r="W494" i="5" s="1"/>
  <c r="X494" i="5" s="1"/>
  <c r="Z494" i="5" s="1"/>
  <c r="AB494" i="5" s="1"/>
  <c r="I492" i="5"/>
  <c r="K492" i="5" s="1"/>
  <c r="W492" i="5" s="1"/>
  <c r="X492" i="5" s="1"/>
  <c r="I463" i="5"/>
  <c r="K463" i="5" s="1"/>
  <c r="W463" i="5" s="1"/>
  <c r="X463" i="5" s="1"/>
  <c r="Z463" i="5" s="1"/>
  <c r="I464" i="5"/>
  <c r="K464" i="5" s="1"/>
  <c r="W464" i="5" s="1"/>
  <c r="X464" i="5" s="1"/>
  <c r="Z464" i="5" s="1"/>
  <c r="I462" i="5"/>
  <c r="K462" i="5" s="1"/>
  <c r="W462" i="5" s="1"/>
  <c r="X462" i="5" s="1"/>
  <c r="I433" i="5"/>
  <c r="I434" i="5"/>
  <c r="I432" i="5"/>
  <c r="K432" i="5" s="1"/>
  <c r="I402" i="5"/>
  <c r="I372" i="5"/>
  <c r="I354" i="5"/>
  <c r="I353" i="5"/>
  <c r="I344" i="5"/>
  <c r="I345" i="5"/>
  <c r="I346" i="5"/>
  <c r="I343" i="5"/>
  <c r="I342" i="5"/>
  <c r="U434" i="5"/>
  <c r="V434" i="5" s="1"/>
  <c r="U433" i="5"/>
  <c r="V433" i="5" s="1"/>
  <c r="U432" i="5"/>
  <c r="V432" i="5" s="1"/>
  <c r="K433" i="5"/>
  <c r="K434" i="5"/>
  <c r="W224" i="6" l="1"/>
  <c r="X224" i="6" s="1"/>
  <c r="Z224" i="6" s="1"/>
  <c r="V223" i="6"/>
  <c r="W223" i="6"/>
  <c r="X223" i="6" s="1"/>
  <c r="W434" i="5"/>
  <c r="X434" i="5" s="1"/>
  <c r="Z434" i="5" s="1"/>
  <c r="U616" i="5"/>
  <c r="V616" i="5" s="1"/>
  <c r="W616" i="5" s="1"/>
  <c r="X616" i="5" s="1"/>
  <c r="Z616" i="5" s="1"/>
  <c r="W522" i="5"/>
  <c r="X522" i="5" s="1"/>
  <c r="W432" i="5"/>
  <c r="X432" i="5" s="1"/>
  <c r="W433" i="5"/>
  <c r="X433" i="5" s="1"/>
  <c r="Z433" i="5" s="1"/>
  <c r="U645" i="5"/>
  <c r="V645" i="5" s="1"/>
  <c r="W645" i="5" s="1"/>
  <c r="X645" i="5" s="1"/>
  <c r="Z645" i="5" s="1"/>
  <c r="U615" i="5"/>
  <c r="V615" i="5" s="1"/>
  <c r="W615" i="5" s="1"/>
  <c r="X615" i="5" s="1"/>
  <c r="U642" i="5"/>
  <c r="V642" i="5" s="1"/>
  <c r="W642" i="5" s="1"/>
  <c r="X642" i="5" s="1"/>
  <c r="Z642" i="5" s="1"/>
  <c r="U644" i="5"/>
  <c r="V644" i="5" s="1"/>
  <c r="W644" i="5" s="1"/>
  <c r="X644" i="5" s="1"/>
  <c r="Z644" i="5" s="1"/>
  <c r="U643" i="5"/>
  <c r="V643" i="5" s="1"/>
  <c r="W643" i="5" s="1"/>
  <c r="X643" i="5" s="1"/>
  <c r="Z643" i="5" s="1"/>
  <c r="S403" i="5"/>
  <c r="U403" i="5" s="1"/>
  <c r="V403" i="5" s="1"/>
  <c r="W403" i="5" s="1"/>
  <c r="X403" i="5" s="1"/>
  <c r="S404" i="5"/>
  <c r="U404" i="5" s="1"/>
  <c r="S402" i="5"/>
  <c r="U402" i="5" s="1"/>
  <c r="S373" i="5"/>
  <c r="S374" i="5"/>
  <c r="U374" i="5" s="1"/>
  <c r="V374" i="5" s="1"/>
  <c r="W374" i="5" s="1"/>
  <c r="X374" i="5" s="1"/>
  <c r="S372" i="5"/>
  <c r="U372" i="5" s="1"/>
  <c r="V372" i="5" s="1"/>
  <c r="K402" i="5"/>
  <c r="U373" i="5"/>
  <c r="V373" i="5" s="1"/>
  <c r="W373" i="5" s="1"/>
  <c r="X373" i="5" s="1"/>
  <c r="Z373" i="5" s="1"/>
  <c r="K372" i="5"/>
  <c r="K354" i="5"/>
  <c r="W354" i="5" s="1"/>
  <c r="X354" i="5" s="1"/>
  <c r="Z354" i="5" s="1"/>
  <c r="K353" i="5"/>
  <c r="W353" i="5" s="1"/>
  <c r="X353" i="5" s="1"/>
  <c r="S345" i="5"/>
  <c r="U345" i="5" s="1"/>
  <c r="V345" i="5" s="1"/>
  <c r="S346" i="5"/>
  <c r="S347" i="5"/>
  <c r="S348" i="5"/>
  <c r="U348" i="5" s="1"/>
  <c r="V348" i="5" s="1"/>
  <c r="W348" i="5" s="1"/>
  <c r="X348" i="5" s="1"/>
  <c r="Z348" i="5" s="1"/>
  <c r="S349" i="5"/>
  <c r="U349" i="5" s="1"/>
  <c r="V349" i="5" s="1"/>
  <c r="W349" i="5" s="1"/>
  <c r="X349" i="5" s="1"/>
  <c r="Z349" i="5" s="1"/>
  <c r="S350" i="5"/>
  <c r="S351" i="5"/>
  <c r="S352" i="5"/>
  <c r="U352" i="5" s="1"/>
  <c r="V352" i="5" s="1"/>
  <c r="W352" i="5" s="1"/>
  <c r="X352" i="5" s="1"/>
  <c r="Z352" i="5" s="1"/>
  <c r="S344" i="5"/>
  <c r="U344" i="5" s="1"/>
  <c r="S313" i="5"/>
  <c r="S314" i="5"/>
  <c r="S315" i="5"/>
  <c r="U315" i="5" s="1"/>
  <c r="S316" i="5"/>
  <c r="S317" i="5"/>
  <c r="S318" i="5"/>
  <c r="U318" i="5" s="1"/>
  <c r="S319" i="5"/>
  <c r="U319" i="5" s="1"/>
  <c r="S320" i="5"/>
  <c r="U320" i="5" s="1"/>
  <c r="S321" i="5"/>
  <c r="U321" i="5" s="1"/>
  <c r="S322" i="5"/>
  <c r="U322" i="5" s="1"/>
  <c r="S323" i="5"/>
  <c r="U323" i="5" s="1"/>
  <c r="S312" i="5"/>
  <c r="S283" i="5"/>
  <c r="S284" i="5"/>
  <c r="S282" i="5"/>
  <c r="K343" i="5"/>
  <c r="W343" i="5" s="1"/>
  <c r="X343" i="5" s="1"/>
  <c r="K344" i="5"/>
  <c r="K345" i="5"/>
  <c r="K346" i="5"/>
  <c r="K342" i="5"/>
  <c r="W342" i="5" s="1"/>
  <c r="X342" i="5" s="1"/>
  <c r="U316" i="5"/>
  <c r="U317" i="5"/>
  <c r="W345" i="5" l="1"/>
  <c r="X345" i="5" s="1"/>
  <c r="Z345" i="5" s="1"/>
  <c r="V404" i="5"/>
  <c r="W404" i="5" s="1"/>
  <c r="X404" i="5" s="1"/>
  <c r="V344" i="5"/>
  <c r="W344" i="5" s="1"/>
  <c r="X344" i="5" s="1"/>
  <c r="Z344" i="5" s="1"/>
  <c r="U351" i="5"/>
  <c r="V351" i="5" s="1"/>
  <c r="W351" i="5" s="1"/>
  <c r="X351" i="5" s="1"/>
  <c r="Z351" i="5" s="1"/>
  <c r="U347" i="5"/>
  <c r="V347" i="5" s="1"/>
  <c r="W347" i="5" s="1"/>
  <c r="X347" i="5" s="1"/>
  <c r="Z347" i="5" s="1"/>
  <c r="U350" i="5"/>
  <c r="V350" i="5" s="1"/>
  <c r="W350" i="5" s="1"/>
  <c r="X350" i="5" s="1"/>
  <c r="Z350" i="5" s="1"/>
  <c r="U346" i="5"/>
  <c r="V346" i="5" s="1"/>
  <c r="W346" i="5" s="1"/>
  <c r="X346" i="5" s="1"/>
  <c r="Z346" i="5" s="1"/>
  <c r="V402" i="5"/>
  <c r="W402" i="5" s="1"/>
  <c r="X402" i="5" s="1"/>
  <c r="W372" i="5"/>
  <c r="X372" i="5" s="1"/>
  <c r="U313" i="5"/>
  <c r="V313" i="5" s="1"/>
  <c r="U314" i="5"/>
  <c r="V314" i="5" s="1"/>
  <c r="U312" i="5"/>
  <c r="V312" i="5" s="1"/>
  <c r="V315" i="5"/>
  <c r="V316" i="5"/>
  <c r="V317" i="5"/>
  <c r="V318" i="5"/>
  <c r="W318" i="5" s="1"/>
  <c r="X318" i="5" s="1"/>
  <c r="Z318" i="5" s="1"/>
  <c r="AB318" i="5" s="1"/>
  <c r="V319" i="5"/>
  <c r="W319" i="5" s="1"/>
  <c r="X319" i="5" s="1"/>
  <c r="Z319" i="5" s="1"/>
  <c r="AB319" i="5" s="1"/>
  <c r="V320" i="5"/>
  <c r="W320" i="5" s="1"/>
  <c r="X320" i="5" s="1"/>
  <c r="Z320" i="5" s="1"/>
  <c r="AB320" i="5" s="1"/>
  <c r="V321" i="5"/>
  <c r="W321" i="5" s="1"/>
  <c r="X321" i="5" s="1"/>
  <c r="Z321" i="5" s="1"/>
  <c r="AB321" i="5" s="1"/>
  <c r="V322" i="5"/>
  <c r="W322" i="5" s="1"/>
  <c r="X322" i="5" s="1"/>
  <c r="Z322" i="5" s="1"/>
  <c r="AB322" i="5" s="1"/>
  <c r="V323" i="5"/>
  <c r="W323" i="5" s="1"/>
  <c r="X323" i="5" s="1"/>
  <c r="Z323" i="5" s="1"/>
  <c r="AB323" i="5" s="1"/>
  <c r="I317" i="5"/>
  <c r="K317" i="5" s="1"/>
  <c r="I316" i="5"/>
  <c r="K316" i="5" s="1"/>
  <c r="I315" i="5"/>
  <c r="K315" i="5" s="1"/>
  <c r="I314" i="5"/>
  <c r="K314" i="5" s="1"/>
  <c r="I313" i="5"/>
  <c r="K313" i="5" s="1"/>
  <c r="I312" i="5"/>
  <c r="K312" i="5" s="1"/>
  <c r="I282" i="5"/>
  <c r="K282" i="5" s="1"/>
  <c r="I260" i="5"/>
  <c r="K260" i="5" s="1"/>
  <c r="W260" i="5" s="1"/>
  <c r="X260" i="5" s="1"/>
  <c r="I259" i="5"/>
  <c r="K259" i="5" s="1"/>
  <c r="I258" i="5"/>
  <c r="K258" i="5" s="1"/>
  <c r="I257" i="5"/>
  <c r="K257" i="5" s="1"/>
  <c r="I256" i="5"/>
  <c r="I255" i="5"/>
  <c r="K255" i="5" s="1"/>
  <c r="W255" i="5" s="1"/>
  <c r="X255" i="5" s="1"/>
  <c r="I254" i="5"/>
  <c r="K254" i="5" s="1"/>
  <c r="W254" i="5" s="1"/>
  <c r="X254" i="5" s="1"/>
  <c r="I253" i="5"/>
  <c r="K253" i="5" s="1"/>
  <c r="W253" i="5" s="1"/>
  <c r="X253" i="5" s="1"/>
  <c r="I252" i="5"/>
  <c r="K252" i="5" s="1"/>
  <c r="W252" i="5" s="1"/>
  <c r="X252" i="5" s="1"/>
  <c r="I222" i="5"/>
  <c r="I194" i="5"/>
  <c r="K194" i="5" s="1"/>
  <c r="I193" i="5"/>
  <c r="K193" i="5" s="1"/>
  <c r="I192" i="5"/>
  <c r="K192" i="5" s="1"/>
  <c r="I162" i="5"/>
  <c r="K162" i="5" s="1"/>
  <c r="I139" i="5"/>
  <c r="K139" i="5" s="1"/>
  <c r="I138" i="5"/>
  <c r="K138" i="5" s="1"/>
  <c r="I137" i="5"/>
  <c r="K137" i="5" s="1"/>
  <c r="I136" i="5"/>
  <c r="K136" i="5" s="1"/>
  <c r="I135" i="5"/>
  <c r="K135" i="5" s="1"/>
  <c r="I134" i="5"/>
  <c r="K134" i="5" s="1"/>
  <c r="I133" i="5"/>
  <c r="K133" i="5" s="1"/>
  <c r="I132" i="5"/>
  <c r="K132" i="5" s="1"/>
  <c r="I101" i="5"/>
  <c r="I100" i="5"/>
  <c r="I70" i="5"/>
  <c r="I43" i="5"/>
  <c r="I42" i="5"/>
  <c r="I41" i="5"/>
  <c r="I40" i="5"/>
  <c r="I11" i="5"/>
  <c r="U284" i="5"/>
  <c r="V284" i="5" s="1"/>
  <c r="W284" i="5" s="1"/>
  <c r="X284" i="5" s="1"/>
  <c r="Z284" i="5" s="1"/>
  <c r="U282" i="5"/>
  <c r="V282" i="5" s="1"/>
  <c r="U283" i="5"/>
  <c r="V283" i="5" s="1"/>
  <c r="W283" i="5" s="1"/>
  <c r="X283" i="5" s="1"/>
  <c r="Z283" i="5" s="1"/>
  <c r="S259" i="5"/>
  <c r="S258" i="5"/>
  <c r="S257" i="5"/>
  <c r="U257" i="5" s="1"/>
  <c r="V257" i="5" s="1"/>
  <c r="S223" i="5"/>
  <c r="U223" i="5" s="1"/>
  <c r="V223" i="5" s="1"/>
  <c r="W223" i="5" s="1"/>
  <c r="X223" i="5" s="1"/>
  <c r="Z223" i="5" s="1"/>
  <c r="S222" i="5"/>
  <c r="U222" i="5" s="1"/>
  <c r="V222" i="5" s="1"/>
  <c r="K256" i="5"/>
  <c r="W256" i="5" s="1"/>
  <c r="X256" i="5" s="1"/>
  <c r="K222" i="5"/>
  <c r="S193" i="5"/>
  <c r="U193" i="5" s="1"/>
  <c r="V193" i="5" s="1"/>
  <c r="S194" i="5"/>
  <c r="U194" i="5" s="1"/>
  <c r="V194" i="5" s="1"/>
  <c r="S192" i="5"/>
  <c r="U192" i="5" s="1"/>
  <c r="V192" i="5" s="1"/>
  <c r="S163" i="5"/>
  <c r="U163" i="5" s="1"/>
  <c r="V163" i="5" s="1"/>
  <c r="W163" i="5" s="1"/>
  <c r="X163" i="5" s="1"/>
  <c r="Z163" i="5" s="1"/>
  <c r="S164" i="5"/>
  <c r="U164" i="5" s="1"/>
  <c r="V164" i="5" s="1"/>
  <c r="W164" i="5" s="1"/>
  <c r="X164" i="5" s="1"/>
  <c r="Z164" i="5" s="1"/>
  <c r="S162" i="5"/>
  <c r="U162" i="5" s="1"/>
  <c r="S138" i="5"/>
  <c r="U138" i="5" s="1"/>
  <c r="V138" i="5" s="1"/>
  <c r="S137" i="5"/>
  <c r="U137" i="5" s="1"/>
  <c r="V137" i="5" s="1"/>
  <c r="Z139" i="5"/>
  <c r="U258" i="5" l="1"/>
  <c r="V258" i="5" s="1"/>
  <c r="W258" i="5" s="1"/>
  <c r="X258" i="5" s="1"/>
  <c r="U259" i="5"/>
  <c r="V259" i="5" s="1"/>
  <c r="W259" i="5" s="1"/>
  <c r="X259" i="5" s="1"/>
  <c r="Z259" i="5" s="1"/>
  <c r="W315" i="5"/>
  <c r="X315" i="5" s="1"/>
  <c r="Z315" i="5" s="1"/>
  <c r="AB315" i="5" s="1"/>
  <c r="W138" i="5"/>
  <c r="X138" i="5" s="1"/>
  <c r="W314" i="5"/>
  <c r="X314" i="5" s="1"/>
  <c r="Z314" i="5" s="1"/>
  <c r="AB314" i="5" s="1"/>
  <c r="W312" i="5"/>
  <c r="X312" i="5" s="1"/>
  <c r="Z312" i="5" s="1"/>
  <c r="W317" i="5"/>
  <c r="X317" i="5" s="1"/>
  <c r="Z317" i="5" s="1"/>
  <c r="AB317" i="5" s="1"/>
  <c r="W313" i="5"/>
  <c r="X313" i="5" s="1"/>
  <c r="Z313" i="5" s="1"/>
  <c r="AB313" i="5" s="1"/>
  <c r="W316" i="5"/>
  <c r="X316" i="5" s="1"/>
  <c r="Z316" i="5" s="1"/>
  <c r="AB316" i="5" s="1"/>
  <c r="W282" i="5"/>
  <c r="X282" i="5" s="1"/>
  <c r="Z282" i="5" s="1"/>
  <c r="W257" i="5"/>
  <c r="X257" i="5" s="1"/>
  <c r="W222" i="5"/>
  <c r="X222" i="5" s="1"/>
  <c r="Z222" i="5" s="1"/>
  <c r="W192" i="5"/>
  <c r="X192" i="5" s="1"/>
  <c r="W193" i="5"/>
  <c r="X193" i="5" s="1"/>
  <c r="Z193" i="5" s="1"/>
  <c r="W194" i="5"/>
  <c r="X194" i="5" s="1"/>
  <c r="Z194" i="5" s="1"/>
  <c r="W137" i="5"/>
  <c r="X137" i="5" s="1"/>
  <c r="V162" i="5"/>
  <c r="W162" i="5" s="1"/>
  <c r="X162" i="5" s="1"/>
  <c r="S103" i="5"/>
  <c r="S101" i="5"/>
  <c r="S100" i="5"/>
  <c r="K100" i="5"/>
  <c r="S71" i="5"/>
  <c r="U71" i="5" s="1"/>
  <c r="V71" i="5" s="1"/>
  <c r="W71" i="5" s="1"/>
  <c r="X71" i="5" s="1"/>
  <c r="Z71" i="5" s="1"/>
  <c r="S72" i="5"/>
  <c r="U72" i="5" s="1"/>
  <c r="V72" i="5" s="1"/>
  <c r="W72" i="5" s="1"/>
  <c r="X72" i="5" s="1"/>
  <c r="Z72" i="5" s="1"/>
  <c r="S70" i="5"/>
  <c r="U70" i="5" s="1"/>
  <c r="K70" i="5"/>
  <c r="W40" i="5"/>
  <c r="X40" i="5" s="1"/>
  <c r="S42" i="5"/>
  <c r="U42" i="5" s="1"/>
  <c r="V42" i="5" s="1"/>
  <c r="W42" i="5" s="1"/>
  <c r="X42" i="5" s="1"/>
  <c r="Z42" i="5" s="1"/>
  <c r="S43" i="5"/>
  <c r="U43" i="5" s="1"/>
  <c r="S41" i="5"/>
  <c r="U41" i="5" s="1"/>
  <c r="U12" i="5"/>
  <c r="V12" i="5" s="1"/>
  <c r="W12" i="5" s="1"/>
  <c r="X12" i="5" s="1"/>
  <c r="Z12" i="5" s="1"/>
  <c r="AB10" i="5"/>
  <c r="AD10" i="5" s="1"/>
  <c r="AE10" i="5" s="1"/>
  <c r="AF10" i="5" s="1"/>
  <c r="U11" i="5"/>
  <c r="V11" i="5" s="1"/>
  <c r="W11" i="5" s="1"/>
  <c r="X11" i="5" s="1"/>
  <c r="AB11" i="5" s="1"/>
  <c r="S1770" i="5"/>
  <c r="V1770" i="5" s="1"/>
  <c r="V70" i="5" l="1"/>
  <c r="W70" i="5"/>
  <c r="X70" i="5" s="1"/>
  <c r="Z70" i="5" s="1"/>
  <c r="V41" i="5"/>
  <c r="W41" i="5" s="1"/>
  <c r="X41" i="5" s="1"/>
  <c r="U100" i="5"/>
  <c r="V100" i="5" s="1"/>
  <c r="W100" i="5" s="1"/>
  <c r="X100" i="5" s="1"/>
  <c r="U101" i="5"/>
  <c r="V101" i="5" s="1"/>
  <c r="W101" i="5" s="1"/>
  <c r="X101" i="5" s="1"/>
  <c r="V43" i="5"/>
  <c r="W43" i="5" s="1"/>
  <c r="X43" i="5" s="1"/>
  <c r="Z43" i="5" s="1"/>
  <c r="AB43" i="5" s="1"/>
  <c r="U103" i="5"/>
  <c r="V103" i="5" s="1"/>
  <c r="W103" i="5" s="1"/>
  <c r="I1769" i="5"/>
  <c r="K1769" i="5" s="1"/>
  <c r="W1769" i="5" s="1"/>
  <c r="X1769" i="5" s="1"/>
  <c r="Z1769" i="5" s="1"/>
  <c r="AB1769" i="5" s="1"/>
  <c r="AB1784" i="5" s="1"/>
  <c r="AB824" i="5"/>
  <c r="AB825" i="5"/>
  <c r="AB826" i="5"/>
  <c r="AB830" i="5"/>
  <c r="AB831" i="5"/>
  <c r="AB834" i="5"/>
  <c r="AB835" i="5"/>
  <c r="AB836" i="5"/>
  <c r="AB837" i="5"/>
  <c r="AB822" i="5"/>
  <c r="I823" i="5"/>
  <c r="K823" i="5" s="1"/>
  <c r="W823" i="5" s="1"/>
  <c r="X823" i="5" s="1"/>
  <c r="AB823" i="5" s="1"/>
  <c r="I824" i="5"/>
  <c r="K824" i="5" s="1"/>
  <c r="W824" i="5" s="1"/>
  <c r="X824" i="5" s="1"/>
  <c r="I825" i="5"/>
  <c r="K825" i="5" s="1"/>
  <c r="W825" i="5" s="1"/>
  <c r="X825" i="5" s="1"/>
  <c r="I826" i="5"/>
  <c r="K826" i="5" s="1"/>
  <c r="W826" i="5" s="1"/>
  <c r="X826" i="5" s="1"/>
  <c r="I827" i="5"/>
  <c r="K827" i="5" s="1"/>
  <c r="W827" i="5" s="1"/>
  <c r="X827" i="5" s="1"/>
  <c r="Z827" i="5" s="1"/>
  <c r="AB827" i="5" s="1"/>
  <c r="I828" i="5"/>
  <c r="K828" i="5" s="1"/>
  <c r="W828" i="5" s="1"/>
  <c r="X828" i="5" s="1"/>
  <c r="Z828" i="5" s="1"/>
  <c r="AB828" i="5" s="1"/>
  <c r="I829" i="5"/>
  <c r="K829" i="5" s="1"/>
  <c r="W829" i="5" s="1"/>
  <c r="X829" i="5" s="1"/>
  <c r="Z829" i="5" s="1"/>
  <c r="AB829" i="5" s="1"/>
  <c r="I830" i="5"/>
  <c r="K830" i="5" s="1"/>
  <c r="W830" i="5" s="1"/>
  <c r="X830" i="5" s="1"/>
  <c r="I831" i="5"/>
  <c r="K831" i="5" s="1"/>
  <c r="W831" i="5" s="1"/>
  <c r="X831" i="5" s="1"/>
  <c r="I832" i="5"/>
  <c r="K832" i="5" s="1"/>
  <c r="W832" i="5" s="1"/>
  <c r="X832" i="5" s="1"/>
  <c r="Z832" i="5" s="1"/>
  <c r="AB832" i="5" s="1"/>
  <c r="I833" i="5"/>
  <c r="K833" i="5" s="1"/>
  <c r="W833" i="5" s="1"/>
  <c r="X833" i="5" s="1"/>
  <c r="Z833" i="5" s="1"/>
  <c r="AB833" i="5" s="1"/>
  <c r="I834" i="5"/>
  <c r="K834" i="5" s="1"/>
  <c r="W834" i="5" s="1"/>
  <c r="X834" i="5" s="1"/>
  <c r="I835" i="5"/>
  <c r="K835" i="5" s="1"/>
  <c r="W835" i="5" s="1"/>
  <c r="X835" i="5" s="1"/>
  <c r="I836" i="5"/>
  <c r="K836" i="5" s="1"/>
  <c r="W836" i="5" s="1"/>
  <c r="X836" i="5" s="1"/>
  <c r="I837" i="5"/>
  <c r="K837" i="5" s="1"/>
  <c r="W837" i="5" s="1"/>
  <c r="X837" i="5" s="1"/>
  <c r="I838" i="5"/>
  <c r="K838" i="5" s="1"/>
  <c r="W838" i="5" s="1"/>
  <c r="X838" i="5" s="1"/>
  <c r="Z838" i="5" s="1"/>
  <c r="AB838" i="5" s="1"/>
  <c r="I839" i="5"/>
  <c r="K839" i="5" s="1"/>
  <c r="W839" i="5" s="1"/>
  <c r="X839" i="5" s="1"/>
  <c r="Z839" i="5" s="1"/>
  <c r="AB839" i="5" s="1"/>
  <c r="I822" i="5"/>
  <c r="K822" i="5" s="1"/>
  <c r="W822" i="5" s="1"/>
  <c r="X822" i="5" s="1"/>
  <c r="X103" i="5" l="1"/>
  <c r="Z103" i="5" s="1"/>
  <c r="AB840" i="5"/>
  <c r="S1195" i="5" l="1"/>
  <c r="U1195" i="5" s="1"/>
  <c r="AB1194" i="5"/>
  <c r="S1194" i="5"/>
  <c r="U1194" i="5" s="1"/>
  <c r="S1193" i="5"/>
  <c r="U1193" i="5" s="1"/>
  <c r="I1193" i="5"/>
  <c r="K1193" i="5" s="1"/>
  <c r="S1192" i="5"/>
  <c r="I1192" i="5"/>
  <c r="K1192" i="5" s="1"/>
  <c r="AB1191" i="5"/>
  <c r="I1191" i="5"/>
  <c r="K1191" i="5" s="1"/>
  <c r="W1191" i="5" s="1"/>
  <c r="X1191" i="5" s="1"/>
  <c r="AB1190" i="5"/>
  <c r="AD1190" i="5" s="1"/>
  <c r="AE1190" i="5" s="1"/>
  <c r="AF1190" i="5" s="1"/>
  <c r="I1190" i="5"/>
  <c r="K1190" i="5" s="1"/>
  <c r="W1190" i="5" s="1"/>
  <c r="X1190" i="5" s="1"/>
  <c r="AB1189" i="5"/>
  <c r="I1189" i="5"/>
  <c r="K1189" i="5" s="1"/>
  <c r="W1189" i="5" s="1"/>
  <c r="X1189" i="5" s="1"/>
  <c r="AD1189" i="5" l="1"/>
  <c r="AE1189" i="5" s="1"/>
  <c r="AF1189" i="5" s="1"/>
  <c r="V1195" i="5"/>
  <c r="U1192" i="5"/>
  <c r="V1192" i="5" s="1"/>
  <c r="W1192" i="5" s="1"/>
  <c r="X1192" i="5" s="1"/>
  <c r="Z1192" i="5" s="1"/>
  <c r="AB1192" i="5" s="1"/>
  <c r="V1193" i="5"/>
  <c r="W1193" i="5" s="1"/>
  <c r="V1194" i="5"/>
  <c r="X1195" i="5" l="1"/>
  <c r="Z1195" i="5" s="1"/>
  <c r="AB1195" i="5" s="1"/>
  <c r="AB1206" i="5" s="1"/>
  <c r="X1194" i="5"/>
  <c r="S1735" i="5" l="1"/>
  <c r="U1735" i="5" s="1"/>
  <c r="V1735" i="5" s="1"/>
  <c r="I1735" i="5"/>
  <c r="K1735" i="5" s="1"/>
  <c r="I375" i="4"/>
  <c r="K375" i="4" s="1"/>
  <c r="W375" i="4" s="1"/>
  <c r="X375" i="4" s="1"/>
  <c r="Z375" i="4" s="1"/>
  <c r="AB375" i="4" s="1"/>
  <c r="W1735" i="5" l="1"/>
  <c r="X1735" i="5" s="1"/>
  <c r="Z1735" i="5" s="1"/>
  <c r="AB1735" i="5" s="1"/>
  <c r="AB719" i="6"/>
  <c r="AB1750" i="5" l="1"/>
  <c r="U466" i="6" l="1"/>
  <c r="V466" i="6" s="1"/>
  <c r="U465" i="6"/>
  <c r="V465" i="6" s="1"/>
  <c r="U464" i="6"/>
  <c r="V464" i="6" s="1"/>
  <c r="W464" i="6" s="1"/>
  <c r="X464" i="6" s="1"/>
  <c r="U463" i="6"/>
  <c r="V463" i="6" s="1"/>
  <c r="W463" i="6" s="1"/>
  <c r="X463" i="6" s="1"/>
  <c r="AB463" i="6" s="1"/>
  <c r="AB464" i="6" l="1"/>
  <c r="X466" i="6"/>
  <c r="Z466" i="6" s="1"/>
  <c r="AB466" i="6" s="1"/>
  <c r="X465" i="6"/>
  <c r="Z465" i="6" s="1"/>
  <c r="AB465" i="6"/>
  <c r="I1701" i="5" l="1"/>
  <c r="S1036" i="4" l="1"/>
  <c r="U1036" i="4" l="1"/>
  <c r="V1036" i="4" s="1"/>
  <c r="I1036" i="4"/>
  <c r="K1036" i="4" s="1"/>
  <c r="W1036" i="4" l="1"/>
  <c r="X1036" i="4" s="1"/>
  <c r="Z1036" i="4" s="1"/>
  <c r="AB1036" i="4" s="1"/>
  <c r="AB1054" i="4" l="1"/>
  <c r="S519" i="2" l="1"/>
  <c r="U519" i="2" s="1"/>
  <c r="I519" i="2"/>
  <c r="K519" i="2" s="1"/>
  <c r="AD518" i="2"/>
  <c r="AE518" i="2" s="1"/>
  <c r="AF518" i="2" s="1"/>
  <c r="AB518" i="2"/>
  <c r="S518" i="2"/>
  <c r="U518" i="2" s="1"/>
  <c r="I518" i="2"/>
  <c r="K518" i="2" s="1"/>
  <c r="AB464" i="5"/>
  <c r="Y615" i="2"/>
  <c r="I615" i="2"/>
  <c r="K615" i="2" s="1"/>
  <c r="W615" i="2" s="1"/>
  <c r="X615" i="2" s="1"/>
  <c r="Z615" i="2" s="1"/>
  <c r="AB615" i="2" s="1"/>
  <c r="Y652" i="2"/>
  <c r="I652" i="2"/>
  <c r="K652" i="2" s="1"/>
  <c r="W652" i="2" s="1"/>
  <c r="X652" i="2" s="1"/>
  <c r="Z652" i="2" s="1"/>
  <c r="AB652" i="2" s="1"/>
  <c r="AB673" i="2" l="1"/>
  <c r="V519" i="2"/>
  <c r="W519" i="2" s="1"/>
  <c r="X519" i="2" s="1"/>
  <c r="Z519" i="2" s="1"/>
  <c r="AB519" i="2" s="1"/>
  <c r="V518" i="2"/>
  <c r="W518" i="2" s="1"/>
  <c r="X518" i="2" s="1"/>
  <c r="AB533" i="2" l="1"/>
  <c r="K1139" i="2" l="1"/>
  <c r="W1139" i="2" s="1"/>
  <c r="X1139" i="2" s="1"/>
  <c r="Z1139" i="2" s="1"/>
  <c r="AB1139" i="2" s="1"/>
  <c r="AB1167" i="2" s="1"/>
  <c r="I827" i="6" l="1"/>
  <c r="K827" i="6" s="1"/>
  <c r="W827" i="6" s="1"/>
  <c r="X827" i="6" s="1"/>
  <c r="AB260" i="5" l="1"/>
  <c r="AB259" i="5"/>
  <c r="AB257" i="5"/>
  <c r="AB256" i="5"/>
  <c r="AB255" i="5"/>
  <c r="S769" i="4" l="1"/>
  <c r="U769" i="4" l="1"/>
  <c r="V769" i="4" s="1"/>
  <c r="W769" i="4" s="1"/>
  <c r="X769" i="4" s="1"/>
  <c r="K1701" i="5" l="1"/>
  <c r="W1701" i="5" s="1"/>
  <c r="X1701" i="5" s="1"/>
  <c r="Z1701" i="5" s="1"/>
  <c r="AB1701" i="5" s="1"/>
  <c r="AB1719" i="5" l="1"/>
  <c r="K1008" i="4"/>
  <c r="W1008" i="4" s="1"/>
  <c r="X1008" i="4" s="1"/>
  <c r="Z1008" i="4" s="1"/>
  <c r="AB1008" i="4" s="1"/>
  <c r="K1007" i="4"/>
  <c r="W1007" i="4" s="1"/>
  <c r="X1007" i="4" s="1"/>
  <c r="K1006" i="4"/>
  <c r="W1006" i="4" s="1"/>
  <c r="X1006" i="4" s="1"/>
  <c r="K1004" i="4"/>
  <c r="K1005" i="4"/>
  <c r="W1005" i="4" s="1"/>
  <c r="X1005" i="4" s="1"/>
  <c r="K1003" i="4"/>
  <c r="W1003" i="4" s="1"/>
  <c r="X1003" i="4" s="1"/>
  <c r="S1002" i="4"/>
  <c r="K1002" i="4"/>
  <c r="K1001" i="4"/>
  <c r="W1001" i="4" s="1"/>
  <c r="X1001" i="4" s="1"/>
  <c r="Z1001" i="4" s="1"/>
  <c r="AB1001" i="4" s="1"/>
  <c r="K1000" i="4"/>
  <c r="W1000" i="4" s="1"/>
  <c r="X1000" i="4" s="1"/>
  <c r="K1672" i="5"/>
  <c r="W1672" i="5" s="1"/>
  <c r="X1672" i="5" s="1"/>
  <c r="Z1672" i="5" s="1"/>
  <c r="AB1672" i="5" s="1"/>
  <c r="K1671" i="5"/>
  <c r="W1671" i="5" s="1"/>
  <c r="X1671" i="5" s="1"/>
  <c r="Z1671" i="5" s="1"/>
  <c r="AB1671" i="5" s="1"/>
  <c r="W1004" i="4" l="1"/>
  <c r="X1004" i="4" s="1"/>
  <c r="U1002" i="4"/>
  <c r="V1002" i="4" s="1"/>
  <c r="W1002" i="4" s="1"/>
  <c r="X1002" i="4" s="1"/>
  <c r="AB1021" i="4"/>
  <c r="AB1686" i="5"/>
  <c r="K968" i="4" l="1"/>
  <c r="W968" i="4" s="1"/>
  <c r="X968" i="4" s="1"/>
  <c r="Z968" i="4" s="1"/>
  <c r="AB968" i="4" s="1"/>
  <c r="K967" i="4"/>
  <c r="W967" i="4" s="1"/>
  <c r="X967" i="4" s="1"/>
  <c r="Z967" i="4" s="1"/>
  <c r="AB967" i="4" s="1"/>
  <c r="AB985" i="4" l="1"/>
  <c r="K1109" i="2" l="1"/>
  <c r="Z1109" i="2" s="1"/>
  <c r="AB1109" i="2" s="1"/>
  <c r="K1079" i="2"/>
  <c r="Z1079" i="2" s="1"/>
  <c r="AB1079" i="2" s="1"/>
  <c r="K1462" i="5"/>
  <c r="S1462" i="5"/>
  <c r="U1462" i="5" l="1"/>
  <c r="V1462" i="5" s="1"/>
  <c r="W1462" i="5" s="1"/>
  <c r="X1462" i="5" s="1"/>
  <c r="Z1462" i="5" s="1"/>
  <c r="AB1462" i="5" s="1"/>
  <c r="AB1094" i="2"/>
  <c r="X1109" i="2"/>
  <c r="AB1124" i="2"/>
  <c r="S1051" i="2" l="1"/>
  <c r="U1051" i="2" s="1"/>
  <c r="K1051" i="2"/>
  <c r="AB1050" i="2"/>
  <c r="S1050" i="2"/>
  <c r="U1050" i="2" s="1"/>
  <c r="K1050" i="2"/>
  <c r="AB753" i="2"/>
  <c r="S753" i="2"/>
  <c r="I753" i="2"/>
  <c r="K753" i="2" s="1"/>
  <c r="I752" i="2"/>
  <c r="K752" i="2" s="1"/>
  <c r="W752" i="2" s="1"/>
  <c r="X752" i="2" s="1"/>
  <c r="Z752" i="2" s="1"/>
  <c r="AB752" i="2" s="1"/>
  <c r="I751" i="2"/>
  <c r="K751" i="2" s="1"/>
  <c r="W751" i="2" s="1"/>
  <c r="X751" i="2" s="1"/>
  <c r="Z751" i="2" s="1"/>
  <c r="AB751" i="2" s="1"/>
  <c r="I750" i="2"/>
  <c r="K750" i="2" s="1"/>
  <c r="W750" i="2" s="1"/>
  <c r="X750" i="2" s="1"/>
  <c r="Z750" i="2" s="1"/>
  <c r="AB750" i="2" s="1"/>
  <c r="I749" i="2"/>
  <c r="K749" i="2" s="1"/>
  <c r="W749" i="2" s="1"/>
  <c r="X749" i="2" s="1"/>
  <c r="Z749" i="2" s="1"/>
  <c r="AB749" i="2" s="1"/>
  <c r="I748" i="2"/>
  <c r="K748" i="2" s="1"/>
  <c r="W748" i="2" s="1"/>
  <c r="X748" i="2" s="1"/>
  <c r="Z748" i="2" s="1"/>
  <c r="AB748" i="2" s="1"/>
  <c r="U1025" i="2"/>
  <c r="V1025" i="2" s="1"/>
  <c r="I1025" i="2"/>
  <c r="K1025" i="2" s="1"/>
  <c r="U1024" i="2"/>
  <c r="V1024" i="2" s="1"/>
  <c r="I1024" i="2"/>
  <c r="K1024" i="2" s="1"/>
  <c r="U1023" i="2"/>
  <c r="V1023" i="2" s="1"/>
  <c r="I1023" i="2"/>
  <c r="K1023" i="2" s="1"/>
  <c r="U1022" i="2"/>
  <c r="V1022" i="2" s="1"/>
  <c r="I1022" i="2"/>
  <c r="K1022" i="2" s="1"/>
  <c r="U1021" i="2"/>
  <c r="V1021" i="2" s="1"/>
  <c r="I1021" i="2"/>
  <c r="K1021" i="2" s="1"/>
  <c r="U1020" i="2"/>
  <c r="V1020" i="2" s="1"/>
  <c r="I1020" i="2"/>
  <c r="K1020" i="2" s="1"/>
  <c r="U1019" i="2"/>
  <c r="V1019" i="2" s="1"/>
  <c r="I1019" i="2"/>
  <c r="K1019" i="2" s="1"/>
  <c r="W1019" i="2" l="1"/>
  <c r="X1019" i="2" s="1"/>
  <c r="Z1019" i="2" s="1"/>
  <c r="AB1019" i="2" s="1"/>
  <c r="W1021" i="2"/>
  <c r="X1021" i="2" s="1"/>
  <c r="Z1021" i="2" s="1"/>
  <c r="AB1021" i="2" s="1"/>
  <c r="W1023" i="2"/>
  <c r="X1023" i="2" s="1"/>
  <c r="Z1023" i="2" s="1"/>
  <c r="AB1023" i="2" s="1"/>
  <c r="W1022" i="2"/>
  <c r="X1022" i="2" s="1"/>
  <c r="Z1022" i="2" s="1"/>
  <c r="AB1022" i="2" s="1"/>
  <c r="W1024" i="2"/>
  <c r="X1024" i="2" s="1"/>
  <c r="Z1024" i="2" s="1"/>
  <c r="AB1024" i="2" s="1"/>
  <c r="W1025" i="2"/>
  <c r="X1025" i="2" s="1"/>
  <c r="Z1025" i="2" s="1"/>
  <c r="AB1025" i="2" s="1"/>
  <c r="W1020" i="2"/>
  <c r="X1020" i="2" s="1"/>
  <c r="Z1020" i="2" s="1"/>
  <c r="AB1020" i="2" s="1"/>
  <c r="V1051" i="2"/>
  <c r="W1051" i="2" s="1"/>
  <c r="X1051" i="2" s="1"/>
  <c r="Z1051" i="2" s="1"/>
  <c r="AB1051" i="2" s="1"/>
  <c r="V1050" i="2"/>
  <c r="W1050" i="2" s="1"/>
  <c r="X1050" i="2" s="1"/>
  <c r="U753" i="2"/>
  <c r="V753" i="2" s="1"/>
  <c r="W753" i="2" s="1"/>
  <c r="X753" i="2" s="1"/>
  <c r="AB1034" i="2" l="1"/>
  <c r="AB1064" i="2"/>
  <c r="AG156" i="4" l="1"/>
  <c r="AB144" i="4" l="1"/>
  <c r="AB145" i="4"/>
  <c r="I762" i="5"/>
  <c r="K762" i="5" s="1"/>
  <c r="S762" i="5"/>
  <c r="I763" i="5"/>
  <c r="K763" i="5" s="1"/>
  <c r="S763" i="5"/>
  <c r="I732" i="5"/>
  <c r="K732" i="5" s="1"/>
  <c r="W732" i="5" s="1"/>
  <c r="X732" i="5" s="1"/>
  <c r="Z732" i="5" s="1"/>
  <c r="I733" i="5"/>
  <c r="K733" i="5" s="1"/>
  <c r="W733" i="5" s="1"/>
  <c r="X733" i="5" s="1"/>
  <c r="Z733" i="5" s="1"/>
  <c r="I672" i="5"/>
  <c r="K672" i="5" s="1"/>
  <c r="W672" i="5" s="1"/>
  <c r="X672" i="5" s="1"/>
  <c r="I673" i="5"/>
  <c r="K673" i="5" s="1"/>
  <c r="S673" i="5"/>
  <c r="U673" i="5" s="1"/>
  <c r="I674" i="5"/>
  <c r="K674" i="5" s="1"/>
  <c r="W674" i="5" s="1"/>
  <c r="X674" i="5" s="1"/>
  <c r="Z674" i="5" s="1"/>
  <c r="Z404" i="5"/>
  <c r="AB404" i="5" s="1"/>
  <c r="AB403" i="5"/>
  <c r="AB402" i="5"/>
  <c r="AB223" i="5"/>
  <c r="AD223" i="5" s="1"/>
  <c r="AE223" i="5" s="1"/>
  <c r="AF223" i="5" s="1"/>
  <c r="AB42" i="5"/>
  <c r="W974" i="6"/>
  <c r="X974" i="6" s="1"/>
  <c r="Z974" i="6" s="1"/>
  <c r="AB974" i="6" s="1"/>
  <c r="K945" i="6"/>
  <c r="W945" i="6" s="1"/>
  <c r="X945" i="6" s="1"/>
  <c r="Z945" i="6" s="1"/>
  <c r="K944" i="6"/>
  <c r="W944" i="6" s="1"/>
  <c r="X944" i="6" s="1"/>
  <c r="Z944" i="6" s="1"/>
  <c r="AB944" i="6" s="1"/>
  <c r="I794" i="6"/>
  <c r="K794" i="6" s="1"/>
  <c r="U794" i="6"/>
  <c r="V794" i="6" s="1"/>
  <c r="I795" i="6"/>
  <c r="K795" i="6" s="1"/>
  <c r="U795" i="6"/>
  <c r="V795" i="6" s="1"/>
  <c r="I796" i="6"/>
  <c r="K796" i="6" s="1"/>
  <c r="U796" i="6"/>
  <c r="V796" i="6" s="1"/>
  <c r="I764" i="6"/>
  <c r="K764" i="6" s="1"/>
  <c r="AB347" i="6"/>
  <c r="AB164" i="6"/>
  <c r="AB104" i="6"/>
  <c r="AB103" i="6"/>
  <c r="AB79" i="6"/>
  <c r="AB81" i="6"/>
  <c r="AB82" i="6"/>
  <c r="AB83" i="6"/>
  <c r="AB84" i="6"/>
  <c r="AB85" i="6"/>
  <c r="AB86" i="6"/>
  <c r="AB87" i="6"/>
  <c r="AB76" i="6"/>
  <c r="W764" i="6" l="1"/>
  <c r="X764" i="6" s="1"/>
  <c r="Z764" i="6" s="1"/>
  <c r="U763" i="5"/>
  <c r="V763" i="5" s="1"/>
  <c r="W763" i="5" s="1"/>
  <c r="X763" i="5" s="1"/>
  <c r="Z763" i="5" s="1"/>
  <c r="AB991" i="6"/>
  <c r="AB952" i="4"/>
  <c r="AB919" i="4"/>
  <c r="U762" i="5"/>
  <c r="V762" i="5" s="1"/>
  <c r="W762" i="5" s="1"/>
  <c r="X762" i="5" s="1"/>
  <c r="V673" i="5"/>
  <c r="W673" i="5" s="1"/>
  <c r="X673" i="5" s="1"/>
  <c r="AB945" i="6"/>
  <c r="AB959" i="6" s="1"/>
  <c r="W796" i="6"/>
  <c r="X796" i="6" s="1"/>
  <c r="W795" i="6"/>
  <c r="X795" i="6" s="1"/>
  <c r="Z795" i="6" s="1"/>
  <c r="W794" i="6"/>
  <c r="X794" i="6" s="1"/>
  <c r="Z794" i="6" s="1"/>
  <c r="AB88" i="6"/>
  <c r="U960" i="2" l="1"/>
  <c r="V960" i="2" s="1"/>
  <c r="I960" i="2"/>
  <c r="K960" i="2" s="1"/>
  <c r="U959" i="2"/>
  <c r="V959" i="2" s="1"/>
  <c r="I959" i="2"/>
  <c r="K959" i="2" s="1"/>
  <c r="Y614" i="2"/>
  <c r="I614" i="2"/>
  <c r="K614" i="2" s="1"/>
  <c r="W614" i="2" s="1"/>
  <c r="X614" i="2" s="1"/>
  <c r="Z614" i="2" s="1"/>
  <c r="Y613" i="2"/>
  <c r="I613" i="2"/>
  <c r="K613" i="2" s="1"/>
  <c r="W613" i="2" s="1"/>
  <c r="X613" i="2" s="1"/>
  <c r="Z613" i="2" s="1"/>
  <c r="Y612" i="2"/>
  <c r="I612" i="2"/>
  <c r="K612" i="2" s="1"/>
  <c r="W612" i="2" s="1"/>
  <c r="X612" i="2" s="1"/>
  <c r="Z612" i="2" s="1"/>
  <c r="Y611" i="2"/>
  <c r="I611" i="2"/>
  <c r="K611" i="2" s="1"/>
  <c r="W611" i="2" s="1"/>
  <c r="X611" i="2" s="1"/>
  <c r="Z611" i="2" s="1"/>
  <c r="Y610" i="2"/>
  <c r="I610" i="2"/>
  <c r="K610" i="2" s="1"/>
  <c r="W610" i="2" s="1"/>
  <c r="X610" i="2" s="1"/>
  <c r="Z610" i="2" s="1"/>
  <c r="Y609" i="2"/>
  <c r="I609" i="2"/>
  <c r="K609" i="2" s="1"/>
  <c r="W609" i="2" s="1"/>
  <c r="X609" i="2" s="1"/>
  <c r="Z609" i="2" s="1"/>
  <c r="Y581" i="2"/>
  <c r="I581" i="2"/>
  <c r="K581" i="2" s="1"/>
  <c r="W581" i="2" s="1"/>
  <c r="X581" i="2" s="1"/>
  <c r="Z581" i="2" s="1"/>
  <c r="Y580" i="2"/>
  <c r="I580" i="2"/>
  <c r="K580" i="2" s="1"/>
  <c r="W580" i="2" s="1"/>
  <c r="X580" i="2" s="1"/>
  <c r="Z580" i="2" s="1"/>
  <c r="AB580" i="2" s="1"/>
  <c r="S579" i="2"/>
  <c r="I579" i="2"/>
  <c r="K579" i="2" s="1"/>
  <c r="V578" i="2"/>
  <c r="I578" i="2"/>
  <c r="K578" i="2" s="1"/>
  <c r="W578" i="2" s="1"/>
  <c r="X578" i="2" s="1"/>
  <c r="AB579" i="2"/>
  <c r="AB578" i="2"/>
  <c r="K549" i="2"/>
  <c r="W549" i="2" s="1"/>
  <c r="X549" i="2" s="1"/>
  <c r="I548" i="2"/>
  <c r="K548" i="2" s="1"/>
  <c r="W548" i="2" s="1"/>
  <c r="X548" i="2" s="1"/>
  <c r="Z548" i="2" s="1"/>
  <c r="AB548" i="2" s="1"/>
  <c r="I491" i="2"/>
  <c r="K491" i="2" s="1"/>
  <c r="W491" i="2" s="1"/>
  <c r="X491" i="2" s="1"/>
  <c r="I490" i="2"/>
  <c r="K490" i="2" s="1"/>
  <c r="W490" i="2" s="1"/>
  <c r="X490" i="2" s="1"/>
  <c r="S489" i="2"/>
  <c r="U489" i="2" s="1"/>
  <c r="I489" i="2"/>
  <c r="K489" i="2" s="1"/>
  <c r="S488" i="2"/>
  <c r="I488" i="2"/>
  <c r="K488" i="2" s="1"/>
  <c r="I459" i="2"/>
  <c r="K459" i="2" s="1"/>
  <c r="W459" i="2" s="1"/>
  <c r="X459" i="2" s="1"/>
  <c r="P458" i="2"/>
  <c r="S458" i="2" s="1"/>
  <c r="U458" i="2" s="1"/>
  <c r="I458" i="2"/>
  <c r="K458" i="2" s="1"/>
  <c r="AB435" i="2"/>
  <c r="AB436" i="2"/>
  <c r="AB437" i="2"/>
  <c r="AB438" i="2"/>
  <c r="AB439" i="2"/>
  <c r="I439" i="2"/>
  <c r="K439" i="2" s="1"/>
  <c r="W439" i="2" s="1"/>
  <c r="X439" i="2" s="1"/>
  <c r="I438" i="2"/>
  <c r="K438" i="2" s="1"/>
  <c r="W438" i="2" s="1"/>
  <c r="X438" i="2" s="1"/>
  <c r="I437" i="2"/>
  <c r="K437" i="2" s="1"/>
  <c r="W437" i="2" s="1"/>
  <c r="X437" i="2" s="1"/>
  <c r="I436" i="2"/>
  <c r="K436" i="2" s="1"/>
  <c r="W436" i="2" s="1"/>
  <c r="X436" i="2" s="1"/>
  <c r="I435" i="2"/>
  <c r="K435" i="2" s="1"/>
  <c r="W435" i="2" s="1"/>
  <c r="X435" i="2" s="1"/>
  <c r="P434" i="2"/>
  <c r="S434" i="2" s="1"/>
  <c r="I434" i="2"/>
  <c r="K434" i="2" s="1"/>
  <c r="P433" i="2"/>
  <c r="S433" i="2" s="1"/>
  <c r="U433" i="2" s="1"/>
  <c r="P432" i="2"/>
  <c r="S432" i="2" s="1"/>
  <c r="U432" i="2" s="1"/>
  <c r="P431" i="2"/>
  <c r="S431" i="2" s="1"/>
  <c r="U431" i="2" s="1"/>
  <c r="P430" i="2"/>
  <c r="S430" i="2" s="1"/>
  <c r="U430" i="2" s="1"/>
  <c r="I430" i="2"/>
  <c r="K430" i="2" s="1"/>
  <c r="I429" i="2"/>
  <c r="K429" i="2" s="1"/>
  <c r="W429" i="2" s="1"/>
  <c r="X429" i="2" s="1"/>
  <c r="I428" i="2"/>
  <c r="K428" i="2" s="1"/>
  <c r="W428" i="2" s="1"/>
  <c r="X428" i="2" s="1"/>
  <c r="P402" i="2"/>
  <c r="S402" i="2" s="1"/>
  <c r="P401" i="2"/>
  <c r="S401" i="2" s="1"/>
  <c r="I401" i="2"/>
  <c r="K401" i="2" s="1"/>
  <c r="I400" i="2"/>
  <c r="K400" i="2" s="1"/>
  <c r="W400" i="2" s="1"/>
  <c r="X400" i="2" s="1"/>
  <c r="Z400" i="2" s="1"/>
  <c r="I399" i="2"/>
  <c r="K399" i="2" s="1"/>
  <c r="W399" i="2" s="1"/>
  <c r="X399" i="2" s="1"/>
  <c r="I398" i="2"/>
  <c r="K398" i="2" s="1"/>
  <c r="W398" i="2" s="1"/>
  <c r="X398" i="2" s="1"/>
  <c r="AB371" i="2"/>
  <c r="AB372" i="2"/>
  <c r="S373" i="2"/>
  <c r="U373" i="2" s="1"/>
  <c r="I373" i="2"/>
  <c r="K373" i="2" s="1"/>
  <c r="S372" i="2"/>
  <c r="U372" i="2" s="1"/>
  <c r="I372" i="2"/>
  <c r="K372" i="2" s="1"/>
  <c r="P371" i="2"/>
  <c r="S371" i="2" s="1"/>
  <c r="U371" i="2" s="1"/>
  <c r="I371" i="2"/>
  <c r="K371" i="2" s="1"/>
  <c r="P379" i="2"/>
  <c r="S379" i="2" s="1"/>
  <c r="P370" i="2"/>
  <c r="S370" i="2" s="1"/>
  <c r="U370" i="2" s="1"/>
  <c r="P369" i="2"/>
  <c r="S369" i="2" s="1"/>
  <c r="U369" i="2" s="1"/>
  <c r="I369" i="2"/>
  <c r="K369" i="2" s="1"/>
  <c r="I348" i="2"/>
  <c r="K348" i="2" s="1"/>
  <c r="W348" i="2" s="1"/>
  <c r="X348" i="2" s="1"/>
  <c r="Z348" i="2" s="1"/>
  <c r="AB348" i="2" s="1"/>
  <c r="P347" i="2"/>
  <c r="S347" i="2" s="1"/>
  <c r="U347" i="2" s="1"/>
  <c r="S346" i="2"/>
  <c r="U346" i="2" s="1"/>
  <c r="P345" i="2"/>
  <c r="S345" i="2" s="1"/>
  <c r="U345" i="2" s="1"/>
  <c r="I345" i="2"/>
  <c r="K345" i="2" s="1"/>
  <c r="P344" i="2"/>
  <c r="S344" i="2" s="1"/>
  <c r="U344" i="2" s="1"/>
  <c r="P343" i="2"/>
  <c r="S343" i="2" s="1"/>
  <c r="U343" i="2" s="1"/>
  <c r="P342" i="2"/>
  <c r="S342" i="2" s="1"/>
  <c r="U342" i="2" s="1"/>
  <c r="P341" i="2"/>
  <c r="S341" i="2" s="1"/>
  <c r="U341" i="2" s="1"/>
  <c r="I341" i="2"/>
  <c r="K341" i="2" s="1"/>
  <c r="P340" i="2"/>
  <c r="S340" i="2" s="1"/>
  <c r="U340" i="2" s="1"/>
  <c r="I340" i="2"/>
  <c r="K340" i="2" s="1"/>
  <c r="I339" i="2"/>
  <c r="K339" i="2" s="1"/>
  <c r="W339" i="2" s="1"/>
  <c r="X339" i="2" s="1"/>
  <c r="AB339" i="2"/>
  <c r="AB345" i="2"/>
  <c r="P312" i="2"/>
  <c r="S312" i="2" s="1"/>
  <c r="U312" i="2" s="1"/>
  <c r="I312" i="2"/>
  <c r="K312" i="2" s="1"/>
  <c r="S311" i="2"/>
  <c r="U311" i="2" s="1"/>
  <c r="I311" i="2"/>
  <c r="K311" i="2" s="1"/>
  <c r="P310" i="2"/>
  <c r="S310" i="2" s="1"/>
  <c r="U310" i="2" s="1"/>
  <c r="I310" i="2"/>
  <c r="K310" i="2" s="1"/>
  <c r="P309" i="2"/>
  <c r="S309" i="2" s="1"/>
  <c r="U309" i="2" s="1"/>
  <c r="I309" i="2"/>
  <c r="K309" i="2" s="1"/>
  <c r="P281" i="2"/>
  <c r="S281" i="2" s="1"/>
  <c r="U281" i="2" s="1"/>
  <c r="I281" i="2"/>
  <c r="K281" i="2" s="1"/>
  <c r="S280" i="2"/>
  <c r="U280" i="2" s="1"/>
  <c r="I280" i="2"/>
  <c r="K280" i="2" s="1"/>
  <c r="I279" i="2"/>
  <c r="K279" i="2" s="1"/>
  <c r="W279" i="2" s="1"/>
  <c r="X279" i="2" s="1"/>
  <c r="S250" i="2"/>
  <c r="U250" i="2" s="1"/>
  <c r="I250" i="2"/>
  <c r="K250" i="2" s="1"/>
  <c r="P249" i="2"/>
  <c r="S249" i="2" s="1"/>
  <c r="U249" i="2" s="1"/>
  <c r="I249" i="2"/>
  <c r="K249" i="2" s="1"/>
  <c r="P223" i="2"/>
  <c r="S223" i="2" s="1"/>
  <c r="U223" i="2" s="1"/>
  <c r="I223" i="2"/>
  <c r="K223" i="2" s="1"/>
  <c r="P222" i="2"/>
  <c r="S222" i="2" s="1"/>
  <c r="U222" i="2" s="1"/>
  <c r="I222" i="2"/>
  <c r="K222" i="2" s="1"/>
  <c r="P221" i="2"/>
  <c r="S221" i="2" s="1"/>
  <c r="I221" i="2"/>
  <c r="K221" i="2" s="1"/>
  <c r="I220" i="2"/>
  <c r="K220" i="2" s="1"/>
  <c r="W220" i="2" s="1"/>
  <c r="X220" i="2" s="1"/>
  <c r="I219" i="2"/>
  <c r="K219" i="2" s="1"/>
  <c r="W219" i="2" s="1"/>
  <c r="X219" i="2" s="1"/>
  <c r="S201" i="2"/>
  <c r="U201" i="2" s="1"/>
  <c r="H201" i="2"/>
  <c r="I201" i="2" s="1"/>
  <c r="K201" i="2" s="1"/>
  <c r="S200" i="2"/>
  <c r="U200" i="2" s="1"/>
  <c r="K200" i="2"/>
  <c r="S199" i="2"/>
  <c r="U199" i="2" s="1"/>
  <c r="I199" i="2"/>
  <c r="K199" i="2" s="1"/>
  <c r="S198" i="2"/>
  <c r="U198" i="2" s="1"/>
  <c r="I198" i="2"/>
  <c r="K198" i="2" s="1"/>
  <c r="S197" i="2"/>
  <c r="U197" i="2" s="1"/>
  <c r="I197" i="2"/>
  <c r="K197" i="2" s="1"/>
  <c r="S196" i="2"/>
  <c r="U196" i="2" s="1"/>
  <c r="I196" i="2"/>
  <c r="K196" i="2" s="1"/>
  <c r="S195" i="2"/>
  <c r="U195" i="2" s="1"/>
  <c r="I195" i="2"/>
  <c r="K195" i="2" s="1"/>
  <c r="S194" i="2"/>
  <c r="U194" i="2" s="1"/>
  <c r="S193" i="2"/>
  <c r="U193" i="2" s="1"/>
  <c r="S192" i="2"/>
  <c r="U192" i="2" s="1"/>
  <c r="I192" i="2"/>
  <c r="K192" i="2" s="1"/>
  <c r="P191" i="2"/>
  <c r="S191" i="2" s="1"/>
  <c r="U191" i="2" s="1"/>
  <c r="I191" i="2"/>
  <c r="K191" i="2" s="1"/>
  <c r="P190" i="2"/>
  <c r="S190" i="2" s="1"/>
  <c r="U190" i="2" s="1"/>
  <c r="I190" i="2"/>
  <c r="K190" i="2" s="1"/>
  <c r="P161" i="2"/>
  <c r="S161" i="2" s="1"/>
  <c r="U161" i="2" s="1"/>
  <c r="I161" i="2"/>
  <c r="K161" i="2" s="1"/>
  <c r="S160" i="2"/>
  <c r="I160" i="2"/>
  <c r="K160" i="2" s="1"/>
  <c r="AB159" i="2"/>
  <c r="S159" i="2"/>
  <c r="U159" i="2" s="1"/>
  <c r="I159" i="2"/>
  <c r="K159" i="2" s="1"/>
  <c r="S100" i="2"/>
  <c r="U100" i="2" s="1"/>
  <c r="P99" i="2"/>
  <c r="S99" i="2" s="1"/>
  <c r="U99" i="2" s="1"/>
  <c r="I99" i="2"/>
  <c r="K99" i="2" s="1"/>
  <c r="AB99" i="2"/>
  <c r="P71" i="2"/>
  <c r="S71" i="2" s="1"/>
  <c r="U71" i="2" s="1"/>
  <c r="I71" i="2"/>
  <c r="K71" i="2" s="1"/>
  <c r="S70" i="2"/>
  <c r="U70" i="2" s="1"/>
  <c r="I70" i="2"/>
  <c r="K70" i="2" s="1"/>
  <c r="I69" i="2"/>
  <c r="K69" i="2" s="1"/>
  <c r="W69" i="2" s="1"/>
  <c r="X69" i="2" s="1"/>
  <c r="P41" i="2"/>
  <c r="S41" i="2" s="1"/>
  <c r="U41" i="2" s="1"/>
  <c r="I41" i="2"/>
  <c r="K41" i="2" s="1"/>
  <c r="S40" i="2"/>
  <c r="U40" i="2" s="1"/>
  <c r="I40" i="2"/>
  <c r="K40" i="2" s="1"/>
  <c r="I39" i="2"/>
  <c r="K39" i="2" s="1"/>
  <c r="W39" i="2" s="1"/>
  <c r="X39" i="2" s="1"/>
  <c r="S14" i="2"/>
  <c r="U14" i="2" s="1"/>
  <c r="K14" i="2"/>
  <c r="S13" i="2"/>
  <c r="U13" i="2" s="1"/>
  <c r="K13" i="2"/>
  <c r="S12" i="2"/>
  <c r="S11" i="2"/>
  <c r="U11" i="2" s="1"/>
  <c r="K11" i="2"/>
  <c r="I10" i="2"/>
  <c r="K10" i="2" s="1"/>
  <c r="U488" i="2" l="1"/>
  <c r="V488" i="2" s="1"/>
  <c r="W488" i="2" s="1"/>
  <c r="X488" i="2" s="1"/>
  <c r="W959" i="2"/>
  <c r="X959" i="2" s="1"/>
  <c r="Z959" i="2" s="1"/>
  <c r="W960" i="2"/>
  <c r="X960" i="2" s="1"/>
  <c r="Z960" i="2" s="1"/>
  <c r="U579" i="2"/>
  <c r="V579" i="2" s="1"/>
  <c r="W579" i="2" s="1"/>
  <c r="X579" i="2" s="1"/>
  <c r="AB581" i="2"/>
  <c r="AB563" i="2"/>
  <c r="V489" i="2"/>
  <c r="W489" i="2" s="1"/>
  <c r="X489" i="2" s="1"/>
  <c r="V458" i="2"/>
  <c r="W458" i="2" s="1"/>
  <c r="X458" i="2" s="1"/>
  <c r="Z458" i="2" s="1"/>
  <c r="V431" i="2"/>
  <c r="W431" i="2" s="1"/>
  <c r="X431" i="2" s="1"/>
  <c r="Z431" i="2" s="1"/>
  <c r="V432" i="2"/>
  <c r="W432" i="2" s="1"/>
  <c r="X432" i="2" s="1"/>
  <c r="Z432" i="2" s="1"/>
  <c r="AB432" i="2" s="1"/>
  <c r="U434" i="2"/>
  <c r="V434" i="2" s="1"/>
  <c r="W434" i="2" s="1"/>
  <c r="X434" i="2" s="1"/>
  <c r="Z434" i="2" s="1"/>
  <c r="AB434" i="2" s="1"/>
  <c r="V430" i="2"/>
  <c r="W430" i="2" s="1"/>
  <c r="X430" i="2" s="1"/>
  <c r="V433" i="2"/>
  <c r="W433" i="2" s="1"/>
  <c r="X433" i="2" s="1"/>
  <c r="Z433" i="2" s="1"/>
  <c r="AB433" i="2" s="1"/>
  <c r="U401" i="2"/>
  <c r="V401" i="2" s="1"/>
  <c r="W401" i="2" s="1"/>
  <c r="X401" i="2" s="1"/>
  <c r="Z401" i="2" s="1"/>
  <c r="U402" i="2"/>
  <c r="V402" i="2" s="1"/>
  <c r="W402" i="2" s="1"/>
  <c r="X402" i="2" s="1"/>
  <c r="Z402" i="2" s="1"/>
  <c r="V370" i="2"/>
  <c r="W370" i="2" s="1"/>
  <c r="X370" i="2" s="1"/>
  <c r="Z370" i="2" s="1"/>
  <c r="V369" i="2"/>
  <c r="W369" i="2" s="1"/>
  <c r="X369" i="2" s="1"/>
  <c r="Z369" i="2" s="1"/>
  <c r="V371" i="2"/>
  <c r="W371" i="2" s="1"/>
  <c r="X371" i="2" s="1"/>
  <c r="V372" i="2"/>
  <c r="W372" i="2" s="1"/>
  <c r="X372" i="2" s="1"/>
  <c r="V373" i="2"/>
  <c r="W373" i="2" s="1"/>
  <c r="X373" i="2" s="1"/>
  <c r="Z373" i="2" s="1"/>
  <c r="AB373" i="2" s="1"/>
  <c r="V340" i="2"/>
  <c r="W340" i="2" s="1"/>
  <c r="X340" i="2" s="1"/>
  <c r="Z340" i="2" s="1"/>
  <c r="AB340" i="2" s="1"/>
  <c r="V341" i="2"/>
  <c r="W341" i="2" s="1"/>
  <c r="X341" i="2" s="1"/>
  <c r="Z341" i="2" s="1"/>
  <c r="AB341" i="2" s="1"/>
  <c r="V343" i="2"/>
  <c r="W343" i="2" s="1"/>
  <c r="X343" i="2" s="1"/>
  <c r="Z343" i="2" s="1"/>
  <c r="AB343" i="2" s="1"/>
  <c r="V344" i="2"/>
  <c r="W344" i="2" s="1"/>
  <c r="X344" i="2" s="1"/>
  <c r="Z344" i="2" s="1"/>
  <c r="AB344" i="2" s="1"/>
  <c r="V345" i="2"/>
  <c r="W345" i="2" s="1"/>
  <c r="X345" i="2" s="1"/>
  <c r="V347" i="2"/>
  <c r="W347" i="2" s="1"/>
  <c r="X347" i="2" s="1"/>
  <c r="Z347" i="2" s="1"/>
  <c r="AB347" i="2" s="1"/>
  <c r="V346" i="2"/>
  <c r="W346" i="2" s="1"/>
  <c r="X346" i="2" s="1"/>
  <c r="Z346" i="2" s="1"/>
  <c r="AB346" i="2" s="1"/>
  <c r="V342" i="2"/>
  <c r="W342" i="2" s="1"/>
  <c r="X342" i="2" s="1"/>
  <c r="Z342" i="2" s="1"/>
  <c r="AB342" i="2" s="1"/>
  <c r="V309" i="2"/>
  <c r="W309" i="2" s="1"/>
  <c r="X309" i="2" s="1"/>
  <c r="V310" i="2"/>
  <c r="W310" i="2" s="1"/>
  <c r="X310" i="2" s="1"/>
  <c r="V311" i="2"/>
  <c r="W311" i="2" s="1"/>
  <c r="X311" i="2" s="1"/>
  <c r="Z311" i="2" s="1"/>
  <c r="V312" i="2"/>
  <c r="W312" i="2" s="1"/>
  <c r="X312" i="2" s="1"/>
  <c r="Z312" i="2" s="1"/>
  <c r="V280" i="2"/>
  <c r="W280" i="2" s="1"/>
  <c r="X280" i="2" s="1"/>
  <c r="V281" i="2"/>
  <c r="W281" i="2" s="1"/>
  <c r="X281" i="2" s="1"/>
  <c r="Z281" i="2" s="1"/>
  <c r="V249" i="2"/>
  <c r="W249" i="2" s="1"/>
  <c r="X249" i="2" s="1"/>
  <c r="V250" i="2"/>
  <c r="W250" i="2" s="1"/>
  <c r="X250" i="2" s="1"/>
  <c r="Z250" i="2" s="1"/>
  <c r="U221" i="2"/>
  <c r="V221" i="2" s="1"/>
  <c r="W221" i="2" s="1"/>
  <c r="X221" i="2" s="1"/>
  <c r="V222" i="2"/>
  <c r="W222" i="2" s="1"/>
  <c r="X222" i="2" s="1"/>
  <c r="Z222" i="2" s="1"/>
  <c r="V223" i="2"/>
  <c r="W223" i="2" s="1"/>
  <c r="X223" i="2" s="1"/>
  <c r="Z223" i="2" s="1"/>
  <c r="V199" i="2"/>
  <c r="W199" i="2" s="1"/>
  <c r="X199" i="2" s="1"/>
  <c r="Z199" i="2" s="1"/>
  <c r="V194" i="2"/>
  <c r="W194" i="2" s="1"/>
  <c r="X194" i="2" s="1"/>
  <c r="Z194" i="2" s="1"/>
  <c r="V190" i="2"/>
  <c r="W190" i="2" s="1"/>
  <c r="X190" i="2" s="1"/>
  <c r="V191" i="2"/>
  <c r="W191" i="2" s="1"/>
  <c r="X191" i="2" s="1"/>
  <c r="Z191" i="2" s="1"/>
  <c r="V200" i="2"/>
  <c r="W200" i="2" s="1"/>
  <c r="X200" i="2" s="1"/>
  <c r="Z200" i="2" s="1"/>
  <c r="AB200" i="2" s="1"/>
  <c r="V192" i="2"/>
  <c r="W192" i="2" s="1"/>
  <c r="X192" i="2" s="1"/>
  <c r="Z192" i="2" s="1"/>
  <c r="V198" i="2"/>
  <c r="W198" i="2" s="1"/>
  <c r="X198" i="2" s="1"/>
  <c r="Z198" i="2" s="1"/>
  <c r="V193" i="2"/>
  <c r="W193" i="2" s="1"/>
  <c r="X193" i="2" s="1"/>
  <c r="Z193" i="2" s="1"/>
  <c r="V195" i="2"/>
  <c r="W195" i="2" s="1"/>
  <c r="X195" i="2" s="1"/>
  <c r="Z195" i="2" s="1"/>
  <c r="V196" i="2"/>
  <c r="W196" i="2" s="1"/>
  <c r="X196" i="2" s="1"/>
  <c r="Z196" i="2" s="1"/>
  <c r="V201" i="2"/>
  <c r="W201" i="2" s="1"/>
  <c r="X201" i="2" s="1"/>
  <c r="Z201" i="2" s="1"/>
  <c r="V197" i="2"/>
  <c r="W197" i="2" s="1"/>
  <c r="X197" i="2" s="1"/>
  <c r="Z197" i="2" s="1"/>
  <c r="U160" i="2"/>
  <c r="V160" i="2" s="1"/>
  <c r="W160" i="2" s="1"/>
  <c r="X160" i="2" s="1"/>
  <c r="AB160" i="2" s="1"/>
  <c r="V161" i="2"/>
  <c r="W161" i="2" s="1"/>
  <c r="X161" i="2" s="1"/>
  <c r="Z161" i="2" s="1"/>
  <c r="AB161" i="2" s="1"/>
  <c r="V159" i="2"/>
  <c r="W159" i="2" s="1"/>
  <c r="X159" i="2" s="1"/>
  <c r="V99" i="2"/>
  <c r="W99" i="2" s="1"/>
  <c r="X99" i="2" s="1"/>
  <c r="V100" i="2"/>
  <c r="W100" i="2" s="1"/>
  <c r="X100" i="2" s="1"/>
  <c r="Z100" i="2" s="1"/>
  <c r="AB100" i="2" s="1"/>
  <c r="AD99" i="2"/>
  <c r="AE99" i="2" s="1"/>
  <c r="AF99" i="2" s="1"/>
  <c r="V70" i="2"/>
  <c r="W70" i="2" s="1"/>
  <c r="X70" i="2" s="1"/>
  <c r="V71" i="2"/>
  <c r="W71" i="2" s="1"/>
  <c r="X71" i="2" s="1"/>
  <c r="Z71" i="2" s="1"/>
  <c r="AB71" i="2" s="1"/>
  <c r="V41" i="2"/>
  <c r="W41" i="2" s="1"/>
  <c r="V40" i="2"/>
  <c r="W40" i="2" s="1"/>
  <c r="U12" i="2"/>
  <c r="V12" i="2" s="1"/>
  <c r="W12" i="2" s="1"/>
  <c r="X12" i="2" s="1"/>
  <c r="Z12" i="2" s="1"/>
  <c r="V13" i="2"/>
  <c r="W13" i="2" s="1"/>
  <c r="X13" i="2" s="1"/>
  <c r="Z13" i="2" s="1"/>
  <c r="AB13" i="2" s="1"/>
  <c r="V14" i="2"/>
  <c r="W14" i="2" s="1"/>
  <c r="X14" i="2" s="1"/>
  <c r="Z14" i="2" s="1"/>
  <c r="AB14" i="2" s="1"/>
  <c r="V11" i="2"/>
  <c r="W11" i="2" s="1"/>
  <c r="X11" i="2" s="1"/>
  <c r="AB593" i="2" l="1"/>
  <c r="AD100" i="2"/>
  <c r="AE100" i="2" s="1"/>
  <c r="AF100" i="2" s="1"/>
  <c r="AB114" i="2"/>
  <c r="X40" i="2"/>
  <c r="X41" i="2"/>
  <c r="Z41" i="2" s="1"/>
  <c r="AB488" i="2" l="1"/>
  <c r="AB12" i="6" l="1"/>
  <c r="AB838" i="4" l="1"/>
  <c r="I915" i="6" l="1"/>
  <c r="K915" i="6" s="1"/>
  <c r="I916" i="6"/>
  <c r="K916" i="6" s="1"/>
  <c r="P916" i="6"/>
  <c r="S916" i="6" s="1"/>
  <c r="U916" i="6" s="1"/>
  <c r="P915" i="6"/>
  <c r="S915" i="6" s="1"/>
  <c r="U915" i="6" s="1"/>
  <c r="I914" i="6"/>
  <c r="K914" i="6" s="1"/>
  <c r="W914" i="6" s="1"/>
  <c r="X914" i="6" s="1"/>
  <c r="Z914" i="6" s="1"/>
  <c r="V916" i="6" l="1"/>
  <c r="V915" i="6"/>
  <c r="W915" i="6" s="1"/>
  <c r="X915" i="6" s="1"/>
  <c r="Z915" i="6" s="1"/>
  <c r="AB915" i="6" s="1"/>
  <c r="W916" i="6" l="1"/>
  <c r="X916" i="6" s="1"/>
  <c r="Z916" i="6" s="1"/>
  <c r="AB916" i="6" s="1"/>
  <c r="AB929" i="6" l="1"/>
  <c r="I1642" i="5" l="1"/>
  <c r="K1642" i="5" s="1"/>
  <c r="W1642" i="5" s="1"/>
  <c r="X1642" i="5" s="1"/>
  <c r="Z1642" i="5" s="1"/>
  <c r="AB1642" i="5" s="1"/>
  <c r="I1641" i="5"/>
  <c r="K1641" i="5" s="1"/>
  <c r="W1641" i="5" s="1"/>
  <c r="X1641" i="5" s="1"/>
  <c r="Z1641" i="5" s="1"/>
  <c r="AB1641" i="5" s="1"/>
  <c r="I1611" i="5"/>
  <c r="K1611" i="5" s="1"/>
  <c r="W1611" i="5" s="1"/>
  <c r="X1611" i="5" s="1"/>
  <c r="Z1611" i="5" s="1"/>
  <c r="AB1611" i="5" s="1"/>
  <c r="I1581" i="5"/>
  <c r="K1581" i="5" s="1"/>
  <c r="W1581" i="5" s="1"/>
  <c r="X1581" i="5" s="1"/>
  <c r="Z1581" i="5" s="1"/>
  <c r="AB1581" i="5" s="1"/>
  <c r="AB1626" i="5" l="1"/>
  <c r="AB1596" i="5"/>
  <c r="AB1656" i="5"/>
  <c r="I130" i="2" l="1"/>
  <c r="K130" i="2" s="1"/>
  <c r="W130" i="2" s="1"/>
  <c r="X130" i="2" s="1"/>
  <c r="Z130" i="2" s="1"/>
  <c r="AB130" i="2" s="1"/>
  <c r="I129" i="2"/>
  <c r="K129" i="2" s="1"/>
  <c r="W129" i="2" s="1"/>
  <c r="X129" i="2" s="1"/>
  <c r="Z129" i="2" s="1"/>
  <c r="AB129" i="2" s="1"/>
  <c r="I989" i="2"/>
  <c r="K989" i="2" s="1"/>
  <c r="W989" i="2" s="1"/>
  <c r="X989" i="2" s="1"/>
  <c r="Z989" i="2" s="1"/>
  <c r="AB989" i="2" s="1"/>
  <c r="AB1004" i="2" l="1"/>
  <c r="AB144" i="2"/>
  <c r="I1551" i="5" l="1"/>
  <c r="K1551" i="5" s="1"/>
  <c r="W1551" i="5" s="1"/>
  <c r="X1551" i="5" s="1"/>
  <c r="Z1551" i="5" s="1"/>
  <c r="AB1551" i="5" s="1"/>
  <c r="I1521" i="5"/>
  <c r="K1521" i="5" s="1"/>
  <c r="W1521" i="5" s="1"/>
  <c r="X1521" i="5" s="1"/>
  <c r="Z1521" i="5" s="1"/>
  <c r="AB1521" i="5" s="1"/>
  <c r="AB1536" i="5" l="1"/>
  <c r="AB1566" i="5"/>
  <c r="I885" i="6"/>
  <c r="K885" i="6" s="1"/>
  <c r="W885" i="6" s="1"/>
  <c r="X885" i="6" s="1"/>
  <c r="Z885" i="6" s="1"/>
  <c r="AB885" i="6" s="1"/>
  <c r="I886" i="6"/>
  <c r="K886" i="6" s="1"/>
  <c r="W886" i="6" s="1"/>
  <c r="X886" i="6" s="1"/>
  <c r="Z886" i="6" s="1"/>
  <c r="AB886" i="6" s="1"/>
  <c r="I887" i="6"/>
  <c r="K887" i="6" s="1"/>
  <c r="W887" i="6" s="1"/>
  <c r="X887" i="6" s="1"/>
  <c r="Z887" i="6" s="1"/>
  <c r="AB887" i="6" s="1"/>
  <c r="I888" i="6"/>
  <c r="K888" i="6" s="1"/>
  <c r="W888" i="6" s="1"/>
  <c r="X888" i="6" s="1"/>
  <c r="Z888" i="6" s="1"/>
  <c r="AB888" i="6" s="1"/>
  <c r="I889" i="6"/>
  <c r="K889" i="6" s="1"/>
  <c r="W889" i="6" s="1"/>
  <c r="X889" i="6" s="1"/>
  <c r="Z889" i="6" s="1"/>
  <c r="AB889" i="6" s="1"/>
  <c r="I890" i="6"/>
  <c r="K890" i="6" s="1"/>
  <c r="W890" i="6" s="1"/>
  <c r="X890" i="6" s="1"/>
  <c r="Z890" i="6" s="1"/>
  <c r="AB890" i="6" s="1"/>
  <c r="I891" i="6"/>
  <c r="K891" i="6" s="1"/>
  <c r="W891" i="6" s="1"/>
  <c r="X891" i="6" s="1"/>
  <c r="Z891" i="6" s="1"/>
  <c r="AB891" i="6" s="1"/>
  <c r="I884" i="6"/>
  <c r="K884" i="6" s="1"/>
  <c r="W884" i="6" s="1"/>
  <c r="X884" i="6" s="1"/>
  <c r="Z884" i="6" s="1"/>
  <c r="AB884" i="6" s="1"/>
  <c r="AB899" i="6" l="1"/>
  <c r="AB463" i="5"/>
  <c r="AB462" i="5"/>
  <c r="AB477" i="5" l="1"/>
  <c r="I868" i="4" l="1"/>
  <c r="K868" i="4" s="1"/>
  <c r="W868" i="4" s="1"/>
  <c r="X868" i="4" s="1"/>
  <c r="Z868" i="4" s="1"/>
  <c r="AB868" i="4" s="1"/>
  <c r="AB836" i="4"/>
  <c r="AB837" i="4"/>
  <c r="AB886" i="4" l="1"/>
  <c r="AB835" i="4"/>
  <c r="AB853" i="4" l="1"/>
  <c r="AB312" i="2" l="1"/>
  <c r="AB311" i="2" l="1"/>
  <c r="I854" i="6" l="1"/>
  <c r="K854" i="6" s="1"/>
  <c r="W854" i="6" s="1"/>
  <c r="X854" i="6" s="1"/>
  <c r="Z854" i="6" s="1"/>
  <c r="AB854" i="6" s="1"/>
  <c r="P826" i="6"/>
  <c r="S826" i="6" s="1"/>
  <c r="U826" i="6" s="1"/>
  <c r="P825" i="6"/>
  <c r="S825" i="6" s="1"/>
  <c r="U825" i="6" s="1"/>
  <c r="AB824" i="6"/>
  <c r="P824" i="6"/>
  <c r="S824" i="6" s="1"/>
  <c r="U824" i="6" s="1"/>
  <c r="I824" i="6"/>
  <c r="K824" i="6" s="1"/>
  <c r="AD795" i="6"/>
  <c r="AE795" i="6" s="1"/>
  <c r="AF795" i="6" s="1"/>
  <c r="AD794" i="6"/>
  <c r="AE794" i="6" s="1"/>
  <c r="AF794" i="6" s="1"/>
  <c r="AB764" i="6"/>
  <c r="AD734" i="6"/>
  <c r="AE734" i="6" s="1"/>
  <c r="AF734" i="6" s="1"/>
  <c r="AB738" i="6"/>
  <c r="AB737" i="6"/>
  <c r="AB736" i="6"/>
  <c r="AD735" i="6"/>
  <c r="AE735" i="6" s="1"/>
  <c r="AF735" i="6" s="1"/>
  <c r="AB735" i="6"/>
  <c r="AB614" i="6"/>
  <c r="AB613" i="6"/>
  <c r="AB584" i="6"/>
  <c r="AB583" i="6"/>
  <c r="AB554" i="6"/>
  <c r="AB523" i="6"/>
  <c r="AB493" i="6"/>
  <c r="AB439" i="6"/>
  <c r="AB409" i="6"/>
  <c r="AB408" i="6"/>
  <c r="AB404" i="6"/>
  <c r="AB403" i="6"/>
  <c r="AB373" i="6"/>
  <c r="AB344" i="6"/>
  <c r="AB343" i="6"/>
  <c r="AB313" i="6"/>
  <c r="AB286" i="6"/>
  <c r="AB285" i="6"/>
  <c r="AB284" i="6"/>
  <c r="AB283" i="6"/>
  <c r="AB254" i="6"/>
  <c r="AD253" i="6"/>
  <c r="AE253" i="6" s="1"/>
  <c r="AF253" i="6" s="1"/>
  <c r="AB223" i="6"/>
  <c r="AB193" i="6"/>
  <c r="AB163" i="6"/>
  <c r="AB134" i="6"/>
  <c r="AB133" i="6"/>
  <c r="AB15" i="6"/>
  <c r="AB14" i="6"/>
  <c r="AB13" i="6"/>
  <c r="AB11" i="6"/>
  <c r="AB10" i="6"/>
  <c r="I1491" i="5"/>
  <c r="K1491" i="5" s="1"/>
  <c r="W1491" i="5" s="1"/>
  <c r="X1491" i="5" s="1"/>
  <c r="Z1491" i="5" s="1"/>
  <c r="AB1491" i="5" s="1"/>
  <c r="I1461" i="5"/>
  <c r="K1461" i="5" s="1"/>
  <c r="W1461" i="5" s="1"/>
  <c r="X1461" i="5" s="1"/>
  <c r="AB1461" i="5" s="1"/>
  <c r="I1431" i="5"/>
  <c r="K1431" i="5" s="1"/>
  <c r="W1431" i="5" s="1"/>
  <c r="X1431" i="5" s="1"/>
  <c r="Z1431" i="5" s="1"/>
  <c r="AB1431" i="5" s="1"/>
  <c r="I1401" i="5"/>
  <c r="K1401" i="5" s="1"/>
  <c r="W1401" i="5" s="1"/>
  <c r="X1401" i="5" s="1"/>
  <c r="Z1401" i="5" s="1"/>
  <c r="AB1401" i="5" s="1"/>
  <c r="I1372" i="5"/>
  <c r="K1372" i="5" s="1"/>
  <c r="W1372" i="5" s="1"/>
  <c r="X1372" i="5" s="1"/>
  <c r="Z1372" i="5" s="1"/>
  <c r="AB1372" i="5" s="1"/>
  <c r="I1371" i="5"/>
  <c r="K1371" i="5" s="1"/>
  <c r="W1371" i="5" s="1"/>
  <c r="X1371" i="5" s="1"/>
  <c r="Z1371" i="5" s="1"/>
  <c r="AB1371" i="5" s="1"/>
  <c r="I1342" i="5"/>
  <c r="K1342" i="5" s="1"/>
  <c r="W1342" i="5" s="1"/>
  <c r="X1342" i="5" s="1"/>
  <c r="AB1342" i="5" s="1"/>
  <c r="I1341" i="5"/>
  <c r="K1341" i="5" s="1"/>
  <c r="W1341" i="5" s="1"/>
  <c r="X1341" i="5" s="1"/>
  <c r="Z1341" i="5" s="1"/>
  <c r="AB1341" i="5" s="1"/>
  <c r="I1311" i="5"/>
  <c r="K1311" i="5" s="1"/>
  <c r="W1311" i="5" s="1"/>
  <c r="X1311" i="5" s="1"/>
  <c r="Z1311" i="5" s="1"/>
  <c r="AB1311" i="5" s="1"/>
  <c r="I1281" i="5"/>
  <c r="K1281" i="5" s="1"/>
  <c r="W1281" i="5" s="1"/>
  <c r="X1281" i="5" s="1"/>
  <c r="Z1281" i="5" s="1"/>
  <c r="AB1281" i="5" s="1"/>
  <c r="I1251" i="5"/>
  <c r="K1251" i="5" s="1"/>
  <c r="W1251" i="5" s="1"/>
  <c r="X1251" i="5" s="1"/>
  <c r="Z1251" i="5" s="1"/>
  <c r="AB1251" i="5" s="1"/>
  <c r="I1222" i="5"/>
  <c r="K1222" i="5" s="1"/>
  <c r="W1222" i="5" s="1"/>
  <c r="X1222" i="5" s="1"/>
  <c r="Z1222" i="5" s="1"/>
  <c r="AB1222" i="5" s="1"/>
  <c r="I1221" i="5"/>
  <c r="K1221" i="5" s="1"/>
  <c r="W1221" i="5" s="1"/>
  <c r="X1221" i="5" s="1"/>
  <c r="Z1221" i="5" s="1"/>
  <c r="AB1221" i="5" s="1"/>
  <c r="I1155" i="5"/>
  <c r="K1155" i="5" s="1"/>
  <c r="W1155" i="5" s="1"/>
  <c r="X1155" i="5" s="1"/>
  <c r="Z1155" i="5" s="1"/>
  <c r="AB1155" i="5" s="1"/>
  <c r="I1125" i="5"/>
  <c r="K1125" i="5" s="1"/>
  <c r="W1125" i="5" s="1"/>
  <c r="X1125" i="5" s="1"/>
  <c r="Z1125" i="5" s="1"/>
  <c r="AB1125" i="5" s="1"/>
  <c r="I1095" i="5"/>
  <c r="K1095" i="5" s="1"/>
  <c r="W1095" i="5" s="1"/>
  <c r="X1095" i="5" s="1"/>
  <c r="Z1095" i="5" s="1"/>
  <c r="AB1095" i="5" s="1"/>
  <c r="I1069" i="5"/>
  <c r="K1069" i="5" s="1"/>
  <c r="W1069" i="5" s="1"/>
  <c r="X1069" i="5" s="1"/>
  <c r="Z1069" i="5" s="1"/>
  <c r="AB1069" i="5" s="1"/>
  <c r="I1068" i="5"/>
  <c r="K1068" i="5" s="1"/>
  <c r="W1068" i="5" s="1"/>
  <c r="X1068" i="5" s="1"/>
  <c r="Z1068" i="5" s="1"/>
  <c r="AB1068" i="5" s="1"/>
  <c r="I1067" i="5"/>
  <c r="K1067" i="5" s="1"/>
  <c r="W1067" i="5" s="1"/>
  <c r="X1067" i="5" s="1"/>
  <c r="Z1067" i="5" s="1"/>
  <c r="AB1067" i="5" s="1"/>
  <c r="I1066" i="5"/>
  <c r="K1066" i="5" s="1"/>
  <c r="W1066" i="5" s="1"/>
  <c r="X1066" i="5" s="1"/>
  <c r="Z1066" i="5" s="1"/>
  <c r="AB1066" i="5" s="1"/>
  <c r="I1065" i="5"/>
  <c r="K1065" i="5" s="1"/>
  <c r="W1065" i="5" s="1"/>
  <c r="X1065" i="5" s="1"/>
  <c r="Z1065" i="5" s="1"/>
  <c r="AB1065" i="5" s="1"/>
  <c r="I1035" i="5"/>
  <c r="K1035" i="5" s="1"/>
  <c r="W1035" i="5" s="1"/>
  <c r="X1035" i="5" s="1"/>
  <c r="Z1035" i="5" s="1"/>
  <c r="AB1035" i="5" s="1"/>
  <c r="I1005" i="5"/>
  <c r="K1005" i="5" s="1"/>
  <c r="W1005" i="5" s="1"/>
  <c r="X1005" i="5" s="1"/>
  <c r="Z1005" i="5" s="1"/>
  <c r="AB1005" i="5" s="1"/>
  <c r="I975" i="5"/>
  <c r="K975" i="5" s="1"/>
  <c r="W975" i="5" s="1"/>
  <c r="X975" i="5" s="1"/>
  <c r="Z975" i="5" s="1"/>
  <c r="AB975" i="5" s="1"/>
  <c r="I945" i="5"/>
  <c r="K945" i="5" s="1"/>
  <c r="W945" i="5" s="1"/>
  <c r="X945" i="5" s="1"/>
  <c r="Z945" i="5" s="1"/>
  <c r="AB945" i="5" s="1"/>
  <c r="AB916" i="5"/>
  <c r="AB915" i="5"/>
  <c r="I885" i="5"/>
  <c r="K885" i="5" s="1"/>
  <c r="W885" i="5" s="1"/>
  <c r="X885" i="5" s="1"/>
  <c r="Z885" i="5" s="1"/>
  <c r="AB885" i="5" s="1"/>
  <c r="AB858" i="5"/>
  <c r="AB857" i="5"/>
  <c r="AB856" i="5"/>
  <c r="AB855" i="5"/>
  <c r="AB793" i="5"/>
  <c r="AB792" i="5"/>
  <c r="AB762" i="5"/>
  <c r="AB733" i="5"/>
  <c r="AB732" i="5"/>
  <c r="I702" i="5"/>
  <c r="K702" i="5" s="1"/>
  <c r="W702" i="5" s="1"/>
  <c r="X702" i="5" s="1"/>
  <c r="Z702" i="5" s="1"/>
  <c r="AB702" i="5" s="1"/>
  <c r="AB674" i="5"/>
  <c r="AB673" i="5"/>
  <c r="AB672" i="5"/>
  <c r="AB615" i="5"/>
  <c r="AB614" i="5"/>
  <c r="AB613" i="5"/>
  <c r="AB612" i="5"/>
  <c r="AD583" i="5"/>
  <c r="AE583" i="5" s="1"/>
  <c r="AF583" i="5" s="1"/>
  <c r="AD582" i="5"/>
  <c r="AE582" i="5" s="1"/>
  <c r="AF582" i="5" s="1"/>
  <c r="I584" i="5"/>
  <c r="K584" i="5" s="1"/>
  <c r="W584" i="5" s="1"/>
  <c r="X584" i="5" s="1"/>
  <c r="Z584" i="5" s="1"/>
  <c r="AB584" i="5" s="1"/>
  <c r="AB583" i="5"/>
  <c r="S583" i="5"/>
  <c r="I583" i="5"/>
  <c r="K583" i="5" s="1"/>
  <c r="AB582" i="5"/>
  <c r="U582" i="5"/>
  <c r="V582" i="5" s="1"/>
  <c r="I582" i="5"/>
  <c r="K582" i="5" s="1"/>
  <c r="AD553" i="5"/>
  <c r="AE553" i="5" s="1"/>
  <c r="AF553" i="5" s="1"/>
  <c r="AB552" i="5"/>
  <c r="AB523" i="5"/>
  <c r="AB522" i="5"/>
  <c r="AB492" i="5"/>
  <c r="AB433" i="5"/>
  <c r="AB432" i="5"/>
  <c r="AB374" i="5"/>
  <c r="AB372" i="5"/>
  <c r="AB354" i="5"/>
  <c r="AB343" i="5"/>
  <c r="AB342" i="5"/>
  <c r="AB254" i="5"/>
  <c r="AB253" i="5"/>
  <c r="AB252" i="5"/>
  <c r="AB192" i="5"/>
  <c r="AB162" i="5"/>
  <c r="AB139" i="5"/>
  <c r="AB138" i="5"/>
  <c r="AB137" i="5"/>
  <c r="AB136" i="5"/>
  <c r="AB135" i="5"/>
  <c r="AB134" i="5"/>
  <c r="AB133" i="5"/>
  <c r="AB132" i="5"/>
  <c r="AB101" i="5"/>
  <c r="AB100" i="5"/>
  <c r="AB41" i="5"/>
  <c r="AB40" i="5"/>
  <c r="I10" i="5"/>
  <c r="K10" i="5" s="1"/>
  <c r="W10" i="5" s="1"/>
  <c r="X10" i="5" s="1"/>
  <c r="AD802" i="4"/>
  <c r="AE802" i="4" s="1"/>
  <c r="AF802" i="4" s="1"/>
  <c r="AB769" i="4"/>
  <c r="P736" i="4"/>
  <c r="S736" i="4" s="1"/>
  <c r="U736" i="4" s="1"/>
  <c r="I736" i="4"/>
  <c r="K736" i="4" s="1"/>
  <c r="AD703" i="4"/>
  <c r="AE703" i="4" s="1"/>
  <c r="AF703" i="4" s="1"/>
  <c r="I703" i="4"/>
  <c r="K703" i="4" s="1"/>
  <c r="W703" i="4" s="1"/>
  <c r="X703" i="4" s="1"/>
  <c r="Z703" i="4" s="1"/>
  <c r="AB703" i="4" s="1"/>
  <c r="I670" i="4"/>
  <c r="K670" i="4" s="1"/>
  <c r="W670" i="4" s="1"/>
  <c r="X670" i="4" s="1"/>
  <c r="Z670" i="4" s="1"/>
  <c r="AB670" i="4" s="1"/>
  <c r="I637" i="4"/>
  <c r="K637" i="4" s="1"/>
  <c r="W637" i="4" s="1"/>
  <c r="X637" i="4" s="1"/>
  <c r="Z637" i="4" s="1"/>
  <c r="AB637" i="4" s="1"/>
  <c r="I604" i="4"/>
  <c r="K604" i="4" s="1"/>
  <c r="W604" i="4" s="1"/>
  <c r="X604" i="4" s="1"/>
  <c r="Z604" i="4" s="1"/>
  <c r="AB604" i="4" s="1"/>
  <c r="I571" i="4"/>
  <c r="K571" i="4" s="1"/>
  <c r="W571" i="4" s="1"/>
  <c r="X571" i="4" s="1"/>
  <c r="Z571" i="4" s="1"/>
  <c r="AB571" i="4" s="1"/>
  <c r="I540" i="4"/>
  <c r="K540" i="4" s="1"/>
  <c r="W540" i="4" s="1"/>
  <c r="X540" i="4" s="1"/>
  <c r="Z540" i="4" s="1"/>
  <c r="AB540" i="4" s="1"/>
  <c r="I539" i="4"/>
  <c r="K539" i="4" s="1"/>
  <c r="W539" i="4" s="1"/>
  <c r="X539" i="4" s="1"/>
  <c r="Z539" i="4" s="1"/>
  <c r="AB539" i="4" s="1"/>
  <c r="I538" i="4"/>
  <c r="K538" i="4" s="1"/>
  <c r="W538" i="4" s="1"/>
  <c r="X538" i="4" s="1"/>
  <c r="Z538" i="4" s="1"/>
  <c r="AB538" i="4" s="1"/>
  <c r="I507" i="4"/>
  <c r="K507" i="4" s="1"/>
  <c r="W507" i="4" s="1"/>
  <c r="X507" i="4" s="1"/>
  <c r="Z507" i="4" s="1"/>
  <c r="AB507" i="4" s="1"/>
  <c r="I506" i="4"/>
  <c r="K506" i="4" s="1"/>
  <c r="W506" i="4" s="1"/>
  <c r="X506" i="4" s="1"/>
  <c r="Z506" i="4" s="1"/>
  <c r="AB506" i="4" s="1"/>
  <c r="I505" i="4"/>
  <c r="K505" i="4" s="1"/>
  <c r="W505" i="4" s="1"/>
  <c r="X505" i="4" s="1"/>
  <c r="Z505" i="4" s="1"/>
  <c r="AB505" i="4" s="1"/>
  <c r="I472" i="4"/>
  <c r="K472" i="4" s="1"/>
  <c r="W472" i="4" s="1"/>
  <c r="X472" i="4" s="1"/>
  <c r="Z472" i="4" s="1"/>
  <c r="AB472" i="4" s="1"/>
  <c r="I439" i="4"/>
  <c r="K439" i="4" s="1"/>
  <c r="W439" i="4" s="1"/>
  <c r="X439" i="4" s="1"/>
  <c r="Z439" i="4" s="1"/>
  <c r="AB439" i="4" s="1"/>
  <c r="AB409" i="4"/>
  <c r="AB408" i="4"/>
  <c r="AB406" i="4"/>
  <c r="I374" i="4"/>
  <c r="K374" i="4" s="1"/>
  <c r="W374" i="4" s="1"/>
  <c r="X374" i="4" s="1"/>
  <c r="Z374" i="4" s="1"/>
  <c r="AB374" i="4" s="1"/>
  <c r="I373" i="4"/>
  <c r="K373" i="4" s="1"/>
  <c r="W373" i="4" s="1"/>
  <c r="X373" i="4" s="1"/>
  <c r="Z373" i="4" s="1"/>
  <c r="AB373" i="4" s="1"/>
  <c r="I340" i="4"/>
  <c r="K340" i="4" s="1"/>
  <c r="W340" i="4" s="1"/>
  <c r="X340" i="4" s="1"/>
  <c r="Z340" i="4" s="1"/>
  <c r="AB340" i="4" s="1"/>
  <c r="I307" i="4"/>
  <c r="K307" i="4" s="1"/>
  <c r="W307" i="4" s="1"/>
  <c r="X307" i="4" s="1"/>
  <c r="Z307" i="4" s="1"/>
  <c r="AB307" i="4" s="1"/>
  <c r="AB242" i="4"/>
  <c r="AB241" i="4"/>
  <c r="AB208" i="4"/>
  <c r="AB177" i="4"/>
  <c r="AB176" i="4"/>
  <c r="I160" i="4"/>
  <c r="K160" i="4" s="1"/>
  <c r="AB156" i="4"/>
  <c r="AB143" i="4"/>
  <c r="AB142" i="4"/>
  <c r="AB109" i="4"/>
  <c r="AB76" i="4"/>
  <c r="AB43" i="4"/>
  <c r="AB11" i="4"/>
  <c r="AB10" i="4"/>
  <c r="AD643" i="6" l="1"/>
  <c r="AE643" i="6" s="1"/>
  <c r="AF643" i="6" s="1"/>
  <c r="U583" i="5"/>
  <c r="V583" i="5" s="1"/>
  <c r="W583" i="5" s="1"/>
  <c r="X583" i="5" s="1"/>
  <c r="AB622" i="4"/>
  <c r="AB523" i="4"/>
  <c r="AB721" i="4"/>
  <c r="AD736" i="4"/>
  <c r="AE736" i="4" s="1"/>
  <c r="AF736" i="4" s="1"/>
  <c r="AB589" i="4"/>
  <c r="AB457" i="4"/>
  <c r="AD209" i="4"/>
  <c r="AE209" i="4" s="1"/>
  <c r="AF209" i="4" s="1"/>
  <c r="AD143" i="4"/>
  <c r="AE143" i="4" s="1"/>
  <c r="AF143" i="4" s="1"/>
  <c r="AD109" i="4"/>
  <c r="AE109" i="4" s="1"/>
  <c r="AF109" i="4" s="1"/>
  <c r="AD10" i="4"/>
  <c r="AE10" i="4" s="1"/>
  <c r="AF10" i="4" s="1"/>
  <c r="AB1506" i="5"/>
  <c r="AB1476" i="5"/>
  <c r="AB1416" i="5"/>
  <c r="AB1446" i="5"/>
  <c r="AB1326" i="5"/>
  <c r="AB1296" i="5"/>
  <c r="AB1266" i="5"/>
  <c r="AB1110" i="5"/>
  <c r="AB1174" i="5"/>
  <c r="AB1140" i="5"/>
  <c r="AB900" i="5"/>
  <c r="AB1050" i="5"/>
  <c r="AB1020" i="5"/>
  <c r="AB990" i="5"/>
  <c r="AB960" i="5"/>
  <c r="AB717" i="5"/>
  <c r="AD372" i="5"/>
  <c r="AE372" i="5" s="1"/>
  <c r="AF372" i="5" s="1"/>
  <c r="AD492" i="5"/>
  <c r="AE492" i="5" s="1"/>
  <c r="AF492" i="5" s="1"/>
  <c r="AD462" i="5"/>
  <c r="AE462" i="5" s="1"/>
  <c r="AF462" i="5" s="1"/>
  <c r="AD162" i="5"/>
  <c r="AE162" i="5" s="1"/>
  <c r="AF162" i="5" s="1"/>
  <c r="AD252" i="5"/>
  <c r="AE252" i="5" s="1"/>
  <c r="AF252" i="5" s="1"/>
  <c r="AD312" i="5"/>
  <c r="AE312" i="5" s="1"/>
  <c r="AF312" i="5" s="1"/>
  <c r="AD132" i="5"/>
  <c r="AE132" i="5" s="1"/>
  <c r="AF132" i="5" s="1"/>
  <c r="AD101" i="5"/>
  <c r="AE101" i="5" s="1"/>
  <c r="AF101" i="5" s="1"/>
  <c r="AD100" i="5"/>
  <c r="AE100" i="5" s="1"/>
  <c r="AF100" i="5" s="1"/>
  <c r="AD40" i="5"/>
  <c r="AE40" i="5" s="1"/>
  <c r="AF40" i="5" s="1"/>
  <c r="AB869" i="6"/>
  <c r="AD553" i="6"/>
  <c r="AE553" i="6" s="1"/>
  <c r="AF553" i="6" s="1"/>
  <c r="AB388" i="6"/>
  <c r="AD283" i="6"/>
  <c r="AE283" i="6" s="1"/>
  <c r="AF283" i="6" s="1"/>
  <c r="AD223" i="6"/>
  <c r="AE223" i="6" s="1"/>
  <c r="AF223" i="6" s="1"/>
  <c r="AD193" i="6"/>
  <c r="AE193" i="6" s="1"/>
  <c r="AF193" i="6" s="1"/>
  <c r="AD163" i="6"/>
  <c r="AE163" i="6" s="1"/>
  <c r="AF163" i="6" s="1"/>
  <c r="AD133" i="6"/>
  <c r="AE133" i="6" s="1"/>
  <c r="AF133" i="6" s="1"/>
  <c r="AB644" i="5"/>
  <c r="AB643" i="5"/>
  <c r="AB524" i="5"/>
  <c r="AB1080" i="5"/>
  <c r="AB556" i="4"/>
  <c r="AB556" i="6"/>
  <c r="AB407" i="6"/>
  <c r="AB224" i="6"/>
  <c r="AB598" i="6"/>
  <c r="AB794" i="6"/>
  <c r="AB796" i="6"/>
  <c r="AB436" i="6"/>
  <c r="AB16" i="6"/>
  <c r="AB345" i="6"/>
  <c r="AB494" i="6"/>
  <c r="AD523" i="6"/>
  <c r="AE523" i="6" s="1"/>
  <c r="AF523" i="6" s="1"/>
  <c r="AB298" i="6"/>
  <c r="AB40" i="6"/>
  <c r="AB18" i="6"/>
  <c r="AB1236" i="5"/>
  <c r="AB930" i="5"/>
  <c r="AB222" i="5"/>
  <c r="AB164" i="5"/>
  <c r="AD342" i="5"/>
  <c r="AE342" i="5" s="1"/>
  <c r="AF342" i="5" s="1"/>
  <c r="AB687" i="5"/>
  <c r="AB870" i="5"/>
  <c r="AD552" i="5"/>
  <c r="AE552" i="5" s="1"/>
  <c r="AF552" i="5" s="1"/>
  <c r="AB1356" i="5"/>
  <c r="W582" i="5"/>
  <c r="X582" i="5" s="1"/>
  <c r="AB807" i="5"/>
  <c r="AB12" i="5"/>
  <c r="AB163" i="5"/>
  <c r="AB147" i="5"/>
  <c r="AB747" i="5"/>
  <c r="AB283" i="5"/>
  <c r="AB642" i="5"/>
  <c r="AB507" i="5"/>
  <c r="AB1386" i="5"/>
  <c r="V736" i="4"/>
  <c r="W736" i="4" s="1"/>
  <c r="X736" i="4" s="1"/>
  <c r="Z736" i="4" s="1"/>
  <c r="AB736" i="4" s="1"/>
  <c r="AB770" i="4"/>
  <c r="AB194" i="6"/>
  <c r="AD343" i="6"/>
  <c r="AE343" i="6" s="1"/>
  <c r="AF343" i="6" s="1"/>
  <c r="AB406" i="6"/>
  <c r="AB437" i="6"/>
  <c r="AB405" i="6"/>
  <c r="AB440" i="6"/>
  <c r="AB658" i="6"/>
  <c r="AD613" i="6"/>
  <c r="AE613" i="6" s="1"/>
  <c r="AF613" i="6" s="1"/>
  <c r="AB734" i="6"/>
  <c r="AD10" i="6"/>
  <c r="AE10" i="6" s="1"/>
  <c r="AF10" i="6" s="1"/>
  <c r="AB17" i="6"/>
  <c r="AB346" i="6"/>
  <c r="AB435" i="6"/>
  <c r="AB314" i="6"/>
  <c r="AB433" i="6"/>
  <c r="AB434" i="6"/>
  <c r="AB438" i="6"/>
  <c r="AD583" i="6"/>
  <c r="AE583" i="6" s="1"/>
  <c r="AF583" i="6" s="1"/>
  <c r="AB628" i="6"/>
  <c r="AB691" i="6"/>
  <c r="AD403" i="6"/>
  <c r="AE403" i="6" s="1"/>
  <c r="AF403" i="6" s="1"/>
  <c r="AD764" i="6"/>
  <c r="AE764" i="6" s="1"/>
  <c r="AF764" i="6" s="1"/>
  <c r="AB557" i="6"/>
  <c r="AB779" i="6"/>
  <c r="V825" i="6"/>
  <c r="AB795" i="6"/>
  <c r="V824" i="6"/>
  <c r="W824" i="6" s="1"/>
  <c r="X824" i="6" s="1"/>
  <c r="V826" i="6"/>
  <c r="AB103" i="5"/>
  <c r="AB193" i="5"/>
  <c r="AB194" i="5"/>
  <c r="AB284" i="5"/>
  <c r="AB357" i="5"/>
  <c r="AB373" i="5"/>
  <c r="AB417" i="5"/>
  <c r="AB282" i="5"/>
  <c r="AB312" i="5"/>
  <c r="AB567" i="5"/>
  <c r="AB616" i="5"/>
  <c r="AB597" i="5"/>
  <c r="AD522" i="5"/>
  <c r="AE522" i="5" s="1"/>
  <c r="AF522" i="5" s="1"/>
  <c r="AB645" i="5"/>
  <c r="AB763" i="5"/>
  <c r="AD142" i="4"/>
  <c r="AE142" i="4" s="1"/>
  <c r="AF142" i="4" s="1"/>
  <c r="AB44" i="4"/>
  <c r="AD242" i="4"/>
  <c r="AE242" i="4" s="1"/>
  <c r="AF242" i="4" s="1"/>
  <c r="AB259" i="4"/>
  <c r="AD505" i="4"/>
  <c r="AE505" i="4" s="1"/>
  <c r="AF505" i="4" s="1"/>
  <c r="AB358" i="4"/>
  <c r="AD472" i="4"/>
  <c r="AE472" i="4" s="1"/>
  <c r="AF472" i="4" s="1"/>
  <c r="AD43" i="4"/>
  <c r="AE43" i="4" s="1"/>
  <c r="AF43" i="4" s="1"/>
  <c r="AB325" i="4"/>
  <c r="AD373" i="4"/>
  <c r="AE373" i="4" s="1"/>
  <c r="AF373" i="4" s="1"/>
  <c r="AD307" i="4"/>
  <c r="AE307" i="4" s="1"/>
  <c r="AF307" i="4" s="1"/>
  <c r="AB391" i="4"/>
  <c r="AD340" i="4"/>
  <c r="AE340" i="4" s="1"/>
  <c r="AF340" i="4" s="1"/>
  <c r="AD406" i="4"/>
  <c r="AE406" i="4" s="1"/>
  <c r="AF406" i="4" s="1"/>
  <c r="AB688" i="4"/>
  <c r="AD637" i="4"/>
  <c r="AE637" i="4" s="1"/>
  <c r="AF637" i="4" s="1"/>
  <c r="AB490" i="4"/>
  <c r="AD439" i="4"/>
  <c r="AE439" i="4" s="1"/>
  <c r="AF439" i="4" s="1"/>
  <c r="AB407" i="4"/>
  <c r="AD538" i="4"/>
  <c r="AE538" i="4" s="1"/>
  <c r="AF538" i="4" s="1"/>
  <c r="AD571" i="4"/>
  <c r="AE571" i="4" s="1"/>
  <c r="AF571" i="4" s="1"/>
  <c r="AD604" i="4"/>
  <c r="AE604" i="4" s="1"/>
  <c r="AF604" i="4" s="1"/>
  <c r="AB655" i="4"/>
  <c r="AD670" i="4"/>
  <c r="AE670" i="4" s="1"/>
  <c r="AF670" i="4" s="1"/>
  <c r="AB802" i="4"/>
  <c r="AB787" i="4" l="1"/>
  <c r="AB424" i="4"/>
  <c r="AB193" i="4"/>
  <c r="AB61" i="4"/>
  <c r="AB777" i="5"/>
  <c r="AB627" i="5"/>
  <c r="AB537" i="5"/>
  <c r="AB387" i="5"/>
  <c r="AB25" i="5"/>
  <c r="W826" i="6"/>
  <c r="X826" i="6" s="1"/>
  <c r="Z826" i="6" s="1"/>
  <c r="AB826" i="6" s="1"/>
  <c r="W825" i="6"/>
  <c r="X825" i="6" s="1"/>
  <c r="Z825" i="6" s="1"/>
  <c r="AB825" i="6" s="1"/>
  <c r="AB749" i="6"/>
  <c r="AB508" i="6"/>
  <c r="AB328" i="6"/>
  <c r="AB238" i="6"/>
  <c r="AB55" i="6"/>
  <c r="AB71" i="5"/>
  <c r="AB209" i="4"/>
  <c r="AB70" i="5"/>
  <c r="AB72" i="5"/>
  <c r="AB448" i="6"/>
  <c r="AB25" i="6"/>
  <c r="AB524" i="6"/>
  <c r="AB135" i="6"/>
  <c r="AB418" i="6"/>
  <c r="AB809" i="6"/>
  <c r="AB358" i="6"/>
  <c r="AD222" i="5"/>
  <c r="AE222" i="5" s="1"/>
  <c r="AF222" i="5" s="1"/>
  <c r="AB237" i="5"/>
  <c r="AB177" i="5"/>
  <c r="AB117" i="5"/>
  <c r="AB657" i="5"/>
  <c r="AB207" i="5"/>
  <c r="AB754" i="4"/>
  <c r="AB77" i="4"/>
  <c r="AB210" i="4"/>
  <c r="AD194" i="6"/>
  <c r="AE194" i="6" s="1"/>
  <c r="AF194" i="6" s="1"/>
  <c r="AB208" i="6"/>
  <c r="AB555" i="6"/>
  <c r="AD433" i="6"/>
  <c r="AE433" i="6" s="1"/>
  <c r="AF433" i="6" s="1"/>
  <c r="AB118" i="6"/>
  <c r="AB327" i="5"/>
  <c r="AD282" i="5"/>
  <c r="AE282" i="5" s="1"/>
  <c r="AF282" i="5" s="1"/>
  <c r="AB297" i="5"/>
  <c r="AB110" i="4"/>
  <c r="AB820" i="4"/>
  <c r="AD769" i="4"/>
  <c r="AE769" i="4" s="1"/>
  <c r="AF769" i="4" s="1"/>
  <c r="AB149" i="4"/>
  <c r="AB152" i="4"/>
  <c r="AB148" i="4"/>
  <c r="AB155" i="4"/>
  <c r="AB151" i="4"/>
  <c r="AB147" i="4"/>
  <c r="AB157" i="4"/>
  <c r="AB154" i="4"/>
  <c r="AB150" i="4"/>
  <c r="AB146" i="4"/>
  <c r="AB274" i="4"/>
  <c r="AB153" i="4"/>
  <c r="AB12" i="4"/>
  <c r="AB292" i="4" l="1"/>
  <c r="AB94" i="4"/>
  <c r="AB127" i="4"/>
  <c r="AB28" i="4"/>
  <c r="AB267" i="5"/>
  <c r="AD71" i="5"/>
  <c r="AE71" i="5" s="1"/>
  <c r="AF71" i="5" s="1"/>
  <c r="AD70" i="5"/>
  <c r="AE70" i="5" s="1"/>
  <c r="AF70" i="5" s="1"/>
  <c r="AB55" i="5"/>
  <c r="AB839" i="6"/>
  <c r="AB568" i="6"/>
  <c r="AB538" i="6"/>
  <c r="AB478" i="6"/>
  <c r="AB148" i="6"/>
  <c r="AB178" i="6"/>
  <c r="AD164" i="6"/>
  <c r="AE164" i="6" s="1"/>
  <c r="AF164" i="6" s="1"/>
  <c r="AB85" i="5"/>
  <c r="AD208" i="4"/>
  <c r="AE208" i="4" s="1"/>
  <c r="AF208" i="4" s="1"/>
  <c r="AB226" i="4"/>
  <c r="AB255" i="6"/>
  <c r="AB434" i="5"/>
  <c r="AB160" i="4"/>
  <c r="AD274" i="4"/>
  <c r="AE274" i="4" s="1"/>
  <c r="AF274" i="4" s="1"/>
  <c r="AB447" i="5" l="1"/>
  <c r="AB268" i="6"/>
  <c r="I809" i="2"/>
  <c r="K809" i="2" s="1"/>
  <c r="W809" i="2" s="1"/>
  <c r="X809" i="2" s="1"/>
  <c r="Z809" i="2" s="1"/>
  <c r="AB809" i="2" s="1"/>
  <c r="AB960" i="2" l="1"/>
  <c r="AB959" i="2"/>
  <c r="AB974" i="2" l="1"/>
  <c r="AB41" i="2" l="1"/>
  <c r="AB40" i="2"/>
  <c r="AB39" i="2"/>
  <c r="AB250" i="2" l="1"/>
  <c r="AB54" i="2" l="1"/>
  <c r="AB69" i="2" l="1"/>
  <c r="AB70" i="2" l="1"/>
  <c r="AB174" i="2"/>
  <c r="AB84" i="2" l="1"/>
  <c r="I929" i="2" l="1"/>
  <c r="K929" i="2" s="1"/>
  <c r="I899" i="2"/>
  <c r="K899" i="2" s="1"/>
  <c r="I869" i="2"/>
  <c r="K869" i="2" s="1"/>
  <c r="W869" i="2" s="1"/>
  <c r="I839" i="2"/>
  <c r="K839" i="2" s="1"/>
  <c r="W839" i="2" s="1"/>
  <c r="I808" i="2"/>
  <c r="K808" i="2" s="1"/>
  <c r="U718" i="2"/>
  <c r="V718" i="2" s="1"/>
  <c r="I718" i="2"/>
  <c r="K718" i="2" s="1"/>
  <c r="U689" i="2"/>
  <c r="V689" i="2" s="1"/>
  <c r="I689" i="2"/>
  <c r="K689" i="2" s="1"/>
  <c r="U688" i="2"/>
  <c r="V688" i="2" s="1"/>
  <c r="I688" i="2"/>
  <c r="K688" i="2" s="1"/>
  <c r="AB489" i="2"/>
  <c r="AB490" i="2"/>
  <c r="AB429" i="2"/>
  <c r="AB430" i="2"/>
  <c r="AB428" i="2"/>
  <c r="AD427" i="2" s="1"/>
  <c r="AE427" i="2" s="1"/>
  <c r="AF427" i="2" s="1"/>
  <c r="AB399" i="2"/>
  <c r="AB220" i="2"/>
  <c r="AB221" i="2"/>
  <c r="AB219" i="2"/>
  <c r="AD218" i="2" s="1"/>
  <c r="AE218" i="2" s="1"/>
  <c r="AF218" i="2" s="1"/>
  <c r="AD690" i="2"/>
  <c r="AE690" i="2" s="1"/>
  <c r="AF690" i="2" s="1"/>
  <c r="AB398" i="2"/>
  <c r="AD397" i="2" s="1"/>
  <c r="AE397" i="2" s="1"/>
  <c r="AF397" i="2" s="1"/>
  <c r="AD338" i="2"/>
  <c r="AE338" i="2" s="1"/>
  <c r="AF338" i="2" s="1"/>
  <c r="AB309" i="2"/>
  <c r="AD308" i="2" s="1"/>
  <c r="AE308" i="2" s="1"/>
  <c r="AF308" i="2" s="1"/>
  <c r="AD279" i="2"/>
  <c r="AE279" i="2" s="1"/>
  <c r="AF279" i="2" s="1"/>
  <c r="AB279" i="2"/>
  <c r="AB249" i="2"/>
  <c r="AD248" i="2" s="1"/>
  <c r="AE248" i="2" s="1"/>
  <c r="AF248" i="2" s="1"/>
  <c r="AB191" i="2"/>
  <c r="AD398" i="2" l="1"/>
  <c r="AE398" i="2" s="1"/>
  <c r="AF398" i="2" s="1"/>
  <c r="AB197" i="2"/>
  <c r="AB223" i="2"/>
  <c r="AB402" i="2"/>
  <c r="AB264" i="2"/>
  <c r="AB370" i="2"/>
  <c r="W688" i="2"/>
  <c r="X688" i="2" s="1"/>
  <c r="Z688" i="2" s="1"/>
  <c r="AB688" i="2" s="1"/>
  <c r="W718" i="2"/>
  <c r="X718" i="2" s="1"/>
  <c r="Z718" i="2" s="1"/>
  <c r="AB718" i="2" s="1"/>
  <c r="W689" i="2"/>
  <c r="X689" i="2" s="1"/>
  <c r="Z689" i="2" s="1"/>
  <c r="AB689" i="2" s="1"/>
  <c r="AD809" i="2"/>
  <c r="AE809" i="2" s="1"/>
  <c r="AF809" i="2" s="1"/>
  <c r="X839" i="2"/>
  <c r="Z839" i="2" s="1"/>
  <c r="AB839" i="2" s="1"/>
  <c r="W929" i="2"/>
  <c r="X929" i="2" s="1"/>
  <c r="Z929" i="2" s="1"/>
  <c r="AB929" i="2" s="1"/>
  <c r="W808" i="2"/>
  <c r="X808" i="2" s="1"/>
  <c r="Z808" i="2" s="1"/>
  <c r="AB808" i="2" s="1"/>
  <c r="W899" i="2"/>
  <c r="X899" i="2" s="1"/>
  <c r="Z899" i="2" s="1"/>
  <c r="AB899" i="2" s="1"/>
  <c r="AB400" i="2"/>
  <c r="AB459" i="2"/>
  <c r="X869" i="2"/>
  <c r="Z869" i="2" s="1"/>
  <c r="AB869" i="2" s="1"/>
  <c r="AD840" i="2"/>
  <c r="AE840" i="2" s="1"/>
  <c r="AF840" i="2" s="1"/>
  <c r="AB610" i="2"/>
  <c r="AB612" i="2"/>
  <c r="AB614" i="2"/>
  <c r="AB609" i="2"/>
  <c r="AB637" i="2" s="1"/>
  <c r="AB611" i="2"/>
  <c r="AB613" i="2"/>
  <c r="AB431" i="2"/>
  <c r="AB369" i="2"/>
  <c r="AD689" i="2"/>
  <c r="AE689" i="2" s="1"/>
  <c r="AF689" i="2" s="1"/>
  <c r="AD719" i="2"/>
  <c r="AE719" i="2" s="1"/>
  <c r="AF719" i="2" s="1"/>
  <c r="AD488" i="2"/>
  <c r="AE488" i="2" s="1"/>
  <c r="AF488" i="2" s="1"/>
  <c r="AD749" i="2"/>
  <c r="AE749" i="2" s="1"/>
  <c r="AF749" i="2" s="1"/>
  <c r="AD278" i="2"/>
  <c r="AE278" i="2" s="1"/>
  <c r="AF278" i="2" s="1"/>
  <c r="AD190" i="2"/>
  <c r="AE190" i="2" s="1"/>
  <c r="AF190" i="2" s="1"/>
  <c r="AB944" i="2" l="1"/>
  <c r="AB914" i="2"/>
  <c r="AB763" i="2"/>
  <c r="AB443" i="2"/>
  <c r="AB193" i="2"/>
  <c r="AB703" i="2"/>
  <c r="AB199" i="2"/>
  <c r="AB201" i="2"/>
  <c r="AD900" i="2"/>
  <c r="AE900" i="2" s="1"/>
  <c r="AF900" i="2" s="1"/>
  <c r="AB823" i="2"/>
  <c r="AB854" i="2"/>
  <c r="AD930" i="2"/>
  <c r="AE930" i="2" s="1"/>
  <c r="AF930" i="2" s="1"/>
  <c r="AD960" i="2"/>
  <c r="AE960" i="2" s="1"/>
  <c r="AF960" i="2" s="1"/>
  <c r="AB884" i="2"/>
  <c r="AB222" i="2"/>
  <c r="AD549" i="2"/>
  <c r="AE549" i="2" s="1"/>
  <c r="AF549" i="2" s="1"/>
  <c r="AB194" i="2"/>
  <c r="AB195" i="2"/>
  <c r="AD368" i="2"/>
  <c r="AE368" i="2" s="1"/>
  <c r="AF368" i="2" s="1"/>
  <c r="AB458" i="2"/>
  <c r="AB196" i="2"/>
  <c r="AB324" i="2"/>
  <c r="AB281" i="2"/>
  <c r="AB11" i="2"/>
  <c r="AB733" i="2"/>
  <c r="AB294" i="2" l="1"/>
  <c r="AB383" i="2"/>
  <c r="AB234" i="2"/>
  <c r="AD10" i="2"/>
  <c r="AE10" i="2" s="1"/>
  <c r="AF10" i="2" s="1"/>
  <c r="AB503" i="2"/>
  <c r="AB192" i="2"/>
  <c r="AB354" i="2"/>
  <c r="AB12" i="2"/>
  <c r="AD610" i="2"/>
  <c r="AE610" i="2" s="1"/>
  <c r="AF610" i="2" s="1"/>
  <c r="AB401" i="2"/>
  <c r="AD870" i="2"/>
  <c r="AE870" i="2" s="1"/>
  <c r="AF870" i="2" s="1"/>
  <c r="AB198" i="2"/>
  <c r="AD457" i="2"/>
  <c r="AE457" i="2" s="1"/>
  <c r="AF457" i="2" s="1"/>
  <c r="AB473" i="2"/>
  <c r="AB413" i="2" l="1"/>
  <c r="AB204" i="2"/>
  <c r="AD11" i="2"/>
  <c r="AE11" i="2" s="1"/>
  <c r="AF11" i="2" s="1"/>
  <c r="AB24" i="2"/>
</calcChain>
</file>

<file path=xl/sharedStrings.xml><?xml version="1.0" encoding="utf-8"?>
<sst xmlns="http://schemas.openxmlformats.org/spreadsheetml/2006/main" count="44748" uniqueCount="987">
  <si>
    <t>ภ.ด.ส. 7</t>
  </si>
  <si>
    <t>แบบแสดงรายการคำนวณภาษีที่ดินและสิ่งปลูกสร้าง</t>
  </si>
  <si>
    <t>ที่</t>
  </si>
  <si>
    <t>เลขที่ดิน</t>
  </si>
  <si>
    <t>ราคาประเมินทุนทรัพย์ของที่ดิน</t>
  </si>
  <si>
    <t>รายการสิ่งปลูกสร้าง</t>
  </si>
  <si>
    <t>รวมราคา</t>
  </si>
  <si>
    <t>ราคาประเมิน</t>
  </si>
  <si>
    <t>ภาระภาษี</t>
  </si>
  <si>
    <t>สถานที่ตั้ง</t>
  </si>
  <si>
    <t>ลักษณะ</t>
  </si>
  <si>
    <t>จำนวนเนื้อที่ดิน</t>
  </si>
  <si>
    <t>ราคา</t>
  </si>
  <si>
    <t>คิดเป็น</t>
  </si>
  <si>
    <t>ค่าเสื่อม</t>
  </si>
  <si>
    <t>ประเมิน</t>
  </si>
  <si>
    <t>ของที่ดินและ</t>
  </si>
  <si>
    <t>หักมูลค่า</t>
  </si>
  <si>
    <t>คงเหลือ</t>
  </si>
  <si>
    <t>จำนวน</t>
  </si>
  <si>
    <t>ปี 2562</t>
  </si>
  <si>
    <t>บรรเทา</t>
  </si>
  <si>
    <t>เงินที่ต้องชำระ</t>
  </si>
  <si>
    <t>โฉนด</t>
  </si>
  <si>
    <t>(หมู่ที่/</t>
  </si>
  <si>
    <t>การใช้</t>
  </si>
  <si>
    <t>คำนวณ</t>
  </si>
  <si>
    <t>ประเภท</t>
  </si>
  <si>
    <t>ขนาดพื้นที่</t>
  </si>
  <si>
    <t>สัดส่วน</t>
  </si>
  <si>
    <t>สิ่งปลูกสร้าง</t>
  </si>
  <si>
    <t>ของ</t>
  </si>
  <si>
    <t>ฐานภาษี</t>
  </si>
  <si>
    <t>อัตรา</t>
  </si>
  <si>
    <t>ภาษีที่ต้อง</t>
  </si>
  <si>
    <t>(บำรุงท้องที่</t>
  </si>
  <si>
    <t>ผลต่าง</t>
  </si>
  <si>
    <t>ร้อยละ 25%</t>
  </si>
  <si>
    <t>ปี 2563</t>
  </si>
  <si>
    <t>ที่ดิน/</t>
  </si>
  <si>
    <t>ชุมชน,/</t>
  </si>
  <si>
    <t>ประ</t>
  </si>
  <si>
    <t>ไร่</t>
  </si>
  <si>
    <t>งาน</t>
  </si>
  <si>
    <t>ตร.ว.</t>
  </si>
  <si>
    <t>เป็น</t>
  </si>
  <si>
    <t>ต่อตารางวา</t>
  </si>
  <si>
    <t>ประเมินที่ดิน</t>
  </si>
  <si>
    <t>ตามการใช้</t>
  </si>
  <si>
    <t>ต่อ</t>
  </si>
  <si>
    <t>อายุ</t>
  </si>
  <si>
    <t>หลังหัก</t>
  </si>
  <si>
    <t>ที่ดินและ</t>
  </si>
  <si>
    <t>ตามสัดส่วนการ</t>
  </si>
  <si>
    <t>ที่ได้รับ</t>
  </si>
  <si>
    <t>ทุนทรัพย์</t>
  </si>
  <si>
    <t>ภาษี</t>
  </si>
  <si>
    <t>ชำระ</t>
  </si>
  <si>
    <t>,โรงรือน)</t>
  </si>
  <si>
    <t>(บาท)</t>
  </si>
  <si>
    <t>หลังบรรเทา</t>
  </si>
  <si>
    <t>เลขที่</t>
  </si>
  <si>
    <t>ตำบล)</t>
  </si>
  <si>
    <t>โยชน์</t>
  </si>
  <si>
    <t>(ตารางวา)</t>
  </si>
  <si>
    <t>(ตารางเมตร)</t>
  </si>
  <si>
    <t>ประโยชน์</t>
  </si>
  <si>
    <t>ตารางเมตร</t>
  </si>
  <si>
    <t>โรงเรือน</t>
  </si>
  <si>
    <t>ใช้ประโยชน์</t>
  </si>
  <si>
    <t>ยกเว้น</t>
  </si>
  <si>
    <t>ที่ต้องชำระภาษี</t>
  </si>
  <si>
    <t>(ร้อยละ)</t>
  </si>
  <si>
    <t>(ปี)</t>
  </si>
  <si>
    <t>ตึก</t>
  </si>
  <si>
    <t>100</t>
  </si>
  <si>
    <t>หมายเหตุ</t>
  </si>
  <si>
    <t>ลักษณะการทำประโยชน์ที่ดิน</t>
  </si>
  <si>
    <t>1. ประกอบเกษตรกรรม</t>
  </si>
  <si>
    <t>2. อยู่อาศัย</t>
  </si>
  <si>
    <t>3. อื่นๆ</t>
  </si>
  <si>
    <t>4. ทิ้งไว้ว่างเปล่าหรือไม่ได้ทำประโยชน์ตามควรแก่สภาพ</t>
  </si>
  <si>
    <t>ไม้</t>
  </si>
  <si>
    <t>หมู่ 1</t>
  </si>
  <si>
    <t>หมู่ 3</t>
  </si>
  <si>
    <t>80</t>
  </si>
  <si>
    <t>หมู่ 5</t>
  </si>
  <si>
    <t>50 ล้าน</t>
  </si>
  <si>
    <t>5. ใช้ประโยชน์หลายประเภท</t>
  </si>
  <si>
    <t>50  ล้าน</t>
  </si>
  <si>
    <t xml:space="preserve">  </t>
  </si>
  <si>
    <t>หมู่ 2</t>
  </si>
  <si>
    <t>.</t>
  </si>
  <si>
    <t xml:space="preserve">หมู่ 1 </t>
  </si>
  <si>
    <t>10  ล้าน</t>
  </si>
  <si>
    <t>หมู่  2</t>
  </si>
  <si>
    <t>ครึ่งตึกครึ่งไม้</t>
  </si>
  <si>
    <t>1053</t>
  </si>
  <si>
    <t>564</t>
  </si>
  <si>
    <t xml:space="preserve">หมู่  2 </t>
  </si>
  <si>
    <t>736</t>
  </si>
  <si>
    <t>539</t>
  </si>
  <si>
    <t>-</t>
  </si>
  <si>
    <t>500</t>
  </si>
  <si>
    <t>502</t>
  </si>
  <si>
    <t>552</t>
  </si>
  <si>
    <t>647</t>
  </si>
  <si>
    <t>หมู่  3</t>
  </si>
  <si>
    <t>1895</t>
  </si>
  <si>
    <t>1896</t>
  </si>
  <si>
    <t>1897</t>
  </si>
  <si>
    <t>1898</t>
  </si>
  <si>
    <t>1899</t>
  </si>
  <si>
    <t>1900</t>
  </si>
  <si>
    <t>3324</t>
  </si>
  <si>
    <t>1433</t>
  </si>
  <si>
    <t>โรง 3</t>
  </si>
  <si>
    <t>โรง 4</t>
  </si>
  <si>
    <t>โรง 5</t>
  </si>
  <si>
    <t>58</t>
  </si>
  <si>
    <t>59</t>
  </si>
  <si>
    <t xml:space="preserve">หมู่  3 </t>
  </si>
  <si>
    <t>1105</t>
  </si>
  <si>
    <t>1104</t>
  </si>
  <si>
    <t>1484</t>
  </si>
  <si>
    <t>10 ล้าน</t>
  </si>
  <si>
    <t>401</t>
  </si>
  <si>
    <t>402</t>
  </si>
  <si>
    <t>หมู่  4</t>
  </si>
  <si>
    <t xml:space="preserve">หมู่ 3 </t>
  </si>
  <si>
    <t>โรงจอดรถ</t>
  </si>
  <si>
    <t>2,3</t>
  </si>
  <si>
    <t>57.51</t>
  </si>
  <si>
    <t>42.49</t>
  </si>
  <si>
    <t xml:space="preserve"> </t>
  </si>
  <si>
    <t>น.ส.3 318</t>
  </si>
  <si>
    <t>49</t>
  </si>
  <si>
    <t>โรงอาหาร</t>
  </si>
  <si>
    <t>โรงเก็บของ (ตึก)</t>
  </si>
  <si>
    <t>หมู่ 4</t>
  </si>
  <si>
    <t>255</t>
  </si>
  <si>
    <t>383</t>
  </si>
  <si>
    <t>1276</t>
  </si>
  <si>
    <t>ครึ่งตึกครึ้งไม้</t>
  </si>
  <si>
    <t>1216</t>
  </si>
  <si>
    <t>1297</t>
  </si>
  <si>
    <t>216</t>
  </si>
  <si>
    <t>509</t>
  </si>
  <si>
    <t>297</t>
  </si>
  <si>
    <t>หมุ่ 5</t>
  </si>
  <si>
    <t>1685</t>
  </si>
  <si>
    <t>3375</t>
  </si>
  <si>
    <t>416</t>
  </si>
  <si>
    <t>298</t>
  </si>
  <si>
    <t>134</t>
  </si>
  <si>
    <t>284</t>
  </si>
  <si>
    <t>438</t>
  </si>
  <si>
    <t>1136</t>
  </si>
  <si>
    <t>379</t>
  </si>
  <si>
    <t>116</t>
  </si>
  <si>
    <t>115</t>
  </si>
  <si>
    <t>390</t>
  </si>
  <si>
    <t>69.70</t>
  </si>
  <si>
    <t>30.30</t>
  </si>
  <si>
    <t>117</t>
  </si>
  <si>
    <t>ไม่</t>
  </si>
  <si>
    <t>118</t>
  </si>
  <si>
    <t>286</t>
  </si>
  <si>
    <t>301</t>
  </si>
  <si>
    <t>1050</t>
  </si>
  <si>
    <t>966</t>
  </si>
  <si>
    <t>332</t>
  </si>
  <si>
    <t>85.06</t>
  </si>
  <si>
    <t>14.94</t>
  </si>
  <si>
    <t>หมู๋ 5</t>
  </si>
  <si>
    <t>125</t>
  </si>
  <si>
    <t>111</t>
  </si>
  <si>
    <t>33</t>
  </si>
  <si>
    <t>106</t>
  </si>
  <si>
    <t>545</t>
  </si>
  <si>
    <t>337</t>
  </si>
  <si>
    <t>978</t>
  </si>
  <si>
    <t>1521</t>
  </si>
  <si>
    <t>1073</t>
  </si>
  <si>
    <t>1076</t>
  </si>
  <si>
    <t>1077</t>
  </si>
  <si>
    <t>1209</t>
  </si>
  <si>
    <t>1218</t>
  </si>
  <si>
    <t>1240</t>
  </si>
  <si>
    <t>1242</t>
  </si>
  <si>
    <t>1232</t>
  </si>
  <si>
    <t>1234</t>
  </si>
  <si>
    <t>1250</t>
  </si>
  <si>
    <t>1251</t>
  </si>
  <si>
    <t>1252</t>
  </si>
  <si>
    <t>1256</t>
  </si>
  <si>
    <t>1261</t>
  </si>
  <si>
    <t>1402</t>
  </si>
  <si>
    <t>1225</t>
  </si>
  <si>
    <t>1233</t>
  </si>
  <si>
    <t>3149</t>
  </si>
  <si>
    <t>3092</t>
  </si>
  <si>
    <t>3153</t>
  </si>
  <si>
    <t>3382</t>
  </si>
  <si>
    <t>898</t>
  </si>
  <si>
    <t>986</t>
  </si>
  <si>
    <t>987</t>
  </si>
  <si>
    <t>1072</t>
  </si>
  <si>
    <t>1079</t>
  </si>
  <si>
    <t>833</t>
  </si>
  <si>
    <t>1103</t>
  </si>
  <si>
    <t>194</t>
  </si>
  <si>
    <t>หมู่6</t>
  </si>
  <si>
    <t>50ล้าน</t>
  </si>
  <si>
    <t>3009</t>
  </si>
  <si>
    <t>หมู่ 6</t>
  </si>
  <si>
    <t>1573</t>
  </si>
  <si>
    <t>198</t>
  </si>
  <si>
    <t>160</t>
  </si>
  <si>
    <t>162</t>
  </si>
  <si>
    <t>717</t>
  </si>
  <si>
    <t>199</t>
  </si>
  <si>
    <t>2665</t>
  </si>
  <si>
    <t>773</t>
  </si>
  <si>
    <t>759</t>
  </si>
  <si>
    <t>75.84</t>
  </si>
  <si>
    <t>24.16</t>
  </si>
  <si>
    <t>1065</t>
  </si>
  <si>
    <t>เสาสัญญาณ</t>
  </si>
  <si>
    <t>บ่อน้ำ</t>
  </si>
  <si>
    <t>374</t>
  </si>
  <si>
    <t>1641</t>
  </si>
  <si>
    <t>70</t>
  </si>
  <si>
    <t>20</t>
  </si>
  <si>
    <t>60</t>
  </si>
  <si>
    <t>40</t>
  </si>
  <si>
    <t>634</t>
  </si>
  <si>
    <t>101</t>
  </si>
  <si>
    <t>หมู่ 7</t>
  </si>
  <si>
    <t>1845</t>
  </si>
  <si>
    <t>หมู่  7</t>
  </si>
  <si>
    <t>585</t>
  </si>
  <si>
    <t>1390</t>
  </si>
  <si>
    <t>1392</t>
  </si>
  <si>
    <t>1652</t>
  </si>
  <si>
    <t>หมู่ 8</t>
  </si>
  <si>
    <t>1069</t>
  </si>
  <si>
    <t>598</t>
  </si>
  <si>
    <t>582</t>
  </si>
  <si>
    <t>1281</t>
  </si>
  <si>
    <t>2223</t>
  </si>
  <si>
    <t>198 ม.14 ต.วะตะแบก อ.เทพสถิต จ.ชัยภูมิ  36230</t>
  </si>
  <si>
    <t>1358 ถ.เจริญกรุง แขวงบางรัก เขตบางรัก กทม.10500</t>
  </si>
  <si>
    <t xml:space="preserve">530 ม.4 ต.เมืองแหง อ.เวียงแหง จ.เชียงใหม่ </t>
  </si>
  <si>
    <t>30 ถนนสุทธิสารฯ ซอยสุทธิพงศ์ ต.ดินแดง อ.ดินแดง จ.กรุงเทพฯ</t>
  </si>
  <si>
    <t>1100</t>
  </si>
  <si>
    <t xml:space="preserve">9/12 หมู่บ้านธนาพิรม ซอย 3 ต.เทพารํกษ์  อ.เมือง จ.สมุทรปราการ </t>
  </si>
  <si>
    <t>บ้านเดี่ยว</t>
  </si>
  <si>
    <t>ตึกสองชั้น</t>
  </si>
  <si>
    <t>1595</t>
  </si>
  <si>
    <t>511/2</t>
  </si>
  <si>
    <t>30</t>
  </si>
  <si>
    <t>16/1</t>
  </si>
  <si>
    <t>50   ล้าน</t>
  </si>
  <si>
    <t>17/4</t>
  </si>
  <si>
    <t>17/5 A</t>
  </si>
  <si>
    <t>17/5 B</t>
  </si>
  <si>
    <t>17/5 C</t>
  </si>
  <si>
    <t>1134</t>
  </si>
  <si>
    <t>17/2</t>
  </si>
  <si>
    <t>1135</t>
  </si>
  <si>
    <t>ศาลเจ้า</t>
  </si>
  <si>
    <t>1137</t>
  </si>
  <si>
    <t>1138</t>
  </si>
  <si>
    <t>15/3</t>
  </si>
  <si>
    <t>ใม้</t>
  </si>
  <si>
    <t xml:space="preserve">หมู่ 2 </t>
  </si>
  <si>
    <t>1513</t>
  </si>
  <si>
    <t>84.18</t>
  </si>
  <si>
    <t>15.82</t>
  </si>
  <si>
    <t>2221</t>
  </si>
  <si>
    <t>นายาณรงค์  แสนเปียง</t>
  </si>
  <si>
    <t>50 ล้านบาท</t>
  </si>
  <si>
    <t>เสาสัญญาณA</t>
  </si>
  <si>
    <t>เสาสัญญาณD</t>
  </si>
  <si>
    <t>10+</t>
  </si>
  <si>
    <t>33/1</t>
  </si>
  <si>
    <t>13/1 ม.2 ต.ล้อมแรด อ.เถิน จ.ลำปาง 52160 โทร 0895547330</t>
  </si>
  <si>
    <t>โรง (คัดไข่)</t>
  </si>
  <si>
    <t>164</t>
  </si>
  <si>
    <t>33.33</t>
  </si>
  <si>
    <t>66.67</t>
  </si>
  <si>
    <t>ยกเว้น 50ล้าน</t>
  </si>
  <si>
    <t>ตึกแถว</t>
  </si>
  <si>
    <t>ม.2</t>
  </si>
  <si>
    <t>โทร.0898911198/ 0892042633</t>
  </si>
  <si>
    <t>1842</t>
  </si>
  <si>
    <t>ยกเว้น50 ล้าน</t>
  </si>
  <si>
    <t>โทร.0421904052/0655404233</t>
  </si>
  <si>
    <t xml:space="preserve">นายศรชัย ไชยฉกรรจ์  </t>
  </si>
  <si>
    <t>นางศรีพรรณ  แสนเปียง</t>
  </si>
  <si>
    <r>
      <t xml:space="preserve">ชื่อเจ้าของที่ดิน </t>
    </r>
    <r>
      <rPr>
        <b/>
        <u/>
        <sz val="12"/>
        <rFont val="TH SarabunPSK"/>
        <family val="2"/>
      </rPr>
      <t xml:space="preserve">  นางจิตรา  กาวิชัย     .</t>
    </r>
    <r>
      <rPr>
        <b/>
        <sz val="12"/>
        <rFont val="TH SarabunPSK"/>
        <family val="2"/>
      </rPr>
      <t>ชื่อเจ้าของสิ่งปลูกสร้าง</t>
    </r>
    <r>
      <rPr>
        <b/>
        <u/>
        <sz val="12"/>
        <rFont val="TH SarabunPSK"/>
        <family val="2"/>
      </rPr>
      <t xml:space="preserve">         นางจิตรา  กาวิชัย             . </t>
    </r>
  </si>
  <si>
    <r>
      <t xml:space="preserve">ชื่อเจ้าของที่ดิน </t>
    </r>
    <r>
      <rPr>
        <b/>
        <u/>
        <sz val="12"/>
        <rFont val="TH SarabunPSK"/>
        <family val="2"/>
      </rPr>
      <t xml:space="preserve"> นางสาวจินตนา ศรีวิชัย     .</t>
    </r>
    <r>
      <rPr>
        <b/>
        <sz val="12"/>
        <rFont val="TH SarabunPSK"/>
        <family val="2"/>
      </rPr>
      <t>ชื่อเจ้าของสิ่งปลูกสร้าง</t>
    </r>
    <r>
      <rPr>
        <b/>
        <u/>
        <sz val="12"/>
        <rFont val="TH SarabunPSK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</si>
  <si>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2"/>
        <rFont val="TH SarabunPSK"/>
        <family val="2"/>
      </rPr>
      <t xml:space="preserve">   นางฉันทนา ชูสุวรรณ   .</t>
    </r>
    <r>
      <rPr>
        <b/>
        <sz val="12"/>
        <rFont val="TH SarabunPSK"/>
        <family val="2"/>
      </rPr>
      <t>ชื่อเจ้าของสิ่งปลูกสร้าง</t>
    </r>
    <r>
      <rPr>
        <b/>
        <u/>
        <sz val="12"/>
        <rFont val="TH SarabunPSK"/>
        <family val="2"/>
      </rPr>
      <t xml:space="preserve">                               . </t>
    </r>
  </si>
  <si>
    <r>
      <t xml:space="preserve">ชื่อเจ้าของที่ดิน </t>
    </r>
    <r>
      <rPr>
        <b/>
        <u/>
        <sz val="12"/>
        <color theme="1"/>
        <rFont val="TH SarabunPSK"/>
        <family val="2"/>
      </rPr>
      <t xml:space="preserve">    นายชัชวาลย์  พรสิริพิทักษ์      .</t>
    </r>
    <r>
      <rPr>
        <b/>
        <sz val="12"/>
        <color theme="1"/>
        <rFont val="TH SarabunPSK"/>
        <family val="2"/>
      </rPr>
      <t>ชื่อเจ้าของสิ่งปลูกสร้าง</t>
    </r>
    <r>
      <rPr>
        <b/>
        <u/>
        <sz val="12"/>
        <color theme="1"/>
        <rFont val="TH SarabunPSK"/>
        <family val="2"/>
      </rPr>
      <t xml:space="preserve">                               . </t>
    </r>
  </si>
  <si>
    <r>
      <t xml:space="preserve">ชื่อเจ้าของที่ดิน </t>
    </r>
    <r>
      <rPr>
        <b/>
        <u/>
        <sz val="12"/>
        <rFont val="Browallia New"/>
        <family val="2"/>
      </rPr>
      <t xml:space="preserve">   นางสาวนวพร  อิ่มใจ    .</t>
    </r>
    <r>
      <rPr>
        <b/>
        <sz val="12"/>
        <rFont val="Browallia New"/>
        <family val="2"/>
      </rPr>
      <t>ชื่อเจ้าของสิ่งปลูกสร้าง</t>
    </r>
    <r>
      <rPr>
        <b/>
        <u/>
        <sz val="12"/>
        <rFont val="Browallia New"/>
        <family val="2"/>
      </rPr>
      <t xml:space="preserve">                               . </t>
    </r>
  </si>
  <si>
    <r>
      <t xml:space="preserve">ชื่อเจ้าของที่ดิน </t>
    </r>
    <r>
      <rPr>
        <b/>
        <u/>
        <sz val="12"/>
        <rFont val="TH SarabunPSK"/>
        <family val="2"/>
      </rPr>
      <t xml:space="preserve">   นางสาวนัชรียา  โพธิ์พิพัฒน์    .</t>
    </r>
    <r>
      <rPr>
        <b/>
        <sz val="12"/>
        <rFont val="TH SarabunPSK"/>
        <family val="2"/>
      </rPr>
      <t>ชื่อเจ้าของสิ่งปลูกสร้าง</t>
    </r>
    <r>
      <rPr>
        <b/>
        <u/>
        <sz val="12"/>
        <rFont val="TH SarabunPSK"/>
        <family val="2"/>
      </rPr>
      <t xml:space="preserve">                               . </t>
    </r>
  </si>
  <si>
    <r>
      <t xml:space="preserve">ชื่อเจ้าของที่ดิน </t>
    </r>
    <r>
      <rPr>
        <b/>
        <u/>
        <sz val="12"/>
        <rFont val="TH SarabunPSK"/>
        <family val="2"/>
      </rPr>
      <t xml:space="preserve">   นางขันแก้ว  สุนันต๊ะ    .</t>
    </r>
    <r>
      <rPr>
        <b/>
        <sz val="12"/>
        <rFont val="TH SarabunPSK"/>
        <family val="2"/>
      </rPr>
      <t>ชื่อเจ้าของสิ่งปลูกสร้าง</t>
    </r>
    <r>
      <rPr>
        <b/>
        <u/>
        <sz val="12"/>
        <rFont val="TH SarabunPSK"/>
        <family val="2"/>
      </rPr>
      <t xml:space="preserve">   นายวรศิลป์  คุณยศยิ่ง (อู่รถ)      . </t>
    </r>
  </si>
  <si>
    <t>แบ่งที่ดินในนามเดิม แบ่งจากแบ่ง 28975 แบ่งได้ 69725,69726  วันที่ 25/11/2563</t>
  </si>
  <si>
    <r>
      <t xml:space="preserve">ชื่อเจ้าของที่ดิน </t>
    </r>
    <r>
      <rPr>
        <b/>
        <u/>
        <sz val="12"/>
        <rFont val="TH SarabunPSK"/>
        <family val="2"/>
      </rPr>
      <t xml:space="preserve">   นางสุพรรณ ขันคำ   .</t>
    </r>
    <r>
      <rPr>
        <b/>
        <sz val="12"/>
        <rFont val="TH SarabunPSK"/>
        <family val="2"/>
      </rPr>
      <t>ชื่อเจ้าของสิ่งปลูกสร้าง</t>
    </r>
    <r>
      <rPr>
        <b/>
        <u/>
        <sz val="12"/>
        <rFont val="TH SarabunPSK"/>
        <family val="2"/>
      </rPr>
      <t xml:space="preserve">                               . </t>
    </r>
  </si>
  <si>
    <r>
      <t xml:space="preserve">ชื่อเจ้าของที่ดิน </t>
    </r>
    <r>
      <rPr>
        <b/>
        <u/>
        <sz val="12"/>
        <color theme="1"/>
        <rFont val="TH SarabunPSK"/>
        <family val="2"/>
      </rPr>
      <t xml:space="preserve">    มูลนิธิปัญญาจารย์      .</t>
    </r>
    <r>
      <rPr>
        <b/>
        <sz val="12"/>
        <color theme="1"/>
        <rFont val="TH SarabunPSK"/>
        <family val="2"/>
      </rPr>
      <t>ชื่อเจ้าของสิ่งปลูกสร้าง</t>
    </r>
    <r>
      <rPr>
        <b/>
        <u/>
        <sz val="12"/>
        <color theme="1"/>
        <rFont val="TH SarabunPSK"/>
        <family val="2"/>
      </rPr>
      <t xml:space="preserve">                               . </t>
    </r>
  </si>
  <si>
    <t>นา</t>
  </si>
  <si>
    <t>สวน</t>
  </si>
  <si>
    <t>(แจ้งขาย)</t>
  </si>
  <si>
    <t>ขาย</t>
  </si>
  <si>
    <t>ขาย 17/3/66</t>
  </si>
  <si>
    <t>ขาย 22/2/67</t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</si>
  <si>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นางพิมพ์พิน  ฉางข้าวน้อย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</si>
  <si>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นางประไพ  เฉวียง   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นางทัศนีย์  เฉวียง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</si>
  <si>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นางประไพ จิตนาน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</si>
  <si>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นายพันธ์ศักดิ์ แสนเปียง    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นายพันธ์ศักดิ์ แสนเปียง  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</si>
  <si>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นายสนั่น  ใจสิน   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นายสนั่น  ใจสิน  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</si>
  <si>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นางสาวณภชนก กล้าณรงค์ชาญ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</si>
  <si>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color rgb="FFFF0000"/>
        <rFont val="Browallia New"/>
        <family val="2"/>
      </rPr>
      <t xml:space="preserve"> นางสุปรียา  กล้าณรงค์ชาญ .</t>
    </r>
    <r>
      <rPr>
        <b/>
        <sz val="14"/>
        <color rgb="FFFF0000"/>
        <rFont val="Browallia New"/>
        <family val="2"/>
      </rPr>
      <t>ชื่อเจ้าของสิ่งปลูกสร้าง</t>
    </r>
    <r>
      <rPr>
        <b/>
        <u/>
        <sz val="14"/>
        <color rgb="FFFF0000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</si>
  <si>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color rgb="FFFF0000"/>
        <rFont val="Browallia New"/>
        <family val="2"/>
      </rPr>
      <t xml:space="preserve"> นางสาวณัฐชยาน์  วรเกียรติถูวดล </t>
    </r>
    <r>
      <rPr>
        <b/>
        <sz val="14"/>
        <color rgb="FFFF0000"/>
        <rFont val="Browallia New"/>
        <family val="2"/>
      </rPr>
      <t>ชื่อเจ้าของสิ่งปลูกสร้าง</t>
    </r>
    <r>
      <rPr>
        <b/>
        <u/>
        <sz val="14"/>
        <color rgb="FFFF0000"/>
        <rFont val="Browallia New"/>
        <family val="2"/>
      </rPr>
      <t xml:space="preserve">                                . </t>
    </r>
  </si>
  <si>
    <t xml:space="preserve">ชื้อต่อจาก </t>
  </si>
  <si>
    <t>นางสาวสุนีย์  ภิญญาภาพ  โฉนด33996 และ 33997</t>
  </si>
  <si>
    <t>ขายต่อให้ นางสาวณภชนก  กล้าณรงค์ชาญ ทั้ง 2 โฉนด</t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</si>
  <si>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นางสาวสุนีย์ ภิญญภาพ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</si>
  <si>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นายจู  เลิศธนาวัฒน์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. </t>
    </r>
  </si>
  <si>
    <t>ให้นางสาวณัฐชญาน์  วรเกียรติภูวดล</t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</si>
  <si>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นายพันธ์ศักดิ์ แสนเปียง    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นางศรีพรรณ  แสนเปียง   </t>
    </r>
  </si>
  <si>
    <r>
      <t xml:space="preserve">ชื่อเจ้าของที่ดิน </t>
    </r>
    <r>
      <rPr>
        <b/>
        <u/>
        <sz val="14"/>
        <color rgb="FFFF0000"/>
        <rFont val="TH SarabunPSK"/>
        <family val="2"/>
      </rPr>
      <t xml:space="preserve">   นายชยากร  ศิริเลิศชยังกุล   </t>
    </r>
    <r>
      <rPr>
        <b/>
        <sz val="14"/>
        <color rgb="FFFF0000"/>
        <rFont val="TH SarabunPSK"/>
        <family val="2"/>
      </rPr>
      <t>ชื่อเจ้าของสิ่งปลูกสร้าง</t>
    </r>
    <r>
      <rPr>
        <b/>
        <u/>
        <sz val="14"/>
        <color rgb="FFFF0000"/>
        <rFont val="TH SarabunPSK"/>
        <family val="2"/>
      </rPr>
      <t xml:space="preserve">   นายชยากร  ศิริเลิศชยังกุล   (หลังรอง)                      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</si>
  <si>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นางสาวพัชรนันท์  จันทร์พลอย  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นางพรรณีพา  จันทร์พลอย (เจ้าของร้านค้า)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</si>
  <si>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นายวิน  ปิติวรรณ 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</si>
  <si>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 นายสิริชัย  โชติวาทิน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</si>
  <si>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นางสาวพรรณี  ยอดทองเลิศ    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นางสาวพรรณี  ยอดทองเลิศ             . </t>
    </r>
  </si>
  <si>
    <t>บ้านโฮเสตย์ชื่อ ริมทุ้ง</t>
  </si>
  <si>
    <t>รื้นถอน เมือง ปลายปี 2566</t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</si>
  <si>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นายชยุตกร  ภาวนะกีรติ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. </t>
    </r>
  </si>
  <si>
    <r>
      <t xml:space="preserve">ชื่อเจ้าของที่ดิน </t>
    </r>
    <r>
      <rPr>
        <b/>
        <u/>
        <sz val="14"/>
        <color theme="1"/>
        <rFont val="Browallia New"/>
        <family val="2"/>
      </rPr>
      <t xml:space="preserve"> นายกฤตย์  ศิริขจรกุลธาดา   .</t>
    </r>
    <r>
      <rPr>
        <b/>
        <sz val="14"/>
        <color theme="1"/>
        <rFont val="Browallia New"/>
        <family val="2"/>
      </rPr>
      <t>ชื่อเจ้าของสิ่งปลูกสร้าง</t>
    </r>
    <r>
      <rPr>
        <b/>
        <u/>
        <sz val="14"/>
        <color theme="1"/>
        <rFont val="Browallia New"/>
        <family val="2"/>
      </rPr>
      <t xml:space="preserve">  </t>
    </r>
    <r>
      <rPr>
        <b/>
        <u/>
        <sz val="14"/>
        <color rgb="FFFF0000"/>
        <rFont val="Browallia New"/>
        <family val="2"/>
      </rPr>
      <t>นายกฤตย์  ศิริขจรกุลธาดา</t>
    </r>
    <r>
      <rPr>
        <b/>
        <u/>
        <sz val="14"/>
        <color theme="1"/>
        <rFont val="Browallia New"/>
        <family val="2"/>
      </rPr>
      <t xml:space="preserve"> (หลังรอง)                    </t>
    </r>
  </si>
  <si>
    <r>
      <t xml:space="preserve">ชื่อเจ้าของที่ดิน </t>
    </r>
    <r>
      <rPr>
        <b/>
        <u/>
        <sz val="12"/>
        <rFont val="TH SarabunPSK"/>
        <family val="2"/>
      </rPr>
      <t xml:space="preserve"> นายภวัต ชัยมหาวัน .</t>
    </r>
    <r>
      <rPr>
        <b/>
        <sz val="12"/>
        <rFont val="TH SarabunPSK"/>
        <family val="2"/>
      </rPr>
      <t>ชื่อเจ้าของสิ่งปลูกสร้าง</t>
    </r>
    <r>
      <rPr>
        <b/>
        <u/>
        <sz val="12"/>
        <rFont val="TH SarabunPSK"/>
        <family val="2"/>
      </rPr>
      <t xml:space="preserve">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</si>
  <si>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นางนิภาพันธ์ ศรีวิชิต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</t>
    </r>
    <r>
      <rPr>
        <b/>
        <u/>
        <sz val="14"/>
        <color rgb="FFFF0000"/>
        <rFont val="TH SarabunPSK"/>
        <family val="2"/>
      </rPr>
      <t xml:space="preserve"> นางนิภาพันธ์ ศรีวิชิต </t>
    </r>
    <r>
      <rPr>
        <b/>
        <u/>
        <sz val="14"/>
        <rFont val="TH SarabunPSK"/>
        <family val="2"/>
      </rPr>
      <t xml:space="preserve"> (หลังรอง)                     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</si>
  <si>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นายธนเดช จันทร์จริง  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นายธนเดช จันทร์จริง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</si>
  <si>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นายประพัฒน์ กัปปิยภัณฑ์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</t>
    </r>
  </si>
  <si>
    <r>
      <t xml:space="preserve">ชื่อเจ้าของที่ดิน </t>
    </r>
    <r>
      <rPr>
        <b/>
        <u/>
        <sz val="14"/>
        <color rgb="FFFF0000"/>
        <rFont val="Browallia New"/>
        <family val="2"/>
      </rPr>
      <t xml:space="preserve">  บริษัทบัวบุรี เคเทอริ่งจำกัด </t>
    </r>
    <r>
      <rPr>
        <b/>
        <sz val="14"/>
        <color rgb="FFFF0000"/>
        <rFont val="Browallia New"/>
        <family val="2"/>
      </rPr>
      <t>ชื่อเจ้าของสิ่งปลูกสร้าง</t>
    </r>
    <r>
      <rPr>
        <b/>
        <u/>
        <sz val="14"/>
        <color rgb="FFFF0000"/>
        <rFont val="Browallia New"/>
        <family val="2"/>
      </rPr>
      <t xml:space="preserve">      บริษัทบัวบุรี เคเทอริ่งจำกัด     . </t>
    </r>
  </si>
  <si>
    <t>509/1</t>
  </si>
  <si>
    <r>
      <t xml:space="preserve">ชื่อเจ้าของที่ดิน </t>
    </r>
    <r>
      <rPr>
        <b/>
        <u/>
        <sz val="12"/>
        <color rgb="FFFF0000"/>
        <rFont val="Browallia New"/>
        <family val="2"/>
      </rPr>
      <t xml:space="preserve"> นางไพลินทร์  สามตา       .</t>
    </r>
    <r>
      <rPr>
        <b/>
        <sz val="12"/>
        <color rgb="FFFF0000"/>
        <rFont val="Browallia New"/>
        <family val="2"/>
      </rPr>
      <t>ชื่อเจ้าของสิ่งปลูกสร้าง</t>
    </r>
    <r>
      <rPr>
        <b/>
        <u/>
        <sz val="12"/>
        <color rgb="FFFF0000"/>
        <rFont val="Browallia New"/>
        <family val="2"/>
      </rPr>
      <t xml:space="preserve">   นางไพลินทร์  สามตา                      . </t>
    </r>
  </si>
  <si>
    <t>105/3</t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</si>
  <si>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นายคมสันต์ จันทร์ชา  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นายคมสันต์ จันทร์ชา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</si>
  <si>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นายประเวทย์ คะกุณา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               . </t>
    </r>
  </si>
  <si>
    <t>ตาย 29/1/2565  โอนที่ดินให้ทายาท</t>
  </si>
  <si>
    <r>
      <t xml:space="preserve">ชื่อเจ้าของที่ดิน </t>
    </r>
    <r>
      <rPr>
        <b/>
        <u/>
        <sz val="14"/>
        <color rgb="FFFF0000"/>
        <rFont val="TH SarabunPSK"/>
        <family val="2"/>
      </rPr>
      <t xml:space="preserve">  นางนงเยาว์  อินทาโย และนางสาวชนิตนันท์  คะกุณา  .</t>
    </r>
    <r>
      <rPr>
        <b/>
        <sz val="14"/>
        <color rgb="FFFF0000"/>
        <rFont val="TH SarabunPSK"/>
        <family val="2"/>
      </rPr>
      <t>ชื่อเจ้าของสิ่งปลูกสร้าง</t>
    </r>
    <r>
      <rPr>
        <b/>
        <u/>
        <sz val="14"/>
        <color rgb="FFFF0000"/>
        <rFont val="TH SarabunPSK"/>
        <family val="2"/>
      </rPr>
      <t xml:space="preserve">                                            . </t>
    </r>
  </si>
  <si>
    <t xml:space="preserve"> นางนงเยาว์  อินทาโย และนางสาวชนิตนันท์  คะกุณา </t>
  </si>
  <si>
    <t>ปีที่ 1</t>
  </si>
  <si>
    <t>ซื้อต่อจาก  โฉนด 61055 และ 2537   นายทรงบุญ  เพิ่มพูน</t>
  </si>
  <si>
    <r>
      <t xml:space="preserve">ชื่อเจ้าของที่ดิน </t>
    </r>
    <r>
      <rPr>
        <b/>
        <u/>
        <sz val="14"/>
        <color rgb="FFFF0000"/>
        <rFont val="TH SarabunPSK"/>
        <family val="2"/>
      </rPr>
      <t xml:space="preserve">  นางกัลยา  สมเนื้อ   .</t>
    </r>
    <r>
      <rPr>
        <b/>
        <sz val="14"/>
        <color rgb="FFFF0000"/>
        <rFont val="TH SarabunPSK"/>
        <family val="2"/>
      </rPr>
      <t>ชื่อเจ้าของสิ่งปลูกสร้าง</t>
    </r>
    <r>
      <rPr>
        <b/>
        <u/>
        <sz val="14"/>
        <color rgb="FFFF0000"/>
        <rFont val="TH SarabunPSK"/>
        <family val="2"/>
      </rPr>
      <t xml:space="preserve">                    . </t>
    </r>
  </si>
  <si>
    <t>รับจาก โฉนด 3840 นายอินทร์  เพิ่มพูน</t>
  </si>
  <si>
    <t>นายวัสนต์ อุ่นเรือน ขายต่อให้ นายบุญธรรม  มูลศรี</t>
  </si>
  <si>
    <r>
      <t xml:space="preserve">ชื่อเจ้าของที่ดิน </t>
    </r>
    <r>
      <rPr>
        <b/>
        <u/>
        <sz val="14"/>
        <color rgb="FFFF0000"/>
        <rFont val="TH SarabunPSK"/>
        <family val="2"/>
      </rPr>
      <t xml:space="preserve">  นายบุญธรรม  มูลศรี   .</t>
    </r>
    <r>
      <rPr>
        <b/>
        <sz val="14"/>
        <color rgb="FFFF0000"/>
        <rFont val="TH SarabunPSK"/>
        <family val="2"/>
      </rPr>
      <t>ชื่อเจ้าของสิ่งปลูกสร้าง</t>
    </r>
    <r>
      <rPr>
        <b/>
        <u/>
        <sz val="14"/>
        <color rgb="FFFF0000"/>
        <rFont val="TH SarabunPSK"/>
        <family val="2"/>
      </rPr>
      <t xml:space="preserve">                         . </t>
    </r>
  </si>
  <si>
    <r>
      <t xml:space="preserve">ชื่อเจ้าของที่ดิน </t>
    </r>
    <r>
      <rPr>
        <b/>
        <u/>
        <sz val="14"/>
        <color rgb="FFFF0000"/>
        <rFont val="TH SarabunPSK"/>
        <family val="2"/>
      </rPr>
      <t xml:space="preserve">  นางแสงคำ ขาวสวย   .</t>
    </r>
    <r>
      <rPr>
        <b/>
        <sz val="14"/>
        <color rgb="FFFF0000"/>
        <rFont val="TH SarabunPSK"/>
        <family val="2"/>
      </rPr>
      <t>ชื่อเจ้าของสิ่งปลูกสร้าง</t>
    </r>
    <r>
      <rPr>
        <b/>
        <u/>
        <sz val="14"/>
        <color rgb="FFFF0000"/>
        <rFont val="TH SarabunPSK"/>
        <family val="2"/>
      </rPr>
      <t xml:space="preserve">   นางแสงคำ ขาวสวย                         . </t>
    </r>
  </si>
  <si>
    <t>3152</t>
  </si>
  <si>
    <t>1311</t>
  </si>
  <si>
    <t>299</t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</si>
  <si>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นางมยุรี แม่นปืน  (นายวิโรจน์ แม่นปีน)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. </t>
    </r>
  </si>
  <si>
    <r>
      <t xml:space="preserve">ชื่อเจ้าของที่ดิน </t>
    </r>
    <r>
      <rPr>
        <b/>
        <u/>
        <sz val="14"/>
        <color rgb="FFFF0000"/>
        <rFont val="TH SarabunPSK"/>
        <family val="2"/>
      </rPr>
      <t xml:space="preserve"> นางสาวอุทัยวรรณ  อินทรสุขุม .</t>
    </r>
    <r>
      <rPr>
        <b/>
        <sz val="14"/>
        <color rgb="FFFF0000"/>
        <rFont val="TH SarabunPSK"/>
        <family val="2"/>
      </rPr>
      <t>ชื่อเจ้าของสิ่งปลูกสร้าง</t>
    </r>
    <r>
      <rPr>
        <b/>
        <u/>
        <sz val="14"/>
        <color rgb="FFFF0000"/>
        <rFont val="TH SarabunPSK"/>
        <family val="2"/>
      </rPr>
      <t xml:space="preserve">     นางสาวอุทัยวรรณ  อินทรสุขุม   (บ้านรอง)                    . </t>
    </r>
  </si>
  <si>
    <r>
      <t xml:space="preserve">ชื่อเจ้าของที่ดิน </t>
    </r>
    <r>
      <rPr>
        <b/>
        <u/>
        <sz val="14"/>
        <color rgb="FFFF0000"/>
        <rFont val="TH SarabunPSK"/>
        <family val="2"/>
      </rPr>
      <t xml:space="preserve">  บริษัท ละมุนคอฟฟี่(ประเทศไทย) จำกัด .</t>
    </r>
    <r>
      <rPr>
        <b/>
        <sz val="14"/>
        <color rgb="FFFF0000"/>
        <rFont val="TH SarabunPSK"/>
        <family val="2"/>
      </rPr>
      <t>ชื่อเจ้าของสิ่งปลูกสร้าง</t>
    </r>
    <r>
      <rPr>
        <b/>
        <u/>
        <sz val="14"/>
        <color rgb="FFFF0000"/>
        <rFont val="TH SarabunPSK"/>
        <family val="2"/>
      </rPr>
      <t xml:space="preserve">   (อยู่ระหว่างก่อสร้าง 14/3/67)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</si>
  <si>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นางพิกุล ชัยฉกรรจ์   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นางพิกุล ชัยฉกรรจ์  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</si>
  <si>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ด.ต.ธวัชชัย ชัยฉกรรจ์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ด.ต.ธวัชชัย ชัยฉกรรจ์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</si>
  <si>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นางรัตนา มหาวรรณ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นางรัตนา มหาวรรณ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</si>
  <si>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นางสาวสมศรี ใจฉกรรจ์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นางสาวสมศรี ใจฉกรรจ์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</si>
  <si>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นางยุพิน ใจโต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</si>
  <si>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นายศรายุทธ์ เรืองศรี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นายศรายุทธ์ เรืองศรี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</si>
  <si>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นางบัวหอม คะธามณี   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นางสาวรุ่งนภา คะธามณี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</si>
  <si>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นายสมบัติ กันทะหอม 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นายสมบัติ กันทะหอม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</si>
  <si>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น.ส.ปราณี  ชัยฉกรรจ์  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นายพรหมมา ชัยฉกรรจ์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</si>
  <si>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นายศิลป์ชัย คิดคำส่วน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นายศิลป์ชัย คิดคำส่วน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</si>
  <si>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นายศรชัย ไชยฉกรรจ์   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นายศรชัย ไชยฉกรรจ์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</si>
  <si>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นางสาวทัศนีย์  พรมไชย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</si>
  <si>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น.ส.สุกฤตยา วรพันธุ์  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นายศรชัย ไชยฉกรรจ์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</si>
  <si>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นายธีรศักดิ์ เชื้อคำฟู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นายอินเศียร  เชื้อคำฟู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</si>
  <si>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นายธีรศักดิ์ เชื้อคำฟู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นายธีรศักดิ์  เชื้อคำฟู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</si>
  <si>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นายถนอม  จันทร์ศิริ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นายถนอม  จันทร์ศิริ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</si>
  <si>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นายสมเพ็ชร คุณยศยิ่ง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บริษัท ดีแทค จำกัด        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</si>
  <si>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นายสมเพ็ชร คุณยศยิ่ง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บริษัท ทรูมูฟ  เอช จำกัด      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</si>
  <si>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นางสาวอุบล คุณยศยิ่ง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นายมนูญ  คุณยศยิ่ง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</si>
  <si>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นายดุษฏี  มกรโรจน์ฤทธิ์  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       . </t>
    </r>
  </si>
  <si>
    <t>ปีที่ 5</t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</si>
  <si>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 นายสงกรานต์ จักร์แก้ว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นายสงกรานต์ จักร์แก้ว      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</si>
  <si>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นางพรรณี อินต๊ะวงศ์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นางพรรณี อินต๊ะวงศ์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</si>
  <si>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นางธิดา กิจสถิตย์สกล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นางธิดา กิจสถิตย์สกล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</si>
  <si>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นายทนงศักดิ์ ยอดทองเลิศ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นายทนงศักดิ์ ยอดทองเลิศ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</si>
  <si>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นายวีระชาติ ไทยสวัสดิ์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</si>
  <si>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นางจรรยา เลิศโกวิทย์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</si>
  <si>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สิบเอกวิสูตร สุวรรณโกศล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สิบเอกวิสูตร สุวรรณโกศล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</si>
  <si>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นางศิรินันท์ เครือคำปลิว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</si>
  <si>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นายชัดชาญ เอกชัยพัฒนกุล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</si>
  <si>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นายสมศักดิ์ คำสร้อย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</si>
  <si>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น.ส.แสงเดือน ประกายพร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</si>
  <si>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นายชูวิทย์ อุปันโน 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นายชูวิทย์ อุปันโน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</si>
  <si>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นายบุญส่ง สีแสง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</si>
  <si>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นางนวลศรี ทยาพัชร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</si>
  <si>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นางสมศรี ประพฤติธรรม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</si>
  <si>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น.ส.นิอร กังกฎเสนา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</si>
  <si>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น.ส.พริศา เอี่ยมทรัพย์สิน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</si>
  <si>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น.ส.เกตุแก้ว รักษาชาติ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</si>
  <si>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นายสุรชัย รักษาชาติ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</si>
  <si>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นายสุรชัย เทิดปฐวีพงศ์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</si>
  <si>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นายสันติ อภินันทนากุล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</si>
  <si>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นายอุทัย แซ่เลี้ยว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</si>
  <si>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นายฐิตพล น่วมรัศมี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</si>
  <si>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นางบุญญาวดี แพงสอน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</si>
  <si>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นางพาณี เป็งจันทร์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. </t>
    </r>
  </si>
  <si>
    <t>ปีที่ 4</t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</si>
  <si>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นางนิตย์ จันทร์อินทร์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</si>
  <si>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นางต่อมแก้ว จันทรา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</si>
  <si>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นางศรีวิไล พรหมัน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</si>
  <si>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นายวิรัตน์  ใจปัญญา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</si>
  <si>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นายนิตย์ธร    ตันตระกูล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. 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</si>
  <si>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>นางสาวศิวาภรณ์  สกุลเที่ยงตรง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</si>
  <si>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>นางจินตนา  ศรีประพฤติ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</si>
  <si>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นางสาวธิดารัตน์  เกื้อจรูญ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</si>
  <si>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นางสาวกมลวรรณ  แซ่เจ็ง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</si>
  <si>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นายชัยชนะ อร่ามจิต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</si>
  <si>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นางศรีลา  คำรินทร์     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นางศรีลา คำรินทร์   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</si>
  <si>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นางเงา  ใจมัน   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นางอุไร  ใจมัน     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</si>
  <si>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นายพูนเพิ่ม วิภา   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นางบุษบา วิภา  (เป็นเจ้าบ้านและเป็นเจ้าของอู๋ซ่อมรถ)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</si>
  <si>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นายสวัสดิ์ ไชยแก่น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นายผดุง ไชยแก่น (เป็นเจ้าบ้านและเป็นเจ้าของร้านขายอาหารสัตว์)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</si>
  <si>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นายเกรียงศักดิ์  ดิลกวัฒนานันท์  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นายเกรียงศักดิ์  ดิลกวัฒนานันท์     . </t>
    </r>
  </si>
  <si>
    <t>85</t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</si>
  <si>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นางสาวกัญจน์ชญา  จึงเจริญชัยศักดิ์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นางสาวกัญจน์ชญา  จึงเจริญชัยศักดิ์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</si>
  <si>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นางสุพัตรา บุญไชย   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นางสุพัตรา บุญไชย      . </t>
    </r>
  </si>
  <si>
    <t>กำลังถมที่ เพื่อสร้างบ้าน</t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</si>
  <si>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นางวิยะดา  วันเผด็จ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นางวิยะดา  วันเผด็จ   . </t>
    </r>
  </si>
  <si>
    <r>
      <t xml:space="preserve">ชื่อเจ้าของที่ดิน </t>
    </r>
    <r>
      <rPr>
        <b/>
        <u/>
        <sz val="11"/>
        <rFont val="TH SarabunPSK"/>
        <family val="2"/>
      </rPr>
      <t xml:space="preserve"> นางสาวกีรติญา  งามเมือง      .</t>
    </r>
    <r>
      <rPr>
        <b/>
        <sz val="11"/>
        <rFont val="TH SarabunPSK"/>
        <family val="2"/>
      </rPr>
      <t>ชื่อเจ้าของสิ่งปลูกสร้าง</t>
    </r>
    <r>
      <rPr>
        <b/>
        <u/>
        <sz val="11"/>
        <rFont val="TH SarabunPSK"/>
        <family val="2"/>
      </rPr>
      <t xml:space="preserve">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</si>
  <si>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นายรุ่งโรจน์  เกษมสุขใจ  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</si>
  <si>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นายนิกร ใจแก้ว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</si>
  <si>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นางสาวเจนจิรา  รุ่งปัญญาสถิต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</si>
  <si>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นางเรือนแก้ว  พุทธา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</si>
  <si>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นางอภิรัช  อินทรางกูร ณ อยุธยา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</si>
  <si>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นางสาวดวงเดือน  โฆษะโยธิน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</si>
  <si>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นางสาวพนิตนาฎ  จักรเพชร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</si>
  <si>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นายเจษฎษภรณ์  สายสี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</si>
  <si>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นางสงวน  อาจรัมย์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</si>
  <si>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นางสาวอัญชลีพร  ยอดเมืองแสง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</si>
  <si>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นางสาวจิราวรรณ  รุ่งมณีธรรม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</si>
  <si>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>นางทิวาพร  มณีเลิศ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</si>
  <si>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นายอนันต์  ไชยแก่น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นายอนันต์  ไชยแก่น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</si>
  <si>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นายอิทธิพล  คำรินทร์  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นายธนวรรธน์  นิธิสันติพงษ์      </t>
    </r>
  </si>
  <si>
    <t xml:space="preserve">   </t>
  </si>
  <si>
    <r>
      <t xml:space="preserve">ชื่อเจ้าของที่ดิน </t>
    </r>
    <r>
      <rPr>
        <b/>
        <u/>
        <sz val="14"/>
        <color rgb="FFFF0000"/>
        <rFont val="TH SarabunPSK"/>
        <family val="2"/>
      </rPr>
      <t xml:space="preserve">   นางสาวนิติมา  ปฎิมาสุนทร  .</t>
    </r>
    <r>
      <rPr>
        <b/>
        <sz val="14"/>
        <color rgb="FFFF0000"/>
        <rFont val="TH SarabunPSK"/>
        <family val="2"/>
      </rPr>
      <t>ชื่อเจ้าของสิ่งปลูกสร้าง</t>
    </r>
    <r>
      <rPr>
        <b/>
        <u/>
        <sz val="14"/>
        <color rgb="FFFF0000"/>
        <rFont val="TH SarabunPSK"/>
        <family val="2"/>
      </rPr>
      <t xml:space="preserve">                  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</si>
  <si>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นางสาวบูทง  สื่อพา  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</si>
  <si>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 นายเกียรติศักดิ์  ลาภพิเชษฐ์ไพบูลย์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</si>
  <si>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นางคำดี  วงศ์พิชญมณี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</si>
  <si>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นางสาวอิศราวสี จันทราช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</t>
    </r>
  </si>
  <si>
    <t>ปีที่ 2</t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</si>
  <si>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นางศรีพรรณ์ เกษรศรี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</si>
  <si>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นางสุภาพ  จันทร์มณี   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นางสุภาพ  จันทร์มณี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</si>
  <si>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นายบุญธรรม  วงค์สายใย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นางอุไร  วงค์สายใย (ร้านค้า)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</si>
  <si>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นางนงค์วัย  คำรินทร์   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นางนงค์วัย  คำรินทร์      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</si>
  <si>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นางอนงค์  โพธิ์รัตน์  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นายสวาท  โพธิ์รัตน์ (เจ้าของร้าน)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</si>
  <si>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นางดาวเรือง  ใจสักเสริญ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นางดาวเรือง  ใจสักเสริญ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</si>
  <si>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นางธนัตษร เทพหัสดิน ณ อยุธยา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</si>
  <si>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นางนิลประภา  ใจเป็ง 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นางนิลประภา  ใจเป็ง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</si>
  <si>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นางบัวไข  ขันคำ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นางบัวไข  ขันคำ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</si>
  <si>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นางแสงคำ  ใจชื่นคำ 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นางรัตติกาล  สมเพชร (ร้านค้า)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</si>
  <si>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นางอุบล พรหมจักร์แก้ว    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นางอุบล พรหมจักร์แก้ว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</si>
  <si>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นางจันเพ็ญ  ใจก่อง  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นางนิตยา  วงษ์ดี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</si>
  <si>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นายเจริญ ยาโน   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นายเจริญ ยาโน 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</si>
  <si>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นายสมพร  คาบเพชร  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</si>
  <si>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นายบุญเรือง  จันทร์มณี  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นายบุญเรือง  จันทร์มณี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</si>
  <si>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นายมนตรี  ชัยแก่น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นายมนตรี  ชัยแก่น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</si>
  <si>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นายมนตรี  ชัยแก่น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นางพวงผกา  วงศ์สายใย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</si>
  <si>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นางกัณยา  ปัทมานิวาต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นางกัณยา  ปัทมานิวาต              . </t>
    </r>
  </si>
  <si>
    <t>กำลังก่อสร้าง</t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</si>
  <si>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นายเกียรติ  ลักษณะสกุลชัย 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</si>
  <si>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นายเกียรติศักดิ์  หงษ์คู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</si>
  <si>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 พล.ต.องอาจ  อัมพะผลิน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</si>
  <si>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 นางสาวพรทิพย์  มั่นในตน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</si>
  <si>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นางสุจันทรา  รัศมี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</si>
  <si>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นายก้องเกียรติ  อาจรีย์วรกุล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</si>
  <si>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นายกฤษดา  ชัยนิลพันธ์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</si>
  <si>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นางสุนันท์  พรหมนิตย์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</si>
  <si>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นางพรศรี  เพิ่มฤทัยวรกุล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</si>
  <si>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นางสาวหทัยชนก คิ้วดวงตา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</si>
  <si>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นางนิภารัตน์ อาจรีย์วรกุล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  . </t>
    </r>
  </si>
  <si>
    <r>
      <t xml:space="preserve">ชื่อเจ้าของที่ดิน </t>
    </r>
    <r>
      <rPr>
        <b/>
        <u/>
        <sz val="14"/>
        <color rgb="FFFF0000"/>
        <rFont val="TH SarabunPSK"/>
        <family val="2"/>
      </rPr>
      <t xml:space="preserve">  นายศุภกิจ  แก้วดวงตา.</t>
    </r>
    <r>
      <rPr>
        <b/>
        <sz val="14"/>
        <color rgb="FFFF0000"/>
        <rFont val="TH SarabunPSK"/>
        <family val="2"/>
      </rPr>
      <t>ชื่อเจ้าของสิ่งปลูกสร้าง</t>
    </r>
    <r>
      <rPr>
        <b/>
        <u/>
        <sz val="14"/>
        <color rgb="FFFF0000"/>
        <rFont val="TH SarabunPSK"/>
        <family val="2"/>
      </rPr>
      <t xml:space="preserve">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</si>
  <si>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นางสาวกุศลิน วรรณวงค์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นางสาวกุศลิน วรรณวงค์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</si>
  <si>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นางประกาย มันยวง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</t>
    </r>
    <r>
      <rPr>
        <b/>
        <u/>
        <sz val="14"/>
        <color rgb="FFFF0000"/>
        <rFont val="TH SarabunPSK"/>
        <family val="2"/>
      </rPr>
      <t xml:space="preserve">นางประกาย มันยวง       </t>
    </r>
    <r>
      <rPr>
        <b/>
        <u/>
        <sz val="14"/>
        <rFont val="TH SarabunPSK"/>
        <family val="2"/>
      </rPr>
      <t xml:space="preserve">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</si>
  <si>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นายณรงค์  แสนเปียง   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นายาณรงค์  แสนเปียง   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</si>
  <si>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  นางหมี่ซู  กันทะวงค์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</si>
  <si>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นางแสงเดือน  ปัญโญมูล  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นางแสงเดือน  ปัญโญมูล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</si>
  <si>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นายณรงค์  แสงเปียง 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นายวิชัย  ทูนหล่อ (เช่า) ร้านค้า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</si>
  <si>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นายอุ่นเรือน  ไชยเทพ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นายอุ่นเรือน  ไชยเทพ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</si>
  <si>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นายไสว ไชยเทพ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นางกาญจนา ไชยเทพ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</si>
  <si>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นายอุ่น ปัญญานวล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นายอุ่น ปัญญานวล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</si>
  <si>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นายประเสริฐ ปันธิ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นายประเสริฐ  ปันธิ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</si>
  <si>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นางจุลีย์ ไชยเทพ และ นายกฤษณะ ไชยเทพ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นางจุลีย์ ไชยเทพ และ นายกฤษณะ ไชยเทพ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</si>
  <si>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นางสาวอัญชลี สว่างเถือน    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นางสาวอัญชลี สว่างเถือน (เจ้าบ้าน   นางอำภา สว่างเถือน   (ร้านค้า)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</si>
  <si>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นายเสาร์ แก้วตุ้ย (นายวิทิต  แห้วตุ้ย)  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นายวิทิต  แก้วตุ้ย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</si>
  <si>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นายเสาร์ แก้วตุ้ย (นายวิทิต  แห้วตุ้ย)  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บจก.บีเอฟเคที (ประเทศไทย)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</si>
  <si>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นายประดิษฐ์ ชัยฉกรรจ์   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นายประดิษฐ์ ชัยฉกรรจ์ (สวนบัวแก้วโฮมสเตย์)   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</si>
  <si>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นางอัมพร พุทธิมา  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นางอัมพร พุทธิมา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</si>
  <si>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สิบเอกสายัณห์ คำวงศ์ษา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นายเทพ  คำวงศ์ษา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</si>
  <si>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นางสิริพรรณ คำรินทร์ 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นางสิริพรรณ คำรินทร์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</si>
  <si>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นายธนวัฒน์ ปารมีศิลป์ขจร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บริษัท ดีแทค  ไตรเน็ต จำกัด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</si>
  <si>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นางสุภาพ คะกุณา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</si>
  <si>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นางสาวสุมิตรา แก้วสม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  . </t>
    </r>
  </si>
  <si>
    <t xml:space="preserve"> นางวราพร  คะกุนณา  แจ้งทำสวน</t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</si>
  <si>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บริษัท  กาญจนกนก พร็อพเพอร์ตี้ จำกัด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</si>
  <si>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นายอ้าย  เที่ยงใจ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 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</si>
  <si>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นายวิรัตน์ จิตต์ปันตา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นายสุชาติ จิตต์ปันตา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</si>
  <si>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นายศักดิ์สิธิ์  สุธาสร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</si>
  <si>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นายชัยภัค  โอสถาพันธ์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</si>
  <si>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นายขันทอง  อุปันโน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</si>
  <si>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นางสาวนิตยาพร ดอนดาไพร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</si>
  <si>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นางสาวดวงปภสร โพธิบาย.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. </t>
    </r>
  </si>
  <si>
    <t>หมู่  1</t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</si>
  <si>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นางเครือวัลย์  ไชยวงค์   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นางเครือวัลย์  ไชยวงค์     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</si>
  <si>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นางแจ่มจันทร์  จันทร์จริง   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นางแจ่มจันทร์  จันทร์จริง      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</si>
  <si>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นายชูชัย  ไชยวงค์  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นายชูชัย  ไชยวงค์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</si>
  <si>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นางจันทร์ดี  จิตตเที่ยง  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นางจันทร์ดี  จิตตเที่ยง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</si>
  <si>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นายจรูญ  ไชยเทพ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นายจรูญ  ไชยเทพ   (บ้านเช่า)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</si>
  <si>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ดาบตำรวจกรณ์  ดวงจิตร 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ดาบตำรวจกรณ์  ดวงจิตร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</si>
  <si>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นางอุไร  ขันโท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. </t>
    </r>
  </si>
  <si>
    <t>ซื้อต่อจาก นายณพวุฒิ  บุญกาวิน   แจ้ง 23/2/67</t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</si>
  <si>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นางอัมพร  ถาปินตา 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นางอัมพร  ถาปินตา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</si>
  <si>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นายบัญชา ทับทึ่ง  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นายบัญชา ทับทึ่ง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</si>
  <si>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นายปรัชญา ถาปินตา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</si>
  <si>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นางสาวชิสา ชุมภูจันทร์   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</si>
  <si>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นางสาวพรกมล  ประเสริฐ   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</si>
  <si>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นางปัทมพร  กุสลกิตติ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</si>
  <si>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color rgb="FFFF0000"/>
        <rFont val="TH SarabunPSK"/>
        <family val="2"/>
      </rPr>
      <t xml:space="preserve">   นางสาวจันทวดี  สุดโยธา  .</t>
    </r>
    <r>
      <rPr>
        <b/>
        <sz val="14"/>
        <color rgb="FFFF0000"/>
        <rFont val="TH SarabunPSK"/>
        <family val="2"/>
      </rPr>
      <t>ชื่อเจ้าของสิ่งปลูกสร้าง</t>
    </r>
    <r>
      <rPr>
        <b/>
        <u/>
        <sz val="14"/>
        <color rgb="FFFF0000"/>
        <rFont val="TH SarabunPSK"/>
        <family val="2"/>
      </rPr>
      <t xml:space="preserve">                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</si>
  <si>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น.ส.จันทร์ทิพย์ ปัญญาฟู   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นางแก้ว ปัญญาฟู     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</si>
  <si>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นายสมาน โตสมภาค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นายสมาน โตสมภาค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</si>
  <si>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นางสุรีย์ ปัญญาฟู 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นางสุรีย์ ปัญญาฟู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</si>
  <si>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นายณรงค์ ปัญญาฟู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นายณรงค์ ปัญญาฟู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</si>
  <si>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นางอ้าย ปัญญาฟู   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นางสาวธัญชนก  ปัญญาฟู 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</si>
  <si>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นางวรรณา ปัญญาฟู  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นางวรรณา  ปัญญาฟู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</si>
  <si>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นางพรรณี ปัญญาฟู    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</si>
  <si>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นางประดับ คุณยศยิ่ง 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</si>
  <si>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บจ.คิงไทย  โฮเทล  เมเนจเม้มนท์ 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</si>
  <si>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นางสุวรรณ  จันทร์พลอย    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นางสุวรรณ  จันทร์พลอย      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</si>
  <si>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นางนิตยา  คำรินทร์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นายชัชสกล  คำรินทร์   (ร้านค้า)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</si>
  <si>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นายประเสริฐ  คำออน 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นางจิราพรรณ  คำออน  (ร้านค้า)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</si>
  <si>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บริษัท  มูนเลอร์  อินดัสเตรียล จำกัด  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บริษัท  มูนเลอร์  อินดัสเตรียล จำกัด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</si>
  <si>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บริษัท มูลเลอร์  คอลเลคชั่น จำกัด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</si>
  <si>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นางสาวเบญวรรณ  คำใสใย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นางสาวเบญวรรณ  คำใสใย      . </t>
    </r>
  </si>
  <si>
    <r>
      <t xml:space="preserve">ชื่อเจ้าของที่ดิน </t>
    </r>
    <r>
      <rPr>
        <b/>
        <u/>
        <sz val="14"/>
        <color theme="1"/>
        <rFont val="TH SarabunPSK"/>
        <family val="2"/>
      </rPr>
      <t xml:space="preserve">   นายจิตรภณ  รัตนประภาพร       .</t>
    </r>
    <r>
      <rPr>
        <b/>
        <sz val="14"/>
        <color theme="1"/>
        <rFont val="TH SarabunPSK"/>
        <family val="2"/>
      </rPr>
      <t>ชื่อเจ้าของสิ่งปลูกสร้าง</t>
    </r>
    <r>
      <rPr>
        <b/>
        <u/>
        <sz val="14"/>
        <color theme="1"/>
        <rFont val="TH SarabunPSK"/>
        <family val="2"/>
      </rPr>
      <t xml:space="preserve">            นายจิตรภณ  รัตนประภาพร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</si>
  <si>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นางสาวญิญาพันท์  ดิษย์ชัยโรจน์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นางสาวญิญาพันท์  ดิษย์ชัยโรจน์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</si>
  <si>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นางสาวอิศรา  ไร่นา   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</si>
  <si>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นางสาววลัญช์รัช  อภิญญาวิศาล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</si>
  <si>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นางสาวญาณินี  อุปถัมชาติ 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</si>
  <si>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นางสาวพรทิพา  ไวทยะวิจิตร    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</si>
  <si>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นายฉลอง  คำราพิช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</si>
  <si>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นางโสพัส  อินคำลือ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</si>
  <si>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นางนันทนา  เขวงศักดิ์สงคราม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</si>
  <si>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นางสาววันเพ็ญ  พรมเวียงชัย 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</si>
  <si>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นายทินภัทร  เครือแก้ว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</si>
  <si>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นางสาวอรอุษา  เทพหัสดิน  ณ  อยุธยา  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</si>
  <si>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นายสหรัฐ  วัจนะรัตน์  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</si>
  <si>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นางยุพิน  ใจสิน 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</si>
  <si>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นางสาวนวลจิรา  วัจนะรัตน์ 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</si>
  <si>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นายศริวัฒน์  ชลเพชร 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</si>
  <si>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นางสาวสุวิมล  ชลเพชร 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</si>
  <si>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นางสาวอริสา  มาเยอะ 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นางสาวอริสา  มาเยอะ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</si>
  <si>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นางสาวศิริวรรณ  ธงไทสง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</si>
  <si>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นายรัฐธนันท์  ดิษยชัยโรจน์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นายรัฐธนันท์  ดิษยชัยโรจน์     . </t>
    </r>
  </si>
  <si>
    <t>ม.1</t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</si>
  <si>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นายวิศิษฐ์  ศิริภูวนันท์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</si>
  <si>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นายพรชัย  ชมพนา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 . </t>
    </r>
  </si>
  <si>
    <r>
      <t xml:space="preserve">ชื่อเจ้าของที่ดิน </t>
    </r>
    <r>
      <rPr>
        <b/>
        <u/>
        <sz val="14"/>
        <color theme="1"/>
        <rFont val="TH SarabunPSK"/>
        <family val="2"/>
      </rPr>
      <t xml:space="preserve">  </t>
    </r>
    <r>
      <rPr>
        <b/>
        <u/>
        <sz val="14"/>
        <color rgb="FFFF0000"/>
        <rFont val="TH SarabunPSK"/>
        <family val="2"/>
      </rPr>
      <t xml:space="preserve">นางสาวศศินา  อภิรมย์ไพรสกุล </t>
    </r>
    <r>
      <rPr>
        <b/>
        <u/>
        <sz val="14"/>
        <color theme="1"/>
        <rFont val="TH SarabunPSK"/>
        <family val="2"/>
      </rPr>
      <t xml:space="preserve">  .</t>
    </r>
    <r>
      <rPr>
        <b/>
        <sz val="14"/>
        <color theme="1"/>
        <rFont val="TH SarabunPSK"/>
        <family val="2"/>
      </rPr>
      <t>ชื่อเจ้าของสิ่งปลูกสร้าง</t>
    </r>
    <r>
      <rPr>
        <b/>
        <u/>
        <sz val="14"/>
        <color theme="1"/>
        <rFont val="TH SarabunPSK"/>
        <family val="2"/>
      </rPr>
      <t xml:space="preserve">                              . </t>
    </r>
    <r>
      <rPr>
        <b/>
        <sz val="14"/>
        <color theme="1"/>
        <rFont val="TH SarabunPSK"/>
        <family val="2"/>
      </rPr>
      <t>(เปลี่ยนชื่อจากทินดา)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</si>
  <si>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นายสมชาย  ลุงอ่อง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</si>
  <si>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นางวรัญญา  ดำรงพร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 . </t>
    </r>
  </si>
  <si>
    <t>ปีที่2</t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</si>
  <si>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นางสุภัชชา  แซ่เติ๋น 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</si>
  <si>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นางซ้อง ถาวรวิจิตร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</t>
    </r>
  </si>
  <si>
    <t>โรงเก็บผัก</t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</si>
  <si>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นางสาวปาริชาติ สกล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</si>
  <si>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นางศรีพลอย  อุทัย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           . </t>
    </r>
  </si>
  <si>
    <r>
      <t xml:space="preserve">ชื่อเจ้าของที่ดิน </t>
    </r>
    <r>
      <rPr>
        <b/>
        <u/>
        <sz val="14"/>
        <rFont val="TH SarabunPSK"/>
        <family val="2"/>
      </rPr>
      <t xml:space="preserve">    นายจรัล  รัตนาโชตินันท์     .</t>
    </r>
    <r>
      <rPr>
        <b/>
        <sz val="14"/>
        <rFont val="TH SarabunPSK"/>
        <family val="2"/>
      </rPr>
      <t>ชื่อเจ้าของสิ่งปลูกสร้าง</t>
    </r>
    <r>
      <rPr>
        <b/>
        <u/>
        <sz val="14"/>
        <rFont val="TH SarabunPSK"/>
        <family val="2"/>
      </rPr>
      <t xml:space="preserve">                               . </t>
    </r>
  </si>
  <si>
    <r>
      <t xml:space="preserve">ชื่อเจ้าของที่ดิน </t>
    </r>
    <r>
      <rPr>
        <b/>
        <u/>
        <sz val="14"/>
        <color theme="1"/>
        <rFont val="TH SarabunPSK"/>
        <family val="2"/>
      </rPr>
      <t xml:space="preserve">  นายกริชษณุ กัลลัตตาวาลา   .</t>
    </r>
    <r>
      <rPr>
        <b/>
        <sz val="14"/>
        <color theme="1"/>
        <rFont val="TH SarabunPSK"/>
        <family val="2"/>
      </rPr>
      <t>ชื่อเจ้าของสิ่งปลูกสร้าง</t>
    </r>
    <r>
      <rPr>
        <b/>
        <u/>
        <sz val="14"/>
        <color theme="1"/>
        <rFont val="TH SarabunPSK"/>
        <family val="2"/>
      </rPr>
      <t xml:space="preserve">                              . </t>
    </r>
  </si>
  <si>
    <r>
      <t xml:space="preserve">ชื่อเจ้าของที่ดิน </t>
    </r>
    <r>
      <rPr>
        <b/>
        <u/>
        <sz val="14"/>
        <color rgb="FFFF0000"/>
        <rFont val="TH SarabunPSK"/>
        <family val="2"/>
      </rPr>
      <t xml:space="preserve">  นางจีรพรรณ คำออน   .</t>
    </r>
    <r>
      <rPr>
        <b/>
        <sz val="14"/>
        <color rgb="FFFF0000"/>
        <rFont val="TH SarabunPSK"/>
        <family val="2"/>
      </rPr>
      <t>ชื่อเจ้าของสิ่งปลูกสร้าง</t>
    </r>
    <r>
      <rPr>
        <b/>
        <u/>
        <sz val="14"/>
        <color rgb="FFFF0000"/>
        <rFont val="TH SarabunPSK"/>
        <family val="2"/>
      </rPr>
      <t xml:space="preserve">                              . </t>
    </r>
  </si>
  <si>
    <r>
      <t xml:space="preserve">ชื่อเจ้าของที่ดิน </t>
    </r>
    <r>
      <rPr>
        <b/>
        <u/>
        <sz val="14"/>
        <color theme="1"/>
        <rFont val="TH SarabunPSK"/>
        <family val="2"/>
      </rPr>
      <t xml:space="preserve">  นายโกสินทร์  ป้อมเอี่ยม   .</t>
    </r>
    <r>
      <rPr>
        <b/>
        <sz val="14"/>
        <color theme="1"/>
        <rFont val="TH SarabunPSK"/>
        <family val="2"/>
      </rPr>
      <t>ชื่อเจ้าของสิ่งปลูกสร้าง</t>
    </r>
    <r>
      <rPr>
        <b/>
        <u/>
        <sz val="14"/>
        <color theme="1"/>
        <rFont val="TH SarabunPSK"/>
        <family val="2"/>
      </rPr>
      <t xml:space="preserve">                              . </t>
    </r>
  </si>
  <si>
    <r>
      <t xml:space="preserve">ชื่อเจ้าของที่ดิน </t>
    </r>
    <r>
      <rPr>
        <b/>
        <u/>
        <sz val="14"/>
        <color theme="1"/>
        <rFont val="TH SarabunPSK"/>
        <family val="2"/>
      </rPr>
      <t xml:space="preserve">  นางสาวกุลธิดา  ลาพา  .</t>
    </r>
    <r>
      <rPr>
        <b/>
        <sz val="14"/>
        <color theme="1"/>
        <rFont val="TH SarabunPSK"/>
        <family val="2"/>
      </rPr>
      <t>ชื่อเจ้าของสิ่งปลูกสร้าง</t>
    </r>
    <r>
      <rPr>
        <b/>
        <u/>
        <sz val="14"/>
        <color theme="1"/>
        <rFont val="TH SarabunPSK"/>
        <family val="2"/>
      </rPr>
      <t xml:space="preserve">                              . </t>
    </r>
  </si>
  <si>
    <r>
      <t xml:space="preserve">ชื่อเจ้าของที่ดิน </t>
    </r>
    <r>
      <rPr>
        <b/>
        <u/>
        <sz val="14"/>
        <color theme="1"/>
        <rFont val="TH SarabunPSK"/>
        <family val="2"/>
      </rPr>
      <t xml:space="preserve">  นางหวาน  มีนา   .</t>
    </r>
    <r>
      <rPr>
        <b/>
        <sz val="14"/>
        <color theme="1"/>
        <rFont val="TH SarabunPSK"/>
        <family val="2"/>
      </rPr>
      <t>ชื่อเจ้าของสิ่งปลูกสร้าง</t>
    </r>
    <r>
      <rPr>
        <b/>
        <u/>
        <sz val="14"/>
        <color theme="1"/>
        <rFont val="TH SarabunPSK"/>
        <family val="2"/>
      </rPr>
      <t xml:space="preserve">                              . </t>
    </r>
  </si>
  <si>
    <r>
      <t xml:space="preserve">ชื่อเจ้าของที่ดิน </t>
    </r>
    <r>
      <rPr>
        <b/>
        <u/>
        <sz val="14"/>
        <color theme="1"/>
        <rFont val="TH SarabunPSK"/>
        <family val="2"/>
      </rPr>
      <t xml:space="preserve">  นางสาวรุ่งฤดี  ยิ่งเจริญทวีกิจ  .</t>
    </r>
    <r>
      <rPr>
        <b/>
        <sz val="14"/>
        <color theme="1"/>
        <rFont val="TH SarabunPSK"/>
        <family val="2"/>
      </rPr>
      <t>ชื่อเจ้าของสิ่งปลูกสร้าง</t>
    </r>
    <r>
      <rPr>
        <b/>
        <u/>
        <sz val="14"/>
        <color theme="1"/>
        <rFont val="TH SarabunPSK"/>
        <family val="2"/>
      </rPr>
      <t xml:space="preserve">                              . </t>
    </r>
  </si>
  <si>
    <r>
      <t xml:space="preserve">ชื่อเจ้าของที่ดิน </t>
    </r>
    <r>
      <rPr>
        <b/>
        <u/>
        <sz val="14"/>
        <color theme="1"/>
        <rFont val="TH SarabunPSK"/>
        <family val="2"/>
      </rPr>
      <t xml:space="preserve">  นางอาฉิ่ง  แซ่ลี้   .</t>
    </r>
    <r>
      <rPr>
        <b/>
        <sz val="14"/>
        <color theme="1"/>
        <rFont val="TH SarabunPSK"/>
        <family val="2"/>
      </rPr>
      <t>ชื่อเจ้าของสิ่งปลูกสร้าง</t>
    </r>
    <r>
      <rPr>
        <b/>
        <u/>
        <sz val="14"/>
        <color theme="1"/>
        <rFont val="TH SarabunPSK"/>
        <family val="2"/>
      </rPr>
      <t xml:space="preserve">                              . </t>
    </r>
  </si>
  <si>
    <r>
      <t xml:space="preserve">ชื่อเจ้าของที่ดิน </t>
    </r>
    <r>
      <rPr>
        <b/>
        <u/>
        <sz val="14"/>
        <color theme="1"/>
        <rFont val="TH SarabunPSK"/>
        <family val="2"/>
      </rPr>
      <t xml:space="preserve">  นางสาวเจนจิรา  ลุงละ   .</t>
    </r>
    <r>
      <rPr>
        <b/>
        <sz val="14"/>
        <color theme="1"/>
        <rFont val="TH SarabunPSK"/>
        <family val="2"/>
      </rPr>
      <t>ชื่อเจ้าของสิ่งปลูกสร้าง</t>
    </r>
    <r>
      <rPr>
        <b/>
        <u/>
        <sz val="14"/>
        <color theme="1"/>
        <rFont val="TH SarabunPSK"/>
        <family val="2"/>
      </rPr>
      <t xml:space="preserve">                              . </t>
    </r>
  </si>
  <si>
    <r>
      <t xml:space="preserve">ชื่อเจ้าของที่ดิน </t>
    </r>
    <r>
      <rPr>
        <b/>
        <u/>
        <sz val="14"/>
        <color theme="1"/>
        <rFont val="TH SarabunPSK"/>
        <family val="2"/>
      </rPr>
      <t xml:space="preserve">  นายสุรศักดิ์  ตั้งเจริญรักษ์ตะ   .</t>
    </r>
    <r>
      <rPr>
        <b/>
        <sz val="14"/>
        <color theme="1"/>
        <rFont val="TH SarabunPSK"/>
        <family val="2"/>
      </rPr>
      <t>ชื่อเจ้าของสิ่งปลูกสร้าง</t>
    </r>
    <r>
      <rPr>
        <b/>
        <u/>
        <sz val="14"/>
        <color theme="1"/>
        <rFont val="TH SarabunPSK"/>
        <family val="2"/>
      </rPr>
      <t xml:space="preserve">                              . </t>
    </r>
  </si>
  <si>
    <r>
      <t xml:space="preserve">ชื่อเจ้าของที่ดิน </t>
    </r>
    <r>
      <rPr>
        <b/>
        <u/>
        <sz val="14"/>
        <color theme="1"/>
        <rFont val="TH SarabunPSK"/>
        <family val="2"/>
      </rPr>
      <t xml:space="preserve">  นางแอนนา  ตั้งเจริญรักษ์ตะ   .</t>
    </r>
    <r>
      <rPr>
        <b/>
        <sz val="14"/>
        <color theme="1"/>
        <rFont val="TH SarabunPSK"/>
        <family val="2"/>
      </rPr>
      <t>ชื่อเจ้าของสิ่งปลูกสร้าง</t>
    </r>
    <r>
      <rPr>
        <b/>
        <u/>
        <sz val="14"/>
        <color theme="1"/>
        <rFont val="TH SarabunPSK"/>
        <family val="2"/>
      </rPr>
      <t xml:space="preserve">                              . </t>
    </r>
  </si>
  <si>
    <r>
      <t xml:space="preserve">ชื่อเจ้าของที่ดิน </t>
    </r>
    <r>
      <rPr>
        <b/>
        <u/>
        <sz val="14"/>
        <color theme="1"/>
        <rFont val="TH SarabunPSK"/>
        <family val="2"/>
      </rPr>
      <t xml:space="preserve">  นางพรพิกุล  ตั้งเจริญรักษ์ตะ   .</t>
    </r>
    <r>
      <rPr>
        <b/>
        <sz val="14"/>
        <color theme="1"/>
        <rFont val="TH SarabunPSK"/>
        <family val="2"/>
      </rPr>
      <t>ชื่อเจ้าของสิ่งปลูกสร้าง</t>
    </r>
    <r>
      <rPr>
        <b/>
        <u/>
        <sz val="14"/>
        <color theme="1"/>
        <rFont val="TH SarabunPSK"/>
        <family val="2"/>
      </rPr>
      <t xml:space="preserve">                              . </t>
    </r>
  </si>
  <si>
    <r>
      <t xml:space="preserve">ชื่อเจ้าของที่ดิน </t>
    </r>
    <r>
      <rPr>
        <b/>
        <u/>
        <sz val="14"/>
        <color theme="1"/>
        <rFont val="TH SarabunPSK"/>
        <family val="2"/>
      </rPr>
      <t xml:space="preserve">  นางสาวพรทิพย์ ตั้งเจริญรักษ์ตะ   .</t>
    </r>
    <r>
      <rPr>
        <b/>
        <sz val="14"/>
        <color theme="1"/>
        <rFont val="TH SarabunPSK"/>
        <family val="2"/>
      </rPr>
      <t>ชื่อเจ้าของสิ่งปลูกสร้าง</t>
    </r>
    <r>
      <rPr>
        <b/>
        <u/>
        <sz val="14"/>
        <color theme="1"/>
        <rFont val="TH SarabunPSK"/>
        <family val="2"/>
      </rPr>
      <t xml:space="preserve">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</si>
  <si>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นางสาวภัทรพร  จิตนาน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นายอนันต์  จิตนาน      . </t>
    </r>
  </si>
  <si>
    <t xml:space="preserve">สวนกล้วย </t>
  </si>
  <si>
    <t xml:space="preserve">อู่เคาะผ่นสีรถ </t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</si>
  <si>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นางสาวภัทรพร  จิตนาน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</t>
    </r>
    <r>
      <rPr>
        <b/>
        <u/>
        <sz val="14"/>
        <color rgb="FF0070C0"/>
        <rFont val="Browallia New"/>
        <family val="2"/>
      </rPr>
      <t xml:space="preserve"> นายอนันต์  จิตนาน     </t>
    </r>
    <r>
      <rPr>
        <b/>
        <u/>
        <sz val="14"/>
        <rFont val="Browallia New"/>
        <family val="2"/>
      </rPr>
      <t xml:space="preserve">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</si>
  <si>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>นางสาวปภาอร ภีมธนภัทร์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</si>
  <si>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นายวรพล  คล่องเชิงศร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 . </t>
    </r>
  </si>
  <si>
    <t>สวนกล้วย</t>
  </si>
  <si>
    <t>บ้านรอง19/7/66</t>
  </si>
  <si>
    <r>
      <t xml:space="preserve">ชื่อเจ้าของที่ดิน </t>
    </r>
    <r>
      <rPr>
        <b/>
        <u/>
        <sz val="14"/>
        <color rgb="FFFF0000"/>
        <rFont val="Browallia New"/>
        <family val="2"/>
      </rPr>
      <t xml:space="preserve">    นายสงกรานต์  มหาผล  .</t>
    </r>
    <r>
      <rPr>
        <b/>
        <sz val="14"/>
        <color rgb="FFFF0000"/>
        <rFont val="Browallia New"/>
        <family val="2"/>
      </rPr>
      <t>ชื่อเจ้าของสิ่งปลูกสร้าง</t>
    </r>
    <r>
      <rPr>
        <b/>
        <u/>
        <sz val="14"/>
        <color rgb="FFFF0000"/>
        <rFont val="Browallia New"/>
        <family val="2"/>
      </rPr>
      <t xml:space="preserve">        นายสงกรานต์  มหาผล        บ้านรอง19/7/66                 . </t>
    </r>
  </si>
  <si>
    <t>ที่ว่าง</t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</si>
  <si>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นางสุภาพ  ลาเพชร    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นางสุภาพ  ลาเพชร      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</si>
  <si>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 นางจันทร์ลดา  จันต๊ะ   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นางจันทร์ลดา  จันต๊ะ       </t>
    </r>
  </si>
  <si>
    <r>
      <t xml:space="preserve">ชื่อเจ้าของที่ดิน </t>
    </r>
    <r>
      <rPr>
        <b/>
        <u/>
        <sz val="14"/>
        <color theme="1"/>
        <rFont val="Browallia New"/>
        <family val="2"/>
      </rPr>
      <t xml:space="preserve">  นายสุรพล สุกันธา     .</t>
    </r>
    <r>
      <rPr>
        <b/>
        <sz val="14"/>
        <color theme="1"/>
        <rFont val="Browallia New"/>
        <family val="2"/>
      </rPr>
      <t>ชื่อเจ้าของสิ่งปลูกสร้าง</t>
    </r>
    <r>
      <rPr>
        <b/>
        <u/>
        <sz val="14"/>
        <color theme="1"/>
        <rFont val="Browallia New"/>
        <family val="2"/>
      </rPr>
      <t xml:space="preserve">   นายสุรพล  สุกันธา และอู่ซ่อมรถ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</si>
  <si>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นายจีรศักดิ์  เดชวงค์ญา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นายจีรศักดิ์  เดชวงค์ญา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</si>
  <si>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นางยุพิน  สุกันธา  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นางยุพิน  สุกันธา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</si>
  <si>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นายประเสริฐ  จักร์แก้ว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นายประเสริฐ  จักร์แก้ว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</si>
  <si>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นายบุญเป็ง  สุกันธา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นางสุวิญณี  สุกันธา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</si>
  <si>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นางมนเทียน  มณีวรรณ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นายมังกร  มณีวรรณ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</si>
  <si>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นางจันทร์พลอย  สุธาชัย 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นางจันทร์พลอย  สุธาชัย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</si>
  <si>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นายขจรศักดิ์  ไชยเฉพาะ 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นายขจรศักดิ์  ไชยเฉพาะ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</si>
  <si>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นายศุภกานต์  ฤทัยกุล     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นายศุภกานต์  ฤทัยกุล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</si>
  <si>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 นายมนตรีทวี  โหราวรรณ์  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นายมนตรีทวี  โหราวรรณ์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</si>
  <si>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นายนพดล  ชาญวิกย์การ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นายนพดล  ชาญวิกย์การ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</si>
  <si>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 นายนวล  จันทร์สะอาด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นายนวล  จันทร์สะอาด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</si>
  <si>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นางศรีวรรณ  เมืองแก้ว 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นางศรีวรรณ  เมืองแก้ว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</si>
  <si>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นางอรัญญา  เมดจ์ 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</si>
  <si>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นางสาวปรีดาวรรณ  พรหมหิตาทร 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</si>
  <si>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 นางอาภรณ์  วาสุถิตย์ 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</si>
  <si>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นายฐิตานนท์  พิบูลนครินทร์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</si>
  <si>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 นางสาวพัชรินทร์  หลุกแก้ว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</si>
  <si>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นางวราภา  บราเค่อ 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</si>
  <si>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 นางเตือนตา  เต็มไตรเพท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</si>
  <si>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 นางบุญสวาท  พฤกษิกานนท์ 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</si>
  <si>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นางพินผกา  กิ่งโคกกรวด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</si>
  <si>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นางสาวรุจิรา  ไชยเสือ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</si>
  <si>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นายบุญเกิด  เชวงศรี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</si>
  <si>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นางสาวปิติมา พีรากรเดช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</si>
  <si>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  นายพลาวุฒิ  กลับเจริญ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</si>
  <si>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  นางสาวรัตนพร  ตั้งวังวิรัตน์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</si>
  <si>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  นางวรวรรณ  พิมศักดิ์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</si>
  <si>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  นางรัศมีเพ็ญ  ปริบุญนานนท์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. </t>
    </r>
  </si>
  <si>
    <r>
      <t xml:space="preserve">ชื่อเจ้าของที่ดิน </t>
    </r>
    <r>
      <rPr>
        <b/>
        <u/>
        <sz val="14"/>
        <color theme="1"/>
        <rFont val="Browallia New"/>
        <family val="2"/>
      </rPr>
      <t xml:space="preserve">   นายกฤตยากร  ทำทัน    .</t>
    </r>
    <r>
      <rPr>
        <b/>
        <sz val="14"/>
        <color theme="1"/>
        <rFont val="Browallia New"/>
        <family val="2"/>
      </rPr>
      <t>ชื่อเจ้าของสิ่งปลูกสร้าง</t>
    </r>
    <r>
      <rPr>
        <b/>
        <u/>
        <sz val="14"/>
        <color theme="1"/>
        <rFont val="Browallia New"/>
        <family val="2"/>
      </rPr>
      <t xml:space="preserve">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</si>
  <si>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นางประภาศร  หลิ่วผลวณิชย์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</si>
  <si>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นางสาวกรพินธุ์  มาลารักษ์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. </t>
    </r>
  </si>
  <si>
    <r>
      <t xml:space="preserve">ชื่อเจ้าของที่ดิน </t>
    </r>
    <r>
      <rPr>
        <b/>
        <u/>
        <sz val="14"/>
        <color rgb="FFFF0000"/>
        <rFont val="TH SarabunPSK"/>
        <family val="2"/>
      </rPr>
      <t xml:space="preserve">   นางสมยง  ศรีวิชัย         .</t>
    </r>
    <r>
      <rPr>
        <b/>
        <sz val="14"/>
        <color rgb="FFFF0000"/>
        <rFont val="TH SarabunPSK"/>
        <family val="2"/>
      </rPr>
      <t>ชื่อเจ้าของสิ่งปลูกสร้าง</t>
    </r>
    <r>
      <rPr>
        <b/>
        <u/>
        <sz val="14"/>
        <color rgb="FFFF0000"/>
        <rFont val="TH SarabunPSK"/>
        <family val="2"/>
      </rPr>
      <t xml:space="preserve">      นางสมยง  ศรีวิชัย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</si>
  <si>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นางสาวอรุณวดี  ดำรงสันติพิทักษ์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</si>
  <si>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นางสาวปิ่นนรี  ขัติพัฒนาพงษ์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</si>
  <si>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จ่าสิบเอกอุดม  อยู่ประเสริฐ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</si>
  <si>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พันตำรวจโททวีศักดิ์  นายางเจริญ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</si>
  <si>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นายวิรัตน์  อาทรธุระสุข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</si>
  <si>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นางกัญญณัช  ปะกิระถา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</si>
  <si>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นางสาวกุลธิดา  คงกล่อม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</si>
  <si>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 นางนภาพร  อินเขียวสาย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</si>
  <si>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 นายวันปิยะ  ไชยเนตร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</si>
  <si>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นายศิริวัฒน์  บุญยง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</si>
  <si>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นายพิสิษฐ์  บูรณะกิจทวี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</si>
  <si>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นายวิทยา บุญมาวงค์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</si>
  <si>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นายกฤตพัส ดวงสนิท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นายกฤษณะ จิราศรีรัตน์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</si>
  <si>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นางสาวเธียรรัตน์  ไกรศักดาวัฒน์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</si>
  <si>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 บริษัท บริหารสินทรัพย์กรุงเทพ  พาณิชย์ จำกัด (มหาชน)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</si>
  <si>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 นางสาวฉัตรดาว  ชาญวิกย์การ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</si>
  <si>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 นางสาวพรทิพย์  วงศ์อัจฉริยา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</si>
  <si>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6"/>
        <rFont val="Browallia New"/>
        <family val="2"/>
      </rPr>
      <t xml:space="preserve">    นางกลมเกลียว  เลิศจันทร์เพ็ญ    .</t>
    </r>
    <r>
      <rPr>
        <b/>
        <sz val="16"/>
        <rFont val="Browallia New"/>
        <family val="2"/>
      </rPr>
      <t>ชื่อเจ้าของสิ่งปลูกสร้าง</t>
    </r>
    <r>
      <rPr>
        <b/>
        <u/>
        <sz val="16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</si>
  <si>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 นายอนุวัฒน์  เกษตระทัต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</si>
  <si>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 นางอัจฉราภรณ์  ยอดคำเหลือง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</si>
  <si>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 นายชลอ  รัตนาสิน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</si>
  <si>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 นายประจงศักดิ์  สุนทรสุข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</si>
  <si>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 นางสุพรรณี  ชาติวุฒานนท์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</si>
  <si>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 นางสาวศุภสิริ  สายัณหวัฒน์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</si>
  <si>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   นางสาวกมลภัทร  อุฤทธิ์บุญไทย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</si>
  <si>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  นางสาวปราณี  ฟุ้งเหยียว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</si>
  <si>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  นายสะอาด  ชื่นรังสิกุล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</si>
  <si>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  นายอิทธิกร  คงศักดิ์นาสาร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</si>
  <si>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  นายทศพล  คงศักดิ์นาสาร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</si>
  <si>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นางสาววริดา  ศรีสุรโยธิน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</si>
  <si>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นายวิรัช  ศรีสุรโยธิน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</si>
  <si>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นางสาวอมร  โมฬนนท์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</si>
  <si>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นางสาวนันทลักษณ์  ศันสยะวิชัย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</si>
  <si>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นางเพ็ญพร  สว่างพานิช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</si>
  <si>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นางอภิชญา  ปัญญาผล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</si>
  <si>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นายถวิล  บัวจีน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</si>
  <si>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นางสาวปาริชาต  จงวชิระชัย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</si>
  <si>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นางอุดมลักษณ์  ยมาภัย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</si>
  <si>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นายถาวรท์  ศรีภักดี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</si>
  <si>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นายประพันธ์   ตั้งพันธุ์เพียร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</si>
  <si>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นางสาวอรณิชชา จาตกานนท์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</si>
  <si>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นายณัฐพล  เครือแก้ว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</si>
  <si>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นางสาวนลิน  ฉันทานนท์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</si>
  <si>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นางสาวศรีสุภรณ์ ไชยทอน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</si>
  <si>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นายชนธวัช  สุจริต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</si>
  <si>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นายสมพงษ์  แสงมณี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</si>
  <si>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นางพัชรี  เทียนชัย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</si>
  <si>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นางสาวภรภัทร  โสธนไพศาล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</si>
  <si>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นายอรรถวิบลย์  ประมวนอุรุรัตน์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</si>
  <si>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นายธาริช   สอนสถาพรกุล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</si>
  <si>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 นางสาวเวทิกา  ศรีสุภา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นางสาวเวทิกา  ศรีสุภา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</si>
  <si>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 นายประเมศฐ์   สาระศรีพัฒน์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นายประเมศฐ์   สาระศรีพัฒน์                  . </t>
    </r>
  </si>
  <si>
    <r>
      <t xml:space="preserve">ชื่อเจ้าของที่ดิน </t>
    </r>
    <r>
      <rPr>
        <b/>
        <u/>
        <sz val="14"/>
        <color theme="1"/>
        <rFont val="Browallia New"/>
        <family val="2"/>
      </rPr>
      <t xml:space="preserve">  นางลลิตา  กังวานวิบุล  .</t>
    </r>
    <r>
      <rPr>
        <b/>
        <sz val="14"/>
        <color theme="1"/>
        <rFont val="Browallia New"/>
        <family val="2"/>
      </rPr>
      <t>ชื่อเจ้าของสิ่งปลูกสร้าง</t>
    </r>
    <r>
      <rPr>
        <b/>
        <u/>
        <sz val="14"/>
        <color theme="1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</si>
  <si>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color theme="1"/>
        <rFont val="Browallia New"/>
        <family val="2"/>
      </rPr>
      <t xml:space="preserve">  นายวารินทร์  สุจริต  .</t>
    </r>
    <r>
      <rPr>
        <b/>
        <sz val="14"/>
        <color theme="1"/>
        <rFont val="Browallia New"/>
        <family val="2"/>
      </rPr>
      <t>ชื่อเจ้าของสิ่งปลูกสร้าง</t>
    </r>
    <r>
      <rPr>
        <b/>
        <u/>
        <sz val="14"/>
        <color theme="1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</si>
  <si>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color theme="1"/>
        <rFont val="Browallia New"/>
        <family val="2"/>
      </rPr>
      <t xml:space="preserve">     นางศรีพรรณ  สุกันธา  .</t>
    </r>
    <r>
      <rPr>
        <b/>
        <sz val="14"/>
        <color theme="1"/>
        <rFont val="Browallia New"/>
        <family val="2"/>
      </rPr>
      <t>ชื่อเจ้าของสิ่งปลูกสร้าง</t>
    </r>
    <r>
      <rPr>
        <b/>
        <u/>
        <sz val="14"/>
        <color theme="1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</si>
  <si>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นายมณเทียน  เหมือนแท้   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นายมณเทียน  เหมือนแท้                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</si>
  <si>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 นายสุรชัย   เทิดปฐวีพงศ์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นายสุรชัย   เทิดปฐวีพงศ์      . </t>
    </r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</si>
  <si>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 นางแสงคำ มูลศรี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นางแสงคำ มูลศรี     . </t>
    </r>
  </si>
  <si>
    <r>
      <t xml:space="preserve">ชื่อเจ้าของที่ดิน </t>
    </r>
    <r>
      <rPr>
        <b/>
        <u/>
        <sz val="14"/>
        <color rgb="FFFF0000"/>
        <rFont val="Browallia New"/>
        <family val="2"/>
      </rPr>
      <t xml:space="preserve">     นางสาวสุวดิ์  เกียติ์กรันย์   .</t>
    </r>
    <r>
      <rPr>
        <b/>
        <sz val="14"/>
        <color rgb="FFFF0000"/>
        <rFont val="Browallia New"/>
        <family val="2"/>
      </rPr>
      <t>ชื่อเจ้าของสิ่งปลูกสร้าง</t>
    </r>
    <r>
      <rPr>
        <b/>
        <u/>
        <sz val="14"/>
        <color rgb="FFFF0000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</si>
  <si>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6"/>
        <color rgb="FFFF0000"/>
        <rFont val="Browallia New"/>
        <family val="2"/>
      </rPr>
      <t>นางทัศนีย์  บุญธรรม     .</t>
    </r>
    <r>
      <rPr>
        <b/>
        <sz val="16"/>
        <color rgb="FFFF0000"/>
        <rFont val="Browallia New"/>
        <family val="2"/>
      </rPr>
      <t>ชื่อเจ้าของสิ่งปลูกสร้าง</t>
    </r>
    <r>
      <rPr>
        <b/>
        <u/>
        <sz val="16"/>
        <color rgb="FFFF0000"/>
        <rFont val="Browallia New"/>
        <family val="2"/>
      </rPr>
      <t xml:space="preserve">                                . </t>
    </r>
  </si>
  <si>
    <r>
      <t xml:space="preserve">ชื่อเจ้าของที่ดิน </t>
    </r>
    <r>
      <rPr>
        <b/>
        <u/>
        <sz val="14"/>
        <color rgb="FFFF0000"/>
        <rFont val="Browallia New"/>
        <family val="2"/>
      </rPr>
      <t xml:space="preserve">   นางสาวสุคนทิพย์  สัมพลัง    .</t>
    </r>
    <r>
      <rPr>
        <b/>
        <sz val="14"/>
        <color rgb="FFFF0000"/>
        <rFont val="Browallia New"/>
        <family val="2"/>
      </rPr>
      <t>ชื่อเจ้าของสิ่งปลูกสร้าง</t>
    </r>
    <r>
      <rPr>
        <b/>
        <u/>
        <sz val="14"/>
        <color rgb="FFFF0000"/>
        <rFont val="Browallia New"/>
        <family val="2"/>
      </rPr>
      <t xml:space="preserve">                               . </t>
    </r>
  </si>
  <si>
    <t>หลังรอง</t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</si>
  <si>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   นายชยันต์พร  แสงตะกัน  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 .</t>
    </r>
    <r>
      <rPr>
        <b/>
        <u/>
        <sz val="14"/>
        <color rgb="FFFF0000"/>
        <rFont val="Browallia New"/>
        <family val="2"/>
      </rPr>
      <t>โทร. 094-63606570</t>
    </r>
  </si>
  <si>
    <t>ปีที่ 3</t>
  </si>
  <si>
    <r>
      <t xml:space="preserve">ชื่อเจ้าของที่ดิน </t>
    </r>
    <r>
      <rPr>
        <b/>
        <u/>
        <sz val="14"/>
        <color rgb="FFFF0000"/>
        <rFont val="Browallia New"/>
        <family val="2"/>
      </rPr>
      <t xml:space="preserve">   นายอรรถพงษ์  เบิกบาน    .</t>
    </r>
    <r>
      <rPr>
        <b/>
        <sz val="14"/>
        <color rgb="FFFF0000"/>
        <rFont val="Browallia New"/>
        <family val="2"/>
      </rPr>
      <t>ชื่อเจ้าของสิ่งปลูกสร้าง</t>
    </r>
    <r>
      <rPr>
        <b/>
        <u/>
        <sz val="14"/>
        <color rgb="FFFF0000"/>
        <rFont val="Browallia New"/>
        <family val="2"/>
      </rPr>
      <t xml:space="preserve">                               . </t>
    </r>
  </si>
  <si>
    <r>
      <t xml:space="preserve">ชื่อเจ้าของที่ดิน </t>
    </r>
    <r>
      <rPr>
        <b/>
        <u/>
        <sz val="14"/>
        <color rgb="FFFF0000"/>
        <rFont val="Browallia New"/>
        <family val="2"/>
      </rPr>
      <t xml:space="preserve">  นางสุกานดา  โรจนารุณ    .</t>
    </r>
    <r>
      <rPr>
        <b/>
        <sz val="14"/>
        <color rgb="FFFF0000"/>
        <rFont val="Browallia New"/>
        <family val="2"/>
      </rPr>
      <t>ชื่อเจ้าของสิ่งปลูกสร้าง</t>
    </r>
    <r>
      <rPr>
        <b/>
        <u/>
        <sz val="14"/>
        <color rgb="FFFF0000"/>
        <rFont val="Browallia New"/>
        <family val="2"/>
      </rPr>
      <t xml:space="preserve">                               . </t>
    </r>
  </si>
  <si>
    <t>1647</t>
  </si>
  <si>
    <t>134..47</t>
  </si>
  <si>
    <r>
      <t xml:space="preserve">ชื่อเจ้าของที่ดิน </t>
    </r>
    <r>
      <rPr>
        <b/>
        <u/>
        <sz val="9"/>
        <rFont val="TH SarabunPSK"/>
        <family val="2"/>
      </rPr>
      <t xml:space="preserve">  นางเสาร์แก้ว อุปันโน   .</t>
    </r>
    <r>
      <rPr>
        <b/>
        <sz val="9"/>
        <rFont val="TH SarabunPSK"/>
        <family val="2"/>
      </rPr>
      <t>ชื่อเจ้าของสิ่งปลูกสร้าง</t>
    </r>
    <r>
      <rPr>
        <b/>
        <u/>
        <sz val="9"/>
        <rFont val="TH SarabunPSK"/>
        <family val="2"/>
      </rPr>
      <t xml:space="preserve">   นายเฉลิม  ไชยยาน  . </t>
    </r>
  </si>
  <si>
    <t>โรง1</t>
  </si>
  <si>
    <t>โรง2</t>
  </si>
  <si>
    <t>102</t>
  </si>
  <si>
    <r>
      <t xml:space="preserve">ชื่อเจ้าของที่ดิน </t>
    </r>
    <r>
      <rPr>
        <b/>
        <u/>
        <sz val="14"/>
        <rFont val="Browallia New"/>
        <family val="2"/>
      </rPr>
      <t xml:space="preserve">    นางสาวพิริยา  ลิ้มธีระยศ .</t>
    </r>
    <r>
      <rPr>
        <b/>
        <sz val="14"/>
        <rFont val="Browallia New"/>
        <family val="2"/>
      </rPr>
      <t>ชื่อเจ้าของสิ่งปลูกสร้าง</t>
    </r>
    <r>
      <rPr>
        <b/>
        <u/>
        <sz val="14"/>
        <rFont val="Browallia New"/>
        <family val="2"/>
      </rPr>
      <t xml:space="preserve">                               . </t>
    </r>
  </si>
  <si>
    <t>431</t>
  </si>
  <si>
    <t>430</t>
  </si>
  <si>
    <t>4 แปลงนี้ติดกัน</t>
  </si>
  <si>
    <t>429</t>
  </si>
  <si>
    <t>482</t>
  </si>
  <si>
    <t>607</t>
  </si>
  <si>
    <t xml:space="preserve">หมู่ 8 </t>
  </si>
  <si>
    <t>609</t>
  </si>
  <si>
    <t>608</t>
  </si>
  <si>
    <t>1495</t>
  </si>
  <si>
    <t>2981</t>
  </si>
  <si>
    <t>605</t>
  </si>
  <si>
    <t>595</t>
  </si>
  <si>
    <t>664</t>
  </si>
  <si>
    <t>2566</t>
  </si>
  <si>
    <t>2567</t>
  </si>
  <si>
    <t>3 แปลงนี้ติดกัน</t>
  </si>
  <si>
    <t>616</t>
  </si>
  <si>
    <t>557</t>
  </si>
  <si>
    <t>73</t>
  </si>
  <si>
    <t>214</t>
  </si>
  <si>
    <t>555</t>
  </si>
  <si>
    <t>68</t>
  </si>
  <si>
    <t>566</t>
  </si>
  <si>
    <t>91</t>
  </si>
  <si>
    <t>195</t>
  </si>
  <si>
    <t>66</t>
  </si>
  <si>
    <t>606</t>
  </si>
  <si>
    <t>650</t>
  </si>
  <si>
    <t>2935</t>
  </si>
  <si>
    <t>2936</t>
  </si>
  <si>
    <t>2937</t>
  </si>
  <si>
    <t>2938</t>
  </si>
  <si>
    <t>2940</t>
  </si>
  <si>
    <t>2941</t>
  </si>
  <si>
    <t>2942</t>
  </si>
  <si>
    <t>2943</t>
  </si>
  <si>
    <t>2944</t>
  </si>
  <si>
    <t>2945</t>
  </si>
  <si>
    <t>2946</t>
  </si>
  <si>
    <t>2947</t>
  </si>
  <si>
    <t>2948</t>
  </si>
  <si>
    <t>2893</t>
  </si>
  <si>
    <t>2879</t>
  </si>
  <si>
    <t>2865</t>
  </si>
  <si>
    <t>2851</t>
  </si>
  <si>
    <t>2837</t>
  </si>
  <si>
    <t>2823</t>
  </si>
  <si>
    <t>2809</t>
  </si>
  <si>
    <t>2795</t>
  </si>
  <si>
    <t>2781</t>
  </si>
  <si>
    <t>2767</t>
  </si>
  <si>
    <t>2753</t>
  </si>
  <si>
    <t>2739</t>
  </si>
  <si>
    <t>2965</t>
  </si>
  <si>
    <t>2966</t>
  </si>
  <si>
    <t>2967</t>
  </si>
  <si>
    <t>2968</t>
  </si>
  <si>
    <t>2969</t>
  </si>
  <si>
    <t>2970</t>
  </si>
  <si>
    <t>2971</t>
  </si>
  <si>
    <t>2972</t>
  </si>
  <si>
    <t>2973</t>
  </si>
  <si>
    <t>2974</t>
  </si>
  <si>
    <t>2975</t>
  </si>
  <si>
    <t>2976</t>
  </si>
  <si>
    <t>2977</t>
  </si>
  <si>
    <t>2978</t>
  </si>
  <si>
    <t>2979</t>
  </si>
  <si>
    <t>2985</t>
  </si>
  <si>
    <t>2986</t>
  </si>
  <si>
    <t>2987</t>
  </si>
  <si>
    <t>2988</t>
  </si>
  <si>
    <t>2989</t>
  </si>
  <si>
    <t>2990</t>
  </si>
  <si>
    <t>2991</t>
  </si>
  <si>
    <t>2992</t>
  </si>
  <si>
    <t>2999</t>
  </si>
  <si>
    <t>3000</t>
  </si>
  <si>
    <t>3001</t>
  </si>
  <si>
    <t>3002</t>
  </si>
  <si>
    <t>3003</t>
  </si>
  <si>
    <t>3004</t>
  </si>
  <si>
    <t>3011</t>
  </si>
  <si>
    <t>3012</t>
  </si>
  <si>
    <t>3013</t>
  </si>
  <si>
    <t>หมู่ 9</t>
  </si>
  <si>
    <t>3014</t>
  </si>
  <si>
    <t>หมู่ 10</t>
  </si>
  <si>
    <t>3015</t>
  </si>
  <si>
    <t>หมู่ 11</t>
  </si>
  <si>
    <t>3016</t>
  </si>
  <si>
    <t>หมู่ 12</t>
  </si>
  <si>
    <t>3017</t>
  </si>
  <si>
    <t>หมู่ 13</t>
  </si>
  <si>
    <t>3018</t>
  </si>
  <si>
    <t>3019</t>
  </si>
  <si>
    <t>3020</t>
  </si>
  <si>
    <t>3021</t>
  </si>
  <si>
    <t>3022</t>
  </si>
  <si>
    <t>3023</t>
  </si>
  <si>
    <t>3024</t>
  </si>
  <si>
    <t>3025</t>
  </si>
  <si>
    <t>3026</t>
  </si>
  <si>
    <t>3027</t>
  </si>
  <si>
    <t>3028</t>
  </si>
  <si>
    <t>3029</t>
  </si>
  <si>
    <t>3030</t>
  </si>
  <si>
    <t>3031</t>
  </si>
  <si>
    <t>3032</t>
  </si>
  <si>
    <t>3033</t>
  </si>
  <si>
    <t>3034</t>
  </si>
  <si>
    <t>3035</t>
  </si>
  <si>
    <t>3036</t>
  </si>
  <si>
    <t>3037</t>
  </si>
  <si>
    <t>3038</t>
  </si>
  <si>
    <t>3039</t>
  </si>
  <si>
    <t>3040</t>
  </si>
  <si>
    <t>3041</t>
  </si>
  <si>
    <t>3042</t>
  </si>
  <si>
    <t>3043</t>
  </si>
  <si>
    <t>3044</t>
  </si>
  <si>
    <t>3045</t>
  </si>
  <si>
    <t>3046</t>
  </si>
  <si>
    <t>3047</t>
  </si>
  <si>
    <t>3048</t>
  </si>
  <si>
    <t>3049</t>
  </si>
  <si>
    <t>3050</t>
  </si>
  <si>
    <t>3051</t>
  </si>
  <si>
    <t>3052</t>
  </si>
  <si>
    <t>3705</t>
  </si>
  <si>
    <t>3706</t>
  </si>
  <si>
    <t>3707</t>
  </si>
  <si>
    <t>3708</t>
  </si>
  <si>
    <t>3709</t>
  </si>
  <si>
    <t>3710</t>
  </si>
  <si>
    <t>2796</t>
  </si>
  <si>
    <t>2797</t>
  </si>
  <si>
    <t>2798</t>
  </si>
  <si>
    <t>2799</t>
  </si>
  <si>
    <t>2800</t>
  </si>
  <si>
    <t>2801</t>
  </si>
  <si>
    <t>2802</t>
  </si>
  <si>
    <t>2803</t>
  </si>
  <si>
    <t>2804</t>
  </si>
  <si>
    <t>2805</t>
  </si>
  <si>
    <t>2806</t>
  </si>
  <si>
    <t>2807</t>
  </si>
  <si>
    <t>2808</t>
  </si>
  <si>
    <t>2810</t>
  </si>
  <si>
    <t>2811</t>
  </si>
  <si>
    <t>2812</t>
  </si>
  <si>
    <t>2813</t>
  </si>
  <si>
    <t>2814</t>
  </si>
  <si>
    <t>2815</t>
  </si>
  <si>
    <t>2816</t>
  </si>
  <si>
    <t>2817</t>
  </si>
  <si>
    <t>2818</t>
  </si>
  <si>
    <t>2819</t>
  </si>
  <si>
    <t>2820</t>
  </si>
  <si>
    <t>2821</t>
  </si>
  <si>
    <t>2822</t>
  </si>
  <si>
    <t>2824</t>
  </si>
  <si>
    <t>2825</t>
  </si>
  <si>
    <t>2826</t>
  </si>
  <si>
    <t>2827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</si>
  <si>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</si>
  <si>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</si>
  <si>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</si>
  <si>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</si>
  <si>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</si>
  <si>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</si>
  <si>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</si>
  <si>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</si>
  <si>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</si>
  <si>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2838</t>
  </si>
  <si>
    <t>2839</t>
  </si>
  <si>
    <t>2840</t>
  </si>
  <si>
    <t>2841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</si>
  <si>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</si>
  <si>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</si>
  <si>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</si>
  <si>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</si>
  <si>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</si>
  <si>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</si>
  <si>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</si>
  <si>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</si>
  <si>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</si>
  <si>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2852</t>
  </si>
  <si>
    <t>2853</t>
  </si>
  <si>
    <t>2854</t>
  </si>
  <si>
    <t>2855</t>
  </si>
  <si>
    <t>2856</t>
  </si>
  <si>
    <t>2857</t>
  </si>
  <si>
    <t>2858</t>
  </si>
  <si>
    <t>2859</t>
  </si>
  <si>
    <t>2860</t>
  </si>
  <si>
    <t>2861</t>
  </si>
  <si>
    <t>2862</t>
  </si>
  <si>
    <t>2863</t>
  </si>
  <si>
    <t>2864</t>
  </si>
  <si>
    <t>2866</t>
  </si>
  <si>
    <t>2867</t>
  </si>
  <si>
    <t>2868</t>
  </si>
  <si>
    <t>2869</t>
  </si>
  <si>
    <t>2870</t>
  </si>
  <si>
    <t>2871</t>
  </si>
  <si>
    <t>2874</t>
  </si>
  <si>
    <t>2875</t>
  </si>
  <si>
    <t>2876</t>
  </si>
  <si>
    <t>2877</t>
  </si>
  <si>
    <t>2878</t>
  </si>
  <si>
    <t>2880</t>
  </si>
  <si>
    <t>2881</t>
  </si>
  <si>
    <t>2882</t>
  </si>
  <si>
    <t>2883</t>
  </si>
  <si>
    <t>2884</t>
  </si>
  <si>
    <t>2885</t>
  </si>
  <si>
    <t>2886</t>
  </si>
  <si>
    <t>2887</t>
  </si>
  <si>
    <t>2888</t>
  </si>
  <si>
    <t>2889</t>
  </si>
  <si>
    <t>2890</t>
  </si>
  <si>
    <t>2891</t>
  </si>
  <si>
    <t>2892</t>
  </si>
  <si>
    <t>2894</t>
  </si>
  <si>
    <t>2895</t>
  </si>
  <si>
    <t>2896</t>
  </si>
  <si>
    <t>2897</t>
  </si>
  <si>
    <t>2898</t>
  </si>
  <si>
    <t>2899</t>
  </si>
  <si>
    <t>2900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</si>
  <si>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</si>
  <si>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</si>
  <si>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</si>
  <si>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</si>
  <si>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</si>
  <si>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</si>
  <si>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</si>
  <si>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</si>
  <si>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</si>
  <si>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</si>
  <si>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</si>
  <si>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</si>
  <si>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</si>
  <si>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</si>
  <si>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</si>
  <si>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</si>
  <si>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</si>
  <si>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2918</t>
  </si>
  <si>
    <t>2919</t>
  </si>
  <si>
    <t>2920</t>
  </si>
  <si>
    <t>2921</t>
  </si>
  <si>
    <t>2922</t>
  </si>
  <si>
    <t>2923</t>
  </si>
  <si>
    <t>2949</t>
  </si>
  <si>
    <t>2996</t>
  </si>
  <si>
    <t>2998</t>
  </si>
  <si>
    <t>3005</t>
  </si>
  <si>
    <t>3006</t>
  </si>
  <si>
    <t>3007</t>
  </si>
  <si>
    <t>3008</t>
  </si>
  <si>
    <t>3010</t>
  </si>
  <si>
    <t>76</t>
  </si>
  <si>
    <t>2939</t>
  </si>
  <si>
    <t>3053</t>
  </si>
  <si>
    <t>67</t>
  </si>
  <si>
    <t>2872</t>
  </si>
  <si>
    <t>2930</t>
  </si>
  <si>
    <t>2931</t>
  </si>
  <si>
    <t>2932</t>
  </si>
  <si>
    <t>2933</t>
  </si>
  <si>
    <t>2934</t>
  </si>
  <si>
    <r>
      <t xml:space="preserve">ชื่อเจ้าของที่ดิน </t>
    </r>
    <r>
      <rPr>
        <b/>
        <u/>
        <sz val="12"/>
        <color theme="1"/>
        <rFont val="Browallia New"/>
        <family val="2"/>
      </rPr>
      <t xml:space="preserve">  บจก.อรสิริน พร็อพเพอร์ตี้   .</t>
    </r>
    <r>
      <rPr>
        <b/>
        <sz val="12"/>
        <color theme="1"/>
        <rFont val="Browallia New"/>
        <family val="2"/>
      </rPr>
      <t>ชื่อเจ้าของสิ่งปลูกสร้าง</t>
    </r>
    <r>
      <rPr>
        <b/>
        <u/>
        <sz val="12"/>
        <color theme="1"/>
        <rFont val="Browallia New"/>
        <family val="2"/>
      </rPr>
      <t xml:space="preserve">                                            . </t>
    </r>
  </si>
  <si>
    <t>ลดหย่อน</t>
  </si>
  <si>
    <t>รวมภาษีที่ต้องชำระทั้งสิ้น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</si>
</sst>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-;\-* #,##0.00_-;_-* &quot;-&quot;??_-;_-@_-"/>
    <numFmt numFmtId="187" formatCode="_-* #,##0_-;\-* #,##0_-;_-* &quot;-&quot;??_-;_-@_-"/>
    <numFmt numFmtId="188" formatCode="0.0"/>
    <numFmt numFmtId="189" formatCode="_(* #,##0.00_);_(* \(#,##0.00\);_(* &quot;-&quot;??_);_(@_)"/>
    <numFmt numFmtId="190" formatCode="\-"/>
    <numFmt numFmtId="191" formatCode="_(* #,##0.000_);_(* \(#,##0.000\);_(* &quot;-&quot;??_);_(@_)"/>
    <numFmt numFmtId="192" formatCode="_-* #,##0.000_-;\-* #,##0.000_-;_-* &quot;-&quot;???_-;_-@_-"/>
  </numFmts>
  <fonts count="100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4"/>
      <color theme="1"/>
      <name val="TH SarabunIT๙"/>
      <family val="2"/>
    </font>
    <font>
      <b/>
      <sz val="14"/>
      <color theme="1"/>
      <name val="TH SarabunPSK"/>
      <family val="2"/>
    </font>
    <font>
      <b/>
      <sz val="12"/>
      <color theme="1"/>
      <name val="Browallia New"/>
      <family val="2"/>
    </font>
    <font>
      <sz val="9"/>
      <color theme="1"/>
      <name val="TH SarabunPSK"/>
      <family val="2"/>
    </font>
    <font>
      <sz val="10"/>
      <color theme="1"/>
      <name val="TH SarabunPSK"/>
      <family val="2"/>
    </font>
    <font>
      <sz val="8"/>
      <color theme="1"/>
      <name val="TH SarabunPSK"/>
      <family val="2"/>
    </font>
    <font>
      <sz val="9"/>
      <name val="TH SarabunPSK"/>
      <family val="2"/>
    </font>
    <font>
      <sz val="9"/>
      <color rgb="FFFF0000"/>
      <name val="TH SarabunPSK"/>
      <family val="2"/>
    </font>
    <font>
      <b/>
      <sz val="12"/>
      <color theme="1"/>
      <name val="TH SarabunIT๙"/>
      <family val="2"/>
    </font>
    <font>
      <sz val="12"/>
      <color theme="1"/>
      <name val="TH SarabunIT๙"/>
      <family val="2"/>
    </font>
    <font>
      <sz val="10"/>
      <name val="TH SarabunPSK"/>
      <family val="2"/>
    </font>
    <font>
      <sz val="10"/>
      <color rgb="FFFF0000"/>
      <name val="TH SarabunPSK"/>
      <family val="2"/>
    </font>
    <font>
      <sz val="8"/>
      <name val="Tahoma"/>
      <family val="2"/>
      <charset val="222"/>
      <scheme val="minor"/>
    </font>
    <font>
      <sz val="11"/>
      <name val="Tahoma"/>
      <family val="2"/>
      <charset val="222"/>
      <scheme val="minor"/>
    </font>
    <font>
      <sz val="11"/>
      <name val="TH SarabunPSK"/>
      <family val="2"/>
    </font>
    <font>
      <b/>
      <sz val="14"/>
      <name val="TH SarabunIT๙"/>
      <family val="2"/>
    </font>
    <font>
      <b/>
      <sz val="14"/>
      <name val="TH SarabunPSK"/>
      <family val="2"/>
    </font>
    <font>
      <b/>
      <sz val="12"/>
      <name val="Browallia New"/>
      <family val="2"/>
    </font>
    <font>
      <sz val="11"/>
      <color rgb="FFFF0000"/>
      <name val="Tahoma"/>
      <family val="2"/>
      <charset val="222"/>
      <scheme val="minor"/>
    </font>
    <font>
      <b/>
      <u/>
      <sz val="12"/>
      <name val="Browallia New"/>
      <family val="2"/>
    </font>
    <font>
      <sz val="8"/>
      <name val="TH SarabunPSK"/>
      <family val="2"/>
    </font>
    <font>
      <sz val="12"/>
      <name val="TH SarabunPSK"/>
      <family val="2"/>
    </font>
    <font>
      <b/>
      <sz val="12"/>
      <name val="TH SarabunIT๙"/>
      <family val="2"/>
    </font>
    <font>
      <sz val="12"/>
      <name val="TH SarabunIT๙"/>
      <family val="2"/>
    </font>
    <font>
      <sz val="11"/>
      <color rgb="FFFF0000"/>
      <name val="TH SarabunPSK"/>
      <family val="2"/>
    </font>
    <font>
      <sz val="12"/>
      <color rgb="FFFF0000"/>
      <name val="TH SarabunPSK"/>
      <family val="2"/>
    </font>
    <font>
      <sz val="12"/>
      <color rgb="FFFF0000"/>
      <name val="TH SarabunIT๙"/>
      <family val="2"/>
    </font>
    <font>
      <sz val="9"/>
      <color rgb="FFFF0000"/>
      <name val="Tahoma"/>
      <family val="2"/>
      <charset val="222"/>
      <scheme val="minor"/>
    </font>
    <font>
      <b/>
      <sz val="9"/>
      <name val="TH SarabunPSK"/>
      <family val="2"/>
    </font>
    <font>
      <b/>
      <sz val="12"/>
      <name val="TH SarabunPSK"/>
      <family val="2"/>
    </font>
    <font>
      <b/>
      <u/>
      <sz val="12"/>
      <name val="TH SarabunPSK"/>
      <family val="2"/>
    </font>
    <font>
      <sz val="9"/>
      <color rgb="FFFF0000"/>
      <name val="TH SarabunIT๙"/>
      <family val="2"/>
    </font>
    <font>
      <b/>
      <sz val="9"/>
      <name val="TH SarabunIT๙"/>
      <family val="2"/>
    </font>
    <font>
      <sz val="9"/>
      <name val="TH SarabunIT๙"/>
      <family val="2"/>
    </font>
    <font>
      <b/>
      <sz val="12"/>
      <color theme="1"/>
      <name val="TH SarabunPSK"/>
      <family val="2"/>
    </font>
    <font>
      <b/>
      <u/>
      <sz val="12"/>
      <color theme="1"/>
      <name val="TH SarabunPSK"/>
      <family val="2"/>
    </font>
    <font>
      <sz val="9"/>
      <color rgb="FFC00000"/>
      <name val="TH SarabunPSK"/>
      <family val="2"/>
    </font>
    <font>
      <sz val="12"/>
      <color theme="1"/>
      <name val="TH SarabunPSK"/>
      <family val="2"/>
    </font>
    <font>
      <sz val="11"/>
      <color theme="1"/>
      <name val="TH SarabunPSK"/>
      <family val="2"/>
    </font>
    <font>
      <sz val="9"/>
      <name val="Tahoma"/>
      <family val="2"/>
      <charset val="222"/>
      <scheme val="minor"/>
    </font>
    <font>
      <sz val="16"/>
      <name val="TH SarabunPSK"/>
      <family val="2"/>
    </font>
    <font>
      <b/>
      <sz val="14"/>
      <name val="TH SarabunPSK"/>
      <family val="2"/>
      <charset val="222"/>
    </font>
    <font>
      <sz val="11"/>
      <name val="TH SarabunPSK"/>
      <family val="2"/>
      <charset val="222"/>
    </font>
    <font>
      <b/>
      <sz val="12"/>
      <name val="TH SarabunPSK"/>
      <family val="2"/>
      <charset val="222"/>
    </font>
    <font>
      <sz val="10"/>
      <name val="TH SarabunPSK"/>
      <family val="2"/>
      <charset val="222"/>
    </font>
    <font>
      <sz val="9"/>
      <name val="TH SarabunPSK"/>
      <family val="2"/>
      <charset val="222"/>
    </font>
    <font>
      <sz val="8"/>
      <name val="TH SarabunPSK"/>
      <family val="2"/>
      <charset val="222"/>
    </font>
    <font>
      <sz val="9"/>
      <name val="Angsana New"/>
      <family val="1"/>
      <charset val="222"/>
    </font>
    <font>
      <sz val="12"/>
      <name val="TH SarabunPSK"/>
      <family val="2"/>
      <charset val="222"/>
    </font>
    <font>
      <b/>
      <sz val="11"/>
      <color theme="1"/>
      <name val="TH SarabunPSK"/>
      <family val="2"/>
    </font>
    <font>
      <sz val="9"/>
      <color rgb="FFFF0000"/>
      <name val="TH SarabunPSK"/>
      <family val="2"/>
      <charset val="222"/>
    </font>
    <font>
      <sz val="10"/>
      <color rgb="FFFF0000"/>
      <name val="TH SarabunPSK"/>
      <family val="2"/>
      <charset val="222"/>
    </font>
    <font>
      <sz val="11"/>
      <color rgb="FFFF0000"/>
      <name val="TH SarabunPSK"/>
      <family val="2"/>
      <charset val="222"/>
    </font>
    <font>
      <sz val="10"/>
      <color rgb="FFFF0000"/>
      <name val="TH Sarabun New"/>
      <family val="2"/>
      <charset val="222"/>
    </font>
    <font>
      <sz val="20"/>
      <color rgb="FFFF0000"/>
      <name val="TH SarabunPSK"/>
      <family val="2"/>
    </font>
    <font>
      <sz val="16"/>
      <color rgb="FFFF0000"/>
      <name val="TH SarabunPSK"/>
      <family val="2"/>
    </font>
    <font>
      <sz val="18"/>
      <color rgb="FFFF0000"/>
      <name val="TH SarabunPSK"/>
      <family val="2"/>
    </font>
    <font>
      <sz val="14"/>
      <color rgb="FFFF0000"/>
      <name val="TH SarabunPSK"/>
      <family val="2"/>
    </font>
    <font>
      <b/>
      <sz val="14"/>
      <name val="Browallia New"/>
      <family val="2"/>
    </font>
    <font>
      <b/>
      <u/>
      <sz val="14"/>
      <name val="Browallia New"/>
      <family val="2"/>
    </font>
    <font>
      <b/>
      <u/>
      <sz val="14"/>
      <name val="TH SarabunPSK"/>
      <family val="2"/>
    </font>
    <font>
      <b/>
      <sz val="14"/>
      <color rgb="FFFF0000"/>
      <name val="Browallia New"/>
      <family val="2"/>
    </font>
    <font>
      <b/>
      <u/>
      <sz val="14"/>
      <color rgb="FFFF0000"/>
      <name val="Browallia New"/>
      <family val="2"/>
    </font>
    <font>
      <sz val="24"/>
      <color rgb="FFFF0000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rgb="FFFF0000"/>
      <name val="TH SarabunPSK"/>
      <family val="2"/>
    </font>
    <font>
      <sz val="10"/>
      <name val="TH Sarabun New"/>
      <family val="2"/>
      <charset val="222"/>
    </font>
    <font>
      <b/>
      <sz val="14"/>
      <color theme="1"/>
      <name val="Browallia New"/>
      <family val="2"/>
    </font>
    <font>
      <b/>
      <u/>
      <sz val="14"/>
      <color theme="1"/>
      <name val="Browallia New"/>
      <family val="2"/>
    </font>
    <font>
      <b/>
      <sz val="12"/>
      <color rgb="FFFF0000"/>
      <name val="Browallia New"/>
      <family val="2"/>
    </font>
    <font>
      <b/>
      <u/>
      <sz val="12"/>
      <color rgb="FFFF0000"/>
      <name val="Browallia New"/>
      <family val="2"/>
    </font>
    <font>
      <sz val="14"/>
      <name val="TH SarabunPSK"/>
      <family val="2"/>
    </font>
    <font>
      <sz val="10"/>
      <name val="Tahoma"/>
      <family val="2"/>
      <charset val="222"/>
      <scheme val="minor"/>
    </font>
    <font>
      <b/>
      <sz val="11"/>
      <name val="TH SarabunPSK"/>
      <family val="2"/>
    </font>
    <font>
      <b/>
      <u/>
      <sz val="11"/>
      <name val="TH SarabunPSK"/>
      <family val="2"/>
    </font>
    <font>
      <b/>
      <sz val="9"/>
      <color theme="1"/>
      <name val="TH SarabunPSK"/>
      <family val="2"/>
    </font>
    <font>
      <sz val="9"/>
      <color theme="4" tint="-0.249977111117893"/>
      <name val="TH SarabunPSK"/>
      <family val="2"/>
    </font>
    <font>
      <sz val="11"/>
      <color rgb="FFC00000"/>
      <name val="TH SarabunPSK"/>
      <family val="2"/>
    </font>
    <font>
      <sz val="11"/>
      <color theme="4" tint="-0.249977111117893"/>
      <name val="TH SarabunPSK"/>
      <family val="2"/>
    </font>
    <font>
      <sz val="8"/>
      <color rgb="FFFF0000"/>
      <name val="TH SarabunPSK"/>
      <family val="2"/>
    </font>
    <font>
      <sz val="14"/>
      <name val="Tahoma"/>
      <family val="2"/>
      <charset val="222"/>
      <scheme val="minor"/>
    </font>
    <font>
      <b/>
      <u/>
      <sz val="14"/>
      <color theme="1"/>
      <name val="TH SarabunPSK"/>
      <family val="2"/>
    </font>
    <font>
      <sz val="14"/>
      <color theme="1"/>
      <name val="TH SarabunPSK"/>
      <family val="2"/>
    </font>
    <font>
      <sz val="10"/>
      <color rgb="FFC00000"/>
      <name val="TH SarabunPSK"/>
      <family val="2"/>
    </font>
    <font>
      <b/>
      <u/>
      <sz val="14"/>
      <color rgb="FF0070C0"/>
      <name val="Browallia New"/>
      <family val="2"/>
    </font>
    <font>
      <b/>
      <sz val="16"/>
      <name val="Browallia New"/>
      <family val="2"/>
    </font>
    <font>
      <b/>
      <u/>
      <sz val="16"/>
      <name val="Browallia New"/>
      <family val="2"/>
    </font>
    <font>
      <b/>
      <sz val="16"/>
      <color rgb="FFFF0000"/>
      <name val="Browallia New"/>
      <family val="2"/>
    </font>
    <font>
      <b/>
      <u/>
      <sz val="16"/>
      <color rgb="FFFF0000"/>
      <name val="Browallia New"/>
      <family val="2"/>
    </font>
    <font>
      <sz val="10"/>
      <color theme="0"/>
      <name val="TH SarabunPSK"/>
      <family val="2"/>
    </font>
    <font>
      <sz val="9"/>
      <color theme="0"/>
      <name val="TH SarabunPSK"/>
      <family val="2"/>
    </font>
    <font>
      <b/>
      <u/>
      <sz val="9"/>
      <name val="TH SarabunPSK"/>
      <family val="2"/>
    </font>
    <font>
      <b/>
      <sz val="10"/>
      <color rgb="FFC00000"/>
      <name val="TH SarabunPSK"/>
      <family val="2"/>
    </font>
    <font>
      <sz val="9"/>
      <color theme="1"/>
      <name val="TH SarabunIT๙"/>
      <family val="2"/>
    </font>
    <font>
      <sz val="10"/>
      <color theme="1"/>
      <name val="Tahoma"/>
      <family val="2"/>
      <charset val="222"/>
      <scheme val="minor"/>
    </font>
    <font>
      <b/>
      <sz val="10"/>
      <color theme="1"/>
      <name val="Tahoma"/>
      <family val="2"/>
      <scheme val="minor"/>
    </font>
    <font>
      <b/>
      <u/>
      <sz val="12"/>
      <color theme="1"/>
      <name val="Browallia New"/>
      <family val="2"/>
    </font>
    <font>
      <sz val="8"/>
      <color theme="1"/>
      <name val="Tahoma"/>
      <family val="2"/>
      <charset val="22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4FDA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DD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855">
    <xf numFmtId="0" fontId="0" fillId="0" borderId="0" xfId="0"/>
    <xf numFmtId="0" fontId="2" fillId="2" borderId="0" xfId="0" applyFont="1" applyFill="1" applyAlignment="1">
      <alignment vertical="center"/>
    </xf>
    <xf numFmtId="0" fontId="5" fillId="4" borderId="6" xfId="0" applyFont="1" applyFill="1" applyBorder="1" applyAlignment="1">
      <alignment vertical="center"/>
    </xf>
    <xf numFmtId="0" fontId="6" fillId="7" borderId="2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vertical="center"/>
    </xf>
    <xf numFmtId="0" fontId="5" fillId="5" borderId="9" xfId="0" applyFont="1" applyFill="1" applyBorder="1" applyAlignment="1">
      <alignment horizontal="center" vertical="center"/>
    </xf>
    <xf numFmtId="0" fontId="6" fillId="7" borderId="9" xfId="0" applyFont="1" applyFill="1" applyBorder="1" applyAlignment="1">
      <alignment horizontal="center" vertical="center"/>
    </xf>
    <xf numFmtId="0" fontId="6" fillId="8" borderId="9" xfId="0" applyFont="1" applyFill="1" applyBorder="1" applyAlignment="1">
      <alignment horizontal="center" vertical="center"/>
    </xf>
    <xf numFmtId="2" fontId="5" fillId="4" borderId="9" xfId="0" applyNumberFormat="1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vertical="center"/>
    </xf>
    <xf numFmtId="2" fontId="5" fillId="3" borderId="13" xfId="0" applyNumberFormat="1" applyFont="1" applyFill="1" applyBorder="1" applyAlignment="1">
      <alignment vertical="center"/>
    </xf>
    <xf numFmtId="0" fontId="5" fillId="5" borderId="13" xfId="0" applyFont="1" applyFill="1" applyBorder="1" applyAlignment="1">
      <alignment horizontal="center" vertical="center"/>
    </xf>
    <xf numFmtId="0" fontId="6" fillId="7" borderId="13" xfId="0" applyFont="1" applyFill="1" applyBorder="1" applyAlignment="1">
      <alignment horizontal="center" vertical="center"/>
    </xf>
    <xf numFmtId="0" fontId="6" fillId="8" borderId="13" xfId="0" applyFont="1" applyFill="1" applyBorder="1" applyAlignment="1">
      <alignment horizontal="center" vertical="center"/>
    </xf>
    <xf numFmtId="49" fontId="8" fillId="0" borderId="15" xfId="0" applyNumberFormat="1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2" fontId="8" fillId="0" borderId="15" xfId="0" applyNumberFormat="1" applyFont="1" applyBorder="1" applyAlignment="1">
      <alignment horizontal="center"/>
    </xf>
    <xf numFmtId="43" fontId="8" fillId="0" borderId="18" xfId="1" applyFont="1" applyBorder="1" applyAlignment="1">
      <alignment horizontal="center"/>
    </xf>
    <xf numFmtId="2" fontId="8" fillId="0" borderId="18" xfId="0" applyNumberFormat="1" applyFont="1" applyBorder="1" applyAlignment="1">
      <alignment horizontal="center"/>
    </xf>
    <xf numFmtId="1" fontId="8" fillId="0" borderId="19" xfId="1" applyNumberFormat="1" applyFont="1" applyBorder="1" applyAlignment="1">
      <alignment horizontal="center"/>
    </xf>
    <xf numFmtId="0" fontId="8" fillId="2" borderId="16" xfId="0" applyFont="1" applyFill="1" applyBorder="1" applyAlignment="1">
      <alignment horizontal="center"/>
    </xf>
    <xf numFmtId="2" fontId="8" fillId="0" borderId="16" xfId="0" applyNumberFormat="1" applyFont="1" applyBorder="1" applyAlignment="1">
      <alignment horizontal="center"/>
    </xf>
    <xf numFmtId="43" fontId="8" fillId="0" borderId="16" xfId="1" applyFont="1" applyBorder="1" applyAlignment="1">
      <alignment horizontal="center"/>
    </xf>
    <xf numFmtId="43" fontId="8" fillId="0" borderId="16" xfId="1" applyFont="1" applyFill="1" applyBorder="1" applyAlignment="1">
      <alignment horizontal="center"/>
    </xf>
    <xf numFmtId="49" fontId="8" fillId="0" borderId="16" xfId="0" applyNumberFormat="1" applyFont="1" applyBorder="1" applyAlignment="1">
      <alignment horizontal="center"/>
    </xf>
    <xf numFmtId="1" fontId="8" fillId="0" borderId="16" xfId="1" applyNumberFormat="1" applyFont="1" applyFill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8" fillId="2" borderId="20" xfId="0" applyFont="1" applyFill="1" applyBorder="1" applyAlignment="1">
      <alignment horizontal="center"/>
    </xf>
    <xf numFmtId="2" fontId="8" fillId="0" borderId="20" xfId="0" applyNumberFormat="1" applyFont="1" applyBorder="1" applyAlignment="1">
      <alignment horizontal="center"/>
    </xf>
    <xf numFmtId="43" fontId="8" fillId="0" borderId="20" xfId="1" applyFont="1" applyBorder="1" applyAlignment="1">
      <alignment horizontal="center"/>
    </xf>
    <xf numFmtId="43" fontId="8" fillId="0" borderId="20" xfId="1" applyFont="1" applyFill="1" applyBorder="1" applyAlignment="1">
      <alignment horizontal="center"/>
    </xf>
    <xf numFmtId="49" fontId="8" fillId="0" borderId="20" xfId="0" applyNumberFormat="1" applyFont="1" applyBorder="1" applyAlignment="1">
      <alignment horizontal="center"/>
    </xf>
    <xf numFmtId="1" fontId="8" fillId="0" borderId="20" xfId="1" applyNumberFormat="1" applyFont="1" applyFill="1" applyBorder="1" applyAlignment="1">
      <alignment horizontal="center"/>
    </xf>
    <xf numFmtId="0" fontId="8" fillId="0" borderId="13" xfId="0" applyFont="1" applyBorder="1" applyAlignment="1">
      <alignment horizontal="center"/>
    </xf>
    <xf numFmtId="2" fontId="8" fillId="0" borderId="13" xfId="0" applyNumberFormat="1" applyFont="1" applyBorder="1" applyAlignment="1">
      <alignment horizontal="center"/>
    </xf>
    <xf numFmtId="43" fontId="8" fillId="0" borderId="13" xfId="1" applyFont="1" applyBorder="1" applyAlignment="1">
      <alignment horizontal="center"/>
    </xf>
    <xf numFmtId="43" fontId="8" fillId="0" borderId="13" xfId="1" applyFont="1" applyFill="1" applyBorder="1" applyAlignment="1">
      <alignment horizontal="center"/>
    </xf>
    <xf numFmtId="1" fontId="8" fillId="0" borderId="13" xfId="1" applyNumberFormat="1" applyFont="1" applyFill="1" applyBorder="1" applyAlignment="1">
      <alignment horizontal="center"/>
    </xf>
    <xf numFmtId="43" fontId="8" fillId="0" borderId="22" xfId="1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8" fillId="0" borderId="23" xfId="0" applyFont="1" applyBorder="1" applyAlignment="1">
      <alignment horizontal="center"/>
    </xf>
    <xf numFmtId="43" fontId="8" fillId="0" borderId="23" xfId="1" applyFont="1" applyBorder="1" applyAlignment="1">
      <alignment horizontal="center"/>
    </xf>
    <xf numFmtId="188" fontId="5" fillId="0" borderId="23" xfId="0" applyNumberFormat="1" applyFont="1" applyBorder="1" applyAlignment="1">
      <alignment horizontal="center"/>
    </xf>
    <xf numFmtId="43" fontId="8" fillId="0" borderId="15" xfId="1" applyFont="1" applyBorder="1" applyAlignment="1">
      <alignment horizontal="center"/>
    </xf>
    <xf numFmtId="0" fontId="8" fillId="0" borderId="19" xfId="0" applyFont="1" applyBorder="1" applyAlignment="1">
      <alignment horizontal="center"/>
    </xf>
    <xf numFmtId="43" fontId="8" fillId="0" borderId="17" xfId="1" applyFont="1" applyBorder="1" applyAlignment="1">
      <alignment horizontal="center"/>
    </xf>
    <xf numFmtId="43" fontId="8" fillId="0" borderId="19" xfId="1" applyFont="1" applyBorder="1" applyAlignment="1">
      <alignment horizontal="center"/>
    </xf>
    <xf numFmtId="43" fontId="8" fillId="0" borderId="21" xfId="1" applyFont="1" applyBorder="1" applyAlignment="1">
      <alignment horizontal="center"/>
    </xf>
    <xf numFmtId="43" fontId="8" fillId="0" borderId="25" xfId="1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5" fillId="0" borderId="23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43" fontId="6" fillId="6" borderId="9" xfId="1" applyFont="1" applyFill="1" applyBorder="1" applyAlignment="1">
      <alignment horizontal="center" vertical="center"/>
    </xf>
    <xf numFmtId="43" fontId="6" fillId="6" borderId="13" xfId="1" applyFont="1" applyFill="1" applyBorder="1" applyAlignment="1">
      <alignment horizontal="center" vertical="center"/>
    </xf>
    <xf numFmtId="1" fontId="8" fillId="0" borderId="15" xfId="1" applyNumberFormat="1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1" fontId="8" fillId="0" borderId="18" xfId="1" applyNumberFormat="1" applyFont="1" applyBorder="1" applyAlignment="1">
      <alignment horizontal="center"/>
    </xf>
    <xf numFmtId="43" fontId="8" fillId="0" borderId="28" xfId="1" applyFont="1" applyBorder="1" applyAlignment="1">
      <alignment horizontal="center"/>
    </xf>
    <xf numFmtId="0" fontId="8" fillId="0" borderId="18" xfId="0" applyFont="1" applyBorder="1" applyAlignment="1">
      <alignment horizontal="center" vertical="center"/>
    </xf>
    <xf numFmtId="49" fontId="8" fillId="0" borderId="19" xfId="0" applyNumberFormat="1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43" fontId="8" fillId="0" borderId="0" xfId="1" applyFont="1" applyBorder="1" applyAlignment="1">
      <alignment horizontal="center"/>
    </xf>
    <xf numFmtId="0" fontId="8" fillId="0" borderId="10" xfId="0" applyFont="1" applyBorder="1" applyAlignment="1">
      <alignment horizontal="center" vertical="center"/>
    </xf>
    <xf numFmtId="43" fontId="8" fillId="0" borderId="8" xfId="1" applyFont="1" applyBorder="1" applyAlignment="1">
      <alignment horizontal="center"/>
    </xf>
    <xf numFmtId="43" fontId="8" fillId="0" borderId="23" xfId="1" applyFont="1" applyBorder="1" applyAlignment="1">
      <alignment vertical="center"/>
    </xf>
    <xf numFmtId="0" fontId="8" fillId="0" borderId="8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43" fontId="8" fillId="0" borderId="15" xfId="1" applyFont="1" applyBorder="1" applyAlignment="1">
      <alignment horizontal="center" vertical="center"/>
    </xf>
    <xf numFmtId="43" fontId="9" fillId="0" borderId="23" xfId="1" applyFont="1" applyBorder="1" applyAlignment="1">
      <alignment horizontal="center" vertical="center"/>
    </xf>
    <xf numFmtId="0" fontId="8" fillId="0" borderId="20" xfId="0" applyFont="1" applyBorder="1" applyAlignment="1">
      <alignment vertical="center"/>
    </xf>
    <xf numFmtId="43" fontId="8" fillId="0" borderId="20" xfId="1" applyFont="1" applyBorder="1" applyAlignment="1">
      <alignment vertical="center"/>
    </xf>
    <xf numFmtId="43" fontId="8" fillId="0" borderId="19" xfId="1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49" fontId="8" fillId="0" borderId="18" xfId="0" applyNumberFormat="1" applyFont="1" applyBorder="1" applyAlignment="1">
      <alignment horizontal="center"/>
    </xf>
    <xf numFmtId="43" fontId="8" fillId="0" borderId="18" xfId="1" applyFont="1" applyBorder="1" applyAlignment="1">
      <alignment horizontal="center" vertical="center"/>
    </xf>
    <xf numFmtId="43" fontId="8" fillId="0" borderId="22" xfId="1" applyFont="1" applyBorder="1" applyAlignment="1">
      <alignment horizontal="center" vertical="center"/>
    </xf>
    <xf numFmtId="43" fontId="12" fillId="0" borderId="18" xfId="1" applyFont="1" applyBorder="1" applyAlignment="1">
      <alignment horizontal="center"/>
    </xf>
    <xf numFmtId="43" fontId="12" fillId="0" borderId="22" xfId="1" applyFont="1" applyBorder="1" applyAlignment="1">
      <alignment horizontal="center"/>
    </xf>
    <xf numFmtId="0" fontId="5" fillId="0" borderId="19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43" fontId="12" fillId="0" borderId="20" xfId="1" applyFont="1" applyBorder="1" applyAlignment="1">
      <alignment vertical="center"/>
    </xf>
    <xf numFmtId="2" fontId="9" fillId="0" borderId="23" xfId="1" applyNumberFormat="1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2" fontId="9" fillId="0" borderId="20" xfId="1" applyNumberFormat="1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1" fontId="8" fillId="0" borderId="20" xfId="1" applyNumberFormat="1" applyFont="1" applyBorder="1" applyAlignment="1">
      <alignment horizontal="center" vertical="center"/>
    </xf>
    <xf numFmtId="0" fontId="8" fillId="0" borderId="33" xfId="0" applyFont="1" applyBorder="1" applyAlignment="1">
      <alignment horizontal="center"/>
    </xf>
    <xf numFmtId="2" fontId="9" fillId="0" borderId="31" xfId="1" applyNumberFormat="1" applyFont="1" applyBorder="1" applyAlignment="1">
      <alignment horizontal="center" vertical="center"/>
    </xf>
    <xf numFmtId="43" fontId="8" fillId="0" borderId="9" xfId="1" applyFont="1" applyBorder="1" applyAlignment="1">
      <alignment horizontal="center"/>
    </xf>
    <xf numFmtId="43" fontId="8" fillId="0" borderId="9" xfId="1" applyFont="1" applyBorder="1" applyAlignment="1">
      <alignment vertical="center"/>
    </xf>
    <xf numFmtId="43" fontId="8" fillId="0" borderId="16" xfId="1" applyFont="1" applyBorder="1" applyAlignment="1">
      <alignment vertical="center"/>
    </xf>
    <xf numFmtId="0" fontId="12" fillId="0" borderId="23" xfId="0" applyFont="1" applyBorder="1" applyAlignment="1">
      <alignment horizontal="center" vertical="center"/>
    </xf>
    <xf numFmtId="43" fontId="12" fillId="0" borderId="23" xfId="1" applyFont="1" applyBorder="1" applyAlignment="1">
      <alignment vertical="center"/>
    </xf>
    <xf numFmtId="1" fontId="12" fillId="0" borderId="23" xfId="1" applyNumberFormat="1" applyFont="1" applyBorder="1" applyAlignment="1">
      <alignment horizontal="center" vertical="center"/>
    </xf>
    <xf numFmtId="1" fontId="12" fillId="0" borderId="20" xfId="1" applyNumberFormat="1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/>
    </xf>
    <xf numFmtId="0" fontId="12" fillId="0" borderId="16" xfId="0" applyFont="1" applyBorder="1" applyAlignment="1">
      <alignment horizontal="center" vertical="center"/>
    </xf>
    <xf numFmtId="43" fontId="12" fillId="0" borderId="18" xfId="1" applyFont="1" applyBorder="1" applyAlignment="1">
      <alignment horizontal="center" vertical="center"/>
    </xf>
    <xf numFmtId="43" fontId="12" fillId="0" borderId="22" xfId="1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43" fontId="8" fillId="0" borderId="16" xfId="1" applyFont="1" applyBorder="1" applyAlignment="1">
      <alignment horizontal="center" vertical="center"/>
    </xf>
    <xf numFmtId="43" fontId="9" fillId="0" borderId="16" xfId="1" applyFont="1" applyBorder="1" applyAlignment="1">
      <alignment horizontal="center" vertical="center"/>
    </xf>
    <xf numFmtId="1" fontId="8" fillId="0" borderId="16" xfId="1" applyNumberFormat="1" applyFont="1" applyBorder="1" applyAlignment="1">
      <alignment horizontal="center" vertical="center"/>
    </xf>
    <xf numFmtId="43" fontId="5" fillId="0" borderId="22" xfId="1" applyFont="1" applyBorder="1" applyAlignment="1">
      <alignment horizontal="center" vertical="center"/>
    </xf>
    <xf numFmtId="43" fontId="5" fillId="0" borderId="16" xfId="1" applyFont="1" applyBorder="1" applyAlignment="1">
      <alignment horizontal="center" vertical="center"/>
    </xf>
    <xf numFmtId="43" fontId="5" fillId="0" borderId="16" xfId="0" applyNumberFormat="1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43" fontId="5" fillId="0" borderId="21" xfId="1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43" fontId="5" fillId="0" borderId="20" xfId="1" applyFont="1" applyBorder="1" applyAlignment="1">
      <alignment horizontal="center" vertical="center"/>
    </xf>
    <xf numFmtId="43" fontId="9" fillId="0" borderId="20" xfId="1" applyFont="1" applyBorder="1" applyAlignment="1">
      <alignment horizontal="center" vertical="center"/>
    </xf>
    <xf numFmtId="43" fontId="5" fillId="0" borderId="20" xfId="0" applyNumberFormat="1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2" fontId="8" fillId="0" borderId="20" xfId="0" applyNumberFormat="1" applyFont="1" applyBorder="1" applyAlignment="1">
      <alignment horizontal="center" vertical="center"/>
    </xf>
    <xf numFmtId="43" fontId="8" fillId="0" borderId="20" xfId="1" applyFont="1" applyBorder="1" applyAlignment="1">
      <alignment horizontal="center" vertical="center"/>
    </xf>
    <xf numFmtId="2" fontId="8" fillId="0" borderId="16" xfId="0" applyNumberFormat="1" applyFont="1" applyBorder="1" applyAlignment="1">
      <alignment vertical="center"/>
    </xf>
    <xf numFmtId="43" fontId="8" fillId="0" borderId="23" xfId="1" applyFont="1" applyBorder="1" applyAlignment="1">
      <alignment horizontal="center" vertical="center"/>
    </xf>
    <xf numFmtId="43" fontId="8" fillId="0" borderId="17" xfId="1" applyFont="1" applyBorder="1" applyAlignment="1">
      <alignment horizontal="center" vertical="center"/>
    </xf>
    <xf numFmtId="43" fontId="9" fillId="0" borderId="15" xfId="1" applyFont="1" applyBorder="1" applyAlignment="1">
      <alignment horizontal="center" vertical="center"/>
    </xf>
    <xf numFmtId="188" fontId="5" fillId="0" borderId="16" xfId="0" applyNumberFormat="1" applyFont="1" applyBorder="1" applyAlignment="1">
      <alignment horizontal="center" vertical="center"/>
    </xf>
    <xf numFmtId="43" fontId="9" fillId="0" borderId="18" xfId="1" applyFont="1" applyBorder="1" applyAlignment="1">
      <alignment horizontal="center" vertical="center"/>
    </xf>
    <xf numFmtId="43" fontId="9" fillId="0" borderId="19" xfId="1" applyFont="1" applyBorder="1" applyAlignment="1">
      <alignment horizontal="center" vertical="center"/>
    </xf>
    <xf numFmtId="49" fontId="8" fillId="0" borderId="20" xfId="0" applyNumberFormat="1" applyFont="1" applyBorder="1" applyAlignment="1">
      <alignment horizontal="center" vertical="center"/>
    </xf>
    <xf numFmtId="0" fontId="8" fillId="0" borderId="16" xfId="0" applyFont="1" applyBorder="1" applyAlignment="1">
      <alignment vertical="center"/>
    </xf>
    <xf numFmtId="0" fontId="5" fillId="2" borderId="16" xfId="0" applyFont="1" applyFill="1" applyBorder="1" applyAlignment="1">
      <alignment horizontal="center" vertical="center"/>
    </xf>
    <xf numFmtId="49" fontId="9" fillId="0" borderId="18" xfId="0" applyNumberFormat="1" applyFont="1" applyBorder="1" applyAlignment="1">
      <alignment horizontal="center" vertical="center"/>
    </xf>
    <xf numFmtId="187" fontId="9" fillId="0" borderId="18" xfId="1" applyNumberFormat="1" applyFont="1" applyBorder="1" applyAlignment="1">
      <alignment horizontal="center" vertical="center"/>
    </xf>
    <xf numFmtId="49" fontId="9" fillId="0" borderId="19" xfId="0" applyNumberFormat="1" applyFont="1" applyBorder="1" applyAlignment="1">
      <alignment horizontal="center" vertical="center"/>
    </xf>
    <xf numFmtId="1" fontId="8" fillId="0" borderId="19" xfId="1" applyNumberFormat="1" applyFont="1" applyBorder="1" applyAlignment="1">
      <alignment horizontal="center" vertical="center"/>
    </xf>
    <xf numFmtId="43" fontId="5" fillId="0" borderId="18" xfId="1" applyFont="1" applyBorder="1" applyAlignment="1">
      <alignment horizontal="center" vertical="center"/>
    </xf>
    <xf numFmtId="43" fontId="5" fillId="0" borderId="19" xfId="1" applyFont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2" fontId="5" fillId="3" borderId="9" xfId="0" applyNumberFormat="1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5" fillId="4" borderId="9" xfId="0" applyFont="1" applyFill="1" applyBorder="1" applyAlignment="1">
      <alignment horizontal="center" vertical="center"/>
    </xf>
    <xf numFmtId="0" fontId="5" fillId="4" borderId="13" xfId="0" applyFont="1" applyFill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2" fontId="8" fillId="0" borderId="16" xfId="0" applyNumberFormat="1" applyFont="1" applyBorder="1" applyAlignment="1">
      <alignment horizontal="center" vertical="center"/>
    </xf>
    <xf numFmtId="49" fontId="8" fillId="0" borderId="16" xfId="0" applyNumberFormat="1" applyFont="1" applyBorder="1" applyAlignment="1">
      <alignment horizontal="center" vertical="center"/>
    </xf>
    <xf numFmtId="2" fontId="9" fillId="0" borderId="16" xfId="1" applyNumberFormat="1" applyFont="1" applyBorder="1" applyAlignment="1">
      <alignment horizontal="center" vertical="center"/>
    </xf>
    <xf numFmtId="43" fontId="8" fillId="0" borderId="9" xfId="1" applyFont="1" applyBorder="1" applyAlignment="1">
      <alignment horizontal="center" vertical="center"/>
    </xf>
    <xf numFmtId="1" fontId="8" fillId="0" borderId="9" xfId="1" applyNumberFormat="1" applyFont="1" applyBorder="1" applyAlignment="1">
      <alignment horizontal="center" vertical="center"/>
    </xf>
    <xf numFmtId="2" fontId="8" fillId="0" borderId="9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49" fontId="9" fillId="0" borderId="15" xfId="0" applyNumberFormat="1" applyFont="1" applyBorder="1" applyAlignment="1">
      <alignment horizontal="center" vertical="center"/>
    </xf>
    <xf numFmtId="187" fontId="9" fillId="0" borderId="15" xfId="1" applyNumberFormat="1" applyFont="1" applyBorder="1" applyAlignment="1">
      <alignment horizontal="center" vertical="center"/>
    </xf>
    <xf numFmtId="188" fontId="5" fillId="0" borderId="20" xfId="0" applyNumberFormat="1" applyFont="1" applyBorder="1" applyAlignment="1">
      <alignment horizontal="center" vertical="center"/>
    </xf>
    <xf numFmtId="43" fontId="8" fillId="0" borderId="21" xfId="1" applyFont="1" applyBorder="1" applyAlignment="1">
      <alignment horizontal="center" vertical="center"/>
    </xf>
    <xf numFmtId="0" fontId="5" fillId="3" borderId="2" xfId="0" applyFont="1" applyFill="1" applyBorder="1" applyAlignment="1">
      <alignment vertical="center"/>
    </xf>
    <xf numFmtId="0" fontId="5" fillId="5" borderId="8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vertical="center"/>
    </xf>
    <xf numFmtId="2" fontId="5" fillId="4" borderId="2" xfId="0" applyNumberFormat="1" applyFont="1" applyFill="1" applyBorder="1" applyAlignment="1">
      <alignment horizontal="center" vertical="center"/>
    </xf>
    <xf numFmtId="0" fontId="5" fillId="4" borderId="10" xfId="0" applyFont="1" applyFill="1" applyBorder="1" applyAlignment="1">
      <alignment horizontal="center" vertical="center"/>
    </xf>
    <xf numFmtId="0" fontId="5" fillId="5" borderId="10" xfId="0" applyFont="1" applyFill="1" applyBorder="1" applyAlignment="1">
      <alignment horizontal="center" vertical="center"/>
    </xf>
    <xf numFmtId="2" fontId="5" fillId="5" borderId="9" xfId="0" applyNumberFormat="1" applyFont="1" applyFill="1" applyBorder="1" applyAlignment="1">
      <alignment horizontal="center" vertical="center"/>
    </xf>
    <xf numFmtId="2" fontId="5" fillId="3" borderId="13" xfId="0" applyNumberFormat="1" applyFont="1" applyFill="1" applyBorder="1" applyAlignment="1">
      <alignment horizontal="center" vertical="center"/>
    </xf>
    <xf numFmtId="2" fontId="5" fillId="4" borderId="13" xfId="0" applyNumberFormat="1" applyFont="1" applyFill="1" applyBorder="1" applyAlignment="1">
      <alignment horizontal="center" vertical="center"/>
    </xf>
    <xf numFmtId="2" fontId="5" fillId="4" borderId="11" xfId="0" applyNumberFormat="1" applyFont="1" applyFill="1" applyBorder="1" applyAlignment="1">
      <alignment horizontal="center" vertical="center"/>
    </xf>
    <xf numFmtId="2" fontId="5" fillId="5" borderId="11" xfId="0" applyNumberFormat="1" applyFont="1" applyFill="1" applyBorder="1" applyAlignment="1">
      <alignment horizontal="center" vertical="center"/>
    </xf>
    <xf numFmtId="2" fontId="5" fillId="5" borderId="13" xfId="0" applyNumberFormat="1" applyFont="1" applyFill="1" applyBorder="1" applyAlignment="1">
      <alignment horizontal="center" vertical="center"/>
    </xf>
    <xf numFmtId="2" fontId="8" fillId="0" borderId="18" xfId="0" applyNumberFormat="1" applyFont="1" applyBorder="1" applyAlignment="1">
      <alignment horizontal="center" vertical="center"/>
    </xf>
    <xf numFmtId="49" fontId="8" fillId="0" borderId="19" xfId="0" applyNumberFormat="1" applyFont="1" applyBorder="1" applyAlignment="1">
      <alignment horizontal="center" vertical="center"/>
    </xf>
    <xf numFmtId="49" fontId="5" fillId="0" borderId="19" xfId="0" applyNumberFormat="1" applyFont="1" applyBorder="1" applyAlignment="1">
      <alignment horizontal="center" vertical="center"/>
    </xf>
    <xf numFmtId="49" fontId="5" fillId="0" borderId="18" xfId="0" applyNumberFormat="1" applyFont="1" applyBorder="1" applyAlignment="1">
      <alignment horizontal="center" vertical="center"/>
    </xf>
    <xf numFmtId="0" fontId="8" fillId="2" borderId="16" xfId="0" applyFont="1" applyFill="1" applyBorder="1" applyAlignment="1">
      <alignment horizontal="center" vertical="center"/>
    </xf>
    <xf numFmtId="43" fontId="8" fillId="0" borderId="16" xfId="1" applyFont="1" applyFill="1" applyBorder="1" applyAlignment="1">
      <alignment horizontal="center" vertical="center"/>
    </xf>
    <xf numFmtId="1" fontId="8" fillId="0" borderId="16" xfId="1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43" fontId="8" fillId="0" borderId="20" xfId="1" applyFont="1" applyFill="1" applyBorder="1" applyAlignment="1">
      <alignment horizontal="center" vertical="center"/>
    </xf>
    <xf numFmtId="1" fontId="8" fillId="0" borderId="20" xfId="1" applyNumberFormat="1" applyFont="1" applyFill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2" fontId="8" fillId="0" borderId="13" xfId="0" applyNumberFormat="1" applyFont="1" applyBorder="1" applyAlignment="1">
      <alignment horizontal="center" vertical="center"/>
    </xf>
    <xf numFmtId="43" fontId="8" fillId="0" borderId="13" xfId="1" applyFont="1" applyBorder="1" applyAlignment="1">
      <alignment horizontal="center" vertical="center"/>
    </xf>
    <xf numFmtId="43" fontId="8" fillId="0" borderId="13" xfId="1" applyFont="1" applyFill="1" applyBorder="1" applyAlignment="1">
      <alignment horizontal="center" vertical="center"/>
    </xf>
    <xf numFmtId="1" fontId="8" fillId="0" borderId="13" xfId="1" applyNumberFormat="1" applyFont="1" applyFill="1" applyBorder="1" applyAlignment="1">
      <alignment horizontal="center" vertical="center"/>
    </xf>
    <xf numFmtId="2" fontId="8" fillId="0" borderId="19" xfId="0" applyNumberFormat="1" applyFont="1" applyBorder="1" applyAlignment="1">
      <alignment horizontal="center" vertical="center"/>
    </xf>
    <xf numFmtId="187" fontId="9" fillId="0" borderId="19" xfId="1" applyNumberFormat="1" applyFont="1" applyBorder="1" applyAlignment="1">
      <alignment horizontal="center" vertical="center"/>
    </xf>
    <xf numFmtId="43" fontId="8" fillId="0" borderId="25" xfId="1" applyFont="1" applyBorder="1" applyAlignment="1">
      <alignment horizontal="center" vertical="center"/>
    </xf>
    <xf numFmtId="49" fontId="5" fillId="0" borderId="20" xfId="0" applyNumberFormat="1" applyFont="1" applyBorder="1" applyAlignment="1">
      <alignment horizontal="center" vertical="center"/>
    </xf>
    <xf numFmtId="4" fontId="8" fillId="0" borderId="20" xfId="0" applyNumberFormat="1" applyFont="1" applyBorder="1" applyAlignment="1">
      <alignment horizontal="right" vertical="center"/>
    </xf>
    <xf numFmtId="10" fontId="8" fillId="0" borderId="20" xfId="1" applyNumberFormat="1" applyFont="1" applyFill="1" applyBorder="1" applyAlignment="1">
      <alignment horizontal="center" vertical="center"/>
    </xf>
    <xf numFmtId="187" fontId="5" fillId="0" borderId="19" xfId="1" applyNumberFormat="1" applyFont="1" applyBorder="1" applyAlignment="1">
      <alignment horizontal="center" vertical="center"/>
    </xf>
    <xf numFmtId="43" fontId="8" fillId="0" borderId="10" xfId="1" applyFont="1" applyBorder="1" applyAlignment="1">
      <alignment horizontal="center" vertical="center"/>
    </xf>
    <xf numFmtId="49" fontId="8" fillId="0" borderId="18" xfId="0" applyNumberFormat="1" applyFont="1" applyBorder="1" applyAlignment="1">
      <alignment horizontal="center" vertical="center"/>
    </xf>
    <xf numFmtId="49" fontId="8" fillId="0" borderId="15" xfId="0" applyNumberFormat="1" applyFont="1" applyBorder="1" applyAlignment="1">
      <alignment horizontal="center" vertical="center"/>
    </xf>
    <xf numFmtId="43" fontId="8" fillId="0" borderId="28" xfId="1" applyFont="1" applyBorder="1" applyAlignment="1">
      <alignment horizontal="center" vertical="center"/>
    </xf>
    <xf numFmtId="43" fontId="8" fillId="0" borderId="27" xfId="1" applyFont="1" applyBorder="1" applyAlignment="1">
      <alignment horizontal="center" vertical="center"/>
    </xf>
    <xf numFmtId="0" fontId="5" fillId="2" borderId="20" xfId="0" applyFont="1" applyFill="1" applyBorder="1" applyAlignment="1">
      <alignment horizontal="center" vertical="center"/>
    </xf>
    <xf numFmtId="43" fontId="8" fillId="0" borderId="35" xfId="1" applyFont="1" applyBorder="1" applyAlignment="1">
      <alignment horizontal="center" vertical="center"/>
    </xf>
    <xf numFmtId="43" fontId="8" fillId="0" borderId="24" xfId="1" applyFont="1" applyBorder="1" applyAlignment="1">
      <alignment horizontal="center" vertical="center"/>
    </xf>
    <xf numFmtId="2" fontId="9" fillId="0" borderId="24" xfId="1" applyNumberFormat="1" applyFont="1" applyBorder="1" applyAlignment="1">
      <alignment horizontal="center" vertical="center"/>
    </xf>
    <xf numFmtId="43" fontId="9" fillId="0" borderId="8" xfId="1" applyFont="1" applyBorder="1" applyAlignment="1">
      <alignment horizontal="center" vertical="center"/>
    </xf>
    <xf numFmtId="43" fontId="8" fillId="0" borderId="19" xfId="1" applyFont="1" applyFill="1" applyBorder="1" applyAlignment="1">
      <alignment horizontal="center" vertical="center"/>
    </xf>
    <xf numFmtId="43" fontId="6" fillId="6" borderId="2" xfId="1" applyFont="1" applyFill="1" applyBorder="1" applyAlignment="1">
      <alignment horizontal="center" vertical="center"/>
    </xf>
    <xf numFmtId="0" fontId="7" fillId="3" borderId="9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2" fontId="7" fillId="4" borderId="4" xfId="0" applyNumberFormat="1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2" fontId="7" fillId="3" borderId="9" xfId="0" applyNumberFormat="1" applyFont="1" applyFill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/>
    </xf>
    <xf numFmtId="2" fontId="7" fillId="4" borderId="9" xfId="0" applyNumberFormat="1" applyFont="1" applyFill="1" applyBorder="1" applyAlignment="1">
      <alignment horizontal="center" vertical="center"/>
    </xf>
    <xf numFmtId="2" fontId="7" fillId="4" borderId="0" xfId="0" applyNumberFormat="1" applyFont="1" applyFill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/>
    </xf>
    <xf numFmtId="2" fontId="7" fillId="3" borderId="13" xfId="0" applyNumberFormat="1" applyFont="1" applyFill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2" fontId="7" fillId="4" borderId="13" xfId="0" applyNumberFormat="1" applyFont="1" applyFill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43" fontId="8" fillId="0" borderId="34" xfId="1" applyFont="1" applyBorder="1" applyAlignment="1">
      <alignment horizontal="center" vertical="center"/>
    </xf>
    <xf numFmtId="0" fontId="8" fillId="0" borderId="35" xfId="0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43" fontId="0" fillId="0" borderId="0" xfId="1" applyFont="1" applyAlignment="1">
      <alignment vertical="center"/>
    </xf>
    <xf numFmtId="49" fontId="11" fillId="0" borderId="0" xfId="0" applyNumberFormat="1" applyFont="1" applyAlignment="1">
      <alignment vertical="center"/>
    </xf>
    <xf numFmtId="0" fontId="8" fillId="2" borderId="24" xfId="0" applyFont="1" applyFill="1" applyBorder="1" applyAlignment="1">
      <alignment horizontal="center" vertical="center"/>
    </xf>
    <xf numFmtId="2" fontId="8" fillId="0" borderId="24" xfId="0" applyNumberFormat="1" applyFont="1" applyBorder="1" applyAlignment="1">
      <alignment horizontal="center" vertical="center"/>
    </xf>
    <xf numFmtId="43" fontId="8" fillId="0" borderId="24" xfId="1" applyFont="1" applyFill="1" applyBorder="1" applyAlignment="1">
      <alignment horizontal="center" vertical="center"/>
    </xf>
    <xf numFmtId="49" fontId="8" fillId="0" borderId="24" xfId="0" applyNumberFormat="1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43" fontId="8" fillId="0" borderId="9" xfId="1" applyFont="1" applyFill="1" applyBorder="1" applyAlignment="1">
      <alignment horizontal="center" vertical="center"/>
    </xf>
    <xf numFmtId="0" fontId="8" fillId="0" borderId="9" xfId="0" applyFont="1" applyBorder="1" applyAlignment="1">
      <alignment horizontal="left" vertical="center"/>
    </xf>
    <xf numFmtId="49" fontId="8" fillId="0" borderId="9" xfId="0" applyNumberFormat="1" applyFont="1" applyBorder="1" applyAlignment="1">
      <alignment horizontal="center" vertical="center"/>
    </xf>
    <xf numFmtId="4" fontId="8" fillId="0" borderId="9" xfId="0" applyNumberFormat="1" applyFont="1" applyBorder="1" applyAlignment="1">
      <alignment horizontal="right" vertical="center"/>
    </xf>
    <xf numFmtId="10" fontId="8" fillId="0" borderId="9" xfId="1" applyNumberFormat="1" applyFont="1" applyFill="1" applyBorder="1" applyAlignment="1">
      <alignment horizontal="center" vertical="center"/>
    </xf>
    <xf numFmtId="0" fontId="8" fillId="0" borderId="20" xfId="0" applyFont="1" applyBorder="1" applyAlignment="1">
      <alignment horizontal="left" vertical="center"/>
    </xf>
    <xf numFmtId="0" fontId="8" fillId="0" borderId="27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19" xfId="0" applyFont="1" applyBorder="1" applyAlignment="1">
      <alignment horizontal="center" vertical="center"/>
    </xf>
    <xf numFmtId="43" fontId="8" fillId="2" borderId="18" xfId="1" applyFont="1" applyFill="1" applyBorder="1" applyAlignment="1">
      <alignment horizontal="center" vertical="center"/>
    </xf>
    <xf numFmtId="43" fontId="8" fillId="0" borderId="18" xfId="1" applyFont="1" applyFill="1" applyBorder="1" applyAlignment="1">
      <alignment horizontal="center" vertical="center"/>
    </xf>
    <xf numFmtId="4" fontId="8" fillId="0" borderId="16" xfId="0" applyNumberFormat="1" applyFont="1" applyBorder="1" applyAlignment="1">
      <alignment horizontal="right" vertical="center"/>
    </xf>
    <xf numFmtId="10" fontId="8" fillId="0" borderId="16" xfId="1" applyNumberFormat="1" applyFont="1" applyFill="1" applyBorder="1" applyAlignment="1">
      <alignment horizontal="center" vertical="center"/>
    </xf>
    <xf numFmtId="43" fontId="8" fillId="0" borderId="22" xfId="1" applyFont="1" applyFill="1" applyBorder="1" applyAlignment="1">
      <alignment horizontal="center" vertical="center"/>
    </xf>
    <xf numFmtId="0" fontId="8" fillId="0" borderId="16" xfId="0" applyFont="1" applyBorder="1" applyAlignment="1">
      <alignment horizontal="left" vertical="center"/>
    </xf>
    <xf numFmtId="187" fontId="5" fillId="0" borderId="18" xfId="1" applyNumberFormat="1" applyFont="1" applyBorder="1" applyAlignment="1">
      <alignment horizontal="center" vertical="center"/>
    </xf>
    <xf numFmtId="2" fontId="5" fillId="0" borderId="20" xfId="0" applyNumberFormat="1" applyFont="1" applyBorder="1" applyAlignment="1">
      <alignment horizontal="center" vertical="center"/>
    </xf>
    <xf numFmtId="49" fontId="5" fillId="0" borderId="16" xfId="0" applyNumberFormat="1" applyFont="1" applyBorder="1" applyAlignment="1">
      <alignment horizontal="center" vertical="center"/>
    </xf>
    <xf numFmtId="43" fontId="12" fillId="0" borderId="15" xfId="1" applyFont="1" applyBorder="1" applyAlignment="1">
      <alignment horizontal="center"/>
    </xf>
    <xf numFmtId="43" fontId="12" fillId="0" borderId="17" xfId="1" applyFont="1" applyBorder="1" applyAlignment="1">
      <alignment horizontal="center"/>
    </xf>
    <xf numFmtId="0" fontId="12" fillId="0" borderId="15" xfId="0" applyFont="1" applyBorder="1" applyAlignment="1">
      <alignment horizontal="center"/>
    </xf>
    <xf numFmtId="0" fontId="12" fillId="0" borderId="18" xfId="0" applyFont="1" applyBorder="1" applyAlignment="1">
      <alignment horizontal="center"/>
    </xf>
    <xf numFmtId="43" fontId="8" fillId="0" borderId="10" xfId="1" applyFont="1" applyBorder="1" applyAlignment="1">
      <alignment horizontal="center"/>
    </xf>
    <xf numFmtId="2" fontId="8" fillId="0" borderId="19" xfId="0" applyNumberFormat="1" applyFont="1" applyBorder="1" applyAlignment="1">
      <alignment horizontal="center"/>
    </xf>
    <xf numFmtId="43" fontId="8" fillId="2" borderId="16" xfId="1" applyFont="1" applyFill="1" applyBorder="1" applyAlignment="1">
      <alignment horizontal="center"/>
    </xf>
    <xf numFmtId="0" fontId="8" fillId="0" borderId="2" xfId="0" applyFont="1" applyBorder="1" applyAlignment="1">
      <alignment horizontal="center"/>
    </xf>
    <xf numFmtId="187" fontId="8" fillId="0" borderId="18" xfId="1" applyNumberFormat="1" applyFont="1" applyBorder="1" applyAlignment="1">
      <alignment horizontal="center"/>
    </xf>
    <xf numFmtId="43" fontId="12" fillId="0" borderId="20" xfId="1" applyFont="1" applyBorder="1" applyAlignment="1">
      <alignment horizontal="center"/>
    </xf>
    <xf numFmtId="43" fontId="12" fillId="0" borderId="21" xfId="1" applyFont="1" applyBorder="1" applyAlignment="1">
      <alignment horizontal="center"/>
    </xf>
    <xf numFmtId="43" fontId="8" fillId="2" borderId="23" xfId="1" applyFont="1" applyFill="1" applyBorder="1" applyAlignment="1">
      <alignment horizontal="center"/>
    </xf>
    <xf numFmtId="2" fontId="8" fillId="0" borderId="16" xfId="1" applyNumberFormat="1" applyFont="1" applyBorder="1" applyAlignment="1">
      <alignment horizontal="center"/>
    </xf>
    <xf numFmtId="43" fontId="8" fillId="2" borderId="20" xfId="1" applyFont="1" applyFill="1" applyBorder="1" applyAlignment="1">
      <alignment horizontal="center"/>
    </xf>
    <xf numFmtId="2" fontId="12" fillId="0" borderId="19" xfId="0" applyNumberFormat="1" applyFont="1" applyBorder="1" applyAlignment="1">
      <alignment horizontal="center"/>
    </xf>
    <xf numFmtId="188" fontId="8" fillId="0" borderId="23" xfId="0" applyNumberFormat="1" applyFont="1" applyBorder="1" applyAlignment="1">
      <alignment horizontal="center"/>
    </xf>
    <xf numFmtId="0" fontId="12" fillId="0" borderId="21" xfId="0" applyFont="1" applyBorder="1" applyAlignment="1">
      <alignment horizontal="center"/>
    </xf>
    <xf numFmtId="0" fontId="12" fillId="0" borderId="19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2" borderId="18" xfId="0" applyFont="1" applyFill="1" applyBorder="1" applyAlignment="1">
      <alignment horizontal="center" vertical="center"/>
    </xf>
    <xf numFmtId="188" fontId="8" fillId="0" borderId="2" xfId="0" applyNumberFormat="1" applyFont="1" applyBorder="1" applyAlignment="1">
      <alignment horizontal="center"/>
    </xf>
    <xf numFmtId="0" fontId="12" fillId="0" borderId="20" xfId="0" applyFont="1" applyBorder="1" applyAlignment="1">
      <alignment horizontal="center"/>
    </xf>
    <xf numFmtId="2" fontId="8" fillId="2" borderId="16" xfId="0" applyNumberFormat="1" applyFont="1" applyFill="1" applyBorder="1" applyAlignment="1">
      <alignment horizontal="center" vertical="center"/>
    </xf>
    <xf numFmtId="43" fontId="8" fillId="2" borderId="16" xfId="1" applyFont="1" applyFill="1" applyBorder="1" applyAlignment="1">
      <alignment horizontal="center" vertical="center"/>
    </xf>
    <xf numFmtId="49" fontId="8" fillId="2" borderId="16" xfId="0" applyNumberFormat="1" applyFont="1" applyFill="1" applyBorder="1" applyAlignment="1">
      <alignment horizontal="center" vertical="center"/>
    </xf>
    <xf numFmtId="1" fontId="8" fillId="2" borderId="16" xfId="1" applyNumberFormat="1" applyFont="1" applyFill="1" applyBorder="1" applyAlignment="1">
      <alignment horizontal="center" vertical="center"/>
    </xf>
    <xf numFmtId="43" fontId="8" fillId="0" borderId="4" xfId="1" applyFont="1" applyBorder="1" applyAlignment="1">
      <alignment horizontal="center"/>
    </xf>
    <xf numFmtId="43" fontId="8" fillId="2" borderId="22" xfId="1" applyFont="1" applyFill="1" applyBorder="1" applyAlignment="1">
      <alignment horizontal="center" vertical="center"/>
    </xf>
    <xf numFmtId="43" fontId="8" fillId="2" borderId="20" xfId="1" applyFont="1" applyFill="1" applyBorder="1" applyAlignment="1">
      <alignment horizontal="center" vertical="center"/>
    </xf>
    <xf numFmtId="0" fontId="8" fillId="2" borderId="19" xfId="0" applyFont="1" applyFill="1" applyBorder="1" applyAlignment="1">
      <alignment horizontal="center" vertical="center"/>
    </xf>
    <xf numFmtId="43" fontId="12" fillId="0" borderId="19" xfId="1" applyFont="1" applyBorder="1" applyAlignment="1">
      <alignment horizontal="center"/>
    </xf>
    <xf numFmtId="187" fontId="8" fillId="0" borderId="19" xfId="1" applyNumberFormat="1" applyFont="1" applyBorder="1" applyAlignment="1">
      <alignment horizontal="center"/>
    </xf>
    <xf numFmtId="188" fontId="8" fillId="0" borderId="16" xfId="0" applyNumberFormat="1" applyFont="1" applyBorder="1" applyAlignment="1">
      <alignment horizontal="center"/>
    </xf>
    <xf numFmtId="49" fontId="12" fillId="0" borderId="19" xfId="0" applyNumberFormat="1" applyFont="1" applyBorder="1" applyAlignment="1">
      <alignment horizontal="center"/>
    </xf>
    <xf numFmtId="1" fontId="12" fillId="0" borderId="19" xfId="1" applyNumberFormat="1" applyFont="1" applyBorder="1" applyAlignment="1">
      <alignment horizontal="center"/>
    </xf>
    <xf numFmtId="0" fontId="12" fillId="0" borderId="16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12" fillId="0" borderId="9" xfId="0" applyFont="1" applyBorder="1" applyAlignment="1">
      <alignment horizontal="center"/>
    </xf>
    <xf numFmtId="187" fontId="8" fillId="0" borderId="16" xfId="1" applyNumberFormat="1" applyFont="1" applyBorder="1" applyAlignment="1">
      <alignment horizontal="center"/>
    </xf>
    <xf numFmtId="0" fontId="8" fillId="0" borderId="21" xfId="0" applyFont="1" applyBorder="1" applyAlignment="1">
      <alignment horizontal="center"/>
    </xf>
    <xf numFmtId="2" fontId="8" fillId="0" borderId="20" xfId="1" applyNumberFormat="1" applyFont="1" applyBorder="1" applyAlignment="1">
      <alignment horizontal="center"/>
    </xf>
    <xf numFmtId="2" fontId="8" fillId="0" borderId="18" xfId="1" applyNumberFormat="1" applyFont="1" applyBorder="1" applyAlignment="1">
      <alignment horizontal="center"/>
    </xf>
    <xf numFmtId="0" fontId="8" fillId="0" borderId="22" xfId="0" applyFont="1" applyBorder="1" applyAlignment="1">
      <alignment horizontal="center"/>
    </xf>
    <xf numFmtId="43" fontId="8" fillId="2" borderId="19" xfId="1" applyFont="1" applyFill="1" applyBorder="1" applyAlignment="1">
      <alignment horizontal="center" vertical="center"/>
    </xf>
    <xf numFmtId="189" fontId="8" fillId="0" borderId="18" xfId="2" applyFont="1" applyBorder="1" applyAlignment="1">
      <alignment horizontal="center"/>
    </xf>
    <xf numFmtId="189" fontId="8" fillId="0" borderId="22" xfId="2" applyFont="1" applyBorder="1" applyAlignment="1">
      <alignment horizontal="center"/>
    </xf>
    <xf numFmtId="1" fontId="8" fillId="0" borderId="19" xfId="2" applyNumberFormat="1" applyFont="1" applyBorder="1" applyAlignment="1">
      <alignment horizontal="center"/>
    </xf>
    <xf numFmtId="189" fontId="8" fillId="0" borderId="19" xfId="2" applyFont="1" applyBorder="1" applyAlignment="1">
      <alignment horizontal="center"/>
    </xf>
    <xf numFmtId="1" fontId="8" fillId="0" borderId="18" xfId="2" applyNumberFormat="1" applyFont="1" applyBorder="1" applyAlignment="1">
      <alignment horizontal="center"/>
    </xf>
    <xf numFmtId="189" fontId="8" fillId="0" borderId="8" xfId="2" applyFont="1" applyBorder="1" applyAlignment="1">
      <alignment horizontal="center"/>
    </xf>
    <xf numFmtId="189" fontId="8" fillId="0" borderId="15" xfId="2" applyFont="1" applyBorder="1" applyAlignment="1">
      <alignment horizontal="center"/>
    </xf>
    <xf numFmtId="189" fontId="8" fillId="0" borderId="17" xfId="2" applyFont="1" applyBorder="1" applyAlignment="1">
      <alignment horizontal="center"/>
    </xf>
    <xf numFmtId="189" fontId="8" fillId="0" borderId="21" xfId="2" applyFont="1" applyBorder="1" applyAlignment="1">
      <alignment horizontal="center"/>
    </xf>
    <xf numFmtId="189" fontId="8" fillId="0" borderId="20" xfId="2" applyFont="1" applyBorder="1" applyAlignment="1">
      <alignment horizontal="center"/>
    </xf>
    <xf numFmtId="189" fontId="8" fillId="0" borderId="16" xfId="2" applyFont="1" applyBorder="1" applyAlignment="1">
      <alignment horizontal="center"/>
    </xf>
    <xf numFmtId="49" fontId="5" fillId="0" borderId="15" xfId="0" applyNumberFormat="1" applyFont="1" applyBorder="1" applyAlignment="1">
      <alignment horizontal="center"/>
    </xf>
    <xf numFmtId="189" fontId="5" fillId="0" borderId="15" xfId="2" applyFont="1" applyBorder="1" applyAlignment="1">
      <alignment horizontal="center"/>
    </xf>
    <xf numFmtId="1" fontId="8" fillId="0" borderId="15" xfId="2" applyNumberFormat="1" applyFont="1" applyBorder="1" applyAlignment="1">
      <alignment horizontal="center"/>
    </xf>
    <xf numFmtId="189" fontId="8" fillId="0" borderId="23" xfId="2" applyFont="1" applyBorder="1" applyAlignment="1">
      <alignment horizontal="center"/>
    </xf>
    <xf numFmtId="189" fontId="8" fillId="0" borderId="28" xfId="2" applyFont="1" applyBorder="1" applyAlignment="1">
      <alignment horizontal="center"/>
    </xf>
    <xf numFmtId="189" fontId="8" fillId="0" borderId="25" xfId="2" applyFont="1" applyBorder="1" applyAlignment="1">
      <alignment horizontal="center"/>
    </xf>
    <xf numFmtId="0" fontId="8" fillId="2" borderId="15" xfId="0" applyFont="1" applyFill="1" applyBorder="1" applyAlignment="1">
      <alignment horizontal="center" vertical="center"/>
    </xf>
    <xf numFmtId="43" fontId="8" fillId="2" borderId="21" xfId="1" applyFont="1" applyFill="1" applyBorder="1" applyAlignment="1">
      <alignment horizontal="center" vertical="center"/>
    </xf>
    <xf numFmtId="2" fontId="8" fillId="2" borderId="20" xfId="0" applyNumberFormat="1" applyFont="1" applyFill="1" applyBorder="1" applyAlignment="1">
      <alignment horizontal="center" vertical="center"/>
    </xf>
    <xf numFmtId="49" fontId="8" fillId="2" borderId="20" xfId="0" applyNumberFormat="1" applyFont="1" applyFill="1" applyBorder="1" applyAlignment="1">
      <alignment horizontal="center" vertical="center"/>
    </xf>
    <xf numFmtId="1" fontId="8" fillId="2" borderId="20" xfId="1" applyNumberFormat="1" applyFont="1" applyFill="1" applyBorder="1" applyAlignment="1">
      <alignment horizontal="center" vertical="center"/>
    </xf>
    <xf numFmtId="189" fontId="5" fillId="0" borderId="23" xfId="2" applyFont="1" applyBorder="1" applyAlignment="1">
      <alignment horizontal="center"/>
    </xf>
    <xf numFmtId="2" fontId="8" fillId="0" borderId="23" xfId="0" applyNumberFormat="1" applyFont="1" applyBorder="1" applyAlignment="1">
      <alignment horizontal="center"/>
    </xf>
    <xf numFmtId="189" fontId="12" fillId="0" borderId="18" xfId="2" applyFont="1" applyBorder="1" applyAlignment="1">
      <alignment horizontal="center"/>
    </xf>
    <xf numFmtId="189" fontId="12" fillId="0" borderId="19" xfId="2" applyFont="1" applyBorder="1" applyAlignment="1">
      <alignment horizontal="center"/>
    </xf>
    <xf numFmtId="189" fontId="12" fillId="0" borderId="22" xfId="2" applyFont="1" applyBorder="1" applyAlignment="1">
      <alignment horizontal="center"/>
    </xf>
    <xf numFmtId="1" fontId="12" fillId="0" borderId="19" xfId="2" applyNumberFormat="1" applyFont="1" applyBorder="1" applyAlignment="1">
      <alignment horizontal="center"/>
    </xf>
    <xf numFmtId="189" fontId="12" fillId="0" borderId="20" xfId="2" applyFont="1" applyBorder="1" applyAlignment="1">
      <alignment horizontal="center"/>
    </xf>
    <xf numFmtId="0" fontId="12" fillId="2" borderId="16" xfId="0" applyFont="1" applyFill="1" applyBorder="1" applyAlignment="1">
      <alignment horizontal="center"/>
    </xf>
    <xf numFmtId="2" fontId="12" fillId="0" borderId="16" xfId="0" applyNumberFormat="1" applyFont="1" applyBorder="1" applyAlignment="1">
      <alignment horizontal="center"/>
    </xf>
    <xf numFmtId="189" fontId="12" fillId="0" borderId="23" xfId="2" applyFont="1" applyBorder="1" applyAlignment="1">
      <alignment horizontal="center"/>
    </xf>
    <xf numFmtId="189" fontId="12" fillId="0" borderId="15" xfId="2" applyFont="1" applyBorder="1" applyAlignment="1">
      <alignment horizontal="center"/>
    </xf>
    <xf numFmtId="189" fontId="12" fillId="0" borderId="28" xfId="2" applyFont="1" applyBorder="1" applyAlignment="1">
      <alignment horizontal="center"/>
    </xf>
    <xf numFmtId="189" fontId="12" fillId="0" borderId="21" xfId="2" applyFont="1" applyBorder="1" applyAlignment="1">
      <alignment horizontal="center"/>
    </xf>
    <xf numFmtId="189" fontId="12" fillId="0" borderId="16" xfId="2" applyFont="1" applyBorder="1" applyAlignment="1">
      <alignment horizontal="center"/>
    </xf>
    <xf numFmtId="189" fontId="12" fillId="0" borderId="17" xfId="2" applyFont="1" applyBorder="1" applyAlignment="1">
      <alignment horizontal="center"/>
    </xf>
    <xf numFmtId="0" fontId="12" fillId="0" borderId="23" xfId="0" applyFont="1" applyBorder="1" applyAlignment="1">
      <alignment horizontal="center"/>
    </xf>
    <xf numFmtId="49" fontId="12" fillId="0" borderId="18" xfId="0" applyNumberFormat="1" applyFont="1" applyBorder="1" applyAlignment="1">
      <alignment horizontal="center"/>
    </xf>
    <xf numFmtId="2" fontId="12" fillId="0" borderId="15" xfId="0" applyNumberFormat="1" applyFont="1" applyBorder="1" applyAlignment="1">
      <alignment horizontal="center"/>
    </xf>
    <xf numFmtId="49" fontId="12" fillId="0" borderId="15" xfId="0" applyNumberFormat="1" applyFont="1" applyBorder="1" applyAlignment="1">
      <alignment horizontal="center"/>
    </xf>
    <xf numFmtId="191" fontId="8" fillId="0" borderId="18" xfId="2" applyNumberFormat="1" applyFont="1" applyBorder="1" applyAlignment="1">
      <alignment horizontal="center"/>
    </xf>
    <xf numFmtId="0" fontId="17" fillId="2" borderId="0" xfId="0" applyFont="1" applyFill="1" applyAlignment="1">
      <alignment vertical="center"/>
    </xf>
    <xf numFmtId="0" fontId="18" fillId="2" borderId="0" xfId="0" applyFont="1" applyFill="1" applyAlignment="1">
      <alignment vertical="center"/>
    </xf>
    <xf numFmtId="0" fontId="12" fillId="8" borderId="9" xfId="0" applyFont="1" applyFill="1" applyBorder="1" applyAlignment="1">
      <alignment horizontal="center" vertical="center"/>
    </xf>
    <xf numFmtId="0" fontId="12" fillId="8" borderId="13" xfId="0" applyFont="1" applyFill="1" applyBorder="1" applyAlignment="1">
      <alignment horizontal="center" vertical="center"/>
    </xf>
    <xf numFmtId="4" fontId="8" fillId="2" borderId="16" xfId="0" applyNumberFormat="1" applyFont="1" applyFill="1" applyBorder="1" applyAlignment="1">
      <alignment vertical="center"/>
    </xf>
    <xf numFmtId="0" fontId="15" fillId="2" borderId="0" xfId="0" applyFont="1" applyFill="1" applyAlignment="1">
      <alignment vertical="center"/>
    </xf>
    <xf numFmtId="0" fontId="18" fillId="0" borderId="0" xfId="0" applyFont="1" applyAlignment="1">
      <alignment vertical="center"/>
    </xf>
    <xf numFmtId="0" fontId="19" fillId="0" borderId="1" xfId="0" applyFont="1" applyBorder="1" applyAlignment="1">
      <alignment vertical="center"/>
    </xf>
    <xf numFmtId="0" fontId="12" fillId="7" borderId="2" xfId="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horizontal="center" vertical="center"/>
    </xf>
    <xf numFmtId="0" fontId="12" fillId="7" borderId="13" xfId="0" applyFont="1" applyFill="1" applyBorder="1" applyAlignment="1">
      <alignment horizontal="center" vertical="center"/>
    </xf>
    <xf numFmtId="4" fontId="8" fillId="0" borderId="13" xfId="0" applyNumberFormat="1" applyFont="1" applyBorder="1" applyAlignment="1">
      <alignment vertical="center"/>
    </xf>
    <xf numFmtId="4" fontId="8" fillId="0" borderId="16" xfId="0" applyNumberFormat="1" applyFont="1" applyBorder="1" applyAlignment="1">
      <alignment vertical="center"/>
    </xf>
    <xf numFmtId="4" fontId="8" fillId="0" borderId="20" xfId="0" applyNumberFormat="1" applyFont="1" applyBorder="1" applyAlignment="1">
      <alignment vertical="center"/>
    </xf>
    <xf numFmtId="0" fontId="15" fillId="0" borderId="0" xfId="0" applyFont="1" applyAlignment="1">
      <alignment vertical="center"/>
    </xf>
    <xf numFmtId="4" fontId="8" fillId="0" borderId="23" xfId="0" applyNumberFormat="1" applyFont="1" applyBorder="1" applyAlignment="1">
      <alignment vertical="center"/>
    </xf>
    <xf numFmtId="4" fontId="8" fillId="2" borderId="20" xfId="0" applyNumberFormat="1" applyFont="1" applyFill="1" applyBorder="1" applyAlignment="1">
      <alignment vertical="center"/>
    </xf>
    <xf numFmtId="191" fontId="5" fillId="2" borderId="23" xfId="2" applyNumberFormat="1" applyFont="1" applyFill="1" applyBorder="1" applyAlignment="1">
      <alignment horizontal="center"/>
    </xf>
    <xf numFmtId="43" fontId="8" fillId="2" borderId="15" xfId="1" applyFont="1" applyFill="1" applyBorder="1" applyAlignment="1">
      <alignment horizontal="center" vertical="center"/>
    </xf>
    <xf numFmtId="43" fontId="8" fillId="2" borderId="17" xfId="1" applyFont="1" applyFill="1" applyBorder="1" applyAlignment="1">
      <alignment horizontal="center" vertical="center"/>
    </xf>
    <xf numFmtId="0" fontId="8" fillId="2" borderId="23" xfId="0" applyFont="1" applyFill="1" applyBorder="1" applyAlignment="1">
      <alignment horizontal="center" vertical="center"/>
    </xf>
    <xf numFmtId="4" fontId="8" fillId="0" borderId="24" xfId="0" applyNumberFormat="1" applyFont="1" applyBorder="1" applyAlignment="1">
      <alignment vertical="center"/>
    </xf>
    <xf numFmtId="0" fontId="8" fillId="3" borderId="2" xfId="0" applyFont="1" applyFill="1" applyBorder="1" applyAlignment="1">
      <alignment vertical="center"/>
    </xf>
    <xf numFmtId="0" fontId="8" fillId="4" borderId="6" xfId="0" applyFont="1" applyFill="1" applyBorder="1" applyAlignment="1">
      <alignment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vertical="center"/>
    </xf>
    <xf numFmtId="43" fontId="12" fillId="6" borderId="2" xfId="1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vertical="center"/>
    </xf>
    <xf numFmtId="0" fontId="22" fillId="3" borderId="9" xfId="0" applyFont="1" applyFill="1" applyBorder="1" applyAlignment="1">
      <alignment horizontal="center" vertical="center"/>
    </xf>
    <xf numFmtId="0" fontId="22" fillId="3" borderId="2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2" fontId="8" fillId="4" borderId="2" xfId="0" applyNumberFormat="1" applyFont="1" applyFill="1" applyBorder="1" applyAlignment="1">
      <alignment horizontal="center" vertical="center"/>
    </xf>
    <xf numFmtId="2" fontId="22" fillId="4" borderId="4" xfId="0" applyNumberFormat="1" applyFont="1" applyFill="1" applyBorder="1" applyAlignment="1">
      <alignment horizontal="center" vertical="center"/>
    </xf>
    <xf numFmtId="0" fontId="22" fillId="4" borderId="2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8" fillId="5" borderId="10" xfId="0" applyFont="1" applyFill="1" applyBorder="1" applyAlignment="1">
      <alignment horizontal="center" vertical="center"/>
    </xf>
    <xf numFmtId="0" fontId="8" fillId="5" borderId="9" xfId="0" applyFont="1" applyFill="1" applyBorder="1" applyAlignment="1">
      <alignment horizontal="center" vertical="center"/>
    </xf>
    <xf numFmtId="43" fontId="12" fillId="6" borderId="9" xfId="1" applyFont="1" applyFill="1" applyBorder="1" applyAlignment="1">
      <alignment horizontal="center" vertical="center"/>
    </xf>
    <xf numFmtId="2" fontId="22" fillId="3" borderId="9" xfId="0" applyNumberFormat="1" applyFont="1" applyFill="1" applyBorder="1" applyAlignment="1">
      <alignment horizontal="center" vertical="center"/>
    </xf>
    <xf numFmtId="2" fontId="8" fillId="3" borderId="9" xfId="0" applyNumberFormat="1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22" fillId="4" borderId="9" xfId="0" applyFont="1" applyFill="1" applyBorder="1" applyAlignment="1">
      <alignment horizontal="center" vertical="center"/>
    </xf>
    <xf numFmtId="2" fontId="22" fillId="4" borderId="9" xfId="0" applyNumberFormat="1" applyFont="1" applyFill="1" applyBorder="1" applyAlignment="1">
      <alignment horizontal="center" vertical="center"/>
    </xf>
    <xf numFmtId="2" fontId="22" fillId="4" borderId="0" xfId="0" applyNumberFormat="1" applyFont="1" applyFill="1" applyAlignment="1">
      <alignment horizontal="center" vertical="center"/>
    </xf>
    <xf numFmtId="2" fontId="8" fillId="4" borderId="9" xfId="0" applyNumberFormat="1" applyFont="1" applyFill="1" applyBorder="1" applyAlignment="1">
      <alignment horizontal="center" vertical="center"/>
    </xf>
    <xf numFmtId="0" fontId="22" fillId="4" borderId="8" xfId="0" applyFont="1" applyFill="1" applyBorder="1" applyAlignment="1">
      <alignment horizontal="center" vertical="center"/>
    </xf>
    <xf numFmtId="0" fontId="22" fillId="4" borderId="10" xfId="0" applyFont="1" applyFill="1" applyBorder="1" applyAlignment="1">
      <alignment horizontal="center" vertical="center"/>
    </xf>
    <xf numFmtId="2" fontId="8" fillId="5" borderId="9" xfId="0" applyNumberFormat="1" applyFont="1" applyFill="1" applyBorder="1" applyAlignment="1">
      <alignment horizontal="center" vertical="center"/>
    </xf>
    <xf numFmtId="0" fontId="8" fillId="3" borderId="13" xfId="0" applyFont="1" applyFill="1" applyBorder="1" applyAlignment="1">
      <alignment horizontal="center" vertical="center"/>
    </xf>
    <xf numFmtId="0" fontId="8" fillId="3" borderId="13" xfId="0" applyFont="1" applyFill="1" applyBorder="1" applyAlignment="1">
      <alignment vertical="center"/>
    </xf>
    <xf numFmtId="2" fontId="8" fillId="3" borderId="13" xfId="0" applyNumberFormat="1" applyFont="1" applyFill="1" applyBorder="1" applyAlignment="1">
      <alignment vertical="center"/>
    </xf>
    <xf numFmtId="2" fontId="22" fillId="3" borderId="13" xfId="0" applyNumberFormat="1" applyFont="1" applyFill="1" applyBorder="1" applyAlignment="1">
      <alignment horizontal="center" vertical="center"/>
    </xf>
    <xf numFmtId="2" fontId="8" fillId="3" borderId="13" xfId="0" applyNumberFormat="1" applyFont="1" applyFill="1" applyBorder="1" applyAlignment="1">
      <alignment horizontal="center" vertical="center"/>
    </xf>
    <xf numFmtId="0" fontId="8" fillId="4" borderId="13" xfId="0" applyFont="1" applyFill="1" applyBorder="1" applyAlignment="1">
      <alignment horizontal="center" vertical="center"/>
    </xf>
    <xf numFmtId="0" fontId="22" fillId="4" borderId="13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/>
    </xf>
    <xf numFmtId="2" fontId="22" fillId="4" borderId="13" xfId="0" applyNumberFormat="1" applyFont="1" applyFill="1" applyBorder="1" applyAlignment="1">
      <alignment horizontal="center" vertical="center"/>
    </xf>
    <xf numFmtId="2" fontId="8" fillId="4" borderId="13" xfId="0" applyNumberFormat="1" applyFont="1" applyFill="1" applyBorder="1" applyAlignment="1">
      <alignment horizontal="center" vertical="center"/>
    </xf>
    <xf numFmtId="2" fontId="8" fillId="4" borderId="11" xfId="0" applyNumberFormat="1" applyFont="1" applyFill="1" applyBorder="1" applyAlignment="1">
      <alignment horizontal="center" vertical="center"/>
    </xf>
    <xf numFmtId="2" fontId="8" fillId="5" borderId="11" xfId="0" applyNumberFormat="1" applyFont="1" applyFill="1" applyBorder="1" applyAlignment="1">
      <alignment horizontal="center" vertical="center"/>
    </xf>
    <xf numFmtId="2" fontId="8" fillId="5" borderId="13" xfId="0" applyNumberFormat="1" applyFont="1" applyFill="1" applyBorder="1" applyAlignment="1">
      <alignment horizontal="center" vertical="center"/>
    </xf>
    <xf numFmtId="0" fontId="8" fillId="5" borderId="13" xfId="0" applyFont="1" applyFill="1" applyBorder="1" applyAlignment="1">
      <alignment horizontal="center" vertical="center"/>
    </xf>
    <xf numFmtId="43" fontId="12" fillId="6" borderId="13" xfId="1" applyFont="1" applyFill="1" applyBorder="1" applyAlignment="1">
      <alignment horizontal="center" vertical="center"/>
    </xf>
    <xf numFmtId="191" fontId="8" fillId="2" borderId="23" xfId="2" applyNumberFormat="1" applyFont="1" applyFill="1" applyBorder="1" applyAlignment="1">
      <alignment horizontal="center"/>
    </xf>
    <xf numFmtId="2" fontId="8" fillId="0" borderId="23" xfId="2" applyNumberFormat="1" applyFont="1" applyBorder="1" applyAlignment="1">
      <alignment horizontal="center"/>
    </xf>
    <xf numFmtId="43" fontId="8" fillId="0" borderId="2" xfId="1" applyFont="1" applyBorder="1" applyAlignment="1">
      <alignment horizontal="right" vertical="center"/>
    </xf>
    <xf numFmtId="188" fontId="8" fillId="0" borderId="16" xfId="0" applyNumberFormat="1" applyFont="1" applyBorder="1" applyAlignment="1">
      <alignment horizontal="center" vertical="center"/>
    </xf>
    <xf numFmtId="187" fontId="8" fillId="0" borderId="18" xfId="1" applyNumberFormat="1" applyFont="1" applyBorder="1" applyAlignment="1">
      <alignment horizontal="center" vertical="center"/>
    </xf>
    <xf numFmtId="2" fontId="8" fillId="0" borderId="16" xfId="1" applyNumberFormat="1" applyFont="1" applyBorder="1" applyAlignment="1">
      <alignment horizontal="center" vertical="center"/>
    </xf>
    <xf numFmtId="43" fontId="8" fillId="0" borderId="20" xfId="1" applyFont="1" applyBorder="1" applyAlignment="1">
      <alignment horizontal="right" vertical="center"/>
    </xf>
    <xf numFmtId="0" fontId="12" fillId="0" borderId="21" xfId="0" applyFont="1" applyBorder="1" applyAlignment="1">
      <alignment horizontal="center" vertical="center"/>
    </xf>
    <xf numFmtId="2" fontId="12" fillId="0" borderId="20" xfId="0" applyNumberFormat="1" applyFont="1" applyBorder="1" applyAlignment="1">
      <alignment horizontal="center" vertical="center"/>
    </xf>
    <xf numFmtId="187" fontId="8" fillId="0" borderId="19" xfId="1" applyNumberFormat="1" applyFont="1" applyBorder="1" applyAlignment="1">
      <alignment horizontal="center" vertical="center"/>
    </xf>
    <xf numFmtId="2" fontId="8" fillId="0" borderId="20" xfId="1" applyNumberFormat="1" applyFont="1" applyBorder="1" applyAlignment="1">
      <alignment horizontal="center" vertical="center"/>
    </xf>
    <xf numFmtId="43" fontId="8" fillId="0" borderId="26" xfId="1" applyFont="1" applyBorder="1" applyAlignment="1">
      <alignment horizontal="right" vertical="center"/>
    </xf>
    <xf numFmtId="43" fontId="8" fillId="0" borderId="9" xfId="1" applyFont="1" applyBorder="1" applyAlignment="1">
      <alignment horizontal="right" vertical="center"/>
    </xf>
    <xf numFmtId="2" fontId="8" fillId="0" borderId="31" xfId="1" applyNumberFormat="1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188" fontId="8" fillId="0" borderId="24" xfId="0" applyNumberFormat="1" applyFont="1" applyBorder="1" applyAlignment="1">
      <alignment horizontal="center" vertical="center"/>
    </xf>
    <xf numFmtId="49" fontId="8" fillId="0" borderId="35" xfId="0" applyNumberFormat="1" applyFont="1" applyBorder="1" applyAlignment="1">
      <alignment horizontal="center" vertical="center"/>
    </xf>
    <xf numFmtId="187" fontId="8" fillId="0" borderId="35" xfId="1" applyNumberFormat="1" applyFont="1" applyBorder="1" applyAlignment="1">
      <alignment horizontal="center" vertical="center"/>
    </xf>
    <xf numFmtId="2" fontId="8" fillId="0" borderId="24" xfId="1" applyNumberFormat="1" applyFont="1" applyBorder="1" applyAlignment="1">
      <alignment horizontal="center" vertical="center"/>
    </xf>
    <xf numFmtId="43" fontId="8" fillId="0" borderId="24" xfId="1" applyFont="1" applyBorder="1" applyAlignment="1">
      <alignment horizontal="right" vertical="center"/>
    </xf>
    <xf numFmtId="0" fontId="25" fillId="0" borderId="0" xfId="0" applyFont="1" applyAlignment="1">
      <alignment vertical="center"/>
    </xf>
    <xf numFmtId="43" fontId="15" fillId="0" borderId="0" xfId="1" applyFont="1" applyAlignment="1">
      <alignment vertical="center"/>
    </xf>
    <xf numFmtId="49" fontId="25" fillId="0" borderId="0" xfId="0" applyNumberFormat="1" applyFont="1" applyAlignment="1">
      <alignment vertical="center"/>
    </xf>
    <xf numFmtId="0" fontId="26" fillId="0" borderId="0" xfId="0" applyFont="1" applyAlignment="1">
      <alignment vertical="center"/>
    </xf>
    <xf numFmtId="43" fontId="26" fillId="0" borderId="0" xfId="1" applyFont="1" applyAlignment="1">
      <alignment vertical="center"/>
    </xf>
    <xf numFmtId="0" fontId="27" fillId="0" borderId="0" xfId="0" applyFont="1" applyAlignment="1">
      <alignment vertical="center"/>
    </xf>
    <xf numFmtId="49" fontId="27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43" fontId="20" fillId="0" borderId="0" xfId="1" applyFont="1" applyAlignment="1">
      <alignment vertical="center"/>
    </xf>
    <xf numFmtId="0" fontId="9" fillId="0" borderId="0" xfId="0" applyFont="1" applyAlignment="1">
      <alignment vertical="center"/>
    </xf>
    <xf numFmtId="43" fontId="9" fillId="0" borderId="0" xfId="1" applyFont="1" applyAlignment="1">
      <alignment vertical="center"/>
    </xf>
    <xf numFmtId="49" fontId="9" fillId="0" borderId="0" xfId="0" applyNumberFormat="1" applyFont="1" applyAlignment="1">
      <alignment vertical="center"/>
    </xf>
    <xf numFmtId="187" fontId="12" fillId="0" borderId="19" xfId="1" applyNumberFormat="1" applyFont="1" applyBorder="1" applyAlignment="1">
      <alignment horizontal="center"/>
    </xf>
    <xf numFmtId="187" fontId="8" fillId="0" borderId="16" xfId="1" applyNumberFormat="1" applyFont="1" applyFill="1" applyBorder="1" applyAlignment="1">
      <alignment horizontal="center" vertical="center"/>
    </xf>
    <xf numFmtId="187" fontId="8" fillId="0" borderId="13" xfId="1" applyNumberFormat="1" applyFont="1" applyFill="1" applyBorder="1" applyAlignment="1">
      <alignment horizontal="center" vertical="center"/>
    </xf>
    <xf numFmtId="187" fontId="8" fillId="0" borderId="24" xfId="1" applyNumberFormat="1" applyFont="1" applyFill="1" applyBorder="1" applyAlignment="1">
      <alignment horizontal="center" vertical="center"/>
    </xf>
    <xf numFmtId="187" fontId="8" fillId="0" borderId="20" xfId="1" applyNumberFormat="1" applyFont="1" applyBorder="1" applyAlignment="1">
      <alignment horizontal="center" vertical="center"/>
    </xf>
    <xf numFmtId="187" fontId="8" fillId="0" borderId="16" xfId="1" applyNumberFormat="1" applyFont="1" applyBorder="1" applyAlignment="1">
      <alignment vertical="center"/>
    </xf>
    <xf numFmtId="187" fontId="8" fillId="0" borderId="16" xfId="1" applyNumberFormat="1" applyFont="1" applyBorder="1" applyAlignment="1">
      <alignment horizontal="center" vertical="center"/>
    </xf>
    <xf numFmtId="187" fontId="8" fillId="0" borderId="23" xfId="1" applyNumberFormat="1" applyFont="1" applyBorder="1" applyAlignment="1">
      <alignment horizontal="center" vertical="center"/>
    </xf>
    <xf numFmtId="187" fontId="8" fillId="0" borderId="15" xfId="1" applyNumberFormat="1" applyFont="1" applyBorder="1" applyAlignment="1">
      <alignment horizontal="center" vertical="center"/>
    </xf>
    <xf numFmtId="187" fontId="8" fillId="0" borderId="20" xfId="1" applyNumberFormat="1" applyFont="1" applyFill="1" applyBorder="1" applyAlignment="1">
      <alignment horizontal="center" vertical="center"/>
    </xf>
    <xf numFmtId="187" fontId="8" fillId="0" borderId="20" xfId="1" applyNumberFormat="1" applyFont="1" applyBorder="1" applyAlignment="1">
      <alignment vertical="center"/>
    </xf>
    <xf numFmtId="187" fontId="12" fillId="0" borderId="15" xfId="1" applyNumberFormat="1" applyFont="1" applyBorder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2" fontId="5" fillId="0" borderId="16" xfId="0" applyNumberFormat="1" applyFont="1" applyBorder="1" applyAlignment="1">
      <alignment horizontal="center" vertical="center"/>
    </xf>
    <xf numFmtId="4" fontId="9" fillId="0" borderId="16" xfId="0" applyNumberFormat="1" applyFont="1" applyBorder="1" applyAlignment="1">
      <alignment vertical="center"/>
    </xf>
    <xf numFmtId="0" fontId="9" fillId="0" borderId="0" xfId="0" applyFont="1" applyAlignment="1">
      <alignment horizontal="center" vertical="center"/>
    </xf>
    <xf numFmtId="0" fontId="20" fillId="0" borderId="0" xfId="0" applyFont="1"/>
    <xf numFmtId="0" fontId="30" fillId="2" borderId="0" xfId="0" applyFont="1" applyFill="1" applyAlignment="1">
      <alignment vertical="center"/>
    </xf>
    <xf numFmtId="0" fontId="30" fillId="2" borderId="0" xfId="0" applyFont="1" applyFill="1" applyAlignment="1">
      <alignment horizontal="center" vertical="center"/>
    </xf>
    <xf numFmtId="0" fontId="8" fillId="0" borderId="0" xfId="0" applyFont="1" applyAlignment="1">
      <alignment vertical="center"/>
    </xf>
    <xf numFmtId="43" fontId="8" fillId="6" borderId="2" xfId="1" applyFont="1" applyFill="1" applyBorder="1" applyAlignment="1">
      <alignment horizontal="center" vertical="center"/>
    </xf>
    <xf numFmtId="2" fontId="8" fillId="4" borderId="4" xfId="0" applyNumberFormat="1" applyFont="1" applyFill="1" applyBorder="1" applyAlignment="1">
      <alignment horizontal="center" vertical="center"/>
    </xf>
    <xf numFmtId="43" fontId="8" fillId="6" borderId="9" xfId="1" applyFont="1" applyFill="1" applyBorder="1" applyAlignment="1">
      <alignment horizontal="center" vertical="center"/>
    </xf>
    <xf numFmtId="2" fontId="8" fillId="4" borderId="0" xfId="0" applyNumberFormat="1" applyFont="1" applyFill="1" applyAlignment="1">
      <alignment horizontal="center" vertical="center"/>
    </xf>
    <xf numFmtId="43" fontId="8" fillId="6" borderId="13" xfId="1" applyFont="1" applyFill="1" applyBorder="1" applyAlignment="1">
      <alignment horizontal="center" vertical="center"/>
    </xf>
    <xf numFmtId="188" fontId="8" fillId="0" borderId="23" xfId="0" applyNumberFormat="1" applyFont="1" applyBorder="1" applyAlignment="1">
      <alignment horizontal="center" vertical="center"/>
    </xf>
    <xf numFmtId="2" fontId="8" fillId="0" borderId="23" xfId="1" applyNumberFormat="1" applyFont="1" applyBorder="1" applyAlignment="1">
      <alignment horizontal="center" vertical="center"/>
    </xf>
    <xf numFmtId="43" fontId="8" fillId="0" borderId="23" xfId="1" applyFont="1" applyBorder="1" applyAlignment="1">
      <alignment horizontal="right" vertical="center"/>
    </xf>
    <xf numFmtId="43" fontId="8" fillId="0" borderId="16" xfId="1" applyFont="1" applyBorder="1" applyAlignment="1">
      <alignment horizontal="right" vertical="center"/>
    </xf>
    <xf numFmtId="0" fontId="8" fillId="0" borderId="22" xfId="0" applyFont="1" applyBorder="1" applyAlignment="1">
      <alignment horizontal="center" vertical="center"/>
    </xf>
    <xf numFmtId="2" fontId="8" fillId="0" borderId="27" xfId="1" applyNumberFormat="1" applyFont="1" applyBorder="1" applyAlignment="1">
      <alignment horizontal="center" vertical="center"/>
    </xf>
    <xf numFmtId="2" fontId="8" fillId="0" borderId="25" xfId="1" applyNumberFormat="1" applyFont="1" applyBorder="1" applyAlignment="1">
      <alignment horizontal="center" vertical="center"/>
    </xf>
    <xf numFmtId="43" fontId="8" fillId="0" borderId="16" xfId="0" applyNumberFormat="1" applyFont="1" applyBorder="1" applyAlignment="1">
      <alignment horizontal="center" vertical="center"/>
    </xf>
    <xf numFmtId="4" fontId="8" fillId="0" borderId="16" xfId="1" applyNumberFormat="1" applyFont="1" applyBorder="1" applyAlignment="1">
      <alignment horizontal="right" vertical="center"/>
    </xf>
    <xf numFmtId="43" fontId="8" fillId="0" borderId="20" xfId="0" applyNumberFormat="1" applyFont="1" applyBorder="1" applyAlignment="1">
      <alignment horizontal="center" vertical="center"/>
    </xf>
    <xf numFmtId="4" fontId="8" fillId="0" borderId="20" xfId="1" applyNumberFormat="1" applyFont="1" applyBorder="1" applyAlignment="1">
      <alignment horizontal="right" vertical="center"/>
    </xf>
    <xf numFmtId="43" fontId="8" fillId="0" borderId="13" xfId="0" applyNumberFormat="1" applyFont="1" applyBorder="1" applyAlignment="1">
      <alignment horizontal="center" vertical="center"/>
    </xf>
    <xf numFmtId="4" fontId="8" fillId="0" borderId="13" xfId="1" applyNumberFormat="1" applyFont="1" applyBorder="1" applyAlignment="1">
      <alignment horizontal="right" vertical="center"/>
    </xf>
    <xf numFmtId="43" fontId="8" fillId="0" borderId="13" xfId="1" applyFont="1" applyBorder="1" applyAlignment="1">
      <alignment horizontal="right" vertical="center"/>
    </xf>
    <xf numFmtId="49" fontId="30" fillId="0" borderId="0" xfId="0" applyNumberFormat="1" applyFont="1" applyAlignment="1">
      <alignment horizontal="right" vertical="center"/>
    </xf>
    <xf numFmtId="43" fontId="8" fillId="0" borderId="0" xfId="1" applyFont="1" applyAlignment="1">
      <alignment vertical="center"/>
    </xf>
    <xf numFmtId="49" fontId="8" fillId="0" borderId="0" xfId="0" applyNumberFormat="1" applyFont="1" applyAlignment="1">
      <alignment vertical="center"/>
    </xf>
    <xf numFmtId="0" fontId="15" fillId="0" borderId="23" xfId="0" applyFont="1" applyBorder="1" applyAlignment="1">
      <alignment horizontal="center"/>
    </xf>
    <xf numFmtId="0" fontId="15" fillId="0" borderId="23" xfId="0" applyFont="1" applyBorder="1" applyAlignment="1">
      <alignment horizontal="center" vertical="center"/>
    </xf>
    <xf numFmtId="191" fontId="15" fillId="0" borderId="23" xfId="2" applyNumberFormat="1" applyFont="1" applyBorder="1" applyAlignment="1">
      <alignment horizontal="center"/>
    </xf>
    <xf numFmtId="2" fontId="15" fillId="0" borderId="23" xfId="0" applyNumberFormat="1" applyFont="1" applyBorder="1" applyAlignment="1">
      <alignment horizontal="center"/>
    </xf>
    <xf numFmtId="189" fontId="15" fillId="0" borderId="23" xfId="2" applyFont="1" applyBorder="1"/>
    <xf numFmtId="0" fontId="15" fillId="0" borderId="23" xfId="0" applyFont="1" applyBorder="1"/>
    <xf numFmtId="0" fontId="16" fillId="0" borderId="17" xfId="0" applyFont="1" applyBorder="1"/>
    <xf numFmtId="0" fontId="15" fillId="0" borderId="16" xfId="0" applyFont="1" applyBorder="1" applyAlignment="1">
      <alignment horizontal="center"/>
    </xf>
    <xf numFmtId="0" fontId="15" fillId="0" borderId="16" xfId="0" applyFont="1" applyBorder="1" applyAlignment="1">
      <alignment horizontal="center" vertical="center"/>
    </xf>
    <xf numFmtId="191" fontId="15" fillId="0" borderId="16" xfId="2" applyNumberFormat="1" applyFont="1" applyBorder="1" applyAlignment="1">
      <alignment horizontal="center"/>
    </xf>
    <xf numFmtId="2" fontId="15" fillId="0" borderId="16" xfId="0" applyNumberFormat="1" applyFont="1" applyBorder="1" applyAlignment="1">
      <alignment horizontal="center"/>
    </xf>
    <xf numFmtId="189" fontId="15" fillId="0" borderId="16" xfId="2" applyFont="1" applyBorder="1"/>
    <xf numFmtId="0" fontId="15" fillId="0" borderId="16" xfId="0" applyFont="1" applyBorder="1"/>
    <xf numFmtId="0" fontId="16" fillId="0" borderId="22" xfId="0" applyFont="1" applyBorder="1"/>
    <xf numFmtId="2" fontId="8" fillId="0" borderId="16" xfId="2" applyNumberFormat="1" applyFont="1" applyBorder="1" applyAlignment="1">
      <alignment horizontal="center"/>
    </xf>
    <xf numFmtId="188" fontId="8" fillId="0" borderId="20" xfId="0" applyNumberFormat="1" applyFont="1" applyBorder="1" applyAlignment="1">
      <alignment horizontal="center" vertical="center"/>
    </xf>
    <xf numFmtId="49" fontId="12" fillId="0" borderId="19" xfId="0" applyNumberFormat="1" applyFont="1" applyBorder="1" applyAlignment="1">
      <alignment horizontal="center" vertical="center"/>
    </xf>
    <xf numFmtId="2" fontId="12" fillId="0" borderId="19" xfId="0" applyNumberFormat="1" applyFont="1" applyBorder="1" applyAlignment="1">
      <alignment horizontal="center" vertical="center"/>
    </xf>
    <xf numFmtId="49" fontId="12" fillId="0" borderId="18" xfId="0" applyNumberFormat="1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2" fontId="12" fillId="0" borderId="18" xfId="0" applyNumberFormat="1" applyFont="1" applyBorder="1" applyAlignment="1">
      <alignment horizontal="center" vertical="center"/>
    </xf>
    <xf numFmtId="187" fontId="12" fillId="0" borderId="18" xfId="1" applyNumberFormat="1" applyFont="1" applyBorder="1" applyAlignment="1">
      <alignment horizontal="center" vertical="center"/>
    </xf>
    <xf numFmtId="1" fontId="12" fillId="0" borderId="18" xfId="1" applyNumberFormat="1" applyFont="1" applyBorder="1" applyAlignment="1">
      <alignment horizontal="center" vertical="center"/>
    </xf>
    <xf numFmtId="187" fontId="12" fillId="0" borderId="19" xfId="1" applyNumberFormat="1" applyFont="1" applyBorder="1" applyAlignment="1">
      <alignment horizontal="center" vertical="center"/>
    </xf>
    <xf numFmtId="43" fontId="12" fillId="0" borderId="19" xfId="1" applyFont="1" applyBorder="1" applyAlignment="1">
      <alignment horizontal="center" vertical="center"/>
    </xf>
    <xf numFmtId="1" fontId="12" fillId="0" borderId="19" xfId="1" applyNumberFormat="1" applyFont="1" applyBorder="1" applyAlignment="1">
      <alignment horizontal="center" vertical="center"/>
    </xf>
    <xf numFmtId="43" fontId="8" fillId="0" borderId="27" xfId="1" applyFont="1" applyBorder="1" applyAlignment="1">
      <alignment horizontal="right" vertical="center"/>
    </xf>
    <xf numFmtId="0" fontId="28" fillId="0" borderId="0" xfId="0" applyFont="1"/>
    <xf numFmtId="43" fontId="20" fillId="0" borderId="0" xfId="1" applyFont="1"/>
    <xf numFmtId="49" fontId="28" fillId="0" borderId="0" xfId="0" applyNumberFormat="1" applyFont="1"/>
    <xf numFmtId="0" fontId="15" fillId="0" borderId="0" xfId="0" applyFont="1"/>
    <xf numFmtId="0" fontId="8" fillId="3" borderId="2" xfId="0" applyFont="1" applyFill="1" applyBorder="1"/>
    <xf numFmtId="0" fontId="8" fillId="5" borderId="8" xfId="0" applyFont="1" applyFill="1" applyBorder="1" applyAlignment="1">
      <alignment horizontal="center"/>
    </xf>
    <xf numFmtId="0" fontId="8" fillId="5" borderId="2" xfId="0" applyFont="1" applyFill="1" applyBorder="1" applyAlignment="1">
      <alignment horizontal="center"/>
    </xf>
    <xf numFmtId="0" fontId="8" fillId="5" borderId="2" xfId="0" applyFont="1" applyFill="1" applyBorder="1"/>
    <xf numFmtId="43" fontId="12" fillId="6" borderId="2" xfId="1" applyFont="1" applyFill="1" applyBorder="1" applyAlignment="1">
      <alignment horizontal="center"/>
    </xf>
    <xf numFmtId="4" fontId="12" fillId="7" borderId="2" xfId="0" applyNumberFormat="1" applyFont="1" applyFill="1" applyBorder="1" applyAlignment="1">
      <alignment horizontal="center" vertical="center"/>
    </xf>
    <xf numFmtId="0" fontId="15" fillId="8" borderId="2" xfId="0" applyFont="1" applyFill="1" applyBorder="1"/>
    <xf numFmtId="0" fontId="8" fillId="3" borderId="9" xfId="0" applyFont="1" applyFill="1" applyBorder="1" applyAlignment="1">
      <alignment horizontal="center"/>
    </xf>
    <xf numFmtId="0" fontId="22" fillId="3" borderId="9" xfId="0" applyFont="1" applyFill="1" applyBorder="1" applyAlignment="1">
      <alignment horizontal="center"/>
    </xf>
    <xf numFmtId="0" fontId="22" fillId="3" borderId="2" xfId="0" applyFont="1" applyFill="1" applyBorder="1" applyAlignment="1">
      <alignment horizontal="center"/>
    </xf>
    <xf numFmtId="0" fontId="8" fillId="4" borderId="2" xfId="0" applyFont="1" applyFill="1" applyBorder="1" applyAlignment="1">
      <alignment horizontal="center"/>
    </xf>
    <xf numFmtId="2" fontId="8" fillId="4" borderId="2" xfId="0" applyNumberFormat="1" applyFont="1" applyFill="1" applyBorder="1" applyAlignment="1">
      <alignment horizontal="center"/>
    </xf>
    <xf numFmtId="2" fontId="22" fillId="4" borderId="4" xfId="0" applyNumberFormat="1" applyFont="1" applyFill="1" applyBorder="1" applyAlignment="1">
      <alignment horizontal="center"/>
    </xf>
    <xf numFmtId="0" fontId="22" fillId="4" borderId="2" xfId="0" applyFont="1" applyFill="1" applyBorder="1" applyAlignment="1">
      <alignment horizontal="center"/>
    </xf>
    <xf numFmtId="0" fontId="8" fillId="4" borderId="10" xfId="0" applyFont="1" applyFill="1" applyBorder="1" applyAlignment="1">
      <alignment horizontal="center"/>
    </xf>
    <xf numFmtId="0" fontId="8" fillId="5" borderId="10" xfId="0" applyFont="1" applyFill="1" applyBorder="1" applyAlignment="1">
      <alignment horizontal="center"/>
    </xf>
    <xf numFmtId="0" fontId="8" fillId="5" borderId="9" xfId="0" applyFont="1" applyFill="1" applyBorder="1" applyAlignment="1">
      <alignment horizontal="center"/>
    </xf>
    <xf numFmtId="4" fontId="12" fillId="7" borderId="9" xfId="0" applyNumberFormat="1" applyFont="1" applyFill="1" applyBorder="1" applyAlignment="1">
      <alignment horizontal="center" vertical="center"/>
    </xf>
    <xf numFmtId="0" fontId="15" fillId="7" borderId="9" xfId="0" applyFont="1" applyFill="1" applyBorder="1"/>
    <xf numFmtId="2" fontId="22" fillId="3" borderId="9" xfId="0" applyNumberFormat="1" applyFont="1" applyFill="1" applyBorder="1" applyAlignment="1">
      <alignment horizontal="center"/>
    </xf>
    <xf numFmtId="2" fontId="8" fillId="3" borderId="9" xfId="0" applyNumberFormat="1" applyFont="1" applyFill="1" applyBorder="1" applyAlignment="1">
      <alignment horizontal="center"/>
    </xf>
    <xf numFmtId="0" fontId="8" fillId="4" borderId="9" xfId="0" applyFont="1" applyFill="1" applyBorder="1" applyAlignment="1">
      <alignment horizontal="center"/>
    </xf>
    <xf numFmtId="0" fontId="22" fillId="4" borderId="9" xfId="0" applyFont="1" applyFill="1" applyBorder="1" applyAlignment="1">
      <alignment horizontal="center"/>
    </xf>
    <xf numFmtId="2" fontId="22" fillId="4" borderId="9" xfId="0" applyNumberFormat="1" applyFont="1" applyFill="1" applyBorder="1" applyAlignment="1">
      <alignment horizontal="center"/>
    </xf>
    <xf numFmtId="2" fontId="22" fillId="4" borderId="0" xfId="0" applyNumberFormat="1" applyFont="1" applyFill="1" applyAlignment="1">
      <alignment horizontal="center"/>
    </xf>
    <xf numFmtId="0" fontId="22" fillId="4" borderId="8" xfId="0" applyFont="1" applyFill="1" applyBorder="1" applyAlignment="1">
      <alignment horizontal="center"/>
    </xf>
    <xf numFmtId="0" fontId="8" fillId="4" borderId="8" xfId="0" applyFont="1" applyFill="1" applyBorder="1" applyAlignment="1">
      <alignment horizontal="center"/>
    </xf>
    <xf numFmtId="0" fontId="22" fillId="4" borderId="10" xfId="0" applyFont="1" applyFill="1" applyBorder="1" applyAlignment="1">
      <alignment horizontal="center"/>
    </xf>
    <xf numFmtId="2" fontId="8" fillId="5" borderId="9" xfId="0" applyNumberFormat="1" applyFont="1" applyFill="1" applyBorder="1" applyAlignment="1">
      <alignment horizontal="center"/>
    </xf>
    <xf numFmtId="43" fontId="12" fillId="6" borderId="9" xfId="1" applyFont="1" applyFill="1" applyBorder="1" applyAlignment="1">
      <alignment horizontal="center"/>
    </xf>
    <xf numFmtId="0" fontId="8" fillId="3" borderId="13" xfId="0" applyFont="1" applyFill="1" applyBorder="1"/>
    <xf numFmtId="0" fontId="8" fillId="3" borderId="13" xfId="0" applyFont="1" applyFill="1" applyBorder="1" applyAlignment="1">
      <alignment horizontal="center"/>
    </xf>
    <xf numFmtId="2" fontId="22" fillId="3" borderId="13" xfId="0" applyNumberFormat="1" applyFont="1" applyFill="1" applyBorder="1" applyAlignment="1">
      <alignment horizontal="center"/>
    </xf>
    <xf numFmtId="2" fontId="8" fillId="3" borderId="13" xfId="0" applyNumberFormat="1" applyFont="1" applyFill="1" applyBorder="1" applyAlignment="1">
      <alignment horizontal="center"/>
    </xf>
    <xf numFmtId="0" fontId="8" fillId="4" borderId="13" xfId="0" applyFont="1" applyFill="1" applyBorder="1" applyAlignment="1">
      <alignment horizontal="center"/>
    </xf>
    <xf numFmtId="0" fontId="22" fillId="4" borderId="13" xfId="0" applyFont="1" applyFill="1" applyBorder="1" applyAlignment="1">
      <alignment horizontal="center"/>
    </xf>
    <xf numFmtId="0" fontId="22" fillId="4" borderId="1" xfId="0" applyFont="1" applyFill="1" applyBorder="1" applyAlignment="1">
      <alignment horizontal="center"/>
    </xf>
    <xf numFmtId="2" fontId="22" fillId="4" borderId="13" xfId="0" applyNumberFormat="1" applyFont="1" applyFill="1" applyBorder="1" applyAlignment="1">
      <alignment horizontal="center"/>
    </xf>
    <xf numFmtId="2" fontId="8" fillId="4" borderId="13" xfId="0" applyNumberFormat="1" applyFont="1" applyFill="1" applyBorder="1" applyAlignment="1">
      <alignment horizontal="center"/>
    </xf>
    <xf numFmtId="2" fontId="8" fillId="4" borderId="11" xfId="0" applyNumberFormat="1" applyFont="1" applyFill="1" applyBorder="1" applyAlignment="1">
      <alignment horizontal="center"/>
    </xf>
    <xf numFmtId="2" fontId="8" fillId="5" borderId="11" xfId="0" applyNumberFormat="1" applyFont="1" applyFill="1" applyBorder="1" applyAlignment="1">
      <alignment horizontal="center"/>
    </xf>
    <xf numFmtId="2" fontId="8" fillId="5" borderId="13" xfId="0" applyNumberFormat="1" applyFont="1" applyFill="1" applyBorder="1" applyAlignment="1">
      <alignment horizontal="center"/>
    </xf>
    <xf numFmtId="187" fontId="8" fillId="0" borderId="15" xfId="1" applyNumberFormat="1" applyFont="1" applyBorder="1" applyAlignment="1">
      <alignment horizontal="center"/>
    </xf>
    <xf numFmtId="43" fontId="8" fillId="0" borderId="2" xfId="1" applyFont="1" applyBorder="1" applyAlignment="1">
      <alignment horizontal="right"/>
    </xf>
    <xf numFmtId="4" fontId="8" fillId="9" borderId="14" xfId="0" applyNumberFormat="1" applyFont="1" applyFill="1" applyBorder="1"/>
    <xf numFmtId="4" fontId="8" fillId="0" borderId="14" xfId="0" applyNumberFormat="1" applyFont="1" applyBorder="1"/>
    <xf numFmtId="188" fontId="8" fillId="0" borderId="20" xfId="0" applyNumberFormat="1" applyFont="1" applyBorder="1" applyAlignment="1">
      <alignment horizontal="center"/>
    </xf>
    <xf numFmtId="43" fontId="8" fillId="0" borderId="26" xfId="1" applyFont="1" applyBorder="1" applyAlignment="1">
      <alignment horizontal="right"/>
    </xf>
    <xf numFmtId="4" fontId="8" fillId="0" borderId="16" xfId="0" applyNumberFormat="1" applyFont="1" applyBorder="1"/>
    <xf numFmtId="0" fontId="12" fillId="0" borderId="26" xfId="0" applyFont="1" applyBorder="1" applyAlignment="1">
      <alignment horizontal="center"/>
    </xf>
    <xf numFmtId="187" fontId="8" fillId="0" borderId="20" xfId="1" applyNumberFormat="1" applyFont="1" applyBorder="1" applyAlignment="1">
      <alignment horizontal="center"/>
    </xf>
    <xf numFmtId="189" fontId="12" fillId="0" borderId="32" xfId="1" applyNumberFormat="1" applyFont="1" applyBorder="1" applyAlignment="1">
      <alignment horizontal="center"/>
    </xf>
    <xf numFmtId="187" fontId="8" fillId="0" borderId="16" xfId="1" applyNumberFormat="1" applyFont="1" applyFill="1" applyBorder="1" applyAlignment="1">
      <alignment horizontal="center"/>
    </xf>
    <xf numFmtId="43" fontId="8" fillId="0" borderId="16" xfId="0" applyNumberFormat="1" applyFont="1" applyBorder="1" applyAlignment="1">
      <alignment horizontal="center"/>
    </xf>
    <xf numFmtId="4" fontId="8" fillId="0" borderId="16" xfId="1" applyNumberFormat="1" applyFont="1" applyBorder="1" applyAlignment="1">
      <alignment horizontal="right"/>
    </xf>
    <xf numFmtId="43" fontId="8" fillId="0" borderId="16" xfId="1" applyFont="1" applyBorder="1" applyAlignment="1">
      <alignment horizontal="right"/>
    </xf>
    <xf numFmtId="187" fontId="8" fillId="0" borderId="20" xfId="1" applyNumberFormat="1" applyFont="1" applyFill="1" applyBorder="1" applyAlignment="1">
      <alignment horizontal="center"/>
    </xf>
    <xf numFmtId="43" fontId="8" fillId="0" borderId="20" xfId="0" applyNumberFormat="1" applyFont="1" applyBorder="1" applyAlignment="1">
      <alignment horizontal="center"/>
    </xf>
    <xf numFmtId="4" fontId="8" fillId="0" borderId="20" xfId="1" applyNumberFormat="1" applyFont="1" applyBorder="1" applyAlignment="1">
      <alignment horizontal="right"/>
    </xf>
    <xf numFmtId="43" fontId="8" fillId="0" borderId="20" xfId="1" applyFont="1" applyBorder="1" applyAlignment="1">
      <alignment horizontal="right"/>
    </xf>
    <xf numFmtId="4" fontId="8" fillId="0" borderId="20" xfId="0" applyNumberFormat="1" applyFont="1" applyBorder="1"/>
    <xf numFmtId="187" fontId="8" fillId="0" borderId="13" xfId="1" applyNumberFormat="1" applyFont="1" applyFill="1" applyBorder="1" applyAlignment="1">
      <alignment horizontal="center"/>
    </xf>
    <xf numFmtId="43" fontId="8" fillId="0" borderId="13" xfId="0" applyNumberFormat="1" applyFont="1" applyBorder="1" applyAlignment="1">
      <alignment horizontal="center"/>
    </xf>
    <xf numFmtId="4" fontId="8" fillId="0" borderId="13" xfId="1" applyNumberFormat="1" applyFont="1" applyBorder="1" applyAlignment="1">
      <alignment horizontal="right"/>
    </xf>
    <xf numFmtId="43" fontId="8" fillId="0" borderId="13" xfId="1" applyFont="1" applyBorder="1" applyAlignment="1">
      <alignment horizontal="right"/>
    </xf>
    <xf numFmtId="4" fontId="8" fillId="0" borderId="13" xfId="0" applyNumberFormat="1" applyFont="1" applyBorder="1"/>
    <xf numFmtId="0" fontId="25" fillId="0" borderId="0" xfId="0" applyFont="1"/>
    <xf numFmtId="43" fontId="15" fillId="0" borderId="0" xfId="1" applyFont="1"/>
    <xf numFmtId="49" fontId="25" fillId="0" borderId="0" xfId="0" applyNumberFormat="1" applyFont="1"/>
    <xf numFmtId="0" fontId="0" fillId="0" borderId="0" xfId="0" applyAlignment="1">
      <alignment vertical="center"/>
    </xf>
    <xf numFmtId="189" fontId="5" fillId="0" borderId="17" xfId="2" applyFont="1" applyBorder="1" applyAlignment="1">
      <alignment horizontal="center"/>
    </xf>
    <xf numFmtId="2" fontId="5" fillId="0" borderId="23" xfId="2" applyNumberFormat="1" applyFont="1" applyBorder="1" applyAlignment="1">
      <alignment horizontal="center"/>
    </xf>
    <xf numFmtId="2" fontId="5" fillId="0" borderId="16" xfId="1" applyNumberFormat="1" applyFont="1" applyBorder="1" applyAlignment="1">
      <alignment horizontal="center" vertical="center"/>
    </xf>
    <xf numFmtId="43" fontId="5" fillId="0" borderId="9" xfId="1" applyFont="1" applyBorder="1" applyAlignment="1">
      <alignment horizontal="right" vertical="center"/>
    </xf>
    <xf numFmtId="43" fontId="5" fillId="0" borderId="20" xfId="1" applyFont="1" applyBorder="1" applyAlignment="1">
      <alignment horizontal="right" vertical="center"/>
    </xf>
    <xf numFmtId="2" fontId="5" fillId="0" borderId="20" xfId="1" applyNumberFormat="1" applyFont="1" applyBorder="1" applyAlignment="1">
      <alignment horizontal="center" vertical="center"/>
    </xf>
    <xf numFmtId="43" fontId="5" fillId="0" borderId="16" xfId="1" applyFont="1" applyFill="1" applyBorder="1" applyAlignment="1">
      <alignment horizontal="center" vertical="center"/>
    </xf>
    <xf numFmtId="187" fontId="5" fillId="0" borderId="16" xfId="1" applyNumberFormat="1" applyFont="1" applyFill="1" applyBorder="1" applyAlignment="1">
      <alignment horizontal="center" vertical="center"/>
    </xf>
    <xf numFmtId="1" fontId="5" fillId="0" borderId="16" xfId="1" applyNumberFormat="1" applyFont="1" applyFill="1" applyBorder="1" applyAlignment="1">
      <alignment horizontal="center" vertical="center"/>
    </xf>
    <xf numFmtId="4" fontId="5" fillId="0" borderId="16" xfId="1" applyNumberFormat="1" applyFont="1" applyBorder="1" applyAlignment="1">
      <alignment horizontal="right" vertical="center"/>
    </xf>
    <xf numFmtId="43" fontId="5" fillId="0" borderId="16" xfId="1" applyFont="1" applyBorder="1" applyAlignment="1">
      <alignment horizontal="right" vertical="center"/>
    </xf>
    <xf numFmtId="43" fontId="5" fillId="0" borderId="20" xfId="1" applyFont="1" applyFill="1" applyBorder="1" applyAlignment="1">
      <alignment horizontal="center" vertical="center"/>
    </xf>
    <xf numFmtId="187" fontId="5" fillId="0" borderId="20" xfId="1" applyNumberFormat="1" applyFont="1" applyFill="1" applyBorder="1" applyAlignment="1">
      <alignment horizontal="center" vertical="center"/>
    </xf>
    <xf numFmtId="1" fontId="5" fillId="0" borderId="20" xfId="1" applyNumberFormat="1" applyFont="1" applyFill="1" applyBorder="1" applyAlignment="1">
      <alignment horizontal="center" vertical="center"/>
    </xf>
    <xf numFmtId="4" fontId="5" fillId="0" borderId="20" xfId="1" applyNumberFormat="1" applyFont="1" applyBorder="1" applyAlignment="1">
      <alignment horizontal="right" vertical="center"/>
    </xf>
    <xf numFmtId="43" fontId="5" fillId="0" borderId="2" xfId="1" applyFont="1" applyBorder="1" applyAlignment="1">
      <alignment horizontal="right" vertical="center"/>
    </xf>
    <xf numFmtId="0" fontId="16" fillId="0" borderId="0" xfId="0" applyFont="1" applyAlignment="1">
      <alignment vertical="center"/>
    </xf>
    <xf numFmtId="43" fontId="16" fillId="0" borderId="0" xfId="1" applyFont="1" applyAlignment="1">
      <alignment vertical="center"/>
    </xf>
    <xf numFmtId="0" fontId="31" fillId="0" borderId="1" xfId="0" applyFont="1" applyBorder="1" applyAlignment="1">
      <alignment vertical="center"/>
    </xf>
    <xf numFmtId="0" fontId="16" fillId="8" borderId="2" xfId="0" applyFont="1" applyFill="1" applyBorder="1" applyAlignment="1">
      <alignment vertical="center"/>
    </xf>
    <xf numFmtId="0" fontId="16" fillId="7" borderId="9" xfId="0" applyFont="1" applyFill="1" applyBorder="1" applyAlignment="1">
      <alignment vertical="center"/>
    </xf>
    <xf numFmtId="4" fontId="8" fillId="9" borderId="14" xfId="0" applyNumberFormat="1" applyFont="1" applyFill="1" applyBorder="1" applyAlignment="1">
      <alignment vertical="center"/>
    </xf>
    <xf numFmtId="4" fontId="8" fillId="0" borderId="14" xfId="0" applyNumberFormat="1" applyFont="1" applyBorder="1" applyAlignment="1">
      <alignment vertical="center"/>
    </xf>
    <xf numFmtId="0" fontId="23" fillId="0" borderId="0" xfId="0" applyFont="1" applyAlignment="1">
      <alignment vertical="center"/>
    </xf>
    <xf numFmtId="49" fontId="23" fillId="0" borderId="0" xfId="0" applyNumberFormat="1" applyFont="1" applyAlignment="1">
      <alignment vertical="center"/>
    </xf>
    <xf numFmtId="2" fontId="8" fillId="0" borderId="19" xfId="1" applyNumberFormat="1" applyFont="1" applyBorder="1" applyAlignment="1">
      <alignment horizontal="center" vertical="center"/>
    </xf>
    <xf numFmtId="187" fontId="9" fillId="0" borderId="0" xfId="1" applyNumberFormat="1" applyFont="1" applyAlignment="1">
      <alignment vertical="center"/>
    </xf>
    <xf numFmtId="187" fontId="30" fillId="2" borderId="0" xfId="1" applyNumberFormat="1" applyFont="1" applyFill="1" applyAlignment="1">
      <alignment vertical="center"/>
    </xf>
    <xf numFmtId="43" fontId="30" fillId="2" borderId="0" xfId="1" applyFont="1" applyFill="1" applyAlignment="1">
      <alignment vertical="center"/>
    </xf>
    <xf numFmtId="0" fontId="30" fillId="0" borderId="0" xfId="0" applyFont="1" applyAlignment="1">
      <alignment vertical="center"/>
    </xf>
    <xf numFmtId="0" fontId="30" fillId="0" borderId="1" xfId="0" applyFont="1" applyBorder="1" applyAlignment="1">
      <alignment vertical="center"/>
    </xf>
    <xf numFmtId="4" fontId="8" fillId="7" borderId="2" xfId="0" applyNumberFormat="1" applyFont="1" applyFill="1" applyBorder="1" applyAlignment="1">
      <alignment horizontal="center" vertical="center"/>
    </xf>
    <xf numFmtId="0" fontId="8" fillId="7" borderId="2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vertical="center"/>
    </xf>
    <xf numFmtId="4" fontId="8" fillId="7" borderId="9" xfId="0" applyNumberFormat="1" applyFont="1" applyFill="1" applyBorder="1" applyAlignment="1">
      <alignment horizontal="center" vertical="center"/>
    </xf>
    <xf numFmtId="0" fontId="8" fillId="7" borderId="9" xfId="0" applyFont="1" applyFill="1" applyBorder="1" applyAlignment="1">
      <alignment vertical="center"/>
    </xf>
    <xf numFmtId="0" fontId="8" fillId="7" borderId="9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187" fontId="8" fillId="4" borderId="8" xfId="1" applyNumberFormat="1" applyFont="1" applyFill="1" applyBorder="1" applyAlignment="1">
      <alignment horizontal="center" vertical="center"/>
    </xf>
    <xf numFmtId="43" fontId="8" fillId="4" borderId="8" xfId="1" applyFont="1" applyFill="1" applyBorder="1" applyAlignment="1">
      <alignment horizontal="center" vertical="center"/>
    </xf>
    <xf numFmtId="187" fontId="8" fillId="4" borderId="10" xfId="1" applyNumberFormat="1" applyFont="1" applyFill="1" applyBorder="1" applyAlignment="1">
      <alignment horizontal="center" vertical="center"/>
    </xf>
    <xf numFmtId="43" fontId="8" fillId="4" borderId="10" xfId="1" applyFont="1" applyFill="1" applyBorder="1" applyAlignment="1">
      <alignment horizontal="center" vertical="center"/>
    </xf>
    <xf numFmtId="187" fontId="8" fillId="4" borderId="13" xfId="1" applyNumberFormat="1" applyFont="1" applyFill="1" applyBorder="1" applyAlignment="1">
      <alignment horizontal="center" vertical="center"/>
    </xf>
    <xf numFmtId="43" fontId="8" fillId="4" borderId="13" xfId="1" applyFont="1" applyFill="1" applyBorder="1" applyAlignment="1">
      <alignment horizontal="center" vertical="center"/>
    </xf>
    <xf numFmtId="0" fontId="8" fillId="7" borderId="13" xfId="0" applyFont="1" applyFill="1" applyBorder="1" applyAlignment="1">
      <alignment horizontal="center" vertical="center"/>
    </xf>
    <xf numFmtId="0" fontId="8" fillId="8" borderId="13" xfId="0" applyFont="1" applyFill="1" applyBorder="1" applyAlignment="1">
      <alignment horizontal="center" vertical="center"/>
    </xf>
    <xf numFmtId="188" fontId="12" fillId="0" borderId="23" xfId="0" applyNumberFormat="1" applyFont="1" applyBorder="1" applyAlignment="1">
      <alignment horizontal="center"/>
    </xf>
    <xf numFmtId="189" fontId="12" fillId="2" borderId="16" xfId="2" applyFont="1" applyFill="1" applyBorder="1" applyAlignment="1">
      <alignment horizontal="center"/>
    </xf>
    <xf numFmtId="0" fontId="12" fillId="0" borderId="23" xfId="0" applyFont="1" applyBorder="1" applyAlignment="1">
      <alignment horizontal="center" vertical="center" wrapText="1"/>
    </xf>
    <xf numFmtId="189" fontId="12" fillId="0" borderId="17" xfId="2" applyFont="1" applyBorder="1" applyAlignment="1">
      <alignment horizontal="center" vertical="center"/>
    </xf>
    <xf numFmtId="187" fontId="12" fillId="0" borderId="17" xfId="2" applyNumberFormat="1" applyFont="1" applyBorder="1" applyAlignment="1">
      <alignment horizontal="center" vertical="center"/>
    </xf>
    <xf numFmtId="43" fontId="12" fillId="0" borderId="23" xfId="2" applyNumberFormat="1" applyFont="1" applyBorder="1" applyAlignment="1">
      <alignment horizontal="center" vertical="center"/>
    </xf>
    <xf numFmtId="187" fontId="12" fillId="0" borderId="17" xfId="1" applyNumberFormat="1" applyFont="1" applyBorder="1" applyAlignment="1">
      <alignment horizontal="center" vertical="center"/>
    </xf>
    <xf numFmtId="189" fontId="12" fillId="0" borderId="23" xfId="2" applyFont="1" applyBorder="1" applyAlignment="1">
      <alignment horizontal="center" vertical="center"/>
    </xf>
    <xf numFmtId="189" fontId="12" fillId="0" borderId="4" xfId="2" applyFont="1" applyBorder="1" applyAlignment="1">
      <alignment horizontal="center" vertical="center"/>
    </xf>
    <xf numFmtId="43" fontId="12" fillId="0" borderId="28" xfId="0" applyNumberFormat="1" applyFont="1" applyBorder="1" applyAlignment="1">
      <alignment horizontal="center" vertical="center"/>
    </xf>
    <xf numFmtId="43" fontId="12" fillId="0" borderId="23" xfId="0" applyNumberFormat="1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 wrapText="1"/>
    </xf>
    <xf numFmtId="189" fontId="12" fillId="0" borderId="21" xfId="2" applyFont="1" applyBorder="1" applyAlignment="1">
      <alignment horizontal="center" vertical="center"/>
    </xf>
    <xf numFmtId="187" fontId="12" fillId="0" borderId="21" xfId="2" applyNumberFormat="1" applyFont="1" applyBorder="1" applyAlignment="1">
      <alignment horizontal="center" vertical="center"/>
    </xf>
    <xf numFmtId="189" fontId="12" fillId="0" borderId="20" xfId="2" applyFont="1" applyBorder="1" applyAlignment="1">
      <alignment horizontal="center" vertical="center"/>
    </xf>
    <xf numFmtId="43" fontId="12" fillId="0" borderId="20" xfId="0" applyNumberFormat="1" applyFont="1" applyBorder="1" applyAlignment="1">
      <alignment horizontal="center" vertical="center"/>
    </xf>
    <xf numFmtId="0" fontId="12" fillId="0" borderId="21" xfId="0" applyFont="1" applyBorder="1" applyAlignment="1">
      <alignment horizontal="center" vertical="center" wrapText="1"/>
    </xf>
    <xf numFmtId="0" fontId="8" fillId="0" borderId="19" xfId="0" applyFont="1" applyBorder="1" applyAlignment="1">
      <alignment vertical="center"/>
    </xf>
    <xf numFmtId="0" fontId="8" fillId="0" borderId="21" xfId="0" applyFont="1" applyBorder="1" applyAlignment="1">
      <alignment vertical="center"/>
    </xf>
    <xf numFmtId="187" fontId="8" fillId="0" borderId="19" xfId="1" applyNumberFormat="1" applyFont="1" applyBorder="1" applyAlignment="1">
      <alignment vertical="center"/>
    </xf>
    <xf numFmtId="43" fontId="8" fillId="0" borderId="19" xfId="1" applyFont="1" applyBorder="1" applyAlignment="1">
      <alignment vertical="center"/>
    </xf>
    <xf numFmtId="0" fontId="8" fillId="0" borderId="25" xfId="0" applyFont="1" applyBorder="1" applyAlignment="1">
      <alignment vertical="center"/>
    </xf>
    <xf numFmtId="43" fontId="8" fillId="0" borderId="31" xfId="1" applyFont="1" applyBorder="1" applyAlignment="1">
      <alignment vertical="center"/>
    </xf>
    <xf numFmtId="4" fontId="8" fillId="0" borderId="27" xfId="0" applyNumberFormat="1" applyFont="1" applyBorder="1" applyAlignment="1">
      <alignment vertical="center"/>
    </xf>
    <xf numFmtId="187" fontId="8" fillId="0" borderId="0" xfId="1" applyNumberFormat="1" applyFont="1" applyAlignment="1">
      <alignment vertical="center"/>
    </xf>
    <xf numFmtId="188" fontId="8" fillId="0" borderId="9" xfId="0" applyNumberFormat="1" applyFont="1" applyBorder="1" applyAlignment="1">
      <alignment horizontal="center"/>
    </xf>
    <xf numFmtId="187" fontId="8" fillId="0" borderId="9" xfId="1" applyNumberFormat="1" applyFont="1" applyBorder="1" applyAlignment="1">
      <alignment vertical="center"/>
    </xf>
    <xf numFmtId="2" fontId="8" fillId="0" borderId="10" xfId="0" applyNumberFormat="1" applyFont="1" applyBorder="1" applyAlignment="1">
      <alignment horizontal="center" vertical="center"/>
    </xf>
    <xf numFmtId="187" fontId="8" fillId="0" borderId="9" xfId="1" applyNumberFormat="1" applyFont="1" applyFill="1" applyBorder="1" applyAlignment="1">
      <alignment horizontal="center" vertical="center"/>
    </xf>
    <xf numFmtId="43" fontId="8" fillId="0" borderId="9" xfId="0" applyNumberFormat="1" applyFont="1" applyBorder="1" applyAlignment="1">
      <alignment horizontal="center" vertical="center"/>
    </xf>
    <xf numFmtId="4" fontId="8" fillId="0" borderId="9" xfId="1" applyNumberFormat="1" applyFont="1" applyFill="1" applyBorder="1" applyAlignment="1">
      <alignment horizontal="right" vertical="center"/>
    </xf>
    <xf numFmtId="43" fontId="8" fillId="0" borderId="9" xfId="1" applyFont="1" applyFill="1" applyBorder="1" applyAlignment="1">
      <alignment horizontal="right" vertical="center"/>
    </xf>
    <xf numFmtId="4" fontId="8" fillId="0" borderId="20" xfId="1" applyNumberFormat="1" applyFont="1" applyFill="1" applyBorder="1" applyAlignment="1">
      <alignment horizontal="right" vertical="center"/>
    </xf>
    <xf numFmtId="43" fontId="8" fillId="0" borderId="20" xfId="1" applyFont="1" applyFill="1" applyBorder="1" applyAlignment="1">
      <alignment horizontal="right" vertical="center"/>
    </xf>
    <xf numFmtId="187" fontId="8" fillId="2" borderId="16" xfId="1" applyNumberFormat="1" applyFont="1" applyFill="1" applyBorder="1" applyAlignment="1">
      <alignment horizontal="center" vertical="center"/>
    </xf>
    <xf numFmtId="43" fontId="8" fillId="2" borderId="16" xfId="0" applyNumberFormat="1" applyFont="1" applyFill="1" applyBorder="1" applyAlignment="1">
      <alignment horizontal="center" vertical="center"/>
    </xf>
    <xf numFmtId="4" fontId="8" fillId="2" borderId="16" xfId="1" applyNumberFormat="1" applyFont="1" applyFill="1" applyBorder="1" applyAlignment="1">
      <alignment horizontal="right" vertical="center"/>
    </xf>
    <xf numFmtId="43" fontId="8" fillId="2" borderId="16" xfId="1" applyFont="1" applyFill="1" applyBorder="1" applyAlignment="1">
      <alignment horizontal="right" vertical="center"/>
    </xf>
    <xf numFmtId="0" fontId="16" fillId="2" borderId="0" xfId="0" applyFont="1" applyFill="1" applyAlignment="1">
      <alignment vertical="center"/>
    </xf>
    <xf numFmtId="43" fontId="16" fillId="2" borderId="0" xfId="1" applyFont="1" applyFill="1" applyAlignment="1">
      <alignment vertical="center"/>
    </xf>
    <xf numFmtId="189" fontId="8" fillId="2" borderId="23" xfId="2" applyFont="1" applyFill="1" applyBorder="1" applyAlignment="1">
      <alignment horizontal="center"/>
    </xf>
    <xf numFmtId="187" fontId="8" fillId="0" borderId="23" xfId="2" applyNumberFormat="1" applyFont="1" applyBorder="1" applyAlignment="1">
      <alignment horizontal="center"/>
    </xf>
    <xf numFmtId="2" fontId="8" fillId="0" borderId="19" xfId="2" applyNumberFormat="1" applyFont="1" applyBorder="1" applyAlignment="1">
      <alignment horizontal="center"/>
    </xf>
    <xf numFmtId="2" fontId="8" fillId="0" borderId="20" xfId="2" applyNumberFormat="1" applyFont="1" applyBorder="1" applyAlignment="1">
      <alignment horizontal="center"/>
    </xf>
    <xf numFmtId="189" fontId="8" fillId="2" borderId="20" xfId="2" applyFont="1" applyFill="1" applyBorder="1" applyAlignment="1">
      <alignment horizontal="center"/>
    </xf>
    <xf numFmtId="187" fontId="8" fillId="0" borderId="18" xfId="2" applyNumberFormat="1" applyFont="1" applyBorder="1" applyAlignment="1">
      <alignment horizontal="center"/>
    </xf>
    <xf numFmtId="191" fontId="8" fillId="2" borderId="16" xfId="2" applyNumberFormat="1" applyFont="1" applyFill="1" applyBorder="1" applyAlignment="1">
      <alignment horizontal="center"/>
    </xf>
    <xf numFmtId="0" fontId="12" fillId="0" borderId="16" xfId="0" applyFont="1" applyBorder="1" applyAlignment="1">
      <alignment vertical="center"/>
    </xf>
    <xf numFmtId="49" fontId="8" fillId="0" borderId="16" xfId="0" applyNumberFormat="1" applyFont="1" applyBorder="1" applyAlignment="1">
      <alignment vertical="center"/>
    </xf>
    <xf numFmtId="2" fontId="8" fillId="0" borderId="18" xfId="1" applyNumberFormat="1" applyFont="1" applyBorder="1" applyAlignment="1">
      <alignment horizontal="center" vertical="center"/>
    </xf>
    <xf numFmtId="188" fontId="8" fillId="2" borderId="23" xfId="0" applyNumberFormat="1" applyFont="1" applyFill="1" applyBorder="1" applyAlignment="1">
      <alignment horizontal="center" vertical="center"/>
    </xf>
    <xf numFmtId="43" fontId="8" fillId="2" borderId="23" xfId="1" applyFont="1" applyFill="1" applyBorder="1" applyAlignment="1">
      <alignment horizontal="center" vertical="center"/>
    </xf>
    <xf numFmtId="49" fontId="8" fillId="2" borderId="15" xfId="0" applyNumberFormat="1" applyFont="1" applyFill="1" applyBorder="1" applyAlignment="1">
      <alignment horizontal="center" vertical="center"/>
    </xf>
    <xf numFmtId="187" fontId="8" fillId="2" borderId="15" xfId="1" applyNumberFormat="1" applyFont="1" applyFill="1" applyBorder="1" applyAlignment="1">
      <alignment horizontal="center" vertical="center"/>
    </xf>
    <xf numFmtId="2" fontId="8" fillId="2" borderId="23" xfId="1" applyNumberFormat="1" applyFont="1" applyFill="1" applyBorder="1" applyAlignment="1">
      <alignment horizontal="center" vertical="center"/>
    </xf>
    <xf numFmtId="43" fontId="8" fillId="2" borderId="23" xfId="1" applyFont="1" applyFill="1" applyBorder="1" applyAlignment="1">
      <alignment horizontal="right" vertical="center"/>
    </xf>
    <xf numFmtId="188" fontId="8" fillId="2" borderId="16" xfId="0" applyNumberFormat="1" applyFont="1" applyFill="1" applyBorder="1" applyAlignment="1">
      <alignment horizontal="center" vertical="center"/>
    </xf>
    <xf numFmtId="49" fontId="8" fillId="2" borderId="18" xfId="0" applyNumberFormat="1" applyFont="1" applyFill="1" applyBorder="1" applyAlignment="1">
      <alignment horizontal="center" vertical="center"/>
    </xf>
    <xf numFmtId="187" fontId="8" fillId="2" borderId="18" xfId="1" applyNumberFormat="1" applyFont="1" applyFill="1" applyBorder="1" applyAlignment="1">
      <alignment horizontal="center" vertical="center"/>
    </xf>
    <xf numFmtId="2" fontId="8" fillId="2" borderId="16" xfId="1" applyNumberFormat="1" applyFont="1" applyFill="1" applyBorder="1" applyAlignment="1">
      <alignment horizontal="center" vertical="center"/>
    </xf>
    <xf numFmtId="43" fontId="8" fillId="2" borderId="9" xfId="1" applyFont="1" applyFill="1" applyBorder="1" applyAlignment="1">
      <alignment horizontal="right" vertical="center"/>
    </xf>
    <xf numFmtId="43" fontId="8" fillId="2" borderId="20" xfId="1" applyFont="1" applyFill="1" applyBorder="1" applyAlignment="1">
      <alignment horizontal="right" vertical="center"/>
    </xf>
    <xf numFmtId="0" fontId="12" fillId="2" borderId="19" xfId="0" applyFont="1" applyFill="1" applyBorder="1" applyAlignment="1">
      <alignment horizontal="center" vertical="center"/>
    </xf>
    <xf numFmtId="188" fontId="8" fillId="2" borderId="20" xfId="0" applyNumberFormat="1" applyFont="1" applyFill="1" applyBorder="1" applyAlignment="1">
      <alignment horizontal="center" vertical="center"/>
    </xf>
    <xf numFmtId="49" fontId="8" fillId="2" borderId="19" xfId="0" applyNumberFormat="1" applyFont="1" applyFill="1" applyBorder="1" applyAlignment="1">
      <alignment horizontal="center" vertical="center"/>
    </xf>
    <xf numFmtId="187" fontId="8" fillId="2" borderId="19" xfId="1" applyNumberFormat="1" applyFont="1" applyFill="1" applyBorder="1" applyAlignment="1">
      <alignment horizontal="center" vertical="center"/>
    </xf>
    <xf numFmtId="2" fontId="8" fillId="2" borderId="20" xfId="1" applyNumberFormat="1" applyFont="1" applyFill="1" applyBorder="1" applyAlignment="1">
      <alignment horizontal="center" vertical="center"/>
    </xf>
    <xf numFmtId="187" fontId="8" fillId="2" borderId="20" xfId="1" applyNumberFormat="1" applyFont="1" applyFill="1" applyBorder="1" applyAlignment="1">
      <alignment horizontal="center" vertical="center"/>
    </xf>
    <xf numFmtId="43" fontId="8" fillId="2" borderId="20" xfId="0" applyNumberFormat="1" applyFont="1" applyFill="1" applyBorder="1" applyAlignment="1">
      <alignment horizontal="center" vertical="center"/>
    </xf>
    <xf numFmtId="4" fontId="8" fillId="2" borderId="20" xfId="1" applyNumberFormat="1" applyFont="1" applyFill="1" applyBorder="1" applyAlignment="1">
      <alignment horizontal="right" vertical="center"/>
    </xf>
    <xf numFmtId="0" fontId="25" fillId="2" borderId="0" xfId="0" applyFont="1" applyFill="1" applyAlignment="1">
      <alignment vertical="center"/>
    </xf>
    <xf numFmtId="43" fontId="15" fillId="2" borderId="0" xfId="1" applyFont="1" applyFill="1" applyAlignment="1">
      <alignment vertical="center"/>
    </xf>
    <xf numFmtId="49" fontId="25" fillId="2" borderId="0" xfId="0" applyNumberFormat="1" applyFont="1" applyFill="1" applyAlignment="1">
      <alignment vertical="center"/>
    </xf>
    <xf numFmtId="0" fontId="12" fillId="0" borderId="17" xfId="0" applyFont="1" applyBorder="1" applyAlignment="1">
      <alignment horizontal="center" vertical="center"/>
    </xf>
    <xf numFmtId="189" fontId="12" fillId="2" borderId="23" xfId="2" applyFont="1" applyFill="1" applyBorder="1" applyAlignment="1">
      <alignment horizontal="center"/>
    </xf>
    <xf numFmtId="187" fontId="12" fillId="0" borderId="18" xfId="2" applyNumberFormat="1" applyFont="1" applyBorder="1" applyAlignment="1">
      <alignment horizontal="center"/>
    </xf>
    <xf numFmtId="2" fontId="12" fillId="0" borderId="16" xfId="2" applyNumberFormat="1" applyFont="1" applyBorder="1" applyAlignment="1">
      <alignment horizontal="center"/>
    </xf>
    <xf numFmtId="0" fontId="12" fillId="0" borderId="22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189" fontId="12" fillId="0" borderId="22" xfId="2" applyFont="1" applyBorder="1" applyAlignment="1">
      <alignment horizontal="center" vertical="center"/>
    </xf>
    <xf numFmtId="187" fontId="12" fillId="0" borderId="22" xfId="2" applyNumberFormat="1" applyFont="1" applyBorder="1" applyAlignment="1">
      <alignment horizontal="center" vertical="center"/>
    </xf>
    <xf numFmtId="2" fontId="12" fillId="0" borderId="20" xfId="2" applyNumberFormat="1" applyFont="1" applyBorder="1" applyAlignment="1">
      <alignment horizontal="center"/>
    </xf>
    <xf numFmtId="0" fontId="12" fillId="0" borderId="22" xfId="0" applyFont="1" applyBorder="1" applyAlignment="1">
      <alignment horizontal="center"/>
    </xf>
    <xf numFmtId="189" fontId="12" fillId="0" borderId="22" xfId="2" applyFont="1" applyBorder="1" applyAlignment="1">
      <alignment horizontal="left" vertical="center"/>
    </xf>
    <xf numFmtId="187" fontId="12" fillId="0" borderId="16" xfId="2" applyNumberFormat="1" applyFont="1" applyBorder="1" applyAlignment="1">
      <alignment horizontal="center" vertical="center"/>
    </xf>
    <xf numFmtId="0" fontId="12" fillId="0" borderId="10" xfId="0" applyFont="1" applyBorder="1" applyAlignment="1">
      <alignment horizontal="center"/>
    </xf>
    <xf numFmtId="0" fontId="8" fillId="0" borderId="20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 wrapText="1"/>
    </xf>
    <xf numFmtId="43" fontId="8" fillId="0" borderId="22" xfId="1" applyFont="1" applyBorder="1" applyAlignment="1">
      <alignment horizontal="left" vertical="center"/>
    </xf>
    <xf numFmtId="43" fontId="8" fillId="0" borderId="22" xfId="0" applyNumberFormat="1" applyFont="1" applyBorder="1" applyAlignment="1">
      <alignment horizontal="center" vertical="center"/>
    </xf>
    <xf numFmtId="43" fontId="8" fillId="0" borderId="21" xfId="1" applyFont="1" applyBorder="1" applyAlignment="1">
      <alignment horizontal="left" vertical="center"/>
    </xf>
    <xf numFmtId="43" fontId="8" fillId="0" borderId="21" xfId="0" applyNumberFormat="1" applyFont="1" applyBorder="1" applyAlignment="1">
      <alignment horizontal="center" vertical="center"/>
    </xf>
    <xf numFmtId="4" fontId="8" fillId="0" borderId="9" xfId="0" applyNumberFormat="1" applyFont="1" applyBorder="1" applyAlignment="1">
      <alignment vertical="center"/>
    </xf>
    <xf numFmtId="43" fontId="12" fillId="0" borderId="23" xfId="1" applyFont="1" applyBorder="1" applyAlignment="1">
      <alignment horizontal="center"/>
    </xf>
    <xf numFmtId="49" fontId="12" fillId="0" borderId="23" xfId="0" applyNumberFormat="1" applyFont="1" applyBorder="1" applyAlignment="1">
      <alignment horizontal="center" vertical="center"/>
    </xf>
    <xf numFmtId="187" fontId="12" fillId="0" borderId="23" xfId="1" applyNumberFormat="1" applyFont="1" applyBorder="1" applyAlignment="1">
      <alignment vertical="center"/>
    </xf>
    <xf numFmtId="2" fontId="12" fillId="0" borderId="23" xfId="1" applyNumberFormat="1" applyFont="1" applyBorder="1" applyAlignment="1">
      <alignment horizontal="center" vertical="center"/>
    </xf>
    <xf numFmtId="49" fontId="12" fillId="0" borderId="20" xfId="0" applyNumberFormat="1" applyFont="1" applyBorder="1" applyAlignment="1">
      <alignment horizontal="center" vertical="center"/>
    </xf>
    <xf numFmtId="187" fontId="12" fillId="0" borderId="20" xfId="1" applyNumberFormat="1" applyFont="1" applyBorder="1" applyAlignment="1">
      <alignment vertical="center"/>
    </xf>
    <xf numFmtId="2" fontId="12" fillId="0" borderId="20" xfId="1" applyNumberFormat="1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2" fontId="16" fillId="0" borderId="16" xfId="0" applyNumberFormat="1" applyFont="1" applyBorder="1" applyAlignment="1">
      <alignment horizontal="center" vertical="center"/>
    </xf>
    <xf numFmtId="0" fontId="16" fillId="0" borderId="16" xfId="0" applyFont="1" applyBorder="1" applyAlignment="1">
      <alignment vertical="center"/>
    </xf>
    <xf numFmtId="187" fontId="16" fillId="0" borderId="16" xfId="1" applyNumberFormat="1" applyFont="1" applyBorder="1" applyAlignment="1">
      <alignment horizontal="center" vertical="center"/>
    </xf>
    <xf numFmtId="43" fontId="16" fillId="0" borderId="16" xfId="1" applyFont="1" applyBorder="1" applyAlignment="1">
      <alignment vertical="center"/>
    </xf>
    <xf numFmtId="4" fontId="8" fillId="0" borderId="7" xfId="0" applyNumberFormat="1" applyFont="1" applyBorder="1" applyAlignment="1">
      <alignment vertical="center"/>
    </xf>
    <xf numFmtId="0" fontId="33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34" fillId="2" borderId="0" xfId="0" applyFont="1" applyFill="1" applyAlignment="1">
      <alignment horizontal="center" vertical="center"/>
    </xf>
    <xf numFmtId="4" fontId="8" fillId="9" borderId="23" xfId="0" applyNumberFormat="1" applyFont="1" applyFill="1" applyBorder="1"/>
    <xf numFmtId="4" fontId="8" fillId="0" borderId="23" xfId="0" applyNumberFormat="1" applyFont="1" applyBorder="1"/>
    <xf numFmtId="187" fontId="8" fillId="0" borderId="18" xfId="1" applyNumberFormat="1" applyFont="1" applyBorder="1" applyAlignment="1"/>
    <xf numFmtId="0" fontId="35" fillId="0" borderId="0" xfId="0" applyFont="1" applyAlignment="1">
      <alignment horizontal="center"/>
    </xf>
    <xf numFmtId="0" fontId="8" fillId="0" borderId="17" xfId="0" applyFont="1" applyBorder="1" applyAlignment="1">
      <alignment horizontal="center" vertical="center"/>
    </xf>
    <xf numFmtId="187" fontId="8" fillId="0" borderId="15" xfId="2" applyNumberFormat="1" applyFont="1" applyBorder="1" applyAlignment="1">
      <alignment horizontal="center"/>
    </xf>
    <xf numFmtId="43" fontId="8" fillId="0" borderId="23" xfId="1" applyFont="1" applyFill="1" applyBorder="1" applyAlignment="1">
      <alignment horizontal="right" vertical="center"/>
    </xf>
    <xf numFmtId="187" fontId="8" fillId="0" borderId="19" xfId="2" applyNumberFormat="1" applyFont="1" applyBorder="1" applyAlignment="1">
      <alignment horizontal="center"/>
    </xf>
    <xf numFmtId="43" fontId="8" fillId="0" borderId="16" xfId="1" applyFont="1" applyFill="1" applyBorder="1" applyAlignment="1">
      <alignment horizontal="right" vertical="center"/>
    </xf>
    <xf numFmtId="187" fontId="8" fillId="0" borderId="19" xfId="1" applyNumberFormat="1" applyFont="1" applyFill="1" applyBorder="1" applyAlignment="1">
      <alignment horizontal="center" vertical="center"/>
    </xf>
    <xf numFmtId="1" fontId="8" fillId="0" borderId="19" xfId="1" applyNumberFormat="1" applyFont="1" applyFill="1" applyBorder="1" applyAlignment="1">
      <alignment horizontal="center" vertical="center"/>
    </xf>
    <xf numFmtId="2" fontId="8" fillId="0" borderId="16" xfId="1" applyNumberFormat="1" applyFont="1" applyFill="1" applyBorder="1" applyAlignment="1">
      <alignment horizontal="center" vertical="center"/>
    </xf>
    <xf numFmtId="4" fontId="8" fillId="0" borderId="16" xfId="1" applyNumberFormat="1" applyFont="1" applyFill="1" applyBorder="1" applyAlignment="1">
      <alignment horizontal="right" vertical="center"/>
    </xf>
    <xf numFmtId="4" fontId="8" fillId="0" borderId="13" xfId="1" applyNumberFormat="1" applyFont="1" applyFill="1" applyBorder="1" applyAlignment="1">
      <alignment horizontal="right" vertical="center"/>
    </xf>
    <xf numFmtId="43" fontId="8" fillId="0" borderId="0" xfId="1" applyFont="1" applyFill="1" applyAlignment="1">
      <alignment vertical="center"/>
    </xf>
    <xf numFmtId="187" fontId="12" fillId="0" borderId="15" xfId="2" applyNumberFormat="1" applyFont="1" applyBorder="1" applyAlignment="1">
      <alignment horizontal="center"/>
    </xf>
    <xf numFmtId="2" fontId="12" fillId="0" borderId="15" xfId="2" applyNumberFormat="1" applyFont="1" applyBorder="1" applyAlignment="1">
      <alignment horizontal="center"/>
    </xf>
    <xf numFmtId="2" fontId="12" fillId="0" borderId="23" xfId="2" applyNumberFormat="1" applyFont="1" applyBorder="1" applyAlignment="1">
      <alignment horizontal="center"/>
    </xf>
    <xf numFmtId="4" fontId="8" fillId="9" borderId="13" xfId="0" applyNumberFormat="1" applyFont="1" applyFill="1" applyBorder="1"/>
    <xf numFmtId="1" fontId="8" fillId="0" borderId="23" xfId="0" applyNumberFormat="1" applyFont="1" applyBorder="1" applyAlignment="1">
      <alignment horizontal="center"/>
    </xf>
    <xf numFmtId="191" fontId="8" fillId="0" borderId="23" xfId="2" applyNumberFormat="1" applyFont="1" applyBorder="1" applyAlignment="1">
      <alignment horizontal="center"/>
    </xf>
    <xf numFmtId="43" fontId="15" fillId="0" borderId="23" xfId="1" applyFont="1" applyBorder="1" applyAlignment="1">
      <alignment vertical="center"/>
    </xf>
    <xf numFmtId="191" fontId="8" fillId="0" borderId="16" xfId="2" applyNumberFormat="1" applyFont="1" applyBorder="1" applyAlignment="1">
      <alignment horizontal="center"/>
    </xf>
    <xf numFmtId="189" fontId="8" fillId="2" borderId="16" xfId="2" applyFont="1" applyFill="1" applyBorder="1" applyAlignment="1">
      <alignment horizontal="center"/>
    </xf>
    <xf numFmtId="191" fontId="12" fillId="0" borderId="19" xfId="2" applyNumberFormat="1" applyFont="1" applyBorder="1" applyAlignment="1">
      <alignment horizontal="center"/>
    </xf>
    <xf numFmtId="43" fontId="12" fillId="0" borderId="20" xfId="1" applyFont="1" applyBorder="1" applyAlignment="1">
      <alignment horizontal="center" vertical="center"/>
    </xf>
    <xf numFmtId="43" fontId="12" fillId="0" borderId="21" xfId="1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4" fontId="8" fillId="0" borderId="16" xfId="1" applyNumberFormat="1" applyFont="1" applyBorder="1" applyAlignment="1">
      <alignment horizontal="center" vertical="center"/>
    </xf>
    <xf numFmtId="43" fontId="8" fillId="0" borderId="24" xfId="0" applyNumberFormat="1" applyFont="1" applyBorder="1" applyAlignment="1">
      <alignment horizontal="center" vertical="center"/>
    </xf>
    <xf numFmtId="4" fontId="8" fillId="0" borderId="24" xfId="1" applyNumberFormat="1" applyFont="1" applyBorder="1" applyAlignment="1">
      <alignment horizontal="right" vertical="center"/>
    </xf>
    <xf numFmtId="0" fontId="16" fillId="0" borderId="0" xfId="0" applyFont="1" applyAlignment="1">
      <alignment horizontal="center" vertical="center"/>
    </xf>
    <xf numFmtId="2" fontId="12" fillId="0" borderId="19" xfId="1" applyNumberFormat="1" applyFont="1" applyBorder="1" applyAlignment="1">
      <alignment horizontal="center"/>
    </xf>
    <xf numFmtId="0" fontId="8" fillId="0" borderId="28" xfId="0" applyFont="1" applyBorder="1" applyAlignment="1">
      <alignment horizontal="center" vertical="center"/>
    </xf>
    <xf numFmtId="49" fontId="8" fillId="0" borderId="23" xfId="0" applyNumberFormat="1" applyFont="1" applyBorder="1" applyAlignment="1">
      <alignment horizontal="center" vertical="center"/>
    </xf>
    <xf numFmtId="187" fontId="8" fillId="0" borderId="23" xfId="1" applyNumberFormat="1" applyFont="1" applyBorder="1" applyAlignment="1">
      <alignment vertical="center"/>
    </xf>
    <xf numFmtId="0" fontId="15" fillId="0" borderId="15" xfId="0" applyFont="1" applyBorder="1" applyAlignment="1">
      <alignment horizontal="center" vertical="center"/>
    </xf>
    <xf numFmtId="0" fontId="15" fillId="0" borderId="15" xfId="0" applyFont="1" applyBorder="1"/>
    <xf numFmtId="2" fontId="15" fillId="0" borderId="23" xfId="0" applyNumberFormat="1" applyFont="1" applyBorder="1"/>
    <xf numFmtId="0" fontId="15" fillId="0" borderId="17" xfId="0" applyFont="1" applyBorder="1"/>
    <xf numFmtId="2" fontId="15" fillId="0" borderId="15" xfId="0" applyNumberFormat="1" applyFont="1" applyBorder="1"/>
    <xf numFmtId="43" fontId="15" fillId="0" borderId="15" xfId="1" applyFont="1" applyBorder="1"/>
    <xf numFmtId="0" fontId="16" fillId="0" borderId="23" xfId="0" applyFont="1" applyBorder="1" applyAlignment="1">
      <alignment vertical="center"/>
    </xf>
    <xf numFmtId="2" fontId="8" fillId="0" borderId="19" xfId="1" applyNumberFormat="1" applyFont="1" applyBorder="1" applyAlignment="1">
      <alignment horizontal="center"/>
    </xf>
    <xf numFmtId="4" fontId="8" fillId="0" borderId="20" xfId="1" applyNumberFormat="1" applyFont="1" applyBorder="1" applyAlignment="1">
      <alignment horizontal="center" vertical="center"/>
    </xf>
    <xf numFmtId="4" fontId="8" fillId="0" borderId="13" xfId="1" applyNumberFormat="1" applyFont="1" applyBorder="1" applyAlignment="1">
      <alignment horizontal="center" vertical="center"/>
    </xf>
    <xf numFmtId="191" fontId="12" fillId="0" borderId="0" xfId="2" applyNumberFormat="1" applyFont="1" applyAlignment="1">
      <alignment horizontal="center"/>
    </xf>
    <xf numFmtId="189" fontId="12" fillId="0" borderId="2" xfId="2" applyFont="1" applyBorder="1" applyAlignment="1">
      <alignment horizontal="center"/>
    </xf>
    <xf numFmtId="43" fontId="15" fillId="0" borderId="28" xfId="1" applyFont="1" applyBorder="1" applyAlignment="1">
      <alignment vertical="center"/>
    </xf>
    <xf numFmtId="188" fontId="12" fillId="0" borderId="16" xfId="0" applyNumberFormat="1" applyFont="1" applyBorder="1" applyAlignment="1">
      <alignment horizontal="center"/>
    </xf>
    <xf numFmtId="0" fontId="12" fillId="0" borderId="25" xfId="0" applyFont="1" applyBorder="1" applyAlignment="1">
      <alignment horizontal="center" vertical="center"/>
    </xf>
    <xf numFmtId="43" fontId="12" fillId="2" borderId="16" xfId="1" applyFont="1" applyFill="1" applyBorder="1" applyAlignment="1">
      <alignment horizontal="center" vertical="center"/>
    </xf>
    <xf numFmtId="2" fontId="12" fillId="0" borderId="16" xfId="1" applyNumberFormat="1" applyFont="1" applyBorder="1" applyAlignment="1">
      <alignment horizontal="center" vertical="center"/>
    </xf>
    <xf numFmtId="2" fontId="8" fillId="0" borderId="23" xfId="0" applyNumberFormat="1" applyFont="1" applyBorder="1" applyAlignment="1">
      <alignment horizontal="center" vertical="center"/>
    </xf>
    <xf numFmtId="2" fontId="8" fillId="0" borderId="15" xfId="2" applyNumberFormat="1" applyFont="1" applyBorder="1" applyAlignment="1">
      <alignment horizontal="center"/>
    </xf>
    <xf numFmtId="187" fontId="8" fillId="0" borderId="16" xfId="2" applyNumberFormat="1" applyFont="1" applyBorder="1" applyAlignment="1">
      <alignment horizontal="center"/>
    </xf>
    <xf numFmtId="2" fontId="8" fillId="0" borderId="18" xfId="2" applyNumberFormat="1" applyFont="1" applyBorder="1" applyAlignment="1">
      <alignment horizontal="center"/>
    </xf>
    <xf numFmtId="187" fontId="8" fillId="0" borderId="20" xfId="2" applyNumberFormat="1" applyFont="1" applyBorder="1" applyAlignment="1">
      <alignment horizontal="center"/>
    </xf>
    <xf numFmtId="4" fontId="12" fillId="7" borderId="5" xfId="0" applyNumberFormat="1" applyFont="1" applyFill="1" applyBorder="1" applyAlignment="1">
      <alignment horizontal="center" vertical="center"/>
    </xf>
    <xf numFmtId="0" fontId="16" fillId="8" borderId="8" xfId="0" applyFont="1" applyFill="1" applyBorder="1" applyAlignment="1">
      <alignment vertical="center"/>
    </xf>
    <xf numFmtId="0" fontId="8" fillId="0" borderId="0" xfId="0" applyFont="1" applyAlignment="1">
      <alignment horizontal="center"/>
    </xf>
    <xf numFmtId="188" fontId="8" fillId="0" borderId="0" xfId="0" applyNumberFormat="1" applyFont="1" applyAlignment="1">
      <alignment horizontal="center"/>
    </xf>
    <xf numFmtId="43" fontId="8" fillId="0" borderId="2" xfId="1" applyFont="1" applyBorder="1" applyAlignment="1">
      <alignment horizontal="center"/>
    </xf>
    <xf numFmtId="49" fontId="8" fillId="0" borderId="2" xfId="0" applyNumberFormat="1" applyFont="1" applyBorder="1" applyAlignment="1">
      <alignment horizontal="center"/>
    </xf>
    <xf numFmtId="0" fontId="8" fillId="4" borderId="12" xfId="0" applyFont="1" applyFill="1" applyBorder="1" applyAlignment="1">
      <alignment horizontal="center" vertical="center"/>
    </xf>
    <xf numFmtId="43" fontId="8" fillId="0" borderId="2" xfId="1" applyFont="1" applyBorder="1" applyAlignment="1">
      <alignment horizontal="center" vertical="center"/>
    </xf>
    <xf numFmtId="191" fontId="8" fillId="2" borderId="20" xfId="2" applyNumberFormat="1" applyFont="1" applyFill="1" applyBorder="1" applyAlignment="1">
      <alignment horizontal="center"/>
    </xf>
    <xf numFmtId="1" fontId="8" fillId="0" borderId="18" xfId="1" applyNumberFormat="1" applyFont="1" applyBorder="1" applyAlignment="1">
      <alignment horizontal="center" vertical="center"/>
    </xf>
    <xf numFmtId="0" fontId="8" fillId="0" borderId="25" xfId="0" applyFont="1" applyBorder="1" applyAlignment="1">
      <alignment horizontal="center"/>
    </xf>
    <xf numFmtId="0" fontId="8" fillId="0" borderId="16" xfId="0" applyFont="1" applyBorder="1" applyAlignment="1">
      <alignment horizontal="center" wrapText="1"/>
    </xf>
    <xf numFmtId="0" fontId="8" fillId="2" borderId="27" xfId="0" applyFont="1" applyFill="1" applyBorder="1" applyAlignment="1">
      <alignment horizontal="center"/>
    </xf>
    <xf numFmtId="0" fontId="8" fillId="0" borderId="27" xfId="0" applyFont="1" applyBorder="1" applyAlignment="1">
      <alignment horizontal="center"/>
    </xf>
    <xf numFmtId="0" fontId="8" fillId="0" borderId="23" xfId="0" applyFont="1" applyBorder="1" applyAlignment="1">
      <alignment vertical="center"/>
    </xf>
    <xf numFmtId="187" fontId="8" fillId="0" borderId="18" xfId="3" applyNumberFormat="1" applyFont="1" applyBorder="1" applyAlignment="1">
      <alignment horizontal="center" vertical="center"/>
    </xf>
    <xf numFmtId="43" fontId="8" fillId="0" borderId="18" xfId="3" applyFont="1" applyBorder="1" applyAlignment="1">
      <alignment horizontal="center" vertical="center"/>
    </xf>
    <xf numFmtId="2" fontId="8" fillId="0" borderId="18" xfId="3" applyNumberFormat="1" applyFont="1" applyBorder="1" applyAlignment="1">
      <alignment horizontal="center" vertical="center"/>
    </xf>
    <xf numFmtId="2" fontId="8" fillId="0" borderId="16" xfId="3" applyNumberFormat="1" applyFont="1" applyBorder="1" applyAlignment="1">
      <alignment horizontal="center" vertical="center"/>
    </xf>
    <xf numFmtId="189" fontId="8" fillId="0" borderId="16" xfId="2" applyFont="1" applyFill="1" applyBorder="1" applyAlignment="1">
      <alignment horizontal="center"/>
    </xf>
    <xf numFmtId="0" fontId="16" fillId="0" borderId="23" xfId="0" applyFont="1" applyBorder="1" applyAlignment="1">
      <alignment horizontal="center"/>
    </xf>
    <xf numFmtId="0" fontId="15" fillId="0" borderId="20" xfId="0" applyFont="1" applyBorder="1" applyAlignment="1">
      <alignment horizontal="center" vertical="center"/>
    </xf>
    <xf numFmtId="2" fontId="15" fillId="0" borderId="20" xfId="0" applyNumberFormat="1" applyFont="1" applyBorder="1" applyAlignment="1">
      <alignment horizontal="center" vertical="center"/>
    </xf>
    <xf numFmtId="0" fontId="15" fillId="0" borderId="20" xfId="0" applyFont="1" applyBorder="1" applyAlignment="1">
      <alignment vertical="center"/>
    </xf>
    <xf numFmtId="0" fontId="15" fillId="0" borderId="21" xfId="0" applyFont="1" applyBorder="1" applyAlignment="1">
      <alignment vertical="center"/>
    </xf>
    <xf numFmtId="2" fontId="15" fillId="0" borderId="16" xfId="0" applyNumberFormat="1" applyFont="1" applyBorder="1" applyAlignment="1">
      <alignment horizontal="center" vertical="center"/>
    </xf>
    <xf numFmtId="0" fontId="15" fillId="0" borderId="16" xfId="0" applyFont="1" applyBorder="1" applyAlignment="1">
      <alignment vertical="center"/>
    </xf>
    <xf numFmtId="0" fontId="15" fillId="0" borderId="22" xfId="0" applyFont="1" applyBorder="1" applyAlignment="1">
      <alignment vertical="center"/>
    </xf>
    <xf numFmtId="0" fontId="3" fillId="2" borderId="0" xfId="0" applyFont="1" applyFill="1" applyAlignment="1">
      <alignment vertical="center"/>
    </xf>
    <xf numFmtId="188" fontId="5" fillId="0" borderId="23" xfId="0" applyNumberFormat="1" applyFont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/>
    </xf>
    <xf numFmtId="43" fontId="38" fillId="0" borderId="2" xfId="1" applyFont="1" applyBorder="1" applyAlignment="1">
      <alignment horizontal="right" vertical="center"/>
    </xf>
    <xf numFmtId="43" fontId="38" fillId="0" borderId="16" xfId="1" applyFont="1" applyBorder="1" applyAlignment="1">
      <alignment horizontal="center" vertical="center"/>
    </xf>
    <xf numFmtId="187" fontId="38" fillId="0" borderId="16" xfId="1" applyNumberFormat="1" applyFont="1" applyFill="1" applyBorder="1" applyAlignment="1">
      <alignment horizontal="center" vertical="center"/>
    </xf>
    <xf numFmtId="43" fontId="38" fillId="0" borderId="16" xfId="1" applyFont="1" applyFill="1" applyBorder="1" applyAlignment="1">
      <alignment horizontal="center" vertical="center"/>
    </xf>
    <xf numFmtId="43" fontId="38" fillId="0" borderId="16" xfId="0" applyNumberFormat="1" applyFont="1" applyBorder="1" applyAlignment="1">
      <alignment horizontal="center" vertical="center"/>
    </xf>
    <xf numFmtId="4" fontId="38" fillId="0" borderId="16" xfId="1" applyNumberFormat="1" applyFont="1" applyBorder="1" applyAlignment="1">
      <alignment horizontal="right" vertical="center"/>
    </xf>
    <xf numFmtId="43" fontId="38" fillId="0" borderId="20" xfId="1" applyFont="1" applyBorder="1" applyAlignment="1">
      <alignment horizontal="right" vertical="center"/>
    </xf>
    <xf numFmtId="43" fontId="38" fillId="0" borderId="16" xfId="1" applyFont="1" applyBorder="1" applyAlignment="1">
      <alignment horizontal="right" vertical="center"/>
    </xf>
    <xf numFmtId="43" fontId="38" fillId="0" borderId="20" xfId="1" applyFont="1" applyBorder="1" applyAlignment="1">
      <alignment horizontal="center" vertical="center"/>
    </xf>
    <xf numFmtId="187" fontId="38" fillId="0" borderId="20" xfId="1" applyNumberFormat="1" applyFont="1" applyFill="1" applyBorder="1" applyAlignment="1">
      <alignment horizontal="center" vertical="center"/>
    </xf>
    <xf numFmtId="43" fontId="38" fillId="0" borderId="20" xfId="1" applyFont="1" applyFill="1" applyBorder="1" applyAlignment="1">
      <alignment horizontal="center" vertical="center"/>
    </xf>
    <xf numFmtId="43" fontId="38" fillId="0" borderId="20" xfId="0" applyNumberFormat="1" applyFont="1" applyBorder="1" applyAlignment="1">
      <alignment horizontal="center" vertical="center"/>
    </xf>
    <xf numFmtId="4" fontId="38" fillId="0" borderId="20" xfId="1" applyNumberFormat="1" applyFont="1" applyBorder="1" applyAlignment="1">
      <alignment horizontal="right" vertical="center"/>
    </xf>
    <xf numFmtId="43" fontId="38" fillId="0" borderId="13" xfId="1" applyFont="1" applyBorder="1" applyAlignment="1">
      <alignment horizontal="center" vertical="center"/>
    </xf>
    <xf numFmtId="187" fontId="38" fillId="0" borderId="13" xfId="1" applyNumberFormat="1" applyFont="1" applyFill="1" applyBorder="1" applyAlignment="1">
      <alignment horizontal="center" vertical="center"/>
    </xf>
    <xf numFmtId="43" fontId="38" fillId="0" borderId="13" xfId="1" applyFont="1" applyFill="1" applyBorder="1" applyAlignment="1">
      <alignment horizontal="center" vertical="center"/>
    </xf>
    <xf numFmtId="43" fontId="38" fillId="0" borderId="13" xfId="0" applyNumberFormat="1" applyFont="1" applyBorder="1" applyAlignment="1">
      <alignment horizontal="center" vertical="center"/>
    </xf>
    <xf numFmtId="4" fontId="38" fillId="0" borderId="13" xfId="1" applyNumberFormat="1" applyFont="1" applyBorder="1" applyAlignment="1">
      <alignment horizontal="right" vertical="center"/>
    </xf>
    <xf numFmtId="0" fontId="39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43" fontId="40" fillId="0" borderId="0" xfId="1" applyFont="1" applyAlignment="1">
      <alignment vertical="center"/>
    </xf>
    <xf numFmtId="49" fontId="39" fillId="0" borderId="0" xfId="0" applyNumberFormat="1" applyFont="1" applyAlignment="1">
      <alignment vertical="center"/>
    </xf>
    <xf numFmtId="0" fontId="8" fillId="2" borderId="23" xfId="0" applyFont="1" applyFill="1" applyBorder="1" applyAlignment="1">
      <alignment horizontal="center"/>
    </xf>
    <xf numFmtId="2" fontId="12" fillId="0" borderId="18" xfId="0" applyNumberFormat="1" applyFont="1" applyBorder="1" applyAlignment="1">
      <alignment horizontal="center"/>
    </xf>
    <xf numFmtId="1" fontId="12" fillId="0" borderId="18" xfId="2" applyNumberFormat="1" applyFont="1" applyBorder="1" applyAlignment="1">
      <alignment horizontal="center"/>
    </xf>
    <xf numFmtId="0" fontId="8" fillId="0" borderId="22" xfId="0" applyFont="1" applyBorder="1" applyAlignment="1">
      <alignment vertical="center"/>
    </xf>
    <xf numFmtId="0" fontId="8" fillId="0" borderId="39" xfId="0" applyFont="1" applyBorder="1" applyAlignment="1">
      <alignment vertical="center"/>
    </xf>
    <xf numFmtId="2" fontId="8" fillId="0" borderId="23" xfId="1" applyNumberFormat="1" applyFont="1" applyBorder="1" applyAlignment="1">
      <alignment horizontal="center"/>
    </xf>
    <xf numFmtId="43" fontId="8" fillId="0" borderId="23" xfId="1" applyFont="1" applyBorder="1" applyAlignment="1">
      <alignment horizontal="right"/>
    </xf>
    <xf numFmtId="43" fontId="8" fillId="0" borderId="9" xfId="1" applyFont="1" applyBorder="1" applyAlignment="1">
      <alignment horizontal="right"/>
    </xf>
    <xf numFmtId="0" fontId="8" fillId="2" borderId="0" xfId="0" applyFont="1" applyFill="1" applyAlignment="1">
      <alignment vertical="center"/>
    </xf>
    <xf numFmtId="0" fontId="30" fillId="2" borderId="1" xfId="0" applyFont="1" applyFill="1" applyBorder="1" applyAlignment="1">
      <alignment vertical="center"/>
    </xf>
    <xf numFmtId="43" fontId="8" fillId="2" borderId="2" xfId="1" applyFont="1" applyFill="1" applyBorder="1" applyAlignment="1">
      <alignment horizontal="right" vertical="center"/>
    </xf>
    <xf numFmtId="4" fontId="8" fillId="2" borderId="14" xfId="0" applyNumberFormat="1" applyFont="1" applyFill="1" applyBorder="1" applyAlignment="1">
      <alignment vertical="center"/>
    </xf>
    <xf numFmtId="43" fontId="8" fillId="2" borderId="26" xfId="1" applyFont="1" applyFill="1" applyBorder="1" applyAlignment="1">
      <alignment horizontal="right" vertical="center"/>
    </xf>
    <xf numFmtId="0" fontId="8" fillId="2" borderId="21" xfId="0" applyFont="1" applyFill="1" applyBorder="1" applyAlignment="1">
      <alignment horizontal="center" vertical="center"/>
    </xf>
    <xf numFmtId="2" fontId="8" fillId="2" borderId="19" xfId="0" applyNumberFormat="1" applyFont="1" applyFill="1" applyBorder="1" applyAlignment="1">
      <alignment horizontal="center" vertical="center"/>
    </xf>
    <xf numFmtId="1" fontId="8" fillId="2" borderId="19" xfId="1" applyNumberFormat="1" applyFont="1" applyFill="1" applyBorder="1" applyAlignment="1">
      <alignment horizontal="center" vertical="center"/>
    </xf>
    <xf numFmtId="0" fontId="8" fillId="2" borderId="22" xfId="0" applyFont="1" applyFill="1" applyBorder="1" applyAlignment="1">
      <alignment horizontal="center" vertical="center"/>
    </xf>
    <xf numFmtId="2" fontId="8" fillId="2" borderId="18" xfId="0" applyNumberFormat="1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1" fontId="8" fillId="2" borderId="18" xfId="1" applyNumberFormat="1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41" fillId="2" borderId="25" xfId="0" applyFont="1" applyFill="1" applyBorder="1" applyAlignment="1">
      <alignment vertical="center"/>
    </xf>
    <xf numFmtId="0" fontId="41" fillId="2" borderId="20" xfId="0" applyFont="1" applyFill="1" applyBorder="1" applyAlignment="1">
      <alignment vertical="center"/>
    </xf>
    <xf numFmtId="49" fontId="41" fillId="2" borderId="20" xfId="0" applyNumberFormat="1" applyFont="1" applyFill="1" applyBorder="1" applyAlignment="1">
      <alignment vertical="center"/>
    </xf>
    <xf numFmtId="0" fontId="41" fillId="2" borderId="26" xfId="0" applyFont="1" applyFill="1" applyBorder="1" applyAlignment="1">
      <alignment vertical="center"/>
    </xf>
    <xf numFmtId="2" fontId="41" fillId="2" borderId="26" xfId="0" applyNumberFormat="1" applyFont="1" applyFill="1" applyBorder="1" applyAlignment="1">
      <alignment vertical="center"/>
    </xf>
    <xf numFmtId="2" fontId="41" fillId="2" borderId="0" xfId="0" applyNumberFormat="1" applyFont="1" applyFill="1" applyAlignment="1">
      <alignment vertical="center"/>
    </xf>
    <xf numFmtId="43" fontId="8" fillId="2" borderId="0" xfId="1" applyFont="1" applyFill="1" applyAlignment="1">
      <alignment vertical="center"/>
    </xf>
    <xf numFmtId="49" fontId="8" fillId="2" borderId="0" xfId="0" applyNumberFormat="1" applyFont="1" applyFill="1" applyAlignment="1">
      <alignment vertical="center"/>
    </xf>
    <xf numFmtId="4" fontId="8" fillId="0" borderId="16" xfId="1" applyNumberFormat="1" applyFont="1" applyFill="1" applyBorder="1" applyAlignment="1">
      <alignment horizontal="center" vertical="center"/>
    </xf>
    <xf numFmtId="4" fontId="8" fillId="0" borderId="20" xfId="1" applyNumberFormat="1" applyFont="1" applyFill="1" applyBorder="1" applyAlignment="1">
      <alignment horizontal="center" vertical="center"/>
    </xf>
    <xf numFmtId="43" fontId="16" fillId="0" borderId="0" xfId="1" applyFont="1" applyFill="1" applyAlignment="1">
      <alignment vertical="center"/>
    </xf>
    <xf numFmtId="43" fontId="8" fillId="2" borderId="18" xfId="1" applyFont="1" applyFill="1" applyBorder="1" applyAlignment="1">
      <alignment horizontal="center"/>
    </xf>
    <xf numFmtId="0" fontId="8" fillId="0" borderId="26" xfId="0" applyFont="1" applyBorder="1" applyAlignment="1">
      <alignment horizontal="center"/>
    </xf>
    <xf numFmtId="0" fontId="12" fillId="0" borderId="29" xfId="0" applyFont="1" applyBorder="1" applyAlignment="1">
      <alignment horizontal="center"/>
    </xf>
    <xf numFmtId="49" fontId="12" fillId="0" borderId="29" xfId="0" applyNumberFormat="1" applyFont="1" applyBorder="1" applyAlignment="1">
      <alignment horizontal="center"/>
    </xf>
    <xf numFmtId="0" fontId="12" fillId="0" borderId="39" xfId="0" applyFont="1" applyBorder="1" applyAlignment="1">
      <alignment horizontal="center"/>
    </xf>
    <xf numFmtId="2" fontId="12" fillId="0" borderId="29" xfId="0" applyNumberFormat="1" applyFont="1" applyBorder="1" applyAlignment="1">
      <alignment horizontal="center"/>
    </xf>
    <xf numFmtId="43" fontId="8" fillId="2" borderId="9" xfId="1" applyFont="1" applyFill="1" applyBorder="1" applyAlignment="1">
      <alignment horizontal="center"/>
    </xf>
    <xf numFmtId="49" fontId="8" fillId="0" borderId="29" xfId="0" applyNumberFormat="1" applyFont="1" applyBorder="1" applyAlignment="1">
      <alignment horizontal="center"/>
    </xf>
    <xf numFmtId="187" fontId="8" fillId="0" borderId="10" xfId="1" applyNumberFormat="1" applyFont="1" applyBorder="1" applyAlignment="1">
      <alignment horizontal="center"/>
    </xf>
    <xf numFmtId="4" fontId="8" fillId="2" borderId="23" xfId="0" applyNumberFormat="1" applyFont="1" applyFill="1" applyBorder="1"/>
    <xf numFmtId="0" fontId="8" fillId="0" borderId="0" xfId="0" applyFont="1"/>
    <xf numFmtId="4" fontId="8" fillId="2" borderId="20" xfId="0" applyNumberFormat="1" applyFont="1" applyFill="1" applyBorder="1"/>
    <xf numFmtId="2" fontId="8" fillId="0" borderId="26" xfId="2" applyNumberFormat="1" applyFont="1" applyBorder="1" applyAlignment="1">
      <alignment horizontal="center" vertical="center"/>
    </xf>
    <xf numFmtId="43" fontId="8" fillId="0" borderId="0" xfId="0" applyNumberFormat="1" applyFont="1"/>
    <xf numFmtId="187" fontId="8" fillId="0" borderId="20" xfId="2" applyNumberFormat="1" applyFont="1" applyBorder="1" applyAlignment="1">
      <alignment horizontal="center" vertical="center"/>
    </xf>
    <xf numFmtId="2" fontId="8" fillId="0" borderId="20" xfId="2" applyNumberFormat="1" applyFont="1" applyBorder="1" applyAlignment="1">
      <alignment horizontal="center" vertical="center"/>
    </xf>
    <xf numFmtId="49" fontId="8" fillId="0" borderId="9" xfId="0" applyNumberFormat="1" applyFont="1" applyBorder="1" applyAlignment="1">
      <alignment horizontal="center"/>
    </xf>
    <xf numFmtId="0" fontId="8" fillId="0" borderId="32" xfId="0" applyFont="1" applyBorder="1" applyAlignment="1">
      <alignment horizontal="center"/>
    </xf>
    <xf numFmtId="2" fontId="8" fillId="0" borderId="10" xfId="0" applyNumberFormat="1" applyFont="1" applyBorder="1" applyAlignment="1">
      <alignment horizontal="center"/>
    </xf>
    <xf numFmtId="189" fontId="8" fillId="0" borderId="10" xfId="2" applyFont="1" applyBorder="1"/>
    <xf numFmtId="189" fontId="8" fillId="0" borderId="9" xfId="2" applyFont="1" applyBorder="1"/>
    <xf numFmtId="2" fontId="8" fillId="0" borderId="32" xfId="0" applyNumberFormat="1" applyFont="1" applyBorder="1" applyAlignment="1">
      <alignment horizontal="center"/>
    </xf>
    <xf numFmtId="49" fontId="8" fillId="0" borderId="32" xfId="0" applyNumberFormat="1" applyFont="1" applyBorder="1" applyAlignment="1">
      <alignment horizontal="center" vertical="center"/>
    </xf>
    <xf numFmtId="187" fontId="8" fillId="0" borderId="9" xfId="2" applyNumberFormat="1" applyFont="1" applyBorder="1" applyAlignment="1">
      <alignment horizontal="center" vertical="center"/>
    </xf>
    <xf numFmtId="4" fontId="8" fillId="0" borderId="9" xfId="0" applyNumberFormat="1" applyFont="1" applyBorder="1"/>
    <xf numFmtId="189" fontId="8" fillId="0" borderId="29" xfId="2" applyFont="1" applyBorder="1" applyAlignment="1">
      <alignment horizontal="center"/>
    </xf>
    <xf numFmtId="2" fontId="15" fillId="0" borderId="23" xfId="0" applyNumberFormat="1" applyFont="1" applyBorder="1" applyAlignment="1">
      <alignment horizontal="center" vertical="center"/>
    </xf>
    <xf numFmtId="0" fontId="15" fillId="0" borderId="23" xfId="0" applyFont="1" applyBorder="1" applyAlignment="1">
      <alignment vertical="center"/>
    </xf>
    <xf numFmtId="0" fontId="15" fillId="0" borderId="17" xfId="0" applyFont="1" applyBorder="1" applyAlignment="1">
      <alignment vertical="center"/>
    </xf>
    <xf numFmtId="188" fontId="12" fillId="0" borderId="25" xfId="0" applyNumberFormat="1" applyFont="1" applyBorder="1" applyAlignment="1">
      <alignment horizontal="center"/>
    </xf>
    <xf numFmtId="49" fontId="12" fillId="0" borderId="16" xfId="0" applyNumberFormat="1" applyFont="1" applyBorder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188" fontId="12" fillId="0" borderId="20" xfId="0" applyNumberFormat="1" applyFont="1" applyBorder="1" applyAlignment="1">
      <alignment horizontal="center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43" fontId="8" fillId="0" borderId="26" xfId="1" applyFont="1" applyBorder="1" applyAlignment="1">
      <alignment horizontal="center" vertical="center"/>
    </xf>
    <xf numFmtId="0" fontId="16" fillId="0" borderId="18" xfId="0" applyFont="1" applyBorder="1" applyAlignment="1">
      <alignment vertical="center"/>
    </xf>
    <xf numFmtId="187" fontId="8" fillId="0" borderId="23" xfId="3" applyNumberFormat="1" applyFont="1" applyBorder="1" applyAlignment="1">
      <alignment horizontal="center" vertical="center"/>
    </xf>
    <xf numFmtId="189" fontId="8" fillId="0" borderId="23" xfId="3" applyNumberFormat="1" applyFont="1" applyBorder="1" applyAlignment="1">
      <alignment horizontal="center" vertical="center"/>
    </xf>
    <xf numFmtId="43" fontId="8" fillId="0" borderId="19" xfId="3" applyFont="1" applyBorder="1" applyAlignment="1">
      <alignment horizontal="center" vertical="center"/>
    </xf>
    <xf numFmtId="189" fontId="8" fillId="0" borderId="20" xfId="3" applyNumberFormat="1" applyFont="1" applyBorder="1" applyAlignment="1">
      <alignment horizontal="center" vertical="center"/>
    </xf>
    <xf numFmtId="43" fontId="8" fillId="0" borderId="20" xfId="3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191" fontId="16" fillId="0" borderId="23" xfId="2" applyNumberFormat="1" applyFont="1" applyBorder="1" applyAlignment="1">
      <alignment horizontal="center"/>
    </xf>
    <xf numFmtId="189" fontId="16" fillId="0" borderId="23" xfId="2" applyFont="1" applyBorder="1"/>
    <xf numFmtId="189" fontId="16" fillId="0" borderId="23" xfId="2" applyFont="1" applyBorder="1" applyAlignment="1">
      <alignment horizontal="center"/>
    </xf>
    <xf numFmtId="189" fontId="16" fillId="0" borderId="17" xfId="2" applyFont="1" applyBorder="1"/>
    <xf numFmtId="189" fontId="8" fillId="0" borderId="16" xfId="2" applyFont="1" applyBorder="1"/>
    <xf numFmtId="189" fontId="8" fillId="0" borderId="22" xfId="2" applyFont="1" applyBorder="1"/>
    <xf numFmtId="0" fontId="12" fillId="2" borderId="21" xfId="0" applyFont="1" applyFill="1" applyBorder="1" applyAlignment="1">
      <alignment horizontal="center" vertical="center"/>
    </xf>
    <xf numFmtId="2" fontId="12" fillId="2" borderId="20" xfId="0" applyNumberFormat="1" applyFont="1" applyFill="1" applyBorder="1" applyAlignment="1">
      <alignment horizontal="center" vertical="center"/>
    </xf>
    <xf numFmtId="2" fontId="8" fillId="2" borderId="31" xfId="1" applyNumberFormat="1" applyFont="1" applyFill="1" applyBorder="1" applyAlignment="1">
      <alignment horizontal="center" vertical="center"/>
    </xf>
    <xf numFmtId="0" fontId="8" fillId="2" borderId="26" xfId="0" applyFont="1" applyFill="1" applyBorder="1" applyAlignment="1">
      <alignment horizontal="center" vertical="center"/>
    </xf>
    <xf numFmtId="0" fontId="15" fillId="0" borderId="20" xfId="0" applyFont="1" applyBorder="1" applyAlignment="1">
      <alignment horizontal="center"/>
    </xf>
    <xf numFmtId="191" fontId="15" fillId="0" borderId="20" xfId="2" applyNumberFormat="1" applyFont="1" applyBorder="1" applyAlignment="1">
      <alignment horizontal="center"/>
    </xf>
    <xf numFmtId="2" fontId="15" fillId="0" borderId="20" xfId="0" applyNumberFormat="1" applyFont="1" applyBorder="1" applyAlignment="1">
      <alignment horizontal="center"/>
    </xf>
    <xf numFmtId="189" fontId="15" fillId="0" borderId="20" xfId="2" applyFont="1" applyBorder="1"/>
    <xf numFmtId="0" fontId="15" fillId="0" borderId="20" xfId="0" applyFont="1" applyBorder="1"/>
    <xf numFmtId="0" fontId="16" fillId="0" borderId="21" xfId="0" applyFont="1" applyBorder="1"/>
    <xf numFmtId="43" fontId="42" fillId="0" borderId="21" xfId="1" applyFont="1" applyBorder="1" applyAlignment="1">
      <alignment horizontal="center" vertical="center"/>
    </xf>
    <xf numFmtId="49" fontId="12" fillId="0" borderId="15" xfId="0" applyNumberFormat="1" applyFont="1" applyBorder="1" applyAlignment="1">
      <alignment horizontal="center" vertical="center"/>
    </xf>
    <xf numFmtId="2" fontId="12" fillId="0" borderId="15" xfId="0" applyNumberFormat="1" applyFont="1" applyBorder="1" applyAlignment="1">
      <alignment horizontal="center" vertical="center"/>
    </xf>
    <xf numFmtId="43" fontId="8" fillId="0" borderId="28" xfId="1" applyFont="1" applyBorder="1" applyAlignment="1">
      <alignment horizontal="right" vertical="center"/>
    </xf>
    <xf numFmtId="9" fontId="8" fillId="0" borderId="23" xfId="0" applyNumberFormat="1" applyFont="1" applyBorder="1" applyAlignment="1">
      <alignment horizontal="center" vertical="center"/>
    </xf>
    <xf numFmtId="187" fontId="8" fillId="0" borderId="17" xfId="1" applyNumberFormat="1" applyFont="1" applyBorder="1" applyAlignment="1">
      <alignment horizontal="center" vertical="center"/>
    </xf>
    <xf numFmtId="189" fontId="8" fillId="0" borderId="23" xfId="1" applyNumberFormat="1" applyFont="1" applyBorder="1" applyAlignment="1">
      <alignment horizontal="center" vertical="center"/>
    </xf>
    <xf numFmtId="2" fontId="8" fillId="0" borderId="15" xfId="1" applyNumberFormat="1" applyFont="1" applyBorder="1" applyAlignment="1">
      <alignment horizontal="center" vertical="center"/>
    </xf>
    <xf numFmtId="9" fontId="8" fillId="0" borderId="16" xfId="0" applyNumberFormat="1" applyFont="1" applyBorder="1" applyAlignment="1">
      <alignment horizontal="center" vertical="center"/>
    </xf>
    <xf numFmtId="187" fontId="8" fillId="0" borderId="22" xfId="1" applyNumberFormat="1" applyFont="1" applyBorder="1" applyAlignment="1">
      <alignment horizontal="center" vertical="center"/>
    </xf>
    <xf numFmtId="189" fontId="8" fillId="0" borderId="16" xfId="1" applyNumberFormat="1" applyFont="1" applyBorder="1" applyAlignment="1">
      <alignment horizontal="center" vertical="center"/>
    </xf>
    <xf numFmtId="187" fontId="8" fillId="0" borderId="0" xfId="1" applyNumberFormat="1" applyFont="1" applyAlignment="1">
      <alignment horizontal="center" vertical="center"/>
    </xf>
    <xf numFmtId="189" fontId="8" fillId="0" borderId="20" xfId="1" applyNumberFormat="1" applyFont="1" applyBorder="1" applyAlignment="1">
      <alignment horizontal="center" vertical="center"/>
    </xf>
    <xf numFmtId="49" fontId="8" fillId="0" borderId="0" xfId="0" applyNumberFormat="1" applyFont="1" applyAlignment="1">
      <alignment horizontal="center" vertical="center"/>
    </xf>
    <xf numFmtId="2" fontId="8" fillId="0" borderId="16" xfId="2" applyNumberFormat="1" applyFont="1" applyBorder="1" applyAlignment="1">
      <alignment horizontal="center" vertical="center"/>
    </xf>
    <xf numFmtId="189" fontId="8" fillId="0" borderId="16" xfId="2" applyFont="1" applyBorder="1" applyAlignment="1">
      <alignment horizontal="center" vertical="center"/>
    </xf>
    <xf numFmtId="2" fontId="8" fillId="0" borderId="2" xfId="1" applyNumberFormat="1" applyFont="1" applyBorder="1" applyAlignment="1">
      <alignment horizontal="center" vertical="center"/>
    </xf>
    <xf numFmtId="49" fontId="8" fillId="0" borderId="2" xfId="0" applyNumberFormat="1" applyFont="1" applyBorder="1" applyAlignment="1">
      <alignment horizontal="center" vertical="center"/>
    </xf>
    <xf numFmtId="187" fontId="8" fillId="0" borderId="2" xfId="1" applyNumberFormat="1" applyFont="1" applyBorder="1" applyAlignment="1">
      <alignment horizontal="center" vertical="center"/>
    </xf>
    <xf numFmtId="0" fontId="8" fillId="2" borderId="27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2" fontId="6" fillId="0" borderId="19" xfId="0" applyNumberFormat="1" applyFont="1" applyBorder="1" applyAlignment="1">
      <alignment horizontal="center" vertical="center"/>
    </xf>
    <xf numFmtId="49" fontId="6" fillId="0" borderId="19" xfId="0" applyNumberFormat="1" applyFont="1" applyBorder="1" applyAlignment="1">
      <alignment horizontal="center" vertical="center"/>
    </xf>
    <xf numFmtId="187" fontId="6" fillId="0" borderId="19" xfId="1" applyNumberFormat="1" applyFont="1" applyBorder="1" applyAlignment="1">
      <alignment horizontal="center" vertical="center"/>
    </xf>
    <xf numFmtId="43" fontId="6" fillId="0" borderId="19" xfId="1" applyFont="1" applyBorder="1" applyAlignment="1">
      <alignment horizontal="center" vertical="center"/>
    </xf>
    <xf numFmtId="1" fontId="6" fillId="0" borderId="19" xfId="1" applyNumberFormat="1" applyFont="1" applyBorder="1" applyAlignment="1">
      <alignment horizontal="center" vertical="center"/>
    </xf>
    <xf numFmtId="4" fontId="38" fillId="0" borderId="13" xfId="1" applyNumberFormat="1" applyFont="1" applyBorder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8" fillId="0" borderId="2" xfId="0" applyFont="1" applyBorder="1" applyAlignment="1">
      <alignment vertical="center"/>
    </xf>
    <xf numFmtId="49" fontId="8" fillId="0" borderId="2" xfId="0" applyNumberFormat="1" applyFont="1" applyBorder="1" applyAlignment="1">
      <alignment vertical="center"/>
    </xf>
    <xf numFmtId="187" fontId="8" fillId="0" borderId="2" xfId="1" applyNumberFormat="1" applyFont="1" applyBorder="1" applyAlignment="1">
      <alignment vertical="center"/>
    </xf>
    <xf numFmtId="43" fontId="8" fillId="0" borderId="2" xfId="1" applyFont="1" applyBorder="1" applyAlignment="1">
      <alignment vertical="center"/>
    </xf>
    <xf numFmtId="1" fontId="8" fillId="0" borderId="2" xfId="1" applyNumberFormat="1" applyFont="1" applyBorder="1" applyAlignment="1">
      <alignment vertical="center"/>
    </xf>
    <xf numFmtId="2" fontId="8" fillId="0" borderId="2" xfId="1" applyNumberFormat="1" applyFont="1" applyBorder="1" applyAlignment="1">
      <alignment vertical="center"/>
    </xf>
    <xf numFmtId="0" fontId="12" fillId="0" borderId="2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/>
    </xf>
    <xf numFmtId="0" fontId="12" fillId="0" borderId="23" xfId="0" applyFont="1" applyBorder="1"/>
    <xf numFmtId="0" fontId="12" fillId="0" borderId="28" xfId="0" applyFont="1" applyBorder="1"/>
    <xf numFmtId="187" fontId="12" fillId="0" borderId="23" xfId="1" applyNumberFormat="1" applyFont="1" applyBorder="1"/>
    <xf numFmtId="189" fontId="12" fillId="0" borderId="23" xfId="2" applyFont="1" applyBorder="1"/>
    <xf numFmtId="0" fontId="12" fillId="0" borderId="28" xfId="0" applyFont="1" applyBorder="1" applyAlignment="1">
      <alignment horizontal="center"/>
    </xf>
    <xf numFmtId="43" fontId="8" fillId="0" borderId="5" xfId="1" applyFont="1" applyBorder="1" applyAlignment="1">
      <alignment vertical="center"/>
    </xf>
    <xf numFmtId="189" fontId="12" fillId="2" borderId="20" xfId="2" applyFont="1" applyFill="1" applyBorder="1" applyAlignment="1">
      <alignment horizontal="center"/>
    </xf>
    <xf numFmtId="0" fontId="12" fillId="0" borderId="20" xfId="0" applyFont="1" applyBorder="1"/>
    <xf numFmtId="0" fontId="12" fillId="0" borderId="25" xfId="0" applyFont="1" applyBorder="1"/>
    <xf numFmtId="187" fontId="12" fillId="0" borderId="20" xfId="1" applyNumberFormat="1" applyFont="1" applyBorder="1"/>
    <xf numFmtId="189" fontId="12" fillId="0" borderId="20" xfId="2" applyFont="1" applyBorder="1"/>
    <xf numFmtId="0" fontId="12" fillId="0" borderId="25" xfId="0" applyFont="1" applyBorder="1" applyAlignment="1">
      <alignment horizontal="center"/>
    </xf>
    <xf numFmtId="43" fontId="8" fillId="0" borderId="26" xfId="1" applyFont="1" applyBorder="1" applyAlignment="1">
      <alignment vertical="center"/>
    </xf>
    <xf numFmtId="187" fontId="12" fillId="0" borderId="20" xfId="2" applyNumberFormat="1" applyFont="1" applyBorder="1" applyAlignment="1">
      <alignment horizontal="center" vertical="center"/>
    </xf>
    <xf numFmtId="0" fontId="12" fillId="0" borderId="25" xfId="0" applyFont="1" applyBorder="1" applyAlignment="1">
      <alignment vertical="center"/>
    </xf>
    <xf numFmtId="189" fontId="12" fillId="0" borderId="16" xfId="2" applyFont="1" applyFill="1" applyBorder="1" applyAlignment="1">
      <alignment horizontal="center"/>
    </xf>
    <xf numFmtId="43" fontId="12" fillId="0" borderId="20" xfId="0" applyNumberFormat="1" applyFont="1" applyBorder="1" applyAlignment="1">
      <alignment horizontal="center"/>
    </xf>
    <xf numFmtId="43" fontId="8" fillId="0" borderId="25" xfId="1" applyFont="1" applyBorder="1" applyAlignment="1">
      <alignment vertical="center"/>
    </xf>
    <xf numFmtId="2" fontId="8" fillId="0" borderId="27" xfId="0" applyNumberFormat="1" applyFont="1" applyBorder="1" applyAlignment="1">
      <alignment horizontal="center" vertical="center"/>
    </xf>
    <xf numFmtId="49" fontId="8" fillId="0" borderId="23" xfId="0" applyNumberFormat="1" applyFont="1" applyBorder="1" applyAlignment="1">
      <alignment vertical="center"/>
    </xf>
    <xf numFmtId="1" fontId="8" fillId="0" borderId="23" xfId="1" applyNumberFormat="1" applyFont="1" applyBorder="1" applyAlignment="1">
      <alignment vertical="center"/>
    </xf>
    <xf numFmtId="187" fontId="12" fillId="0" borderId="16" xfId="2" applyNumberFormat="1" applyFont="1" applyBorder="1" applyAlignment="1">
      <alignment horizontal="center"/>
    </xf>
    <xf numFmtId="2" fontId="12" fillId="0" borderId="18" xfId="2" applyNumberFormat="1" applyFont="1" applyBorder="1" applyAlignment="1">
      <alignment horizontal="center"/>
    </xf>
    <xf numFmtId="43" fontId="8" fillId="0" borderId="8" xfId="1" applyFont="1" applyBorder="1" applyAlignment="1">
      <alignment horizontal="center" vertical="center"/>
    </xf>
    <xf numFmtId="43" fontId="8" fillId="0" borderId="4" xfId="1" applyFont="1" applyBorder="1" applyAlignment="1">
      <alignment horizontal="center" vertical="center"/>
    </xf>
    <xf numFmtId="188" fontId="12" fillId="0" borderId="21" xfId="0" applyNumberFormat="1" applyFont="1" applyBorder="1" applyAlignment="1">
      <alignment horizontal="center" vertical="center"/>
    </xf>
    <xf numFmtId="188" fontId="12" fillId="0" borderId="20" xfId="0" applyNumberFormat="1" applyFont="1" applyBorder="1" applyAlignment="1">
      <alignment horizontal="center" vertical="center"/>
    </xf>
    <xf numFmtId="43" fontId="12" fillId="0" borderId="16" xfId="1" applyFont="1" applyBorder="1" applyAlignment="1">
      <alignment horizontal="center" vertical="center"/>
    </xf>
    <xf numFmtId="187" fontId="12" fillId="0" borderId="19" xfId="2" applyNumberFormat="1" applyFont="1" applyBorder="1" applyAlignment="1">
      <alignment horizontal="center"/>
    </xf>
    <xf numFmtId="2" fontId="12" fillId="0" borderId="20" xfId="0" applyNumberFormat="1" applyFont="1" applyBorder="1" applyAlignment="1">
      <alignment horizontal="center"/>
    </xf>
    <xf numFmtId="189" fontId="8" fillId="0" borderId="10" xfId="2" applyFont="1" applyBorder="1" applyAlignment="1">
      <alignment horizontal="center"/>
    </xf>
    <xf numFmtId="189" fontId="8" fillId="0" borderId="9" xfId="2" applyFont="1" applyBorder="1" applyAlignment="1">
      <alignment horizontal="center"/>
    </xf>
    <xf numFmtId="189" fontId="8" fillId="0" borderId="23" xfId="2" applyFont="1" applyBorder="1" applyAlignment="1">
      <alignment horizontal="center" vertical="center"/>
    </xf>
    <xf numFmtId="9" fontId="8" fillId="0" borderId="9" xfId="0" applyNumberFormat="1" applyFont="1" applyBorder="1" applyAlignment="1">
      <alignment horizontal="center" vertical="center"/>
    </xf>
    <xf numFmtId="187" fontId="8" fillId="0" borderId="18" xfId="2" applyNumberFormat="1" applyFont="1" applyBorder="1" applyAlignment="1">
      <alignment horizontal="center" vertical="center"/>
    </xf>
    <xf numFmtId="189" fontId="8" fillId="0" borderId="18" xfId="2" applyFont="1" applyBorder="1" applyAlignment="1">
      <alignment horizontal="center" vertical="center"/>
    </xf>
    <xf numFmtId="2" fontId="8" fillId="0" borderId="18" xfId="2" applyNumberFormat="1" applyFont="1" applyBorder="1" applyAlignment="1">
      <alignment horizontal="center" vertical="center"/>
    </xf>
    <xf numFmtId="4" fontId="8" fillId="9" borderId="13" xfId="0" applyNumberFormat="1" applyFont="1" applyFill="1" applyBorder="1" applyAlignment="1">
      <alignment vertical="center"/>
    </xf>
    <xf numFmtId="2" fontId="12" fillId="0" borderId="20" xfId="1" applyNumberFormat="1" applyFont="1" applyBorder="1" applyAlignment="1">
      <alignment horizontal="center"/>
    </xf>
    <xf numFmtId="0" fontId="15" fillId="0" borderId="26" xfId="0" applyFont="1" applyBorder="1"/>
    <xf numFmtId="49" fontId="8" fillId="0" borderId="23" xfId="0" applyNumberFormat="1" applyFont="1" applyBorder="1" applyAlignment="1">
      <alignment horizontal="center"/>
    </xf>
    <xf numFmtId="0" fontId="8" fillId="0" borderId="32" xfId="0" applyFont="1" applyBorder="1" applyAlignment="1">
      <alignment horizontal="center" vertical="center"/>
    </xf>
    <xf numFmtId="191" fontId="8" fillId="0" borderId="20" xfId="2" applyNumberFormat="1" applyFont="1" applyBorder="1" applyAlignment="1">
      <alignment horizontal="center"/>
    </xf>
    <xf numFmtId="191" fontId="8" fillId="0" borderId="9" xfId="2" applyNumberFormat="1" applyFont="1" applyBorder="1" applyAlignment="1">
      <alignment horizontal="center"/>
    </xf>
    <xf numFmtId="191" fontId="8" fillId="0" borderId="2" xfId="2" applyNumberFormat="1" applyFont="1" applyBorder="1" applyAlignment="1">
      <alignment horizontal="center"/>
    </xf>
    <xf numFmtId="2" fontId="12" fillId="0" borderId="19" xfId="2" applyNumberFormat="1" applyFont="1" applyBorder="1" applyAlignment="1">
      <alignment horizontal="center"/>
    </xf>
    <xf numFmtId="2" fontId="8" fillId="0" borderId="23" xfId="1" applyNumberFormat="1" applyFont="1" applyBorder="1" applyAlignment="1">
      <alignment vertical="center"/>
    </xf>
    <xf numFmtId="49" fontId="8" fillId="0" borderId="20" xfId="0" applyNumberFormat="1" applyFont="1" applyBorder="1" applyAlignment="1">
      <alignment vertical="center"/>
    </xf>
    <xf numFmtId="1" fontId="8" fillId="0" borderId="20" xfId="1" applyNumberFormat="1" applyFont="1" applyBorder="1" applyAlignment="1">
      <alignment vertical="center"/>
    </xf>
    <xf numFmtId="2" fontId="8" fillId="0" borderId="20" xfId="1" applyNumberFormat="1" applyFont="1" applyBorder="1" applyAlignment="1">
      <alignment vertical="center"/>
    </xf>
    <xf numFmtId="0" fontId="31" fillId="0" borderId="0" xfId="0" applyFont="1" applyAlignment="1">
      <alignment vertical="center"/>
    </xf>
    <xf numFmtId="4" fontId="12" fillId="7" borderId="0" xfId="0" applyNumberFormat="1" applyFont="1" applyFill="1" applyAlignment="1">
      <alignment horizontal="center" vertical="center"/>
    </xf>
    <xf numFmtId="0" fontId="12" fillId="7" borderId="0" xfId="0" applyFont="1" applyFill="1" applyAlignment="1">
      <alignment horizontal="center" vertical="center"/>
    </xf>
    <xf numFmtId="0" fontId="16" fillId="8" borderId="0" xfId="0" applyFont="1" applyFill="1" applyAlignment="1">
      <alignment vertical="center"/>
    </xf>
    <xf numFmtId="187" fontId="8" fillId="0" borderId="20" xfId="3" applyNumberFormat="1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 wrapText="1"/>
    </xf>
    <xf numFmtId="43" fontId="8" fillId="0" borderId="21" xfId="3" applyFont="1" applyBorder="1" applyAlignment="1">
      <alignment horizontal="center" vertical="center"/>
    </xf>
    <xf numFmtId="187" fontId="8" fillId="0" borderId="21" xfId="3" applyNumberFormat="1" applyFont="1" applyBorder="1" applyAlignment="1">
      <alignment horizontal="center" vertical="center"/>
    </xf>
    <xf numFmtId="187" fontId="8" fillId="0" borderId="21" xfId="1" applyNumberFormat="1" applyFont="1" applyBorder="1" applyAlignment="1">
      <alignment horizontal="center" vertical="center"/>
    </xf>
    <xf numFmtId="0" fontId="8" fillId="2" borderId="18" xfId="0" applyFont="1" applyFill="1" applyBorder="1" applyAlignment="1">
      <alignment horizontal="center"/>
    </xf>
    <xf numFmtId="0" fontId="8" fillId="0" borderId="28" xfId="0" applyFont="1" applyBorder="1" applyAlignment="1">
      <alignment horizontal="center"/>
    </xf>
    <xf numFmtId="43" fontId="12" fillId="0" borderId="23" xfId="1" applyFont="1" applyFill="1" applyBorder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16" fillId="0" borderId="9" xfId="0" applyFont="1" applyBorder="1" applyAlignment="1">
      <alignment horizontal="center"/>
    </xf>
    <xf numFmtId="43" fontId="12" fillId="0" borderId="32" xfId="1" applyFont="1" applyBorder="1" applyAlignment="1">
      <alignment horizontal="center"/>
    </xf>
    <xf numFmtId="188" fontId="8" fillId="0" borderId="19" xfId="0" applyNumberFormat="1" applyFont="1" applyBorder="1" applyAlignment="1">
      <alignment horizontal="center"/>
    </xf>
    <xf numFmtId="188" fontId="16" fillId="0" borderId="9" xfId="0" applyNumberFormat="1" applyFont="1" applyBorder="1" applyAlignment="1">
      <alignment horizontal="center"/>
    </xf>
    <xf numFmtId="2" fontId="8" fillId="0" borderId="26" xfId="1" applyNumberFormat="1" applyFont="1" applyBorder="1" applyAlignment="1">
      <alignment horizontal="center" vertical="center"/>
    </xf>
    <xf numFmtId="43" fontId="8" fillId="2" borderId="2" xfId="1" applyFont="1" applyFill="1" applyBorder="1" applyAlignment="1">
      <alignment horizontal="center"/>
    </xf>
    <xf numFmtId="0" fontId="12" fillId="0" borderId="28" xfId="0" applyFont="1" applyBorder="1" applyAlignment="1">
      <alignment horizontal="center" vertical="center"/>
    </xf>
    <xf numFmtId="0" fontId="12" fillId="0" borderId="20" xfId="0" applyFont="1" applyBorder="1" applyAlignment="1">
      <alignment vertical="center"/>
    </xf>
    <xf numFmtId="43" fontId="8" fillId="0" borderId="16" xfId="3" applyFont="1" applyBorder="1" applyAlignment="1">
      <alignment horizontal="center" vertical="center"/>
    </xf>
    <xf numFmtId="43" fontId="8" fillId="0" borderId="22" xfId="3" applyFont="1" applyBorder="1" applyAlignment="1">
      <alignment horizontal="center" vertical="center"/>
    </xf>
    <xf numFmtId="187" fontId="8" fillId="0" borderId="16" xfId="3" applyNumberFormat="1" applyFont="1" applyBorder="1" applyAlignment="1">
      <alignment horizontal="center" vertical="center"/>
    </xf>
    <xf numFmtId="2" fontId="8" fillId="0" borderId="23" xfId="3" applyNumberFormat="1" applyFont="1" applyBorder="1" applyAlignment="1">
      <alignment horizontal="center" vertical="center"/>
    </xf>
    <xf numFmtId="187" fontId="8" fillId="0" borderId="20" xfId="3" applyNumberFormat="1" applyFont="1" applyBorder="1" applyAlignment="1">
      <alignment vertical="center"/>
    </xf>
    <xf numFmtId="43" fontId="8" fillId="0" borderId="20" xfId="3" applyFont="1" applyBorder="1" applyAlignment="1">
      <alignment vertical="center"/>
    </xf>
    <xf numFmtId="2" fontId="8" fillId="0" borderId="20" xfId="3" applyNumberFormat="1" applyFont="1" applyBorder="1" applyAlignment="1">
      <alignment horizontal="center" vertical="center"/>
    </xf>
    <xf numFmtId="43" fontId="16" fillId="0" borderId="16" xfId="3" applyFont="1" applyBorder="1" applyAlignment="1">
      <alignment vertical="center"/>
    </xf>
    <xf numFmtId="1" fontId="8" fillId="0" borderId="23" xfId="1" applyNumberFormat="1" applyFont="1" applyBorder="1" applyAlignment="1">
      <alignment horizontal="center" vertical="center"/>
    </xf>
    <xf numFmtId="4" fontId="8" fillId="0" borderId="7" xfId="0" applyNumberFormat="1" applyFont="1" applyBorder="1"/>
    <xf numFmtId="0" fontId="8" fillId="2" borderId="23" xfId="0" applyFont="1" applyFill="1" applyBorder="1" applyAlignment="1">
      <alignment vertical="center"/>
    </xf>
    <xf numFmtId="0" fontId="8" fillId="2" borderId="16" xfId="0" applyFont="1" applyFill="1" applyBorder="1" applyAlignment="1">
      <alignment vertical="center"/>
    </xf>
    <xf numFmtId="49" fontId="12" fillId="0" borderId="16" xfId="0" applyNumberFormat="1" applyFont="1" applyBorder="1" applyAlignment="1">
      <alignment horizontal="center"/>
    </xf>
    <xf numFmtId="187" fontId="12" fillId="0" borderId="16" xfId="2" applyNumberFormat="1" applyFont="1" applyFill="1" applyBorder="1" applyAlignment="1">
      <alignment horizontal="center"/>
    </xf>
    <xf numFmtId="187" fontId="12" fillId="0" borderId="16" xfId="1" applyNumberFormat="1" applyFont="1" applyFill="1" applyBorder="1" applyAlignment="1">
      <alignment horizontal="center"/>
    </xf>
    <xf numFmtId="43" fontId="12" fillId="0" borderId="16" xfId="0" applyNumberFormat="1" applyFont="1" applyBorder="1" applyAlignment="1">
      <alignment horizontal="center"/>
    </xf>
    <xf numFmtId="1" fontId="8" fillId="0" borderId="16" xfId="1" applyNumberFormat="1" applyFont="1" applyBorder="1" applyAlignment="1">
      <alignment vertical="center"/>
    </xf>
    <xf numFmtId="191" fontId="12" fillId="0" borderId="20" xfId="2" applyNumberFormat="1" applyFont="1" applyBorder="1" applyAlignment="1">
      <alignment horizontal="center"/>
    </xf>
    <xf numFmtId="0" fontId="12" fillId="0" borderId="19" xfId="0" applyFont="1" applyBorder="1"/>
    <xf numFmtId="191" fontId="12" fillId="0" borderId="20" xfId="2" applyNumberFormat="1" applyFont="1" applyBorder="1"/>
    <xf numFmtId="189" fontId="12" fillId="0" borderId="19" xfId="2" applyFont="1" applyBorder="1"/>
    <xf numFmtId="0" fontId="12" fillId="0" borderId="23" xfId="0" applyFont="1" applyBorder="1" applyAlignment="1">
      <alignment vertical="center"/>
    </xf>
    <xf numFmtId="2" fontId="12" fillId="0" borderId="23" xfId="0" applyNumberFormat="1" applyFont="1" applyBorder="1" applyAlignment="1">
      <alignment vertical="center"/>
    </xf>
    <xf numFmtId="49" fontId="12" fillId="0" borderId="23" xfId="0" applyNumberFormat="1" applyFont="1" applyBorder="1" applyAlignment="1">
      <alignment vertical="center"/>
    </xf>
    <xf numFmtId="187" fontId="12" fillId="0" borderId="23" xfId="1" applyNumberFormat="1" applyFont="1" applyBorder="1" applyAlignment="1"/>
    <xf numFmtId="0" fontId="17" fillId="0" borderId="0" xfId="0" applyFont="1" applyAlignment="1">
      <alignment vertical="center"/>
    </xf>
    <xf numFmtId="191" fontId="8" fillId="0" borderId="15" xfId="2" applyNumberFormat="1" applyFont="1" applyBorder="1" applyAlignment="1">
      <alignment horizontal="center"/>
    </xf>
    <xf numFmtId="188" fontId="8" fillId="0" borderId="9" xfId="0" applyNumberFormat="1" applyFont="1" applyBorder="1" applyAlignment="1">
      <alignment horizontal="center" vertical="center"/>
    </xf>
    <xf numFmtId="189" fontId="12" fillId="0" borderId="25" xfId="2" applyFont="1" applyBorder="1" applyAlignment="1">
      <alignment horizontal="center"/>
    </xf>
    <xf numFmtId="187" fontId="12" fillId="0" borderId="18" xfId="1" applyNumberFormat="1" applyFont="1" applyBorder="1" applyAlignment="1">
      <alignment horizontal="center"/>
    </xf>
    <xf numFmtId="43" fontId="8" fillId="0" borderId="27" xfId="1" applyFont="1" applyBorder="1" applyAlignment="1">
      <alignment horizontal="center"/>
    </xf>
    <xf numFmtId="4" fontId="8" fillId="0" borderId="16" xfId="1" applyNumberFormat="1" applyFont="1" applyBorder="1" applyAlignment="1">
      <alignment horizontal="center"/>
    </xf>
    <xf numFmtId="0" fontId="12" fillId="0" borderId="33" xfId="0" applyFont="1" applyBorder="1" applyAlignment="1">
      <alignment horizontal="center" vertical="center"/>
    </xf>
    <xf numFmtId="2" fontId="8" fillId="0" borderId="25" xfId="2" applyNumberFormat="1" applyFont="1" applyBorder="1" applyAlignment="1">
      <alignment horizontal="center"/>
    </xf>
    <xf numFmtId="2" fontId="12" fillId="0" borderId="22" xfId="0" applyNumberFormat="1" applyFont="1" applyBorder="1" applyAlignment="1">
      <alignment horizontal="center"/>
    </xf>
    <xf numFmtId="2" fontId="8" fillId="0" borderId="27" xfId="2" applyNumberFormat="1" applyFont="1" applyBorder="1" applyAlignment="1">
      <alignment horizontal="center"/>
    </xf>
    <xf numFmtId="49" fontId="12" fillId="0" borderId="20" xfId="0" applyNumberFormat="1" applyFont="1" applyBorder="1" applyAlignment="1">
      <alignment horizontal="center"/>
    </xf>
    <xf numFmtId="187" fontId="12" fillId="0" borderId="20" xfId="2" applyNumberFormat="1" applyFont="1" applyBorder="1" applyAlignment="1">
      <alignment horizontal="center"/>
    </xf>
    <xf numFmtId="1" fontId="12" fillId="0" borderId="21" xfId="2" applyNumberFormat="1" applyFont="1" applyBorder="1" applyAlignment="1">
      <alignment horizontal="center"/>
    </xf>
    <xf numFmtId="0" fontId="12" fillId="2" borderId="20" xfId="0" applyFont="1" applyFill="1" applyBorder="1" applyAlignment="1">
      <alignment horizontal="center" vertical="center"/>
    </xf>
    <xf numFmtId="0" fontId="12" fillId="2" borderId="16" xfId="0" applyFont="1" applyFill="1" applyBorder="1" applyAlignment="1">
      <alignment horizontal="center" vertical="center"/>
    </xf>
    <xf numFmtId="188" fontId="12" fillId="2" borderId="25" xfId="0" applyNumberFormat="1" applyFont="1" applyFill="1" applyBorder="1" applyAlignment="1">
      <alignment horizontal="center" vertical="center"/>
    </xf>
    <xf numFmtId="43" fontId="12" fillId="2" borderId="19" xfId="1" applyFont="1" applyFill="1" applyBorder="1" applyAlignment="1">
      <alignment horizontal="center" vertical="center"/>
    </xf>
    <xf numFmtId="43" fontId="12" fillId="2" borderId="20" xfId="1" applyFont="1" applyFill="1" applyBorder="1" applyAlignment="1">
      <alignment horizontal="center" vertical="center"/>
    </xf>
    <xf numFmtId="43" fontId="12" fillId="2" borderId="21" xfId="1" applyFont="1" applyFill="1" applyBorder="1" applyAlignment="1">
      <alignment horizontal="center" vertical="center"/>
    </xf>
    <xf numFmtId="0" fontId="12" fillId="2" borderId="27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43" fontId="12" fillId="2" borderId="20" xfId="1" applyFont="1" applyFill="1" applyBorder="1" applyAlignment="1">
      <alignment vertical="center"/>
    </xf>
    <xf numFmtId="2" fontId="12" fillId="2" borderId="16" xfId="1" applyNumberFormat="1" applyFont="1" applyFill="1" applyBorder="1" applyAlignment="1">
      <alignment horizontal="center" vertical="center"/>
    </xf>
    <xf numFmtId="0" fontId="8" fillId="0" borderId="17" xfId="0" applyFont="1" applyBorder="1" applyAlignment="1">
      <alignment horizontal="center"/>
    </xf>
    <xf numFmtId="4" fontId="8" fillId="9" borderId="23" xfId="0" applyNumberFormat="1" applyFont="1" applyFill="1" applyBorder="1" applyAlignment="1">
      <alignment vertical="center"/>
    </xf>
    <xf numFmtId="189" fontId="8" fillId="2" borderId="25" xfId="2" applyFont="1" applyFill="1" applyBorder="1" applyAlignment="1">
      <alignment horizontal="center"/>
    </xf>
    <xf numFmtId="0" fontId="8" fillId="0" borderId="20" xfId="0" applyFont="1" applyBorder="1"/>
    <xf numFmtId="49" fontId="8" fillId="0" borderId="16" xfId="0" applyNumberFormat="1" applyFont="1" applyBorder="1"/>
    <xf numFmtId="0" fontId="8" fillId="0" borderId="16" xfId="0" applyFont="1" applyBorder="1"/>
    <xf numFmtId="43" fontId="8" fillId="2" borderId="25" xfId="1" applyFont="1" applyFill="1" applyBorder="1" applyAlignment="1">
      <alignment horizontal="center" vertical="center"/>
    </xf>
    <xf numFmtId="2" fontId="8" fillId="0" borderId="22" xfId="0" applyNumberFormat="1" applyFont="1" applyBorder="1" applyAlignment="1">
      <alignment vertical="center"/>
    </xf>
    <xf numFmtId="0" fontId="8" fillId="2" borderId="2" xfId="0" applyFont="1" applyFill="1" applyBorder="1" applyAlignment="1">
      <alignment horizontal="center" vertical="center"/>
    </xf>
    <xf numFmtId="49" fontId="8" fillId="0" borderId="8" xfId="0" applyNumberFormat="1" applyFont="1" applyBorder="1" applyAlignment="1">
      <alignment horizontal="center" vertical="center"/>
    </xf>
    <xf numFmtId="187" fontId="8" fillId="0" borderId="8" xfId="1" applyNumberFormat="1" applyFont="1" applyBorder="1" applyAlignment="1">
      <alignment horizontal="center" vertical="center"/>
    </xf>
    <xf numFmtId="0" fontId="16" fillId="0" borderId="20" xfId="0" applyFont="1" applyBorder="1" applyAlignment="1">
      <alignment horizontal="center"/>
    </xf>
    <xf numFmtId="0" fontId="16" fillId="0" borderId="20" xfId="0" applyFont="1" applyBorder="1" applyAlignment="1">
      <alignment horizontal="center" vertical="center"/>
    </xf>
    <xf numFmtId="191" fontId="16" fillId="0" borderId="20" xfId="2" applyNumberFormat="1" applyFont="1" applyBorder="1" applyAlignment="1">
      <alignment horizontal="center"/>
    </xf>
    <xf numFmtId="2" fontId="16" fillId="0" borderId="20" xfId="0" applyNumberFormat="1" applyFont="1" applyBorder="1" applyAlignment="1">
      <alignment horizontal="center"/>
    </xf>
    <xf numFmtId="189" fontId="16" fillId="0" borderId="20" xfId="2" applyFont="1" applyBorder="1"/>
    <xf numFmtId="192" fontId="16" fillId="0" borderId="21" xfId="0" applyNumberFormat="1" applyFont="1" applyBorder="1"/>
    <xf numFmtId="0" fontId="8" fillId="0" borderId="30" xfId="0" applyFont="1" applyBorder="1" applyAlignment="1">
      <alignment horizontal="center"/>
    </xf>
    <xf numFmtId="0" fontId="16" fillId="0" borderId="20" xfId="0" applyFont="1" applyBorder="1"/>
    <xf numFmtId="2" fontId="8" fillId="0" borderId="31" xfId="2" applyNumberFormat="1" applyFont="1" applyBorder="1" applyAlignment="1">
      <alignment horizontal="center"/>
    </xf>
    <xf numFmtId="0" fontId="16" fillId="0" borderId="16" xfId="0" applyFont="1" applyBorder="1" applyAlignment="1">
      <alignment horizontal="center"/>
    </xf>
    <xf numFmtId="191" fontId="16" fillId="0" borderId="16" xfId="2" applyNumberFormat="1" applyFont="1" applyBorder="1" applyAlignment="1">
      <alignment horizontal="center"/>
    </xf>
    <xf numFmtId="2" fontId="16" fillId="0" borderId="16" xfId="0" applyNumberFormat="1" applyFont="1" applyBorder="1" applyAlignment="1">
      <alignment horizontal="center"/>
    </xf>
    <xf numFmtId="189" fontId="16" fillId="0" borderId="16" xfId="2" applyFont="1" applyBorder="1"/>
    <xf numFmtId="192" fontId="16" fillId="0" borderId="16" xfId="0" applyNumberFormat="1" applyFont="1" applyBorder="1"/>
    <xf numFmtId="0" fontId="18" fillId="8" borderId="0" xfId="0" applyFont="1" applyFill="1" applyAlignment="1">
      <alignment vertical="center"/>
    </xf>
    <xf numFmtId="2" fontId="8" fillId="0" borderId="15" xfId="0" applyNumberFormat="1" applyFont="1" applyBorder="1" applyAlignment="1">
      <alignment horizontal="center" vertical="center"/>
    </xf>
    <xf numFmtId="1" fontId="8" fillId="0" borderId="15" xfId="1" applyNumberFormat="1" applyFont="1" applyBorder="1" applyAlignment="1">
      <alignment horizontal="center" vertical="center"/>
    </xf>
    <xf numFmtId="189" fontId="8" fillId="2" borderId="15" xfId="2" applyFont="1" applyFill="1" applyBorder="1" applyAlignment="1">
      <alignment horizontal="center"/>
    </xf>
    <xf numFmtId="189" fontId="8" fillId="2" borderId="19" xfId="2" applyFont="1" applyFill="1" applyBorder="1" applyAlignment="1">
      <alignment horizontal="center"/>
    </xf>
    <xf numFmtId="2" fontId="12" fillId="0" borderId="10" xfId="0" applyNumberFormat="1" applyFont="1" applyBorder="1" applyAlignment="1">
      <alignment horizontal="center"/>
    </xf>
    <xf numFmtId="0" fontId="8" fillId="2" borderId="9" xfId="0" applyFont="1" applyFill="1" applyBorder="1" applyAlignment="1">
      <alignment horizontal="center"/>
    </xf>
    <xf numFmtId="49" fontId="8" fillId="0" borderId="10" xfId="0" applyNumberFormat="1" applyFont="1" applyBorder="1" applyAlignment="1">
      <alignment horizontal="center"/>
    </xf>
    <xf numFmtId="187" fontId="8" fillId="0" borderId="10" xfId="2" applyNumberFormat="1" applyFont="1" applyBorder="1" applyAlignment="1">
      <alignment horizontal="center"/>
    </xf>
    <xf numFmtId="49" fontId="12" fillId="0" borderId="33" xfId="0" applyNumberFormat="1" applyFont="1" applyBorder="1" applyAlignment="1">
      <alignment horizontal="center"/>
    </xf>
    <xf numFmtId="0" fontId="16" fillId="0" borderId="32" xfId="0" applyFont="1" applyBorder="1" applyAlignment="1">
      <alignment horizontal="center"/>
    </xf>
    <xf numFmtId="49" fontId="16" fillId="0" borderId="18" xfId="0" applyNumberFormat="1" applyFont="1" applyBorder="1"/>
    <xf numFmtId="0" fontId="16" fillId="0" borderId="18" xfId="0" applyFont="1" applyBorder="1" applyAlignment="1">
      <alignment horizontal="center"/>
    </xf>
    <xf numFmtId="0" fontId="16" fillId="0" borderId="10" xfId="0" applyFont="1" applyBorder="1" applyAlignment="1">
      <alignment horizontal="center"/>
    </xf>
    <xf numFmtId="2" fontId="16" fillId="0" borderId="10" xfId="0" applyNumberFormat="1" applyFont="1" applyBorder="1" applyAlignment="1">
      <alignment horizontal="center"/>
    </xf>
    <xf numFmtId="2" fontId="16" fillId="0" borderId="9" xfId="0" applyNumberFormat="1" applyFont="1" applyBorder="1" applyAlignment="1">
      <alignment horizontal="center"/>
    </xf>
    <xf numFmtId="0" fontId="16" fillId="0" borderId="9" xfId="0" applyFont="1" applyBorder="1"/>
    <xf numFmtId="0" fontId="16" fillId="0" borderId="16" xfId="0" applyFont="1" applyBorder="1"/>
    <xf numFmtId="0" fontId="16" fillId="0" borderId="10" xfId="0" applyFont="1" applyBorder="1"/>
    <xf numFmtId="0" fontId="16" fillId="0" borderId="40" xfId="0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49" fontId="16" fillId="0" borderId="26" xfId="0" applyNumberFormat="1" applyFont="1" applyBorder="1" applyAlignment="1">
      <alignment vertical="center"/>
    </xf>
    <xf numFmtId="0" fontId="16" fillId="0" borderId="26" xfId="0" applyFont="1" applyBorder="1" applyAlignment="1">
      <alignment horizontal="center" vertical="center"/>
    </xf>
    <xf numFmtId="2" fontId="16" fillId="0" borderId="26" xfId="0" applyNumberFormat="1" applyFont="1" applyBorder="1" applyAlignment="1">
      <alignment horizontal="center" vertical="center"/>
    </xf>
    <xf numFmtId="0" fontId="16" fillId="0" borderId="26" xfId="0" applyFont="1" applyBorder="1" applyAlignment="1">
      <alignment vertical="center"/>
    </xf>
    <xf numFmtId="0" fontId="16" fillId="0" borderId="24" xfId="0" applyFont="1" applyBorder="1" applyAlignment="1">
      <alignment horizontal="center" vertical="center"/>
    </xf>
    <xf numFmtId="0" fontId="12" fillId="0" borderId="24" xfId="0" applyFont="1" applyBorder="1" applyAlignment="1">
      <alignment horizontal="center" vertical="center"/>
    </xf>
    <xf numFmtId="49" fontId="16" fillId="0" borderId="24" xfId="0" applyNumberFormat="1" applyFont="1" applyBorder="1" applyAlignment="1">
      <alignment vertical="center"/>
    </xf>
    <xf numFmtId="2" fontId="12" fillId="0" borderId="24" xfId="0" applyNumberFormat="1" applyFont="1" applyBorder="1" applyAlignment="1">
      <alignment horizontal="center" vertical="center"/>
    </xf>
    <xf numFmtId="2" fontId="16" fillId="0" borderId="24" xfId="0" applyNumberFormat="1" applyFont="1" applyBorder="1" applyAlignment="1">
      <alignment horizontal="center" vertical="center"/>
    </xf>
    <xf numFmtId="0" fontId="16" fillId="0" borderId="24" xfId="0" applyFont="1" applyBorder="1" applyAlignment="1">
      <alignment vertical="center"/>
    </xf>
    <xf numFmtId="0" fontId="8" fillId="0" borderId="24" xfId="0" applyFont="1" applyBorder="1" applyAlignment="1">
      <alignment vertical="center"/>
    </xf>
    <xf numFmtId="189" fontId="8" fillId="2" borderId="26" xfId="2" applyFont="1" applyFill="1" applyBorder="1" applyAlignment="1">
      <alignment horizontal="center"/>
    </xf>
    <xf numFmtId="0" fontId="15" fillId="0" borderId="25" xfId="0" applyFont="1" applyBorder="1"/>
    <xf numFmtId="49" fontId="15" fillId="0" borderId="20" xfId="0" applyNumberFormat="1" applyFont="1" applyBorder="1"/>
    <xf numFmtId="187" fontId="8" fillId="0" borderId="23" xfId="1" applyNumberFormat="1" applyFont="1" applyBorder="1" applyAlignment="1">
      <alignment horizontal="center"/>
    </xf>
    <xf numFmtId="1" fontId="8" fillId="0" borderId="23" xfId="1" applyNumberFormat="1" applyFont="1" applyBorder="1" applyAlignment="1">
      <alignment horizontal="center"/>
    </xf>
    <xf numFmtId="43" fontId="8" fillId="0" borderId="24" xfId="1" applyFont="1" applyBorder="1" applyAlignment="1">
      <alignment horizontal="center"/>
    </xf>
    <xf numFmtId="0" fontId="43" fillId="2" borderId="0" xfId="0" applyFont="1" applyFill="1" applyAlignment="1">
      <alignment vertical="center"/>
    </xf>
    <xf numFmtId="0" fontId="43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43" fontId="44" fillId="0" borderId="0" xfId="1" applyFont="1" applyAlignment="1">
      <alignment vertical="center"/>
    </xf>
    <xf numFmtId="0" fontId="45" fillId="0" borderId="1" xfId="0" applyFont="1" applyBorder="1" applyAlignment="1">
      <alignment vertical="center"/>
    </xf>
    <xf numFmtId="4" fontId="46" fillId="7" borderId="2" xfId="0" applyNumberFormat="1" applyFont="1" applyFill="1" applyBorder="1" applyAlignment="1">
      <alignment horizontal="center" vertical="center"/>
    </xf>
    <xf numFmtId="0" fontId="46" fillId="7" borderId="2" xfId="0" applyFont="1" applyFill="1" applyBorder="1" applyAlignment="1">
      <alignment horizontal="center" vertical="center"/>
    </xf>
    <xf numFmtId="0" fontId="44" fillId="8" borderId="8" xfId="0" applyFont="1" applyFill="1" applyBorder="1" applyAlignment="1">
      <alignment vertical="center"/>
    </xf>
    <xf numFmtId="0" fontId="47" fillId="3" borderId="2" xfId="0" applyFont="1" applyFill="1" applyBorder="1" applyAlignment="1">
      <alignment vertical="center"/>
    </xf>
    <xf numFmtId="0" fontId="47" fillId="4" borderId="6" xfId="0" applyFont="1" applyFill="1" applyBorder="1" applyAlignment="1">
      <alignment vertical="center"/>
    </xf>
    <xf numFmtId="0" fontId="47" fillId="5" borderId="8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vertical="center"/>
    </xf>
    <xf numFmtId="43" fontId="46" fillId="6" borderId="2" xfId="1" applyFont="1" applyFill="1" applyBorder="1" applyAlignment="1">
      <alignment horizontal="center" vertical="center"/>
    </xf>
    <xf numFmtId="4" fontId="46" fillId="7" borderId="9" xfId="0" applyNumberFormat="1" applyFont="1" applyFill="1" applyBorder="1" applyAlignment="1">
      <alignment horizontal="center" vertical="center"/>
    </xf>
    <xf numFmtId="0" fontId="44" fillId="7" borderId="9" xfId="0" applyFont="1" applyFill="1" applyBorder="1" applyAlignment="1">
      <alignment vertical="center"/>
    </xf>
    <xf numFmtId="0" fontId="46" fillId="7" borderId="9" xfId="0" applyFont="1" applyFill="1" applyBorder="1" applyAlignment="1">
      <alignment horizontal="center" vertical="center"/>
    </xf>
    <xf numFmtId="0" fontId="46" fillId="8" borderId="9" xfId="0" applyFont="1" applyFill="1" applyBorder="1" applyAlignment="1">
      <alignment horizontal="center" vertical="center"/>
    </xf>
    <xf numFmtId="0" fontId="47" fillId="3" borderId="9" xfId="0" applyFont="1" applyFill="1" applyBorder="1" applyAlignment="1">
      <alignment horizontal="center" vertical="center"/>
    </xf>
    <xf numFmtId="0" fontId="47" fillId="3" borderId="9" xfId="0" applyFont="1" applyFill="1" applyBorder="1" applyAlignment="1">
      <alignment vertical="center"/>
    </xf>
    <xf numFmtId="0" fontId="48" fillId="3" borderId="9" xfId="0" applyFont="1" applyFill="1" applyBorder="1" applyAlignment="1">
      <alignment horizontal="center" vertical="center"/>
    </xf>
    <xf numFmtId="0" fontId="48" fillId="3" borderId="2" xfId="0" applyFont="1" applyFill="1" applyBorder="1" applyAlignment="1">
      <alignment horizontal="center" vertical="center"/>
    </xf>
    <xf numFmtId="0" fontId="47" fillId="4" borderId="2" xfId="0" applyFont="1" applyFill="1" applyBorder="1" applyAlignment="1">
      <alignment horizontal="center" vertical="center"/>
    </xf>
    <xf numFmtId="2" fontId="47" fillId="4" borderId="2" xfId="0" applyNumberFormat="1" applyFont="1" applyFill="1" applyBorder="1" applyAlignment="1">
      <alignment horizontal="center" vertical="center"/>
    </xf>
    <xf numFmtId="2" fontId="48" fillId="4" borderId="4" xfId="0" applyNumberFormat="1" applyFont="1" applyFill="1" applyBorder="1" applyAlignment="1">
      <alignment horizontal="center" vertical="center"/>
    </xf>
    <xf numFmtId="0" fontId="48" fillId="4" borderId="2" xfId="0" applyFont="1" applyFill="1" applyBorder="1" applyAlignment="1">
      <alignment horizontal="center" vertical="center"/>
    </xf>
    <xf numFmtId="0" fontId="47" fillId="4" borderId="8" xfId="0" applyFont="1" applyFill="1" applyBorder="1" applyAlignment="1">
      <alignment horizontal="center" vertical="center"/>
    </xf>
    <xf numFmtId="0" fontId="47" fillId="4" borderId="10" xfId="0" applyFont="1" applyFill="1" applyBorder="1" applyAlignment="1">
      <alignment horizontal="center" vertical="center"/>
    </xf>
    <xf numFmtId="0" fontId="47" fillId="5" borderId="10" xfId="0" applyFont="1" applyFill="1" applyBorder="1" applyAlignment="1">
      <alignment horizontal="center" vertical="center"/>
    </xf>
    <xf numFmtId="0" fontId="47" fillId="5" borderId="9" xfId="0" applyFont="1" applyFill="1" applyBorder="1" applyAlignment="1">
      <alignment horizontal="center" vertical="center"/>
    </xf>
    <xf numFmtId="43" fontId="46" fillId="6" borderId="9" xfId="1" applyFont="1" applyFill="1" applyBorder="1" applyAlignment="1">
      <alignment horizontal="center" vertical="center"/>
    </xf>
    <xf numFmtId="2" fontId="48" fillId="3" borderId="9" xfId="0" applyNumberFormat="1" applyFont="1" applyFill="1" applyBorder="1" applyAlignment="1">
      <alignment horizontal="center" vertical="center"/>
    </xf>
    <xf numFmtId="2" fontId="47" fillId="3" borderId="9" xfId="0" applyNumberFormat="1" applyFont="1" applyFill="1" applyBorder="1" applyAlignment="1">
      <alignment horizontal="center" vertical="center"/>
    </xf>
    <xf numFmtId="0" fontId="47" fillId="4" borderId="9" xfId="0" applyFont="1" applyFill="1" applyBorder="1" applyAlignment="1">
      <alignment horizontal="center" vertical="center"/>
    </xf>
    <xf numFmtId="0" fontId="48" fillId="4" borderId="9" xfId="0" applyFont="1" applyFill="1" applyBorder="1" applyAlignment="1">
      <alignment horizontal="center" vertical="center"/>
    </xf>
    <xf numFmtId="2" fontId="48" fillId="4" borderId="9" xfId="0" applyNumberFormat="1" applyFont="1" applyFill="1" applyBorder="1" applyAlignment="1">
      <alignment horizontal="center" vertical="center"/>
    </xf>
    <xf numFmtId="2" fontId="48" fillId="4" borderId="0" xfId="0" applyNumberFormat="1" applyFont="1" applyFill="1" applyAlignment="1">
      <alignment horizontal="center" vertical="center"/>
    </xf>
    <xf numFmtId="2" fontId="47" fillId="4" borderId="9" xfId="0" applyNumberFormat="1" applyFont="1" applyFill="1" applyBorder="1" applyAlignment="1">
      <alignment horizontal="center" vertical="center"/>
    </xf>
    <xf numFmtId="0" fontId="48" fillId="4" borderId="8" xfId="0" applyFont="1" applyFill="1" applyBorder="1" applyAlignment="1">
      <alignment horizontal="center" vertical="center"/>
    </xf>
    <xf numFmtId="0" fontId="48" fillId="4" borderId="10" xfId="0" applyFont="1" applyFill="1" applyBorder="1" applyAlignment="1">
      <alignment horizontal="center" vertical="center"/>
    </xf>
    <xf numFmtId="2" fontId="47" fillId="5" borderId="9" xfId="0" applyNumberFormat="1" applyFont="1" applyFill="1" applyBorder="1" applyAlignment="1">
      <alignment horizontal="center" vertical="center"/>
    </xf>
    <xf numFmtId="0" fontId="46" fillId="7" borderId="13" xfId="0" applyFont="1" applyFill="1" applyBorder="1" applyAlignment="1">
      <alignment horizontal="center" vertical="center"/>
    </xf>
    <xf numFmtId="0" fontId="46" fillId="8" borderId="13" xfId="0" applyFont="1" applyFill="1" applyBorder="1" applyAlignment="1">
      <alignment horizontal="center" vertical="center"/>
    </xf>
    <xf numFmtId="0" fontId="47" fillId="3" borderId="13" xfId="0" applyFont="1" applyFill="1" applyBorder="1" applyAlignment="1">
      <alignment horizontal="center" vertical="center"/>
    </xf>
    <xf numFmtId="0" fontId="47" fillId="3" borderId="13" xfId="0" applyFont="1" applyFill="1" applyBorder="1" applyAlignment="1">
      <alignment vertical="center"/>
    </xf>
    <xf numFmtId="2" fontId="47" fillId="3" borderId="13" xfId="0" applyNumberFormat="1" applyFont="1" applyFill="1" applyBorder="1" applyAlignment="1">
      <alignment vertical="center"/>
    </xf>
    <xf numFmtId="2" fontId="48" fillId="3" borderId="13" xfId="0" applyNumberFormat="1" applyFont="1" applyFill="1" applyBorder="1" applyAlignment="1">
      <alignment horizontal="center" vertical="center"/>
    </xf>
    <xf numFmtId="2" fontId="47" fillId="3" borderId="13" xfId="0" applyNumberFormat="1" applyFont="1" applyFill="1" applyBorder="1" applyAlignment="1">
      <alignment horizontal="center" vertical="center"/>
    </xf>
    <xf numFmtId="0" fontId="47" fillId="4" borderId="13" xfId="0" applyFont="1" applyFill="1" applyBorder="1" applyAlignment="1">
      <alignment horizontal="center" vertical="center"/>
    </xf>
    <xf numFmtId="0" fontId="48" fillId="4" borderId="13" xfId="0" applyFont="1" applyFill="1" applyBorder="1" applyAlignment="1">
      <alignment horizontal="center" vertical="center"/>
    </xf>
    <xf numFmtId="0" fontId="48" fillId="4" borderId="1" xfId="0" applyFont="1" applyFill="1" applyBorder="1" applyAlignment="1">
      <alignment horizontal="center" vertical="center"/>
    </xf>
    <xf numFmtId="2" fontId="48" fillId="4" borderId="13" xfId="0" applyNumberFormat="1" applyFont="1" applyFill="1" applyBorder="1" applyAlignment="1">
      <alignment horizontal="center" vertical="center"/>
    </xf>
    <xf numFmtId="2" fontId="47" fillId="4" borderId="13" xfId="0" applyNumberFormat="1" applyFont="1" applyFill="1" applyBorder="1" applyAlignment="1">
      <alignment horizontal="center" vertical="center"/>
    </xf>
    <xf numFmtId="2" fontId="47" fillId="4" borderId="11" xfId="0" applyNumberFormat="1" applyFont="1" applyFill="1" applyBorder="1" applyAlignment="1">
      <alignment horizontal="center" vertical="center"/>
    </xf>
    <xf numFmtId="2" fontId="47" fillId="5" borderId="11" xfId="0" applyNumberFormat="1" applyFont="1" applyFill="1" applyBorder="1" applyAlignment="1">
      <alignment horizontal="center" vertical="center"/>
    </xf>
    <xf numFmtId="2" fontId="47" fillId="5" borderId="13" xfId="0" applyNumberFormat="1" applyFont="1" applyFill="1" applyBorder="1" applyAlignment="1">
      <alignment horizontal="center" vertical="center"/>
    </xf>
    <xf numFmtId="0" fontId="47" fillId="5" borderId="13" xfId="0" applyFont="1" applyFill="1" applyBorder="1" applyAlignment="1">
      <alignment horizontal="center" vertical="center"/>
    </xf>
    <xf numFmtId="43" fontId="46" fillId="6" borderId="13" xfId="1" applyFont="1" applyFill="1" applyBorder="1" applyAlignment="1">
      <alignment horizontal="center" vertical="center"/>
    </xf>
    <xf numFmtId="4" fontId="47" fillId="9" borderId="23" xfId="0" applyNumberFormat="1" applyFont="1" applyFill="1" applyBorder="1" applyAlignment="1">
      <alignment vertical="center"/>
    </xf>
    <xf numFmtId="4" fontId="47" fillId="0" borderId="23" xfId="0" applyNumberFormat="1" applyFont="1" applyBorder="1" applyAlignment="1">
      <alignment vertical="center"/>
    </xf>
    <xf numFmtId="0" fontId="47" fillId="0" borderId="15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/>
    </xf>
    <xf numFmtId="188" fontId="47" fillId="0" borderId="2" xfId="0" applyNumberFormat="1" applyFont="1" applyBorder="1" applyAlignment="1">
      <alignment horizontal="center"/>
    </xf>
    <xf numFmtId="43" fontId="47" fillId="2" borderId="8" xfId="1" applyFont="1" applyFill="1" applyBorder="1" applyAlignment="1">
      <alignment horizontal="center"/>
    </xf>
    <xf numFmtId="43" fontId="47" fillId="2" borderId="2" xfId="1" applyFont="1" applyFill="1" applyBorder="1" applyAlignment="1">
      <alignment horizontal="center"/>
    </xf>
    <xf numFmtId="43" fontId="47" fillId="0" borderId="5" xfId="1" applyFont="1" applyBorder="1" applyAlignment="1">
      <alignment horizontal="center"/>
    </xf>
    <xf numFmtId="0" fontId="47" fillId="0" borderId="19" xfId="0" applyFont="1" applyBorder="1" applyAlignment="1">
      <alignment horizontal="center"/>
    </xf>
    <xf numFmtId="0" fontId="47" fillId="0" borderId="18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/>
    </xf>
    <xf numFmtId="2" fontId="47" fillId="0" borderId="18" xfId="0" applyNumberFormat="1" applyFont="1" applyBorder="1" applyAlignment="1">
      <alignment horizontal="center"/>
    </xf>
    <xf numFmtId="49" fontId="47" fillId="0" borderId="19" xfId="0" applyNumberFormat="1" applyFont="1" applyBorder="1" applyAlignment="1">
      <alignment horizontal="center"/>
    </xf>
    <xf numFmtId="187" fontId="47" fillId="0" borderId="18" xfId="1" applyNumberFormat="1" applyFont="1" applyBorder="1" applyAlignment="1">
      <alignment horizontal="center"/>
    </xf>
    <xf numFmtId="43" fontId="47" fillId="0" borderId="18" xfId="1" applyFont="1" applyBorder="1" applyAlignment="1">
      <alignment horizontal="center"/>
    </xf>
    <xf numFmtId="43" fontId="47" fillId="0" borderId="19" xfId="1" applyFont="1" applyBorder="1" applyAlignment="1">
      <alignment horizontal="center"/>
    </xf>
    <xf numFmtId="2" fontId="47" fillId="0" borderId="18" xfId="1" applyNumberFormat="1" applyFont="1" applyBorder="1" applyAlignment="1">
      <alignment horizontal="center"/>
    </xf>
    <xf numFmtId="2" fontId="47" fillId="0" borderId="16" xfId="1" applyNumberFormat="1" applyFont="1" applyBorder="1" applyAlignment="1">
      <alignment horizontal="center"/>
    </xf>
    <xf numFmtId="43" fontId="47" fillId="0" borderId="23" xfId="1" applyFont="1" applyBorder="1" applyAlignment="1">
      <alignment horizontal="right" vertical="center"/>
    </xf>
    <xf numFmtId="0" fontId="46" fillId="0" borderId="19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/>
    </xf>
    <xf numFmtId="188" fontId="47" fillId="0" borderId="16" xfId="0" applyNumberFormat="1" applyFont="1" applyBorder="1" applyAlignment="1">
      <alignment horizontal="center"/>
    </xf>
    <xf numFmtId="43" fontId="47" fillId="2" borderId="19" xfId="1" applyFont="1" applyFill="1" applyBorder="1" applyAlignment="1">
      <alignment horizontal="center"/>
    </xf>
    <xf numFmtId="43" fontId="47" fillId="2" borderId="20" xfId="1" applyFont="1" applyFill="1" applyBorder="1" applyAlignment="1">
      <alignment horizontal="center"/>
    </xf>
    <xf numFmtId="43" fontId="47" fillId="0" borderId="20" xfId="1" applyFont="1" applyBorder="1" applyAlignment="1">
      <alignment horizontal="center"/>
    </xf>
    <xf numFmtId="43" fontId="47" fillId="0" borderId="26" xfId="1" applyFont="1" applyBorder="1" applyAlignment="1">
      <alignment horizontal="right" vertical="center"/>
    </xf>
    <xf numFmtId="4" fontId="47" fillId="0" borderId="16" xfId="0" applyNumberFormat="1" applyFont="1" applyBorder="1" applyAlignment="1">
      <alignment vertical="center"/>
    </xf>
    <xf numFmtId="0" fontId="47" fillId="0" borderId="16" xfId="0" applyFont="1" applyBorder="1" applyAlignment="1">
      <alignment horizontal="center" vertical="center"/>
    </xf>
    <xf numFmtId="0" fontId="47" fillId="2" borderId="16" xfId="0" applyFont="1" applyFill="1" applyBorder="1" applyAlignment="1">
      <alignment horizontal="center" vertical="center"/>
    </xf>
    <xf numFmtId="2" fontId="47" fillId="0" borderId="16" xfId="0" applyNumberFormat="1" applyFont="1" applyBorder="1" applyAlignment="1">
      <alignment horizontal="center" vertical="center"/>
    </xf>
    <xf numFmtId="43" fontId="47" fillId="0" borderId="16" xfId="1" applyFont="1" applyBorder="1" applyAlignment="1">
      <alignment horizontal="center" vertical="center"/>
    </xf>
    <xf numFmtId="43" fontId="47" fillId="0" borderId="16" xfId="1" applyFont="1" applyFill="1" applyBorder="1" applyAlignment="1">
      <alignment horizontal="center" vertical="center"/>
    </xf>
    <xf numFmtId="0" fontId="49" fillId="0" borderId="20" xfId="0" applyFont="1" applyBorder="1" applyAlignment="1">
      <alignment horizontal="center" vertical="center"/>
    </xf>
    <xf numFmtId="49" fontId="47" fillId="0" borderId="18" xfId="0" applyNumberFormat="1" applyFont="1" applyBorder="1" applyAlignment="1">
      <alignment horizontal="center" vertical="center"/>
    </xf>
    <xf numFmtId="187" fontId="47" fillId="0" borderId="18" xfId="1" applyNumberFormat="1" applyFont="1" applyBorder="1" applyAlignment="1">
      <alignment horizontal="center" vertical="center"/>
    </xf>
    <xf numFmtId="43" fontId="47" fillId="0" borderId="18" xfId="1" applyFont="1" applyBorder="1" applyAlignment="1">
      <alignment horizontal="center" vertical="center"/>
    </xf>
    <xf numFmtId="1" fontId="47" fillId="0" borderId="18" xfId="1" applyNumberFormat="1" applyFont="1" applyBorder="1" applyAlignment="1">
      <alignment horizontal="center" vertical="center"/>
    </xf>
    <xf numFmtId="43" fontId="47" fillId="0" borderId="19" xfId="1" applyFont="1" applyBorder="1" applyAlignment="1">
      <alignment horizontal="center" vertical="center"/>
    </xf>
    <xf numFmtId="2" fontId="47" fillId="0" borderId="16" xfId="1" applyNumberFormat="1" applyFont="1" applyBorder="1" applyAlignment="1">
      <alignment horizontal="center" vertical="center"/>
    </xf>
    <xf numFmtId="0" fontId="47" fillId="0" borderId="20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2" fontId="47" fillId="0" borderId="20" xfId="0" applyNumberFormat="1" applyFont="1" applyBorder="1" applyAlignment="1">
      <alignment horizontal="center" vertical="center"/>
    </xf>
    <xf numFmtId="49" fontId="47" fillId="0" borderId="16" xfId="0" applyNumberFormat="1" applyFont="1" applyBorder="1" applyAlignment="1">
      <alignment horizontal="center" vertical="center"/>
    </xf>
    <xf numFmtId="187" fontId="47" fillId="0" borderId="16" xfId="1" applyNumberFormat="1" applyFont="1" applyFill="1" applyBorder="1" applyAlignment="1">
      <alignment horizontal="center" vertical="center"/>
    </xf>
    <xf numFmtId="1" fontId="47" fillId="0" borderId="16" xfId="1" applyNumberFormat="1" applyFont="1" applyFill="1" applyBorder="1" applyAlignment="1">
      <alignment horizontal="center" vertical="center"/>
    </xf>
    <xf numFmtId="43" fontId="47" fillId="0" borderId="16" xfId="0" applyNumberFormat="1" applyFont="1" applyBorder="1" applyAlignment="1">
      <alignment horizontal="center" vertical="center"/>
    </xf>
    <xf numFmtId="4" fontId="47" fillId="0" borderId="16" xfId="1" applyNumberFormat="1" applyFont="1" applyBorder="1" applyAlignment="1">
      <alignment horizontal="right" vertical="center"/>
    </xf>
    <xf numFmtId="43" fontId="47" fillId="0" borderId="16" xfId="1" applyFont="1" applyBorder="1" applyAlignment="1">
      <alignment horizontal="right" vertical="center"/>
    </xf>
    <xf numFmtId="4" fontId="47" fillId="0" borderId="20" xfId="0" applyNumberFormat="1" applyFont="1" applyBorder="1" applyAlignment="1">
      <alignment vertical="center"/>
    </xf>
    <xf numFmtId="0" fontId="47" fillId="2" borderId="20" xfId="0" applyFont="1" applyFill="1" applyBorder="1" applyAlignment="1">
      <alignment horizontal="center" vertical="center"/>
    </xf>
    <xf numFmtId="43" fontId="47" fillId="0" borderId="20" xfId="1" applyFont="1" applyBorder="1" applyAlignment="1">
      <alignment horizontal="center" vertical="center"/>
    </xf>
    <xf numFmtId="43" fontId="47" fillId="0" borderId="20" xfId="1" applyFont="1" applyFill="1" applyBorder="1" applyAlignment="1">
      <alignment horizontal="center" vertical="center"/>
    </xf>
    <xf numFmtId="49" fontId="47" fillId="0" borderId="20" xfId="0" applyNumberFormat="1" applyFont="1" applyBorder="1" applyAlignment="1">
      <alignment horizontal="center" vertical="center"/>
    </xf>
    <xf numFmtId="187" fontId="47" fillId="0" borderId="20" xfId="1" applyNumberFormat="1" applyFont="1" applyFill="1" applyBorder="1" applyAlignment="1">
      <alignment horizontal="center" vertical="center"/>
    </xf>
    <xf numFmtId="1" fontId="47" fillId="0" borderId="20" xfId="1" applyNumberFormat="1" applyFont="1" applyFill="1" applyBorder="1" applyAlignment="1">
      <alignment horizontal="center" vertical="center"/>
    </xf>
    <xf numFmtId="43" fontId="47" fillId="0" borderId="20" xfId="0" applyNumberFormat="1" applyFont="1" applyBorder="1" applyAlignment="1">
      <alignment horizontal="center" vertical="center"/>
    </xf>
    <xf numFmtId="4" fontId="47" fillId="0" borderId="20" xfId="1" applyNumberFormat="1" applyFont="1" applyBorder="1" applyAlignment="1">
      <alignment horizontal="right" vertical="center"/>
    </xf>
    <xf numFmtId="43" fontId="47" fillId="0" borderId="20" xfId="1" applyFont="1" applyBorder="1" applyAlignment="1">
      <alignment horizontal="right" vertical="center"/>
    </xf>
    <xf numFmtId="4" fontId="47" fillId="0" borderId="13" xfId="0" applyNumberFormat="1" applyFont="1" applyBorder="1" applyAlignment="1">
      <alignment vertical="center"/>
    </xf>
    <xf numFmtId="0" fontId="50" fillId="0" borderId="0" xfId="0" applyFont="1" applyAlignment="1">
      <alignment vertical="center"/>
    </xf>
    <xf numFmtId="49" fontId="50" fillId="0" borderId="0" xfId="0" applyNumberFormat="1" applyFont="1" applyAlignment="1">
      <alignment vertical="center"/>
    </xf>
    <xf numFmtId="2" fontId="12" fillId="0" borderId="23" xfId="0" applyNumberFormat="1" applyFont="1" applyBorder="1" applyAlignment="1">
      <alignment horizontal="center" vertical="center"/>
    </xf>
    <xf numFmtId="187" fontId="12" fillId="0" borderId="23" xfId="1" applyNumberFormat="1" applyFont="1" applyBorder="1" applyAlignment="1">
      <alignment horizontal="center" vertical="center"/>
    </xf>
    <xf numFmtId="2" fontId="12" fillId="0" borderId="16" xfId="0" applyNumberFormat="1" applyFont="1" applyBorder="1" applyAlignment="1">
      <alignment horizontal="center" vertical="center"/>
    </xf>
    <xf numFmtId="187" fontId="12" fillId="0" borderId="16" xfId="1" applyNumberFormat="1" applyFon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2" fontId="0" fillId="0" borderId="23" xfId="0" applyNumberFormat="1" applyBorder="1" applyAlignment="1">
      <alignment horizontal="center" vertical="center"/>
    </xf>
    <xf numFmtId="0" fontId="0" fillId="0" borderId="23" xfId="0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20" xfId="0" applyBorder="1" applyAlignment="1">
      <alignment horizontal="center" vertical="center"/>
    </xf>
    <xf numFmtId="2" fontId="0" fillId="0" borderId="20" xfId="0" applyNumberFormat="1" applyBorder="1" applyAlignment="1">
      <alignment horizontal="center" vertical="center"/>
    </xf>
    <xf numFmtId="0" fontId="0" fillId="0" borderId="20" xfId="0" applyBorder="1" applyAlignment="1">
      <alignment vertical="center"/>
    </xf>
    <xf numFmtId="0" fontId="0" fillId="0" borderId="21" xfId="0" applyBorder="1" applyAlignment="1">
      <alignment vertical="center"/>
    </xf>
    <xf numFmtId="43" fontId="38" fillId="0" borderId="26" xfId="1" applyFont="1" applyBorder="1" applyAlignment="1">
      <alignment horizontal="right" vertical="center"/>
    </xf>
    <xf numFmtId="43" fontId="38" fillId="0" borderId="9" xfId="1" applyFont="1" applyBorder="1" applyAlignment="1">
      <alignment horizontal="right" vertical="center"/>
    </xf>
    <xf numFmtId="0" fontId="6" fillId="0" borderId="21" xfId="0" applyFont="1" applyBorder="1" applyAlignment="1">
      <alignment horizontal="center" vertical="center"/>
    </xf>
    <xf numFmtId="2" fontId="6" fillId="0" borderId="20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43" fontId="38" fillId="0" borderId="24" xfId="1" applyFont="1" applyBorder="1" applyAlignment="1">
      <alignment horizontal="right" vertical="center"/>
    </xf>
    <xf numFmtId="1" fontId="12" fillId="0" borderId="18" xfId="1" applyNumberFormat="1" applyFont="1" applyBorder="1" applyAlignment="1">
      <alignment horizontal="center"/>
    </xf>
    <xf numFmtId="43" fontId="8" fillId="0" borderId="31" xfId="1" applyFont="1" applyBorder="1" applyAlignment="1">
      <alignment horizontal="right"/>
    </xf>
    <xf numFmtId="0" fontId="8" fillId="0" borderId="37" xfId="0" applyFont="1" applyBorder="1" applyAlignment="1">
      <alignment horizontal="center"/>
    </xf>
    <xf numFmtId="49" fontId="12" fillId="2" borderId="19" xfId="0" applyNumberFormat="1" applyFont="1" applyFill="1" applyBorder="1" applyAlignment="1">
      <alignment horizontal="center" vertical="center"/>
    </xf>
    <xf numFmtId="2" fontId="12" fillId="2" borderId="19" xfId="0" applyNumberFormat="1" applyFont="1" applyFill="1" applyBorder="1" applyAlignment="1">
      <alignment horizontal="center" vertical="center"/>
    </xf>
    <xf numFmtId="4" fontId="8" fillId="2" borderId="16" xfId="1" applyNumberFormat="1" applyFont="1" applyFill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8" fillId="2" borderId="20" xfId="0" applyFont="1" applyFill="1" applyBorder="1" applyAlignment="1">
      <alignment vertical="center"/>
    </xf>
    <xf numFmtId="43" fontId="38" fillId="0" borderId="23" xfId="1" applyFont="1" applyBorder="1" applyAlignment="1">
      <alignment horizontal="right" vertical="center"/>
    </xf>
    <xf numFmtId="0" fontId="0" fillId="0" borderId="16" xfId="0" applyBorder="1" applyAlignment="1">
      <alignment horizontal="center" vertical="center"/>
    </xf>
    <xf numFmtId="2" fontId="0" fillId="0" borderId="16" xfId="0" applyNumberFormat="1" applyBorder="1" applyAlignment="1">
      <alignment horizontal="center" vertical="center"/>
    </xf>
    <xf numFmtId="0" fontId="0" fillId="0" borderId="16" xfId="0" applyBorder="1" applyAlignment="1">
      <alignment vertical="center"/>
    </xf>
    <xf numFmtId="0" fontId="0" fillId="0" borderId="22" xfId="0" applyBorder="1" applyAlignment="1">
      <alignment vertical="center"/>
    </xf>
    <xf numFmtId="0" fontId="5" fillId="0" borderId="22" xfId="0" applyFont="1" applyBorder="1" applyAlignment="1">
      <alignment horizontal="center" vertical="center"/>
    </xf>
    <xf numFmtId="0" fontId="51" fillId="0" borderId="35" xfId="0" applyFont="1" applyBorder="1" applyAlignment="1">
      <alignment vertical="center"/>
    </xf>
    <xf numFmtId="0" fontId="40" fillId="0" borderId="34" xfId="0" applyFont="1" applyBorder="1" applyAlignment="1">
      <alignment vertical="center"/>
    </xf>
    <xf numFmtId="0" fontId="40" fillId="0" borderId="36" xfId="0" applyFont="1" applyBorder="1" applyAlignment="1">
      <alignment vertical="center"/>
    </xf>
    <xf numFmtId="43" fontId="23" fillId="0" borderId="18" xfId="1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 wrapText="1"/>
    </xf>
    <xf numFmtId="0" fontId="8" fillId="0" borderId="37" xfId="0" applyFont="1" applyBorder="1" applyAlignment="1">
      <alignment horizontal="center" vertical="center"/>
    </xf>
    <xf numFmtId="2" fontId="8" fillId="0" borderId="38" xfId="1" applyNumberFormat="1" applyFont="1" applyBorder="1" applyAlignment="1">
      <alignment horizontal="center" vertical="center"/>
    </xf>
    <xf numFmtId="43" fontId="8" fillId="0" borderId="21" xfId="1" applyFont="1" applyFill="1" applyBorder="1" applyAlignment="1">
      <alignment horizontal="center" vertical="center"/>
    </xf>
    <xf numFmtId="2" fontId="8" fillId="0" borderId="20" xfId="1" applyNumberFormat="1" applyFont="1" applyFill="1" applyBorder="1" applyAlignment="1">
      <alignment horizontal="center" vertical="center"/>
    </xf>
    <xf numFmtId="189" fontId="8" fillId="0" borderId="20" xfId="2" applyFont="1" applyBorder="1" applyAlignment="1">
      <alignment horizontal="center" vertical="center"/>
    </xf>
    <xf numFmtId="187" fontId="8" fillId="0" borderId="16" xfId="2" applyNumberFormat="1" applyFont="1" applyBorder="1" applyAlignment="1">
      <alignment vertical="center"/>
    </xf>
    <xf numFmtId="187" fontId="12" fillId="0" borderId="16" xfId="3" applyNumberFormat="1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2" fontId="12" fillId="0" borderId="10" xfId="0" applyNumberFormat="1" applyFont="1" applyBorder="1" applyAlignment="1">
      <alignment horizontal="center" vertical="center"/>
    </xf>
    <xf numFmtId="43" fontId="8" fillId="0" borderId="9" xfId="3" applyFont="1" applyBorder="1" applyAlignment="1">
      <alignment horizontal="center" vertical="center"/>
    </xf>
    <xf numFmtId="49" fontId="12" fillId="0" borderId="10" xfId="0" applyNumberFormat="1" applyFont="1" applyBorder="1" applyAlignment="1">
      <alignment horizontal="center" vertical="center"/>
    </xf>
    <xf numFmtId="187" fontId="12" fillId="0" borderId="10" xfId="3" applyNumberFormat="1" applyFont="1" applyBorder="1" applyAlignment="1">
      <alignment horizontal="center" vertical="center"/>
    </xf>
    <xf numFmtId="2" fontId="8" fillId="0" borderId="9" xfId="3" applyNumberFormat="1" applyFont="1" applyBorder="1" applyAlignment="1">
      <alignment horizontal="center" vertical="center"/>
    </xf>
    <xf numFmtId="0" fontId="8" fillId="0" borderId="13" xfId="0" applyFont="1" applyBorder="1" applyAlignment="1">
      <alignment horizontal="left" vertical="center"/>
    </xf>
    <xf numFmtId="189" fontId="22" fillId="0" borderId="15" xfId="2" applyFont="1" applyBorder="1" applyAlignment="1">
      <alignment horizontal="center"/>
    </xf>
    <xf numFmtId="189" fontId="22" fillId="0" borderId="23" xfId="2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22" fillId="0" borderId="15" xfId="0" applyFont="1" applyBorder="1" applyAlignment="1">
      <alignment horizontal="center" vertical="center"/>
    </xf>
    <xf numFmtId="2" fontId="22" fillId="0" borderId="15" xfId="0" applyNumberFormat="1" applyFont="1" applyBorder="1" applyAlignment="1">
      <alignment horizontal="center"/>
    </xf>
    <xf numFmtId="49" fontId="22" fillId="0" borderId="15" xfId="0" applyNumberFormat="1" applyFont="1" applyBorder="1" applyAlignment="1">
      <alignment horizontal="center"/>
    </xf>
    <xf numFmtId="187" fontId="22" fillId="0" borderId="15" xfId="2" applyNumberFormat="1" applyFont="1" applyBorder="1" applyAlignment="1">
      <alignment horizontal="center"/>
    </xf>
    <xf numFmtId="187" fontId="22" fillId="0" borderId="15" xfId="1" applyNumberFormat="1" applyFont="1" applyBorder="1" applyAlignment="1">
      <alignment horizontal="center"/>
    </xf>
    <xf numFmtId="2" fontId="22" fillId="0" borderId="15" xfId="2" applyNumberFormat="1" applyFont="1" applyBorder="1" applyAlignment="1">
      <alignment horizontal="center"/>
    </xf>
    <xf numFmtId="2" fontId="22" fillId="0" borderId="23" xfId="2" applyNumberFormat="1" applyFont="1" applyBorder="1" applyAlignment="1">
      <alignment horizontal="center"/>
    </xf>
    <xf numFmtId="43" fontId="22" fillId="0" borderId="23" xfId="1" applyFont="1" applyBorder="1" applyAlignment="1">
      <alignment horizontal="right" vertical="center"/>
    </xf>
    <xf numFmtId="0" fontId="22" fillId="0" borderId="22" xfId="0" applyFont="1" applyBorder="1" applyAlignment="1">
      <alignment vertical="center"/>
    </xf>
    <xf numFmtId="189" fontId="22" fillId="0" borderId="18" xfId="2" applyFont="1" applyBorder="1" applyAlignment="1">
      <alignment horizontal="center"/>
    </xf>
    <xf numFmtId="189" fontId="22" fillId="0" borderId="16" xfId="2" applyFont="1" applyBorder="1" applyAlignment="1">
      <alignment horizontal="center"/>
    </xf>
    <xf numFmtId="189" fontId="22" fillId="0" borderId="20" xfId="2" applyFont="1" applyBorder="1" applyAlignment="1">
      <alignment horizontal="center"/>
    </xf>
    <xf numFmtId="0" fontId="22" fillId="0" borderId="16" xfId="0" applyFont="1" applyBorder="1" applyAlignment="1">
      <alignment horizontal="center"/>
    </xf>
    <xf numFmtId="2" fontId="22" fillId="0" borderId="16" xfId="0" applyNumberFormat="1" applyFont="1" applyBorder="1" applyAlignment="1">
      <alignment horizontal="center"/>
    </xf>
    <xf numFmtId="49" fontId="22" fillId="0" borderId="16" xfId="0" applyNumberFormat="1" applyFont="1" applyBorder="1" applyAlignment="1">
      <alignment horizontal="center"/>
    </xf>
    <xf numFmtId="187" fontId="22" fillId="0" borderId="16" xfId="2" applyNumberFormat="1" applyFont="1" applyFill="1" applyBorder="1" applyAlignment="1">
      <alignment horizontal="center"/>
    </xf>
    <xf numFmtId="187" fontId="22" fillId="0" borderId="16" xfId="1" applyNumberFormat="1" applyFont="1" applyFill="1" applyBorder="1" applyAlignment="1">
      <alignment horizontal="center"/>
    </xf>
    <xf numFmtId="189" fontId="22" fillId="0" borderId="16" xfId="2" applyFont="1" applyFill="1" applyBorder="1" applyAlignment="1">
      <alignment horizontal="center"/>
    </xf>
    <xf numFmtId="43" fontId="22" fillId="0" borderId="16" xfId="0" applyNumberFormat="1" applyFont="1" applyBorder="1" applyAlignment="1">
      <alignment horizontal="center"/>
    </xf>
    <xf numFmtId="2" fontId="22" fillId="0" borderId="20" xfId="2" applyNumberFormat="1" applyFont="1" applyBorder="1" applyAlignment="1">
      <alignment horizontal="center"/>
    </xf>
    <xf numFmtId="2" fontId="22" fillId="0" borderId="16" xfId="2" applyNumberFormat="1" applyFont="1" applyBorder="1" applyAlignment="1">
      <alignment horizontal="center"/>
    </xf>
    <xf numFmtId="43" fontId="22" fillId="0" borderId="20" xfId="1" applyFont="1" applyBorder="1" applyAlignment="1">
      <alignment horizontal="right" vertical="center"/>
    </xf>
    <xf numFmtId="0" fontId="22" fillId="0" borderId="39" xfId="0" applyFont="1" applyBorder="1" applyAlignment="1">
      <alignment vertical="center"/>
    </xf>
    <xf numFmtId="0" fontId="22" fillId="0" borderId="16" xfId="0" applyFont="1" applyBorder="1" applyAlignment="1">
      <alignment vertical="center"/>
    </xf>
    <xf numFmtId="0" fontId="22" fillId="0" borderId="16" xfId="0" applyFont="1" applyBorder="1" applyAlignment="1">
      <alignment horizontal="center" vertical="center"/>
    </xf>
    <xf numFmtId="2" fontId="22" fillId="0" borderId="16" xfId="0" applyNumberFormat="1" applyFont="1" applyBorder="1" applyAlignment="1">
      <alignment horizontal="center" vertical="center"/>
    </xf>
    <xf numFmtId="3" fontId="22" fillId="0" borderId="16" xfId="0" applyNumberFormat="1" applyFont="1" applyBorder="1" applyAlignment="1">
      <alignment vertical="center"/>
    </xf>
    <xf numFmtId="43" fontId="22" fillId="0" borderId="16" xfId="1" applyFont="1" applyBorder="1" applyAlignment="1">
      <alignment vertical="center"/>
    </xf>
    <xf numFmtId="43" fontId="22" fillId="0" borderId="16" xfId="0" applyNumberFormat="1" applyFont="1" applyBorder="1" applyAlignment="1">
      <alignment vertical="center"/>
    </xf>
    <xf numFmtId="43" fontId="22" fillId="0" borderId="18" xfId="1" applyFont="1" applyBorder="1" applyAlignment="1">
      <alignment horizontal="center" vertical="center"/>
    </xf>
    <xf numFmtId="2" fontId="22" fillId="0" borderId="16" xfId="1" applyNumberFormat="1" applyFont="1" applyBorder="1" applyAlignment="1">
      <alignment horizontal="center" vertical="center"/>
    </xf>
    <xf numFmtId="43" fontId="22" fillId="0" borderId="16" xfId="1" applyFont="1" applyBorder="1" applyAlignment="1">
      <alignment horizontal="right" vertical="center"/>
    </xf>
    <xf numFmtId="0" fontId="22" fillId="0" borderId="0" xfId="0" applyFont="1" applyAlignment="1">
      <alignment vertical="center"/>
    </xf>
    <xf numFmtId="43" fontId="22" fillId="0" borderId="19" xfId="1" applyFont="1" applyBorder="1" applyAlignment="1">
      <alignment horizontal="center" vertical="center"/>
    </xf>
    <xf numFmtId="189" fontId="8" fillId="0" borderId="20" xfId="2" applyFont="1" applyFill="1" applyBorder="1" applyAlignment="1">
      <alignment horizontal="center"/>
    </xf>
    <xf numFmtId="187" fontId="8" fillId="0" borderId="16" xfId="2" applyNumberFormat="1" applyFont="1" applyFill="1" applyBorder="1" applyAlignment="1">
      <alignment horizontal="center"/>
    </xf>
    <xf numFmtId="1" fontId="8" fillId="0" borderId="16" xfId="2" applyNumberFormat="1" applyFont="1" applyFill="1" applyBorder="1" applyAlignment="1">
      <alignment horizontal="center"/>
    </xf>
    <xf numFmtId="49" fontId="8" fillId="0" borderId="18" xfId="0" applyNumberFormat="1" applyFont="1" applyBorder="1" applyAlignment="1">
      <alignment vertical="center"/>
    </xf>
    <xf numFmtId="0" fontId="8" fillId="0" borderId="18" xfId="0" applyFont="1" applyBorder="1" applyAlignment="1">
      <alignment vertical="center"/>
    </xf>
    <xf numFmtId="2" fontId="8" fillId="0" borderId="18" xfId="0" applyNumberFormat="1" applyFont="1" applyBorder="1" applyAlignment="1">
      <alignment vertical="center"/>
    </xf>
    <xf numFmtId="43" fontId="8" fillId="0" borderId="18" xfId="1" applyFont="1" applyBorder="1" applyAlignment="1">
      <alignment vertical="center"/>
    </xf>
    <xf numFmtId="2" fontId="8" fillId="0" borderId="25" xfId="0" applyNumberFormat="1" applyFont="1" applyBorder="1" applyAlignment="1">
      <alignment horizontal="center" vertical="center"/>
    </xf>
    <xf numFmtId="49" fontId="8" fillId="0" borderId="27" xfId="0" applyNumberFormat="1" applyFont="1" applyBorder="1" applyAlignment="1">
      <alignment horizontal="center" vertical="center"/>
    </xf>
    <xf numFmtId="0" fontId="23" fillId="2" borderId="0" xfId="0" applyFont="1" applyFill="1" applyAlignment="1">
      <alignment horizontal="left" vertical="center"/>
    </xf>
    <xf numFmtId="0" fontId="8" fillId="2" borderId="0" xfId="0" applyFont="1" applyFill="1" applyAlignment="1">
      <alignment horizontal="center" vertical="center"/>
    </xf>
    <xf numFmtId="43" fontId="8" fillId="0" borderId="0" xfId="1" applyFont="1" applyBorder="1" applyAlignment="1">
      <alignment horizontal="center" vertical="center"/>
    </xf>
    <xf numFmtId="43" fontId="8" fillId="0" borderId="0" xfId="1" applyFont="1" applyFill="1" applyBorder="1" applyAlignment="1">
      <alignment horizontal="center" vertical="center"/>
    </xf>
    <xf numFmtId="187" fontId="8" fillId="0" borderId="0" xfId="1" applyNumberFormat="1" applyFont="1" applyFill="1" applyBorder="1" applyAlignment="1">
      <alignment horizontal="center" vertical="center"/>
    </xf>
    <xf numFmtId="1" fontId="8" fillId="0" borderId="0" xfId="1" applyNumberFormat="1" applyFont="1" applyFill="1" applyBorder="1" applyAlignment="1">
      <alignment horizontal="center" vertical="center"/>
    </xf>
    <xf numFmtId="43" fontId="8" fillId="0" borderId="0" xfId="0" applyNumberFormat="1" applyFont="1" applyAlignment="1">
      <alignment horizontal="center" vertical="center"/>
    </xf>
    <xf numFmtId="4" fontId="8" fillId="0" borderId="0" xfId="1" applyNumberFormat="1" applyFont="1" applyBorder="1" applyAlignment="1">
      <alignment horizontal="right" vertical="center"/>
    </xf>
    <xf numFmtId="43" fontId="8" fillId="0" borderId="0" xfId="1" applyFont="1" applyBorder="1" applyAlignment="1">
      <alignment horizontal="right" vertical="center"/>
    </xf>
    <xf numFmtId="43" fontId="16" fillId="0" borderId="0" xfId="0" applyNumberFormat="1" applyFont="1" applyAlignment="1">
      <alignment vertical="center"/>
    </xf>
    <xf numFmtId="0" fontId="12" fillId="0" borderId="2" xfId="0" applyFont="1" applyBorder="1" applyAlignment="1">
      <alignment horizontal="center"/>
    </xf>
    <xf numFmtId="187" fontId="12" fillId="0" borderId="9" xfId="2" applyNumberFormat="1" applyFont="1" applyBorder="1" applyAlignment="1">
      <alignment horizontal="center"/>
    </xf>
    <xf numFmtId="187" fontId="12" fillId="0" borderId="26" xfId="2" applyNumberFormat="1" applyFont="1" applyBorder="1" applyAlignment="1">
      <alignment horizontal="center"/>
    </xf>
    <xf numFmtId="187" fontId="12" fillId="0" borderId="22" xfId="2" applyNumberFormat="1" applyFont="1" applyBorder="1" applyAlignment="1">
      <alignment horizontal="center"/>
    </xf>
    <xf numFmtId="187" fontId="12" fillId="0" borderId="22" xfId="1" applyNumberFormat="1" applyFont="1" applyBorder="1" applyAlignment="1">
      <alignment horizontal="center"/>
    </xf>
    <xf numFmtId="0" fontId="12" fillId="2" borderId="27" xfId="0" applyFont="1" applyFill="1" applyBorder="1" applyAlignment="1">
      <alignment horizontal="center"/>
    </xf>
    <xf numFmtId="43" fontId="8" fillId="0" borderId="15" xfId="1" applyFont="1" applyFill="1" applyBorder="1" applyAlignment="1">
      <alignment horizontal="center" vertical="center"/>
    </xf>
    <xf numFmtId="43" fontId="8" fillId="0" borderId="23" xfId="1" applyFont="1" applyFill="1" applyBorder="1" applyAlignment="1">
      <alignment horizontal="center" vertical="center"/>
    </xf>
    <xf numFmtId="43" fontId="8" fillId="0" borderId="28" xfId="1" applyFont="1" applyFill="1" applyBorder="1" applyAlignment="1">
      <alignment horizontal="center" vertical="center"/>
    </xf>
    <xf numFmtId="187" fontId="8" fillId="0" borderId="15" xfId="1" applyNumberFormat="1" applyFont="1" applyFill="1" applyBorder="1" applyAlignment="1">
      <alignment horizontal="center" vertical="center"/>
    </xf>
    <xf numFmtId="2" fontId="8" fillId="0" borderId="23" xfId="1" applyNumberFormat="1" applyFont="1" applyFill="1" applyBorder="1" applyAlignment="1">
      <alignment horizontal="center" vertical="center"/>
    </xf>
    <xf numFmtId="43" fontId="8" fillId="0" borderId="25" xfId="1" applyFont="1" applyFill="1" applyBorder="1" applyAlignment="1">
      <alignment horizontal="center" vertical="center"/>
    </xf>
    <xf numFmtId="187" fontId="8" fillId="0" borderId="18" xfId="1" applyNumberFormat="1" applyFont="1" applyFill="1" applyBorder="1" applyAlignment="1">
      <alignment horizontal="center" vertical="center"/>
    </xf>
    <xf numFmtId="187" fontId="12" fillId="0" borderId="19" xfId="1" applyNumberFormat="1" applyFont="1" applyFill="1" applyBorder="1" applyAlignment="1">
      <alignment horizontal="center" vertical="center"/>
    </xf>
    <xf numFmtId="43" fontId="12" fillId="0" borderId="19" xfId="1" applyFont="1" applyFill="1" applyBorder="1" applyAlignment="1">
      <alignment horizontal="center" vertical="center"/>
    </xf>
    <xf numFmtId="1" fontId="12" fillId="0" borderId="19" xfId="1" applyNumberFormat="1" applyFont="1" applyFill="1" applyBorder="1" applyAlignment="1">
      <alignment horizontal="center" vertical="center"/>
    </xf>
    <xf numFmtId="43" fontId="8" fillId="0" borderId="27" xfId="1" applyFont="1" applyFill="1" applyBorder="1" applyAlignment="1">
      <alignment horizontal="right" vertical="center"/>
    </xf>
    <xf numFmtId="43" fontId="8" fillId="0" borderId="33" xfId="1" applyFont="1" applyBorder="1" applyAlignment="1">
      <alignment horizontal="center" vertical="center"/>
    </xf>
    <xf numFmtId="2" fontId="8" fillId="0" borderId="27" xfId="1" applyNumberFormat="1" applyFont="1" applyFill="1" applyBorder="1" applyAlignment="1">
      <alignment horizontal="center" vertical="center"/>
    </xf>
    <xf numFmtId="2" fontId="8" fillId="0" borderId="25" xfId="1" applyNumberFormat="1" applyFont="1" applyFill="1" applyBorder="1" applyAlignment="1">
      <alignment horizontal="center" vertical="center"/>
    </xf>
    <xf numFmtId="2" fontId="8" fillId="0" borderId="15" xfId="1" applyNumberFormat="1" applyFont="1" applyBorder="1" applyAlignment="1">
      <alignment horizontal="center"/>
    </xf>
    <xf numFmtId="0" fontId="8" fillId="0" borderId="30" xfId="0" applyFont="1" applyBorder="1" applyAlignment="1">
      <alignment horizontal="center" vertical="center"/>
    </xf>
    <xf numFmtId="1" fontId="8" fillId="0" borderId="20" xfId="1" applyNumberFormat="1" applyFont="1" applyBorder="1" applyAlignment="1">
      <alignment horizontal="center"/>
    </xf>
    <xf numFmtId="2" fontId="8" fillId="0" borderId="10" xfId="1" applyNumberFormat="1" applyFont="1" applyBorder="1" applyAlignment="1">
      <alignment horizontal="center"/>
    </xf>
    <xf numFmtId="2" fontId="8" fillId="0" borderId="9" xfId="1" applyNumberFormat="1" applyFont="1" applyBorder="1" applyAlignment="1">
      <alignment horizontal="center"/>
    </xf>
    <xf numFmtId="43" fontId="8" fillId="0" borderId="38" xfId="1" applyFont="1" applyBorder="1" applyAlignment="1">
      <alignment horizontal="right" vertical="center"/>
    </xf>
    <xf numFmtId="187" fontId="8" fillId="0" borderId="2" xfId="1" applyNumberFormat="1" applyFont="1" applyBorder="1" applyAlignment="1">
      <alignment horizontal="center"/>
    </xf>
    <xf numFmtId="4" fontId="8" fillId="9" borderId="24" xfId="0" applyNumberFormat="1" applyFont="1" applyFill="1" applyBorder="1" applyAlignment="1">
      <alignment vertical="center"/>
    </xf>
    <xf numFmtId="187" fontId="12" fillId="0" borderId="2" xfId="1" applyNumberFormat="1" applyFont="1" applyBorder="1" applyAlignment="1">
      <alignment horizontal="center"/>
    </xf>
    <xf numFmtId="190" fontId="16" fillId="0" borderId="2" xfId="0" applyNumberFormat="1" applyFont="1" applyBorder="1" applyAlignment="1">
      <alignment horizontal="center"/>
    </xf>
    <xf numFmtId="190" fontId="16" fillId="0" borderId="0" xfId="0" applyNumberFormat="1" applyFont="1" applyAlignment="1">
      <alignment horizontal="center"/>
    </xf>
    <xf numFmtId="187" fontId="12" fillId="0" borderId="26" xfId="1" applyNumberFormat="1" applyFont="1" applyBorder="1" applyAlignment="1">
      <alignment horizontal="center"/>
    </xf>
    <xf numFmtId="190" fontId="8" fillId="0" borderId="18" xfId="1" applyNumberFormat="1" applyFont="1" applyBorder="1" applyAlignment="1">
      <alignment horizontal="center"/>
    </xf>
    <xf numFmtId="0" fontId="8" fillId="0" borderId="9" xfId="0" applyFont="1" applyBorder="1" applyAlignment="1">
      <alignment vertical="center"/>
    </xf>
    <xf numFmtId="49" fontId="8" fillId="0" borderId="9" xfId="0" applyNumberFormat="1" applyFont="1" applyBorder="1" applyAlignment="1">
      <alignment vertical="center"/>
    </xf>
    <xf numFmtId="1" fontId="8" fillId="0" borderId="9" xfId="1" applyNumberFormat="1" applyFont="1" applyBorder="1" applyAlignment="1">
      <alignment vertical="center"/>
    </xf>
    <xf numFmtId="2" fontId="8" fillId="0" borderId="9" xfId="1" applyNumberFormat="1" applyFont="1" applyBorder="1" applyAlignment="1">
      <alignment vertical="center"/>
    </xf>
    <xf numFmtId="4" fontId="8" fillId="9" borderId="7" xfId="0" applyNumberFormat="1" applyFont="1" applyFill="1" applyBorder="1" applyAlignment="1">
      <alignment vertical="center"/>
    </xf>
    <xf numFmtId="43" fontId="8" fillId="0" borderId="15" xfId="0" applyNumberFormat="1" applyFont="1" applyBorder="1" applyAlignment="1">
      <alignment horizontal="center"/>
    </xf>
    <xf numFmtId="43" fontId="8" fillId="0" borderId="8" xfId="0" applyNumberFormat="1" applyFont="1" applyBorder="1" applyAlignment="1">
      <alignment horizontal="center"/>
    </xf>
    <xf numFmtId="2" fontId="8" fillId="0" borderId="9" xfId="1" applyNumberFormat="1" applyFont="1" applyBorder="1" applyAlignment="1">
      <alignment horizontal="center" vertical="center"/>
    </xf>
    <xf numFmtId="1" fontId="12" fillId="0" borderId="20" xfId="2" applyNumberFormat="1" applyFont="1" applyBorder="1" applyAlignment="1">
      <alignment horizontal="center"/>
    </xf>
    <xf numFmtId="2" fontId="12" fillId="0" borderId="31" xfId="2" applyNumberFormat="1" applyFont="1" applyBorder="1" applyAlignment="1">
      <alignment horizontal="center"/>
    </xf>
    <xf numFmtId="187" fontId="12" fillId="0" borderId="10" xfId="2" applyNumberFormat="1" applyFont="1" applyBorder="1" applyAlignment="1">
      <alignment horizontal="center"/>
    </xf>
    <xf numFmtId="189" fontId="8" fillId="0" borderId="9" xfId="2" applyFont="1" applyBorder="1" applyAlignment="1">
      <alignment horizontal="center" vertical="center"/>
    </xf>
    <xf numFmtId="2" fontId="8" fillId="0" borderId="9" xfId="2" applyNumberFormat="1" applyFont="1" applyBorder="1" applyAlignment="1">
      <alignment horizontal="center" vertical="center"/>
    </xf>
    <xf numFmtId="0" fontId="12" fillId="0" borderId="27" xfId="0" applyFont="1" applyBorder="1" applyAlignment="1">
      <alignment horizontal="center"/>
    </xf>
    <xf numFmtId="187" fontId="12" fillId="0" borderId="25" xfId="2" applyNumberFormat="1" applyFont="1" applyBorder="1" applyAlignment="1">
      <alignment horizontal="center"/>
    </xf>
    <xf numFmtId="1" fontId="12" fillId="0" borderId="25" xfId="2" applyNumberFormat="1" applyFont="1" applyBorder="1" applyAlignment="1">
      <alignment horizontal="center"/>
    </xf>
    <xf numFmtId="43" fontId="12" fillId="0" borderId="23" xfId="0" applyNumberFormat="1" applyFont="1" applyBorder="1" applyAlignment="1">
      <alignment horizontal="center"/>
    </xf>
    <xf numFmtId="0" fontId="22" fillId="0" borderId="20" xfId="0" applyFont="1" applyBorder="1" applyAlignment="1">
      <alignment horizontal="center"/>
    </xf>
    <xf numFmtId="190" fontId="8" fillId="0" borderId="19" xfId="1" applyNumberFormat="1" applyFont="1" applyBorder="1" applyAlignment="1">
      <alignment horizontal="center"/>
    </xf>
    <xf numFmtId="2" fontId="15" fillId="0" borderId="17" xfId="0" applyNumberFormat="1" applyFont="1" applyBorder="1"/>
    <xf numFmtId="43" fontId="15" fillId="0" borderId="23" xfId="1" applyFont="1" applyBorder="1"/>
    <xf numFmtId="0" fontId="15" fillId="0" borderId="28" xfId="0" applyFont="1" applyBorder="1"/>
    <xf numFmtId="188" fontId="12" fillId="0" borderId="2" xfId="0" applyNumberFormat="1" applyFont="1" applyBorder="1" applyAlignment="1">
      <alignment horizontal="center"/>
    </xf>
    <xf numFmtId="191" fontId="8" fillId="0" borderId="19" xfId="2" applyNumberFormat="1" applyFont="1" applyBorder="1" applyAlignment="1">
      <alignment horizontal="center"/>
    </xf>
    <xf numFmtId="188" fontId="8" fillId="0" borderId="2" xfId="0" applyNumberFormat="1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49" fontId="8" fillId="0" borderId="39" xfId="0" applyNumberFormat="1" applyFont="1" applyBorder="1" applyAlignment="1">
      <alignment horizontal="center" vertical="center"/>
    </xf>
    <xf numFmtId="49" fontId="8" fillId="0" borderId="22" xfId="0" applyNumberFormat="1" applyFont="1" applyBorder="1" applyAlignment="1">
      <alignment horizontal="center" vertical="center"/>
    </xf>
    <xf numFmtId="188" fontId="8" fillId="2" borderId="20" xfId="0" applyNumberFormat="1" applyFont="1" applyFill="1" applyBorder="1" applyAlignment="1">
      <alignment horizontal="center"/>
    </xf>
    <xf numFmtId="43" fontId="8" fillId="2" borderId="22" xfId="1" applyFont="1" applyFill="1" applyBorder="1" applyAlignment="1">
      <alignment horizontal="center"/>
    </xf>
    <xf numFmtId="0" fontId="8" fillId="2" borderId="19" xfId="0" applyFont="1" applyFill="1" applyBorder="1" applyAlignment="1">
      <alignment horizontal="center"/>
    </xf>
    <xf numFmtId="2" fontId="8" fillId="2" borderId="18" xfId="0" applyNumberFormat="1" applyFont="1" applyFill="1" applyBorder="1" applyAlignment="1">
      <alignment horizontal="center"/>
    </xf>
    <xf numFmtId="49" fontId="8" fillId="2" borderId="19" xfId="0" applyNumberFormat="1" applyFont="1" applyFill="1" applyBorder="1" applyAlignment="1">
      <alignment horizontal="center"/>
    </xf>
    <xf numFmtId="187" fontId="8" fillId="2" borderId="18" xfId="1" applyNumberFormat="1" applyFont="1" applyFill="1" applyBorder="1" applyAlignment="1">
      <alignment horizontal="center"/>
    </xf>
    <xf numFmtId="1" fontId="8" fillId="2" borderId="19" xfId="1" applyNumberFormat="1" applyFont="1" applyFill="1" applyBorder="1" applyAlignment="1">
      <alignment horizontal="center"/>
    </xf>
    <xf numFmtId="43" fontId="8" fillId="2" borderId="19" xfId="1" applyFont="1" applyFill="1" applyBorder="1" applyAlignment="1">
      <alignment horizontal="center"/>
    </xf>
    <xf numFmtId="2" fontId="8" fillId="2" borderId="18" xfId="1" applyNumberFormat="1" applyFont="1" applyFill="1" applyBorder="1" applyAlignment="1">
      <alignment horizontal="center"/>
    </xf>
    <xf numFmtId="2" fontId="8" fillId="2" borderId="16" xfId="1" applyNumberFormat="1" applyFont="1" applyFill="1" applyBorder="1" applyAlignment="1">
      <alignment horizontal="center"/>
    </xf>
    <xf numFmtId="2" fontId="8" fillId="0" borderId="23" xfId="0" applyNumberFormat="1" applyFont="1" applyBorder="1" applyAlignment="1">
      <alignment vertical="center"/>
    </xf>
    <xf numFmtId="189" fontId="8" fillId="2" borderId="16" xfId="2" applyFont="1" applyFill="1" applyBorder="1" applyAlignment="1">
      <alignment horizontal="center" vertical="center"/>
    </xf>
    <xf numFmtId="2" fontId="8" fillId="0" borderId="9" xfId="0" applyNumberFormat="1" applyFont="1" applyBorder="1" applyAlignment="1">
      <alignment horizontal="center"/>
    </xf>
    <xf numFmtId="189" fontId="8" fillId="0" borderId="15" xfId="2" applyFont="1" applyFill="1" applyBorder="1" applyAlignment="1">
      <alignment horizontal="center"/>
    </xf>
    <xf numFmtId="187" fontId="12" fillId="0" borderId="17" xfId="2" applyNumberFormat="1" applyFont="1" applyBorder="1" applyAlignment="1">
      <alignment horizontal="center"/>
    </xf>
    <xf numFmtId="43" fontId="8" fillId="0" borderId="31" xfId="1" applyFont="1" applyBorder="1" applyAlignment="1">
      <alignment horizontal="right" vertical="center"/>
    </xf>
    <xf numFmtId="1" fontId="12" fillId="0" borderId="20" xfId="1" applyNumberFormat="1" applyFont="1" applyBorder="1" applyAlignment="1">
      <alignment horizontal="center"/>
    </xf>
    <xf numFmtId="43" fontId="8" fillId="0" borderId="26" xfId="1" applyFont="1" applyFill="1" applyBorder="1" applyAlignment="1">
      <alignment horizontal="right" vertical="center"/>
    </xf>
    <xf numFmtId="188" fontId="8" fillId="0" borderId="18" xfId="0" applyNumberFormat="1" applyFont="1" applyBorder="1" applyAlignment="1">
      <alignment horizontal="center" vertical="center"/>
    </xf>
    <xf numFmtId="43" fontId="12" fillId="0" borderId="25" xfId="1" applyFont="1" applyBorder="1" applyAlignment="1">
      <alignment horizontal="center"/>
    </xf>
    <xf numFmtId="0" fontId="8" fillId="0" borderId="15" xfId="0" applyFont="1" applyBorder="1"/>
    <xf numFmtId="1" fontId="9" fillId="0" borderId="19" xfId="1" applyNumberFormat="1" applyFont="1" applyBorder="1" applyAlignment="1">
      <alignment horizontal="center"/>
    </xf>
    <xf numFmtId="0" fontId="52" fillId="0" borderId="16" xfId="0" applyFont="1" applyBorder="1" applyAlignment="1">
      <alignment horizontal="center" vertical="center"/>
    </xf>
    <xf numFmtId="0" fontId="52" fillId="0" borderId="20" xfId="0" applyFont="1" applyBorder="1" applyAlignment="1">
      <alignment horizontal="center"/>
    </xf>
    <xf numFmtId="0" fontId="52" fillId="0" borderId="21" xfId="0" applyFont="1" applyBorder="1" applyAlignment="1">
      <alignment horizontal="center"/>
    </xf>
    <xf numFmtId="0" fontId="53" fillId="0" borderId="20" xfId="0" applyFont="1" applyBorder="1" applyAlignment="1">
      <alignment horizontal="center"/>
    </xf>
    <xf numFmtId="0" fontId="52" fillId="0" borderId="21" xfId="0" applyFont="1" applyBorder="1" applyAlignment="1">
      <alignment horizontal="center" vertical="center"/>
    </xf>
    <xf numFmtId="43" fontId="52" fillId="2" borderId="20" xfId="1" applyFont="1" applyFill="1" applyBorder="1" applyAlignment="1">
      <alignment horizontal="center"/>
    </xf>
    <xf numFmtId="43" fontId="53" fillId="0" borderId="16" xfId="1" applyFont="1" applyBorder="1" applyAlignment="1">
      <alignment horizontal="center"/>
    </xf>
    <xf numFmtId="0" fontId="54" fillId="0" borderId="19" xfId="0" applyFont="1" applyBorder="1" applyAlignment="1">
      <alignment horizontal="center"/>
    </xf>
    <xf numFmtId="0" fontId="55" fillId="0" borderId="20" xfId="0" applyFont="1" applyBorder="1" applyAlignment="1">
      <alignment horizontal="center" vertical="center"/>
    </xf>
    <xf numFmtId="0" fontId="52" fillId="0" borderId="20" xfId="0" applyFont="1" applyBorder="1" applyAlignment="1">
      <alignment horizontal="center" vertical="center"/>
    </xf>
    <xf numFmtId="0" fontId="53" fillId="0" borderId="19" xfId="0" applyFont="1" applyBorder="1" applyAlignment="1">
      <alignment horizontal="center"/>
    </xf>
    <xf numFmtId="2" fontId="53" fillId="0" borderId="19" xfId="0" applyNumberFormat="1" applyFont="1" applyBorder="1" applyAlignment="1">
      <alignment horizontal="center"/>
    </xf>
    <xf numFmtId="49" fontId="53" fillId="0" borderId="19" xfId="0" applyNumberFormat="1" applyFont="1" applyBorder="1" applyAlignment="1">
      <alignment horizontal="center"/>
    </xf>
    <xf numFmtId="187" fontId="53" fillId="0" borderId="19" xfId="1" applyNumberFormat="1" applyFont="1" applyBorder="1" applyAlignment="1">
      <alignment horizontal="center"/>
    </xf>
    <xf numFmtId="43" fontId="52" fillId="0" borderId="18" xfId="1" applyFont="1" applyBorder="1" applyAlignment="1">
      <alignment horizontal="center"/>
    </xf>
    <xf numFmtId="1" fontId="52" fillId="0" borderId="20" xfId="1" applyNumberFormat="1" applyFont="1" applyBorder="1" applyAlignment="1">
      <alignment horizontal="center"/>
    </xf>
    <xf numFmtId="43" fontId="52" fillId="0" borderId="19" xfId="1" applyFont="1" applyBorder="1" applyAlignment="1">
      <alignment horizontal="center"/>
    </xf>
    <xf numFmtId="43" fontId="52" fillId="0" borderId="10" xfId="1" applyFont="1" applyBorder="1" applyAlignment="1">
      <alignment horizontal="center"/>
    </xf>
    <xf numFmtId="2" fontId="52" fillId="0" borderId="9" xfId="1" applyNumberFormat="1" applyFont="1" applyBorder="1" applyAlignment="1">
      <alignment horizontal="center"/>
    </xf>
    <xf numFmtId="43" fontId="52" fillId="0" borderId="16" xfId="1" applyFont="1" applyBorder="1" applyAlignment="1">
      <alignment horizontal="right" vertical="center"/>
    </xf>
    <xf numFmtId="4" fontId="52" fillId="0" borderId="16" xfId="0" applyNumberFormat="1" applyFont="1" applyBorder="1" applyAlignment="1">
      <alignment vertical="center"/>
    </xf>
    <xf numFmtId="0" fontId="54" fillId="0" borderId="0" xfId="0" applyFont="1" applyAlignment="1">
      <alignment vertical="center"/>
    </xf>
    <xf numFmtId="0" fontId="9" fillId="0" borderId="20" xfId="0" applyFont="1" applyBorder="1" applyAlignment="1">
      <alignment horizontal="center"/>
    </xf>
    <xf numFmtId="188" fontId="9" fillId="0" borderId="20" xfId="0" applyNumberFormat="1" applyFont="1" applyBorder="1" applyAlignment="1">
      <alignment horizontal="center"/>
    </xf>
    <xf numFmtId="189" fontId="9" fillId="0" borderId="19" xfId="2" applyFont="1" applyBorder="1" applyAlignment="1">
      <alignment horizontal="center"/>
    </xf>
    <xf numFmtId="189" fontId="9" fillId="2" borderId="20" xfId="2" applyFont="1" applyFill="1" applyBorder="1" applyAlignment="1">
      <alignment horizontal="center"/>
    </xf>
    <xf numFmtId="189" fontId="9" fillId="0" borderId="21" xfId="2" applyFont="1" applyBorder="1" applyAlignment="1">
      <alignment horizontal="center"/>
    </xf>
    <xf numFmtId="0" fontId="9" fillId="0" borderId="19" xfId="0" applyFont="1" applyBorder="1" applyAlignment="1">
      <alignment horizontal="center"/>
    </xf>
    <xf numFmtId="2" fontId="9" fillId="0" borderId="19" xfId="0" applyNumberFormat="1" applyFont="1" applyBorder="1" applyAlignment="1">
      <alignment horizontal="center"/>
    </xf>
    <xf numFmtId="49" fontId="9" fillId="0" borderId="19" xfId="0" applyNumberFormat="1" applyFont="1" applyBorder="1" applyAlignment="1">
      <alignment horizontal="center"/>
    </xf>
    <xf numFmtId="187" fontId="9" fillId="0" borderId="19" xfId="2" applyNumberFormat="1" applyFont="1" applyBorder="1" applyAlignment="1">
      <alignment horizontal="center"/>
    </xf>
    <xf numFmtId="1" fontId="9" fillId="0" borderId="19" xfId="2" applyNumberFormat="1" applyFont="1" applyBorder="1" applyAlignment="1">
      <alignment horizontal="center"/>
    </xf>
    <xf numFmtId="189" fontId="9" fillId="0" borderId="10" xfId="2" applyFont="1" applyBorder="1" applyAlignment="1">
      <alignment horizontal="center"/>
    </xf>
    <xf numFmtId="189" fontId="9" fillId="0" borderId="20" xfId="2" applyFont="1" applyBorder="1" applyAlignment="1">
      <alignment horizontal="center"/>
    </xf>
    <xf numFmtId="2" fontId="9" fillId="0" borderId="20" xfId="2" applyNumberFormat="1" applyFont="1" applyBorder="1" applyAlignment="1">
      <alignment horizontal="center"/>
    </xf>
    <xf numFmtId="43" fontId="9" fillId="0" borderId="20" xfId="1" applyFont="1" applyBorder="1" applyAlignment="1">
      <alignment horizontal="right" vertical="center"/>
    </xf>
    <xf numFmtId="0" fontId="9" fillId="0" borderId="18" xfId="0" applyFont="1" applyBorder="1" applyAlignment="1">
      <alignment horizontal="center"/>
    </xf>
    <xf numFmtId="49" fontId="9" fillId="0" borderId="18" xfId="0" applyNumberFormat="1" applyFont="1" applyBorder="1" applyAlignment="1">
      <alignment horizontal="center"/>
    </xf>
    <xf numFmtId="0" fontId="9" fillId="0" borderId="16" xfId="0" applyFont="1" applyBorder="1" applyAlignment="1">
      <alignment horizontal="center"/>
    </xf>
    <xf numFmtId="0" fontId="9" fillId="0" borderId="22" xfId="0" applyFont="1" applyBorder="1" applyAlignment="1">
      <alignment horizontal="center"/>
    </xf>
    <xf numFmtId="2" fontId="9" fillId="0" borderId="18" xfId="0" applyNumberFormat="1" applyFont="1" applyBorder="1" applyAlignment="1">
      <alignment horizontal="center"/>
    </xf>
    <xf numFmtId="189" fontId="9" fillId="0" borderId="18" xfId="2" applyFont="1" applyBorder="1" applyAlignment="1">
      <alignment horizontal="center"/>
    </xf>
    <xf numFmtId="189" fontId="9" fillId="2" borderId="16" xfId="2" applyFont="1" applyFill="1" applyBorder="1" applyAlignment="1">
      <alignment horizontal="center"/>
    </xf>
    <xf numFmtId="189" fontId="9" fillId="0" borderId="22" xfId="2" applyFont="1" applyBorder="1" applyAlignment="1">
      <alignment horizontal="center"/>
    </xf>
    <xf numFmtId="187" fontId="9" fillId="0" borderId="18" xfId="2" applyNumberFormat="1" applyFont="1" applyBorder="1" applyAlignment="1">
      <alignment horizontal="center"/>
    </xf>
    <xf numFmtId="1" fontId="9" fillId="0" borderId="18" xfId="2" applyNumberFormat="1" applyFont="1" applyBorder="1" applyAlignment="1">
      <alignment horizontal="center"/>
    </xf>
    <xf numFmtId="189" fontId="9" fillId="0" borderId="26" xfId="2" applyFont="1" applyBorder="1" applyAlignment="1">
      <alignment horizontal="center"/>
    </xf>
    <xf numFmtId="2" fontId="9" fillId="0" borderId="16" xfId="2" applyNumberFormat="1" applyFont="1" applyBorder="1" applyAlignment="1">
      <alignment horizontal="center"/>
    </xf>
    <xf numFmtId="0" fontId="56" fillId="0" borderId="19" xfId="0" applyFont="1" applyBorder="1" applyAlignment="1">
      <alignment horizontal="left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13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2" fontId="8" fillId="3" borderId="9" xfId="0" applyNumberFormat="1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13" xfId="0" applyFont="1" applyFill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49" fontId="8" fillId="0" borderId="16" xfId="0" applyNumberFormat="1" applyFont="1" applyBorder="1" applyAlignment="1">
      <alignment horizontal="center" vertical="center"/>
    </xf>
    <xf numFmtId="2" fontId="8" fillId="0" borderId="16" xfId="0" applyNumberFormat="1" applyFont="1" applyBorder="1" applyAlignment="1">
      <alignment horizontal="center" vertical="center"/>
    </xf>
    <xf numFmtId="43" fontId="8" fillId="0" borderId="16" xfId="1" applyFont="1" applyBorder="1" applyAlignment="1">
      <alignment horizontal="center" vertical="center"/>
    </xf>
    <xf numFmtId="0" fontId="8" fillId="10" borderId="17" xfId="0" applyFont="1" applyFill="1" applyBorder="1" applyAlignment="1">
      <alignment horizontal="center"/>
    </xf>
    <xf numFmtId="0" fontId="8" fillId="10" borderId="15" xfId="0" applyFont="1" applyFill="1" applyBorder="1" applyAlignment="1">
      <alignment horizontal="center"/>
    </xf>
    <xf numFmtId="2" fontId="8" fillId="10" borderId="15" xfId="0" applyNumberFormat="1" applyFont="1" applyFill="1" applyBorder="1" applyAlignment="1">
      <alignment horizontal="center"/>
    </xf>
    <xf numFmtId="0" fontId="8" fillId="10" borderId="21" xfId="0" applyFont="1" applyFill="1" applyBorder="1" applyAlignment="1">
      <alignment horizontal="center"/>
    </xf>
    <xf numFmtId="0" fontId="8" fillId="10" borderId="19" xfId="0" applyFont="1" applyFill="1" applyBorder="1" applyAlignment="1">
      <alignment horizontal="center"/>
    </xf>
    <xf numFmtId="2" fontId="8" fillId="10" borderId="19" xfId="0" applyNumberFormat="1" applyFont="1" applyFill="1" applyBorder="1" applyAlignment="1">
      <alignment horizontal="center"/>
    </xf>
    <xf numFmtId="2" fontId="8" fillId="10" borderId="20" xfId="0" applyNumberFormat="1" applyFont="1" applyFill="1" applyBorder="1" applyAlignment="1">
      <alignment horizontal="center"/>
    </xf>
    <xf numFmtId="0" fontId="9" fillId="0" borderId="23" xfId="0" applyFont="1" applyBorder="1" applyAlignment="1">
      <alignment horizontal="center"/>
    </xf>
    <xf numFmtId="188" fontId="9" fillId="0" borderId="23" xfId="0" applyNumberFormat="1" applyFont="1" applyBorder="1" applyAlignment="1">
      <alignment horizontal="center"/>
    </xf>
    <xf numFmtId="189" fontId="9" fillId="0" borderId="15" xfId="2" applyFont="1" applyBorder="1" applyAlignment="1">
      <alignment horizontal="center"/>
    </xf>
    <xf numFmtId="189" fontId="9" fillId="0" borderId="23" xfId="2" applyFont="1" applyBorder="1" applyAlignment="1">
      <alignment horizontal="center"/>
    </xf>
    <xf numFmtId="0" fontId="20" fillId="0" borderId="23" xfId="0" applyFont="1" applyBorder="1" applyAlignment="1">
      <alignment horizontal="center"/>
    </xf>
    <xf numFmtId="0" fontId="20" fillId="0" borderId="23" xfId="0" applyFont="1" applyBorder="1" applyAlignment="1">
      <alignment horizontal="center" vertical="center"/>
    </xf>
    <xf numFmtId="191" fontId="20" fillId="0" borderId="23" xfId="2" applyNumberFormat="1" applyFont="1" applyBorder="1" applyAlignment="1">
      <alignment horizontal="center"/>
    </xf>
    <xf numFmtId="2" fontId="20" fillId="0" borderId="23" xfId="0" applyNumberFormat="1" applyFont="1" applyBorder="1" applyAlignment="1">
      <alignment horizontal="center"/>
    </xf>
    <xf numFmtId="189" fontId="20" fillId="0" borderId="23" xfId="2" applyFont="1" applyBorder="1"/>
    <xf numFmtId="0" fontId="20" fillId="0" borderId="23" xfId="0" applyFont="1" applyBorder="1"/>
    <xf numFmtId="0" fontId="26" fillId="0" borderId="17" xfId="0" applyFont="1" applyBorder="1"/>
    <xf numFmtId="2" fontId="9" fillId="0" borderId="23" xfId="2" applyNumberFormat="1" applyFont="1" applyBorder="1" applyAlignment="1">
      <alignment horizontal="center"/>
    </xf>
    <xf numFmtId="43" fontId="9" fillId="0" borderId="23" xfId="1" applyFont="1" applyFill="1" applyBorder="1" applyAlignment="1">
      <alignment horizontal="right" vertical="center"/>
    </xf>
    <xf numFmtId="189" fontId="9" fillId="0" borderId="16" xfId="2" applyFont="1" applyBorder="1" applyAlignment="1">
      <alignment horizontal="center"/>
    </xf>
    <xf numFmtId="0" fontId="20" fillId="0" borderId="20" xfId="0" applyFont="1" applyBorder="1" applyAlignment="1">
      <alignment horizontal="center"/>
    </xf>
    <xf numFmtId="0" fontId="20" fillId="0" borderId="20" xfId="0" applyFont="1" applyBorder="1" applyAlignment="1">
      <alignment horizontal="center" vertical="center"/>
    </xf>
    <xf numFmtId="191" fontId="20" fillId="0" borderId="20" xfId="2" applyNumberFormat="1" applyFont="1" applyBorder="1" applyAlignment="1">
      <alignment horizontal="center"/>
    </xf>
    <xf numFmtId="2" fontId="20" fillId="0" borderId="20" xfId="0" applyNumberFormat="1" applyFont="1" applyBorder="1" applyAlignment="1">
      <alignment horizontal="center"/>
    </xf>
    <xf numFmtId="189" fontId="20" fillId="0" borderId="20" xfId="2" applyFont="1" applyBorder="1"/>
    <xf numFmtId="0" fontId="20" fillId="0" borderId="20" xfId="0" applyFont="1" applyBorder="1"/>
    <xf numFmtId="0" fontId="26" fillId="0" borderId="21" xfId="0" applyFont="1" applyBorder="1"/>
    <xf numFmtId="43" fontId="9" fillId="0" borderId="20" xfId="1" applyFont="1" applyFill="1" applyBorder="1" applyAlignment="1">
      <alignment horizontal="right" vertical="center"/>
    </xf>
    <xf numFmtId="0" fontId="26" fillId="0" borderId="20" xfId="0" applyFont="1" applyBorder="1" applyAlignment="1">
      <alignment horizontal="center"/>
    </xf>
    <xf numFmtId="0" fontId="26" fillId="0" borderId="20" xfId="0" applyFont="1" applyBorder="1" applyAlignment="1">
      <alignment horizontal="center" vertical="center"/>
    </xf>
    <xf numFmtId="191" fontId="26" fillId="0" borderId="20" xfId="2" applyNumberFormat="1" applyFont="1" applyBorder="1" applyAlignment="1">
      <alignment horizontal="center"/>
    </xf>
    <xf numFmtId="2" fontId="26" fillId="0" borderId="20" xfId="0" applyNumberFormat="1" applyFont="1" applyBorder="1" applyAlignment="1">
      <alignment horizontal="center"/>
    </xf>
    <xf numFmtId="189" fontId="26" fillId="0" borderId="20" xfId="2" applyFont="1" applyBorder="1"/>
    <xf numFmtId="192" fontId="26" fillId="0" borderId="20" xfId="0" applyNumberFormat="1" applyFont="1" applyBorder="1"/>
    <xf numFmtId="43" fontId="26" fillId="0" borderId="20" xfId="0" applyNumberFormat="1" applyFont="1" applyBorder="1"/>
    <xf numFmtId="192" fontId="26" fillId="0" borderId="21" xfId="0" applyNumberFormat="1" applyFont="1" applyBorder="1"/>
    <xf numFmtId="0" fontId="57" fillId="0" borderId="18" xfId="0" applyFont="1" applyBorder="1" applyAlignment="1">
      <alignment horizontal="center" vertical="center"/>
    </xf>
    <xf numFmtId="0" fontId="29" fillId="0" borderId="23" xfId="0" applyFont="1" applyBorder="1" applyAlignment="1">
      <alignment horizontal="left"/>
    </xf>
    <xf numFmtId="0" fontId="8" fillId="10" borderId="16" xfId="0" applyFont="1" applyFill="1" applyBorder="1" applyAlignment="1">
      <alignment horizontal="center"/>
    </xf>
    <xf numFmtId="188" fontId="8" fillId="10" borderId="16" xfId="0" applyNumberFormat="1" applyFont="1" applyFill="1" applyBorder="1" applyAlignment="1">
      <alignment horizontal="center"/>
    </xf>
    <xf numFmtId="0" fontId="13" fillId="0" borderId="18" xfId="0" applyFont="1" applyBorder="1" applyAlignment="1">
      <alignment horizontal="center" vertical="center"/>
    </xf>
    <xf numFmtId="188" fontId="9" fillId="0" borderId="16" xfId="0" applyNumberFormat="1" applyFont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0" fontId="58" fillId="0" borderId="19" xfId="0" applyFont="1" applyBorder="1" applyAlignment="1">
      <alignment horizontal="center" vertical="center"/>
    </xf>
    <xf numFmtId="0" fontId="59" fillId="0" borderId="18" xfId="0" applyFont="1" applyBorder="1" applyAlignment="1">
      <alignment horizontal="left" vertical="center"/>
    </xf>
    <xf numFmtId="0" fontId="8" fillId="10" borderId="23" xfId="0" applyFont="1" applyFill="1" applyBorder="1" applyAlignment="1">
      <alignment horizontal="center" vertical="center"/>
    </xf>
    <xf numFmtId="188" fontId="8" fillId="10" borderId="23" xfId="0" applyNumberFormat="1" applyFont="1" applyFill="1" applyBorder="1" applyAlignment="1">
      <alignment horizontal="center" vertical="center"/>
    </xf>
    <xf numFmtId="43" fontId="8" fillId="10" borderId="23" xfId="1" applyFont="1" applyFill="1" applyBorder="1" applyAlignment="1">
      <alignment horizontal="center" vertical="center"/>
    </xf>
    <xf numFmtId="189" fontId="8" fillId="10" borderId="16" xfId="2" applyFont="1" applyFill="1" applyBorder="1" applyAlignment="1">
      <alignment horizontal="center"/>
    </xf>
    <xf numFmtId="0" fontId="13" fillId="0" borderId="20" xfId="0" applyFont="1" applyBorder="1" applyAlignment="1">
      <alignment horizontal="center"/>
    </xf>
    <xf numFmtId="0" fontId="13" fillId="0" borderId="18" xfId="0" applyFont="1" applyBorder="1" applyAlignment="1">
      <alignment horizontal="center"/>
    </xf>
    <xf numFmtId="189" fontId="8" fillId="10" borderId="23" xfId="2" applyFont="1" applyFill="1" applyBorder="1" applyAlignment="1">
      <alignment horizontal="center"/>
    </xf>
    <xf numFmtId="189" fontId="8" fillId="10" borderId="20" xfId="2" applyFont="1" applyFill="1" applyBorder="1" applyAlignment="1">
      <alignment horizontal="center"/>
    </xf>
    <xf numFmtId="43" fontId="12" fillId="10" borderId="23" xfId="1" applyFont="1" applyFill="1" applyBorder="1" applyAlignment="1">
      <alignment horizontal="center" vertical="center"/>
    </xf>
    <xf numFmtId="43" fontId="13" fillId="10" borderId="16" xfId="1" applyFont="1" applyFill="1" applyBorder="1" applyAlignment="1">
      <alignment horizontal="center" vertical="center"/>
    </xf>
    <xf numFmtId="0" fontId="57" fillId="0" borderId="19" xfId="0" applyFont="1" applyBorder="1" applyAlignment="1">
      <alignment horizontal="center" vertical="center"/>
    </xf>
    <xf numFmtId="2" fontId="12" fillId="0" borderId="2" xfId="0" applyNumberFormat="1" applyFont="1" applyBorder="1" applyAlignment="1">
      <alignment horizontal="center" vertical="center"/>
    </xf>
    <xf numFmtId="0" fontId="9" fillId="2" borderId="23" xfId="0" applyFont="1" applyFill="1" applyBorder="1" applyAlignment="1">
      <alignment horizontal="center" vertical="center"/>
    </xf>
    <xf numFmtId="43" fontId="9" fillId="0" borderId="23" xfId="1" applyFont="1" applyBorder="1" applyAlignment="1">
      <alignment horizontal="right" vertical="center"/>
    </xf>
    <xf numFmtId="43" fontId="9" fillId="0" borderId="22" xfId="1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2" fontId="13" fillId="0" borderId="20" xfId="0" applyNumberFormat="1" applyFont="1" applyBorder="1" applyAlignment="1">
      <alignment horizontal="center" vertical="center"/>
    </xf>
    <xf numFmtId="43" fontId="9" fillId="0" borderId="21" xfId="1" applyFont="1" applyBorder="1" applyAlignment="1">
      <alignment horizontal="center" vertical="center"/>
    </xf>
    <xf numFmtId="0" fontId="9" fillId="2" borderId="20" xfId="0" applyFont="1" applyFill="1" applyBorder="1" applyAlignment="1">
      <alignment horizontal="center" vertical="center"/>
    </xf>
    <xf numFmtId="43" fontId="9" fillId="0" borderId="26" xfId="1" applyFont="1" applyBorder="1" applyAlignment="1">
      <alignment horizontal="right" vertical="center"/>
    </xf>
    <xf numFmtId="0" fontId="59" fillId="0" borderId="19" xfId="0" applyFont="1" applyBorder="1" applyAlignment="1">
      <alignment horizontal="left" vertical="center"/>
    </xf>
    <xf numFmtId="0" fontId="9" fillId="10" borderId="23" xfId="0" applyFont="1" applyFill="1" applyBorder="1" applyAlignment="1">
      <alignment horizontal="center" vertical="center"/>
    </xf>
    <xf numFmtId="188" fontId="9" fillId="10" borderId="23" xfId="0" applyNumberFormat="1" applyFont="1" applyFill="1" applyBorder="1" applyAlignment="1">
      <alignment horizontal="center" vertical="center"/>
    </xf>
    <xf numFmtId="0" fontId="9" fillId="10" borderId="16" xfId="0" applyFont="1" applyFill="1" applyBorder="1" applyAlignment="1">
      <alignment horizontal="center" vertical="center"/>
    </xf>
    <xf numFmtId="188" fontId="9" fillId="10" borderId="16" xfId="0" applyNumberFormat="1" applyFont="1" applyFill="1" applyBorder="1" applyAlignment="1">
      <alignment horizontal="center" vertical="center"/>
    </xf>
    <xf numFmtId="43" fontId="9" fillId="10" borderId="23" xfId="1" applyFont="1" applyFill="1" applyBorder="1" applyAlignment="1">
      <alignment horizontal="center" vertical="center"/>
    </xf>
    <xf numFmtId="43" fontId="9" fillId="10" borderId="16" xfId="1" applyFont="1" applyFill="1" applyBorder="1" applyAlignment="1">
      <alignment horizontal="center" vertical="center"/>
    </xf>
    <xf numFmtId="43" fontId="65" fillId="0" borderId="21" xfId="1" applyFont="1" applyBorder="1" applyAlignment="1">
      <alignment horizontal="left" vertical="center"/>
    </xf>
    <xf numFmtId="2" fontId="9" fillId="0" borderId="16" xfId="0" applyNumberFormat="1" applyFont="1" applyBorder="1" applyAlignment="1">
      <alignment horizontal="center" vertical="center"/>
    </xf>
    <xf numFmtId="43" fontId="9" fillId="0" borderId="16" xfId="1" applyFont="1" applyFill="1" applyBorder="1" applyAlignment="1">
      <alignment horizontal="center" vertical="center"/>
    </xf>
    <xf numFmtId="49" fontId="9" fillId="0" borderId="16" xfId="0" applyNumberFormat="1" applyFont="1" applyBorder="1" applyAlignment="1">
      <alignment horizontal="center" vertical="center"/>
    </xf>
    <xf numFmtId="187" fontId="9" fillId="0" borderId="16" xfId="1" applyNumberFormat="1" applyFont="1" applyFill="1" applyBorder="1" applyAlignment="1">
      <alignment horizontal="center" vertical="center"/>
    </xf>
    <xf numFmtId="1" fontId="9" fillId="0" borderId="16" xfId="1" applyNumberFormat="1" applyFont="1" applyFill="1" applyBorder="1" applyAlignment="1">
      <alignment horizontal="center" vertical="center"/>
    </xf>
    <xf numFmtId="43" fontId="9" fillId="0" borderId="16" xfId="0" applyNumberFormat="1" applyFont="1" applyBorder="1" applyAlignment="1">
      <alignment horizontal="center" vertical="center"/>
    </xf>
    <xf numFmtId="4" fontId="9" fillId="0" borderId="16" xfId="1" applyNumberFormat="1" applyFont="1" applyBorder="1" applyAlignment="1">
      <alignment horizontal="right" vertical="center"/>
    </xf>
    <xf numFmtId="43" fontId="9" fillId="0" borderId="16" xfId="1" applyFont="1" applyBorder="1" applyAlignment="1">
      <alignment horizontal="right" vertical="center"/>
    </xf>
    <xf numFmtId="0" fontId="8" fillId="10" borderId="23" xfId="0" applyFont="1" applyFill="1" applyBorder="1" applyAlignment="1">
      <alignment horizontal="center"/>
    </xf>
    <xf numFmtId="188" fontId="8" fillId="10" borderId="23" xfId="0" applyNumberFormat="1" applyFont="1" applyFill="1" applyBorder="1" applyAlignment="1">
      <alignment horizontal="center"/>
    </xf>
    <xf numFmtId="0" fontId="12" fillId="10" borderId="21" xfId="0" applyFont="1" applyFill="1" applyBorder="1" applyAlignment="1">
      <alignment horizontal="center"/>
    </xf>
    <xf numFmtId="0" fontId="12" fillId="10" borderId="19" xfId="0" applyFont="1" applyFill="1" applyBorder="1" applyAlignment="1">
      <alignment horizontal="center"/>
    </xf>
    <xf numFmtId="2" fontId="12" fillId="10" borderId="19" xfId="0" applyNumberFormat="1" applyFont="1" applyFill="1" applyBorder="1" applyAlignment="1">
      <alignment horizontal="center"/>
    </xf>
    <xf numFmtId="0" fontId="13" fillId="0" borderId="19" xfId="0" applyFont="1" applyBorder="1" applyAlignment="1">
      <alignment horizontal="center"/>
    </xf>
    <xf numFmtId="49" fontId="13" fillId="0" borderId="19" xfId="0" applyNumberFormat="1" applyFont="1" applyBorder="1" applyAlignment="1">
      <alignment horizontal="center"/>
    </xf>
    <xf numFmtId="0" fontId="13" fillId="0" borderId="21" xfId="0" applyFont="1" applyBorder="1" applyAlignment="1">
      <alignment horizontal="center"/>
    </xf>
    <xf numFmtId="2" fontId="13" fillId="0" borderId="19" xfId="0" applyNumberFormat="1" applyFont="1" applyBorder="1" applyAlignment="1">
      <alignment horizontal="center"/>
    </xf>
    <xf numFmtId="189" fontId="9" fillId="10" borderId="20" xfId="2" applyFont="1" applyFill="1" applyBorder="1" applyAlignment="1">
      <alignment horizontal="center"/>
    </xf>
    <xf numFmtId="191" fontId="13" fillId="0" borderId="19" xfId="2" applyNumberFormat="1" applyFont="1" applyBorder="1" applyAlignment="1">
      <alignment horizontal="center"/>
    </xf>
    <xf numFmtId="189" fontId="13" fillId="0" borderId="19" xfId="2" applyFont="1" applyBorder="1" applyAlignment="1">
      <alignment horizontal="center"/>
    </xf>
    <xf numFmtId="1" fontId="13" fillId="0" borderId="19" xfId="2" applyNumberFormat="1" applyFont="1" applyBorder="1" applyAlignment="1">
      <alignment horizontal="center"/>
    </xf>
    <xf numFmtId="2" fontId="13" fillId="0" borderId="20" xfId="2" applyNumberFormat="1" applyFont="1" applyBorder="1" applyAlignment="1">
      <alignment horizontal="center"/>
    </xf>
    <xf numFmtId="0" fontId="59" fillId="2" borderId="16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vertical="center"/>
    </xf>
    <xf numFmtId="2" fontId="9" fillId="10" borderId="16" xfId="0" applyNumberFormat="1" applyFont="1" applyFill="1" applyBorder="1" applyAlignment="1">
      <alignment horizontal="center" vertical="center"/>
    </xf>
    <xf numFmtId="43" fontId="9" fillId="0" borderId="9" xfId="1" applyFont="1" applyBorder="1" applyAlignment="1">
      <alignment horizontal="right" vertical="center"/>
    </xf>
    <xf numFmtId="0" fontId="12" fillId="0" borderId="4" xfId="0" applyFont="1" applyBorder="1" applyAlignment="1">
      <alignment horizontal="center"/>
    </xf>
    <xf numFmtId="189" fontId="22" fillId="10" borderId="23" xfId="2" applyFont="1" applyFill="1" applyBorder="1" applyAlignment="1">
      <alignment horizontal="center"/>
    </xf>
    <xf numFmtId="0" fontId="47" fillId="0" borderId="21" xfId="0" applyFont="1" applyBorder="1" applyAlignment="1">
      <alignment horizontal="center"/>
    </xf>
    <xf numFmtId="0" fontId="46" fillId="0" borderId="20" xfId="0" applyFont="1" applyBorder="1" applyAlignment="1">
      <alignment horizontal="center"/>
    </xf>
    <xf numFmtId="0" fontId="47" fillId="0" borderId="21" xfId="0" applyFont="1" applyBorder="1" applyAlignment="1">
      <alignment horizontal="center" vertical="center"/>
    </xf>
    <xf numFmtId="43" fontId="46" fillId="0" borderId="16" xfId="1" applyFont="1" applyBorder="1" applyAlignment="1">
      <alignment horizontal="center"/>
    </xf>
    <xf numFmtId="0" fontId="44" fillId="0" borderId="19" xfId="0" applyFont="1" applyBorder="1" applyAlignment="1">
      <alignment horizontal="center"/>
    </xf>
    <xf numFmtId="0" fontId="68" fillId="0" borderId="20" xfId="0" applyFont="1" applyBorder="1" applyAlignment="1">
      <alignment horizontal="center" vertical="center"/>
    </xf>
    <xf numFmtId="0" fontId="46" fillId="0" borderId="19" xfId="0" applyFont="1" applyBorder="1" applyAlignment="1">
      <alignment horizontal="center"/>
    </xf>
    <xf numFmtId="2" fontId="46" fillId="0" borderId="19" xfId="0" applyNumberFormat="1" applyFont="1" applyBorder="1" applyAlignment="1">
      <alignment horizontal="center"/>
    </xf>
    <xf numFmtId="49" fontId="46" fillId="0" borderId="19" xfId="0" applyNumberFormat="1" applyFont="1" applyBorder="1" applyAlignment="1">
      <alignment horizontal="center"/>
    </xf>
    <xf numFmtId="187" fontId="46" fillId="0" borderId="19" xfId="1" applyNumberFormat="1" applyFont="1" applyBorder="1" applyAlignment="1">
      <alignment horizontal="center"/>
    </xf>
    <xf numFmtId="43" fontId="47" fillId="0" borderId="10" xfId="1" applyFont="1" applyBorder="1" applyAlignment="1">
      <alignment horizontal="center"/>
    </xf>
    <xf numFmtId="2" fontId="47" fillId="0" borderId="9" xfId="1" applyNumberFormat="1" applyFont="1" applyBorder="1" applyAlignment="1">
      <alignment horizontal="center"/>
    </xf>
    <xf numFmtId="0" fontId="13" fillId="0" borderId="9" xfId="0" applyFont="1" applyBorder="1" applyAlignment="1">
      <alignment horizontal="center"/>
    </xf>
    <xf numFmtId="0" fontId="8" fillId="10" borderId="17" xfId="0" applyFont="1" applyFill="1" applyBorder="1" applyAlignment="1">
      <alignment horizontal="center" vertical="center"/>
    </xf>
    <xf numFmtId="0" fontId="8" fillId="10" borderId="20" xfId="0" applyFont="1" applyFill="1" applyBorder="1" applyAlignment="1">
      <alignment horizontal="center"/>
    </xf>
    <xf numFmtId="0" fontId="47" fillId="10" borderId="20" xfId="0" applyFont="1" applyFill="1" applyBorder="1" applyAlignment="1">
      <alignment horizontal="center"/>
    </xf>
    <xf numFmtId="0" fontId="47" fillId="10" borderId="21" xfId="0" applyFont="1" applyFill="1" applyBorder="1" applyAlignment="1">
      <alignment horizontal="center"/>
    </xf>
    <xf numFmtId="0" fontId="8" fillId="10" borderId="25" xfId="0" applyFont="1" applyFill="1" applyBorder="1" applyAlignment="1">
      <alignment horizontal="center" vertical="center"/>
    </xf>
    <xf numFmtId="0" fontId="8" fillId="10" borderId="21" xfId="0" applyFont="1" applyFill="1" applyBorder="1" applyAlignment="1">
      <alignment horizontal="center" vertical="center"/>
    </xf>
    <xf numFmtId="0" fontId="8" fillId="10" borderId="20" xfId="0" applyFont="1" applyFill="1" applyBorder="1" applyAlignment="1">
      <alignment horizontal="center" vertical="center"/>
    </xf>
    <xf numFmtId="43" fontId="12" fillId="10" borderId="23" xfId="1" applyFont="1" applyFill="1" applyBorder="1" applyAlignment="1">
      <alignment horizontal="center"/>
    </xf>
    <xf numFmtId="43" fontId="8" fillId="10" borderId="20" xfId="1" applyFont="1" applyFill="1" applyBorder="1" applyAlignment="1">
      <alignment horizontal="center"/>
    </xf>
    <xf numFmtId="43" fontId="47" fillId="10" borderId="20" xfId="1" applyFont="1" applyFill="1" applyBorder="1" applyAlignment="1">
      <alignment horizontal="center"/>
    </xf>
    <xf numFmtId="43" fontId="12" fillId="0" borderId="15" xfId="1" applyFont="1" applyBorder="1" applyAlignment="1">
      <alignment vertical="center"/>
    </xf>
    <xf numFmtId="1" fontId="9" fillId="0" borderId="20" xfId="1" applyNumberFormat="1" applyFont="1" applyBorder="1" applyAlignment="1">
      <alignment horizontal="center"/>
    </xf>
    <xf numFmtId="0" fontId="13" fillId="0" borderId="23" xfId="0" applyFont="1" applyBorder="1" applyAlignment="1">
      <alignment horizontal="center"/>
    </xf>
    <xf numFmtId="188" fontId="8" fillId="10" borderId="20" xfId="0" applyNumberFormat="1" applyFont="1" applyFill="1" applyBorder="1" applyAlignment="1">
      <alignment horizontal="center"/>
    </xf>
    <xf numFmtId="1" fontId="9" fillId="0" borderId="18" xfId="1" applyNumberFormat="1" applyFont="1" applyBorder="1" applyAlignment="1">
      <alignment horizontal="center"/>
    </xf>
    <xf numFmtId="43" fontId="9" fillId="0" borderId="18" xfId="1" applyFont="1" applyBorder="1" applyAlignment="1">
      <alignment horizontal="center"/>
    </xf>
    <xf numFmtId="43" fontId="9" fillId="0" borderId="19" xfId="1" applyFont="1" applyBorder="1" applyAlignment="1">
      <alignment horizontal="center"/>
    </xf>
    <xf numFmtId="187" fontId="9" fillId="0" borderId="19" xfId="1" applyNumberFormat="1" applyFont="1" applyBorder="1" applyAlignment="1">
      <alignment horizontal="center"/>
    </xf>
    <xf numFmtId="1" fontId="9" fillId="0" borderId="19" xfId="1" applyNumberFormat="1" applyFont="1" applyBorder="1" applyAlignment="1">
      <alignment horizontal="left"/>
    </xf>
    <xf numFmtId="0" fontId="59" fillId="0" borderId="16" xfId="0" applyFont="1" applyBorder="1" applyAlignment="1">
      <alignment horizontal="left" vertical="center"/>
    </xf>
    <xf numFmtId="43" fontId="8" fillId="10" borderId="23" xfId="1" applyFont="1" applyFill="1" applyBorder="1" applyAlignment="1">
      <alignment horizontal="center"/>
    </xf>
    <xf numFmtId="43" fontId="8" fillId="10" borderId="16" xfId="1" applyFont="1" applyFill="1" applyBorder="1" applyAlignment="1">
      <alignment horizontal="center"/>
    </xf>
    <xf numFmtId="43" fontId="9" fillId="0" borderId="20" xfId="1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6" fillId="0" borderId="23" xfId="0" applyFont="1" applyBorder="1" applyAlignment="1">
      <alignment horizontal="center"/>
    </xf>
    <xf numFmtId="0" fontId="5" fillId="10" borderId="23" xfId="0" applyFont="1" applyFill="1" applyBorder="1" applyAlignment="1">
      <alignment horizontal="center"/>
    </xf>
    <xf numFmtId="188" fontId="5" fillId="10" borderId="23" xfId="0" applyNumberFormat="1" applyFont="1" applyFill="1" applyBorder="1" applyAlignment="1">
      <alignment horizontal="center"/>
    </xf>
    <xf numFmtId="189" fontId="5" fillId="10" borderId="23" xfId="2" applyFont="1" applyFill="1" applyBorder="1" applyAlignment="1">
      <alignment horizontal="center"/>
    </xf>
    <xf numFmtId="191" fontId="9" fillId="2" borderId="23" xfId="2" applyNumberFormat="1" applyFont="1" applyFill="1" applyBorder="1" applyAlignment="1">
      <alignment horizontal="center"/>
    </xf>
    <xf numFmtId="49" fontId="9" fillId="0" borderId="15" xfId="0" applyNumberFormat="1" applyFont="1" applyBorder="1" applyAlignment="1">
      <alignment horizontal="center"/>
    </xf>
    <xf numFmtId="2" fontId="9" fillId="0" borderId="16" xfId="1" applyNumberFormat="1" applyFont="1" applyBorder="1" applyAlignment="1">
      <alignment horizontal="center"/>
    </xf>
    <xf numFmtId="0" fontId="12" fillId="10" borderId="19" xfId="0" applyFont="1" applyFill="1" applyBorder="1" applyAlignment="1">
      <alignment horizontal="center" vertical="center"/>
    </xf>
    <xf numFmtId="0" fontId="8" fillId="10" borderId="25" xfId="0" applyFont="1" applyFill="1" applyBorder="1" applyAlignment="1">
      <alignment horizontal="center"/>
    </xf>
    <xf numFmtId="0" fontId="9" fillId="0" borderId="16" xfId="0" applyFont="1" applyBorder="1" applyAlignment="1">
      <alignment horizontal="center" wrapText="1"/>
    </xf>
    <xf numFmtId="2" fontId="9" fillId="0" borderId="16" xfId="0" applyNumberFormat="1" applyFont="1" applyBorder="1" applyAlignment="1">
      <alignment horizontal="center"/>
    </xf>
    <xf numFmtId="49" fontId="9" fillId="0" borderId="16" xfId="0" applyNumberFormat="1" applyFont="1" applyBorder="1" applyAlignment="1">
      <alignment horizontal="center"/>
    </xf>
    <xf numFmtId="4" fontId="9" fillId="9" borderId="14" xfId="0" applyNumberFormat="1" applyFont="1" applyFill="1" applyBorder="1" applyAlignment="1">
      <alignment vertical="center"/>
    </xf>
    <xf numFmtId="4" fontId="9" fillId="0" borderId="14" xfId="0" applyNumberFormat="1" applyFont="1" applyBorder="1" applyAlignment="1">
      <alignment vertical="center"/>
    </xf>
    <xf numFmtId="1" fontId="9" fillId="0" borderId="16" xfId="1" applyNumberFormat="1" applyFont="1" applyFill="1" applyBorder="1" applyAlignment="1">
      <alignment horizontal="center"/>
    </xf>
    <xf numFmtId="43" fontId="9" fillId="0" borderId="16" xfId="1" applyFont="1" applyFill="1" applyBorder="1" applyAlignment="1">
      <alignment horizontal="center"/>
    </xf>
    <xf numFmtId="0" fontId="12" fillId="10" borderId="23" xfId="0" applyFont="1" applyFill="1" applyBorder="1" applyAlignment="1">
      <alignment horizontal="center"/>
    </xf>
    <xf numFmtId="0" fontId="12" fillId="10" borderId="17" xfId="0" applyFont="1" applyFill="1" applyBorder="1" applyAlignment="1">
      <alignment horizontal="center"/>
    </xf>
    <xf numFmtId="189" fontId="12" fillId="10" borderId="23" xfId="2" applyFont="1" applyFill="1" applyBorder="1" applyAlignment="1">
      <alignment horizontal="center"/>
    </xf>
    <xf numFmtId="0" fontId="12" fillId="10" borderId="20" xfId="0" applyFont="1" applyFill="1" applyBorder="1" applyAlignment="1">
      <alignment horizontal="center"/>
    </xf>
    <xf numFmtId="189" fontId="12" fillId="10" borderId="20" xfId="2" applyFont="1" applyFill="1" applyBorder="1" applyAlignment="1">
      <alignment horizontal="center"/>
    </xf>
    <xf numFmtId="0" fontId="8" fillId="3" borderId="2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13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2" fontId="8" fillId="3" borderId="9" xfId="0" applyNumberFormat="1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13" xfId="0" applyFont="1" applyFill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49" fontId="8" fillId="0" borderId="16" xfId="0" applyNumberFormat="1" applyFont="1" applyBorder="1" applyAlignment="1">
      <alignment horizontal="center" vertical="center"/>
    </xf>
    <xf numFmtId="43" fontId="8" fillId="0" borderId="16" xfId="1" applyFont="1" applyBorder="1" applyAlignment="1">
      <alignment horizontal="center" vertical="center"/>
    </xf>
    <xf numFmtId="2" fontId="8" fillId="0" borderId="16" xfId="1" applyNumberFormat="1" applyFont="1" applyBorder="1" applyAlignment="1">
      <alignment horizontal="center" vertical="center"/>
    </xf>
    <xf numFmtId="2" fontId="8" fillId="0" borderId="16" xfId="0" applyNumberFormat="1" applyFont="1" applyBorder="1" applyAlignment="1">
      <alignment horizontal="center" vertical="center"/>
    </xf>
    <xf numFmtId="187" fontId="13" fillId="0" borderId="20" xfId="1" applyNumberFormat="1" applyFont="1" applyBorder="1" applyAlignment="1">
      <alignment horizontal="center" vertical="center"/>
    </xf>
    <xf numFmtId="187" fontId="13" fillId="0" borderId="21" xfId="1" applyNumberFormat="1" applyFont="1" applyBorder="1" applyAlignment="1">
      <alignment horizontal="center" vertical="center"/>
    </xf>
    <xf numFmtId="0" fontId="8" fillId="10" borderId="4" xfId="0" applyFont="1" applyFill="1" applyBorder="1" applyAlignment="1">
      <alignment horizontal="center"/>
    </xf>
    <xf numFmtId="0" fontId="8" fillId="10" borderId="2" xfId="0" applyFont="1" applyFill="1" applyBorder="1" applyAlignment="1">
      <alignment horizontal="center"/>
    </xf>
    <xf numFmtId="0" fontId="8" fillId="10" borderId="0" xfId="0" applyFont="1" applyFill="1" applyAlignment="1">
      <alignment horizontal="center"/>
    </xf>
    <xf numFmtId="0" fontId="8" fillId="10" borderId="9" xfId="0" applyFont="1" applyFill="1" applyBorder="1" applyAlignment="1">
      <alignment horizontal="center"/>
    </xf>
    <xf numFmtId="189" fontId="12" fillId="10" borderId="16" xfId="2" applyFont="1" applyFill="1" applyBorder="1" applyAlignment="1">
      <alignment horizontal="center"/>
    </xf>
    <xf numFmtId="0" fontId="13" fillId="0" borderId="16" xfId="0" applyFont="1" applyBorder="1" applyAlignment="1">
      <alignment horizontal="center"/>
    </xf>
    <xf numFmtId="43" fontId="9" fillId="2" borderId="18" xfId="1" applyFont="1" applyFill="1" applyBorder="1" applyAlignment="1">
      <alignment horizontal="center"/>
    </xf>
    <xf numFmtId="43" fontId="9" fillId="0" borderId="22" xfId="1" applyFont="1" applyBorder="1" applyAlignment="1">
      <alignment horizontal="center"/>
    </xf>
    <xf numFmtId="187" fontId="9" fillId="0" borderId="18" xfId="1" applyNumberFormat="1" applyFont="1" applyBorder="1" applyAlignment="1">
      <alignment horizontal="center"/>
    </xf>
    <xf numFmtId="2" fontId="9" fillId="0" borderId="18" xfId="1" applyNumberFormat="1" applyFont="1" applyBorder="1" applyAlignment="1">
      <alignment horizontal="center"/>
    </xf>
    <xf numFmtId="43" fontId="9" fillId="0" borderId="26" xfId="1" applyFont="1" applyBorder="1" applyAlignment="1">
      <alignment horizontal="right"/>
    </xf>
    <xf numFmtId="4" fontId="9" fillId="0" borderId="16" xfId="0" applyNumberFormat="1" applyFont="1" applyBorder="1"/>
    <xf numFmtId="0" fontId="27" fillId="2" borderId="16" xfId="0" applyFont="1" applyFill="1" applyBorder="1" applyAlignment="1">
      <alignment horizontal="left"/>
    </xf>
    <xf numFmtId="43" fontId="12" fillId="0" borderId="16" xfId="1" applyFont="1" applyBorder="1" applyAlignment="1">
      <alignment horizontal="center"/>
    </xf>
    <xf numFmtId="0" fontId="9" fillId="10" borderId="16" xfId="0" applyFont="1" applyFill="1" applyBorder="1" applyAlignment="1">
      <alignment horizontal="center"/>
    </xf>
    <xf numFmtId="188" fontId="9" fillId="10" borderId="16" xfId="0" applyNumberFormat="1" applyFont="1" applyFill="1" applyBorder="1" applyAlignment="1">
      <alignment horizontal="center"/>
    </xf>
    <xf numFmtId="43" fontId="9" fillId="10" borderId="16" xfId="1" applyFont="1" applyFill="1" applyBorder="1" applyAlignment="1">
      <alignment horizontal="center"/>
    </xf>
    <xf numFmtId="0" fontId="8" fillId="10" borderId="22" xfId="0" applyFont="1" applyFill="1" applyBorder="1" applyAlignment="1">
      <alignment horizontal="center"/>
    </xf>
    <xf numFmtId="0" fontId="8" fillId="10" borderId="18" xfId="0" applyFont="1" applyFill="1" applyBorder="1" applyAlignment="1">
      <alignment horizontal="center"/>
    </xf>
    <xf numFmtId="2" fontId="8" fillId="10" borderId="18" xfId="0" applyNumberFormat="1" applyFont="1" applyFill="1" applyBorder="1" applyAlignment="1">
      <alignment horizontal="center"/>
    </xf>
    <xf numFmtId="0" fontId="8" fillId="3" borderId="2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13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2" fontId="8" fillId="3" borderId="9" xfId="0" applyNumberFormat="1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13" xfId="0" applyFont="1" applyFill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49" fontId="8" fillId="0" borderId="16" xfId="0" applyNumberFormat="1" applyFont="1" applyBorder="1" applyAlignment="1">
      <alignment horizontal="center" vertical="center"/>
    </xf>
    <xf numFmtId="2" fontId="8" fillId="0" borderId="16" xfId="0" applyNumberFormat="1" applyFont="1" applyBorder="1" applyAlignment="1">
      <alignment horizontal="center" vertical="center"/>
    </xf>
    <xf numFmtId="43" fontId="8" fillId="0" borderId="16" xfId="1" applyFont="1" applyBorder="1" applyAlignment="1">
      <alignment horizontal="center" vertical="center"/>
    </xf>
    <xf numFmtId="2" fontId="8" fillId="0" borderId="16" xfId="1" applyNumberFormat="1" applyFont="1" applyBorder="1" applyAlignment="1">
      <alignment horizontal="center" vertical="center"/>
    </xf>
    <xf numFmtId="187" fontId="8" fillId="0" borderId="16" xfId="1" applyNumberFormat="1" applyFont="1" applyBorder="1" applyAlignment="1">
      <alignment horizontal="center" vertical="center"/>
    </xf>
    <xf numFmtId="0" fontId="56" fillId="0" borderId="16" xfId="0" applyFont="1" applyBorder="1" applyAlignment="1">
      <alignment horizontal="center" vertical="center"/>
    </xf>
    <xf numFmtId="43" fontId="9" fillId="0" borderId="16" xfId="1" applyFont="1" applyBorder="1" applyAlignment="1">
      <alignment horizontal="left" vertical="center"/>
    </xf>
    <xf numFmtId="0" fontId="8" fillId="10" borderId="16" xfId="0" applyFont="1" applyFill="1" applyBorder="1" applyAlignment="1">
      <alignment horizontal="center" vertical="center"/>
    </xf>
    <xf numFmtId="188" fontId="8" fillId="10" borderId="16" xfId="0" applyNumberFormat="1" applyFont="1" applyFill="1" applyBorder="1" applyAlignment="1">
      <alignment horizontal="center" vertical="center"/>
    </xf>
    <xf numFmtId="43" fontId="8" fillId="10" borderId="16" xfId="1" applyFont="1" applyFill="1" applyBorder="1" applyAlignment="1">
      <alignment horizontal="center" vertical="center"/>
    </xf>
    <xf numFmtId="0" fontId="73" fillId="0" borderId="0" xfId="0" applyFont="1" applyAlignment="1">
      <alignment vertical="center"/>
    </xf>
    <xf numFmtId="188" fontId="8" fillId="10" borderId="20" xfId="0" applyNumberFormat="1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0" fontId="12" fillId="0" borderId="19" xfId="0" applyFont="1" applyFill="1" applyBorder="1" applyAlignment="1">
      <alignment horizontal="center" vertical="center"/>
    </xf>
    <xf numFmtId="0" fontId="8" fillId="0" borderId="23" xfId="0" applyFont="1" applyFill="1" applyBorder="1" applyAlignment="1">
      <alignment horizontal="center" vertical="center"/>
    </xf>
    <xf numFmtId="49" fontId="8" fillId="0" borderId="15" xfId="0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vertical="center"/>
    </xf>
    <xf numFmtId="43" fontId="59" fillId="0" borderId="18" xfId="1" applyFont="1" applyBorder="1" applyAlignment="1">
      <alignment horizontal="center" vertical="center"/>
    </xf>
    <xf numFmtId="43" fontId="59" fillId="0" borderId="16" xfId="1" applyFont="1" applyBorder="1" applyAlignment="1">
      <alignment horizontal="left" vertical="center"/>
    </xf>
    <xf numFmtId="0" fontId="12" fillId="10" borderId="21" xfId="0" applyFont="1" applyFill="1" applyBorder="1" applyAlignment="1">
      <alignment horizontal="center" vertical="center"/>
    </xf>
    <xf numFmtId="2" fontId="12" fillId="10" borderId="19" xfId="0" applyNumberFormat="1" applyFont="1" applyFill="1" applyBorder="1" applyAlignment="1">
      <alignment horizontal="center" vertical="center"/>
    </xf>
    <xf numFmtId="43" fontId="12" fillId="0" borderId="25" xfId="1" applyFont="1" applyBorder="1" applyAlignment="1">
      <alignment horizontal="center" vertical="center"/>
    </xf>
    <xf numFmtId="0" fontId="12" fillId="10" borderId="20" xfId="0" applyFont="1" applyFill="1" applyBorder="1" applyAlignment="1">
      <alignment vertical="center"/>
    </xf>
    <xf numFmtId="43" fontId="12" fillId="10" borderId="20" xfId="1" applyFont="1" applyFill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49" fontId="12" fillId="0" borderId="20" xfId="0" applyNumberFormat="1" applyFont="1" applyBorder="1" applyAlignment="1">
      <alignment vertical="center"/>
    </xf>
    <xf numFmtId="2" fontId="12" fillId="0" borderId="18" xfId="1" applyNumberFormat="1" applyFont="1" applyBorder="1" applyAlignment="1">
      <alignment horizontal="center" vertical="center"/>
    </xf>
    <xf numFmtId="1" fontId="13" fillId="0" borderId="19" xfId="1" applyNumberFormat="1" applyFont="1" applyBorder="1" applyAlignment="1">
      <alignment horizontal="center" vertical="center"/>
    </xf>
    <xf numFmtId="0" fontId="12" fillId="10" borderId="0" xfId="0" applyFont="1" applyFill="1" applyAlignment="1">
      <alignment horizontal="center"/>
    </xf>
    <xf numFmtId="0" fontId="12" fillId="10" borderId="10" xfId="0" applyFont="1" applyFill="1" applyBorder="1" applyAlignment="1">
      <alignment horizontal="center"/>
    </xf>
    <xf numFmtId="2" fontId="12" fillId="10" borderId="10" xfId="0" applyNumberFormat="1" applyFont="1" applyFill="1" applyBorder="1" applyAlignment="1">
      <alignment horizontal="center"/>
    </xf>
    <xf numFmtId="0" fontId="12" fillId="10" borderId="22" xfId="0" applyFont="1" applyFill="1" applyBorder="1" applyAlignment="1">
      <alignment horizontal="center"/>
    </xf>
    <xf numFmtId="0" fontId="12" fillId="10" borderId="18" xfId="0" applyFont="1" applyFill="1" applyBorder="1" applyAlignment="1">
      <alignment horizontal="center"/>
    </xf>
    <xf numFmtId="2" fontId="12" fillId="10" borderId="18" xfId="0" applyNumberFormat="1" applyFont="1" applyFill="1" applyBorder="1" applyAlignment="1">
      <alignment horizontal="center"/>
    </xf>
    <xf numFmtId="0" fontId="16" fillId="10" borderId="26" xfId="0" applyFont="1" applyFill="1" applyBorder="1" applyAlignment="1">
      <alignment horizontal="center" vertical="center"/>
    </xf>
    <xf numFmtId="2" fontId="12" fillId="10" borderId="29" xfId="0" applyNumberFormat="1" applyFont="1" applyFill="1" applyBorder="1" applyAlignment="1">
      <alignment horizontal="center" vertical="center"/>
    </xf>
    <xf numFmtId="0" fontId="26" fillId="10" borderId="16" xfId="0" applyFont="1" applyFill="1" applyBorder="1" applyAlignment="1">
      <alignment horizontal="center"/>
    </xf>
    <xf numFmtId="2" fontId="13" fillId="10" borderId="19" xfId="0" applyNumberFormat="1" applyFont="1" applyFill="1" applyBorder="1" applyAlignment="1">
      <alignment horizontal="center"/>
    </xf>
    <xf numFmtId="189" fontId="8" fillId="10" borderId="9" xfId="2" applyFont="1" applyFill="1" applyBorder="1" applyAlignment="1">
      <alignment horizontal="center"/>
    </xf>
    <xf numFmtId="43" fontId="8" fillId="10" borderId="26" xfId="1" applyFont="1" applyFill="1" applyBorder="1" applyAlignment="1">
      <alignment horizontal="center" vertical="center"/>
    </xf>
    <xf numFmtId="0" fontId="9" fillId="0" borderId="10" xfId="0" applyFont="1" applyBorder="1" applyAlignment="1">
      <alignment horizontal="center"/>
    </xf>
    <xf numFmtId="189" fontId="8" fillId="0" borderId="2" xfId="2" applyFont="1" applyBorder="1" applyAlignment="1">
      <alignment vertical="center"/>
    </xf>
    <xf numFmtId="189" fontId="8" fillId="0" borderId="9" xfId="2" applyFont="1" applyBorder="1" applyAlignment="1">
      <alignment vertical="center"/>
    </xf>
    <xf numFmtId="0" fontId="8" fillId="0" borderId="16" xfId="0" applyFont="1" applyFill="1" applyBorder="1" applyAlignment="1">
      <alignment horizontal="center" vertical="center"/>
    </xf>
    <xf numFmtId="2" fontId="8" fillId="0" borderId="16" xfId="0" applyNumberFormat="1" applyFont="1" applyFill="1" applyBorder="1" applyAlignment="1">
      <alignment horizontal="center" vertical="center"/>
    </xf>
    <xf numFmtId="189" fontId="8" fillId="0" borderId="22" xfId="2" applyFont="1" applyFill="1" applyBorder="1" applyAlignment="1">
      <alignment horizontal="center"/>
    </xf>
    <xf numFmtId="0" fontId="8" fillId="0" borderId="19" xfId="0" applyFont="1" applyFill="1" applyBorder="1" applyAlignment="1">
      <alignment horizontal="center"/>
    </xf>
    <xf numFmtId="0" fontId="8" fillId="0" borderId="23" xfId="0" applyFont="1" applyFill="1" applyBorder="1" applyAlignment="1">
      <alignment horizontal="center"/>
    </xf>
    <xf numFmtId="0" fontId="8" fillId="0" borderId="15" xfId="0" applyFont="1" applyFill="1" applyBorder="1" applyAlignment="1">
      <alignment horizontal="center"/>
    </xf>
    <xf numFmtId="49" fontId="8" fillId="0" borderId="19" xfId="0" applyNumberFormat="1" applyFont="1" applyFill="1" applyBorder="1" applyAlignment="1">
      <alignment horizontal="center"/>
    </xf>
    <xf numFmtId="187" fontId="8" fillId="0" borderId="18" xfId="2" applyNumberFormat="1" applyFont="1" applyFill="1" applyBorder="1" applyAlignment="1">
      <alignment horizontal="center"/>
    </xf>
    <xf numFmtId="43" fontId="8" fillId="0" borderId="19" xfId="1" applyFont="1" applyFill="1" applyBorder="1" applyAlignment="1">
      <alignment horizontal="center"/>
    </xf>
    <xf numFmtId="1" fontId="9" fillId="0" borderId="19" xfId="2" applyNumberFormat="1" applyFont="1" applyFill="1" applyBorder="1" applyAlignment="1">
      <alignment horizontal="center"/>
    </xf>
    <xf numFmtId="43" fontId="9" fillId="0" borderId="20" xfId="1" applyFont="1" applyFill="1" applyBorder="1" applyAlignment="1">
      <alignment horizontal="center"/>
    </xf>
    <xf numFmtId="43" fontId="8" fillId="0" borderId="18" xfId="1" applyFont="1" applyFill="1" applyBorder="1" applyAlignment="1">
      <alignment horizontal="center"/>
    </xf>
    <xf numFmtId="189" fontId="8" fillId="0" borderId="18" xfId="2" applyFont="1" applyFill="1" applyBorder="1" applyAlignment="1">
      <alignment horizontal="center"/>
    </xf>
    <xf numFmtId="2" fontId="8" fillId="0" borderId="16" xfId="2" applyNumberFormat="1" applyFont="1" applyFill="1" applyBorder="1" applyAlignment="1">
      <alignment horizontal="center"/>
    </xf>
    <xf numFmtId="43" fontId="8" fillId="0" borderId="2" xfId="1" applyFont="1" applyFill="1" applyBorder="1" applyAlignment="1">
      <alignment horizontal="right" vertical="center"/>
    </xf>
    <xf numFmtId="4" fontId="8" fillId="0" borderId="14" xfId="0" applyNumberFormat="1" applyFont="1" applyFill="1" applyBorder="1" applyAlignment="1">
      <alignment vertical="center"/>
    </xf>
    <xf numFmtId="0" fontId="12" fillId="0" borderId="19" xfId="0" applyFont="1" applyFill="1" applyBorder="1" applyAlignment="1">
      <alignment horizontal="center"/>
    </xf>
    <xf numFmtId="49" fontId="12" fillId="0" borderId="19" xfId="0" applyNumberFormat="1" applyFont="1" applyFill="1" applyBorder="1" applyAlignment="1">
      <alignment horizontal="center"/>
    </xf>
    <xf numFmtId="0" fontId="8" fillId="0" borderId="16" xfId="0" applyFont="1" applyFill="1" applyBorder="1" applyAlignment="1">
      <alignment horizontal="center"/>
    </xf>
    <xf numFmtId="0" fontId="12" fillId="0" borderId="20" xfId="0" applyFont="1" applyFill="1" applyBorder="1" applyAlignment="1">
      <alignment horizontal="center"/>
    </xf>
    <xf numFmtId="0" fontId="12" fillId="0" borderId="21" xfId="0" applyFont="1" applyFill="1" applyBorder="1" applyAlignment="1">
      <alignment horizontal="center"/>
    </xf>
    <xf numFmtId="2" fontId="12" fillId="0" borderId="19" xfId="0" applyNumberFormat="1" applyFont="1" applyFill="1" applyBorder="1" applyAlignment="1">
      <alignment horizontal="center"/>
    </xf>
    <xf numFmtId="187" fontId="12" fillId="0" borderId="19" xfId="2" applyNumberFormat="1" applyFont="1" applyFill="1" applyBorder="1" applyAlignment="1">
      <alignment horizontal="center"/>
    </xf>
    <xf numFmtId="1" fontId="8" fillId="0" borderId="19" xfId="2" applyNumberFormat="1" applyFont="1" applyFill="1" applyBorder="1" applyAlignment="1">
      <alignment horizontal="center"/>
    </xf>
    <xf numFmtId="189" fontId="8" fillId="0" borderId="19" xfId="2" applyFont="1" applyFill="1" applyBorder="1" applyAlignment="1">
      <alignment horizontal="center"/>
    </xf>
    <xf numFmtId="2" fontId="8" fillId="0" borderId="19" xfId="2" applyNumberFormat="1" applyFont="1" applyFill="1" applyBorder="1" applyAlignment="1">
      <alignment horizontal="center"/>
    </xf>
    <xf numFmtId="2" fontId="8" fillId="0" borderId="20" xfId="2" applyNumberFormat="1" applyFont="1" applyFill="1" applyBorder="1" applyAlignment="1">
      <alignment horizontal="center"/>
    </xf>
    <xf numFmtId="189" fontId="12" fillId="0" borderId="20" xfId="2" applyFont="1" applyFill="1" applyBorder="1" applyAlignment="1">
      <alignment horizontal="center"/>
    </xf>
    <xf numFmtId="189" fontId="12" fillId="0" borderId="21" xfId="2" applyFont="1" applyFill="1" applyBorder="1" applyAlignment="1">
      <alignment horizontal="center"/>
    </xf>
    <xf numFmtId="189" fontId="12" fillId="0" borderId="19" xfId="2" applyFont="1" applyFill="1" applyBorder="1" applyAlignment="1">
      <alignment horizontal="center"/>
    </xf>
    <xf numFmtId="1" fontId="12" fillId="0" borderId="19" xfId="2" applyNumberFormat="1" applyFont="1" applyFill="1" applyBorder="1" applyAlignment="1">
      <alignment horizontal="center"/>
    </xf>
    <xf numFmtId="0" fontId="8" fillId="0" borderId="18" xfId="0" applyFont="1" applyFill="1" applyBorder="1" applyAlignment="1">
      <alignment horizontal="center"/>
    </xf>
    <xf numFmtId="4" fontId="8" fillId="0" borderId="16" xfId="0" applyNumberFormat="1" applyFont="1" applyFill="1" applyBorder="1" applyAlignment="1">
      <alignment vertical="center"/>
    </xf>
    <xf numFmtId="2" fontId="12" fillId="0" borderId="20" xfId="2" applyNumberFormat="1" applyFont="1" applyFill="1" applyBorder="1" applyAlignment="1">
      <alignment horizontal="center"/>
    </xf>
    <xf numFmtId="49" fontId="8" fillId="0" borderId="16" xfId="0" applyNumberFormat="1" applyFont="1" applyFill="1" applyBorder="1" applyAlignment="1">
      <alignment horizontal="center" vertical="center"/>
    </xf>
    <xf numFmtId="43" fontId="8" fillId="0" borderId="16" xfId="0" applyNumberFormat="1" applyFont="1" applyFill="1" applyBorder="1" applyAlignment="1">
      <alignment horizontal="center" vertical="center"/>
    </xf>
    <xf numFmtId="0" fontId="74" fillId="0" borderId="20" xfId="0" applyFont="1" applyBorder="1"/>
    <xf numFmtId="1" fontId="13" fillId="0" borderId="18" xfId="2" applyNumberFormat="1" applyFont="1" applyBorder="1" applyAlignment="1">
      <alignment horizontal="center"/>
    </xf>
    <xf numFmtId="1" fontId="9" fillId="0" borderId="15" xfId="2" applyNumberFormat="1" applyFont="1" applyBorder="1" applyAlignment="1">
      <alignment horizontal="center"/>
    </xf>
    <xf numFmtId="1" fontId="9" fillId="0" borderId="20" xfId="2" applyNumberFormat="1" applyFont="1" applyBorder="1" applyAlignment="1">
      <alignment horizontal="center" vertical="center"/>
    </xf>
    <xf numFmtId="1" fontId="9" fillId="0" borderId="16" xfId="2" applyNumberFormat="1" applyFont="1" applyBorder="1" applyAlignment="1">
      <alignment vertical="center"/>
    </xf>
    <xf numFmtId="1" fontId="9" fillId="0" borderId="16" xfId="3" applyNumberFormat="1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43" fontId="8" fillId="0" borderId="16" xfId="1" applyFont="1" applyBorder="1" applyAlignment="1">
      <alignment horizontal="center" vertical="center"/>
    </xf>
    <xf numFmtId="2" fontId="8" fillId="0" borderId="16" xfId="1" applyNumberFormat="1" applyFont="1" applyBorder="1" applyAlignment="1">
      <alignment horizontal="center" vertical="center"/>
    </xf>
    <xf numFmtId="1" fontId="9" fillId="0" borderId="16" xfId="2" applyNumberFormat="1" applyFont="1" applyBorder="1" applyAlignment="1">
      <alignment horizontal="center" vertical="center"/>
    </xf>
    <xf numFmtId="1" fontId="9" fillId="0" borderId="9" xfId="2" applyNumberFormat="1" applyFont="1" applyBorder="1" applyAlignment="1">
      <alignment horizontal="center" vertical="center"/>
    </xf>
    <xf numFmtId="1" fontId="9" fillId="0" borderId="26" xfId="2" applyNumberFormat="1" applyFont="1" applyBorder="1" applyAlignment="1">
      <alignment horizontal="center" vertical="center"/>
    </xf>
    <xf numFmtId="0" fontId="12" fillId="8" borderId="23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2" fontId="5" fillId="3" borderId="9" xfId="0" applyNumberFormat="1" applyFont="1" applyFill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1" fontId="9" fillId="0" borderId="18" xfId="3" applyNumberFormat="1" applyFont="1" applyBorder="1" applyAlignment="1">
      <alignment horizontal="center" vertical="center"/>
    </xf>
    <xf numFmtId="1" fontId="9" fillId="0" borderId="19" xfId="3" applyNumberFormat="1" applyFont="1" applyBorder="1" applyAlignment="1">
      <alignment horizontal="center" vertical="center"/>
    </xf>
    <xf numFmtId="1" fontId="9" fillId="0" borderId="20" xfId="1" applyNumberFormat="1" applyFont="1" applyBorder="1" applyAlignment="1">
      <alignment vertical="center"/>
    </xf>
    <xf numFmtId="43" fontId="9" fillId="0" borderId="20" xfId="1" applyFont="1" applyBorder="1" applyAlignment="1">
      <alignment vertical="center"/>
    </xf>
    <xf numFmtId="0" fontId="9" fillId="0" borderId="9" xfId="0" applyFont="1" applyBorder="1" applyAlignment="1">
      <alignment horizontal="center"/>
    </xf>
    <xf numFmtId="43" fontId="9" fillId="0" borderId="19" xfId="1" applyFont="1" applyFill="1" applyBorder="1" applyAlignment="1">
      <alignment horizontal="center" vertical="center"/>
    </xf>
    <xf numFmtId="43" fontId="16" fillId="0" borderId="13" xfId="1" applyFont="1" applyBorder="1" applyAlignment="1">
      <alignment horizontal="right" vertical="center"/>
    </xf>
    <xf numFmtId="43" fontId="16" fillId="0" borderId="13" xfId="1" applyFont="1" applyFill="1" applyBorder="1" applyAlignment="1">
      <alignment horizontal="right" vertical="center"/>
    </xf>
    <xf numFmtId="43" fontId="16" fillId="0" borderId="24" xfId="1" applyFont="1" applyBorder="1" applyAlignment="1">
      <alignment horizontal="right" vertical="center"/>
    </xf>
    <xf numFmtId="0" fontId="16" fillId="0" borderId="13" xfId="0" applyFont="1" applyBorder="1" applyAlignment="1">
      <alignment horizontal="center" vertical="center"/>
    </xf>
    <xf numFmtId="2" fontId="16" fillId="0" borderId="13" xfId="0" applyNumberFormat="1" applyFont="1" applyBorder="1" applyAlignment="1">
      <alignment horizontal="center" vertical="center"/>
    </xf>
    <xf numFmtId="43" fontId="16" fillId="0" borderId="13" xfId="1" applyFont="1" applyBorder="1" applyAlignment="1">
      <alignment horizontal="center" vertical="center"/>
    </xf>
    <xf numFmtId="43" fontId="16" fillId="0" borderId="13" xfId="1" applyFont="1" applyFill="1" applyBorder="1" applyAlignment="1">
      <alignment horizontal="center" vertical="center"/>
    </xf>
    <xf numFmtId="187" fontId="16" fillId="0" borderId="13" xfId="1" applyNumberFormat="1" applyFont="1" applyFill="1" applyBorder="1" applyAlignment="1">
      <alignment horizontal="center" vertical="center"/>
    </xf>
    <xf numFmtId="1" fontId="16" fillId="0" borderId="13" xfId="1" applyNumberFormat="1" applyFont="1" applyFill="1" applyBorder="1" applyAlignment="1">
      <alignment horizontal="center" vertical="center"/>
    </xf>
    <xf numFmtId="43" fontId="16" fillId="0" borderId="13" xfId="0" applyNumberFormat="1" applyFont="1" applyBorder="1" applyAlignment="1">
      <alignment horizontal="center" vertical="center"/>
    </xf>
    <xf numFmtId="4" fontId="16" fillId="0" borderId="13" xfId="1" applyNumberFormat="1" applyFont="1" applyBorder="1" applyAlignment="1">
      <alignment horizontal="right" vertical="center"/>
    </xf>
    <xf numFmtId="4" fontId="16" fillId="0" borderId="13" xfId="1" applyNumberFormat="1" applyFont="1" applyFill="1" applyBorder="1" applyAlignment="1">
      <alignment horizontal="right" vertical="center"/>
    </xf>
    <xf numFmtId="187" fontId="13" fillId="0" borderId="22" xfId="1" applyNumberFormat="1" applyFont="1" applyBorder="1" applyAlignment="1">
      <alignment horizontal="center"/>
    </xf>
    <xf numFmtId="187" fontId="13" fillId="0" borderId="22" xfId="1" applyNumberFormat="1" applyFont="1" applyBorder="1" applyAlignment="1">
      <alignment horizontal="center" vertical="center"/>
    </xf>
    <xf numFmtId="4" fontId="16" fillId="0" borderId="13" xfId="0" applyNumberFormat="1" applyFont="1" applyBorder="1" applyAlignment="1">
      <alignment vertical="center"/>
    </xf>
    <xf numFmtId="187" fontId="13" fillId="0" borderId="17" xfId="1" applyNumberFormat="1" applyFont="1" applyBorder="1" applyAlignment="1">
      <alignment horizontal="center"/>
    </xf>
    <xf numFmtId="187" fontId="13" fillId="0" borderId="17" xfId="1" applyNumberFormat="1" applyFont="1" applyBorder="1" applyAlignment="1">
      <alignment horizontal="center" vertical="center"/>
    </xf>
    <xf numFmtId="187" fontId="13" fillId="0" borderId="19" xfId="1" applyNumberFormat="1" applyFont="1" applyBorder="1" applyAlignment="1">
      <alignment horizontal="center"/>
    </xf>
    <xf numFmtId="43" fontId="16" fillId="2" borderId="13" xfId="1" applyFont="1" applyFill="1" applyBorder="1" applyAlignment="1">
      <alignment horizontal="center" vertical="center"/>
    </xf>
    <xf numFmtId="43" fontId="16" fillId="0" borderId="12" xfId="1" applyFont="1" applyBorder="1" applyAlignment="1">
      <alignment horizontal="center" vertical="center"/>
    </xf>
    <xf numFmtId="0" fontId="16" fillId="2" borderId="24" xfId="0" applyFont="1" applyFill="1" applyBorder="1" applyAlignment="1">
      <alignment horizontal="center" vertical="center"/>
    </xf>
    <xf numFmtId="43" fontId="16" fillId="0" borderId="24" xfId="1" applyFont="1" applyBorder="1" applyAlignment="1">
      <alignment horizontal="center" vertical="center"/>
    </xf>
    <xf numFmtId="43" fontId="16" fillId="0" borderId="24" xfId="1" applyFont="1" applyFill="1" applyBorder="1" applyAlignment="1">
      <alignment horizontal="center" vertical="center"/>
    </xf>
    <xf numFmtId="2" fontId="16" fillId="0" borderId="36" xfId="0" applyNumberFormat="1" applyFont="1" applyBorder="1" applyAlignment="1">
      <alignment horizontal="center" vertical="center"/>
    </xf>
    <xf numFmtId="49" fontId="16" fillId="0" borderId="24" xfId="0" applyNumberFormat="1" applyFont="1" applyBorder="1" applyAlignment="1">
      <alignment horizontal="center" vertical="center"/>
    </xf>
    <xf numFmtId="187" fontId="16" fillId="0" borderId="24" xfId="1" applyNumberFormat="1" applyFont="1" applyFill="1" applyBorder="1" applyAlignment="1">
      <alignment horizontal="center" vertical="center"/>
    </xf>
    <xf numFmtId="43" fontId="16" fillId="0" borderId="24" xfId="0" applyNumberFormat="1" applyFont="1" applyBorder="1" applyAlignment="1">
      <alignment horizontal="center" vertical="center"/>
    </xf>
    <xf numFmtId="4" fontId="16" fillId="0" borderId="24" xfId="1" applyNumberFormat="1" applyFont="1" applyBorder="1" applyAlignment="1">
      <alignment horizontal="right" vertical="center"/>
    </xf>
    <xf numFmtId="4" fontId="16" fillId="0" borderId="16" xfId="0" applyNumberFormat="1" applyFont="1" applyBorder="1" applyAlignment="1">
      <alignment vertical="center"/>
    </xf>
    <xf numFmtId="187" fontId="13" fillId="0" borderId="0" xfId="1" applyNumberFormat="1" applyFont="1" applyAlignment="1">
      <alignment horizontal="center" vertical="center"/>
    </xf>
    <xf numFmtId="187" fontId="9" fillId="0" borderId="21" xfId="1" applyNumberFormat="1" applyFont="1" applyBorder="1" applyAlignment="1">
      <alignment horizontal="center" vertical="center"/>
    </xf>
    <xf numFmtId="0" fontId="16" fillId="2" borderId="13" xfId="0" applyFont="1" applyFill="1" applyBorder="1" applyAlignment="1">
      <alignment horizontal="center" vertical="center"/>
    </xf>
    <xf numFmtId="49" fontId="16" fillId="0" borderId="13" xfId="0" applyNumberFormat="1" applyFont="1" applyBorder="1" applyAlignment="1">
      <alignment horizontal="center" vertical="center"/>
    </xf>
    <xf numFmtId="187" fontId="13" fillId="0" borderId="20" xfId="1" applyNumberFormat="1" applyFont="1" applyBorder="1" applyAlignment="1">
      <alignment horizontal="center"/>
    </xf>
    <xf numFmtId="0" fontId="77" fillId="0" borderId="0" xfId="0" applyFont="1" applyAlignment="1">
      <alignment horizontal="center" vertical="center"/>
    </xf>
    <xf numFmtId="0" fontId="77" fillId="0" borderId="0" xfId="0" applyFont="1" applyAlignment="1">
      <alignment vertical="center"/>
    </xf>
    <xf numFmtId="43" fontId="77" fillId="0" borderId="0" xfId="1" applyFont="1" applyAlignment="1">
      <alignment vertical="center"/>
    </xf>
    <xf numFmtId="0" fontId="77" fillId="2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77" fillId="0" borderId="1" xfId="0" applyFont="1" applyBorder="1" applyAlignment="1">
      <alignment vertical="center"/>
    </xf>
    <xf numFmtId="43" fontId="5" fillId="6" borderId="2" xfId="1" applyFont="1" applyFill="1" applyBorder="1" applyAlignment="1">
      <alignment horizontal="center" vertical="center"/>
    </xf>
    <xf numFmtId="4" fontId="5" fillId="7" borderId="2" xfId="0" applyNumberFormat="1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vertical="center"/>
    </xf>
    <xf numFmtId="2" fontId="5" fillId="4" borderId="4" xfId="0" applyNumberFormat="1" applyFont="1" applyFill="1" applyBorder="1" applyAlignment="1">
      <alignment horizontal="center" vertical="center"/>
    </xf>
    <xf numFmtId="43" fontId="5" fillId="6" borderId="9" xfId="1" applyFont="1" applyFill="1" applyBorder="1" applyAlignment="1">
      <alignment horizontal="center" vertical="center"/>
    </xf>
    <xf numFmtId="4" fontId="5" fillId="7" borderId="9" xfId="0" applyNumberFormat="1" applyFont="1" applyFill="1" applyBorder="1" applyAlignment="1">
      <alignment horizontal="center" vertical="center"/>
    </xf>
    <xf numFmtId="0" fontId="5" fillId="7" borderId="9" xfId="0" applyFont="1" applyFill="1" applyBorder="1" applyAlignment="1">
      <alignment vertical="center"/>
    </xf>
    <xf numFmtId="0" fontId="5" fillId="7" borderId="9" xfId="0" applyFont="1" applyFill="1" applyBorder="1" applyAlignment="1">
      <alignment horizontal="center" vertical="center"/>
    </xf>
    <xf numFmtId="0" fontId="5" fillId="8" borderId="9" xfId="0" applyFont="1" applyFill="1" applyBorder="1" applyAlignment="1">
      <alignment horizontal="center" vertical="center"/>
    </xf>
    <xf numFmtId="2" fontId="5" fillId="4" borderId="0" xfId="0" applyNumberFormat="1" applyFont="1" applyFill="1" applyAlignment="1">
      <alignment horizontal="center" vertical="center"/>
    </xf>
    <xf numFmtId="43" fontId="5" fillId="4" borderId="8" xfId="1" applyFont="1" applyFill="1" applyBorder="1" applyAlignment="1">
      <alignment horizontal="center" vertical="center"/>
    </xf>
    <xf numFmtId="43" fontId="5" fillId="4" borderId="10" xfId="1" applyFont="1" applyFill="1" applyBorder="1" applyAlignment="1">
      <alignment horizontal="center" vertical="center"/>
    </xf>
    <xf numFmtId="43" fontId="5" fillId="4" borderId="13" xfId="1" applyFont="1" applyFill="1" applyBorder="1" applyAlignment="1">
      <alignment horizontal="center" vertical="center"/>
    </xf>
    <xf numFmtId="43" fontId="5" fillId="6" borderId="13" xfId="1" applyFont="1" applyFill="1" applyBorder="1" applyAlignment="1">
      <alignment horizontal="center" vertical="center"/>
    </xf>
    <xf numFmtId="0" fontId="5" fillId="7" borderId="13" xfId="0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/>
    </xf>
    <xf numFmtId="49" fontId="9" fillId="0" borderId="23" xfId="0" applyNumberFormat="1" applyFont="1" applyBorder="1" applyAlignment="1">
      <alignment horizontal="center" vertical="center"/>
    </xf>
    <xf numFmtId="187" fontId="9" fillId="0" borderId="23" xfId="1" applyNumberFormat="1" applyFont="1" applyBorder="1" applyAlignment="1">
      <alignment vertical="center"/>
    </xf>
    <xf numFmtId="43" fontId="9" fillId="0" borderId="23" xfId="1" applyFont="1" applyBorder="1" applyAlignment="1">
      <alignment vertical="center"/>
    </xf>
    <xf numFmtId="43" fontId="5" fillId="0" borderId="23" xfId="1" applyFont="1" applyBorder="1" applyAlignment="1">
      <alignment vertical="center"/>
    </xf>
    <xf numFmtId="4" fontId="78" fillId="9" borderId="14" xfId="0" applyNumberFormat="1" applyFont="1" applyFill="1" applyBorder="1" applyAlignment="1">
      <alignment vertical="center"/>
    </xf>
    <xf numFmtId="4" fontId="78" fillId="0" borderId="14" xfId="0" applyNumberFormat="1" applyFont="1" applyBorder="1" applyAlignment="1">
      <alignment vertical="center"/>
    </xf>
    <xf numFmtId="0" fontId="5" fillId="0" borderId="20" xfId="0" applyFont="1" applyBorder="1" applyAlignment="1">
      <alignment vertical="center"/>
    </xf>
    <xf numFmtId="0" fontId="9" fillId="0" borderId="20" xfId="0" applyFont="1" applyBorder="1" applyAlignment="1">
      <alignment vertical="center"/>
    </xf>
    <xf numFmtId="49" fontId="9" fillId="0" borderId="20" xfId="0" applyNumberFormat="1" applyFont="1" applyBorder="1" applyAlignment="1">
      <alignment vertical="center"/>
    </xf>
    <xf numFmtId="187" fontId="9" fillId="0" borderId="20" xfId="1" applyNumberFormat="1" applyFont="1" applyBorder="1" applyAlignment="1">
      <alignment vertical="center"/>
    </xf>
    <xf numFmtId="43" fontId="5" fillId="0" borderId="20" xfId="1" applyFont="1" applyBorder="1" applyAlignment="1">
      <alignment vertical="center"/>
    </xf>
    <xf numFmtId="2" fontId="9" fillId="0" borderId="20" xfId="1" applyNumberFormat="1" applyFont="1" applyBorder="1" applyAlignment="1">
      <alignment vertical="center"/>
    </xf>
    <xf numFmtId="43" fontId="38" fillId="0" borderId="9" xfId="1" applyFont="1" applyFill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/>
    </xf>
    <xf numFmtId="187" fontId="38" fillId="0" borderId="9" xfId="1" applyNumberFormat="1" applyFont="1" applyFill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43" fontId="38" fillId="0" borderId="9" xfId="0" applyNumberFormat="1" applyFont="1" applyBorder="1" applyAlignment="1">
      <alignment horizontal="center" vertical="center"/>
    </xf>
    <xf numFmtId="4" fontId="38" fillId="0" borderId="9" xfId="1" applyNumberFormat="1" applyFont="1" applyFill="1" applyBorder="1" applyAlignment="1">
      <alignment horizontal="right" vertical="center"/>
    </xf>
    <xf numFmtId="43" fontId="38" fillId="0" borderId="20" xfId="1" applyFont="1" applyFill="1" applyBorder="1" applyAlignment="1">
      <alignment horizontal="right" vertical="center"/>
    </xf>
    <xf numFmtId="2" fontId="5" fillId="0" borderId="19" xfId="0" applyNumberFormat="1" applyFont="1" applyBorder="1" applyAlignment="1">
      <alignment horizontal="center" vertical="center"/>
    </xf>
    <xf numFmtId="4" fontId="38" fillId="0" borderId="20" xfId="1" applyNumberFormat="1" applyFont="1" applyFill="1" applyBorder="1" applyAlignment="1">
      <alignment horizontal="right" vertical="center"/>
    </xf>
    <xf numFmtId="4" fontId="78" fillId="0" borderId="16" xfId="0" applyNumberFormat="1" applyFont="1" applyBorder="1" applyAlignment="1">
      <alignment vertical="center"/>
    </xf>
    <xf numFmtId="43" fontId="5" fillId="0" borderId="0" xfId="1" applyFont="1" applyAlignment="1">
      <alignment vertical="center"/>
    </xf>
    <xf numFmtId="0" fontId="5" fillId="0" borderId="0" xfId="0" applyFont="1" applyAlignment="1">
      <alignment horizontal="center" vertical="center"/>
    </xf>
    <xf numFmtId="49" fontId="5" fillId="0" borderId="0" xfId="0" applyNumberFormat="1" applyFont="1" applyAlignment="1">
      <alignment vertical="center"/>
    </xf>
    <xf numFmtId="43" fontId="79" fillId="0" borderId="13" xfId="1" applyFont="1" applyBorder="1" applyAlignment="1">
      <alignment horizontal="center" vertical="center"/>
    </xf>
    <xf numFmtId="187" fontId="79" fillId="0" borderId="13" xfId="1" applyNumberFormat="1" applyFont="1" applyFill="1" applyBorder="1" applyAlignment="1">
      <alignment horizontal="center" vertical="center"/>
    </xf>
    <xf numFmtId="43" fontId="79" fillId="0" borderId="13" xfId="1" applyFont="1" applyFill="1" applyBorder="1" applyAlignment="1">
      <alignment horizontal="center" vertical="center"/>
    </xf>
    <xf numFmtId="43" fontId="79" fillId="0" borderId="13" xfId="0" applyNumberFormat="1" applyFont="1" applyBorder="1" applyAlignment="1">
      <alignment horizontal="center" vertical="center"/>
    </xf>
    <xf numFmtId="4" fontId="79" fillId="0" borderId="13" xfId="1" applyNumberFormat="1" applyFont="1" applyBorder="1" applyAlignment="1">
      <alignment horizontal="right" vertical="center"/>
    </xf>
    <xf numFmtId="43" fontId="79" fillId="0" borderId="13" xfId="1" applyFont="1" applyBorder="1" applyAlignment="1">
      <alignment horizontal="right" vertical="center"/>
    </xf>
    <xf numFmtId="4" fontId="80" fillId="0" borderId="13" xfId="0" applyNumberFormat="1" applyFont="1" applyBorder="1" applyAlignment="1">
      <alignment vertical="center"/>
    </xf>
    <xf numFmtId="0" fontId="12" fillId="0" borderId="8" xfId="0" applyFont="1" applyBorder="1" applyAlignment="1">
      <alignment horizontal="center" vertical="center"/>
    </xf>
    <xf numFmtId="187" fontId="81" fillId="0" borderId="16" xfId="1" applyNumberFormat="1" applyFont="1" applyBorder="1" applyAlignment="1">
      <alignment horizontal="center" vertical="center"/>
    </xf>
    <xf numFmtId="43" fontId="81" fillId="0" borderId="16" xfId="1" applyFont="1" applyBorder="1" applyAlignment="1">
      <alignment vertical="center"/>
    </xf>
    <xf numFmtId="0" fontId="6" fillId="0" borderId="23" xfId="0" applyFont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13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2" fontId="8" fillId="3" borderId="9" xfId="0" applyNumberFormat="1" applyFont="1" applyFill="1" applyBorder="1" applyAlignment="1">
      <alignment horizontal="center" vertical="center"/>
    </xf>
    <xf numFmtId="49" fontId="30" fillId="0" borderId="0" xfId="0" applyNumberFormat="1" applyFont="1" applyAlignment="1">
      <alignment horizontal="right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13" xfId="0" applyFont="1" applyFill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43" fontId="8" fillId="0" borderId="16" xfId="1" applyFont="1" applyBorder="1" applyAlignment="1">
      <alignment horizontal="center" vertical="center"/>
    </xf>
    <xf numFmtId="49" fontId="8" fillId="0" borderId="16" xfId="0" applyNumberFormat="1" applyFont="1" applyBorder="1" applyAlignment="1">
      <alignment horizontal="center" vertical="center"/>
    </xf>
    <xf numFmtId="2" fontId="8" fillId="0" borderId="16" xfId="0" applyNumberFormat="1" applyFont="1" applyBorder="1" applyAlignment="1">
      <alignment horizontal="center" vertical="center"/>
    </xf>
    <xf numFmtId="2" fontId="8" fillId="0" borderId="16" xfId="1" applyNumberFormat="1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49" fontId="8" fillId="0" borderId="16" xfId="0" applyNumberFormat="1" applyFont="1" applyBorder="1" applyAlignment="1">
      <alignment horizontal="center" vertical="center"/>
    </xf>
    <xf numFmtId="43" fontId="8" fillId="0" borderId="16" xfId="1" applyFont="1" applyBorder="1" applyAlignment="1">
      <alignment horizontal="center" vertical="center"/>
    </xf>
    <xf numFmtId="2" fontId="8" fillId="0" borderId="16" xfId="0" applyNumberFormat="1" applyFont="1" applyBorder="1" applyAlignment="1">
      <alignment horizontal="center" vertical="center"/>
    </xf>
    <xf numFmtId="1" fontId="13" fillId="0" borderId="19" xfId="1" applyNumberFormat="1" applyFont="1" applyBorder="1" applyAlignment="1">
      <alignment horizontal="center"/>
    </xf>
    <xf numFmtId="43" fontId="13" fillId="0" borderId="19" xfId="1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1" fontId="52" fillId="0" borderId="19" xfId="1" applyNumberFormat="1" applyFont="1" applyBorder="1" applyAlignment="1">
      <alignment horizontal="center"/>
    </xf>
    <xf numFmtId="0" fontId="44" fillId="0" borderId="13" xfId="0" applyFont="1" applyBorder="1" applyAlignment="1">
      <alignment horizontal="center" vertical="center"/>
    </xf>
    <xf numFmtId="2" fontId="44" fillId="0" borderId="13" xfId="0" applyNumberFormat="1" applyFont="1" applyBorder="1" applyAlignment="1">
      <alignment horizontal="center" vertical="center"/>
    </xf>
    <xf numFmtId="43" fontId="44" fillId="0" borderId="13" xfId="1" applyFont="1" applyBorder="1" applyAlignment="1">
      <alignment horizontal="center" vertical="center"/>
    </xf>
    <xf numFmtId="43" fontId="44" fillId="0" borderId="13" xfId="1" applyFont="1" applyFill="1" applyBorder="1" applyAlignment="1">
      <alignment horizontal="center" vertical="center"/>
    </xf>
    <xf numFmtId="187" fontId="44" fillId="0" borderId="13" xfId="1" applyNumberFormat="1" applyFont="1" applyFill="1" applyBorder="1" applyAlignment="1">
      <alignment horizontal="center" vertical="center"/>
    </xf>
    <xf numFmtId="1" fontId="44" fillId="0" borderId="13" xfId="1" applyNumberFormat="1" applyFont="1" applyFill="1" applyBorder="1" applyAlignment="1">
      <alignment horizontal="center" vertical="center"/>
    </xf>
    <xf numFmtId="43" fontId="44" fillId="0" borderId="13" xfId="0" applyNumberFormat="1" applyFont="1" applyBorder="1" applyAlignment="1">
      <alignment horizontal="center" vertical="center"/>
    </xf>
    <xf numFmtId="4" fontId="44" fillId="0" borderId="13" xfId="1" applyNumberFormat="1" applyFont="1" applyBorder="1" applyAlignment="1">
      <alignment horizontal="right" vertical="center"/>
    </xf>
    <xf numFmtId="43" fontId="44" fillId="0" borderId="13" xfId="1" applyFont="1" applyBorder="1" applyAlignment="1">
      <alignment horizontal="right" vertical="center"/>
    </xf>
    <xf numFmtId="4" fontId="16" fillId="0" borderId="20" xfId="0" applyNumberFormat="1" applyFont="1" applyBorder="1" applyAlignment="1">
      <alignment vertical="center"/>
    </xf>
    <xf numFmtId="0" fontId="75" fillId="2" borderId="0" xfId="0" applyFont="1" applyFill="1" applyAlignment="1">
      <alignment vertical="center"/>
    </xf>
    <xf numFmtId="187" fontId="12" fillId="0" borderId="16" xfId="1" applyNumberFormat="1" applyFont="1" applyBorder="1" applyAlignment="1">
      <alignment vertical="center"/>
    </xf>
    <xf numFmtId="43" fontId="12" fillId="0" borderId="16" xfId="1" applyFont="1" applyBorder="1" applyAlignment="1">
      <alignment vertical="center"/>
    </xf>
    <xf numFmtId="1" fontId="12" fillId="0" borderId="16" xfId="1" applyNumberFormat="1" applyFont="1" applyBorder="1" applyAlignment="1">
      <alignment horizontal="center" vertical="center"/>
    </xf>
    <xf numFmtId="4" fontId="8" fillId="0" borderId="0" xfId="0" applyNumberFormat="1" applyFont="1" applyBorder="1" applyAlignment="1">
      <alignment vertical="center"/>
    </xf>
    <xf numFmtId="1" fontId="9" fillId="0" borderId="19" xfId="1" applyNumberFormat="1" applyFont="1" applyBorder="1" applyAlignment="1">
      <alignment horizontal="center" vertical="center"/>
    </xf>
    <xf numFmtId="2" fontId="16" fillId="2" borderId="13" xfId="0" applyNumberFormat="1" applyFont="1" applyFill="1" applyBorder="1" applyAlignment="1">
      <alignment horizontal="center" vertical="center"/>
    </xf>
    <xf numFmtId="187" fontId="16" fillId="2" borderId="13" xfId="1" applyNumberFormat="1" applyFont="1" applyFill="1" applyBorder="1" applyAlignment="1">
      <alignment horizontal="center" vertical="center"/>
    </xf>
    <xf numFmtId="1" fontId="16" fillId="2" borderId="13" xfId="1" applyNumberFormat="1" applyFont="1" applyFill="1" applyBorder="1" applyAlignment="1">
      <alignment horizontal="center" vertical="center"/>
    </xf>
    <xf numFmtId="43" fontId="16" fillId="2" borderId="13" xfId="0" applyNumberFormat="1" applyFont="1" applyFill="1" applyBorder="1" applyAlignment="1">
      <alignment horizontal="center" vertical="center"/>
    </xf>
    <xf numFmtId="4" fontId="16" fillId="2" borderId="13" xfId="1" applyNumberFormat="1" applyFont="1" applyFill="1" applyBorder="1" applyAlignment="1">
      <alignment horizontal="right" vertical="center"/>
    </xf>
    <xf numFmtId="43" fontId="16" fillId="2" borderId="13" xfId="1" applyFont="1" applyFill="1" applyBorder="1" applyAlignment="1">
      <alignment horizontal="right" vertical="center"/>
    </xf>
    <xf numFmtId="4" fontId="16" fillId="2" borderId="13" xfId="0" applyNumberFormat="1" applyFont="1" applyFill="1" applyBorder="1" applyAlignment="1">
      <alignment vertical="center"/>
    </xf>
    <xf numFmtId="1" fontId="8" fillId="0" borderId="23" xfId="0" applyNumberFormat="1" applyFont="1" applyBorder="1" applyAlignment="1">
      <alignment horizontal="center" vertical="center"/>
    </xf>
    <xf numFmtId="1" fontId="16" fillId="0" borderId="24" xfId="1" applyNumberFormat="1" applyFont="1" applyFill="1" applyBorder="1" applyAlignment="1">
      <alignment horizontal="center" vertical="center"/>
    </xf>
    <xf numFmtId="1" fontId="9" fillId="0" borderId="29" xfId="2" applyNumberFormat="1" applyFont="1" applyBorder="1" applyAlignment="1">
      <alignment horizontal="center"/>
    </xf>
    <xf numFmtId="0" fontId="16" fillId="0" borderId="35" xfId="0" applyFont="1" applyBorder="1" applyAlignment="1">
      <alignment horizontal="center" vertical="center"/>
    </xf>
    <xf numFmtId="188" fontId="16" fillId="0" borderId="24" xfId="0" applyNumberFormat="1" applyFont="1" applyBorder="1" applyAlignment="1">
      <alignment horizontal="center" vertical="center"/>
    </xf>
    <xf numFmtId="43" fontId="16" fillId="0" borderId="35" xfId="1" applyFont="1" applyBorder="1" applyAlignment="1">
      <alignment horizontal="center" vertical="center"/>
    </xf>
    <xf numFmtId="43" fontId="16" fillId="0" borderId="34" xfId="1" applyFont="1" applyBorder="1" applyAlignment="1">
      <alignment horizontal="center" vertical="center"/>
    </xf>
    <xf numFmtId="49" fontId="16" fillId="0" borderId="35" xfId="0" applyNumberFormat="1" applyFont="1" applyBorder="1" applyAlignment="1">
      <alignment horizontal="center" vertical="center"/>
    </xf>
    <xf numFmtId="187" fontId="16" fillId="0" borderId="35" xfId="1" applyNumberFormat="1" applyFont="1" applyBorder="1" applyAlignment="1">
      <alignment horizontal="center" vertical="center"/>
    </xf>
    <xf numFmtId="2" fontId="16" fillId="0" borderId="24" xfId="1" applyNumberFormat="1" applyFont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43" fontId="8" fillId="0" borderId="16" xfId="1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43" fontId="8" fillId="0" borderId="26" xfId="1" applyFont="1" applyBorder="1" applyAlignment="1">
      <alignment horizontal="center" vertical="center"/>
    </xf>
    <xf numFmtId="2" fontId="8" fillId="0" borderId="26" xfId="1" applyNumberFormat="1" applyFont="1" applyBorder="1" applyAlignment="1">
      <alignment horizontal="center" vertical="center"/>
    </xf>
    <xf numFmtId="2" fontId="8" fillId="0" borderId="16" xfId="1" applyNumberFormat="1" applyFont="1" applyBorder="1" applyAlignment="1">
      <alignment horizontal="center" vertical="center"/>
    </xf>
    <xf numFmtId="187" fontId="8" fillId="0" borderId="26" xfId="1" applyNumberFormat="1" applyFont="1" applyBorder="1" applyAlignment="1">
      <alignment horizontal="center" vertical="center"/>
    </xf>
    <xf numFmtId="187" fontId="8" fillId="0" borderId="16" xfId="1" applyNumberFormat="1" applyFont="1" applyBorder="1" applyAlignment="1">
      <alignment horizontal="center" vertical="center"/>
    </xf>
    <xf numFmtId="1" fontId="8" fillId="0" borderId="26" xfId="1" applyNumberFormat="1" applyFont="1" applyBorder="1" applyAlignment="1">
      <alignment horizontal="center" vertical="center"/>
    </xf>
    <xf numFmtId="1" fontId="8" fillId="0" borderId="16" xfId="1" applyNumberFormat="1" applyFont="1" applyBorder="1" applyAlignment="1">
      <alignment horizontal="center" vertical="center"/>
    </xf>
    <xf numFmtId="0" fontId="16" fillId="0" borderId="24" xfId="0" applyFont="1" applyBorder="1" applyAlignment="1">
      <alignment horizontal="center"/>
    </xf>
    <xf numFmtId="49" fontId="16" fillId="0" borderId="24" xfId="0" applyNumberFormat="1" applyFont="1" applyBorder="1" applyAlignment="1">
      <alignment horizontal="center"/>
    </xf>
    <xf numFmtId="2" fontId="16" fillId="0" borderId="24" xfId="0" applyNumberFormat="1" applyFont="1" applyBorder="1" applyAlignment="1">
      <alignment horizontal="center"/>
    </xf>
    <xf numFmtId="189" fontId="16" fillId="0" borderId="24" xfId="2" applyFont="1" applyBorder="1"/>
    <xf numFmtId="187" fontId="16" fillId="0" borderId="24" xfId="2" applyNumberFormat="1" applyFont="1" applyBorder="1" applyAlignment="1">
      <alignment horizontal="center" vertical="center"/>
    </xf>
    <xf numFmtId="189" fontId="16" fillId="0" borderId="24" xfId="2" applyFont="1" applyBorder="1" applyAlignment="1">
      <alignment horizontal="center"/>
    </xf>
    <xf numFmtId="1" fontId="16" fillId="0" borderId="24" xfId="2" applyNumberFormat="1" applyFont="1" applyBorder="1" applyAlignment="1">
      <alignment horizontal="center"/>
    </xf>
    <xf numFmtId="189" fontId="16" fillId="0" borderId="24" xfId="2" applyFont="1" applyBorder="1" applyAlignment="1">
      <alignment vertical="center"/>
    </xf>
    <xf numFmtId="2" fontId="16" fillId="0" borderId="24" xfId="2" applyNumberFormat="1" applyFont="1" applyBorder="1" applyAlignment="1">
      <alignment horizontal="center" vertical="center"/>
    </xf>
    <xf numFmtId="4" fontId="16" fillId="0" borderId="24" xfId="0" applyNumberFormat="1" applyFont="1" applyBorder="1"/>
    <xf numFmtId="4" fontId="16" fillId="0" borderId="0" xfId="0" applyNumberFormat="1" applyFont="1"/>
    <xf numFmtId="188" fontId="22" fillId="0" borderId="10" xfId="0" applyNumberFormat="1" applyFont="1" applyBorder="1" applyAlignment="1">
      <alignment horizontal="center"/>
    </xf>
    <xf numFmtId="43" fontId="8" fillId="0" borderId="14" xfId="1" applyFont="1" applyBorder="1" applyAlignment="1">
      <alignment horizontal="center" vertical="center"/>
    </xf>
    <xf numFmtId="1" fontId="9" fillId="0" borderId="16" xfId="2" applyNumberFormat="1" applyFont="1" applyBorder="1" applyAlignment="1">
      <alignment horizontal="center"/>
    </xf>
    <xf numFmtId="43" fontId="27" fillId="0" borderId="16" xfId="1" applyFont="1" applyBorder="1" applyAlignment="1">
      <alignment horizontal="left" vertical="center"/>
    </xf>
    <xf numFmtId="0" fontId="27" fillId="0" borderId="19" xfId="0" applyFont="1" applyBorder="1" applyAlignment="1">
      <alignment horizontal="left"/>
    </xf>
    <xf numFmtId="1" fontId="9" fillId="0" borderId="23" xfId="1" applyNumberFormat="1" applyFont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/>
    </xf>
    <xf numFmtId="2" fontId="16" fillId="0" borderId="13" xfId="0" applyNumberFormat="1" applyFont="1" applyBorder="1" applyAlignment="1">
      <alignment horizontal="center"/>
    </xf>
    <xf numFmtId="43" fontId="16" fillId="0" borderId="13" xfId="1" applyFont="1" applyBorder="1" applyAlignment="1">
      <alignment horizontal="center"/>
    </xf>
    <xf numFmtId="43" fontId="16" fillId="0" borderId="13" xfId="1" applyFont="1" applyFill="1" applyBorder="1" applyAlignment="1">
      <alignment horizontal="center"/>
    </xf>
    <xf numFmtId="187" fontId="16" fillId="0" borderId="13" xfId="1" applyNumberFormat="1" applyFont="1" applyFill="1" applyBorder="1" applyAlignment="1">
      <alignment horizontal="center"/>
    </xf>
    <xf numFmtId="1" fontId="16" fillId="0" borderId="13" xfId="1" applyNumberFormat="1" applyFont="1" applyFill="1" applyBorder="1" applyAlignment="1">
      <alignment horizontal="center"/>
    </xf>
    <xf numFmtId="43" fontId="16" fillId="0" borderId="13" xfId="0" applyNumberFormat="1" applyFont="1" applyBorder="1" applyAlignment="1">
      <alignment horizontal="center"/>
    </xf>
    <xf numFmtId="4" fontId="16" fillId="0" borderId="13" xfId="1" applyNumberFormat="1" applyFont="1" applyBorder="1" applyAlignment="1">
      <alignment horizontal="right"/>
    </xf>
    <xf numFmtId="43" fontId="16" fillId="0" borderId="13" xfId="1" applyFont="1" applyBorder="1" applyAlignment="1">
      <alignment horizontal="right"/>
    </xf>
    <xf numFmtId="4" fontId="16" fillId="0" borderId="13" xfId="0" applyNumberFormat="1" applyFont="1" applyBorder="1"/>
    <xf numFmtId="0" fontId="9" fillId="0" borderId="13" xfId="0" applyFont="1" applyBorder="1" applyAlignment="1">
      <alignment horizontal="center"/>
    </xf>
    <xf numFmtId="2" fontId="9" fillId="0" borderId="13" xfId="0" applyNumberFormat="1" applyFont="1" applyBorder="1" applyAlignment="1">
      <alignment horizontal="center"/>
    </xf>
    <xf numFmtId="43" fontId="9" fillId="0" borderId="13" xfId="1" applyFont="1" applyBorder="1" applyAlignment="1">
      <alignment horizontal="center"/>
    </xf>
    <xf numFmtId="43" fontId="9" fillId="0" borderId="13" xfId="1" applyFont="1" applyFill="1" applyBorder="1" applyAlignment="1">
      <alignment horizontal="center"/>
    </xf>
    <xf numFmtId="187" fontId="9" fillId="0" borderId="13" xfId="1" applyNumberFormat="1" applyFont="1" applyFill="1" applyBorder="1" applyAlignment="1">
      <alignment horizontal="center"/>
    </xf>
    <xf numFmtId="1" fontId="9" fillId="0" borderId="13" xfId="1" applyNumberFormat="1" applyFont="1" applyFill="1" applyBorder="1" applyAlignment="1">
      <alignment horizontal="center"/>
    </xf>
    <xf numFmtId="43" fontId="9" fillId="0" borderId="13" xfId="0" applyNumberFormat="1" applyFont="1" applyBorder="1" applyAlignment="1">
      <alignment horizontal="center"/>
    </xf>
    <xf numFmtId="4" fontId="9" fillId="0" borderId="13" xfId="1" applyNumberFormat="1" applyFont="1" applyBorder="1" applyAlignment="1">
      <alignment horizontal="right"/>
    </xf>
    <xf numFmtId="43" fontId="9" fillId="0" borderId="13" xfId="1" applyFont="1" applyBorder="1" applyAlignment="1">
      <alignment horizontal="right"/>
    </xf>
    <xf numFmtId="4" fontId="9" fillId="0" borderId="13" xfId="0" applyNumberFormat="1" applyFont="1" applyBorder="1"/>
    <xf numFmtId="0" fontId="5" fillId="3" borderId="2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2" fontId="5" fillId="3" borderId="9" xfId="0" applyNumberFormat="1" applyFont="1" applyFill="1" applyBorder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187" fontId="13" fillId="0" borderId="16" xfId="1" applyNumberFormat="1" applyFont="1" applyBorder="1" applyAlignment="1">
      <alignment horizontal="center"/>
    </xf>
    <xf numFmtId="0" fontId="5" fillId="3" borderId="9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2" fontId="5" fillId="3" borderId="9" xfId="0" applyNumberFormat="1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13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2" fontId="8" fillId="3" borderId="9" xfId="0" applyNumberFormat="1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13" xfId="0" applyFont="1" applyFill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49" fontId="8" fillId="0" borderId="16" xfId="0" applyNumberFormat="1" applyFont="1" applyBorder="1" applyAlignment="1">
      <alignment horizontal="center" vertical="center"/>
    </xf>
    <xf numFmtId="43" fontId="8" fillId="0" borderId="16" xfId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2" fontId="8" fillId="0" borderId="16" xfId="1" applyNumberFormat="1" applyFont="1" applyBorder="1" applyAlignment="1">
      <alignment horizontal="center" vertical="center"/>
    </xf>
    <xf numFmtId="187" fontId="8" fillId="0" borderId="16" xfId="1" applyNumberFormat="1" applyFont="1" applyBorder="1" applyAlignment="1">
      <alignment horizontal="center" vertical="center"/>
    </xf>
    <xf numFmtId="2" fontId="8" fillId="0" borderId="16" xfId="0" applyNumberFormat="1" applyFont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82" fillId="0" borderId="0" xfId="0" applyFont="1"/>
    <xf numFmtId="43" fontId="8" fillId="0" borderId="9" xfId="1" applyFont="1" applyFill="1" applyBorder="1" applyAlignment="1">
      <alignment horizontal="center"/>
    </xf>
    <xf numFmtId="187" fontId="8" fillId="0" borderId="9" xfId="1" applyNumberFormat="1" applyFont="1" applyFill="1" applyBorder="1" applyAlignment="1">
      <alignment horizontal="center"/>
    </xf>
    <xf numFmtId="1" fontId="8" fillId="0" borderId="9" xfId="1" applyNumberFormat="1" applyFont="1" applyFill="1" applyBorder="1" applyAlignment="1">
      <alignment horizontal="center"/>
    </xf>
    <xf numFmtId="43" fontId="8" fillId="0" borderId="9" xfId="0" applyNumberFormat="1" applyFont="1" applyBorder="1" applyAlignment="1">
      <alignment horizontal="center"/>
    </xf>
    <xf numFmtId="4" fontId="8" fillId="0" borderId="9" xfId="1" applyNumberFormat="1" applyFont="1" applyBorder="1" applyAlignment="1">
      <alignment horizontal="right"/>
    </xf>
    <xf numFmtId="0" fontId="8" fillId="3" borderId="9" xfId="0" applyFont="1" applyFill="1" applyBorder="1" applyAlignment="1">
      <alignment horizontal="center" vertical="center"/>
    </xf>
    <xf numFmtId="0" fontId="8" fillId="3" borderId="13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2" fontId="8" fillId="3" borderId="9" xfId="0" applyNumberFormat="1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13" xfId="0" applyFont="1" applyFill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43" fontId="8" fillId="0" borderId="16" xfId="1" applyFont="1" applyBorder="1" applyAlignment="1">
      <alignment horizontal="center" vertical="center"/>
    </xf>
    <xf numFmtId="49" fontId="8" fillId="0" borderId="16" xfId="0" applyNumberFormat="1" applyFont="1" applyBorder="1" applyAlignment="1">
      <alignment horizontal="center" vertical="center"/>
    </xf>
    <xf numFmtId="2" fontId="8" fillId="0" borderId="16" xfId="0" applyNumberFormat="1" applyFont="1" applyBorder="1" applyAlignment="1">
      <alignment horizontal="center" vertical="center"/>
    </xf>
    <xf numFmtId="2" fontId="8" fillId="0" borderId="16" xfId="1" applyNumberFormat="1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43" fontId="5" fillId="0" borderId="15" xfId="1" applyFont="1" applyBorder="1" applyAlignment="1">
      <alignment horizontal="center"/>
    </xf>
    <xf numFmtId="43" fontId="5" fillId="2" borderId="23" xfId="1" applyFont="1" applyFill="1" applyBorder="1" applyAlignment="1">
      <alignment horizontal="center"/>
    </xf>
    <xf numFmtId="43" fontId="5" fillId="0" borderId="17" xfId="1" applyFont="1" applyBorder="1" applyAlignment="1">
      <alignment horizontal="center"/>
    </xf>
    <xf numFmtId="49" fontId="5" fillId="0" borderId="19" xfId="0" applyNumberFormat="1" applyFont="1" applyBorder="1" applyAlignment="1">
      <alignment horizontal="center"/>
    </xf>
    <xf numFmtId="187" fontId="5" fillId="0" borderId="18" xfId="1" applyNumberFormat="1" applyFont="1" applyBorder="1" applyAlignment="1">
      <alignment horizontal="center"/>
    </xf>
    <xf numFmtId="43" fontId="5" fillId="0" borderId="18" xfId="1" applyFont="1" applyBorder="1" applyAlignment="1">
      <alignment horizontal="center"/>
    </xf>
    <xf numFmtId="1" fontId="5" fillId="0" borderId="19" xfId="1" applyNumberFormat="1" applyFont="1" applyBorder="1" applyAlignment="1">
      <alignment horizontal="center"/>
    </xf>
    <xf numFmtId="43" fontId="5" fillId="0" borderId="19" xfId="1" applyFont="1" applyBorder="1" applyAlignment="1">
      <alignment horizontal="center"/>
    </xf>
    <xf numFmtId="2" fontId="5" fillId="0" borderId="16" xfId="1" applyNumberFormat="1" applyFont="1" applyBorder="1" applyAlignment="1">
      <alignment horizontal="center"/>
    </xf>
    <xf numFmtId="43" fontId="5" fillId="0" borderId="23" xfId="1" applyFont="1" applyBorder="1" applyAlignment="1">
      <alignment horizontal="right" vertical="center"/>
    </xf>
    <xf numFmtId="0" fontId="5" fillId="0" borderId="16" xfId="0" applyFont="1" applyBorder="1" applyAlignment="1">
      <alignment horizontal="center"/>
    </xf>
    <xf numFmtId="188" fontId="5" fillId="0" borderId="16" xfId="0" applyNumberFormat="1" applyFont="1" applyBorder="1" applyAlignment="1">
      <alignment horizontal="center"/>
    </xf>
    <xf numFmtId="0" fontId="5" fillId="0" borderId="18" xfId="0" applyFont="1" applyBorder="1" applyAlignment="1">
      <alignment horizontal="center"/>
    </xf>
    <xf numFmtId="4" fontId="8" fillId="9" borderId="9" xfId="0" applyNumberFormat="1" applyFont="1" applyFill="1" applyBorder="1" applyAlignment="1">
      <alignment vertical="center"/>
    </xf>
    <xf numFmtId="43" fontId="5" fillId="2" borderId="20" xfId="1" applyFont="1" applyFill="1" applyBorder="1" applyAlignment="1">
      <alignment horizontal="center"/>
    </xf>
    <xf numFmtId="43" fontId="5" fillId="0" borderId="22" xfId="1" applyFont="1" applyBorder="1" applyAlignment="1">
      <alignment horizontal="center"/>
    </xf>
    <xf numFmtId="0" fontId="5" fillId="0" borderId="19" xfId="0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188" fontId="5" fillId="0" borderId="20" xfId="0" applyNumberFormat="1" applyFont="1" applyBorder="1" applyAlignment="1">
      <alignment horizontal="center"/>
    </xf>
    <xf numFmtId="43" fontId="5" fillId="0" borderId="19" xfId="1" applyFont="1" applyBorder="1"/>
    <xf numFmtId="43" fontId="0" fillId="0" borderId="19" xfId="1" applyFont="1" applyBorder="1"/>
    <xf numFmtId="43" fontId="5" fillId="0" borderId="26" xfId="1" applyFont="1" applyBorder="1" applyAlignment="1">
      <alignment horizontal="right" vertical="center"/>
    </xf>
    <xf numFmtId="0" fontId="6" fillId="0" borderId="19" xfId="0" applyFont="1" applyBorder="1" applyAlignment="1">
      <alignment horizontal="center"/>
    </xf>
    <xf numFmtId="49" fontId="6" fillId="0" borderId="19" xfId="0" applyNumberFormat="1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0" fontId="6" fillId="0" borderId="21" xfId="0" applyFont="1" applyBorder="1" applyAlignment="1">
      <alignment horizontal="center"/>
    </xf>
    <xf numFmtId="2" fontId="6" fillId="0" borderId="19" xfId="0" applyNumberFormat="1" applyFont="1" applyBorder="1" applyAlignment="1">
      <alignment horizontal="center"/>
    </xf>
    <xf numFmtId="4" fontId="5" fillId="0" borderId="16" xfId="1" applyNumberFormat="1" applyFont="1" applyBorder="1" applyAlignment="1">
      <alignment horizontal="center" vertical="center"/>
    </xf>
    <xf numFmtId="4" fontId="16" fillId="0" borderId="13" xfId="1" applyNumberFormat="1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2" fontId="12" fillId="0" borderId="13" xfId="0" applyNumberFormat="1" applyFont="1" applyBorder="1" applyAlignment="1">
      <alignment horizontal="center" vertical="center"/>
    </xf>
    <xf numFmtId="43" fontId="12" fillId="0" borderId="13" xfId="1" applyFont="1" applyBorder="1" applyAlignment="1">
      <alignment horizontal="center" vertical="center"/>
    </xf>
    <xf numFmtId="43" fontId="12" fillId="0" borderId="13" xfId="1" applyFont="1" applyFill="1" applyBorder="1" applyAlignment="1">
      <alignment horizontal="center" vertical="center"/>
    </xf>
    <xf numFmtId="187" fontId="12" fillId="0" borderId="13" xfId="1" applyNumberFormat="1" applyFont="1" applyFill="1" applyBorder="1" applyAlignment="1">
      <alignment horizontal="center" vertical="center"/>
    </xf>
    <xf numFmtId="1" fontId="12" fillId="0" borderId="13" xfId="1" applyNumberFormat="1" applyFont="1" applyFill="1" applyBorder="1" applyAlignment="1">
      <alignment horizontal="center" vertical="center"/>
    </xf>
    <xf numFmtId="43" fontId="12" fillId="0" borderId="13" xfId="0" applyNumberFormat="1" applyFont="1" applyBorder="1" applyAlignment="1">
      <alignment horizontal="center" vertical="center"/>
    </xf>
    <xf numFmtId="4" fontId="12" fillId="0" borderId="13" xfId="1" applyNumberFormat="1" applyFont="1" applyBorder="1" applyAlignment="1">
      <alignment horizontal="right" vertical="center"/>
    </xf>
    <xf numFmtId="4" fontId="12" fillId="0" borderId="13" xfId="1" applyNumberFormat="1" applyFont="1" applyBorder="1" applyAlignment="1">
      <alignment horizontal="center" vertical="center"/>
    </xf>
    <xf numFmtId="43" fontId="12" fillId="0" borderId="13" xfId="1" applyFont="1" applyBorder="1" applyAlignment="1">
      <alignment horizontal="right" vertical="center"/>
    </xf>
    <xf numFmtId="4" fontId="12" fillId="0" borderId="13" xfId="0" applyNumberFormat="1" applyFont="1" applyBorder="1" applyAlignment="1">
      <alignment vertical="center"/>
    </xf>
    <xf numFmtId="0" fontId="12" fillId="0" borderId="0" xfId="0" applyFont="1" applyAlignment="1">
      <alignment vertical="center"/>
    </xf>
    <xf numFmtId="0" fontId="40" fillId="0" borderId="24" xfId="0" applyFont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2" fontId="40" fillId="0" borderId="24" xfId="0" applyNumberFormat="1" applyFont="1" applyBorder="1" applyAlignment="1">
      <alignment horizontal="center" vertical="center"/>
    </xf>
    <xf numFmtId="43" fontId="40" fillId="0" borderId="24" xfId="1" applyFont="1" applyBorder="1" applyAlignment="1">
      <alignment horizontal="center" vertical="center"/>
    </xf>
    <xf numFmtId="43" fontId="40" fillId="0" borderId="24" xfId="1" applyFont="1" applyFill="1" applyBorder="1" applyAlignment="1">
      <alignment horizontal="center" vertical="center"/>
    </xf>
    <xf numFmtId="49" fontId="40" fillId="0" borderId="24" xfId="0" applyNumberFormat="1" applyFont="1" applyBorder="1" applyAlignment="1">
      <alignment horizontal="center" vertical="center"/>
    </xf>
    <xf numFmtId="187" fontId="40" fillId="0" borderId="24" xfId="1" applyNumberFormat="1" applyFont="1" applyFill="1" applyBorder="1" applyAlignment="1">
      <alignment horizontal="center" vertical="center"/>
    </xf>
    <xf numFmtId="1" fontId="40" fillId="0" borderId="24" xfId="1" applyNumberFormat="1" applyFont="1" applyFill="1" applyBorder="1" applyAlignment="1">
      <alignment horizontal="center" vertical="center"/>
    </xf>
    <xf numFmtId="43" fontId="40" fillId="0" borderId="24" xfId="0" applyNumberFormat="1" applyFont="1" applyBorder="1" applyAlignment="1">
      <alignment horizontal="center" vertical="center"/>
    </xf>
    <xf numFmtId="4" fontId="40" fillId="0" borderId="24" xfId="1" applyNumberFormat="1" applyFont="1" applyBorder="1" applyAlignment="1">
      <alignment horizontal="right" vertical="center"/>
    </xf>
    <xf numFmtId="4" fontId="40" fillId="0" borderId="24" xfId="1" applyNumberFormat="1" applyFont="1" applyBorder="1" applyAlignment="1">
      <alignment horizontal="center" vertical="center"/>
    </xf>
    <xf numFmtId="43" fontId="40" fillId="0" borderId="24" xfId="1" applyFont="1" applyBorder="1" applyAlignment="1">
      <alignment horizontal="right" vertical="center"/>
    </xf>
    <xf numFmtId="0" fontId="12" fillId="2" borderId="20" xfId="0" applyFont="1" applyFill="1" applyBorder="1" applyAlignment="1">
      <alignment horizontal="center"/>
    </xf>
    <xf numFmtId="4" fontId="16" fillId="0" borderId="13" xfId="1" applyNumberFormat="1" applyFont="1" applyFill="1" applyBorder="1" applyAlignment="1">
      <alignment horizontal="center" vertical="center"/>
    </xf>
    <xf numFmtId="4" fontId="16" fillId="0" borderId="24" xfId="0" applyNumberFormat="1" applyFont="1" applyBorder="1" applyAlignment="1">
      <alignment vertical="center"/>
    </xf>
    <xf numFmtId="0" fontId="12" fillId="0" borderId="32" xfId="0" applyFont="1" applyBorder="1" applyAlignment="1">
      <alignment horizontal="center"/>
    </xf>
    <xf numFmtId="0" fontId="5" fillId="3" borderId="9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2" fontId="5" fillId="3" borderId="9" xfId="0" applyNumberFormat="1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2" fontId="8" fillId="3" borderId="9" xfId="0" applyNumberFormat="1" applyFont="1" applyFill="1" applyBorder="1" applyAlignment="1">
      <alignment horizontal="center" vertical="center"/>
    </xf>
    <xf numFmtId="0" fontId="8" fillId="3" borderId="13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13" xfId="0" applyFont="1" applyFill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49" fontId="8" fillId="0" borderId="16" xfId="0" applyNumberFormat="1" applyFont="1" applyBorder="1" applyAlignment="1">
      <alignment horizontal="center" vertical="center"/>
    </xf>
    <xf numFmtId="43" fontId="8" fillId="0" borderId="16" xfId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2" fontId="8" fillId="0" borderId="16" xfId="1" applyNumberFormat="1" applyFont="1" applyBorder="1" applyAlignment="1">
      <alignment horizontal="center" vertical="center"/>
    </xf>
    <xf numFmtId="2" fontId="8" fillId="0" borderId="16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4" fontId="79" fillId="0" borderId="13" xfId="1" applyNumberFormat="1" applyFont="1" applyBorder="1" applyAlignment="1">
      <alignment horizontal="center" vertical="center"/>
    </xf>
    <xf numFmtId="0" fontId="84" fillId="0" borderId="0" xfId="0" applyFont="1" applyAlignment="1">
      <alignment vertical="center"/>
    </xf>
    <xf numFmtId="43" fontId="85" fillId="0" borderId="13" xfId="1" applyFont="1" applyBorder="1" applyAlignment="1">
      <alignment horizontal="center" vertical="center"/>
    </xf>
    <xf numFmtId="187" fontId="85" fillId="0" borderId="13" xfId="1" applyNumberFormat="1" applyFont="1" applyFill="1" applyBorder="1" applyAlignment="1">
      <alignment horizontal="center" vertical="center"/>
    </xf>
    <xf numFmtId="43" fontId="85" fillId="0" borderId="13" xfId="1" applyFont="1" applyFill="1" applyBorder="1" applyAlignment="1">
      <alignment horizontal="center" vertical="center"/>
    </xf>
    <xf numFmtId="43" fontId="85" fillId="0" borderId="13" xfId="0" applyNumberFormat="1" applyFont="1" applyBorder="1" applyAlignment="1">
      <alignment horizontal="center" vertical="center"/>
    </xf>
    <xf numFmtId="4" fontId="85" fillId="0" borderId="13" xfId="1" applyNumberFormat="1" applyFont="1" applyBorder="1" applyAlignment="1">
      <alignment horizontal="right" vertical="center"/>
    </xf>
    <xf numFmtId="4" fontId="85" fillId="0" borderId="13" xfId="1" applyNumberFormat="1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6" fillId="0" borderId="20" xfId="0" applyFont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2" fontId="5" fillId="3" borderId="9" xfId="0" applyNumberFormat="1" applyFont="1" applyFill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43" fontId="8" fillId="0" borderId="16" xfId="1" applyFont="1" applyBorder="1" applyAlignment="1">
      <alignment horizontal="center" vertical="center"/>
    </xf>
    <xf numFmtId="49" fontId="8" fillId="0" borderId="16" xfId="0" applyNumberFormat="1" applyFont="1" applyBorder="1" applyAlignment="1">
      <alignment horizontal="center" vertical="center"/>
    </xf>
    <xf numFmtId="2" fontId="8" fillId="0" borderId="16" xfId="0" applyNumberFormat="1" applyFont="1" applyBorder="1" applyAlignment="1">
      <alignment horizontal="center" vertical="center"/>
    </xf>
    <xf numFmtId="0" fontId="82" fillId="0" borderId="0" xfId="0" applyFont="1" applyAlignment="1">
      <alignment vertical="center"/>
    </xf>
    <xf numFmtId="0" fontId="4" fillId="0" borderId="1" xfId="0" applyFont="1" applyBorder="1" applyAlignment="1">
      <alignment vertical="center"/>
    </xf>
    <xf numFmtId="0" fontId="5" fillId="0" borderId="25" xfId="0" applyFont="1" applyBorder="1" applyAlignment="1">
      <alignment horizontal="center"/>
    </xf>
    <xf numFmtId="189" fontId="5" fillId="0" borderId="18" xfId="2" applyFont="1" applyBorder="1" applyAlignment="1">
      <alignment horizontal="center"/>
    </xf>
    <xf numFmtId="189" fontId="5" fillId="2" borderId="16" xfId="2" applyFont="1" applyFill="1" applyBorder="1" applyAlignment="1">
      <alignment horizontal="center"/>
    </xf>
    <xf numFmtId="189" fontId="5" fillId="0" borderId="22" xfId="2" applyFont="1" applyBorder="1" applyAlignment="1">
      <alignment horizontal="center"/>
    </xf>
    <xf numFmtId="191" fontId="5" fillId="0" borderId="18" xfId="2" applyNumberFormat="1" applyFont="1" applyBorder="1" applyAlignment="1">
      <alignment horizontal="center"/>
    </xf>
    <xf numFmtId="1" fontId="5" fillId="0" borderId="19" xfId="2" applyNumberFormat="1" applyFont="1" applyBorder="1" applyAlignment="1">
      <alignment horizontal="center"/>
    </xf>
    <xf numFmtId="189" fontId="5" fillId="0" borderId="19" xfId="2" applyFont="1" applyBorder="1" applyAlignment="1">
      <alignment horizontal="center"/>
    </xf>
    <xf numFmtId="2" fontId="5" fillId="0" borderId="16" xfId="2" applyNumberFormat="1" applyFont="1" applyBorder="1" applyAlignment="1">
      <alignment horizontal="center"/>
    </xf>
    <xf numFmtId="0" fontId="5" fillId="0" borderId="32" xfId="0" applyFont="1" applyBorder="1" applyAlignment="1">
      <alignment horizontal="center" vertical="top"/>
    </xf>
    <xf numFmtId="0" fontId="5" fillId="0" borderId="32" xfId="0" applyFont="1" applyBorder="1" applyAlignment="1">
      <alignment horizontal="center" vertical="center"/>
    </xf>
    <xf numFmtId="191" fontId="8" fillId="0" borderId="16" xfId="2" applyNumberFormat="1" applyFont="1" applyFill="1" applyBorder="1" applyAlignment="1">
      <alignment horizontal="center"/>
    </xf>
    <xf numFmtId="0" fontId="15" fillId="0" borderId="0" xfId="0" applyFont="1" applyFill="1" applyAlignment="1">
      <alignment vertical="center"/>
    </xf>
    <xf numFmtId="0" fontId="74" fillId="0" borderId="0" xfId="0" applyFont="1" applyAlignment="1">
      <alignment vertical="center"/>
    </xf>
    <xf numFmtId="189" fontId="8" fillId="0" borderId="15" xfId="2" applyNumberFormat="1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0" fontId="6" fillId="0" borderId="32" xfId="0" applyFont="1" applyBorder="1" applyAlignment="1">
      <alignment horizontal="center" vertical="top"/>
    </xf>
    <xf numFmtId="0" fontId="6" fillId="0" borderId="32" xfId="0" applyFont="1" applyBorder="1" applyAlignment="1">
      <alignment horizontal="center" vertical="center"/>
    </xf>
    <xf numFmtId="0" fontId="40" fillId="0" borderId="13" xfId="0" applyFont="1" applyBorder="1" applyAlignment="1">
      <alignment horizontal="center" vertical="center"/>
    </xf>
    <xf numFmtId="2" fontId="40" fillId="0" borderId="13" xfId="0" applyNumberFormat="1" applyFont="1" applyBorder="1" applyAlignment="1">
      <alignment horizontal="center" vertical="center"/>
    </xf>
    <xf numFmtId="43" fontId="40" fillId="0" borderId="13" xfId="1" applyFont="1" applyBorder="1" applyAlignment="1">
      <alignment horizontal="center" vertical="center"/>
    </xf>
    <xf numFmtId="43" fontId="40" fillId="0" borderId="13" xfId="1" applyFont="1" applyFill="1" applyBorder="1" applyAlignment="1">
      <alignment horizontal="center" vertical="center"/>
    </xf>
    <xf numFmtId="187" fontId="40" fillId="0" borderId="13" xfId="1" applyNumberFormat="1" applyFont="1" applyFill="1" applyBorder="1" applyAlignment="1">
      <alignment horizontal="center" vertical="center"/>
    </xf>
    <xf numFmtId="1" fontId="40" fillId="0" borderId="13" xfId="1" applyNumberFormat="1" applyFont="1" applyFill="1" applyBorder="1" applyAlignment="1">
      <alignment horizontal="center" vertical="center"/>
    </xf>
    <xf numFmtId="43" fontId="40" fillId="0" borderId="13" xfId="0" applyNumberFormat="1" applyFont="1" applyBorder="1" applyAlignment="1">
      <alignment horizontal="center" vertical="center"/>
    </xf>
    <xf numFmtId="4" fontId="40" fillId="0" borderId="13" xfId="1" applyNumberFormat="1" applyFont="1" applyBorder="1" applyAlignment="1">
      <alignment horizontal="right" vertical="center"/>
    </xf>
    <xf numFmtId="43" fontId="40" fillId="0" borderId="13" xfId="1" applyFont="1" applyBorder="1" applyAlignment="1">
      <alignment horizontal="right" vertical="center"/>
    </xf>
    <xf numFmtId="0" fontId="0" fillId="0" borderId="0" xfId="0" applyFont="1" applyAlignment="1">
      <alignment vertical="center"/>
    </xf>
    <xf numFmtId="0" fontId="36" fillId="0" borderId="1" xfId="0" applyFont="1" applyBorder="1" applyAlignment="1">
      <alignment vertical="center"/>
    </xf>
    <xf numFmtId="4" fontId="6" fillId="7" borderId="2" xfId="0" applyNumberFormat="1" applyFont="1" applyFill="1" applyBorder="1" applyAlignment="1">
      <alignment horizontal="center" vertical="center"/>
    </xf>
    <xf numFmtId="0" fontId="40" fillId="8" borderId="2" xfId="0" applyFont="1" applyFill="1" applyBorder="1" applyAlignment="1">
      <alignment vertical="center"/>
    </xf>
    <xf numFmtId="4" fontId="6" fillId="7" borderId="9" xfId="0" applyNumberFormat="1" applyFont="1" applyFill="1" applyBorder="1" applyAlignment="1">
      <alignment horizontal="center" vertical="center"/>
    </xf>
    <xf numFmtId="0" fontId="40" fillId="7" borderId="9" xfId="0" applyFont="1" applyFill="1" applyBorder="1" applyAlignment="1">
      <alignment vertical="center"/>
    </xf>
    <xf numFmtId="4" fontId="78" fillId="9" borderId="23" xfId="0" applyNumberFormat="1" applyFont="1" applyFill="1" applyBorder="1" applyAlignment="1">
      <alignment vertical="center"/>
    </xf>
    <xf numFmtId="4" fontId="78" fillId="0" borderId="23" xfId="0" applyNumberFormat="1" applyFont="1" applyBorder="1" applyAlignment="1">
      <alignment vertical="center"/>
    </xf>
    <xf numFmtId="0" fontId="5" fillId="0" borderId="28" xfId="0" applyFont="1" applyBorder="1" applyAlignment="1">
      <alignment horizontal="center" vertical="center"/>
    </xf>
    <xf numFmtId="187" fontId="9" fillId="0" borderId="22" xfId="1" applyNumberFormat="1" applyFont="1" applyBorder="1" applyAlignment="1">
      <alignment horizontal="center" vertical="center"/>
    </xf>
    <xf numFmtId="189" fontId="5" fillId="0" borderId="16" xfId="1" applyNumberFormat="1" applyFont="1" applyBorder="1" applyAlignment="1">
      <alignment horizontal="center" vertical="center"/>
    </xf>
    <xf numFmtId="2" fontId="9" fillId="0" borderId="18" xfId="1" applyNumberFormat="1" applyFont="1" applyBorder="1" applyAlignment="1">
      <alignment horizontal="center" vertical="center"/>
    </xf>
    <xf numFmtId="4" fontId="78" fillId="9" borderId="13" xfId="0" applyNumberFormat="1" applyFont="1" applyFill="1" applyBorder="1" applyAlignment="1">
      <alignment vertical="center"/>
    </xf>
    <xf numFmtId="4" fontId="78" fillId="0" borderId="13" xfId="0" applyNumberFormat="1" applyFont="1" applyBorder="1" applyAlignment="1">
      <alignment vertical="center"/>
    </xf>
    <xf numFmtId="4" fontId="78" fillId="0" borderId="20" xfId="0" applyNumberFormat="1" applyFont="1" applyBorder="1" applyAlignment="1">
      <alignment vertical="center"/>
    </xf>
    <xf numFmtId="0" fontId="3" fillId="8" borderId="0" xfId="0" applyFont="1" applyFill="1" applyAlignment="1">
      <alignment vertical="center"/>
    </xf>
    <xf numFmtId="0" fontId="40" fillId="8" borderId="0" xfId="0" applyFont="1" applyFill="1" applyAlignment="1">
      <alignment vertical="center"/>
    </xf>
    <xf numFmtId="0" fontId="9" fillId="0" borderId="22" xfId="0" applyFont="1" applyBorder="1" applyAlignment="1">
      <alignment horizontal="center" vertical="center"/>
    </xf>
    <xf numFmtId="1" fontId="9" fillId="0" borderId="18" xfId="1" applyNumberFormat="1" applyFont="1" applyBorder="1" applyAlignment="1">
      <alignment horizontal="center" vertical="center"/>
    </xf>
    <xf numFmtId="188" fontId="12" fillId="0" borderId="24" xfId="0" applyNumberFormat="1" applyFont="1" applyBorder="1" applyAlignment="1">
      <alignment horizontal="center" vertical="center"/>
    </xf>
    <xf numFmtId="0" fontId="12" fillId="0" borderId="35" xfId="0" applyFont="1" applyBorder="1" applyAlignment="1">
      <alignment horizontal="center" vertical="center"/>
    </xf>
    <xf numFmtId="49" fontId="12" fillId="0" borderId="35" xfId="0" applyNumberFormat="1" applyFont="1" applyBorder="1" applyAlignment="1">
      <alignment horizontal="center" vertical="center"/>
    </xf>
    <xf numFmtId="0" fontId="16" fillId="0" borderId="21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43" fontId="16" fillId="0" borderId="34" xfId="1" applyFont="1" applyFill="1" applyBorder="1" applyAlignment="1">
      <alignment horizontal="center" vertical="center"/>
    </xf>
    <xf numFmtId="187" fontId="16" fillId="0" borderId="35" xfId="1" applyNumberFormat="1" applyFont="1" applyFill="1" applyBorder="1" applyAlignment="1">
      <alignment horizontal="center" vertical="center"/>
    </xf>
    <xf numFmtId="43" fontId="16" fillId="0" borderId="35" xfId="1" applyFont="1" applyFill="1" applyBorder="1" applyAlignment="1">
      <alignment horizontal="center" vertical="center"/>
    </xf>
    <xf numFmtId="2" fontId="16" fillId="0" borderId="24" xfId="1" applyNumberFormat="1" applyFont="1" applyFill="1" applyBorder="1" applyAlignment="1">
      <alignment horizontal="center" vertical="center"/>
    </xf>
    <xf numFmtId="43" fontId="16" fillId="0" borderId="24" xfId="1" applyFont="1" applyFill="1" applyBorder="1" applyAlignment="1">
      <alignment horizontal="right" vertical="center"/>
    </xf>
    <xf numFmtId="43" fontId="12" fillId="0" borderId="35" xfId="1" applyFont="1" applyBorder="1" applyAlignment="1">
      <alignment horizontal="center" vertical="center"/>
    </xf>
    <xf numFmtId="43" fontId="12" fillId="0" borderId="24" xfId="1" applyFont="1" applyBorder="1" applyAlignment="1">
      <alignment horizontal="center" vertical="center"/>
    </xf>
    <xf numFmtId="43" fontId="12" fillId="0" borderId="34" xfId="1" applyFont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187" fontId="12" fillId="0" borderId="35" xfId="1" applyNumberFormat="1" applyFont="1" applyBorder="1" applyAlignment="1">
      <alignment horizontal="center" vertical="center"/>
    </xf>
    <xf numFmtId="2" fontId="12" fillId="0" borderId="24" xfId="1" applyNumberFormat="1" applyFont="1" applyBorder="1" applyAlignment="1">
      <alignment horizontal="center" vertical="center"/>
    </xf>
    <xf numFmtId="43" fontId="12" fillId="0" borderId="24" xfId="1" applyFont="1" applyBorder="1" applyAlignment="1">
      <alignment horizontal="right" vertical="center"/>
    </xf>
    <xf numFmtId="0" fontId="82" fillId="2" borderId="0" xfId="0" applyFont="1" applyFill="1" applyAlignment="1">
      <alignment vertical="center"/>
    </xf>
    <xf numFmtId="0" fontId="16" fillId="2" borderId="35" xfId="0" applyFont="1" applyFill="1" applyBorder="1" applyAlignment="1">
      <alignment horizontal="center" vertical="center"/>
    </xf>
    <xf numFmtId="188" fontId="16" fillId="2" borderId="24" xfId="0" applyNumberFormat="1" applyFont="1" applyFill="1" applyBorder="1" applyAlignment="1">
      <alignment horizontal="center" vertical="center"/>
    </xf>
    <xf numFmtId="43" fontId="16" fillId="2" borderId="35" xfId="1" applyFont="1" applyFill="1" applyBorder="1" applyAlignment="1">
      <alignment horizontal="center" vertical="center"/>
    </xf>
    <xf numFmtId="43" fontId="16" fillId="2" borderId="24" xfId="1" applyFont="1" applyFill="1" applyBorder="1" applyAlignment="1">
      <alignment horizontal="center" vertical="center"/>
    </xf>
    <xf numFmtId="43" fontId="16" fillId="2" borderId="34" xfId="1" applyFont="1" applyFill="1" applyBorder="1" applyAlignment="1">
      <alignment horizontal="center" vertical="center"/>
    </xf>
    <xf numFmtId="49" fontId="16" fillId="2" borderId="35" xfId="0" applyNumberFormat="1" applyFont="1" applyFill="1" applyBorder="1" applyAlignment="1">
      <alignment horizontal="center" vertical="center"/>
    </xf>
    <xf numFmtId="187" fontId="16" fillId="2" borderId="35" xfId="1" applyNumberFormat="1" applyFont="1" applyFill="1" applyBorder="1" applyAlignment="1">
      <alignment horizontal="center" vertical="center"/>
    </xf>
    <xf numFmtId="2" fontId="16" fillId="2" borderId="24" xfId="1" applyNumberFormat="1" applyFont="1" applyFill="1" applyBorder="1" applyAlignment="1">
      <alignment horizontal="center" vertical="center"/>
    </xf>
    <xf numFmtId="43" fontId="16" fillId="2" borderId="24" xfId="1" applyFont="1" applyFill="1" applyBorder="1" applyAlignment="1">
      <alignment horizontal="right" vertical="center"/>
    </xf>
    <xf numFmtId="0" fontId="40" fillId="0" borderId="35" xfId="0" applyFont="1" applyBorder="1" applyAlignment="1">
      <alignment horizontal="center" vertical="center"/>
    </xf>
    <xf numFmtId="0" fontId="26" fillId="0" borderId="24" xfId="0" applyFont="1" applyBorder="1" applyAlignment="1">
      <alignment horizontal="center" vertical="center"/>
    </xf>
    <xf numFmtId="188" fontId="40" fillId="0" borderId="24" xfId="0" applyNumberFormat="1" applyFont="1" applyBorder="1" applyAlignment="1">
      <alignment horizontal="center" vertical="center"/>
    </xf>
    <xf numFmtId="43" fontId="26" fillId="0" borderId="24" xfId="1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49" fontId="26" fillId="0" borderId="35" xfId="0" applyNumberFormat="1" applyFont="1" applyBorder="1" applyAlignment="1">
      <alignment horizontal="center" vertical="center"/>
    </xf>
    <xf numFmtId="187" fontId="26" fillId="0" borderId="35" xfId="1" applyNumberFormat="1" applyFont="1" applyBorder="1" applyAlignment="1">
      <alignment horizontal="center" vertical="center"/>
    </xf>
    <xf numFmtId="43" fontId="26" fillId="0" borderId="35" xfId="1" applyFont="1" applyBorder="1" applyAlignment="1">
      <alignment horizontal="center" vertical="center"/>
    </xf>
    <xf numFmtId="2" fontId="26" fillId="0" borderId="24" xfId="1" applyNumberFormat="1" applyFont="1" applyBorder="1" applyAlignment="1">
      <alignment horizontal="center" vertical="center"/>
    </xf>
    <xf numFmtId="43" fontId="79" fillId="0" borderId="24" xfId="1" applyFont="1" applyBorder="1" applyAlignment="1">
      <alignment horizontal="right" vertical="center"/>
    </xf>
    <xf numFmtId="188" fontId="8" fillId="0" borderId="16" xfId="0" applyNumberFormat="1" applyFont="1" applyFill="1" applyBorder="1" applyAlignment="1">
      <alignment horizontal="center"/>
    </xf>
    <xf numFmtId="49" fontId="8" fillId="0" borderId="18" xfId="0" applyNumberFormat="1" applyFont="1" applyFill="1" applyBorder="1" applyAlignment="1">
      <alignment horizontal="center"/>
    </xf>
    <xf numFmtId="1" fontId="8" fillId="0" borderId="18" xfId="2" applyNumberFormat="1" applyFont="1" applyFill="1" applyBorder="1" applyAlignment="1">
      <alignment horizontal="center"/>
    </xf>
    <xf numFmtId="2" fontId="8" fillId="0" borderId="18" xfId="2" applyNumberFormat="1" applyFont="1" applyFill="1" applyBorder="1" applyAlignment="1">
      <alignment horizontal="center"/>
    </xf>
    <xf numFmtId="0" fontId="8" fillId="8" borderId="19" xfId="0" applyFont="1" applyFill="1" applyBorder="1" applyAlignment="1">
      <alignment horizontal="center"/>
    </xf>
    <xf numFmtId="0" fontId="12" fillId="8" borderId="20" xfId="0" applyFont="1" applyFill="1" applyBorder="1" applyAlignment="1">
      <alignment horizontal="center"/>
    </xf>
    <xf numFmtId="0" fontId="8" fillId="8" borderId="20" xfId="0" applyFont="1" applyFill="1" applyBorder="1" applyAlignment="1">
      <alignment horizontal="center"/>
    </xf>
    <xf numFmtId="188" fontId="8" fillId="8" borderId="20" xfId="0" applyNumberFormat="1" applyFont="1" applyFill="1" applyBorder="1" applyAlignment="1">
      <alignment horizontal="center"/>
    </xf>
    <xf numFmtId="43" fontId="8" fillId="8" borderId="18" xfId="1" applyFont="1" applyFill="1" applyBorder="1" applyAlignment="1">
      <alignment horizontal="center"/>
    </xf>
    <xf numFmtId="43" fontId="8" fillId="8" borderId="16" xfId="1" applyFont="1" applyFill="1" applyBorder="1" applyAlignment="1">
      <alignment horizontal="center"/>
    </xf>
    <xf numFmtId="43" fontId="8" fillId="8" borderId="22" xfId="1" applyFont="1" applyFill="1" applyBorder="1" applyAlignment="1">
      <alignment horizontal="center"/>
    </xf>
    <xf numFmtId="0" fontId="8" fillId="8" borderId="18" xfId="0" applyFont="1" applyFill="1" applyBorder="1" applyAlignment="1">
      <alignment horizontal="center" vertical="center"/>
    </xf>
    <xf numFmtId="0" fontId="8" fillId="8" borderId="18" xfId="0" applyFont="1" applyFill="1" applyBorder="1" applyAlignment="1">
      <alignment horizontal="center"/>
    </xf>
    <xf numFmtId="2" fontId="8" fillId="8" borderId="18" xfId="0" applyNumberFormat="1" applyFont="1" applyFill="1" applyBorder="1" applyAlignment="1">
      <alignment horizontal="center"/>
    </xf>
    <xf numFmtId="49" fontId="8" fillId="8" borderId="19" xfId="0" applyNumberFormat="1" applyFont="1" applyFill="1" applyBorder="1" applyAlignment="1">
      <alignment horizontal="center"/>
    </xf>
    <xf numFmtId="187" fontId="8" fillId="8" borderId="18" xfId="1" applyNumberFormat="1" applyFont="1" applyFill="1" applyBorder="1" applyAlignment="1">
      <alignment horizontal="center"/>
    </xf>
    <xf numFmtId="1" fontId="9" fillId="8" borderId="19" xfId="1" applyNumberFormat="1" applyFont="1" applyFill="1" applyBorder="1" applyAlignment="1">
      <alignment horizontal="center"/>
    </xf>
    <xf numFmtId="43" fontId="9" fillId="8" borderId="19" xfId="1" applyFont="1" applyFill="1" applyBorder="1" applyAlignment="1">
      <alignment horizontal="center"/>
    </xf>
    <xf numFmtId="43" fontId="8" fillId="8" borderId="19" xfId="1" applyFont="1" applyFill="1" applyBorder="1" applyAlignment="1">
      <alignment horizontal="center"/>
    </xf>
    <xf numFmtId="2" fontId="8" fillId="8" borderId="16" xfId="1" applyNumberFormat="1" applyFont="1" applyFill="1" applyBorder="1" applyAlignment="1">
      <alignment horizontal="center"/>
    </xf>
    <xf numFmtId="43" fontId="8" fillId="8" borderId="26" xfId="1" applyFont="1" applyFill="1" applyBorder="1" applyAlignment="1">
      <alignment horizontal="right" vertical="center"/>
    </xf>
    <xf numFmtId="4" fontId="8" fillId="8" borderId="13" xfId="0" applyNumberFormat="1" applyFont="1" applyFill="1" applyBorder="1" applyAlignment="1">
      <alignment vertical="center"/>
    </xf>
    <xf numFmtId="4" fontId="8" fillId="8" borderId="16" xfId="0" applyNumberFormat="1" applyFont="1" applyFill="1" applyBorder="1" applyAlignment="1">
      <alignment vertical="center"/>
    </xf>
    <xf numFmtId="4" fontId="8" fillId="8" borderId="7" xfId="0" applyNumberFormat="1" applyFont="1" applyFill="1" applyBorder="1" applyAlignment="1">
      <alignment vertical="center"/>
    </xf>
    <xf numFmtId="4" fontId="8" fillId="8" borderId="14" xfId="0" applyNumberFormat="1" applyFont="1" applyFill="1" applyBorder="1" applyAlignment="1">
      <alignment vertical="center"/>
    </xf>
    <xf numFmtId="0" fontId="12" fillId="8" borderId="19" xfId="0" applyFont="1" applyFill="1" applyBorder="1" applyAlignment="1">
      <alignment horizontal="center"/>
    </xf>
    <xf numFmtId="0" fontId="12" fillId="8" borderId="19" xfId="0" applyFont="1" applyFill="1" applyBorder="1" applyAlignment="1">
      <alignment horizontal="center" vertical="center"/>
    </xf>
    <xf numFmtId="0" fontId="15" fillId="8" borderId="0" xfId="0" applyFont="1" applyFill="1" applyAlignment="1">
      <alignment vertical="center"/>
    </xf>
    <xf numFmtId="43" fontId="8" fillId="8" borderId="20" xfId="1" applyFont="1" applyFill="1" applyBorder="1" applyAlignment="1">
      <alignment horizontal="right" vertical="center"/>
    </xf>
    <xf numFmtId="43" fontId="15" fillId="0" borderId="0" xfId="0" applyNumberFormat="1" applyFont="1" applyAlignment="1">
      <alignment vertical="center"/>
    </xf>
    <xf numFmtId="191" fontId="8" fillId="0" borderId="23" xfId="2" applyNumberFormat="1" applyFont="1" applyBorder="1" applyAlignment="1">
      <alignment horizontal="center" shrinkToFit="1"/>
    </xf>
    <xf numFmtId="191" fontId="12" fillId="0" borderId="19" xfId="2" applyNumberFormat="1" applyFont="1" applyBorder="1" applyAlignment="1">
      <alignment horizontal="center" shrinkToFit="1"/>
    </xf>
    <xf numFmtId="0" fontId="22" fillId="4" borderId="1" xfId="0" applyFont="1" applyFill="1" applyBorder="1" applyAlignment="1">
      <alignment horizontal="center" vertical="center" shrinkToFit="1"/>
    </xf>
    <xf numFmtId="2" fontId="16" fillId="0" borderId="23" xfId="0" applyNumberFormat="1" applyFont="1" applyBorder="1" applyAlignment="1">
      <alignment horizontal="center" shrinkToFit="1"/>
    </xf>
    <xf numFmtId="2" fontId="8" fillId="0" borderId="16" xfId="0" applyNumberFormat="1" applyFont="1" applyBorder="1" applyAlignment="1">
      <alignment horizontal="center" shrinkToFit="1"/>
    </xf>
    <xf numFmtId="49" fontId="8" fillId="0" borderId="18" xfId="0" applyNumberFormat="1" applyFont="1" applyBorder="1" applyAlignment="1">
      <alignment horizontal="center" shrinkToFit="1"/>
    </xf>
    <xf numFmtId="49" fontId="8" fillId="2" borderId="18" xfId="0" applyNumberFormat="1" applyFont="1" applyFill="1" applyBorder="1" applyAlignment="1">
      <alignment horizontal="center" vertical="center" shrinkToFit="1"/>
    </xf>
    <xf numFmtId="0" fontId="8" fillId="8" borderId="16" xfId="0" applyFont="1" applyFill="1" applyBorder="1" applyAlignment="1">
      <alignment horizontal="center"/>
    </xf>
    <xf numFmtId="188" fontId="8" fillId="8" borderId="16" xfId="0" applyNumberFormat="1" applyFont="1" applyFill="1" applyBorder="1" applyAlignment="1">
      <alignment horizontal="center"/>
    </xf>
    <xf numFmtId="189" fontId="8" fillId="8" borderId="19" xfId="2" applyFont="1" applyFill="1" applyBorder="1" applyAlignment="1">
      <alignment horizontal="center"/>
    </xf>
    <xf numFmtId="189" fontId="8" fillId="8" borderId="20" xfId="2" applyFont="1" applyFill="1" applyBorder="1" applyAlignment="1">
      <alignment horizontal="center"/>
    </xf>
    <xf numFmtId="189" fontId="8" fillId="8" borderId="25" xfId="2" applyFont="1" applyFill="1" applyBorder="1" applyAlignment="1">
      <alignment horizontal="center"/>
    </xf>
    <xf numFmtId="0" fontId="8" fillId="8" borderId="16" xfId="0" applyFont="1" applyFill="1" applyBorder="1" applyAlignment="1">
      <alignment horizontal="center" vertical="center"/>
    </xf>
    <xf numFmtId="191" fontId="8" fillId="8" borderId="16" xfId="2" applyNumberFormat="1" applyFont="1" applyFill="1" applyBorder="1" applyAlignment="1">
      <alignment horizontal="center" shrinkToFit="1"/>
    </xf>
    <xf numFmtId="49" fontId="8" fillId="8" borderId="18" xfId="0" applyNumberFormat="1" applyFont="1" applyFill="1" applyBorder="1" applyAlignment="1">
      <alignment horizontal="center"/>
    </xf>
    <xf numFmtId="189" fontId="8" fillId="8" borderId="18" xfId="2" applyFont="1" applyFill="1" applyBorder="1" applyAlignment="1">
      <alignment horizontal="center"/>
    </xf>
    <xf numFmtId="1" fontId="8" fillId="8" borderId="18" xfId="2" applyNumberFormat="1" applyFont="1" applyFill="1" applyBorder="1" applyAlignment="1">
      <alignment horizontal="center"/>
    </xf>
    <xf numFmtId="189" fontId="8" fillId="8" borderId="16" xfId="2" applyFont="1" applyFill="1" applyBorder="1" applyAlignment="1">
      <alignment horizontal="center"/>
    </xf>
    <xf numFmtId="2" fontId="8" fillId="8" borderId="16" xfId="2" applyNumberFormat="1" applyFont="1" applyFill="1" applyBorder="1" applyAlignment="1">
      <alignment horizontal="center"/>
    </xf>
    <xf numFmtId="0" fontId="8" fillId="11" borderId="18" xfId="0" applyFont="1" applyFill="1" applyBorder="1" applyAlignment="1">
      <alignment horizontal="center" vertical="center"/>
    </xf>
    <xf numFmtId="0" fontId="8" fillId="11" borderId="16" xfId="0" applyFont="1" applyFill="1" applyBorder="1" applyAlignment="1">
      <alignment horizontal="center"/>
    </xf>
    <xf numFmtId="188" fontId="8" fillId="11" borderId="16" xfId="0" applyNumberFormat="1" applyFont="1" applyFill="1" applyBorder="1" applyAlignment="1">
      <alignment horizontal="center"/>
    </xf>
    <xf numFmtId="189" fontId="8" fillId="11" borderId="18" xfId="2" applyFont="1" applyFill="1" applyBorder="1" applyAlignment="1">
      <alignment horizontal="center"/>
    </xf>
    <xf numFmtId="189" fontId="8" fillId="11" borderId="16" xfId="2" applyFont="1" applyFill="1" applyBorder="1" applyAlignment="1">
      <alignment horizontal="center"/>
    </xf>
    <xf numFmtId="189" fontId="8" fillId="11" borderId="22" xfId="2" applyFont="1" applyFill="1" applyBorder="1" applyAlignment="1">
      <alignment horizontal="center"/>
    </xf>
    <xf numFmtId="0" fontId="8" fillId="11" borderId="18" xfId="0" applyFont="1" applyFill="1" applyBorder="1" applyAlignment="1">
      <alignment horizontal="center"/>
    </xf>
    <xf numFmtId="0" fontId="8" fillId="11" borderId="16" xfId="0" applyFont="1" applyFill="1" applyBorder="1" applyAlignment="1">
      <alignment horizontal="center" vertical="center"/>
    </xf>
    <xf numFmtId="191" fontId="8" fillId="11" borderId="16" xfId="2" applyNumberFormat="1" applyFont="1" applyFill="1" applyBorder="1" applyAlignment="1">
      <alignment horizontal="center" shrinkToFit="1"/>
    </xf>
    <xf numFmtId="49" fontId="8" fillId="11" borderId="18" xfId="0" applyNumberFormat="1" applyFont="1" applyFill="1" applyBorder="1" applyAlignment="1">
      <alignment horizontal="center"/>
    </xf>
    <xf numFmtId="189" fontId="8" fillId="11" borderId="20" xfId="2" applyFont="1" applyFill="1" applyBorder="1" applyAlignment="1">
      <alignment horizontal="center"/>
    </xf>
    <xf numFmtId="1" fontId="8" fillId="11" borderId="26" xfId="2" applyNumberFormat="1" applyFont="1" applyFill="1" applyBorder="1" applyAlignment="1">
      <alignment horizontal="center"/>
    </xf>
    <xf numFmtId="2" fontId="8" fillId="11" borderId="16" xfId="2" applyNumberFormat="1" applyFont="1" applyFill="1" applyBorder="1" applyAlignment="1">
      <alignment horizontal="center"/>
    </xf>
    <xf numFmtId="43" fontId="8" fillId="11" borderId="9" xfId="1" applyFont="1" applyFill="1" applyBorder="1" applyAlignment="1">
      <alignment horizontal="right" vertical="center"/>
    </xf>
    <xf numFmtId="0" fontId="15" fillId="11" borderId="0" xfId="0" applyFont="1" applyFill="1" applyAlignment="1">
      <alignment vertical="center"/>
    </xf>
    <xf numFmtId="0" fontId="12" fillId="11" borderId="19" xfId="0" applyFont="1" applyFill="1" applyBorder="1" applyAlignment="1">
      <alignment horizontal="center" vertical="center"/>
    </xf>
    <xf numFmtId="0" fontId="12" fillId="11" borderId="19" xfId="0" applyFont="1" applyFill="1" applyBorder="1" applyAlignment="1">
      <alignment horizontal="center"/>
    </xf>
    <xf numFmtId="49" fontId="12" fillId="11" borderId="19" xfId="0" applyNumberFormat="1" applyFont="1" applyFill="1" applyBorder="1" applyAlignment="1">
      <alignment horizontal="center"/>
    </xf>
    <xf numFmtId="0" fontId="12" fillId="11" borderId="20" xfId="0" applyFont="1" applyFill="1" applyBorder="1" applyAlignment="1">
      <alignment horizontal="center"/>
    </xf>
    <xf numFmtId="0" fontId="12" fillId="11" borderId="21" xfId="0" applyFont="1" applyFill="1" applyBorder="1" applyAlignment="1">
      <alignment horizontal="center"/>
    </xf>
    <xf numFmtId="2" fontId="12" fillId="11" borderId="19" xfId="0" applyNumberFormat="1" applyFont="1" applyFill="1" applyBorder="1" applyAlignment="1">
      <alignment horizontal="center"/>
    </xf>
    <xf numFmtId="189" fontId="12" fillId="11" borderId="20" xfId="2" applyFont="1" applyFill="1" applyBorder="1" applyAlignment="1">
      <alignment horizontal="center"/>
    </xf>
    <xf numFmtId="189" fontId="12" fillId="11" borderId="21" xfId="2" applyFont="1" applyFill="1" applyBorder="1" applyAlignment="1">
      <alignment horizontal="center"/>
    </xf>
    <xf numFmtId="191" fontId="12" fillId="11" borderId="19" xfId="2" applyNumberFormat="1" applyFont="1" applyFill="1" applyBorder="1" applyAlignment="1">
      <alignment horizontal="center" shrinkToFit="1"/>
    </xf>
    <xf numFmtId="1" fontId="8" fillId="11" borderId="20" xfId="2" applyNumberFormat="1" applyFont="1" applyFill="1" applyBorder="1" applyAlignment="1">
      <alignment horizontal="center"/>
    </xf>
    <xf numFmtId="43" fontId="8" fillId="11" borderId="26" xfId="1" applyFont="1" applyFill="1" applyBorder="1" applyAlignment="1">
      <alignment horizontal="right" vertical="center"/>
    </xf>
    <xf numFmtId="0" fontId="8" fillId="0" borderId="26" xfId="0" applyFont="1" applyBorder="1" applyAlignment="1">
      <alignment horizontal="center" vertical="center"/>
    </xf>
    <xf numFmtId="189" fontId="8" fillId="0" borderId="22" xfId="2" applyFont="1" applyBorder="1" applyAlignment="1">
      <alignment horizontal="center" shrinkToFit="1"/>
    </xf>
    <xf numFmtId="189" fontId="12" fillId="0" borderId="21" xfId="2" applyFont="1" applyBorder="1" applyAlignment="1">
      <alignment horizontal="center" shrinkToFit="1"/>
    </xf>
    <xf numFmtId="189" fontId="91" fillId="0" borderId="20" xfId="2" applyFont="1" applyBorder="1" applyAlignment="1">
      <alignment horizontal="center"/>
    </xf>
    <xf numFmtId="2" fontId="91" fillId="0" borderId="18" xfId="0" applyNumberFormat="1" applyFont="1" applyBorder="1" applyAlignment="1">
      <alignment horizontal="center"/>
    </xf>
    <xf numFmtId="49" fontId="12" fillId="8" borderId="20" xfId="0" applyNumberFormat="1" applyFont="1" applyFill="1" applyBorder="1" applyAlignment="1">
      <alignment horizontal="center" vertical="center"/>
    </xf>
    <xf numFmtId="0" fontId="8" fillId="8" borderId="25" xfId="0" applyFont="1" applyFill="1" applyBorder="1" applyAlignment="1">
      <alignment horizontal="center" vertical="center"/>
    </xf>
    <xf numFmtId="0" fontId="12" fillId="8" borderId="20" xfId="0" applyFont="1" applyFill="1" applyBorder="1" applyAlignment="1">
      <alignment horizontal="center" vertical="center"/>
    </xf>
    <xf numFmtId="0" fontId="12" fillId="8" borderId="21" xfId="0" applyFont="1" applyFill="1" applyBorder="1" applyAlignment="1">
      <alignment horizontal="center" vertical="center"/>
    </xf>
    <xf numFmtId="2" fontId="12" fillId="8" borderId="19" xfId="0" applyNumberFormat="1" applyFont="1" applyFill="1" applyBorder="1" applyAlignment="1">
      <alignment horizontal="center" vertical="center"/>
    </xf>
    <xf numFmtId="43" fontId="8" fillId="8" borderId="18" xfId="1" applyFont="1" applyFill="1" applyBorder="1" applyAlignment="1">
      <alignment horizontal="center" vertical="center"/>
    </xf>
    <xf numFmtId="43" fontId="8" fillId="8" borderId="20" xfId="3" applyFont="1" applyFill="1" applyBorder="1" applyAlignment="1">
      <alignment horizontal="center" vertical="center"/>
    </xf>
    <xf numFmtId="189" fontId="8" fillId="8" borderId="22" xfId="2" applyFont="1" applyFill="1" applyBorder="1" applyAlignment="1">
      <alignment horizontal="center"/>
    </xf>
    <xf numFmtId="49" fontId="12" fillId="8" borderId="19" xfId="0" applyNumberFormat="1" applyFont="1" applyFill="1" applyBorder="1" applyAlignment="1">
      <alignment horizontal="center" vertical="center"/>
    </xf>
    <xf numFmtId="187" fontId="12" fillId="8" borderId="19" xfId="3" applyNumberFormat="1" applyFont="1" applyFill="1" applyBorder="1" applyAlignment="1">
      <alignment horizontal="center" vertical="center"/>
    </xf>
    <xf numFmtId="1" fontId="9" fillId="8" borderId="20" xfId="3" applyNumberFormat="1" applyFont="1" applyFill="1" applyBorder="1" applyAlignment="1">
      <alignment horizontal="center" vertical="center"/>
    </xf>
    <xf numFmtId="43" fontId="9" fillId="8" borderId="20" xfId="1" applyFont="1" applyFill="1" applyBorder="1" applyAlignment="1">
      <alignment horizontal="center"/>
    </xf>
    <xf numFmtId="2" fontId="8" fillId="8" borderId="20" xfId="3" applyNumberFormat="1" applyFont="1" applyFill="1" applyBorder="1" applyAlignment="1">
      <alignment horizontal="center" vertical="center"/>
    </xf>
    <xf numFmtId="43" fontId="8" fillId="8" borderId="2" xfId="1" applyFont="1" applyFill="1" applyBorder="1" applyAlignment="1">
      <alignment horizontal="right" vertical="center"/>
    </xf>
    <xf numFmtId="0" fontId="8" fillId="8" borderId="0" xfId="0" applyFont="1" applyFill="1" applyAlignment="1">
      <alignment vertical="center"/>
    </xf>
    <xf numFmtId="0" fontId="12" fillId="8" borderId="27" xfId="0" applyFont="1" applyFill="1" applyBorder="1" applyAlignment="1">
      <alignment horizontal="center" vertical="center"/>
    </xf>
    <xf numFmtId="0" fontId="12" fillId="8" borderId="16" xfId="0" applyFont="1" applyFill="1" applyBorder="1" applyAlignment="1">
      <alignment horizontal="center" vertical="center"/>
    </xf>
    <xf numFmtId="0" fontId="12" fillId="8" borderId="22" xfId="0" applyFont="1" applyFill="1" applyBorder="1" applyAlignment="1">
      <alignment horizontal="center" vertical="center"/>
    </xf>
    <xf numFmtId="0" fontId="12" fillId="8" borderId="18" xfId="0" applyFont="1" applyFill="1" applyBorder="1" applyAlignment="1">
      <alignment horizontal="center" vertical="center"/>
    </xf>
    <xf numFmtId="2" fontId="12" fillId="8" borderId="18" xfId="0" applyNumberFormat="1" applyFont="1" applyFill="1" applyBorder="1" applyAlignment="1">
      <alignment horizontal="center" vertical="center"/>
    </xf>
    <xf numFmtId="43" fontId="8" fillId="8" borderId="18" xfId="3" applyFont="1" applyFill="1" applyBorder="1" applyAlignment="1">
      <alignment horizontal="center" vertical="center"/>
    </xf>
    <xf numFmtId="43" fontId="8" fillId="8" borderId="16" xfId="3" applyFont="1" applyFill="1" applyBorder="1" applyAlignment="1">
      <alignment horizontal="center" vertical="center"/>
    </xf>
    <xf numFmtId="43" fontId="8" fillId="8" borderId="22" xfId="3" applyFont="1" applyFill="1" applyBorder="1" applyAlignment="1">
      <alignment horizontal="center" vertical="center"/>
    </xf>
    <xf numFmtId="49" fontId="12" fillId="8" borderId="18" xfId="0" applyNumberFormat="1" applyFont="1" applyFill="1" applyBorder="1" applyAlignment="1">
      <alignment horizontal="center" vertical="center"/>
    </xf>
    <xf numFmtId="187" fontId="12" fillId="8" borderId="18" xfId="3" applyNumberFormat="1" applyFont="1" applyFill="1" applyBorder="1" applyAlignment="1">
      <alignment horizontal="center" vertical="center"/>
    </xf>
    <xf numFmtId="1" fontId="9" fillId="8" borderId="16" xfId="3" applyNumberFormat="1" applyFont="1" applyFill="1" applyBorder="1" applyAlignment="1">
      <alignment horizontal="center" vertical="center"/>
    </xf>
    <xf numFmtId="2" fontId="8" fillId="8" borderId="9" xfId="3" applyNumberFormat="1" applyFont="1" applyFill="1" applyBorder="1" applyAlignment="1">
      <alignment horizontal="center" vertical="center"/>
    </xf>
    <xf numFmtId="1" fontId="9" fillId="8" borderId="26" xfId="3" applyNumberFormat="1" applyFont="1" applyFill="1" applyBorder="1" applyAlignment="1">
      <alignment horizontal="center" vertical="center"/>
    </xf>
    <xf numFmtId="2" fontId="8" fillId="8" borderId="26" xfId="3" applyNumberFormat="1" applyFont="1" applyFill="1" applyBorder="1" applyAlignment="1">
      <alignment horizontal="center" vertical="center"/>
    </xf>
    <xf numFmtId="2" fontId="12" fillId="8" borderId="20" xfId="0" applyNumberFormat="1" applyFont="1" applyFill="1" applyBorder="1" applyAlignment="1">
      <alignment horizontal="center" vertical="center"/>
    </xf>
    <xf numFmtId="1" fontId="13" fillId="8" borderId="19" xfId="3" applyNumberFormat="1" applyFont="1" applyFill="1" applyBorder="1" applyAlignment="1">
      <alignment horizontal="center" vertical="center"/>
    </xf>
    <xf numFmtId="2" fontId="12" fillId="8" borderId="20" xfId="3" applyNumberFormat="1" applyFont="1" applyFill="1" applyBorder="1" applyAlignment="1">
      <alignment horizontal="center" vertical="center"/>
    </xf>
    <xf numFmtId="0" fontId="8" fillId="8" borderId="19" xfId="0" applyFont="1" applyFill="1" applyBorder="1" applyAlignment="1">
      <alignment horizontal="center" vertical="center"/>
    </xf>
    <xf numFmtId="0" fontId="8" fillId="8" borderId="21" xfId="0" applyFont="1" applyFill="1" applyBorder="1" applyAlignment="1">
      <alignment horizontal="center"/>
    </xf>
    <xf numFmtId="2" fontId="8" fillId="8" borderId="19" xfId="0" applyNumberFormat="1" applyFont="1" applyFill="1" applyBorder="1" applyAlignment="1">
      <alignment horizontal="center"/>
    </xf>
    <xf numFmtId="187" fontId="8" fillId="8" borderId="19" xfId="2" applyNumberFormat="1" applyFont="1" applyFill="1" applyBorder="1" applyAlignment="1">
      <alignment horizontal="center"/>
    </xf>
    <xf numFmtId="1" fontId="9" fillId="8" borderId="19" xfId="2" applyNumberFormat="1" applyFont="1" applyFill="1" applyBorder="1" applyAlignment="1">
      <alignment horizontal="center"/>
    </xf>
    <xf numFmtId="0" fontId="8" fillId="8" borderId="10" xfId="0" applyFont="1" applyFill="1" applyBorder="1" applyAlignment="1">
      <alignment horizontal="center" vertical="center"/>
    </xf>
    <xf numFmtId="49" fontId="8" fillId="8" borderId="20" xfId="0" applyNumberFormat="1" applyFont="1" applyFill="1" applyBorder="1" applyAlignment="1">
      <alignment horizontal="center" vertical="center"/>
    </xf>
    <xf numFmtId="187" fontId="8" fillId="8" borderId="20" xfId="2" applyNumberFormat="1" applyFont="1" applyFill="1" applyBorder="1" applyAlignment="1">
      <alignment horizontal="center" vertical="center"/>
    </xf>
    <xf numFmtId="2" fontId="8" fillId="8" borderId="26" xfId="2" applyNumberFormat="1" applyFont="1" applyFill="1" applyBorder="1" applyAlignment="1">
      <alignment horizontal="center" vertical="center"/>
    </xf>
    <xf numFmtId="4" fontId="8" fillId="8" borderId="16" xfId="0" applyNumberFormat="1" applyFont="1" applyFill="1" applyBorder="1"/>
    <xf numFmtId="43" fontId="8" fillId="8" borderId="0" xfId="0" applyNumberFormat="1" applyFont="1" applyFill="1"/>
    <xf numFmtId="2" fontId="8" fillId="8" borderId="20" xfId="2" applyNumberFormat="1" applyFont="1" applyFill="1" applyBorder="1" applyAlignment="1">
      <alignment horizontal="center" vertical="center"/>
    </xf>
    <xf numFmtId="49" fontId="8" fillId="8" borderId="20" xfId="0" applyNumberFormat="1" applyFont="1" applyFill="1" applyBorder="1" applyAlignment="1">
      <alignment horizontal="center"/>
    </xf>
    <xf numFmtId="0" fontId="8" fillId="8" borderId="25" xfId="0" applyFont="1" applyFill="1" applyBorder="1" applyAlignment="1">
      <alignment horizontal="center"/>
    </xf>
    <xf numFmtId="189" fontId="8" fillId="8" borderId="20" xfId="2" applyFont="1" applyFill="1" applyBorder="1"/>
    <xf numFmtId="2" fontId="8" fillId="8" borderId="25" xfId="0" applyNumberFormat="1" applyFont="1" applyFill="1" applyBorder="1" applyAlignment="1">
      <alignment horizontal="center"/>
    </xf>
    <xf numFmtId="49" fontId="8" fillId="8" borderId="25" xfId="0" applyNumberFormat="1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13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2" fontId="8" fillId="3" borderId="9" xfId="0" applyNumberFormat="1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13" xfId="0" applyFont="1" applyFill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49" fontId="8" fillId="0" borderId="16" xfId="0" applyNumberFormat="1" applyFont="1" applyBorder="1" applyAlignment="1">
      <alignment horizontal="center" vertical="center"/>
    </xf>
    <xf numFmtId="43" fontId="8" fillId="0" borderId="16" xfId="1" applyFont="1" applyBorder="1" applyAlignment="1">
      <alignment horizontal="center" vertical="center"/>
    </xf>
    <xf numFmtId="2" fontId="8" fillId="0" borderId="16" xfId="1" applyNumberFormat="1" applyFont="1" applyBorder="1" applyAlignment="1">
      <alignment horizontal="center" vertical="center"/>
    </xf>
    <xf numFmtId="2" fontId="8" fillId="0" borderId="16" xfId="0" applyNumberFormat="1" applyFont="1" applyBorder="1" applyAlignment="1">
      <alignment horizontal="center" vertical="center"/>
    </xf>
    <xf numFmtId="0" fontId="8" fillId="8" borderId="15" xfId="0" applyFont="1" applyFill="1" applyBorder="1" applyAlignment="1">
      <alignment horizontal="center"/>
    </xf>
    <xf numFmtId="0" fontId="12" fillId="8" borderId="23" xfId="0" applyFont="1" applyFill="1" applyBorder="1" applyAlignment="1">
      <alignment horizontal="center"/>
    </xf>
    <xf numFmtId="0" fontId="8" fillId="8" borderId="23" xfId="0" applyFont="1" applyFill="1" applyBorder="1" applyAlignment="1">
      <alignment horizontal="center"/>
    </xf>
    <xf numFmtId="188" fontId="8" fillId="8" borderId="23" xfId="0" applyNumberFormat="1" applyFont="1" applyFill="1" applyBorder="1" applyAlignment="1">
      <alignment horizontal="center"/>
    </xf>
    <xf numFmtId="0" fontId="8" fillId="8" borderId="23" xfId="0" applyFont="1" applyFill="1" applyBorder="1" applyAlignment="1">
      <alignment horizontal="center" vertical="center"/>
    </xf>
    <xf numFmtId="2" fontId="8" fillId="8" borderId="23" xfId="0" applyNumberFormat="1" applyFont="1" applyFill="1" applyBorder="1" applyAlignment="1">
      <alignment horizontal="center"/>
    </xf>
    <xf numFmtId="1" fontId="8" fillId="8" borderId="23" xfId="0" applyNumberFormat="1" applyFont="1" applyFill="1" applyBorder="1" applyAlignment="1">
      <alignment horizontal="center"/>
    </xf>
    <xf numFmtId="0" fontId="15" fillId="8" borderId="0" xfId="0" applyFont="1" applyFill="1"/>
    <xf numFmtId="43" fontId="15" fillId="8" borderId="0" xfId="1" applyFont="1" applyFill="1"/>
    <xf numFmtId="2" fontId="8" fillId="8" borderId="16" xfId="0" applyNumberFormat="1" applyFont="1" applyFill="1" applyBorder="1" applyAlignment="1">
      <alignment horizontal="center"/>
    </xf>
    <xf numFmtId="0" fontId="8" fillId="8" borderId="20" xfId="0" applyFont="1" applyFill="1" applyBorder="1" applyAlignment="1">
      <alignment horizontal="center" vertical="center"/>
    </xf>
    <xf numFmtId="188" fontId="92" fillId="0" borderId="18" xfId="0" applyNumberFormat="1" applyFont="1" applyBorder="1" applyAlignment="1">
      <alignment horizontal="center"/>
    </xf>
    <xf numFmtId="2" fontId="91" fillId="0" borderId="19" xfId="0" applyNumberFormat="1" applyFont="1" applyBorder="1" applyAlignment="1">
      <alignment horizontal="center"/>
    </xf>
    <xf numFmtId="2" fontId="91" fillId="0" borderId="29" xfId="0" applyNumberFormat="1" applyFont="1" applyBorder="1" applyAlignment="1">
      <alignment horizontal="center"/>
    </xf>
    <xf numFmtId="0" fontId="92" fillId="0" borderId="9" xfId="0" applyFont="1" applyBorder="1" applyAlignment="1">
      <alignment horizontal="center"/>
    </xf>
    <xf numFmtId="0" fontId="92" fillId="0" borderId="26" xfId="0" applyFont="1" applyBorder="1" applyAlignment="1">
      <alignment horizontal="center"/>
    </xf>
    <xf numFmtId="188" fontId="92" fillId="0" borderId="19" xfId="0" applyNumberFormat="1" applyFont="1" applyBorder="1" applyAlignment="1">
      <alignment horizontal="center"/>
    </xf>
    <xf numFmtId="43" fontId="8" fillId="0" borderId="18" xfId="1" applyNumberFormat="1" applyFont="1" applyBorder="1" applyAlignment="1">
      <alignment horizontal="center"/>
    </xf>
    <xf numFmtId="43" fontId="8" fillId="0" borderId="18" xfId="1" applyNumberFormat="1" applyFont="1" applyBorder="1" applyAlignment="1">
      <alignment horizontal="center" shrinkToFit="1"/>
    </xf>
    <xf numFmtId="2" fontId="92" fillId="0" borderId="20" xfId="0" applyNumberFormat="1" applyFont="1" applyBorder="1" applyAlignment="1">
      <alignment horizontal="center"/>
    </xf>
    <xf numFmtId="4" fontId="8" fillId="0" borderId="15" xfId="1" applyNumberFormat="1" applyFont="1" applyBorder="1" applyAlignment="1">
      <alignment horizontal="center" vertical="center"/>
    </xf>
    <xf numFmtId="43" fontId="8" fillId="0" borderId="41" xfId="1" applyFont="1" applyBorder="1" applyAlignment="1">
      <alignment horizontal="right" vertical="center"/>
    </xf>
    <xf numFmtId="43" fontId="15" fillId="0" borderId="32" xfId="1" applyFont="1" applyBorder="1" applyAlignment="1">
      <alignment vertical="center"/>
    </xf>
    <xf numFmtId="43" fontId="8" fillId="0" borderId="32" xfId="1" applyFont="1" applyBorder="1" applyAlignment="1">
      <alignment vertical="center"/>
    </xf>
    <xf numFmtId="0" fontId="12" fillId="0" borderId="16" xfId="0" applyFont="1" applyFill="1" applyBorder="1" applyAlignment="1">
      <alignment horizontal="center"/>
    </xf>
    <xf numFmtId="188" fontId="12" fillId="0" borderId="16" xfId="0" applyNumberFormat="1" applyFont="1" applyFill="1" applyBorder="1" applyAlignment="1">
      <alignment horizontal="center"/>
    </xf>
    <xf numFmtId="189" fontId="12" fillId="0" borderId="18" xfId="2" applyFont="1" applyFill="1" applyBorder="1" applyAlignment="1">
      <alignment horizontal="center"/>
    </xf>
    <xf numFmtId="189" fontId="12" fillId="0" borderId="22" xfId="2" applyFont="1" applyFill="1" applyBorder="1" applyAlignment="1">
      <alignment horizontal="center"/>
    </xf>
    <xf numFmtId="191" fontId="12" fillId="0" borderId="19" xfId="2" applyNumberFormat="1" applyFont="1" applyFill="1" applyBorder="1" applyAlignment="1">
      <alignment horizontal="center"/>
    </xf>
    <xf numFmtId="189" fontId="12" fillId="0" borderId="16" xfId="2" applyFont="1" applyFill="1" applyBorder="1" applyAlignment="1">
      <alignment horizontal="center" vertical="center"/>
    </xf>
    <xf numFmtId="2" fontId="12" fillId="0" borderId="16" xfId="2" applyNumberFormat="1" applyFont="1" applyFill="1" applyBorder="1" applyAlignment="1">
      <alignment horizontal="center"/>
    </xf>
    <xf numFmtId="43" fontId="15" fillId="0" borderId="0" xfId="0" applyNumberFormat="1" applyFont="1" applyFill="1" applyAlignment="1">
      <alignment vertical="center"/>
    </xf>
    <xf numFmtId="0" fontId="12" fillId="0" borderId="19" xfId="0" applyFont="1" applyFill="1" applyBorder="1" applyAlignment="1">
      <alignment horizontal="center" vertical="center" wrapText="1"/>
    </xf>
    <xf numFmtId="189" fontId="12" fillId="0" borderId="16" xfId="2" applyFont="1" applyFill="1" applyBorder="1" applyAlignment="1">
      <alignment horizontal="right"/>
    </xf>
    <xf numFmtId="0" fontId="3" fillId="0" borderId="0" xfId="0" applyFont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5" fillId="4" borderId="7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/>
    </xf>
    <xf numFmtId="0" fontId="5" fillId="4" borderId="11" xfId="0" applyFont="1" applyFill="1" applyBorder="1" applyAlignment="1">
      <alignment horizontal="center" vertical="center"/>
    </xf>
    <xf numFmtId="0" fontId="5" fillId="4" borderId="12" xfId="0" applyFont="1" applyFill="1" applyBorder="1" applyAlignment="1">
      <alignment horizontal="center" vertical="center"/>
    </xf>
    <xf numFmtId="2" fontId="5" fillId="3" borderId="2" xfId="0" applyNumberFormat="1" applyFont="1" applyFill="1" applyBorder="1" applyAlignment="1">
      <alignment horizontal="center" vertical="center"/>
    </xf>
    <xf numFmtId="2" fontId="5" fillId="3" borderId="9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5" fillId="0" borderId="21" xfId="0" applyFont="1" applyBorder="1" applyAlignment="1">
      <alignment horizontal="center"/>
    </xf>
    <xf numFmtId="43" fontId="9" fillId="0" borderId="16" xfId="1" applyFont="1" applyBorder="1" applyAlignment="1">
      <alignment horizontal="center"/>
    </xf>
    <xf numFmtId="190" fontId="9" fillId="0" borderId="18" xfId="1" applyNumberFormat="1" applyFont="1" applyBorder="1" applyAlignment="1">
      <alignment horizontal="center"/>
    </xf>
    <xf numFmtId="43" fontId="38" fillId="0" borderId="23" xfId="1" applyFont="1" applyBorder="1" applyAlignment="1">
      <alignment horizontal="right"/>
    </xf>
    <xf numFmtId="43" fontId="0" fillId="0" borderId="0" xfId="1" applyFont="1"/>
    <xf numFmtId="2" fontId="5" fillId="0" borderId="19" xfId="0" applyNumberFormat="1" applyFont="1" applyBorder="1" applyAlignment="1">
      <alignment horizontal="center"/>
    </xf>
    <xf numFmtId="187" fontId="6" fillId="0" borderId="19" xfId="1" applyNumberFormat="1" applyFont="1" applyBorder="1" applyAlignment="1">
      <alignment horizontal="center"/>
    </xf>
    <xf numFmtId="43" fontId="6" fillId="0" borderId="19" xfId="1" applyFont="1" applyBorder="1" applyAlignment="1">
      <alignment horizontal="center"/>
    </xf>
    <xf numFmtId="1" fontId="6" fillId="0" borderId="19" xfId="1" applyNumberFormat="1" applyFont="1" applyBorder="1" applyAlignment="1">
      <alignment horizontal="center"/>
    </xf>
    <xf numFmtId="43" fontId="38" fillId="0" borderId="20" xfId="1" applyFont="1" applyBorder="1" applyAlignment="1">
      <alignment horizontal="right"/>
    </xf>
    <xf numFmtId="43" fontId="38" fillId="0" borderId="16" xfId="1" applyFont="1" applyBorder="1" applyAlignment="1">
      <alignment horizontal="right"/>
    </xf>
    <xf numFmtId="0" fontId="77" fillId="0" borderId="26" xfId="0" applyFont="1" applyBorder="1"/>
    <xf numFmtId="49" fontId="6" fillId="0" borderId="18" xfId="0" applyNumberFormat="1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2" fontId="5" fillId="0" borderId="18" xfId="0" applyNumberFormat="1" applyFont="1" applyBorder="1" applyAlignment="1">
      <alignment horizontal="center"/>
    </xf>
    <xf numFmtId="9" fontId="5" fillId="0" borderId="16" xfId="0" applyNumberFormat="1" applyFont="1" applyBorder="1" applyAlignment="1">
      <alignment horizontal="center" vertical="center"/>
    </xf>
    <xf numFmtId="49" fontId="5" fillId="0" borderId="18" xfId="0" applyNumberFormat="1" applyFont="1" applyBorder="1" applyAlignment="1">
      <alignment horizontal="center"/>
    </xf>
    <xf numFmtId="1" fontId="5" fillId="0" borderId="18" xfId="1" applyNumberFormat="1" applyFont="1" applyBorder="1" applyAlignment="1">
      <alignment horizontal="center"/>
    </xf>
    <xf numFmtId="2" fontId="9" fillId="0" borderId="9" xfId="1" applyNumberFormat="1" applyFont="1" applyBorder="1" applyAlignment="1">
      <alignment horizontal="center"/>
    </xf>
    <xf numFmtId="43" fontId="38" fillId="0" borderId="9" xfId="1" applyFont="1" applyBorder="1" applyAlignment="1">
      <alignment horizontal="right"/>
    </xf>
    <xf numFmtId="43" fontId="8" fillId="0" borderId="22" xfId="1" applyFont="1" applyFill="1" applyBorder="1" applyAlignment="1">
      <alignment horizontal="center"/>
    </xf>
    <xf numFmtId="187" fontId="5" fillId="0" borderId="18" xfId="1" applyNumberFormat="1" applyFont="1" applyFill="1" applyBorder="1" applyAlignment="1">
      <alignment horizontal="center"/>
    </xf>
    <xf numFmtId="43" fontId="5" fillId="0" borderId="18" xfId="1" applyFont="1" applyFill="1" applyBorder="1" applyAlignment="1">
      <alignment horizontal="center"/>
    </xf>
    <xf numFmtId="1" fontId="5" fillId="0" borderId="18" xfId="1" applyNumberFormat="1" applyFont="1" applyFill="1" applyBorder="1" applyAlignment="1">
      <alignment horizontal="center"/>
    </xf>
    <xf numFmtId="190" fontId="9" fillId="0" borderId="18" xfId="1" applyNumberFormat="1" applyFont="1" applyFill="1" applyBorder="1" applyAlignment="1">
      <alignment horizontal="center"/>
    </xf>
    <xf numFmtId="2" fontId="9" fillId="0" borderId="16" xfId="1" applyNumberFormat="1" applyFont="1" applyFill="1" applyBorder="1" applyAlignment="1">
      <alignment horizontal="center"/>
    </xf>
    <xf numFmtId="2" fontId="9" fillId="0" borderId="9" xfId="1" applyNumberFormat="1" applyFont="1" applyFill="1" applyBorder="1" applyAlignment="1">
      <alignment horizontal="center"/>
    </xf>
    <xf numFmtId="43" fontId="38" fillId="0" borderId="26" xfId="1" applyFont="1" applyBorder="1" applyAlignment="1">
      <alignment horizontal="right"/>
    </xf>
    <xf numFmtId="2" fontId="9" fillId="0" borderId="20" xfId="1" applyNumberFormat="1" applyFont="1" applyFill="1" applyBorder="1" applyAlignment="1">
      <alignment horizontal="center"/>
    </xf>
    <xf numFmtId="0" fontId="77" fillId="0" borderId="9" xfId="0" applyFont="1" applyBorder="1"/>
    <xf numFmtId="43" fontId="8" fillId="0" borderId="10" xfId="1" applyFont="1" applyFill="1" applyBorder="1" applyAlignment="1">
      <alignment horizontal="center"/>
    </xf>
    <xf numFmtId="0" fontId="0" fillId="0" borderId="20" xfId="0" applyBorder="1"/>
    <xf numFmtId="0" fontId="5" fillId="2" borderId="20" xfId="0" applyFont="1" applyFill="1" applyBorder="1" applyAlignment="1">
      <alignment horizontal="center"/>
    </xf>
    <xf numFmtId="0" fontId="5" fillId="2" borderId="16" xfId="0" applyFont="1" applyFill="1" applyBorder="1" applyAlignment="1">
      <alignment horizontal="center"/>
    </xf>
    <xf numFmtId="0" fontId="13" fillId="2" borderId="20" xfId="0" applyFont="1" applyFill="1" applyBorder="1" applyAlignment="1">
      <alignment horizontal="center"/>
    </xf>
    <xf numFmtId="188" fontId="5" fillId="2" borderId="20" xfId="0" applyNumberFormat="1" applyFont="1" applyFill="1" applyBorder="1" applyAlignment="1">
      <alignment horizontal="center"/>
    </xf>
    <xf numFmtId="43" fontId="9" fillId="2" borderId="16" xfId="1" applyFont="1" applyFill="1" applyBorder="1" applyAlignment="1">
      <alignment horizontal="center"/>
    </xf>
    <xf numFmtId="0" fontId="9" fillId="2" borderId="18" xfId="0" applyFont="1" applyFill="1" applyBorder="1" applyAlignment="1">
      <alignment horizontal="center"/>
    </xf>
    <xf numFmtId="187" fontId="9" fillId="2" borderId="18" xfId="1" applyNumberFormat="1" applyFont="1" applyFill="1" applyBorder="1" applyAlignment="1">
      <alignment horizontal="center"/>
    </xf>
    <xf numFmtId="43" fontId="9" fillId="2" borderId="19" xfId="1" applyFont="1" applyFill="1" applyBorder="1" applyAlignment="1">
      <alignment horizontal="center"/>
    </xf>
    <xf numFmtId="190" fontId="9" fillId="2" borderId="18" xfId="1" applyNumberFormat="1" applyFont="1" applyFill="1" applyBorder="1" applyAlignment="1">
      <alignment horizontal="center"/>
    </xf>
    <xf numFmtId="2" fontId="9" fillId="2" borderId="20" xfId="1" applyNumberFormat="1" applyFont="1" applyFill="1" applyBorder="1" applyAlignment="1">
      <alignment horizontal="center"/>
    </xf>
    <xf numFmtId="0" fontId="0" fillId="2" borderId="20" xfId="0" applyFill="1" applyBorder="1"/>
    <xf numFmtId="0" fontId="0" fillId="2" borderId="0" xfId="0" applyFill="1"/>
    <xf numFmtId="43" fontId="0" fillId="2" borderId="0" xfId="1" applyFont="1" applyFill="1"/>
    <xf numFmtId="0" fontId="6" fillId="0" borderId="22" xfId="0" applyFont="1" applyBorder="1" applyAlignment="1">
      <alignment horizontal="center"/>
    </xf>
    <xf numFmtId="0" fontId="6" fillId="0" borderId="18" xfId="0" applyFont="1" applyBorder="1" applyAlignment="1">
      <alignment horizontal="center"/>
    </xf>
    <xf numFmtId="2" fontId="6" fillId="0" borderId="18" xfId="0" applyNumberFormat="1" applyFont="1" applyBorder="1" applyAlignment="1">
      <alignment horizontal="center"/>
    </xf>
    <xf numFmtId="0" fontId="5" fillId="0" borderId="19" xfId="0" applyFont="1" applyFill="1" applyBorder="1" applyAlignment="1">
      <alignment horizontal="center"/>
    </xf>
    <xf numFmtId="49" fontId="5" fillId="0" borderId="19" xfId="0" applyNumberFormat="1" applyFont="1" applyFill="1" applyBorder="1" applyAlignment="1">
      <alignment horizontal="center"/>
    </xf>
    <xf numFmtId="0" fontId="5" fillId="0" borderId="20" xfId="0" applyFont="1" applyFill="1" applyBorder="1" applyAlignment="1">
      <alignment horizontal="center"/>
    </xf>
    <xf numFmtId="0" fontId="13" fillId="0" borderId="20" xfId="0" applyFont="1" applyFill="1" applyBorder="1" applyAlignment="1">
      <alignment horizontal="center"/>
    </xf>
    <xf numFmtId="0" fontId="5" fillId="0" borderId="21" xfId="0" applyFont="1" applyFill="1" applyBorder="1" applyAlignment="1">
      <alignment horizontal="center"/>
    </xf>
    <xf numFmtId="2" fontId="5" fillId="0" borderId="19" xfId="0" applyNumberFormat="1" applyFont="1" applyFill="1" applyBorder="1" applyAlignment="1">
      <alignment horizontal="center"/>
    </xf>
    <xf numFmtId="0" fontId="5" fillId="0" borderId="18" xfId="0" applyFont="1" applyFill="1" applyBorder="1" applyAlignment="1">
      <alignment horizontal="center"/>
    </xf>
    <xf numFmtId="0" fontId="5" fillId="0" borderId="18" xfId="0" applyFont="1" applyFill="1" applyBorder="1" applyAlignment="1">
      <alignment horizontal="center" vertical="center"/>
    </xf>
    <xf numFmtId="2" fontId="5" fillId="0" borderId="18" xfId="0" applyNumberFormat="1" applyFont="1" applyFill="1" applyBorder="1" applyAlignment="1">
      <alignment horizontal="center"/>
    </xf>
    <xf numFmtId="49" fontId="5" fillId="0" borderId="18" xfId="0" applyNumberFormat="1" applyFont="1" applyFill="1" applyBorder="1" applyAlignment="1">
      <alignment horizontal="center"/>
    </xf>
    <xf numFmtId="43" fontId="38" fillId="0" borderId="16" xfId="1" applyFont="1" applyFill="1" applyBorder="1" applyAlignment="1">
      <alignment horizontal="right"/>
    </xf>
    <xf numFmtId="43" fontId="38" fillId="0" borderId="20" xfId="1" applyFont="1" applyFill="1" applyBorder="1" applyAlignment="1">
      <alignment horizontal="right"/>
    </xf>
    <xf numFmtId="43" fontId="0" fillId="0" borderId="0" xfId="1" applyFont="1" applyFill="1"/>
    <xf numFmtId="0" fontId="0" fillId="0" borderId="0" xfId="0" applyFill="1"/>
    <xf numFmtId="43" fontId="38" fillId="0" borderId="13" xfId="1" applyFont="1" applyBorder="1" applyAlignment="1">
      <alignment horizontal="right"/>
    </xf>
    <xf numFmtId="4" fontId="78" fillId="9" borderId="14" xfId="0" applyNumberFormat="1" applyFont="1" applyFill="1" applyBorder="1"/>
    <xf numFmtId="4" fontId="78" fillId="0" borderId="16" xfId="0" applyNumberFormat="1" applyFont="1" applyBorder="1"/>
    <xf numFmtId="43" fontId="0" fillId="0" borderId="0" xfId="1" applyFont="1" applyAlignment="1">
      <alignment horizontal="center"/>
    </xf>
    <xf numFmtId="43" fontId="0" fillId="0" borderId="42" xfId="1" applyFont="1" applyBorder="1"/>
    <xf numFmtId="43" fontId="0" fillId="0" borderId="0" xfId="0" applyNumberFormat="1"/>
    <xf numFmtId="4" fontId="78" fillId="0" borderId="20" xfId="0" applyNumberFormat="1" applyFont="1" applyBorder="1"/>
    <xf numFmtId="0" fontId="5" fillId="2" borderId="19" xfId="0" applyFont="1" applyFill="1" applyBorder="1" applyAlignment="1">
      <alignment horizontal="center"/>
    </xf>
    <xf numFmtId="49" fontId="5" fillId="2" borderId="19" xfId="0" applyNumberFormat="1" applyFont="1" applyFill="1" applyBorder="1" applyAlignment="1">
      <alignment horizontal="center"/>
    </xf>
    <xf numFmtId="0" fontId="9" fillId="2" borderId="16" xfId="0" applyFont="1" applyFill="1" applyBorder="1" applyAlignment="1">
      <alignment horizontal="center"/>
    </xf>
    <xf numFmtId="2" fontId="9" fillId="2" borderId="16" xfId="1" applyNumberFormat="1" applyFont="1" applyFill="1" applyBorder="1" applyAlignment="1">
      <alignment horizontal="center"/>
    </xf>
    <xf numFmtId="2" fontId="9" fillId="2" borderId="9" xfId="1" applyNumberFormat="1" applyFont="1" applyFill="1" applyBorder="1" applyAlignment="1">
      <alignment horizontal="center"/>
    </xf>
    <xf numFmtId="4" fontId="38" fillId="0" borderId="20" xfId="1" applyNumberFormat="1" applyFont="1" applyBorder="1" applyAlignment="1">
      <alignment horizontal="right"/>
    </xf>
    <xf numFmtId="0" fontId="5" fillId="2" borderId="21" xfId="0" applyFont="1" applyFill="1" applyBorder="1" applyAlignment="1">
      <alignment horizontal="center"/>
    </xf>
    <xf numFmtId="2" fontId="5" fillId="2" borderId="19" xfId="0" applyNumberFormat="1" applyFont="1" applyFill="1" applyBorder="1" applyAlignment="1">
      <alignment horizontal="center"/>
    </xf>
    <xf numFmtId="0" fontId="5" fillId="2" borderId="18" xfId="0" applyFont="1" applyFill="1" applyBorder="1" applyAlignment="1">
      <alignment horizontal="center"/>
    </xf>
    <xf numFmtId="0" fontId="5" fillId="2" borderId="18" xfId="0" applyFont="1" applyFill="1" applyBorder="1" applyAlignment="1">
      <alignment horizontal="center" vertical="center"/>
    </xf>
    <xf numFmtId="2" fontId="5" fillId="2" borderId="18" xfId="0" applyNumberFormat="1" applyFont="1" applyFill="1" applyBorder="1" applyAlignment="1">
      <alignment horizontal="center"/>
    </xf>
    <xf numFmtId="49" fontId="5" fillId="2" borderId="18" xfId="0" applyNumberFormat="1" applyFont="1" applyFill="1" applyBorder="1" applyAlignment="1">
      <alignment horizontal="center"/>
    </xf>
    <xf numFmtId="187" fontId="5" fillId="2" borderId="18" xfId="1" applyNumberFormat="1" applyFont="1" applyFill="1" applyBorder="1" applyAlignment="1">
      <alignment horizontal="center"/>
    </xf>
    <xf numFmtId="43" fontId="5" fillId="2" borderId="18" xfId="1" applyFont="1" applyFill="1" applyBorder="1" applyAlignment="1">
      <alignment horizontal="center"/>
    </xf>
    <xf numFmtId="1" fontId="5" fillId="2" borderId="18" xfId="1" applyNumberFormat="1" applyFont="1" applyFill="1" applyBorder="1" applyAlignment="1">
      <alignment horizontal="center"/>
    </xf>
    <xf numFmtId="4" fontId="78" fillId="2" borderId="16" xfId="0" applyNumberFormat="1" applyFont="1" applyFill="1" applyBorder="1"/>
    <xf numFmtId="2" fontId="5" fillId="0" borderId="10" xfId="0" applyNumberFormat="1" applyFont="1" applyBorder="1" applyAlignment="1">
      <alignment horizontal="center"/>
    </xf>
    <xf numFmtId="4" fontId="78" fillId="0" borderId="9" xfId="0" applyNumberFormat="1" applyFont="1" applyBorder="1"/>
    <xf numFmtId="188" fontId="5" fillId="0" borderId="9" xfId="0" applyNumberFormat="1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43" fontId="38" fillId="0" borderId="24" xfId="1" applyFont="1" applyBorder="1" applyAlignment="1">
      <alignment horizontal="right"/>
    </xf>
    <xf numFmtId="43" fontId="38" fillId="0" borderId="13" xfId="1" applyFont="1" applyBorder="1" applyAlignment="1">
      <alignment horizontal="center"/>
    </xf>
    <xf numFmtId="187" fontId="38" fillId="0" borderId="13" xfId="1" applyNumberFormat="1" applyFont="1" applyFill="1" applyBorder="1" applyAlignment="1">
      <alignment horizontal="center"/>
    </xf>
    <xf numFmtId="43" fontId="38" fillId="0" borderId="13" xfId="1" applyFont="1" applyFill="1" applyBorder="1" applyAlignment="1">
      <alignment horizontal="center"/>
    </xf>
    <xf numFmtId="4" fontId="78" fillId="0" borderId="13" xfId="0" applyNumberFormat="1" applyFont="1" applyBorder="1"/>
    <xf numFmtId="43" fontId="94" fillId="0" borderId="43" xfId="1" applyFont="1" applyBorder="1" applyAlignment="1">
      <alignment horizontal="right"/>
    </xf>
    <xf numFmtId="0" fontId="11" fillId="0" borderId="0" xfId="0" applyFont="1"/>
    <xf numFmtId="0" fontId="95" fillId="0" borderId="0" xfId="0" applyFont="1" applyAlignment="1">
      <alignment horizontal="center"/>
    </xf>
    <xf numFmtId="49" fontId="11" fillId="0" borderId="0" xfId="0" applyNumberFormat="1" applyFont="1"/>
    <xf numFmtId="43" fontId="96" fillId="0" borderId="0" xfId="0" applyNumberFormat="1" applyFont="1"/>
    <xf numFmtId="43" fontId="97" fillId="0" borderId="42" xfId="0" applyNumberFormat="1" applyFont="1" applyBorder="1"/>
    <xf numFmtId="0" fontId="5" fillId="3" borderId="2" xfId="0" applyFont="1" applyFill="1" applyBorder="1"/>
    <xf numFmtId="0" fontId="5" fillId="5" borderId="8" xfId="0" applyFont="1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5" fillId="5" borderId="2" xfId="0" applyFont="1" applyFill="1" applyBorder="1"/>
    <xf numFmtId="43" fontId="6" fillId="6" borderId="2" xfId="1" applyFont="1" applyFill="1" applyBorder="1" applyAlignment="1">
      <alignment horizontal="center"/>
    </xf>
    <xf numFmtId="0" fontId="5" fillId="3" borderId="9" xfId="0" applyFont="1" applyFill="1" applyBorder="1" applyAlignment="1">
      <alignment horizontal="center"/>
    </xf>
    <xf numFmtId="0" fontId="7" fillId="3" borderId="9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2" fontId="5" fillId="4" borderId="2" xfId="0" applyNumberFormat="1" applyFont="1" applyFill="1" applyBorder="1" applyAlignment="1">
      <alignment horizontal="center"/>
    </xf>
    <xf numFmtId="2" fontId="7" fillId="4" borderId="4" xfId="0" applyNumberFormat="1" applyFont="1" applyFill="1" applyBorder="1" applyAlignment="1">
      <alignment horizontal="center"/>
    </xf>
    <xf numFmtId="0" fontId="7" fillId="4" borderId="2" xfId="0" applyFont="1" applyFill="1" applyBorder="1" applyAlignment="1">
      <alignment horizontal="center"/>
    </xf>
    <xf numFmtId="0" fontId="5" fillId="4" borderId="10" xfId="0" applyFont="1" applyFill="1" applyBorder="1" applyAlignment="1">
      <alignment horizontal="center"/>
    </xf>
    <xf numFmtId="0" fontId="5" fillId="5" borderId="10" xfId="0" applyFont="1" applyFill="1" applyBorder="1" applyAlignment="1">
      <alignment horizontal="center"/>
    </xf>
    <xf numFmtId="0" fontId="5" fillId="5" borderId="9" xfId="0" applyFont="1" applyFill="1" applyBorder="1" applyAlignment="1">
      <alignment horizontal="center"/>
    </xf>
    <xf numFmtId="2" fontId="7" fillId="3" borderId="9" xfId="0" applyNumberFormat="1" applyFont="1" applyFill="1" applyBorder="1" applyAlignment="1">
      <alignment horizontal="center"/>
    </xf>
    <xf numFmtId="2" fontId="5" fillId="3" borderId="9" xfId="0" applyNumberFormat="1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/>
    </xf>
    <xf numFmtId="0" fontId="7" fillId="4" borderId="9" xfId="0" applyFont="1" applyFill="1" applyBorder="1" applyAlignment="1">
      <alignment horizontal="center"/>
    </xf>
    <xf numFmtId="2" fontId="7" fillId="4" borderId="9" xfId="0" applyNumberFormat="1" applyFont="1" applyFill="1" applyBorder="1" applyAlignment="1">
      <alignment horizontal="center"/>
    </xf>
    <xf numFmtId="2" fontId="7" fillId="4" borderId="0" xfId="0" applyNumberFormat="1" applyFont="1" applyFill="1" applyAlignment="1">
      <alignment horizontal="center"/>
    </xf>
    <xf numFmtId="0" fontId="7" fillId="4" borderId="8" xfId="0" applyFont="1" applyFill="1" applyBorder="1" applyAlignment="1">
      <alignment horizontal="center"/>
    </xf>
    <xf numFmtId="0" fontId="5" fillId="4" borderId="8" xfId="0" applyFont="1" applyFill="1" applyBorder="1" applyAlignment="1">
      <alignment horizontal="center"/>
    </xf>
    <xf numFmtId="0" fontId="7" fillId="4" borderId="10" xfId="0" applyFont="1" applyFill="1" applyBorder="1" applyAlignment="1">
      <alignment horizontal="center"/>
    </xf>
    <xf numFmtId="2" fontId="5" fillId="5" borderId="9" xfId="0" applyNumberFormat="1" applyFont="1" applyFill="1" applyBorder="1" applyAlignment="1">
      <alignment horizontal="center"/>
    </xf>
    <xf numFmtId="43" fontId="6" fillId="6" borderId="9" xfId="1" applyFont="1" applyFill="1" applyBorder="1" applyAlignment="1">
      <alignment horizontal="center"/>
    </xf>
    <xf numFmtId="0" fontId="5" fillId="3" borderId="13" xfId="0" applyFont="1" applyFill="1" applyBorder="1"/>
    <xf numFmtId="0" fontId="5" fillId="3" borderId="13" xfId="0" applyFont="1" applyFill="1" applyBorder="1" applyAlignment="1">
      <alignment horizontal="center"/>
    </xf>
    <xf numFmtId="2" fontId="7" fillId="3" borderId="13" xfId="0" applyNumberFormat="1" applyFont="1" applyFill="1" applyBorder="1" applyAlignment="1">
      <alignment horizontal="center"/>
    </xf>
    <xf numFmtId="2" fontId="5" fillId="3" borderId="13" xfId="0" applyNumberFormat="1" applyFont="1" applyFill="1" applyBorder="1" applyAlignment="1">
      <alignment horizontal="center"/>
    </xf>
    <xf numFmtId="0" fontId="5" fillId="4" borderId="13" xfId="0" applyFont="1" applyFill="1" applyBorder="1" applyAlignment="1">
      <alignment horizontal="center"/>
    </xf>
    <xf numFmtId="0" fontId="7" fillId="4" borderId="13" xfId="0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2" fontId="7" fillId="4" borderId="13" xfId="0" applyNumberFormat="1" applyFont="1" applyFill="1" applyBorder="1" applyAlignment="1">
      <alignment horizontal="center"/>
    </xf>
    <xf numFmtId="2" fontId="5" fillId="4" borderId="13" xfId="0" applyNumberFormat="1" applyFont="1" applyFill="1" applyBorder="1" applyAlignment="1">
      <alignment horizontal="center"/>
    </xf>
    <xf numFmtId="2" fontId="5" fillId="4" borderId="11" xfId="0" applyNumberFormat="1" applyFont="1" applyFill="1" applyBorder="1" applyAlignment="1">
      <alignment horizontal="center"/>
    </xf>
    <xf numFmtId="2" fontId="5" fillId="5" borderId="11" xfId="0" applyNumberFormat="1" applyFont="1" applyFill="1" applyBorder="1" applyAlignment="1">
      <alignment horizontal="center"/>
    </xf>
    <xf numFmtId="2" fontId="5" fillId="5" borderId="13" xfId="0" applyNumberFormat="1" applyFont="1" applyFill="1" applyBorder="1" applyAlignment="1">
      <alignment horizontal="center"/>
    </xf>
    <xf numFmtId="43" fontId="38" fillId="0" borderId="44" xfId="1" applyFont="1" applyBorder="1" applyAlignment="1">
      <alignment horizontal="right"/>
    </xf>
    <xf numFmtId="0" fontId="0" fillId="0" borderId="26" xfId="0" applyBorder="1"/>
    <xf numFmtId="43" fontId="8" fillId="0" borderId="45" xfId="1" applyFont="1" applyBorder="1" applyAlignment="1">
      <alignment horizontal="center"/>
    </xf>
    <xf numFmtId="2" fontId="9" fillId="0" borderId="43" xfId="1" applyNumberFormat="1" applyFont="1" applyBorder="1" applyAlignment="1">
      <alignment horizontal="center"/>
    </xf>
    <xf numFmtId="43" fontId="38" fillId="0" borderId="43" xfId="1" applyFont="1" applyBorder="1" applyAlignment="1">
      <alignment horizontal="right"/>
    </xf>
    <xf numFmtId="0" fontId="4" fillId="0" borderId="0" xfId="0" applyFont="1" applyAlignment="1">
      <alignment vertical="center"/>
    </xf>
    <xf numFmtId="0" fontId="0" fillId="8" borderId="2" xfId="0" applyFill="1" applyBorder="1"/>
    <xf numFmtId="0" fontId="0" fillId="7" borderId="9" xfId="0" applyFill="1" applyBorder="1"/>
    <xf numFmtId="43" fontId="8" fillId="0" borderId="11" xfId="1" applyFont="1" applyFill="1" applyBorder="1" applyAlignment="1">
      <alignment horizontal="center"/>
    </xf>
    <xf numFmtId="2" fontId="9" fillId="0" borderId="13" xfId="1" applyNumberFormat="1" applyFont="1" applyFill="1" applyBorder="1" applyAlignment="1">
      <alignment horizontal="center"/>
    </xf>
    <xf numFmtId="43" fontId="38" fillId="0" borderId="13" xfId="0" applyNumberFormat="1" applyFont="1" applyBorder="1" applyAlignment="1">
      <alignment horizontal="center"/>
    </xf>
    <xf numFmtId="4" fontId="38" fillId="0" borderId="13" xfId="1" applyNumberFormat="1" applyFont="1" applyBorder="1" applyAlignment="1">
      <alignment horizontal="right"/>
    </xf>
    <xf numFmtId="2" fontId="8" fillId="0" borderId="0" xfId="0" applyNumberFormat="1" applyFont="1" applyAlignment="1">
      <alignment horizontal="center"/>
    </xf>
    <xf numFmtId="43" fontId="8" fillId="0" borderId="0" xfId="1" applyFont="1" applyFill="1" applyBorder="1" applyAlignment="1">
      <alignment horizontal="center"/>
    </xf>
    <xf numFmtId="43" fontId="38" fillId="0" borderId="0" xfId="1" applyFont="1" applyBorder="1" applyAlignment="1">
      <alignment horizontal="center"/>
    </xf>
    <xf numFmtId="187" fontId="38" fillId="0" borderId="0" xfId="1" applyNumberFormat="1" applyFont="1" applyFill="1" applyBorder="1" applyAlignment="1">
      <alignment horizontal="center"/>
    </xf>
    <xf numFmtId="1" fontId="8" fillId="0" borderId="0" xfId="1" applyNumberFormat="1" applyFont="1" applyFill="1" applyBorder="1" applyAlignment="1">
      <alignment horizontal="center"/>
    </xf>
    <xf numFmtId="43" fontId="38" fillId="0" borderId="0" xfId="1" applyFont="1" applyFill="1" applyBorder="1" applyAlignment="1">
      <alignment horizontal="center"/>
    </xf>
    <xf numFmtId="43" fontId="38" fillId="0" borderId="0" xfId="0" applyNumberFormat="1" applyFont="1" applyAlignment="1">
      <alignment horizontal="center"/>
    </xf>
    <xf numFmtId="4" fontId="38" fillId="0" borderId="0" xfId="1" applyNumberFormat="1" applyFont="1" applyBorder="1" applyAlignment="1">
      <alignment horizontal="right"/>
    </xf>
    <xf numFmtId="43" fontId="38" fillId="0" borderId="0" xfId="1" applyFont="1" applyBorder="1" applyAlignment="1">
      <alignment horizontal="right"/>
    </xf>
    <xf numFmtId="4" fontId="78" fillId="0" borderId="0" xfId="0" applyNumberFormat="1" applyFont="1"/>
    <xf numFmtId="0" fontId="5" fillId="0" borderId="0" xfId="0" applyFont="1" applyAlignment="1">
      <alignment horizontal="center"/>
    </xf>
    <xf numFmtId="49" fontId="5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2" fontId="5" fillId="0" borderId="0" xfId="0" applyNumberFormat="1" applyFont="1" applyAlignment="1">
      <alignment horizontal="center"/>
    </xf>
    <xf numFmtId="43" fontId="9" fillId="0" borderId="0" xfId="1" applyFont="1" applyFill="1" applyBorder="1" applyAlignment="1">
      <alignment horizontal="center"/>
    </xf>
    <xf numFmtId="43" fontId="5" fillId="0" borderId="0" xfId="0" applyNumberFormat="1" applyFont="1" applyAlignment="1">
      <alignment horizontal="center"/>
    </xf>
    <xf numFmtId="187" fontId="5" fillId="0" borderId="0" xfId="1" applyNumberFormat="1" applyFont="1" applyFill="1" applyBorder="1" applyAlignment="1">
      <alignment horizontal="center"/>
    </xf>
    <xf numFmtId="43" fontId="5" fillId="0" borderId="0" xfId="1" applyFont="1" applyFill="1" applyBorder="1" applyAlignment="1">
      <alignment horizontal="center"/>
    </xf>
    <xf numFmtId="1" fontId="5" fillId="0" borderId="0" xfId="1" applyNumberFormat="1" applyFont="1" applyFill="1" applyBorder="1" applyAlignment="1">
      <alignment horizontal="center"/>
    </xf>
    <xf numFmtId="0" fontId="5" fillId="0" borderId="35" xfId="0" applyFont="1" applyBorder="1" applyAlignment="1">
      <alignment horizontal="center"/>
    </xf>
    <xf numFmtId="0" fontId="0" fillId="0" borderId="34" xfId="0" applyBorder="1"/>
    <xf numFmtId="49" fontId="5" fillId="0" borderId="35" xfId="0" applyNumberFormat="1" applyFont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9" fillId="0" borderId="24" xfId="0" applyFont="1" applyBorder="1" applyAlignment="1">
      <alignment horizontal="center"/>
    </xf>
    <xf numFmtId="0" fontId="5" fillId="0" borderId="34" xfId="0" applyFont="1" applyBorder="1" applyAlignment="1">
      <alignment horizontal="center"/>
    </xf>
    <xf numFmtId="2" fontId="5" fillId="0" borderId="35" xfId="0" applyNumberFormat="1" applyFont="1" applyBorder="1" applyAlignment="1">
      <alignment horizontal="center"/>
    </xf>
    <xf numFmtId="43" fontId="8" fillId="0" borderId="35" xfId="1" applyFont="1" applyFill="1" applyBorder="1" applyAlignment="1">
      <alignment horizontal="center"/>
    </xf>
    <xf numFmtId="43" fontId="9" fillId="0" borderId="24" xfId="1" applyFont="1" applyFill="1" applyBorder="1" applyAlignment="1">
      <alignment horizontal="center"/>
    </xf>
    <xf numFmtId="0" fontId="5" fillId="0" borderId="35" xfId="0" applyFont="1" applyBorder="1" applyAlignment="1">
      <alignment horizontal="center" vertical="center"/>
    </xf>
    <xf numFmtId="187" fontId="5" fillId="0" borderId="35" xfId="1" applyNumberFormat="1" applyFont="1" applyFill="1" applyBorder="1" applyAlignment="1">
      <alignment horizontal="center"/>
    </xf>
    <xf numFmtId="43" fontId="5" fillId="0" borderId="35" xfId="1" applyFont="1" applyFill="1" applyBorder="1" applyAlignment="1">
      <alignment horizontal="center"/>
    </xf>
    <xf numFmtId="1" fontId="5" fillId="0" borderId="35" xfId="1" applyNumberFormat="1" applyFont="1" applyFill="1" applyBorder="1" applyAlignment="1">
      <alignment horizontal="center"/>
    </xf>
    <xf numFmtId="190" fontId="9" fillId="0" borderId="24" xfId="1" applyNumberFormat="1" applyFont="1" applyFill="1" applyBorder="1" applyAlignment="1">
      <alignment horizontal="center"/>
    </xf>
    <xf numFmtId="4" fontId="38" fillId="0" borderId="43" xfId="1" applyNumberFormat="1" applyFont="1" applyBorder="1" applyAlignment="1">
      <alignment horizontal="right"/>
    </xf>
    <xf numFmtId="43" fontId="5" fillId="0" borderId="0" xfId="1" applyFont="1" applyAlignment="1">
      <alignment horizontal="center"/>
    </xf>
    <xf numFmtId="190" fontId="9" fillId="0" borderId="0" xfId="1" applyNumberFormat="1" applyFont="1" applyFill="1" applyBorder="1" applyAlignment="1">
      <alignment horizontal="center"/>
    </xf>
    <xf numFmtId="2" fontId="9" fillId="0" borderId="0" xfId="1" applyNumberFormat="1" applyFont="1" applyFill="1" applyBorder="1" applyAlignment="1">
      <alignment horizontal="center"/>
    </xf>
    <xf numFmtId="43" fontId="6" fillId="0" borderId="0" xfId="1" applyFont="1" applyAlignment="1">
      <alignment horizontal="center"/>
    </xf>
    <xf numFmtId="0" fontId="6" fillId="0" borderId="0" xfId="0" applyFont="1" applyAlignment="1">
      <alignment horizontal="center"/>
    </xf>
    <xf numFmtId="43" fontId="6" fillId="0" borderId="0" xfId="1" applyFont="1" applyBorder="1" applyAlignment="1">
      <alignment horizontal="center"/>
    </xf>
    <xf numFmtId="1" fontId="6" fillId="0" borderId="0" xfId="1" applyNumberFormat="1" applyFont="1" applyBorder="1" applyAlignment="1">
      <alignment horizontal="center"/>
    </xf>
    <xf numFmtId="43" fontId="9" fillId="0" borderId="0" xfId="1" applyFont="1" applyBorder="1" applyAlignment="1">
      <alignment horizontal="center"/>
    </xf>
    <xf numFmtId="190" fontId="9" fillId="0" borderId="0" xfId="1" applyNumberFormat="1" applyFont="1" applyBorder="1" applyAlignment="1">
      <alignment horizontal="center"/>
    </xf>
    <xf numFmtId="0" fontId="13" fillId="0" borderId="0" xfId="0" applyFont="1" applyAlignment="1">
      <alignment horizontal="center"/>
    </xf>
    <xf numFmtId="187" fontId="6" fillId="0" borderId="0" xfId="1" applyNumberFormat="1" applyFont="1" applyBorder="1" applyAlignment="1">
      <alignment horizontal="center"/>
    </xf>
    <xf numFmtId="43" fontId="2" fillId="2" borderId="0" xfId="0" applyNumberFormat="1" applyFont="1" applyFill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43" fontId="38" fillId="0" borderId="35" xfId="1" applyFont="1" applyBorder="1" applyAlignment="1">
      <alignment horizontal="center"/>
    </xf>
    <xf numFmtId="43" fontId="38" fillId="0" borderId="34" xfId="1" applyFont="1" applyBorder="1" applyAlignment="1">
      <alignment horizontal="center"/>
    </xf>
    <xf numFmtId="43" fontId="38" fillId="0" borderId="36" xfId="1" applyFont="1" applyBorder="1" applyAlignment="1">
      <alignment horizontal="center"/>
    </xf>
    <xf numFmtId="2" fontId="9" fillId="0" borderId="43" xfId="1" applyNumberFormat="1" applyFont="1" applyFill="1" applyBorder="1" applyAlignment="1">
      <alignment horizontal="center"/>
    </xf>
    <xf numFmtId="0" fontId="5" fillId="0" borderId="19" xfId="0" quotePrefix="1" applyFont="1" applyBorder="1" applyAlignment="1">
      <alignment horizontal="center"/>
    </xf>
    <xf numFmtId="43" fontId="99" fillId="0" borderId="0" xfId="1" applyFont="1"/>
    <xf numFmtId="43" fontId="0" fillId="0" borderId="42" xfId="0" applyNumberFormat="1" applyBorder="1"/>
    <xf numFmtId="43" fontId="38" fillId="0" borderId="46" xfId="1" applyFont="1" applyBorder="1" applyAlignment="1">
      <alignment horizontal="right"/>
    </xf>
    <xf numFmtId="9" fontId="96" fillId="0" borderId="0" xfId="0" applyNumberFormat="1" applyFont="1"/>
    <xf numFmtId="0" fontId="8" fillId="4" borderId="4" xfId="0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11" xfId="0" applyFont="1" applyFill="1" applyBorder="1" applyAlignment="1">
      <alignment horizontal="center" vertical="center"/>
    </xf>
    <xf numFmtId="0" fontId="8" fillId="4" borderId="12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2" fontId="8" fillId="3" borderId="2" xfId="0" applyNumberFormat="1" applyFont="1" applyFill="1" applyBorder="1" applyAlignment="1">
      <alignment horizontal="center" vertical="center"/>
    </xf>
    <xf numFmtId="2" fontId="8" fillId="3" borderId="9" xfId="0" applyNumberFormat="1" applyFont="1" applyFill="1" applyBorder="1" applyAlignment="1">
      <alignment horizontal="center" vertical="center"/>
    </xf>
    <xf numFmtId="49" fontId="31" fillId="0" borderId="0" xfId="0" applyNumberFormat="1" applyFont="1" applyAlignment="1">
      <alignment horizontal="right" vertical="center"/>
    </xf>
    <xf numFmtId="49" fontId="23" fillId="0" borderId="0" xfId="0" applyNumberFormat="1" applyFont="1" applyAlignment="1">
      <alignment horizontal="center" vertical="center"/>
    </xf>
    <xf numFmtId="0" fontId="8" fillId="3" borderId="13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3" borderId="12" xfId="0" applyFont="1" applyFill="1" applyBorder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5" fillId="4" borderId="7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/>
    </xf>
    <xf numFmtId="0" fontId="5" fillId="4" borderId="11" xfId="0" applyFont="1" applyFill="1" applyBorder="1" applyAlignment="1">
      <alignment horizontal="center" vertical="center"/>
    </xf>
    <xf numFmtId="0" fontId="5" fillId="4" borderId="12" xfId="0" applyFont="1" applyFill="1" applyBorder="1" applyAlignment="1">
      <alignment horizontal="center" vertical="center"/>
    </xf>
    <xf numFmtId="2" fontId="5" fillId="3" borderId="2" xfId="0" applyNumberFormat="1" applyFont="1" applyFill="1" applyBorder="1" applyAlignment="1">
      <alignment horizontal="center" vertical="center"/>
    </xf>
    <xf numFmtId="2" fontId="5" fillId="3" borderId="9" xfId="0" applyNumberFormat="1" applyFont="1" applyFill="1" applyBorder="1" applyAlignment="1">
      <alignment horizontal="center" vertical="center"/>
    </xf>
    <xf numFmtId="49" fontId="36" fillId="0" borderId="0" xfId="0" applyNumberFormat="1" applyFont="1" applyAlignment="1">
      <alignment horizontal="right" vertical="center"/>
    </xf>
    <xf numFmtId="49" fontId="39" fillId="0" borderId="0" xfId="0" applyNumberFormat="1" applyFont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13" xfId="0" applyFont="1" applyFill="1" applyBorder="1" applyAlignment="1">
      <alignment horizontal="center" vertical="center"/>
    </xf>
    <xf numFmtId="49" fontId="30" fillId="0" borderId="0" xfId="0" applyNumberFormat="1" applyFont="1" applyAlignment="1">
      <alignment horizontal="right" vertical="center"/>
    </xf>
    <xf numFmtId="49" fontId="8" fillId="0" borderId="0" xfId="0" applyNumberFormat="1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66" fillId="0" borderId="1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49" fontId="31" fillId="0" borderId="4" xfId="0" applyNumberFormat="1" applyFont="1" applyBorder="1" applyAlignment="1">
      <alignment horizontal="right" vertical="center"/>
    </xf>
    <xf numFmtId="49" fontId="23" fillId="0" borderId="4" xfId="0" applyNumberFormat="1" applyFont="1" applyBorder="1" applyAlignment="1">
      <alignment horizontal="center" vertical="center"/>
    </xf>
    <xf numFmtId="0" fontId="47" fillId="3" borderId="2" xfId="0" applyFont="1" applyFill="1" applyBorder="1" applyAlignment="1">
      <alignment horizontal="center" vertical="center"/>
    </xf>
    <xf numFmtId="0" fontId="47" fillId="3" borderId="9" xfId="0" applyFont="1" applyFill="1" applyBorder="1" applyAlignment="1">
      <alignment horizontal="center" vertical="center"/>
    </xf>
    <xf numFmtId="0" fontId="43" fillId="2" borderId="0" xfId="0" applyFont="1" applyFill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7" fillId="3" borderId="13" xfId="0" applyFont="1" applyFill="1" applyBorder="1" applyAlignment="1">
      <alignment horizontal="center" vertical="center"/>
    </xf>
    <xf numFmtId="0" fontId="47" fillId="3" borderId="3" xfId="0" applyFont="1" applyFill="1" applyBorder="1" applyAlignment="1">
      <alignment horizontal="center" vertical="center"/>
    </xf>
    <xf numFmtId="0" fontId="47" fillId="3" borderId="4" xfId="0" applyFont="1" applyFill="1" applyBorder="1" applyAlignment="1">
      <alignment horizontal="center" vertical="center"/>
    </xf>
    <xf numFmtId="0" fontId="47" fillId="3" borderId="5" xfId="0" applyFont="1" applyFill="1" applyBorder="1" applyAlignment="1">
      <alignment horizontal="center" vertical="center"/>
    </xf>
    <xf numFmtId="0" fontId="47" fillId="4" borderId="4" xfId="0" applyFont="1" applyFill="1" applyBorder="1" applyAlignment="1">
      <alignment horizontal="center" vertical="center"/>
    </xf>
    <xf numFmtId="0" fontId="47" fillId="4" borderId="3" xfId="0" applyFont="1" applyFill="1" applyBorder="1" applyAlignment="1">
      <alignment horizontal="center" vertical="center"/>
    </xf>
    <xf numFmtId="0" fontId="47" fillId="4" borderId="7" xfId="0" applyFont="1" applyFill="1" applyBorder="1" applyAlignment="1">
      <alignment horizontal="center" vertical="center"/>
    </xf>
    <xf numFmtId="0" fontId="47" fillId="3" borderId="8" xfId="0" applyFont="1" applyFill="1" applyBorder="1" applyAlignment="1">
      <alignment horizontal="center" vertical="center"/>
    </xf>
    <xf numFmtId="0" fontId="47" fillId="3" borderId="11" xfId="0" applyFont="1" applyFill="1" applyBorder="1" applyAlignment="1">
      <alignment horizontal="center" vertical="center"/>
    </xf>
    <xf numFmtId="0" fontId="47" fillId="3" borderId="1" xfId="0" applyFont="1" applyFill="1" applyBorder="1" applyAlignment="1">
      <alignment horizontal="center" vertical="center"/>
    </xf>
    <xf numFmtId="0" fontId="47" fillId="3" borderId="12" xfId="0" applyFont="1" applyFill="1" applyBorder="1" applyAlignment="1">
      <alignment horizontal="center" vertical="center"/>
    </xf>
    <xf numFmtId="0" fontId="47" fillId="4" borderId="0" xfId="0" applyFont="1" applyFill="1" applyAlignment="1">
      <alignment horizontal="center" vertical="center"/>
    </xf>
    <xf numFmtId="0" fontId="47" fillId="4" borderId="1" xfId="0" applyFont="1" applyFill="1" applyBorder="1" applyAlignment="1">
      <alignment horizontal="center" vertical="center"/>
    </xf>
    <xf numFmtId="0" fontId="47" fillId="4" borderId="8" xfId="0" applyFont="1" applyFill="1" applyBorder="1" applyAlignment="1">
      <alignment horizontal="center" vertical="center"/>
    </xf>
    <xf numFmtId="0" fontId="47" fillId="4" borderId="5" xfId="0" applyFont="1" applyFill="1" applyBorder="1" applyAlignment="1">
      <alignment horizontal="center" vertical="center"/>
    </xf>
    <xf numFmtId="0" fontId="47" fillId="4" borderId="11" xfId="0" applyFont="1" applyFill="1" applyBorder="1" applyAlignment="1">
      <alignment horizontal="center" vertical="center"/>
    </xf>
    <xf numFmtId="0" fontId="47" fillId="4" borderId="12" xfId="0" applyFont="1" applyFill="1" applyBorder="1" applyAlignment="1">
      <alignment horizontal="center" vertical="center"/>
    </xf>
    <xf numFmtId="2" fontId="47" fillId="3" borderId="2" xfId="0" applyNumberFormat="1" applyFont="1" applyFill="1" applyBorder="1" applyAlignment="1">
      <alignment horizontal="center" vertical="center"/>
    </xf>
    <xf numFmtId="2" fontId="47" fillId="3" borderId="9" xfId="0" applyNumberFormat="1" applyFont="1" applyFill="1" applyBorder="1" applyAlignment="1">
      <alignment horizontal="center" vertical="center"/>
    </xf>
    <xf numFmtId="49" fontId="45" fillId="0" borderId="0" xfId="0" applyNumberFormat="1" applyFont="1" applyAlignment="1">
      <alignment horizontal="right" vertical="center"/>
    </xf>
    <xf numFmtId="49" fontId="50" fillId="0" borderId="0" xfId="0" applyNumberFormat="1" applyFont="1" applyAlignment="1">
      <alignment horizontal="center" vertical="center"/>
    </xf>
    <xf numFmtId="0" fontId="66" fillId="0" borderId="12" xfId="0" applyFont="1" applyBorder="1" applyAlignment="1">
      <alignment horizontal="center" vertical="center"/>
    </xf>
    <xf numFmtId="49" fontId="10" fillId="0" borderId="0" xfId="0" applyNumberFormat="1" applyFont="1" applyAlignment="1">
      <alignment horizontal="right" vertical="center"/>
    </xf>
    <xf numFmtId="49" fontId="11" fillId="0" borderId="0" xfId="0" applyNumberFormat="1" applyFont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60" fillId="2" borderId="1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63" fillId="0" borderId="1" xfId="0" applyFont="1" applyBorder="1" applyAlignment="1">
      <alignment horizontal="center" vertical="center"/>
    </xf>
    <xf numFmtId="49" fontId="24" fillId="0" borderId="0" xfId="0" applyNumberFormat="1" applyFont="1" applyAlignment="1">
      <alignment horizontal="right" vertical="center"/>
    </xf>
    <xf numFmtId="49" fontId="25" fillId="0" borderId="0" xfId="0" applyNumberFormat="1" applyFont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49" fontId="24" fillId="2" borderId="0" xfId="0" applyNumberFormat="1" applyFont="1" applyFill="1" applyAlignment="1">
      <alignment horizontal="right" vertical="center"/>
    </xf>
    <xf numFmtId="49" fontId="25" fillId="2" borderId="0" xfId="0" applyNumberFormat="1" applyFont="1" applyFill="1" applyAlignment="1">
      <alignment horizontal="center" vertical="center"/>
    </xf>
    <xf numFmtId="0" fontId="69" fillId="0" borderId="1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49" fontId="24" fillId="0" borderId="4" xfId="0" applyNumberFormat="1" applyFont="1" applyBorder="1" applyAlignment="1">
      <alignment horizontal="right" vertical="center"/>
    </xf>
    <xf numFmtId="49" fontId="25" fillId="0" borderId="4" xfId="0" applyNumberFormat="1" applyFont="1" applyBorder="1" applyAlignment="1">
      <alignment horizontal="center" vertical="center"/>
    </xf>
    <xf numFmtId="49" fontId="24" fillId="0" borderId="4" xfId="0" applyNumberFormat="1" applyFont="1" applyBorder="1" applyAlignment="1">
      <alignment horizontal="center" vertical="center"/>
    </xf>
    <xf numFmtId="0" fontId="87" fillId="0" borderId="1" xfId="0" applyFont="1" applyBorder="1" applyAlignment="1">
      <alignment horizontal="center" vertical="center"/>
    </xf>
    <xf numFmtId="49" fontId="24" fillId="0" borderId="4" xfId="0" applyNumberFormat="1" applyFont="1" applyBorder="1" applyAlignment="1">
      <alignment horizontal="center" vertical="center" wrapText="1"/>
    </xf>
    <xf numFmtId="49" fontId="24" fillId="2" borderId="4" xfId="0" applyNumberFormat="1" applyFont="1" applyFill="1" applyBorder="1" applyAlignment="1">
      <alignment horizontal="center" vertical="center"/>
    </xf>
    <xf numFmtId="49" fontId="10" fillId="0" borderId="4" xfId="0" applyNumberFormat="1" applyFont="1" applyBorder="1" applyAlignment="1">
      <alignment horizontal="center" vertical="center"/>
    </xf>
    <xf numFmtId="0" fontId="15" fillId="0" borderId="10" xfId="0" applyFont="1" applyFill="1" applyBorder="1" applyAlignment="1">
      <alignment horizontal="center" vertical="center"/>
    </xf>
    <xf numFmtId="0" fontId="89" fillId="0" borderId="1" xfId="0" applyFont="1" applyBorder="1" applyAlignment="1">
      <alignment horizontal="center" vertical="center"/>
    </xf>
    <xf numFmtId="49" fontId="77" fillId="0" borderId="0" xfId="0" applyNumberFormat="1" applyFont="1" applyAlignment="1">
      <alignment horizontal="right" vertical="center"/>
    </xf>
    <xf numFmtId="49" fontId="5" fillId="0" borderId="0" xfId="0" applyNumberFormat="1" applyFont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75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43" fontId="8" fillId="0" borderId="2" xfId="1" applyFont="1" applyBorder="1" applyAlignment="1">
      <alignment horizontal="center" vertical="center"/>
    </xf>
    <xf numFmtId="43" fontId="8" fillId="0" borderId="16" xfId="1" applyFont="1" applyBorder="1" applyAlignment="1">
      <alignment horizontal="center" vertical="center"/>
    </xf>
    <xf numFmtId="49" fontId="30" fillId="2" borderId="0" xfId="0" applyNumberFormat="1" applyFont="1" applyFill="1" applyAlignment="1">
      <alignment horizontal="right" vertical="center"/>
    </xf>
    <xf numFmtId="49" fontId="8" fillId="2" borderId="0" xfId="0" applyNumberFormat="1" applyFont="1" applyFill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2" fontId="8" fillId="0" borderId="26" xfId="2" applyNumberFormat="1" applyFont="1" applyBorder="1" applyAlignment="1">
      <alignment horizontal="center" vertical="center"/>
    </xf>
    <xf numFmtId="2" fontId="8" fillId="0" borderId="16" xfId="2" applyNumberFormat="1" applyFont="1" applyBorder="1" applyAlignment="1">
      <alignment horizontal="center" vertical="center"/>
    </xf>
    <xf numFmtId="189" fontId="8" fillId="0" borderId="26" xfId="2" applyFont="1" applyBorder="1" applyAlignment="1">
      <alignment horizontal="center" vertical="center"/>
    </xf>
    <xf numFmtId="189" fontId="8" fillId="0" borderId="16" xfId="2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49" fontId="8" fillId="0" borderId="26" xfId="0" applyNumberFormat="1" applyFont="1" applyBorder="1" applyAlignment="1">
      <alignment horizontal="center" vertical="center"/>
    </xf>
    <xf numFmtId="49" fontId="8" fillId="0" borderId="16" xfId="0" applyNumberFormat="1" applyFont="1" applyBorder="1" applyAlignment="1">
      <alignment horizontal="center" vertical="center"/>
    </xf>
    <xf numFmtId="189" fontId="9" fillId="0" borderId="26" xfId="2" applyFont="1" applyBorder="1" applyAlignment="1">
      <alignment horizontal="center" vertical="center"/>
    </xf>
    <xf numFmtId="189" fontId="9" fillId="0" borderId="16" xfId="2" applyFont="1" applyBorder="1" applyAlignment="1">
      <alignment horizontal="center" vertical="center"/>
    </xf>
    <xf numFmtId="187" fontId="8" fillId="0" borderId="26" xfId="2" applyNumberFormat="1" applyFont="1" applyBorder="1" applyAlignment="1">
      <alignment horizontal="center" vertical="center"/>
    </xf>
    <xf numFmtId="187" fontId="8" fillId="0" borderId="16" xfId="2" applyNumberFormat="1" applyFont="1" applyBorder="1" applyAlignment="1">
      <alignment horizontal="center" vertical="center"/>
    </xf>
    <xf numFmtId="1" fontId="9" fillId="0" borderId="26" xfId="2" applyNumberFormat="1" applyFont="1" applyBorder="1" applyAlignment="1">
      <alignment horizontal="center" vertical="center"/>
    </xf>
    <xf numFmtId="1" fontId="9" fillId="0" borderId="16" xfId="2" applyNumberFormat="1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49" fontId="24" fillId="0" borderId="0" xfId="0" applyNumberFormat="1" applyFont="1" applyAlignment="1">
      <alignment horizontal="right"/>
    </xf>
    <xf numFmtId="49" fontId="25" fillId="0" borderId="0" xfId="0" applyNumberFormat="1" applyFont="1" applyAlignment="1">
      <alignment horizontal="center"/>
    </xf>
    <xf numFmtId="0" fontId="71" fillId="0" borderId="1" xfId="0" applyFont="1" applyBorder="1" applyAlignment="1">
      <alignment horizontal="center" vertical="center"/>
    </xf>
    <xf numFmtId="2" fontId="8" fillId="0" borderId="26" xfId="0" applyNumberFormat="1" applyFont="1" applyBorder="1" applyAlignment="1">
      <alignment horizontal="center" vertical="center"/>
    </xf>
    <xf numFmtId="2" fontId="8" fillId="0" borderId="16" xfId="0" applyNumberFormat="1" applyFont="1" applyBorder="1" applyAlignment="1">
      <alignment horizontal="center" vertical="center"/>
    </xf>
    <xf numFmtId="43" fontId="8" fillId="0" borderId="26" xfId="1" applyFont="1" applyBorder="1" applyAlignment="1">
      <alignment horizontal="center" vertical="center"/>
    </xf>
    <xf numFmtId="2" fontId="8" fillId="0" borderId="26" xfId="1" applyNumberFormat="1" applyFont="1" applyBorder="1" applyAlignment="1">
      <alignment horizontal="center" vertical="center"/>
    </xf>
    <xf numFmtId="2" fontId="8" fillId="0" borderId="16" xfId="1" applyNumberFormat="1" applyFont="1" applyBorder="1" applyAlignment="1">
      <alignment horizontal="center" vertical="center"/>
    </xf>
    <xf numFmtId="187" fontId="8" fillId="0" borderId="26" xfId="1" applyNumberFormat="1" applyFont="1" applyBorder="1" applyAlignment="1">
      <alignment horizontal="center" vertical="center"/>
    </xf>
    <xf numFmtId="187" fontId="8" fillId="0" borderId="16" xfId="1" applyNumberFormat="1" applyFont="1" applyBorder="1" applyAlignment="1">
      <alignment horizontal="center" vertical="center"/>
    </xf>
    <xf numFmtId="1" fontId="8" fillId="0" borderId="26" xfId="1" applyNumberFormat="1" applyFont="1" applyBorder="1" applyAlignment="1">
      <alignment horizontal="center" vertical="center"/>
    </xf>
    <xf numFmtId="1" fontId="8" fillId="0" borderId="16" xfId="1" applyNumberFormat="1" applyFont="1" applyBorder="1" applyAlignment="1">
      <alignment horizontal="center" vertical="center"/>
    </xf>
    <xf numFmtId="2" fontId="8" fillId="0" borderId="2" xfId="1" applyNumberFormat="1" applyFont="1" applyBorder="1" applyAlignment="1">
      <alignment horizontal="center" vertical="center"/>
    </xf>
    <xf numFmtId="49" fontId="8" fillId="0" borderId="2" xfId="0" applyNumberFormat="1" applyFont="1" applyBorder="1" applyAlignment="1">
      <alignment horizontal="center" vertical="center"/>
    </xf>
    <xf numFmtId="187" fontId="8" fillId="0" borderId="2" xfId="1" applyNumberFormat="1" applyFont="1" applyBorder="1" applyAlignment="1">
      <alignment horizontal="center" vertical="center"/>
    </xf>
    <xf numFmtId="1" fontId="8" fillId="0" borderId="2" xfId="0" applyNumberFormat="1" applyFont="1" applyBorder="1" applyAlignment="1">
      <alignment horizontal="center" vertical="center"/>
    </xf>
    <xf numFmtId="1" fontId="8" fillId="0" borderId="16" xfId="0" applyNumberFormat="1" applyFont="1" applyBorder="1" applyAlignment="1">
      <alignment horizontal="center" vertical="center"/>
    </xf>
    <xf numFmtId="49" fontId="24" fillId="0" borderId="4" xfId="0" applyNumberFormat="1" applyFont="1" applyBorder="1" applyAlignment="1">
      <alignment horizontal="right"/>
    </xf>
    <xf numFmtId="49" fontId="25" fillId="0" borderId="4" xfId="0" applyNumberFormat="1" applyFont="1" applyBorder="1" applyAlignment="1">
      <alignment horizontal="center"/>
    </xf>
    <xf numFmtId="43" fontId="38" fillId="0" borderId="35" xfId="1" applyFont="1" applyBorder="1" applyAlignment="1">
      <alignment horizontal="center"/>
    </xf>
    <xf numFmtId="43" fontId="38" fillId="0" borderId="34" xfId="1" applyFont="1" applyBorder="1" applyAlignment="1">
      <alignment horizontal="center"/>
    </xf>
    <xf numFmtId="43" fontId="38" fillId="0" borderId="36" xfId="1" applyFont="1" applyBorder="1" applyAlignment="1">
      <alignment horizontal="center"/>
    </xf>
    <xf numFmtId="49" fontId="10" fillId="0" borderId="4" xfId="0" applyNumberFormat="1" applyFont="1" applyBorder="1" applyAlignment="1">
      <alignment horizontal="right"/>
    </xf>
    <xf numFmtId="49" fontId="11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40" fillId="8" borderId="14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49" fontId="10" fillId="0" borderId="4" xfId="0" applyNumberFormat="1" applyFont="1" applyBorder="1" applyAlignment="1">
      <alignment horizontal="center"/>
    </xf>
    <xf numFmtId="49" fontId="11" fillId="0" borderId="4" xfId="0" applyNumberFormat="1" applyFont="1" applyBorder="1" applyAlignment="1">
      <alignment horizontal="center"/>
    </xf>
    <xf numFmtId="0" fontId="5" fillId="4" borderId="2" xfId="0" applyFont="1" applyFill="1" applyBorder="1" applyAlignment="1">
      <alignment horizontal="center" vertical="center"/>
    </xf>
    <xf numFmtId="0" fontId="5" fillId="4" borderId="9" xfId="0" applyFont="1" applyFill="1" applyBorder="1" applyAlignment="1">
      <alignment horizontal="center" vertical="center"/>
    </xf>
    <xf numFmtId="0" fontId="5" fillId="4" borderId="13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49" fontId="10" fillId="0" borderId="0" xfId="0" applyNumberFormat="1" applyFont="1" applyAlignment="1">
      <alignment horizontal="right"/>
    </xf>
  </cellXfs>
  <cellStyles count="4">
    <cellStyle name="Comma" xfId="1" builtinId="3"/>
    <cellStyle name="Comma 2" xfId="3"/>
    <cellStyle name="Comma 3" xfId="2"/>
    <cellStyle name="Normal" xfId="0" builtinId="0"/>
  </cellStyles>
  <dxfs count="0"/>
  <tableStyles count="0" defaultTableStyle="TableStyleMedium2" defaultPivotStyle="PivotStyleLight16"/>
  <colors>
    <mruColors>
      <color rgb="FFFFE18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13336</xdr:colOff>
      <xdr:row>9</xdr:row>
      <xdr:rowOff>45720</xdr:rowOff>
    </xdr:from>
    <xdr:to>
      <xdr:col>33</xdr:col>
      <xdr:colOff>205740</xdr:colOff>
      <xdr:row>12</xdr:row>
      <xdr:rowOff>121920</xdr:rowOff>
    </xdr:to>
    <xdr:sp macro="" textlink="">
      <xdr:nvSpPr>
        <xdr:cNvPr id="4" name="วงเล็บปีกกาขวา 2">
          <a:extLst>
            <a:ext uri="{FF2B5EF4-FFF2-40B4-BE49-F238E27FC236}">
              <a16:creationId xmlns="" xmlns:a16="http://schemas.microsoft.com/office/drawing/2014/main" id="{A5886E37-9762-402B-BB88-7FB768615F84}"/>
            </a:ext>
          </a:extLst>
        </xdr:cNvPr>
        <xdr:cNvSpPr/>
      </xdr:nvSpPr>
      <xdr:spPr>
        <a:xfrm>
          <a:off x="14177011" y="2150745"/>
          <a:ext cx="192404" cy="7620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33</xdr:col>
      <xdr:colOff>22861</xdr:colOff>
      <xdr:row>21</xdr:row>
      <xdr:rowOff>53340</xdr:rowOff>
    </xdr:from>
    <xdr:to>
      <xdr:col>33</xdr:col>
      <xdr:colOff>220980</xdr:colOff>
      <xdr:row>23</xdr:row>
      <xdr:rowOff>129540</xdr:rowOff>
    </xdr:to>
    <xdr:sp macro="" textlink="">
      <xdr:nvSpPr>
        <xdr:cNvPr id="5" name="วงเล็บปีกกาขวา 3">
          <a:extLst>
            <a:ext uri="{FF2B5EF4-FFF2-40B4-BE49-F238E27FC236}">
              <a16:creationId xmlns="" xmlns:a16="http://schemas.microsoft.com/office/drawing/2014/main" id="{3AA21CF5-AB98-41FD-999C-AF1FCEAC95BD}"/>
            </a:ext>
          </a:extLst>
        </xdr:cNvPr>
        <xdr:cNvSpPr/>
      </xdr:nvSpPr>
      <xdr:spPr>
        <a:xfrm>
          <a:off x="14186536" y="4901565"/>
          <a:ext cx="198119" cy="5334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th-TH" sz="1100" b="1"/>
        </a:p>
      </xdr:txBody>
    </xdr:sp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514"/>
  <sheetViews>
    <sheetView view="pageBreakPreview" topLeftCell="F1" zoomScale="110" zoomScaleNormal="55" zoomScaleSheetLayoutView="110" workbookViewId="0">
      <selection activeCell="AG1" sqref="AG1:AH1048576"/>
    </sheetView>
  </sheetViews>
  <sheetFormatPr defaultColWidth="9" defaultRowHeight="15" x14ac:dyDescent="0.2"/>
  <cols>
    <col min="1" max="1" width="2.25" style="427" customWidth="1"/>
    <col min="2" max="2" width="4.375" style="427" customWidth="1"/>
    <col min="3" max="3" width="3.5" style="427" customWidth="1"/>
    <col min="4" max="7" width="2.625" style="427" customWidth="1"/>
    <col min="8" max="8" width="3.5" style="427" customWidth="1"/>
    <col min="9" max="10" width="5.25" style="427" customWidth="1"/>
    <col min="11" max="11" width="7.625" style="427" customWidth="1"/>
    <col min="12" max="12" width="2.375" style="427" customWidth="1"/>
    <col min="13" max="13" width="3.625" style="427" customWidth="1"/>
    <col min="14" max="14" width="5" style="427" customWidth="1"/>
    <col min="15" max="15" width="3" style="427" customWidth="1"/>
    <col min="16" max="16" width="6.25" style="427" customWidth="1"/>
    <col min="17" max="17" width="2.875" style="427" customWidth="1"/>
    <col min="18" max="18" width="4.125" style="427" customWidth="1"/>
    <col min="19" max="19" width="7.5" style="427" customWidth="1"/>
    <col min="20" max="20" width="2.25" style="427" customWidth="1"/>
    <col min="21" max="21" width="7.625" style="427" customWidth="1"/>
    <col min="22" max="22" width="7.5" style="427" customWidth="1"/>
    <col min="23" max="24" width="8.25" style="427" customWidth="1"/>
    <col min="25" max="25" width="5.125" style="427" customWidth="1"/>
    <col min="26" max="26" width="8" style="427" customWidth="1"/>
    <col min="27" max="27" width="3.875" style="763" customWidth="1"/>
    <col min="28" max="28" width="7.125" style="428" customWidth="1"/>
    <col min="29" max="30" width="4.25" style="427" hidden="1" customWidth="1"/>
    <col min="31" max="31" width="5" style="427" hidden="1" customWidth="1"/>
    <col min="32" max="32" width="0.375" style="427" hidden="1" customWidth="1"/>
    <col min="33" max="16384" width="9" style="427"/>
  </cols>
  <sheetData>
    <row r="1" spans="1:32" s="597" customFormat="1" ht="18" customHeight="1" x14ac:dyDescent="0.2">
      <c r="A1" s="339"/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  <c r="AA1" s="2702" t="s">
        <v>0</v>
      </c>
      <c r="AB1" s="2702"/>
      <c r="AC1" s="339"/>
      <c r="AD1" s="339"/>
      <c r="AE1" s="339"/>
      <c r="AF1" s="339"/>
    </row>
    <row r="2" spans="1:32" s="597" customFormat="1" ht="18" customHeight="1" x14ac:dyDescent="0.2">
      <c r="A2" s="2703" t="s">
        <v>1</v>
      </c>
      <c r="B2" s="2703"/>
      <c r="C2" s="2703"/>
      <c r="D2" s="2703"/>
      <c r="E2" s="2703"/>
      <c r="F2" s="2703"/>
      <c r="G2" s="2703"/>
      <c r="H2" s="2703"/>
      <c r="I2" s="2703"/>
      <c r="J2" s="2703"/>
      <c r="K2" s="2703"/>
      <c r="L2" s="2703"/>
      <c r="M2" s="2703"/>
      <c r="N2" s="2703"/>
      <c r="O2" s="2703"/>
      <c r="P2" s="2703"/>
      <c r="Q2" s="2703"/>
      <c r="R2" s="2703"/>
      <c r="S2" s="2703"/>
      <c r="T2" s="2703"/>
      <c r="U2" s="2703"/>
      <c r="V2" s="2703"/>
      <c r="W2" s="2703"/>
      <c r="X2" s="2703"/>
      <c r="Y2" s="2703"/>
      <c r="Z2" s="2703"/>
      <c r="AA2" s="2703"/>
      <c r="AB2" s="2703"/>
      <c r="AC2" s="344"/>
      <c r="AD2" s="344"/>
      <c r="AE2" s="344"/>
      <c r="AF2" s="344"/>
    </row>
    <row r="3" spans="1:32" s="597" customFormat="1" ht="18" customHeight="1" x14ac:dyDescent="0.2">
      <c r="A3" s="2704" t="s">
        <v>321</v>
      </c>
      <c r="B3" s="2704"/>
      <c r="C3" s="2704"/>
      <c r="D3" s="2704"/>
      <c r="E3" s="2704"/>
      <c r="F3" s="2704"/>
      <c r="G3" s="2704"/>
      <c r="H3" s="2704"/>
      <c r="I3" s="2704"/>
      <c r="J3" s="2704"/>
      <c r="K3" s="2704"/>
      <c r="L3" s="2704"/>
      <c r="M3" s="2704"/>
      <c r="N3" s="2704"/>
      <c r="O3" s="2704"/>
      <c r="P3" s="2704"/>
      <c r="Q3" s="2704"/>
      <c r="R3" s="2704"/>
      <c r="S3" s="2704"/>
      <c r="T3" s="2704"/>
      <c r="U3" s="2704"/>
      <c r="V3" s="2704"/>
      <c r="W3" s="2704"/>
      <c r="X3" s="2704"/>
      <c r="Y3" s="2704"/>
      <c r="Z3" s="2704"/>
      <c r="AA3" s="2704"/>
      <c r="AB3" s="2704"/>
      <c r="AC3" s="599"/>
      <c r="AD3" s="599"/>
      <c r="AE3" s="599"/>
      <c r="AF3" s="599"/>
    </row>
    <row r="4" spans="1:32" s="597" customFormat="1" ht="14.1" customHeight="1" x14ac:dyDescent="0.2">
      <c r="A4" s="2686" t="s">
        <v>2</v>
      </c>
      <c r="B4" s="360"/>
      <c r="C4" s="2686" t="s">
        <v>3</v>
      </c>
      <c r="D4" s="360"/>
      <c r="E4" s="360"/>
      <c r="F4" s="2693" t="s">
        <v>4</v>
      </c>
      <c r="G4" s="2693"/>
      <c r="H4" s="2693"/>
      <c r="I4" s="2694"/>
      <c r="J4" s="2694"/>
      <c r="K4" s="2695"/>
      <c r="L4" s="361"/>
      <c r="M4" s="2679" t="s">
        <v>5</v>
      </c>
      <c r="N4" s="2679"/>
      <c r="O4" s="2679"/>
      <c r="P4" s="2679"/>
      <c r="Q4" s="2696"/>
      <c r="R4" s="2696"/>
      <c r="S4" s="2696"/>
      <c r="T4" s="2696"/>
      <c r="U4" s="2696"/>
      <c r="V4" s="2697"/>
      <c r="W4" s="362" t="s">
        <v>6</v>
      </c>
      <c r="X4" s="363" t="s">
        <v>7</v>
      </c>
      <c r="Y4" s="364"/>
      <c r="Z4" s="364"/>
      <c r="AA4" s="363"/>
      <c r="AB4" s="365"/>
      <c r="AC4" s="516" t="s">
        <v>8</v>
      </c>
      <c r="AD4" s="346"/>
      <c r="AE4" s="346"/>
      <c r="AF4" s="600"/>
    </row>
    <row r="5" spans="1:32" s="597" customFormat="1" ht="14.1" customHeight="1" x14ac:dyDescent="0.2">
      <c r="A5" s="2687"/>
      <c r="B5" s="367"/>
      <c r="C5" s="2687"/>
      <c r="D5" s="2062" t="s">
        <v>9</v>
      </c>
      <c r="E5" s="368" t="s">
        <v>10</v>
      </c>
      <c r="F5" s="2698" t="s">
        <v>11</v>
      </c>
      <c r="G5" s="2694"/>
      <c r="H5" s="2695"/>
      <c r="I5" s="360"/>
      <c r="J5" s="369" t="s">
        <v>12</v>
      </c>
      <c r="K5" s="360"/>
      <c r="L5" s="2679" t="s">
        <v>2</v>
      </c>
      <c r="M5" s="2067"/>
      <c r="N5" s="2067"/>
      <c r="O5" s="2067"/>
      <c r="P5" s="371"/>
      <c r="Q5" s="372" t="s">
        <v>13</v>
      </c>
      <c r="R5" s="373" t="s">
        <v>12</v>
      </c>
      <c r="S5" s="2067" t="s">
        <v>6</v>
      </c>
      <c r="T5" s="2682" t="s">
        <v>14</v>
      </c>
      <c r="U5" s="2683"/>
      <c r="V5" s="375" t="s">
        <v>7</v>
      </c>
      <c r="W5" s="376" t="s">
        <v>15</v>
      </c>
      <c r="X5" s="377" t="s">
        <v>16</v>
      </c>
      <c r="Y5" s="377" t="s">
        <v>17</v>
      </c>
      <c r="Z5" s="377" t="s">
        <v>18</v>
      </c>
      <c r="AA5" s="377"/>
      <c r="AB5" s="378" t="s">
        <v>19</v>
      </c>
      <c r="AC5" s="528" t="s">
        <v>20</v>
      </c>
      <c r="AD5" s="601"/>
      <c r="AE5" s="347" t="s">
        <v>21</v>
      </c>
      <c r="AF5" s="340" t="s">
        <v>22</v>
      </c>
    </row>
    <row r="6" spans="1:32" s="597" customFormat="1" ht="14.1" customHeight="1" x14ac:dyDescent="0.2">
      <c r="A6" s="2687"/>
      <c r="B6" s="2062" t="s">
        <v>23</v>
      </c>
      <c r="C6" s="2687"/>
      <c r="D6" s="2062" t="s">
        <v>24</v>
      </c>
      <c r="E6" s="368" t="s">
        <v>25</v>
      </c>
      <c r="F6" s="2699"/>
      <c r="G6" s="2700"/>
      <c r="H6" s="2701"/>
      <c r="I6" s="2062" t="s">
        <v>26</v>
      </c>
      <c r="J6" s="379" t="s">
        <v>15</v>
      </c>
      <c r="K6" s="2066" t="s">
        <v>6</v>
      </c>
      <c r="L6" s="2680"/>
      <c r="M6" s="2068" t="s">
        <v>27</v>
      </c>
      <c r="N6" s="2068" t="s">
        <v>10</v>
      </c>
      <c r="O6" s="382" t="s">
        <v>10</v>
      </c>
      <c r="P6" s="383" t="s">
        <v>28</v>
      </c>
      <c r="Q6" s="384" t="s">
        <v>29</v>
      </c>
      <c r="R6" s="383" t="s">
        <v>15</v>
      </c>
      <c r="S6" s="385" t="s">
        <v>15</v>
      </c>
      <c r="T6" s="2684"/>
      <c r="U6" s="2685"/>
      <c r="V6" s="375" t="s">
        <v>30</v>
      </c>
      <c r="W6" s="376" t="s">
        <v>31</v>
      </c>
      <c r="X6" s="377" t="s">
        <v>30</v>
      </c>
      <c r="Y6" s="377" t="s">
        <v>32</v>
      </c>
      <c r="Z6" s="377" t="s">
        <v>7</v>
      </c>
      <c r="AA6" s="377" t="s">
        <v>33</v>
      </c>
      <c r="AB6" s="378" t="s">
        <v>34</v>
      </c>
      <c r="AC6" s="528" t="s">
        <v>35</v>
      </c>
      <c r="AD6" s="347" t="s">
        <v>36</v>
      </c>
      <c r="AE6" s="347" t="s">
        <v>37</v>
      </c>
      <c r="AF6" s="340" t="s">
        <v>38</v>
      </c>
    </row>
    <row r="7" spans="1:32" s="597" customFormat="1" ht="14.1" customHeight="1" x14ac:dyDescent="0.2">
      <c r="A7" s="2687"/>
      <c r="B7" s="2062" t="s">
        <v>39</v>
      </c>
      <c r="C7" s="2687"/>
      <c r="D7" s="2062" t="s">
        <v>40</v>
      </c>
      <c r="E7" s="368" t="s">
        <v>41</v>
      </c>
      <c r="F7" s="2686" t="s">
        <v>42</v>
      </c>
      <c r="G7" s="2686" t="s">
        <v>43</v>
      </c>
      <c r="H7" s="2688" t="s">
        <v>44</v>
      </c>
      <c r="I7" s="2062" t="s">
        <v>45</v>
      </c>
      <c r="J7" s="379" t="s">
        <v>46</v>
      </c>
      <c r="K7" s="2066" t="s">
        <v>47</v>
      </c>
      <c r="L7" s="2680"/>
      <c r="M7" s="2068" t="s">
        <v>30</v>
      </c>
      <c r="N7" s="2068" t="s">
        <v>30</v>
      </c>
      <c r="O7" s="382" t="s">
        <v>25</v>
      </c>
      <c r="P7" s="383" t="s">
        <v>30</v>
      </c>
      <c r="Q7" s="384" t="s">
        <v>48</v>
      </c>
      <c r="R7" s="383" t="s">
        <v>49</v>
      </c>
      <c r="S7" s="385" t="s">
        <v>30</v>
      </c>
      <c r="T7" s="386" t="s">
        <v>50</v>
      </c>
      <c r="U7" s="2065" t="s">
        <v>13</v>
      </c>
      <c r="V7" s="375" t="s">
        <v>51</v>
      </c>
      <c r="W7" s="376" t="s">
        <v>52</v>
      </c>
      <c r="X7" s="377" t="s">
        <v>53</v>
      </c>
      <c r="Y7" s="377" t="s">
        <v>54</v>
      </c>
      <c r="Z7" s="377" t="s">
        <v>55</v>
      </c>
      <c r="AA7" s="377" t="s">
        <v>56</v>
      </c>
      <c r="AB7" s="378" t="s">
        <v>57</v>
      </c>
      <c r="AC7" s="347" t="s">
        <v>58</v>
      </c>
      <c r="AD7" s="347" t="s">
        <v>59</v>
      </c>
      <c r="AE7" s="347" t="s">
        <v>59</v>
      </c>
      <c r="AF7" s="340" t="s">
        <v>60</v>
      </c>
    </row>
    <row r="8" spans="1:32" s="597" customFormat="1" ht="14.1" customHeight="1" x14ac:dyDescent="0.2">
      <c r="A8" s="2687"/>
      <c r="B8" s="2062" t="s">
        <v>61</v>
      </c>
      <c r="C8" s="2687"/>
      <c r="D8" s="2062" t="s">
        <v>62</v>
      </c>
      <c r="E8" s="368" t="s">
        <v>63</v>
      </c>
      <c r="F8" s="2687"/>
      <c r="G8" s="2687"/>
      <c r="H8" s="2689"/>
      <c r="I8" s="2062" t="s">
        <v>64</v>
      </c>
      <c r="J8" s="379" t="s">
        <v>59</v>
      </c>
      <c r="K8" s="2066" t="s">
        <v>59</v>
      </c>
      <c r="L8" s="2680"/>
      <c r="M8" s="2068"/>
      <c r="N8" s="2068"/>
      <c r="O8" s="382" t="s">
        <v>41</v>
      </c>
      <c r="P8" s="383" t="s">
        <v>65</v>
      </c>
      <c r="Q8" s="384" t="s">
        <v>66</v>
      </c>
      <c r="R8" s="383" t="s">
        <v>67</v>
      </c>
      <c r="S8" s="385" t="s">
        <v>59</v>
      </c>
      <c r="T8" s="387" t="s">
        <v>68</v>
      </c>
      <c r="U8" s="375" t="s">
        <v>14</v>
      </c>
      <c r="V8" s="375" t="s">
        <v>14</v>
      </c>
      <c r="W8" s="376" t="s">
        <v>30</v>
      </c>
      <c r="X8" s="388" t="s">
        <v>69</v>
      </c>
      <c r="Y8" s="388" t="s">
        <v>70</v>
      </c>
      <c r="Z8" s="377" t="s">
        <v>71</v>
      </c>
      <c r="AA8" s="377" t="s">
        <v>72</v>
      </c>
      <c r="AB8" s="378" t="s">
        <v>59</v>
      </c>
      <c r="AC8" s="347" t="s">
        <v>59</v>
      </c>
      <c r="AD8" s="347"/>
      <c r="AE8" s="347"/>
      <c r="AF8" s="340" t="s">
        <v>59</v>
      </c>
    </row>
    <row r="9" spans="1:32" s="597" customFormat="1" ht="14.1" customHeight="1" x14ac:dyDescent="0.2">
      <c r="A9" s="2692"/>
      <c r="B9" s="390"/>
      <c r="C9" s="2692"/>
      <c r="D9" s="390"/>
      <c r="E9" s="2063"/>
      <c r="F9" s="390"/>
      <c r="G9" s="390"/>
      <c r="H9" s="391"/>
      <c r="I9" s="2063"/>
      <c r="J9" s="392"/>
      <c r="K9" s="393"/>
      <c r="L9" s="2681"/>
      <c r="M9" s="2069"/>
      <c r="N9" s="2069"/>
      <c r="O9" s="2069" t="s">
        <v>63</v>
      </c>
      <c r="P9" s="395"/>
      <c r="Q9" s="396" t="s">
        <v>72</v>
      </c>
      <c r="R9" s="397" t="s">
        <v>59</v>
      </c>
      <c r="S9" s="398"/>
      <c r="T9" s="397" t="s">
        <v>73</v>
      </c>
      <c r="U9" s="398" t="s">
        <v>59</v>
      </c>
      <c r="V9" s="399" t="s">
        <v>59</v>
      </c>
      <c r="W9" s="400" t="s">
        <v>59</v>
      </c>
      <c r="X9" s="401" t="s">
        <v>59</v>
      </c>
      <c r="Y9" s="401" t="s">
        <v>59</v>
      </c>
      <c r="Z9" s="401" t="s">
        <v>59</v>
      </c>
      <c r="AA9" s="402"/>
      <c r="AB9" s="403"/>
      <c r="AC9" s="348"/>
      <c r="AD9" s="348"/>
      <c r="AE9" s="348"/>
      <c r="AF9" s="341"/>
    </row>
    <row r="10" spans="1:32" s="597" customFormat="1" ht="18" customHeight="1" x14ac:dyDescent="0.25">
      <c r="A10" s="240">
        <v>1</v>
      </c>
      <c r="B10" s="95">
        <v>45533</v>
      </c>
      <c r="C10" s="740">
        <v>1851</v>
      </c>
      <c r="D10" s="333" t="s">
        <v>83</v>
      </c>
      <c r="E10" s="333">
        <v>2</v>
      </c>
      <c r="F10" s="1578">
        <v>0</v>
      </c>
      <c r="G10" s="1648">
        <v>1</v>
      </c>
      <c r="H10" s="1578">
        <v>67.3</v>
      </c>
      <c r="I10" s="1658">
        <f>F10*400+G10*100+H10</f>
        <v>167.3</v>
      </c>
      <c r="J10" s="1655">
        <v>280</v>
      </c>
      <c r="K10" s="253">
        <f>SUM(I10*J10)</f>
        <v>46844</v>
      </c>
      <c r="L10" s="254">
        <v>1</v>
      </c>
      <c r="M10" s="95">
        <v>106</v>
      </c>
      <c r="N10" s="700" t="s">
        <v>96</v>
      </c>
      <c r="O10" s="95">
        <v>2</v>
      </c>
      <c r="P10" s="1046">
        <v>270.89999999999998</v>
      </c>
      <c r="Q10" s="62" t="s">
        <v>75</v>
      </c>
      <c r="R10" s="260">
        <v>7950</v>
      </c>
      <c r="S10" s="18">
        <f t="shared" ref="S10:S15" si="0">+P10*R10</f>
        <v>2153655</v>
      </c>
      <c r="T10" s="1469">
        <v>29</v>
      </c>
      <c r="U10" s="47">
        <f>+S10*0.85</f>
        <v>1830606.75</v>
      </c>
      <c r="V10" s="47">
        <f t="shared" ref="V10:V16" si="1">SUM(S10-U10)</f>
        <v>323048.25</v>
      </c>
      <c r="W10" s="18">
        <f>K10+V10</f>
        <v>369892.25</v>
      </c>
      <c r="X10" s="47">
        <f t="shared" ref="X10:X16" si="2">W10</f>
        <v>369892.25</v>
      </c>
      <c r="Y10" s="18" t="s">
        <v>87</v>
      </c>
      <c r="Z10" s="18">
        <v>0</v>
      </c>
      <c r="AA10" s="264">
        <v>0.02</v>
      </c>
      <c r="AB10" s="465">
        <f>+Z10*AA10/100</f>
        <v>0</v>
      </c>
      <c r="AC10" s="1098"/>
      <c r="AD10" s="353">
        <f>AB10-AC10</f>
        <v>0</v>
      </c>
      <c r="AE10" s="353">
        <f>IF(AD10&lt;=0,0,AD10*25/100)</f>
        <v>0</v>
      </c>
      <c r="AF10" s="353">
        <f>IF(AC10+AE10&gt;AB10,AB10,AC10+AE10)</f>
        <v>0</v>
      </c>
    </row>
    <row r="11" spans="1:32" s="597" customFormat="1" ht="18" customHeight="1" x14ac:dyDescent="0.25">
      <c r="A11" s="242"/>
      <c r="B11" s="289"/>
      <c r="C11" s="796"/>
      <c r="D11" s="289"/>
      <c r="E11" s="287"/>
      <c r="F11" s="27"/>
      <c r="G11" s="291"/>
      <c r="H11" s="27"/>
      <c r="I11" s="418"/>
      <c r="J11" s="1656"/>
      <c r="K11" s="80"/>
      <c r="L11" s="255">
        <v>2</v>
      </c>
      <c r="M11" s="241">
        <v>504</v>
      </c>
      <c r="N11" s="85" t="s">
        <v>82</v>
      </c>
      <c r="O11" s="85">
        <v>2</v>
      </c>
      <c r="P11" s="499">
        <v>167.08500000000001</v>
      </c>
      <c r="Q11" s="62" t="s">
        <v>75</v>
      </c>
      <c r="R11" s="260">
        <v>3100</v>
      </c>
      <c r="S11" s="18">
        <f t="shared" si="0"/>
        <v>517963.5</v>
      </c>
      <c r="T11" s="1469">
        <v>29</v>
      </c>
      <c r="U11" s="47">
        <f t="shared" ref="U11:U16" si="3">+S11*0.85</f>
        <v>440268.97499999998</v>
      </c>
      <c r="V11" s="47">
        <f t="shared" si="1"/>
        <v>77694.525000000023</v>
      </c>
      <c r="W11" s="18">
        <f t="shared" ref="W11:W16" si="4">K11+V11</f>
        <v>77694.525000000023</v>
      </c>
      <c r="X11" s="47">
        <f t="shared" si="2"/>
        <v>77694.525000000023</v>
      </c>
      <c r="Y11" s="18" t="s">
        <v>87</v>
      </c>
      <c r="Z11" s="18">
        <v>0</v>
      </c>
      <c r="AA11" s="264">
        <v>0.02</v>
      </c>
      <c r="AB11" s="466">
        <f>+Z11*AA11/100</f>
        <v>0</v>
      </c>
      <c r="AC11" s="350"/>
      <c r="AD11" s="350">
        <f>AB11-AC11</f>
        <v>0</v>
      </c>
      <c r="AE11" s="350">
        <f>IF(AD11&lt;=0,0,AD11*25/100)</f>
        <v>0</v>
      </c>
      <c r="AF11" s="350">
        <f>IF(AC11+AE11&gt;AB11,AB11,AC11+AE11)</f>
        <v>0</v>
      </c>
    </row>
    <row r="12" spans="1:32" s="597" customFormat="1" ht="18" customHeight="1" x14ac:dyDescent="0.25">
      <c r="A12" s="242"/>
      <c r="B12" s="289"/>
      <c r="C12" s="796"/>
      <c r="D12" s="289"/>
      <c r="E12" s="287"/>
      <c r="F12" s="27"/>
      <c r="G12" s="291"/>
      <c r="H12" s="27"/>
      <c r="I12" s="418"/>
      <c r="J12" s="1656"/>
      <c r="K12" s="80"/>
      <c r="L12" s="255">
        <v>3</v>
      </c>
      <c r="M12" s="241">
        <v>504</v>
      </c>
      <c r="N12" s="85" t="s">
        <v>82</v>
      </c>
      <c r="O12" s="85">
        <v>2</v>
      </c>
      <c r="P12" s="499">
        <v>175.845</v>
      </c>
      <c r="Q12" s="62" t="s">
        <v>75</v>
      </c>
      <c r="R12" s="260">
        <v>3100</v>
      </c>
      <c r="S12" s="18">
        <f t="shared" si="0"/>
        <v>545119.5</v>
      </c>
      <c r="T12" s="1469">
        <v>29</v>
      </c>
      <c r="U12" s="47">
        <f t="shared" si="3"/>
        <v>463351.57500000001</v>
      </c>
      <c r="V12" s="47">
        <f t="shared" si="1"/>
        <v>81767.924999999988</v>
      </c>
      <c r="W12" s="18">
        <f t="shared" si="4"/>
        <v>81767.924999999988</v>
      </c>
      <c r="X12" s="47">
        <f t="shared" si="2"/>
        <v>81767.924999999988</v>
      </c>
      <c r="Y12" s="18" t="s">
        <v>87</v>
      </c>
      <c r="Z12" s="18">
        <v>0</v>
      </c>
      <c r="AA12" s="264">
        <v>0.02</v>
      </c>
      <c r="AB12" s="410">
        <f>+Z12*AA12/100</f>
        <v>0</v>
      </c>
      <c r="AC12" s="350"/>
      <c r="AD12" s="350"/>
      <c r="AE12" s="350"/>
      <c r="AF12" s="350"/>
    </row>
    <row r="13" spans="1:32" s="597" customFormat="1" ht="18" customHeight="1" x14ac:dyDescent="0.25">
      <c r="A13" s="241">
        <v>2</v>
      </c>
      <c r="B13" s="289">
        <v>40992</v>
      </c>
      <c r="C13" s="796">
        <v>1449</v>
      </c>
      <c r="D13" s="1647" t="s">
        <v>86</v>
      </c>
      <c r="E13" s="287">
        <v>1</v>
      </c>
      <c r="F13" s="1649">
        <v>0</v>
      </c>
      <c r="G13" s="1535">
        <v>1</v>
      </c>
      <c r="H13" s="1649">
        <v>3</v>
      </c>
      <c r="I13" s="418">
        <f>+F13*400+G13*100+H13</f>
        <v>103</v>
      </c>
      <c r="J13" s="1656">
        <v>1100</v>
      </c>
      <c r="K13" s="80">
        <f>+I13*J13</f>
        <v>113300</v>
      </c>
      <c r="L13" s="255"/>
      <c r="M13" s="241"/>
      <c r="N13" s="85"/>
      <c r="O13" s="85"/>
      <c r="P13" s="499"/>
      <c r="Q13" s="62"/>
      <c r="R13" s="260"/>
      <c r="S13" s="18">
        <f t="shared" si="0"/>
        <v>0</v>
      </c>
      <c r="T13" s="1469"/>
      <c r="U13" s="47">
        <f t="shared" si="3"/>
        <v>0</v>
      </c>
      <c r="V13" s="47">
        <f t="shared" si="1"/>
        <v>0</v>
      </c>
      <c r="W13" s="18">
        <f t="shared" si="4"/>
        <v>113300</v>
      </c>
      <c r="X13" s="47">
        <f t="shared" si="2"/>
        <v>113300</v>
      </c>
      <c r="Y13" s="18" t="s">
        <v>87</v>
      </c>
      <c r="Z13" s="18">
        <v>0</v>
      </c>
      <c r="AA13" s="292">
        <v>0.01</v>
      </c>
      <c r="AB13" s="410">
        <f>+Z13*AA13/100</f>
        <v>0</v>
      </c>
      <c r="AC13" s="350"/>
      <c r="AD13" s="350"/>
      <c r="AE13" s="350"/>
      <c r="AF13" s="350"/>
    </row>
    <row r="14" spans="1:32" s="597" customFormat="1" ht="18" customHeight="1" x14ac:dyDescent="0.25">
      <c r="A14" s="241">
        <v>3</v>
      </c>
      <c r="B14" s="289">
        <v>64807</v>
      </c>
      <c r="C14" s="796">
        <v>1204</v>
      </c>
      <c r="D14" s="289" t="s">
        <v>83</v>
      </c>
      <c r="E14" s="287">
        <v>1</v>
      </c>
      <c r="F14" s="1649">
        <v>1</v>
      </c>
      <c r="G14" s="1535">
        <v>0</v>
      </c>
      <c r="H14" s="1649">
        <v>17</v>
      </c>
      <c r="I14" s="418">
        <f>+F14*400+G14*100+H14</f>
        <v>417</v>
      </c>
      <c r="J14" s="1656">
        <v>280</v>
      </c>
      <c r="K14" s="80">
        <f>+I14*J14</f>
        <v>116760</v>
      </c>
      <c r="L14" s="255"/>
      <c r="M14" s="241"/>
      <c r="N14" s="85"/>
      <c r="O14" s="85"/>
      <c r="P14" s="499"/>
      <c r="Q14" s="62"/>
      <c r="R14" s="260"/>
      <c r="S14" s="18">
        <f t="shared" si="0"/>
        <v>0</v>
      </c>
      <c r="T14" s="1469"/>
      <c r="U14" s="47">
        <f t="shared" si="3"/>
        <v>0</v>
      </c>
      <c r="V14" s="47">
        <f t="shared" si="1"/>
        <v>0</v>
      </c>
      <c r="W14" s="18">
        <f t="shared" si="4"/>
        <v>116760</v>
      </c>
      <c r="X14" s="47">
        <f t="shared" si="2"/>
        <v>116760</v>
      </c>
      <c r="Y14" s="18" t="s">
        <v>87</v>
      </c>
      <c r="Z14" s="18">
        <v>0</v>
      </c>
      <c r="AA14" s="292">
        <v>0.01</v>
      </c>
      <c r="AB14" s="410">
        <f>+Z14*AA14/100</f>
        <v>0</v>
      </c>
      <c r="AC14" s="350"/>
      <c r="AD14" s="350"/>
      <c r="AE14" s="350"/>
      <c r="AF14" s="350"/>
    </row>
    <row r="15" spans="1:32" s="1162" customFormat="1" ht="18" customHeight="1" x14ac:dyDescent="0.25">
      <c r="A15" s="1245">
        <v>4</v>
      </c>
      <c r="B15" s="273">
        <v>64862</v>
      </c>
      <c r="C15" s="1635">
        <v>2879</v>
      </c>
      <c r="D15" s="1636" t="s">
        <v>83</v>
      </c>
      <c r="E15" s="1636">
        <v>1</v>
      </c>
      <c r="F15" s="1650">
        <v>0</v>
      </c>
      <c r="G15" s="1651">
        <v>0</v>
      </c>
      <c r="H15" s="1650">
        <v>83.6</v>
      </c>
      <c r="I15" s="1637">
        <f>+F15*400+G15*100+H15</f>
        <v>83.6</v>
      </c>
      <c r="J15" s="1657">
        <v>280</v>
      </c>
      <c r="K15" s="1638">
        <f>+I15*J15</f>
        <v>23408</v>
      </c>
      <c r="L15" s="1639">
        <v>4</v>
      </c>
      <c r="M15" s="1640">
        <v>504</v>
      </c>
      <c r="N15" s="1257" t="s">
        <v>82</v>
      </c>
      <c r="O15" s="1641">
        <v>3</v>
      </c>
      <c r="P15" s="1642">
        <v>167.08500000000001</v>
      </c>
      <c r="Q15" s="1643" t="s">
        <v>75</v>
      </c>
      <c r="R15" s="1644">
        <v>3100</v>
      </c>
      <c r="S15" s="1232">
        <f t="shared" si="0"/>
        <v>517963.5</v>
      </c>
      <c r="T15" s="1659">
        <v>15</v>
      </c>
      <c r="U15" s="1486">
        <f>+S15*0.65</f>
        <v>336676.27500000002</v>
      </c>
      <c r="V15" s="1233">
        <f t="shared" si="1"/>
        <v>181287.22499999998</v>
      </c>
      <c r="W15" s="1232">
        <f t="shared" si="4"/>
        <v>204695.22499999998</v>
      </c>
      <c r="X15" s="1233">
        <f t="shared" si="2"/>
        <v>204695.22499999998</v>
      </c>
      <c r="Y15" s="1233"/>
      <c r="Z15" s="1645">
        <f>+X15</f>
        <v>204695.22499999998</v>
      </c>
      <c r="AA15" s="1646">
        <v>0.3</v>
      </c>
      <c r="AB15" s="1265">
        <f>Z15*AA15/100</f>
        <v>614.08567499999992</v>
      </c>
      <c r="AC15" s="1244"/>
      <c r="AD15" s="1244"/>
      <c r="AE15" s="1244"/>
      <c r="AF15" s="1244"/>
    </row>
    <row r="16" spans="1:32" s="597" customFormat="1" ht="18" customHeight="1" x14ac:dyDescent="0.25">
      <c r="A16" s="2070">
        <v>5</v>
      </c>
      <c r="B16" s="85">
        <v>41159</v>
      </c>
      <c r="C16" s="418">
        <v>1747</v>
      </c>
      <c r="D16" s="273" t="s">
        <v>83</v>
      </c>
      <c r="E16" s="27">
        <v>1</v>
      </c>
      <c r="F16" s="1652">
        <v>1</v>
      </c>
      <c r="G16" s="1653">
        <v>2</v>
      </c>
      <c r="H16" s="1654">
        <v>0</v>
      </c>
      <c r="I16" s="418">
        <f>+F16*400+G16*100+H16</f>
        <v>600</v>
      </c>
      <c r="J16" s="1656">
        <v>280</v>
      </c>
      <c r="K16" s="80">
        <f>+I16*J16</f>
        <v>168000</v>
      </c>
      <c r="L16" s="255"/>
      <c r="M16" s="241"/>
      <c r="N16" s="255"/>
      <c r="O16" s="255"/>
      <c r="P16" s="848"/>
      <c r="Q16" s="334"/>
      <c r="R16" s="1077"/>
      <c r="S16" s="18"/>
      <c r="T16" s="59"/>
      <c r="U16" s="47">
        <f t="shared" si="3"/>
        <v>0</v>
      </c>
      <c r="V16" s="47">
        <f t="shared" si="1"/>
        <v>0</v>
      </c>
      <c r="W16" s="18">
        <f t="shared" si="4"/>
        <v>168000</v>
      </c>
      <c r="X16" s="18">
        <f t="shared" si="2"/>
        <v>168000</v>
      </c>
      <c r="Y16" s="18" t="s">
        <v>87</v>
      </c>
      <c r="Z16" s="18"/>
      <c r="AA16" s="292">
        <v>0.01</v>
      </c>
      <c r="AB16" s="466"/>
      <c r="AC16" s="350"/>
      <c r="AD16" s="350"/>
      <c r="AE16" s="350"/>
      <c r="AF16" s="350"/>
    </row>
    <row r="17" spans="1:32" s="597" customFormat="1" ht="18" customHeight="1" x14ac:dyDescent="0.2">
      <c r="A17" s="2070"/>
      <c r="B17" s="177"/>
      <c r="C17" s="177"/>
      <c r="D17" s="2070"/>
      <c r="E17" s="2070"/>
      <c r="F17" s="2070"/>
      <c r="G17" s="2070"/>
      <c r="H17" s="2076"/>
      <c r="I17" s="2072"/>
      <c r="J17" s="178"/>
      <c r="K17" s="2072"/>
      <c r="L17" s="2070"/>
      <c r="M17" s="2070"/>
      <c r="N17" s="2070"/>
      <c r="O17" s="2070"/>
      <c r="P17" s="2076"/>
      <c r="Q17" s="2071"/>
      <c r="R17" s="437"/>
      <c r="S17" s="2072"/>
      <c r="T17" s="179"/>
      <c r="U17" s="178"/>
      <c r="V17" s="2072"/>
      <c r="W17" s="2072"/>
      <c r="X17" s="470"/>
      <c r="Y17" s="470"/>
      <c r="Z17" s="471"/>
      <c r="AA17" s="764"/>
      <c r="AB17" s="466"/>
      <c r="AC17" s="350"/>
      <c r="AD17" s="350"/>
      <c r="AE17" s="350"/>
      <c r="AF17" s="350"/>
    </row>
    <row r="18" spans="1:32" s="597" customFormat="1" ht="18" customHeight="1" x14ac:dyDescent="0.2">
      <c r="A18" s="2070"/>
      <c r="B18" s="177"/>
      <c r="C18" s="177"/>
      <c r="D18" s="2070"/>
      <c r="E18" s="2070"/>
      <c r="F18" s="2070"/>
      <c r="G18" s="2070"/>
      <c r="H18" s="2076"/>
      <c r="I18" s="2072"/>
      <c r="J18" s="178"/>
      <c r="K18" s="2072"/>
      <c r="L18" s="2070"/>
      <c r="M18" s="2070"/>
      <c r="N18" s="2070"/>
      <c r="O18" s="2070"/>
      <c r="P18" s="2076"/>
      <c r="Q18" s="2071"/>
      <c r="R18" s="437"/>
      <c r="S18" s="2072"/>
      <c r="T18" s="179"/>
      <c r="U18" s="178"/>
      <c r="V18" s="2072"/>
      <c r="W18" s="2072"/>
      <c r="X18" s="470"/>
      <c r="Y18" s="470"/>
      <c r="Z18" s="471"/>
      <c r="AA18" s="764"/>
      <c r="AB18" s="466"/>
      <c r="AC18" s="350"/>
      <c r="AD18" s="350"/>
      <c r="AE18" s="350"/>
      <c r="AF18" s="350"/>
    </row>
    <row r="19" spans="1:32" s="597" customFormat="1" ht="18" customHeight="1" x14ac:dyDescent="0.2">
      <c r="A19" s="2070"/>
      <c r="B19" s="177"/>
      <c r="C19" s="177"/>
      <c r="D19" s="2070"/>
      <c r="E19" s="2070"/>
      <c r="F19" s="2070"/>
      <c r="G19" s="2070"/>
      <c r="H19" s="2076"/>
      <c r="I19" s="2072"/>
      <c r="J19" s="178"/>
      <c r="K19" s="2072"/>
      <c r="L19" s="2070"/>
      <c r="M19" s="2070"/>
      <c r="N19" s="2070"/>
      <c r="O19" s="2070"/>
      <c r="P19" s="2076"/>
      <c r="Q19" s="2071"/>
      <c r="R19" s="437"/>
      <c r="S19" s="2072"/>
      <c r="T19" s="179"/>
      <c r="U19" s="178"/>
      <c r="V19" s="2072"/>
      <c r="W19" s="2072"/>
      <c r="X19" s="470"/>
      <c r="Y19" s="470"/>
      <c r="Z19" s="471"/>
      <c r="AA19" s="764"/>
      <c r="AB19" s="466"/>
      <c r="AC19" s="350"/>
      <c r="AD19" s="350"/>
      <c r="AE19" s="350"/>
      <c r="AF19" s="350"/>
    </row>
    <row r="20" spans="1:32" s="597" customFormat="1" ht="18" customHeight="1" x14ac:dyDescent="0.2">
      <c r="A20" s="2070"/>
      <c r="B20" s="177"/>
      <c r="C20" s="177"/>
      <c r="D20" s="2070"/>
      <c r="E20" s="2070"/>
      <c r="F20" s="2070"/>
      <c r="G20" s="2070"/>
      <c r="H20" s="2076"/>
      <c r="I20" s="2072"/>
      <c r="J20" s="178"/>
      <c r="K20" s="2072"/>
      <c r="L20" s="2070"/>
      <c r="M20" s="2070"/>
      <c r="N20" s="2070"/>
      <c r="O20" s="2070"/>
      <c r="P20" s="2076"/>
      <c r="Q20" s="2071"/>
      <c r="R20" s="437"/>
      <c r="S20" s="2072"/>
      <c r="T20" s="179"/>
      <c r="U20" s="178"/>
      <c r="V20" s="2072"/>
      <c r="W20" s="2072"/>
      <c r="X20" s="470"/>
      <c r="Y20" s="470"/>
      <c r="Z20" s="471"/>
      <c r="AA20" s="764"/>
      <c r="AB20" s="466"/>
      <c r="AC20" s="350"/>
      <c r="AD20" s="350"/>
      <c r="AE20" s="350"/>
      <c r="AF20" s="350"/>
    </row>
    <row r="21" spans="1:32" s="597" customFormat="1" ht="18" customHeight="1" x14ac:dyDescent="0.2">
      <c r="A21" s="2070"/>
      <c r="B21" s="177"/>
      <c r="C21" s="177"/>
      <c r="D21" s="2070"/>
      <c r="E21" s="2070"/>
      <c r="F21" s="2070"/>
      <c r="G21" s="2070"/>
      <c r="H21" s="2076"/>
      <c r="I21" s="2072"/>
      <c r="J21" s="178"/>
      <c r="K21" s="2072"/>
      <c r="L21" s="2070"/>
      <c r="M21" s="2070"/>
      <c r="N21" s="2070"/>
      <c r="O21" s="2070"/>
      <c r="P21" s="2076"/>
      <c r="Q21" s="2071"/>
      <c r="R21" s="437"/>
      <c r="S21" s="2072"/>
      <c r="T21" s="179"/>
      <c r="U21" s="178"/>
      <c r="V21" s="2072"/>
      <c r="W21" s="2072"/>
      <c r="X21" s="470"/>
      <c r="Y21" s="470"/>
      <c r="Z21" s="471"/>
      <c r="AA21" s="764"/>
      <c r="AB21" s="466"/>
      <c r="AC21" s="350"/>
      <c r="AD21" s="350"/>
      <c r="AE21" s="350"/>
      <c r="AF21" s="350"/>
    </row>
    <row r="22" spans="1:32" s="597" customFormat="1" ht="18" customHeight="1" x14ac:dyDescent="0.2">
      <c r="A22" s="2070"/>
      <c r="B22" s="177"/>
      <c r="C22" s="177"/>
      <c r="D22" s="2070"/>
      <c r="E22" s="2070"/>
      <c r="F22" s="2070"/>
      <c r="G22" s="2070"/>
      <c r="H22" s="2076"/>
      <c r="I22" s="2072"/>
      <c r="J22" s="178"/>
      <c r="K22" s="2072"/>
      <c r="L22" s="2070"/>
      <c r="M22" s="2070"/>
      <c r="N22" s="2070"/>
      <c r="O22" s="2070"/>
      <c r="P22" s="2076"/>
      <c r="Q22" s="2071"/>
      <c r="R22" s="437"/>
      <c r="S22" s="2072"/>
      <c r="T22" s="179"/>
      <c r="U22" s="178"/>
      <c r="V22" s="2072"/>
      <c r="W22" s="2072"/>
      <c r="X22" s="470"/>
      <c r="Y22" s="470"/>
      <c r="Z22" s="471"/>
      <c r="AA22" s="764"/>
      <c r="AB22" s="466"/>
      <c r="AC22" s="350"/>
      <c r="AD22" s="350"/>
      <c r="AE22" s="350"/>
      <c r="AF22" s="350"/>
    </row>
    <row r="23" spans="1:32" s="597" customFormat="1" ht="18" customHeight="1" x14ac:dyDescent="0.2">
      <c r="A23" s="2070"/>
      <c r="B23" s="177"/>
      <c r="C23" s="177"/>
      <c r="D23" s="2070"/>
      <c r="E23" s="2070"/>
      <c r="F23" s="2070"/>
      <c r="G23" s="2070"/>
      <c r="H23" s="2076"/>
      <c r="I23" s="2072"/>
      <c r="J23" s="178"/>
      <c r="K23" s="2072"/>
      <c r="L23" s="2070"/>
      <c r="M23" s="2070"/>
      <c r="N23" s="2070"/>
      <c r="O23" s="2070"/>
      <c r="P23" s="2076"/>
      <c r="Q23" s="2071"/>
      <c r="R23" s="437"/>
      <c r="S23" s="2072"/>
      <c r="T23" s="179"/>
      <c r="U23" s="178"/>
      <c r="V23" s="2072"/>
      <c r="W23" s="2072"/>
      <c r="X23" s="470"/>
      <c r="Y23" s="470"/>
      <c r="Z23" s="471"/>
      <c r="AA23" s="764"/>
      <c r="AB23" s="466"/>
      <c r="AC23" s="350"/>
      <c r="AD23" s="350"/>
      <c r="AE23" s="350"/>
      <c r="AF23" s="350"/>
    </row>
    <row r="24" spans="1:32" s="597" customFormat="1" ht="18" customHeight="1" x14ac:dyDescent="0.2">
      <c r="A24" s="1850"/>
      <c r="B24" s="1850"/>
      <c r="C24" s="1850"/>
      <c r="D24" s="1850"/>
      <c r="E24" s="1850"/>
      <c r="F24" s="1850"/>
      <c r="G24" s="1850"/>
      <c r="H24" s="1851"/>
      <c r="I24" s="1852"/>
      <c r="J24" s="1853"/>
      <c r="K24" s="1852"/>
      <c r="L24" s="1852"/>
      <c r="M24" s="1852"/>
      <c r="N24" s="1852"/>
      <c r="O24" s="1852"/>
      <c r="P24" s="1852"/>
      <c r="Q24" s="1852"/>
      <c r="R24" s="1854"/>
      <c r="S24" s="1852"/>
      <c r="T24" s="1855"/>
      <c r="U24" s="1853"/>
      <c r="V24" s="1852"/>
      <c r="W24" s="1852"/>
      <c r="X24" s="1856"/>
      <c r="Y24" s="1856"/>
      <c r="Z24" s="1857"/>
      <c r="AA24" s="2125"/>
      <c r="AB24" s="1847">
        <f>SUM(AB10:AB23)</f>
        <v>614.08567499999992</v>
      </c>
      <c r="AC24" s="1861"/>
      <c r="AD24" s="1861"/>
      <c r="AE24" s="1861"/>
      <c r="AF24" s="1861"/>
    </row>
    <row r="25" spans="1:32" s="597" customFormat="1" ht="14.1" customHeight="1" x14ac:dyDescent="0.2">
      <c r="A25" s="2690" t="s">
        <v>76</v>
      </c>
      <c r="B25" s="2690"/>
      <c r="C25" s="2691" t="s">
        <v>77</v>
      </c>
      <c r="D25" s="2691"/>
      <c r="E25" s="2691"/>
      <c r="F25" s="2691"/>
      <c r="G25" s="2691"/>
      <c r="H25" s="2691"/>
      <c r="I25" s="604" t="s">
        <v>78</v>
      </c>
      <c r="J25" s="604"/>
      <c r="K25" s="604"/>
      <c r="L25" s="604"/>
      <c r="M25" s="604"/>
      <c r="N25" s="604"/>
      <c r="AA25" s="767"/>
      <c r="AB25" s="598"/>
    </row>
    <row r="26" spans="1:32" s="597" customFormat="1" ht="14.1" customHeight="1" x14ac:dyDescent="0.2">
      <c r="A26" s="604"/>
      <c r="B26" s="605"/>
      <c r="C26" s="604"/>
      <c r="D26" s="604"/>
      <c r="E26" s="604"/>
      <c r="F26" s="604"/>
      <c r="G26" s="604"/>
      <c r="H26" s="604"/>
      <c r="I26" s="604" t="s">
        <v>79</v>
      </c>
      <c r="J26" s="604"/>
      <c r="K26" s="604"/>
      <c r="L26" s="604"/>
      <c r="M26" s="604"/>
      <c r="N26" s="604"/>
      <c r="AA26" s="767"/>
      <c r="AB26" s="598"/>
    </row>
    <row r="27" spans="1:32" s="597" customFormat="1" ht="14.1" customHeight="1" x14ac:dyDescent="0.2">
      <c r="A27" s="604"/>
      <c r="B27" s="605"/>
      <c r="C27" s="604"/>
      <c r="D27" s="604"/>
      <c r="E27" s="604"/>
      <c r="F27" s="604"/>
      <c r="G27" s="604"/>
      <c r="H27" s="604"/>
      <c r="I27" s="604" t="s">
        <v>80</v>
      </c>
      <c r="J27" s="604"/>
      <c r="K27" s="604"/>
      <c r="L27" s="604"/>
      <c r="M27" s="604"/>
      <c r="N27" s="604"/>
      <c r="AA27" s="767"/>
      <c r="AB27" s="598"/>
    </row>
    <row r="28" spans="1:32" s="597" customFormat="1" ht="14.1" customHeight="1" x14ac:dyDescent="0.2">
      <c r="A28" s="604"/>
      <c r="B28" s="605"/>
      <c r="C28" s="604"/>
      <c r="D28" s="604"/>
      <c r="E28" s="604"/>
      <c r="F28" s="604"/>
      <c r="G28" s="604"/>
      <c r="H28" s="604"/>
      <c r="I28" s="604" t="s">
        <v>81</v>
      </c>
      <c r="J28" s="604"/>
      <c r="K28" s="604"/>
      <c r="L28" s="604"/>
      <c r="M28" s="604"/>
      <c r="N28" s="604"/>
      <c r="AA28" s="767"/>
      <c r="AB28" s="598"/>
    </row>
    <row r="29" spans="1:32" s="597" customFormat="1" ht="14.1" customHeight="1" x14ac:dyDescent="0.2">
      <c r="A29" s="604"/>
      <c r="B29" s="605"/>
      <c r="C29" s="604"/>
      <c r="D29" s="604"/>
      <c r="E29" s="604"/>
      <c r="F29" s="604"/>
      <c r="G29" s="604"/>
      <c r="H29" s="604"/>
      <c r="I29" s="604" t="s">
        <v>88</v>
      </c>
      <c r="J29" s="604"/>
      <c r="K29" s="604"/>
      <c r="L29" s="604"/>
      <c r="M29" s="604"/>
      <c r="N29" s="604"/>
      <c r="AA29" s="767"/>
      <c r="AB29" s="598"/>
    </row>
    <row r="30" spans="1:32" s="597" customFormat="1" ht="18" customHeight="1" x14ac:dyDescent="0.2">
      <c r="A30" s="339"/>
      <c r="B30" s="339"/>
      <c r="C30" s="339"/>
      <c r="D30" s="339"/>
      <c r="E30" s="339"/>
      <c r="F30" s="339"/>
      <c r="G30" s="339"/>
      <c r="H30" s="339"/>
      <c r="I30" s="339"/>
      <c r="J30" s="339"/>
      <c r="K30" s="339"/>
      <c r="L30" s="339"/>
      <c r="M30" s="339"/>
      <c r="N30" s="339"/>
      <c r="O30" s="339"/>
      <c r="P30" s="339"/>
      <c r="Q30" s="339"/>
      <c r="R30" s="339"/>
      <c r="S30" s="339"/>
      <c r="T30" s="339"/>
      <c r="U30" s="339"/>
      <c r="V30" s="339"/>
      <c r="W30" s="339"/>
      <c r="X30" s="339"/>
      <c r="Y30" s="339"/>
      <c r="Z30" s="339"/>
      <c r="AA30" s="2702" t="s">
        <v>0</v>
      </c>
      <c r="AB30" s="2702"/>
      <c r="AC30" s="339"/>
      <c r="AD30" s="339"/>
      <c r="AE30" s="339"/>
      <c r="AF30" s="339"/>
    </row>
    <row r="31" spans="1:32" s="597" customFormat="1" ht="18" customHeight="1" x14ac:dyDescent="0.2">
      <c r="A31" s="2703" t="s">
        <v>1</v>
      </c>
      <c r="B31" s="2703"/>
      <c r="C31" s="2703"/>
      <c r="D31" s="2703"/>
      <c r="E31" s="2703"/>
      <c r="F31" s="2703"/>
      <c r="G31" s="2703"/>
      <c r="H31" s="2703"/>
      <c r="I31" s="2703"/>
      <c r="J31" s="2703"/>
      <c r="K31" s="2703"/>
      <c r="L31" s="2703"/>
      <c r="M31" s="2703"/>
      <c r="N31" s="2703"/>
      <c r="O31" s="2703"/>
      <c r="P31" s="2703"/>
      <c r="Q31" s="2703"/>
      <c r="R31" s="2703"/>
      <c r="S31" s="2703"/>
      <c r="T31" s="2703"/>
      <c r="U31" s="2703"/>
      <c r="V31" s="2703"/>
      <c r="W31" s="2703"/>
      <c r="X31" s="2703"/>
      <c r="Y31" s="2703"/>
      <c r="Z31" s="2703"/>
      <c r="AA31" s="2703"/>
      <c r="AB31" s="2703"/>
      <c r="AC31" s="344"/>
      <c r="AD31" s="344"/>
      <c r="AE31" s="344"/>
      <c r="AF31" s="344"/>
    </row>
    <row r="32" spans="1:32" s="597" customFormat="1" ht="18" customHeight="1" x14ac:dyDescent="0.2">
      <c r="A32" s="2704" t="s">
        <v>542</v>
      </c>
      <c r="B32" s="2704"/>
      <c r="C32" s="2704"/>
      <c r="D32" s="2704"/>
      <c r="E32" s="2704"/>
      <c r="F32" s="2704"/>
      <c r="G32" s="2704"/>
      <c r="H32" s="2704"/>
      <c r="I32" s="2704"/>
      <c r="J32" s="2704"/>
      <c r="K32" s="2704"/>
      <c r="L32" s="2704"/>
      <c r="M32" s="2704"/>
      <c r="N32" s="2704"/>
      <c r="O32" s="2704"/>
      <c r="P32" s="2704"/>
      <c r="Q32" s="2704"/>
      <c r="R32" s="2704"/>
      <c r="S32" s="2704"/>
      <c r="T32" s="2704"/>
      <c r="U32" s="2704"/>
      <c r="V32" s="2704"/>
      <c r="W32" s="2704"/>
      <c r="X32" s="2704"/>
      <c r="Y32" s="2704"/>
      <c r="Z32" s="2704"/>
      <c r="AA32" s="2704"/>
      <c r="AB32" s="2704"/>
      <c r="AC32" s="599"/>
      <c r="AD32" s="599"/>
      <c r="AE32" s="599"/>
      <c r="AF32" s="599"/>
    </row>
    <row r="33" spans="1:32" s="597" customFormat="1" ht="14.1" customHeight="1" x14ac:dyDescent="0.2">
      <c r="A33" s="2686" t="s">
        <v>2</v>
      </c>
      <c r="B33" s="360"/>
      <c r="C33" s="2686" t="s">
        <v>3</v>
      </c>
      <c r="D33" s="360"/>
      <c r="E33" s="360"/>
      <c r="F33" s="2693" t="s">
        <v>4</v>
      </c>
      <c r="G33" s="2693"/>
      <c r="H33" s="2693"/>
      <c r="I33" s="2694"/>
      <c r="J33" s="2694"/>
      <c r="K33" s="2695"/>
      <c r="L33" s="361"/>
      <c r="M33" s="2679" t="s">
        <v>5</v>
      </c>
      <c r="N33" s="2679"/>
      <c r="O33" s="2679"/>
      <c r="P33" s="2679"/>
      <c r="Q33" s="2696"/>
      <c r="R33" s="2696"/>
      <c r="S33" s="2696"/>
      <c r="T33" s="2696"/>
      <c r="U33" s="2696"/>
      <c r="V33" s="2697"/>
      <c r="W33" s="362" t="s">
        <v>6</v>
      </c>
      <c r="X33" s="363" t="s">
        <v>7</v>
      </c>
      <c r="Y33" s="364"/>
      <c r="Z33" s="364"/>
      <c r="AA33" s="363"/>
      <c r="AB33" s="365"/>
      <c r="AC33" s="516" t="s">
        <v>8</v>
      </c>
      <c r="AD33" s="346"/>
      <c r="AE33" s="346"/>
      <c r="AF33" s="600"/>
    </row>
    <row r="34" spans="1:32" s="597" customFormat="1" ht="14.1" customHeight="1" x14ac:dyDescent="0.2">
      <c r="A34" s="2687"/>
      <c r="B34" s="367"/>
      <c r="C34" s="2687"/>
      <c r="D34" s="2062" t="s">
        <v>9</v>
      </c>
      <c r="E34" s="368" t="s">
        <v>10</v>
      </c>
      <c r="F34" s="2698" t="s">
        <v>11</v>
      </c>
      <c r="G34" s="2694"/>
      <c r="H34" s="2695"/>
      <c r="I34" s="360"/>
      <c r="J34" s="369" t="s">
        <v>12</v>
      </c>
      <c r="K34" s="360"/>
      <c r="L34" s="2679" t="s">
        <v>2</v>
      </c>
      <c r="M34" s="2067"/>
      <c r="N34" s="2067"/>
      <c r="O34" s="2067"/>
      <c r="P34" s="371"/>
      <c r="Q34" s="372" t="s">
        <v>13</v>
      </c>
      <c r="R34" s="373" t="s">
        <v>12</v>
      </c>
      <c r="S34" s="2067" t="s">
        <v>6</v>
      </c>
      <c r="T34" s="2682" t="s">
        <v>14</v>
      </c>
      <c r="U34" s="2683"/>
      <c r="V34" s="375" t="s">
        <v>7</v>
      </c>
      <c r="W34" s="376" t="s">
        <v>15</v>
      </c>
      <c r="X34" s="377" t="s">
        <v>16</v>
      </c>
      <c r="Y34" s="377" t="s">
        <v>17</v>
      </c>
      <c r="Z34" s="377" t="s">
        <v>18</v>
      </c>
      <c r="AA34" s="377"/>
      <c r="AB34" s="378" t="s">
        <v>19</v>
      </c>
      <c r="AC34" s="528" t="s">
        <v>20</v>
      </c>
      <c r="AD34" s="601"/>
      <c r="AE34" s="347" t="s">
        <v>21</v>
      </c>
      <c r="AF34" s="340" t="s">
        <v>22</v>
      </c>
    </row>
    <row r="35" spans="1:32" s="597" customFormat="1" ht="14.1" customHeight="1" x14ac:dyDescent="0.2">
      <c r="A35" s="2687"/>
      <c r="B35" s="2062" t="s">
        <v>23</v>
      </c>
      <c r="C35" s="2687"/>
      <c r="D35" s="2062" t="s">
        <v>24</v>
      </c>
      <c r="E35" s="368" t="s">
        <v>25</v>
      </c>
      <c r="F35" s="2699"/>
      <c r="G35" s="2700"/>
      <c r="H35" s="2701"/>
      <c r="I35" s="2062" t="s">
        <v>26</v>
      </c>
      <c r="J35" s="379" t="s">
        <v>15</v>
      </c>
      <c r="K35" s="2066" t="s">
        <v>6</v>
      </c>
      <c r="L35" s="2680"/>
      <c r="M35" s="2068" t="s">
        <v>27</v>
      </c>
      <c r="N35" s="2068" t="s">
        <v>10</v>
      </c>
      <c r="O35" s="382" t="s">
        <v>10</v>
      </c>
      <c r="P35" s="383" t="s">
        <v>28</v>
      </c>
      <c r="Q35" s="384" t="s">
        <v>29</v>
      </c>
      <c r="R35" s="383" t="s">
        <v>15</v>
      </c>
      <c r="S35" s="385" t="s">
        <v>15</v>
      </c>
      <c r="T35" s="2684"/>
      <c r="U35" s="2685"/>
      <c r="V35" s="375" t="s">
        <v>30</v>
      </c>
      <c r="W35" s="376" t="s">
        <v>31</v>
      </c>
      <c r="X35" s="377" t="s">
        <v>30</v>
      </c>
      <c r="Y35" s="377" t="s">
        <v>32</v>
      </c>
      <c r="Z35" s="377" t="s">
        <v>7</v>
      </c>
      <c r="AA35" s="377" t="s">
        <v>33</v>
      </c>
      <c r="AB35" s="378" t="s">
        <v>34</v>
      </c>
      <c r="AC35" s="528" t="s">
        <v>35</v>
      </c>
      <c r="AD35" s="347" t="s">
        <v>36</v>
      </c>
      <c r="AE35" s="347" t="s">
        <v>37</v>
      </c>
      <c r="AF35" s="340" t="s">
        <v>38</v>
      </c>
    </row>
    <row r="36" spans="1:32" s="597" customFormat="1" ht="14.1" customHeight="1" x14ac:dyDescent="0.2">
      <c r="A36" s="2687"/>
      <c r="B36" s="2062" t="s">
        <v>39</v>
      </c>
      <c r="C36" s="2687"/>
      <c r="D36" s="2062" t="s">
        <v>40</v>
      </c>
      <c r="E36" s="368" t="s">
        <v>41</v>
      </c>
      <c r="F36" s="2686" t="s">
        <v>42</v>
      </c>
      <c r="G36" s="2686" t="s">
        <v>43</v>
      </c>
      <c r="H36" s="2688" t="s">
        <v>44</v>
      </c>
      <c r="I36" s="2062" t="s">
        <v>45</v>
      </c>
      <c r="J36" s="379" t="s">
        <v>46</v>
      </c>
      <c r="K36" s="2066" t="s">
        <v>47</v>
      </c>
      <c r="L36" s="2680"/>
      <c r="M36" s="2068" t="s">
        <v>30</v>
      </c>
      <c r="N36" s="2068" t="s">
        <v>30</v>
      </c>
      <c r="O36" s="382" t="s">
        <v>25</v>
      </c>
      <c r="P36" s="383" t="s">
        <v>30</v>
      </c>
      <c r="Q36" s="384" t="s">
        <v>48</v>
      </c>
      <c r="R36" s="383" t="s">
        <v>49</v>
      </c>
      <c r="S36" s="385" t="s">
        <v>30</v>
      </c>
      <c r="T36" s="386" t="s">
        <v>50</v>
      </c>
      <c r="U36" s="2065" t="s">
        <v>13</v>
      </c>
      <c r="V36" s="375" t="s">
        <v>51</v>
      </c>
      <c r="W36" s="376" t="s">
        <v>52</v>
      </c>
      <c r="X36" s="377" t="s">
        <v>53</v>
      </c>
      <c r="Y36" s="377" t="s">
        <v>54</v>
      </c>
      <c r="Z36" s="377" t="s">
        <v>55</v>
      </c>
      <c r="AA36" s="377" t="s">
        <v>56</v>
      </c>
      <c r="AB36" s="378" t="s">
        <v>57</v>
      </c>
      <c r="AC36" s="347" t="s">
        <v>58</v>
      </c>
      <c r="AD36" s="347" t="s">
        <v>59</v>
      </c>
      <c r="AE36" s="347" t="s">
        <v>59</v>
      </c>
      <c r="AF36" s="340" t="s">
        <v>60</v>
      </c>
    </row>
    <row r="37" spans="1:32" s="597" customFormat="1" ht="14.1" customHeight="1" x14ac:dyDescent="0.2">
      <c r="A37" s="2687"/>
      <c r="B37" s="2062" t="s">
        <v>61</v>
      </c>
      <c r="C37" s="2687"/>
      <c r="D37" s="2062" t="s">
        <v>62</v>
      </c>
      <c r="E37" s="368" t="s">
        <v>63</v>
      </c>
      <c r="F37" s="2687"/>
      <c r="G37" s="2687"/>
      <c r="H37" s="2689"/>
      <c r="I37" s="2062" t="s">
        <v>64</v>
      </c>
      <c r="J37" s="379" t="s">
        <v>59</v>
      </c>
      <c r="K37" s="2066" t="s">
        <v>59</v>
      </c>
      <c r="L37" s="2680"/>
      <c r="M37" s="2068"/>
      <c r="N37" s="2068"/>
      <c r="O37" s="382" t="s">
        <v>41</v>
      </c>
      <c r="P37" s="383" t="s">
        <v>65</v>
      </c>
      <c r="Q37" s="384" t="s">
        <v>66</v>
      </c>
      <c r="R37" s="383" t="s">
        <v>67</v>
      </c>
      <c r="S37" s="385" t="s">
        <v>59</v>
      </c>
      <c r="T37" s="387" t="s">
        <v>68</v>
      </c>
      <c r="U37" s="375" t="s">
        <v>14</v>
      </c>
      <c r="V37" s="375" t="s">
        <v>14</v>
      </c>
      <c r="W37" s="376" t="s">
        <v>30</v>
      </c>
      <c r="X37" s="388" t="s">
        <v>69</v>
      </c>
      <c r="Y37" s="388" t="s">
        <v>70</v>
      </c>
      <c r="Z37" s="377" t="s">
        <v>71</v>
      </c>
      <c r="AA37" s="377" t="s">
        <v>72</v>
      </c>
      <c r="AB37" s="378" t="s">
        <v>59</v>
      </c>
      <c r="AC37" s="347" t="s">
        <v>59</v>
      </c>
      <c r="AD37" s="347"/>
      <c r="AE37" s="347"/>
      <c r="AF37" s="340" t="s">
        <v>59</v>
      </c>
    </row>
    <row r="38" spans="1:32" s="597" customFormat="1" ht="14.1" customHeight="1" x14ac:dyDescent="0.2">
      <c r="A38" s="2692"/>
      <c r="B38" s="390"/>
      <c r="C38" s="2692"/>
      <c r="D38" s="390"/>
      <c r="E38" s="2063"/>
      <c r="F38" s="390"/>
      <c r="G38" s="390"/>
      <c r="H38" s="391"/>
      <c r="I38" s="2063"/>
      <c r="J38" s="392"/>
      <c r="K38" s="393"/>
      <c r="L38" s="2681"/>
      <c r="M38" s="2069"/>
      <c r="N38" s="2069"/>
      <c r="O38" s="2069" t="s">
        <v>63</v>
      </c>
      <c r="P38" s="395"/>
      <c r="Q38" s="396" t="s">
        <v>72</v>
      </c>
      <c r="R38" s="397" t="s">
        <v>59</v>
      </c>
      <c r="S38" s="398"/>
      <c r="T38" s="397" t="s">
        <v>73</v>
      </c>
      <c r="U38" s="398" t="s">
        <v>59</v>
      </c>
      <c r="V38" s="399" t="s">
        <v>59</v>
      </c>
      <c r="W38" s="400" t="s">
        <v>59</v>
      </c>
      <c r="X38" s="401" t="s">
        <v>59</v>
      </c>
      <c r="Y38" s="401" t="s">
        <v>59</v>
      </c>
      <c r="Z38" s="401" t="s">
        <v>59</v>
      </c>
      <c r="AA38" s="402"/>
      <c r="AB38" s="403"/>
      <c r="AC38" s="348"/>
      <c r="AD38" s="348"/>
      <c r="AE38" s="348"/>
      <c r="AF38" s="341"/>
    </row>
    <row r="39" spans="1:32" s="597" customFormat="1" ht="18" customHeight="1" x14ac:dyDescent="0.25">
      <c r="A39" s="16">
        <v>1</v>
      </c>
      <c r="B39" s="333">
        <v>29723</v>
      </c>
      <c r="C39" s="41">
        <v>834</v>
      </c>
      <c r="D39" s="41" t="s">
        <v>83</v>
      </c>
      <c r="E39" s="15">
        <v>5</v>
      </c>
      <c r="F39" s="41">
        <v>1</v>
      </c>
      <c r="G39" s="41">
        <v>0</v>
      </c>
      <c r="H39" s="267">
        <v>54</v>
      </c>
      <c r="I39" s="18">
        <f>F39*400+G39*100+H39</f>
        <v>454</v>
      </c>
      <c r="J39" s="23">
        <v>1000</v>
      </c>
      <c r="K39" s="39">
        <f>SUM(I39*J39)</f>
        <v>454000</v>
      </c>
      <c r="L39" s="773"/>
      <c r="M39" s="772"/>
      <c r="N39" s="485"/>
      <c r="O39" s="775"/>
      <c r="P39" s="774"/>
      <c r="Q39" s="1439"/>
      <c r="R39" s="773"/>
      <c r="S39" s="773"/>
      <c r="T39" s="774"/>
      <c r="U39" s="485"/>
      <c r="V39" s="775"/>
      <c r="W39" s="773"/>
      <c r="X39" s="777"/>
      <c r="Y39" s="485"/>
      <c r="Z39" s="1440"/>
      <c r="AA39" s="1441"/>
      <c r="AB39" s="406">
        <f>+Z39*AA39/100</f>
        <v>0</v>
      </c>
      <c r="AC39" s="1014"/>
      <c r="AD39" s="349">
        <f t="shared" ref="AD39:AD46" si="5">AB39-AC39</f>
        <v>0</v>
      </c>
      <c r="AE39" s="349">
        <f t="shared" ref="AE39:AE46" si="6">IF(AD39&lt;=0,0,AD39*25/100)</f>
        <v>0</v>
      </c>
      <c r="AF39" s="349">
        <f t="shared" ref="AF39:AF46" si="7">IF(AC39+AE39&gt;AB39,AB39,AC39+AE39)</f>
        <v>0</v>
      </c>
    </row>
    <row r="40" spans="1:32" s="597" customFormat="1" ht="18" customHeight="1" x14ac:dyDescent="0.2">
      <c r="A40" s="50"/>
      <c r="B40" s="50"/>
      <c r="C40" s="50"/>
      <c r="D40" s="15"/>
      <c r="E40" s="15"/>
      <c r="F40" s="15">
        <v>0</v>
      </c>
      <c r="G40" s="15">
        <v>2</v>
      </c>
      <c r="H40" s="284">
        <v>0</v>
      </c>
      <c r="I40" s="18">
        <f>F40*400+G40*100+H40</f>
        <v>200</v>
      </c>
      <c r="J40" s="23">
        <v>1000</v>
      </c>
      <c r="K40" s="39">
        <f>SUM(I40*J40)</f>
        <v>200000</v>
      </c>
      <c r="L40" s="45">
        <v>1</v>
      </c>
      <c r="M40" s="88">
        <v>103</v>
      </c>
      <c r="N40" s="27" t="s">
        <v>74</v>
      </c>
      <c r="O40" s="50">
        <v>2</v>
      </c>
      <c r="P40" s="270">
        <f>7.4*14.1</f>
        <v>104.34</v>
      </c>
      <c r="Q40" s="76" t="s">
        <v>75</v>
      </c>
      <c r="R40" s="260">
        <v>9050</v>
      </c>
      <c r="S40" s="18">
        <f t="shared" ref="S40:S46" si="8">P40*R40</f>
        <v>944277</v>
      </c>
      <c r="T40" s="59">
        <v>15</v>
      </c>
      <c r="U40" s="47">
        <f>+S40*0.2</f>
        <v>188855.40000000002</v>
      </c>
      <c r="V40" s="18">
        <f t="shared" ref="V40:V46" si="9">SUM(S40-U40)</f>
        <v>755421.6</v>
      </c>
      <c r="W40" s="18">
        <f>K40+V40</f>
        <v>955421.6</v>
      </c>
      <c r="X40" s="18">
        <f t="shared" ref="X40:X46" si="10">W40</f>
        <v>955421.6</v>
      </c>
      <c r="Y40" s="18" t="s">
        <v>213</v>
      </c>
      <c r="Z40" s="18">
        <v>0</v>
      </c>
      <c r="AA40" s="264">
        <v>0.02</v>
      </c>
      <c r="AB40" s="415">
        <f t="shared" ref="AB40" si="11">+Z40*AA40/100</f>
        <v>0</v>
      </c>
      <c r="AC40" s="1014"/>
      <c r="AD40" s="349">
        <f t="shared" si="5"/>
        <v>0</v>
      </c>
      <c r="AE40" s="349">
        <f t="shared" si="6"/>
        <v>0</v>
      </c>
      <c r="AF40" s="349">
        <f t="shared" si="7"/>
        <v>0</v>
      </c>
    </row>
    <row r="41" spans="1:32" s="597" customFormat="1" ht="18" customHeight="1" x14ac:dyDescent="0.25">
      <c r="A41" s="269"/>
      <c r="B41" s="269"/>
      <c r="C41" s="285"/>
      <c r="D41" s="273"/>
      <c r="E41" s="273"/>
      <c r="F41" s="15">
        <v>0</v>
      </c>
      <c r="G41" s="15">
        <v>1</v>
      </c>
      <c r="H41" s="284">
        <v>10</v>
      </c>
      <c r="I41" s="18">
        <f t="shared" ref="I41:I46" si="12">F41*400+G41*100+H41</f>
        <v>110</v>
      </c>
      <c r="J41" s="23">
        <v>1000</v>
      </c>
      <c r="K41" s="39">
        <f t="shared" ref="K41:K46" si="13">SUM(I41*J41)</f>
        <v>110000</v>
      </c>
      <c r="L41" s="45">
        <v>2</v>
      </c>
      <c r="M41" s="88">
        <v>103</v>
      </c>
      <c r="N41" s="27" t="s">
        <v>74</v>
      </c>
      <c r="O41" s="50">
        <v>2</v>
      </c>
      <c r="P41" s="270">
        <f>4*10.28</f>
        <v>41.12</v>
      </c>
      <c r="Q41" s="76" t="s">
        <v>75</v>
      </c>
      <c r="R41" s="260">
        <v>9050</v>
      </c>
      <c r="S41" s="18">
        <f t="shared" si="8"/>
        <v>372136</v>
      </c>
      <c r="T41" s="59">
        <v>15</v>
      </c>
      <c r="U41" s="47">
        <f>+S41*0.2</f>
        <v>74427.199999999997</v>
      </c>
      <c r="V41" s="18">
        <f t="shared" si="9"/>
        <v>297708.79999999999</v>
      </c>
      <c r="W41" s="18">
        <f t="shared" ref="W41:W46" si="14">K41+V41</f>
        <v>407708.8</v>
      </c>
      <c r="X41" s="18">
        <f t="shared" si="10"/>
        <v>407708.8</v>
      </c>
      <c r="Y41" s="18"/>
      <c r="Z41" s="18">
        <f t="shared" ref="Z41:Z46" si="15">+X41</f>
        <v>407708.8</v>
      </c>
      <c r="AA41" s="264">
        <v>0.02</v>
      </c>
      <c r="AB41" s="415">
        <f>+Z41*AA41/100</f>
        <v>81.541760000000011</v>
      </c>
      <c r="AC41" s="350"/>
      <c r="AD41" s="349">
        <f t="shared" si="5"/>
        <v>81.541760000000011</v>
      </c>
      <c r="AE41" s="349">
        <f t="shared" si="6"/>
        <v>20.385440000000003</v>
      </c>
      <c r="AF41" s="349">
        <f t="shared" si="7"/>
        <v>20.385440000000003</v>
      </c>
    </row>
    <row r="42" spans="1:32" s="597" customFormat="1" ht="18" customHeight="1" x14ac:dyDescent="0.25">
      <c r="A42" s="269"/>
      <c r="B42" s="269"/>
      <c r="C42" s="285"/>
      <c r="D42" s="273"/>
      <c r="E42" s="273"/>
      <c r="F42" s="268">
        <v>0</v>
      </c>
      <c r="G42" s="269">
        <v>1</v>
      </c>
      <c r="H42" s="266">
        <v>34</v>
      </c>
      <c r="I42" s="18">
        <f t="shared" si="12"/>
        <v>134</v>
      </c>
      <c r="J42" s="23">
        <v>1000</v>
      </c>
      <c r="K42" s="39">
        <f t="shared" si="13"/>
        <v>134000</v>
      </c>
      <c r="L42" s="45">
        <v>3</v>
      </c>
      <c r="M42" s="2070">
        <v>401</v>
      </c>
      <c r="N42" s="15" t="s">
        <v>74</v>
      </c>
      <c r="O42" s="50">
        <v>2</v>
      </c>
      <c r="P42" s="15">
        <f>14.15*6.8</f>
        <v>96.22</v>
      </c>
      <c r="Q42" s="62" t="s">
        <v>75</v>
      </c>
      <c r="R42" s="260">
        <v>8000</v>
      </c>
      <c r="S42" s="18">
        <f t="shared" si="8"/>
        <v>769760</v>
      </c>
      <c r="T42" s="59">
        <v>15</v>
      </c>
      <c r="U42" s="47">
        <f>+S42*0.2</f>
        <v>153952</v>
      </c>
      <c r="V42" s="47">
        <f t="shared" si="9"/>
        <v>615808</v>
      </c>
      <c r="W42" s="18">
        <f t="shared" si="14"/>
        <v>749808</v>
      </c>
      <c r="X42" s="47">
        <f t="shared" si="10"/>
        <v>749808</v>
      </c>
      <c r="Y42" s="18"/>
      <c r="Z42" s="18">
        <f t="shared" si="15"/>
        <v>749808</v>
      </c>
      <c r="AA42" s="264">
        <v>0.02</v>
      </c>
      <c r="AB42" s="415">
        <f t="shared" ref="AB42:AB46" si="16">+Z42*AA42/100</f>
        <v>149.9616</v>
      </c>
      <c r="AC42" s="350"/>
      <c r="AD42" s="349">
        <f t="shared" si="5"/>
        <v>149.9616</v>
      </c>
      <c r="AE42" s="349">
        <f t="shared" si="6"/>
        <v>37.490400000000001</v>
      </c>
      <c r="AF42" s="349">
        <f t="shared" si="7"/>
        <v>37.490400000000001</v>
      </c>
    </row>
    <row r="43" spans="1:32" s="597" customFormat="1" ht="18" customHeight="1" x14ac:dyDescent="0.25">
      <c r="A43" s="269"/>
      <c r="B43" s="269"/>
      <c r="C43" s="285"/>
      <c r="D43" s="273"/>
      <c r="E43" s="273"/>
      <c r="F43" s="268"/>
      <c r="G43" s="269"/>
      <c r="H43" s="266"/>
      <c r="I43" s="18"/>
      <c r="J43" s="23"/>
      <c r="K43" s="39"/>
      <c r="L43" s="269"/>
      <c r="M43" s="2070">
        <v>103</v>
      </c>
      <c r="N43" s="15" t="s">
        <v>74</v>
      </c>
      <c r="O43" s="50">
        <v>2</v>
      </c>
      <c r="P43" s="15">
        <f>7.17*5</f>
        <v>35.85</v>
      </c>
      <c r="Q43" s="62" t="s">
        <v>75</v>
      </c>
      <c r="R43" s="260">
        <v>9050</v>
      </c>
      <c r="S43" s="18">
        <f t="shared" si="8"/>
        <v>324442.5</v>
      </c>
      <c r="T43" s="59">
        <v>15</v>
      </c>
      <c r="U43" s="47">
        <f>+S43*0.2</f>
        <v>64888.5</v>
      </c>
      <c r="V43" s="47">
        <f t="shared" si="9"/>
        <v>259554</v>
      </c>
      <c r="W43" s="18">
        <f t="shared" si="14"/>
        <v>259554</v>
      </c>
      <c r="X43" s="47">
        <f t="shared" si="10"/>
        <v>259554</v>
      </c>
      <c r="Y43" s="18"/>
      <c r="Z43" s="18">
        <f t="shared" si="15"/>
        <v>259554</v>
      </c>
      <c r="AA43" s="264">
        <v>0.02</v>
      </c>
      <c r="AB43" s="415">
        <f t="shared" si="16"/>
        <v>51.910800000000002</v>
      </c>
      <c r="AC43" s="350"/>
      <c r="AD43" s="349">
        <f t="shared" si="5"/>
        <v>51.910800000000002</v>
      </c>
      <c r="AE43" s="349">
        <f t="shared" si="6"/>
        <v>12.9777</v>
      </c>
      <c r="AF43" s="349">
        <f t="shared" si="7"/>
        <v>12.9777</v>
      </c>
    </row>
    <row r="44" spans="1:32" s="597" customFormat="1" ht="18" customHeight="1" x14ac:dyDescent="0.25">
      <c r="A44" s="269"/>
      <c r="B44" s="269"/>
      <c r="C44" s="285"/>
      <c r="D44" s="273"/>
      <c r="E44" s="273"/>
      <c r="F44" s="268"/>
      <c r="G44" s="269"/>
      <c r="H44" s="266"/>
      <c r="I44" s="18"/>
      <c r="J44" s="23"/>
      <c r="K44" s="39"/>
      <c r="L44" s="269"/>
      <c r="M44" s="2070">
        <v>103</v>
      </c>
      <c r="N44" s="15" t="s">
        <v>74</v>
      </c>
      <c r="O44" s="50">
        <v>2</v>
      </c>
      <c r="P44" s="15">
        <f>7.4*14.1</f>
        <v>104.34</v>
      </c>
      <c r="Q44" s="62" t="s">
        <v>75</v>
      </c>
      <c r="R44" s="260">
        <v>9050</v>
      </c>
      <c r="S44" s="18">
        <f t="shared" si="8"/>
        <v>944277</v>
      </c>
      <c r="T44" s="59">
        <v>15</v>
      </c>
      <c r="U44" s="47">
        <f>+S44*0.2</f>
        <v>188855.40000000002</v>
      </c>
      <c r="V44" s="47">
        <f t="shared" si="9"/>
        <v>755421.6</v>
      </c>
      <c r="W44" s="18">
        <f t="shared" si="14"/>
        <v>755421.6</v>
      </c>
      <c r="X44" s="47">
        <f t="shared" si="10"/>
        <v>755421.6</v>
      </c>
      <c r="Y44" s="18"/>
      <c r="Z44" s="18">
        <f t="shared" si="15"/>
        <v>755421.6</v>
      </c>
      <c r="AA44" s="264">
        <v>0.02</v>
      </c>
      <c r="AB44" s="415">
        <f t="shared" si="16"/>
        <v>151.08432000000002</v>
      </c>
      <c r="AC44" s="350"/>
      <c r="AD44" s="349">
        <f t="shared" si="5"/>
        <v>151.08432000000002</v>
      </c>
      <c r="AE44" s="349">
        <f t="shared" si="6"/>
        <v>37.771080000000005</v>
      </c>
      <c r="AF44" s="349">
        <f t="shared" si="7"/>
        <v>37.771080000000005</v>
      </c>
    </row>
    <row r="45" spans="1:32" s="597" customFormat="1" ht="18" customHeight="1" x14ac:dyDescent="0.25">
      <c r="A45" s="269"/>
      <c r="B45" s="269"/>
      <c r="C45" s="285"/>
      <c r="D45" s="273"/>
      <c r="E45" s="273"/>
      <c r="F45" s="268"/>
      <c r="G45" s="269"/>
      <c r="H45" s="266"/>
      <c r="I45" s="18"/>
      <c r="J45" s="23"/>
      <c r="K45" s="39"/>
      <c r="L45" s="269"/>
      <c r="M45" s="2070">
        <v>101</v>
      </c>
      <c r="N45" s="15" t="s">
        <v>82</v>
      </c>
      <c r="O45" s="50">
        <v>2</v>
      </c>
      <c r="P45" s="15">
        <f>3.9*6.1</f>
        <v>23.79</v>
      </c>
      <c r="Q45" s="62" t="s">
        <v>75</v>
      </c>
      <c r="R45" s="260">
        <v>7700</v>
      </c>
      <c r="S45" s="18">
        <f t="shared" si="8"/>
        <v>183183</v>
      </c>
      <c r="T45" s="59">
        <v>15</v>
      </c>
      <c r="U45" s="47">
        <f>+S45*0.65</f>
        <v>119068.95</v>
      </c>
      <c r="V45" s="47">
        <f t="shared" si="9"/>
        <v>64114.05</v>
      </c>
      <c r="W45" s="18">
        <f t="shared" si="14"/>
        <v>64114.05</v>
      </c>
      <c r="X45" s="47">
        <f t="shared" si="10"/>
        <v>64114.05</v>
      </c>
      <c r="Y45" s="18"/>
      <c r="Z45" s="18">
        <f t="shared" si="15"/>
        <v>64114.05</v>
      </c>
      <c r="AA45" s="264">
        <v>0.02</v>
      </c>
      <c r="AB45" s="415">
        <f t="shared" si="16"/>
        <v>12.822810000000002</v>
      </c>
      <c r="AC45" s="350"/>
      <c r="AD45" s="349">
        <f t="shared" si="5"/>
        <v>12.822810000000002</v>
      </c>
      <c r="AE45" s="349">
        <f t="shared" si="6"/>
        <v>3.2057025000000006</v>
      </c>
      <c r="AF45" s="349">
        <f t="shared" si="7"/>
        <v>3.2057025000000006</v>
      </c>
    </row>
    <row r="46" spans="1:32" s="597" customFormat="1" ht="18" customHeight="1" x14ac:dyDescent="0.25">
      <c r="A46" s="269"/>
      <c r="B46" s="269"/>
      <c r="C46" s="285"/>
      <c r="D46" s="273"/>
      <c r="E46" s="273"/>
      <c r="F46" s="268">
        <v>0</v>
      </c>
      <c r="G46" s="269">
        <v>0</v>
      </c>
      <c r="H46" s="266">
        <v>10</v>
      </c>
      <c r="I46" s="18">
        <f t="shared" si="12"/>
        <v>10</v>
      </c>
      <c r="J46" s="23">
        <v>1000</v>
      </c>
      <c r="K46" s="39">
        <f t="shared" si="13"/>
        <v>10000</v>
      </c>
      <c r="L46" s="269">
        <v>4</v>
      </c>
      <c r="M46" s="242">
        <v>518</v>
      </c>
      <c r="N46" s="269" t="s">
        <v>82</v>
      </c>
      <c r="O46" s="269">
        <v>3</v>
      </c>
      <c r="P46" s="266">
        <f>8.2*4.15</f>
        <v>34.03</v>
      </c>
      <c r="Q46" s="62" t="s">
        <v>75</v>
      </c>
      <c r="R46" s="260">
        <v>6050</v>
      </c>
      <c r="S46" s="18">
        <f t="shared" si="8"/>
        <v>205881.5</v>
      </c>
      <c r="T46" s="59">
        <v>15</v>
      </c>
      <c r="U46" s="47">
        <f>+S46*0.65</f>
        <v>133822.97500000001</v>
      </c>
      <c r="V46" s="47">
        <f t="shared" si="9"/>
        <v>72058.524999999994</v>
      </c>
      <c r="W46" s="18">
        <f t="shared" si="14"/>
        <v>82058.524999999994</v>
      </c>
      <c r="X46" s="47">
        <f t="shared" si="10"/>
        <v>82058.524999999994</v>
      </c>
      <c r="Y46" s="18"/>
      <c r="Z46" s="18">
        <f t="shared" si="15"/>
        <v>82058.524999999994</v>
      </c>
      <c r="AA46" s="264">
        <v>0.3</v>
      </c>
      <c r="AB46" s="415">
        <f t="shared" si="16"/>
        <v>246.17557499999998</v>
      </c>
      <c r="AC46" s="350"/>
      <c r="AD46" s="349">
        <f t="shared" si="5"/>
        <v>246.17557499999998</v>
      </c>
      <c r="AE46" s="349">
        <f t="shared" si="6"/>
        <v>61.543893749999995</v>
      </c>
      <c r="AF46" s="349">
        <f t="shared" si="7"/>
        <v>61.543893749999995</v>
      </c>
    </row>
    <row r="47" spans="1:32" s="597" customFormat="1" ht="18" customHeight="1" x14ac:dyDescent="0.2">
      <c r="A47" s="2070"/>
      <c r="B47" s="177"/>
      <c r="C47" s="177"/>
      <c r="D47" s="2070"/>
      <c r="E47" s="2070"/>
      <c r="F47" s="2070"/>
      <c r="G47" s="2070"/>
      <c r="H47" s="2076"/>
      <c r="I47" s="2072"/>
      <c r="J47" s="178"/>
      <c r="K47" s="2072"/>
      <c r="L47" s="2070"/>
      <c r="M47" s="2070"/>
      <c r="N47" s="2070"/>
      <c r="O47" s="2070"/>
      <c r="P47" s="2076"/>
      <c r="Q47" s="2071"/>
      <c r="R47" s="437"/>
      <c r="S47" s="2072"/>
      <c r="T47" s="179"/>
      <c r="U47" s="178"/>
      <c r="V47" s="2072"/>
      <c r="W47" s="2072"/>
      <c r="X47" s="470"/>
      <c r="Y47" s="470"/>
      <c r="Z47" s="471"/>
      <c r="AA47" s="764"/>
      <c r="AB47" s="466"/>
      <c r="AC47" s="350"/>
      <c r="AD47" s="350"/>
      <c r="AE47" s="350"/>
      <c r="AF47" s="350"/>
    </row>
    <row r="48" spans="1:32" s="597" customFormat="1" ht="18" customHeight="1" x14ac:dyDescent="0.2">
      <c r="A48" s="2070"/>
      <c r="B48" s="177"/>
      <c r="C48" s="177"/>
      <c r="D48" s="2070"/>
      <c r="E48" s="2070"/>
      <c r="F48" s="2070"/>
      <c r="G48" s="2070"/>
      <c r="H48" s="2076"/>
      <c r="I48" s="2072"/>
      <c r="J48" s="178"/>
      <c r="K48" s="2072"/>
      <c r="L48" s="2070"/>
      <c r="M48" s="2070"/>
      <c r="N48" s="2070"/>
      <c r="O48" s="2070"/>
      <c r="P48" s="2076"/>
      <c r="Q48" s="2071"/>
      <c r="R48" s="437"/>
      <c r="S48" s="2072"/>
      <c r="T48" s="179"/>
      <c r="U48" s="178"/>
      <c r="V48" s="2072"/>
      <c r="W48" s="2072"/>
      <c r="X48" s="470"/>
      <c r="Y48" s="470"/>
      <c r="Z48" s="471"/>
      <c r="AA48" s="764"/>
      <c r="AB48" s="466"/>
      <c r="AC48" s="350"/>
      <c r="AD48" s="350"/>
      <c r="AE48" s="350"/>
      <c r="AF48" s="350"/>
    </row>
    <row r="49" spans="1:32" s="597" customFormat="1" ht="18" customHeight="1" x14ac:dyDescent="0.2">
      <c r="A49" s="2070"/>
      <c r="B49" s="177"/>
      <c r="C49" s="177"/>
      <c r="D49" s="2070"/>
      <c r="E49" s="2070"/>
      <c r="F49" s="2070"/>
      <c r="G49" s="2070"/>
      <c r="H49" s="2076"/>
      <c r="I49" s="2072"/>
      <c r="J49" s="178"/>
      <c r="K49" s="2072"/>
      <c r="L49" s="2070"/>
      <c r="M49" s="2070"/>
      <c r="N49" s="2070"/>
      <c r="O49" s="2070"/>
      <c r="P49" s="2076"/>
      <c r="Q49" s="2071"/>
      <c r="R49" s="437"/>
      <c r="S49" s="2072"/>
      <c r="T49" s="179"/>
      <c r="U49" s="178"/>
      <c r="V49" s="2072"/>
      <c r="W49" s="2072"/>
      <c r="X49" s="470"/>
      <c r="Y49" s="470"/>
      <c r="Z49" s="471"/>
      <c r="AA49" s="764"/>
      <c r="AB49" s="466"/>
      <c r="AC49" s="350"/>
      <c r="AD49" s="350"/>
      <c r="AE49" s="350"/>
      <c r="AF49" s="350"/>
    </row>
    <row r="50" spans="1:32" s="597" customFormat="1" ht="18" customHeight="1" x14ac:dyDescent="0.2">
      <c r="A50" s="2070"/>
      <c r="B50" s="177"/>
      <c r="C50" s="177"/>
      <c r="D50" s="2070"/>
      <c r="E50" s="2070"/>
      <c r="F50" s="2070"/>
      <c r="G50" s="2070"/>
      <c r="H50" s="2076"/>
      <c r="I50" s="2072"/>
      <c r="J50" s="178"/>
      <c r="K50" s="2072"/>
      <c r="L50" s="2070"/>
      <c r="M50" s="2070"/>
      <c r="N50" s="2070"/>
      <c r="O50" s="2070"/>
      <c r="P50" s="2076"/>
      <c r="Q50" s="2071"/>
      <c r="R50" s="437"/>
      <c r="S50" s="2072"/>
      <c r="T50" s="179"/>
      <c r="U50" s="178"/>
      <c r="V50" s="2072"/>
      <c r="W50" s="2072"/>
      <c r="X50" s="470"/>
      <c r="Y50" s="470"/>
      <c r="Z50" s="471"/>
      <c r="AA50" s="764"/>
      <c r="AB50" s="466"/>
      <c r="AC50" s="350"/>
      <c r="AD50" s="350"/>
      <c r="AE50" s="350"/>
      <c r="AF50" s="350"/>
    </row>
    <row r="51" spans="1:32" s="597" customFormat="1" ht="18" customHeight="1" x14ac:dyDescent="0.2">
      <c r="A51" s="2070"/>
      <c r="B51" s="177"/>
      <c r="C51" s="177"/>
      <c r="D51" s="2070"/>
      <c r="E51" s="2070"/>
      <c r="F51" s="2070"/>
      <c r="G51" s="2070"/>
      <c r="H51" s="2076"/>
      <c r="I51" s="2072"/>
      <c r="J51" s="178"/>
      <c r="K51" s="2072"/>
      <c r="L51" s="2070"/>
      <c r="M51" s="2070"/>
      <c r="N51" s="2070"/>
      <c r="O51" s="2070"/>
      <c r="P51" s="2076"/>
      <c r="Q51" s="2071"/>
      <c r="R51" s="437"/>
      <c r="S51" s="2072"/>
      <c r="T51" s="179"/>
      <c r="U51" s="178"/>
      <c r="V51" s="2072"/>
      <c r="W51" s="2072"/>
      <c r="X51" s="470"/>
      <c r="Y51" s="470"/>
      <c r="Z51" s="471"/>
      <c r="AA51" s="764"/>
      <c r="AB51" s="466"/>
      <c r="AC51" s="350"/>
      <c r="AD51" s="350"/>
      <c r="AE51" s="350"/>
      <c r="AF51" s="350"/>
    </row>
    <row r="52" spans="1:32" s="597" customFormat="1" ht="18" customHeight="1" x14ac:dyDescent="0.2">
      <c r="A52" s="88"/>
      <c r="B52" s="180"/>
      <c r="C52" s="180"/>
      <c r="D52" s="88"/>
      <c r="E52" s="88"/>
      <c r="F52" s="88"/>
      <c r="G52" s="88"/>
      <c r="H52" s="120"/>
      <c r="I52" s="121"/>
      <c r="J52" s="181"/>
      <c r="K52" s="121"/>
      <c r="L52" s="88"/>
      <c r="M52" s="88"/>
      <c r="N52" s="88"/>
      <c r="O52" s="88"/>
      <c r="P52" s="88"/>
      <c r="Q52" s="129"/>
      <c r="R52" s="445"/>
      <c r="S52" s="121"/>
      <c r="T52" s="182"/>
      <c r="U52" s="181"/>
      <c r="V52" s="121"/>
      <c r="W52" s="121"/>
      <c r="X52" s="472"/>
      <c r="Y52" s="472"/>
      <c r="Z52" s="473"/>
      <c r="AA52" s="780"/>
      <c r="AB52" s="410"/>
      <c r="AC52" s="351"/>
      <c r="AD52" s="351"/>
      <c r="AE52" s="351"/>
      <c r="AF52" s="351"/>
    </row>
    <row r="53" spans="1:32" s="597" customFormat="1" ht="18" customHeight="1" x14ac:dyDescent="0.2">
      <c r="A53" s="1850"/>
      <c r="B53" s="1850"/>
      <c r="C53" s="1850"/>
      <c r="D53" s="1850"/>
      <c r="E53" s="1850"/>
      <c r="F53" s="1850"/>
      <c r="G53" s="1850"/>
      <c r="H53" s="1851"/>
      <c r="I53" s="1852"/>
      <c r="J53" s="1853"/>
      <c r="K53" s="1852"/>
      <c r="L53" s="1852"/>
      <c r="M53" s="1852"/>
      <c r="N53" s="1852"/>
      <c r="O53" s="1852"/>
      <c r="P53" s="1852"/>
      <c r="Q53" s="1852"/>
      <c r="R53" s="1854"/>
      <c r="S53" s="1852"/>
      <c r="T53" s="1855"/>
      <c r="U53" s="1853"/>
      <c r="V53" s="1852"/>
      <c r="W53" s="1852"/>
      <c r="X53" s="1856"/>
      <c r="Y53" s="1856"/>
      <c r="Z53" s="1857"/>
      <c r="AA53" s="2125"/>
      <c r="AB53" s="1847">
        <f>SUM(AB39:AB52)</f>
        <v>693.49686500000007</v>
      </c>
      <c r="AC53" s="1861"/>
      <c r="AD53" s="1861"/>
      <c r="AE53" s="1861"/>
      <c r="AF53" s="1861"/>
    </row>
    <row r="54" spans="1:32" s="597" customFormat="1" ht="14.1" customHeight="1" x14ac:dyDescent="0.2">
      <c r="A54" s="2690" t="s">
        <v>76</v>
      </c>
      <c r="B54" s="2690"/>
      <c r="C54" s="2691" t="s">
        <v>77</v>
      </c>
      <c r="D54" s="2691"/>
      <c r="E54" s="2691"/>
      <c r="F54" s="2691"/>
      <c r="G54" s="2691"/>
      <c r="H54" s="2691"/>
      <c r="I54" s="604" t="s">
        <v>78</v>
      </c>
      <c r="J54" s="604"/>
      <c r="K54" s="604"/>
      <c r="L54" s="604"/>
      <c r="M54" s="604"/>
      <c r="N54" s="604"/>
      <c r="AA54" s="767"/>
      <c r="AB54" s="598"/>
    </row>
    <row r="55" spans="1:32" s="597" customFormat="1" ht="14.1" customHeight="1" x14ac:dyDescent="0.2">
      <c r="A55" s="604"/>
      <c r="B55" s="605"/>
      <c r="C55" s="604"/>
      <c r="D55" s="604"/>
      <c r="E55" s="604"/>
      <c r="F55" s="604"/>
      <c r="G55" s="604"/>
      <c r="H55" s="604"/>
      <c r="I55" s="604" t="s">
        <v>79</v>
      </c>
      <c r="J55" s="604"/>
      <c r="K55" s="604"/>
      <c r="L55" s="604"/>
      <c r="M55" s="604"/>
      <c r="N55" s="604"/>
      <c r="AA55" s="767"/>
      <c r="AB55" s="598"/>
    </row>
    <row r="56" spans="1:32" s="597" customFormat="1" ht="14.1" customHeight="1" x14ac:dyDescent="0.2">
      <c r="A56" s="604"/>
      <c r="B56" s="605"/>
      <c r="C56" s="604"/>
      <c r="D56" s="604"/>
      <c r="E56" s="604"/>
      <c r="F56" s="604"/>
      <c r="G56" s="604"/>
      <c r="H56" s="604"/>
      <c r="I56" s="604" t="s">
        <v>80</v>
      </c>
      <c r="J56" s="604"/>
      <c r="K56" s="604"/>
      <c r="L56" s="604"/>
      <c r="M56" s="604"/>
      <c r="N56" s="604"/>
      <c r="AA56" s="767"/>
      <c r="AB56" s="598"/>
    </row>
    <row r="57" spans="1:32" s="597" customFormat="1" ht="14.1" customHeight="1" x14ac:dyDescent="0.2">
      <c r="A57" s="604"/>
      <c r="B57" s="605"/>
      <c r="C57" s="604"/>
      <c r="D57" s="604"/>
      <c r="E57" s="604"/>
      <c r="F57" s="604"/>
      <c r="G57" s="604"/>
      <c r="H57" s="604"/>
      <c r="I57" s="604" t="s">
        <v>81</v>
      </c>
      <c r="J57" s="604"/>
      <c r="K57" s="604"/>
      <c r="L57" s="604"/>
      <c r="M57" s="604"/>
      <c r="N57" s="604"/>
      <c r="AA57" s="767"/>
      <c r="AB57" s="598"/>
    </row>
    <row r="58" spans="1:32" s="597" customFormat="1" ht="14.1" customHeight="1" x14ac:dyDescent="0.2">
      <c r="A58" s="604"/>
      <c r="B58" s="605"/>
      <c r="C58" s="604"/>
      <c r="D58" s="604"/>
      <c r="E58" s="604"/>
      <c r="F58" s="604"/>
      <c r="G58" s="604"/>
      <c r="H58" s="604"/>
      <c r="I58" s="604" t="s">
        <v>88</v>
      </c>
      <c r="J58" s="604"/>
      <c r="K58" s="604"/>
      <c r="L58" s="604"/>
      <c r="M58" s="604"/>
      <c r="N58" s="604"/>
      <c r="AA58" s="767"/>
      <c r="AB58" s="598"/>
    </row>
    <row r="59" spans="1:32" s="597" customFormat="1" ht="18" customHeight="1" x14ac:dyDescent="0.2">
      <c r="A59" s="339"/>
      <c r="B59" s="339"/>
      <c r="C59" s="339"/>
      <c r="D59" s="339"/>
      <c r="E59" s="339"/>
      <c r="F59" s="339"/>
      <c r="G59" s="339"/>
      <c r="H59" s="339"/>
      <c r="I59" s="339"/>
      <c r="J59" s="339"/>
      <c r="K59" s="339"/>
      <c r="L59" s="339"/>
      <c r="M59" s="339"/>
      <c r="N59" s="339"/>
      <c r="O59" s="339"/>
      <c r="P59" s="339"/>
      <c r="Q59" s="339"/>
      <c r="R59" s="339"/>
      <c r="S59" s="339"/>
      <c r="T59" s="339"/>
      <c r="U59" s="339"/>
      <c r="V59" s="339"/>
      <c r="W59" s="339"/>
      <c r="X59" s="339"/>
      <c r="Y59" s="339"/>
      <c r="Z59" s="339"/>
      <c r="AA59" s="2702" t="s">
        <v>0</v>
      </c>
      <c r="AB59" s="2702"/>
      <c r="AC59" s="339"/>
      <c r="AD59" s="339"/>
      <c r="AE59" s="339"/>
      <c r="AF59" s="339"/>
    </row>
    <row r="60" spans="1:32" s="597" customFormat="1" ht="18" customHeight="1" x14ac:dyDescent="0.2">
      <c r="A60" s="2703" t="s">
        <v>1</v>
      </c>
      <c r="B60" s="2703"/>
      <c r="C60" s="2703"/>
      <c r="D60" s="2703"/>
      <c r="E60" s="2703"/>
      <c r="F60" s="2703"/>
      <c r="G60" s="2703"/>
      <c r="H60" s="2703"/>
      <c r="I60" s="2703"/>
      <c r="J60" s="2703"/>
      <c r="K60" s="2703"/>
      <c r="L60" s="2703"/>
      <c r="M60" s="2703"/>
      <c r="N60" s="2703"/>
      <c r="O60" s="2703"/>
      <c r="P60" s="2703"/>
      <c r="Q60" s="2703"/>
      <c r="R60" s="2703"/>
      <c r="S60" s="2703"/>
      <c r="T60" s="2703"/>
      <c r="U60" s="2703"/>
      <c r="V60" s="2703"/>
      <c r="W60" s="2703"/>
      <c r="X60" s="2703"/>
      <c r="Y60" s="2703"/>
      <c r="Z60" s="2703"/>
      <c r="AA60" s="2703"/>
      <c r="AB60" s="2703"/>
      <c r="AC60" s="344"/>
      <c r="AD60" s="344"/>
      <c r="AE60" s="344"/>
      <c r="AF60" s="344"/>
    </row>
    <row r="61" spans="1:32" s="597" customFormat="1" ht="18" customHeight="1" x14ac:dyDescent="0.2">
      <c r="A61" s="2704" t="s">
        <v>333</v>
      </c>
      <c r="B61" s="2704"/>
      <c r="C61" s="2704"/>
      <c r="D61" s="2704"/>
      <c r="E61" s="2704"/>
      <c r="F61" s="2704"/>
      <c r="G61" s="2704"/>
      <c r="H61" s="2704"/>
      <c r="I61" s="2704"/>
      <c r="J61" s="2704"/>
      <c r="K61" s="2704"/>
      <c r="L61" s="2704"/>
      <c r="M61" s="2704"/>
      <c r="N61" s="2704"/>
      <c r="O61" s="2704"/>
      <c r="P61" s="2704"/>
      <c r="Q61" s="2704"/>
      <c r="R61" s="2704"/>
      <c r="S61" s="2704"/>
      <c r="T61" s="2704"/>
      <c r="U61" s="2704"/>
      <c r="V61" s="2704"/>
      <c r="W61" s="2704"/>
      <c r="X61" s="2704"/>
      <c r="Y61" s="2704"/>
      <c r="Z61" s="2704"/>
      <c r="AA61" s="2704"/>
      <c r="AB61" s="2704"/>
      <c r="AC61" s="599"/>
      <c r="AD61" s="599"/>
      <c r="AE61" s="599"/>
      <c r="AF61" s="599"/>
    </row>
    <row r="62" spans="1:32" s="597" customFormat="1" ht="14.1" customHeight="1" x14ac:dyDescent="0.2">
      <c r="A62" s="2686" t="s">
        <v>2</v>
      </c>
      <c r="B62" s="360"/>
      <c r="C62" s="2686" t="s">
        <v>3</v>
      </c>
      <c r="D62" s="360"/>
      <c r="E62" s="360"/>
      <c r="F62" s="2693" t="s">
        <v>4</v>
      </c>
      <c r="G62" s="2693"/>
      <c r="H62" s="2693"/>
      <c r="I62" s="2694"/>
      <c r="J62" s="2694"/>
      <c r="K62" s="2695"/>
      <c r="L62" s="361"/>
      <c r="M62" s="2679" t="s">
        <v>5</v>
      </c>
      <c r="N62" s="2679"/>
      <c r="O62" s="2679"/>
      <c r="P62" s="2679"/>
      <c r="Q62" s="2696"/>
      <c r="R62" s="2696"/>
      <c r="S62" s="2696"/>
      <c r="T62" s="2696"/>
      <c r="U62" s="2696"/>
      <c r="V62" s="2697"/>
      <c r="W62" s="362" t="s">
        <v>6</v>
      </c>
      <c r="X62" s="363" t="s">
        <v>7</v>
      </c>
      <c r="Y62" s="364"/>
      <c r="Z62" s="364"/>
      <c r="AA62" s="363"/>
      <c r="AB62" s="365"/>
      <c r="AC62" s="516" t="s">
        <v>8</v>
      </c>
      <c r="AD62" s="346"/>
      <c r="AE62" s="346"/>
      <c r="AF62" s="600"/>
    </row>
    <row r="63" spans="1:32" s="597" customFormat="1" ht="14.1" customHeight="1" x14ac:dyDescent="0.2">
      <c r="A63" s="2687"/>
      <c r="B63" s="367"/>
      <c r="C63" s="2687"/>
      <c r="D63" s="2062" t="s">
        <v>9</v>
      </c>
      <c r="E63" s="368" t="s">
        <v>10</v>
      </c>
      <c r="F63" s="2698" t="s">
        <v>11</v>
      </c>
      <c r="G63" s="2694"/>
      <c r="H63" s="2695"/>
      <c r="I63" s="360"/>
      <c r="J63" s="369" t="s">
        <v>12</v>
      </c>
      <c r="K63" s="360"/>
      <c r="L63" s="2679" t="s">
        <v>2</v>
      </c>
      <c r="M63" s="2067"/>
      <c r="N63" s="2067"/>
      <c r="O63" s="2067"/>
      <c r="P63" s="371"/>
      <c r="Q63" s="372" t="s">
        <v>13</v>
      </c>
      <c r="R63" s="373" t="s">
        <v>12</v>
      </c>
      <c r="S63" s="2067" t="s">
        <v>6</v>
      </c>
      <c r="T63" s="2682" t="s">
        <v>14</v>
      </c>
      <c r="U63" s="2683"/>
      <c r="V63" s="375" t="s">
        <v>7</v>
      </c>
      <c r="W63" s="376" t="s">
        <v>15</v>
      </c>
      <c r="X63" s="377" t="s">
        <v>16</v>
      </c>
      <c r="Y63" s="377" t="s">
        <v>17</v>
      </c>
      <c r="Z63" s="377" t="s">
        <v>18</v>
      </c>
      <c r="AA63" s="377"/>
      <c r="AB63" s="378" t="s">
        <v>19</v>
      </c>
      <c r="AC63" s="528" t="s">
        <v>20</v>
      </c>
      <c r="AD63" s="601"/>
      <c r="AE63" s="347" t="s">
        <v>21</v>
      </c>
      <c r="AF63" s="340" t="s">
        <v>22</v>
      </c>
    </row>
    <row r="64" spans="1:32" s="597" customFormat="1" ht="14.1" customHeight="1" x14ac:dyDescent="0.2">
      <c r="A64" s="2687"/>
      <c r="B64" s="2062" t="s">
        <v>23</v>
      </c>
      <c r="C64" s="2687"/>
      <c r="D64" s="2062" t="s">
        <v>24</v>
      </c>
      <c r="E64" s="368" t="s">
        <v>25</v>
      </c>
      <c r="F64" s="2699"/>
      <c r="G64" s="2700"/>
      <c r="H64" s="2701"/>
      <c r="I64" s="2062" t="s">
        <v>26</v>
      </c>
      <c r="J64" s="379" t="s">
        <v>15</v>
      </c>
      <c r="K64" s="2066" t="s">
        <v>6</v>
      </c>
      <c r="L64" s="2680"/>
      <c r="M64" s="2068" t="s">
        <v>27</v>
      </c>
      <c r="N64" s="2068" t="s">
        <v>10</v>
      </c>
      <c r="O64" s="382" t="s">
        <v>10</v>
      </c>
      <c r="P64" s="383" t="s">
        <v>28</v>
      </c>
      <c r="Q64" s="384" t="s">
        <v>29</v>
      </c>
      <c r="R64" s="383" t="s">
        <v>15</v>
      </c>
      <c r="S64" s="385" t="s">
        <v>15</v>
      </c>
      <c r="T64" s="2684"/>
      <c r="U64" s="2685"/>
      <c r="V64" s="375" t="s">
        <v>30</v>
      </c>
      <c r="W64" s="376" t="s">
        <v>31</v>
      </c>
      <c r="X64" s="377" t="s">
        <v>30</v>
      </c>
      <c r="Y64" s="377" t="s">
        <v>32</v>
      </c>
      <c r="Z64" s="377" t="s">
        <v>7</v>
      </c>
      <c r="AA64" s="377" t="s">
        <v>33</v>
      </c>
      <c r="AB64" s="378" t="s">
        <v>34</v>
      </c>
      <c r="AC64" s="528" t="s">
        <v>35</v>
      </c>
      <c r="AD64" s="347" t="s">
        <v>36</v>
      </c>
      <c r="AE64" s="347" t="s">
        <v>37</v>
      </c>
      <c r="AF64" s="340" t="s">
        <v>38</v>
      </c>
    </row>
    <row r="65" spans="1:32" s="597" customFormat="1" ht="14.1" customHeight="1" x14ac:dyDescent="0.2">
      <c r="A65" s="2687"/>
      <c r="B65" s="2062" t="s">
        <v>39</v>
      </c>
      <c r="C65" s="2687"/>
      <c r="D65" s="2062" t="s">
        <v>40</v>
      </c>
      <c r="E65" s="368" t="s">
        <v>41</v>
      </c>
      <c r="F65" s="2686" t="s">
        <v>42</v>
      </c>
      <c r="G65" s="2686" t="s">
        <v>43</v>
      </c>
      <c r="H65" s="2688" t="s">
        <v>44</v>
      </c>
      <c r="I65" s="2062" t="s">
        <v>45</v>
      </c>
      <c r="J65" s="379" t="s">
        <v>46</v>
      </c>
      <c r="K65" s="2066" t="s">
        <v>47</v>
      </c>
      <c r="L65" s="2680"/>
      <c r="M65" s="2068" t="s">
        <v>30</v>
      </c>
      <c r="N65" s="2068" t="s">
        <v>30</v>
      </c>
      <c r="O65" s="382" t="s">
        <v>25</v>
      </c>
      <c r="P65" s="383" t="s">
        <v>30</v>
      </c>
      <c r="Q65" s="384" t="s">
        <v>48</v>
      </c>
      <c r="R65" s="383" t="s">
        <v>49</v>
      </c>
      <c r="S65" s="385" t="s">
        <v>30</v>
      </c>
      <c r="T65" s="386" t="s">
        <v>50</v>
      </c>
      <c r="U65" s="2065" t="s">
        <v>13</v>
      </c>
      <c r="V65" s="375" t="s">
        <v>51</v>
      </c>
      <c r="W65" s="376" t="s">
        <v>52</v>
      </c>
      <c r="X65" s="377" t="s">
        <v>53</v>
      </c>
      <c r="Y65" s="377" t="s">
        <v>54</v>
      </c>
      <c r="Z65" s="377" t="s">
        <v>55</v>
      </c>
      <c r="AA65" s="377" t="s">
        <v>56</v>
      </c>
      <c r="AB65" s="378" t="s">
        <v>57</v>
      </c>
      <c r="AC65" s="347" t="s">
        <v>58</v>
      </c>
      <c r="AD65" s="347" t="s">
        <v>59</v>
      </c>
      <c r="AE65" s="347" t="s">
        <v>59</v>
      </c>
      <c r="AF65" s="340" t="s">
        <v>60</v>
      </c>
    </row>
    <row r="66" spans="1:32" s="597" customFormat="1" ht="14.1" customHeight="1" x14ac:dyDescent="0.2">
      <c r="A66" s="2687"/>
      <c r="B66" s="2062" t="s">
        <v>61</v>
      </c>
      <c r="C66" s="2687"/>
      <c r="D66" s="2062" t="s">
        <v>62</v>
      </c>
      <c r="E66" s="368" t="s">
        <v>63</v>
      </c>
      <c r="F66" s="2687"/>
      <c r="G66" s="2687"/>
      <c r="H66" s="2689"/>
      <c r="I66" s="2062" t="s">
        <v>64</v>
      </c>
      <c r="J66" s="379" t="s">
        <v>59</v>
      </c>
      <c r="K66" s="2066" t="s">
        <v>59</v>
      </c>
      <c r="L66" s="2680"/>
      <c r="M66" s="2068"/>
      <c r="N66" s="2068"/>
      <c r="O66" s="382" t="s">
        <v>41</v>
      </c>
      <c r="P66" s="383" t="s">
        <v>65</v>
      </c>
      <c r="Q66" s="384" t="s">
        <v>66</v>
      </c>
      <c r="R66" s="383" t="s">
        <v>67</v>
      </c>
      <c r="S66" s="385" t="s">
        <v>59</v>
      </c>
      <c r="T66" s="387" t="s">
        <v>68</v>
      </c>
      <c r="U66" s="375" t="s">
        <v>14</v>
      </c>
      <c r="V66" s="375" t="s">
        <v>14</v>
      </c>
      <c r="W66" s="376" t="s">
        <v>30</v>
      </c>
      <c r="X66" s="388" t="s">
        <v>69</v>
      </c>
      <c r="Y66" s="388" t="s">
        <v>70</v>
      </c>
      <c r="Z66" s="377" t="s">
        <v>71</v>
      </c>
      <c r="AA66" s="377" t="s">
        <v>72</v>
      </c>
      <c r="AB66" s="378" t="s">
        <v>59</v>
      </c>
      <c r="AC66" s="347" t="s">
        <v>59</v>
      </c>
      <c r="AD66" s="347"/>
      <c r="AE66" s="347"/>
      <c r="AF66" s="340" t="s">
        <v>59</v>
      </c>
    </row>
    <row r="67" spans="1:32" s="597" customFormat="1" ht="14.1" customHeight="1" x14ac:dyDescent="0.2">
      <c r="A67" s="2692"/>
      <c r="B67" s="390"/>
      <c r="C67" s="2692"/>
      <c r="D67" s="390"/>
      <c r="E67" s="2063"/>
      <c r="F67" s="390"/>
      <c r="G67" s="390"/>
      <c r="H67" s="391"/>
      <c r="I67" s="2063"/>
      <c r="J67" s="392"/>
      <c r="K67" s="393"/>
      <c r="L67" s="2681"/>
      <c r="M67" s="2069"/>
      <c r="N67" s="2069"/>
      <c r="O67" s="2069" t="s">
        <v>63</v>
      </c>
      <c r="P67" s="395"/>
      <c r="Q67" s="396" t="s">
        <v>72</v>
      </c>
      <c r="R67" s="397" t="s">
        <v>59</v>
      </c>
      <c r="S67" s="398"/>
      <c r="T67" s="397" t="s">
        <v>73</v>
      </c>
      <c r="U67" s="398" t="s">
        <v>59</v>
      </c>
      <c r="V67" s="399" t="s">
        <v>59</v>
      </c>
      <c r="W67" s="400" t="s">
        <v>59</v>
      </c>
      <c r="X67" s="401" t="s">
        <v>59</v>
      </c>
      <c r="Y67" s="401" t="s">
        <v>59</v>
      </c>
      <c r="Z67" s="401" t="s">
        <v>59</v>
      </c>
      <c r="AA67" s="402"/>
      <c r="AB67" s="403"/>
      <c r="AC67" s="348"/>
      <c r="AD67" s="348"/>
      <c r="AE67" s="348"/>
      <c r="AF67" s="341"/>
    </row>
    <row r="68" spans="1:32" s="597" customFormat="1" ht="18" customHeight="1" x14ac:dyDescent="0.25">
      <c r="A68" s="53">
        <v>1</v>
      </c>
      <c r="B68" s="1660">
        <v>20192</v>
      </c>
      <c r="C68" s="41">
        <v>268</v>
      </c>
      <c r="D68" s="41" t="s">
        <v>83</v>
      </c>
      <c r="E68" s="15">
        <v>1</v>
      </c>
      <c r="F68" s="1539">
        <v>2</v>
      </c>
      <c r="G68" s="1539">
        <v>0</v>
      </c>
      <c r="H68" s="1540">
        <v>67</v>
      </c>
      <c r="I68" s="18">
        <f>F68*400+G68*100+H68</f>
        <v>867</v>
      </c>
      <c r="J68" s="258">
        <v>430</v>
      </c>
      <c r="K68" s="39">
        <f>SUM(I68*J68)</f>
        <v>372810</v>
      </c>
      <c r="L68" s="45"/>
      <c r="M68" s="82"/>
      <c r="N68" s="41"/>
      <c r="O68" s="50"/>
      <c r="P68" s="19"/>
      <c r="Q68" s="62"/>
      <c r="R68" s="260"/>
      <c r="S68" s="18"/>
      <c r="T68" s="20"/>
      <c r="U68" s="47"/>
      <c r="V68" s="47"/>
      <c r="W68" s="18">
        <f>K68+V68</f>
        <v>372810</v>
      </c>
      <c r="X68" s="47">
        <f>W68</f>
        <v>372810</v>
      </c>
      <c r="Y68" s="18" t="s">
        <v>87</v>
      </c>
      <c r="Z68" s="18">
        <v>0</v>
      </c>
      <c r="AA68" s="264">
        <v>0.01</v>
      </c>
      <c r="AB68" s="410">
        <f>+Z68*AA68/100</f>
        <v>0</v>
      </c>
      <c r="AC68" s="350"/>
      <c r="AD68" s="350"/>
      <c r="AE68" s="350"/>
      <c r="AF68" s="350"/>
    </row>
    <row r="69" spans="1:32" s="597" customFormat="1" ht="18" customHeight="1" x14ac:dyDescent="0.25">
      <c r="A69" s="242"/>
      <c r="B69" s="1582">
        <v>20191</v>
      </c>
      <c r="C69" s="27">
        <v>269</v>
      </c>
      <c r="D69" s="15" t="s">
        <v>83</v>
      </c>
      <c r="E69" s="273">
        <v>1</v>
      </c>
      <c r="F69" s="1492">
        <v>1</v>
      </c>
      <c r="G69" s="1492">
        <v>2</v>
      </c>
      <c r="H69" s="1493">
        <v>52</v>
      </c>
      <c r="I69" s="18">
        <f>G69*100+H69</f>
        <v>252</v>
      </c>
      <c r="J69" s="258">
        <v>430</v>
      </c>
      <c r="K69" s="39">
        <f>SUM(I69*J69)</f>
        <v>108360</v>
      </c>
      <c r="L69" s="45"/>
      <c r="M69" s="88"/>
      <c r="N69" s="27"/>
      <c r="O69" s="45"/>
      <c r="P69" s="257"/>
      <c r="Q69" s="62"/>
      <c r="R69" s="283"/>
      <c r="S69" s="47"/>
      <c r="T69" s="20"/>
      <c r="U69" s="47"/>
      <c r="V69" s="47"/>
      <c r="W69" s="18">
        <f>K69+V69</f>
        <v>108360</v>
      </c>
      <c r="X69" s="47">
        <f>W69</f>
        <v>108360</v>
      </c>
      <c r="Y69" s="47" t="s">
        <v>87</v>
      </c>
      <c r="Z69" s="47">
        <v>0</v>
      </c>
      <c r="AA69" s="292">
        <v>0.01</v>
      </c>
      <c r="AB69" s="416">
        <f>+Z69*AA69/100</f>
        <v>0</v>
      </c>
      <c r="AC69" s="350"/>
      <c r="AD69" s="350"/>
      <c r="AE69" s="350"/>
      <c r="AF69" s="350"/>
    </row>
    <row r="70" spans="1:32" s="597" customFormat="1" ht="18" customHeight="1" x14ac:dyDescent="0.25">
      <c r="A70" s="242"/>
      <c r="B70" s="273">
        <v>52493</v>
      </c>
      <c r="C70" s="27">
        <v>889</v>
      </c>
      <c r="D70" s="27" t="s">
        <v>83</v>
      </c>
      <c r="E70" s="273">
        <v>5</v>
      </c>
      <c r="F70" s="1649">
        <v>0</v>
      </c>
      <c r="G70" s="1649">
        <v>3</v>
      </c>
      <c r="H70" s="1661">
        <v>0</v>
      </c>
      <c r="I70" s="18">
        <f>F70*400+G70*100+H70</f>
        <v>300</v>
      </c>
      <c r="J70" s="258">
        <v>1500</v>
      </c>
      <c r="K70" s="39">
        <f>SUM(I70*J70)</f>
        <v>450000</v>
      </c>
      <c r="L70" s="45">
        <v>1</v>
      </c>
      <c r="M70" s="2070">
        <v>103</v>
      </c>
      <c r="N70" s="15" t="s">
        <v>74</v>
      </c>
      <c r="O70" s="50">
        <v>2</v>
      </c>
      <c r="P70" s="19">
        <v>240</v>
      </c>
      <c r="Q70" s="76" t="s">
        <v>75</v>
      </c>
      <c r="R70" s="260">
        <v>9050</v>
      </c>
      <c r="S70" s="18">
        <f>SUM(P70*R70)</f>
        <v>2172000</v>
      </c>
      <c r="T70" s="1662">
        <v>37</v>
      </c>
      <c r="U70" s="1664">
        <f>+S70*0.64</f>
        <v>1390080</v>
      </c>
      <c r="V70" s="18">
        <f>SUM(S70-U70)</f>
        <v>781920</v>
      </c>
      <c r="W70" s="18">
        <f>K70+V70</f>
        <v>1231920</v>
      </c>
      <c r="X70" s="47">
        <f>W70</f>
        <v>1231920</v>
      </c>
      <c r="Y70" s="18" t="s">
        <v>87</v>
      </c>
      <c r="Z70" s="18">
        <v>0</v>
      </c>
      <c r="AA70" s="264">
        <v>0.02</v>
      </c>
      <c r="AB70" s="410">
        <f>+Z70*AA70/100</f>
        <v>0</v>
      </c>
      <c r="AC70" s="350"/>
      <c r="AD70" s="350"/>
      <c r="AE70" s="350"/>
      <c r="AF70" s="350"/>
    </row>
    <row r="71" spans="1:32" s="597" customFormat="1" ht="18" customHeight="1" x14ac:dyDescent="0.25">
      <c r="A71" s="242"/>
      <c r="B71" s="15"/>
      <c r="C71" s="15"/>
      <c r="D71" s="27"/>
      <c r="E71" s="273"/>
      <c r="F71" s="1571">
        <v>0</v>
      </c>
      <c r="G71" s="1571">
        <v>0</v>
      </c>
      <c r="H71" s="1572">
        <v>40</v>
      </c>
      <c r="I71" s="18">
        <f>F71*400+G71*100+H71</f>
        <v>40</v>
      </c>
      <c r="J71" s="258">
        <v>1500</v>
      </c>
      <c r="K71" s="39">
        <f>SUM(I71*J71)</f>
        <v>60000</v>
      </c>
      <c r="L71" s="45">
        <v>1</v>
      </c>
      <c r="M71" s="2070">
        <v>103</v>
      </c>
      <c r="N71" s="15" t="s">
        <v>74</v>
      </c>
      <c r="O71" s="50">
        <v>3</v>
      </c>
      <c r="P71" s="19">
        <f>7.2*6</f>
        <v>43.2</v>
      </c>
      <c r="Q71" s="62" t="s">
        <v>75</v>
      </c>
      <c r="R71" s="260">
        <v>9050</v>
      </c>
      <c r="S71" s="18">
        <f>SUM(P71*R71)</f>
        <v>390960</v>
      </c>
      <c r="T71" s="1469">
        <v>37</v>
      </c>
      <c r="U71" s="1664">
        <f>+S71*0.64</f>
        <v>250214.39999999999</v>
      </c>
      <c r="V71" s="47">
        <f>SUM(S71-U71)</f>
        <v>140745.60000000001</v>
      </c>
      <c r="W71" s="18">
        <f>K71+V71</f>
        <v>200745.60000000001</v>
      </c>
      <c r="X71" s="47">
        <f>W71</f>
        <v>200745.60000000001</v>
      </c>
      <c r="Y71" s="18"/>
      <c r="Z71" s="18">
        <f>+X71</f>
        <v>200745.60000000001</v>
      </c>
      <c r="AA71" s="264">
        <v>0.3</v>
      </c>
      <c r="AB71" s="410">
        <f>+Z71*AA71/100</f>
        <v>602.23680000000002</v>
      </c>
      <c r="AC71" s="350"/>
      <c r="AD71" s="350"/>
      <c r="AE71" s="350"/>
      <c r="AF71" s="350"/>
    </row>
    <row r="72" spans="1:32" s="597" customFormat="1" ht="18" customHeight="1" x14ac:dyDescent="0.2">
      <c r="A72" s="2070"/>
      <c r="B72" s="177"/>
      <c r="C72" s="177"/>
      <c r="D72" s="2070"/>
      <c r="E72" s="2070"/>
      <c r="F72" s="2070"/>
      <c r="G72" s="2070"/>
      <c r="H72" s="2076"/>
      <c r="I72" s="2072"/>
      <c r="J72" s="178"/>
      <c r="K72" s="2072"/>
      <c r="L72" s="2070"/>
      <c r="M72" s="2070"/>
      <c r="N72" s="2070"/>
      <c r="O72" s="2070"/>
      <c r="P72" s="2076"/>
      <c r="Q72" s="2071"/>
      <c r="R72" s="437"/>
      <c r="S72" s="2072"/>
      <c r="T72" s="179"/>
      <c r="U72" s="178"/>
      <c r="V72" s="2072"/>
      <c r="W72" s="2072"/>
      <c r="X72" s="470"/>
      <c r="Y72" s="470"/>
      <c r="Z72" s="471"/>
      <c r="AA72" s="764"/>
      <c r="AB72" s="466"/>
      <c r="AC72" s="350"/>
      <c r="AD72" s="350"/>
      <c r="AE72" s="350"/>
      <c r="AF72" s="350"/>
    </row>
    <row r="73" spans="1:32" s="597" customFormat="1" ht="18" customHeight="1" x14ac:dyDescent="0.2">
      <c r="A73" s="2070"/>
      <c r="B73" s="177"/>
      <c r="C73" s="177"/>
      <c r="D73" s="2070"/>
      <c r="E73" s="2070"/>
      <c r="F73" s="2070"/>
      <c r="G73" s="2070"/>
      <c r="H73" s="2076"/>
      <c r="I73" s="2072"/>
      <c r="J73" s="178"/>
      <c r="K73" s="2072"/>
      <c r="L73" s="2070"/>
      <c r="M73" s="2070"/>
      <c r="N73" s="2070"/>
      <c r="O73" s="2070"/>
      <c r="P73" s="2076"/>
      <c r="Q73" s="2071"/>
      <c r="R73" s="437"/>
      <c r="S73" s="2072"/>
      <c r="T73" s="179"/>
      <c r="U73" s="178"/>
      <c r="V73" s="2072"/>
      <c r="W73" s="2072"/>
      <c r="X73" s="470"/>
      <c r="Y73" s="470"/>
      <c r="Z73" s="471"/>
      <c r="AA73" s="764"/>
      <c r="AB73" s="466"/>
      <c r="AC73" s="350"/>
      <c r="AD73" s="350"/>
      <c r="AE73" s="350"/>
      <c r="AF73" s="350"/>
    </row>
    <row r="74" spans="1:32" s="597" customFormat="1" ht="18" customHeight="1" x14ac:dyDescent="0.2">
      <c r="A74" s="2070"/>
      <c r="B74" s="177"/>
      <c r="C74" s="177"/>
      <c r="D74" s="2070"/>
      <c r="E74" s="2070"/>
      <c r="F74" s="2070"/>
      <c r="G74" s="2070"/>
      <c r="H74" s="2076"/>
      <c r="I74" s="2072"/>
      <c r="J74" s="178"/>
      <c r="K74" s="2072"/>
      <c r="L74" s="2070"/>
      <c r="M74" s="2070"/>
      <c r="N74" s="2070"/>
      <c r="O74" s="2070"/>
      <c r="P74" s="2076"/>
      <c r="Q74" s="2071"/>
      <c r="R74" s="437"/>
      <c r="S74" s="2072"/>
      <c r="T74" s="179"/>
      <c r="U74" s="178"/>
      <c r="V74" s="2072"/>
      <c r="W74" s="2072"/>
      <c r="X74" s="470"/>
      <c r="Y74" s="470"/>
      <c r="Z74" s="471"/>
      <c r="AA74" s="764"/>
      <c r="AB74" s="466"/>
      <c r="AC74" s="350"/>
      <c r="AD74" s="350"/>
      <c r="AE74" s="350"/>
      <c r="AF74" s="350"/>
    </row>
    <row r="75" spans="1:32" s="597" customFormat="1" ht="18" customHeight="1" x14ac:dyDescent="0.2">
      <c r="A75" s="2070"/>
      <c r="B75" s="177"/>
      <c r="C75" s="177"/>
      <c r="D75" s="2070"/>
      <c r="E75" s="2070"/>
      <c r="F75" s="2070"/>
      <c r="G75" s="2070"/>
      <c r="H75" s="2076"/>
      <c r="I75" s="2072"/>
      <c r="J75" s="178"/>
      <c r="K75" s="2072"/>
      <c r="L75" s="2070"/>
      <c r="M75" s="2070"/>
      <c r="N75" s="2070"/>
      <c r="O75" s="2070"/>
      <c r="P75" s="2076"/>
      <c r="Q75" s="2071"/>
      <c r="R75" s="437"/>
      <c r="S75" s="2072"/>
      <c r="T75" s="179"/>
      <c r="U75" s="178"/>
      <c r="V75" s="2072"/>
      <c r="W75" s="2072"/>
      <c r="X75" s="470"/>
      <c r="Y75" s="470"/>
      <c r="Z75" s="471"/>
      <c r="AA75" s="764"/>
      <c r="AB75" s="466"/>
      <c r="AC75" s="350"/>
      <c r="AD75" s="350"/>
      <c r="AE75" s="350"/>
      <c r="AF75" s="350"/>
    </row>
    <row r="76" spans="1:32" s="597" customFormat="1" ht="18" customHeight="1" x14ac:dyDescent="0.2">
      <c r="A76" s="2070"/>
      <c r="B76" s="177"/>
      <c r="C76" s="177"/>
      <c r="D76" s="2070"/>
      <c r="E76" s="2070"/>
      <c r="F76" s="2070"/>
      <c r="G76" s="2070"/>
      <c r="H76" s="2076"/>
      <c r="I76" s="2072"/>
      <c r="J76" s="178"/>
      <c r="K76" s="2072"/>
      <c r="L76" s="2070"/>
      <c r="M76" s="2070"/>
      <c r="N76" s="2070"/>
      <c r="O76" s="2070"/>
      <c r="P76" s="2076"/>
      <c r="Q76" s="2071"/>
      <c r="R76" s="437"/>
      <c r="S76" s="2072"/>
      <c r="T76" s="179"/>
      <c r="U76" s="178"/>
      <c r="V76" s="178"/>
      <c r="W76" s="2072"/>
      <c r="X76" s="470"/>
      <c r="Y76" s="470"/>
      <c r="Z76" s="471"/>
      <c r="AA76" s="764"/>
      <c r="AB76" s="466"/>
      <c r="AC76" s="350"/>
      <c r="AD76" s="350"/>
      <c r="AE76" s="350"/>
      <c r="AF76" s="350"/>
    </row>
    <row r="77" spans="1:32" s="597" customFormat="1" ht="18" customHeight="1" x14ac:dyDescent="0.2">
      <c r="A77" s="2070"/>
      <c r="B77" s="177"/>
      <c r="C77" s="177"/>
      <c r="D77" s="2070"/>
      <c r="E77" s="2070"/>
      <c r="F77" s="2070"/>
      <c r="G77" s="2070"/>
      <c r="H77" s="2076"/>
      <c r="I77" s="2072"/>
      <c r="J77" s="178"/>
      <c r="K77" s="2072"/>
      <c r="L77" s="2070"/>
      <c r="M77" s="2070"/>
      <c r="N77" s="2070"/>
      <c r="O77" s="2070"/>
      <c r="P77" s="2076"/>
      <c r="Q77" s="2071"/>
      <c r="R77" s="437"/>
      <c r="S77" s="2072"/>
      <c r="T77" s="179"/>
      <c r="U77" s="178"/>
      <c r="V77" s="2072"/>
      <c r="W77" s="2072"/>
      <c r="X77" s="470"/>
      <c r="Y77" s="470"/>
      <c r="Z77" s="471"/>
      <c r="AA77" s="764"/>
      <c r="AB77" s="466"/>
      <c r="AC77" s="350"/>
      <c r="AD77" s="350"/>
      <c r="AE77" s="350"/>
      <c r="AF77" s="350"/>
    </row>
    <row r="78" spans="1:32" s="597" customFormat="1" ht="18" customHeight="1" x14ac:dyDescent="0.2">
      <c r="A78" s="2070"/>
      <c r="B78" s="177"/>
      <c r="C78" s="177"/>
      <c r="D78" s="2070"/>
      <c r="E78" s="2070"/>
      <c r="F78" s="2070"/>
      <c r="G78" s="2070"/>
      <c r="H78" s="2076"/>
      <c r="I78" s="2072"/>
      <c r="J78" s="178"/>
      <c r="K78" s="2072"/>
      <c r="L78" s="2070"/>
      <c r="M78" s="2070"/>
      <c r="N78" s="2070"/>
      <c r="O78" s="2070"/>
      <c r="P78" s="2076"/>
      <c r="Q78" s="2071"/>
      <c r="R78" s="437"/>
      <c r="S78" s="2072"/>
      <c r="T78" s="179"/>
      <c r="U78" s="178"/>
      <c r="V78" s="2072"/>
      <c r="W78" s="2072"/>
      <c r="X78" s="470"/>
      <c r="Y78" s="470"/>
      <c r="Z78" s="471"/>
      <c r="AA78" s="764"/>
      <c r="AB78" s="466"/>
      <c r="AC78" s="350"/>
      <c r="AD78" s="350"/>
      <c r="AE78" s="350"/>
      <c r="AF78" s="350"/>
    </row>
    <row r="79" spans="1:32" s="597" customFormat="1" ht="18" customHeight="1" x14ac:dyDescent="0.2">
      <c r="A79" s="2070"/>
      <c r="B79" s="177"/>
      <c r="C79" s="177"/>
      <c r="D79" s="2070"/>
      <c r="E79" s="2070"/>
      <c r="F79" s="2070"/>
      <c r="G79" s="2070"/>
      <c r="H79" s="2076"/>
      <c r="I79" s="2072"/>
      <c r="J79" s="178"/>
      <c r="K79" s="2072"/>
      <c r="L79" s="2070"/>
      <c r="M79" s="2070"/>
      <c r="N79" s="2070"/>
      <c r="O79" s="2070"/>
      <c r="P79" s="2076"/>
      <c r="Q79" s="2071"/>
      <c r="R79" s="437"/>
      <c r="S79" s="2072"/>
      <c r="T79" s="179"/>
      <c r="U79" s="178"/>
      <c r="V79" s="2072"/>
      <c r="W79" s="2072"/>
      <c r="X79" s="470"/>
      <c r="Y79" s="470"/>
      <c r="Z79" s="471"/>
      <c r="AA79" s="764"/>
      <c r="AB79" s="466"/>
      <c r="AC79" s="350"/>
      <c r="AD79" s="350"/>
      <c r="AE79" s="350"/>
      <c r="AF79" s="350"/>
    </row>
    <row r="80" spans="1:32" s="597" customFormat="1" ht="18" customHeight="1" x14ac:dyDescent="0.2">
      <c r="A80" s="2070"/>
      <c r="B80" s="177"/>
      <c r="C80" s="177"/>
      <c r="D80" s="2070"/>
      <c r="E80" s="2070"/>
      <c r="F80" s="2070"/>
      <c r="G80" s="2070"/>
      <c r="H80" s="2076"/>
      <c r="I80" s="2072"/>
      <c r="J80" s="178"/>
      <c r="K80" s="2072"/>
      <c r="L80" s="2070"/>
      <c r="M80" s="2070"/>
      <c r="N80" s="2070"/>
      <c r="O80" s="2070"/>
      <c r="P80" s="2076"/>
      <c r="Q80" s="2071"/>
      <c r="R80" s="437"/>
      <c r="S80" s="2072"/>
      <c r="T80" s="179"/>
      <c r="U80" s="178"/>
      <c r="V80" s="2072"/>
      <c r="W80" s="2072"/>
      <c r="X80" s="470"/>
      <c r="Y80" s="470"/>
      <c r="Z80" s="471"/>
      <c r="AA80" s="764"/>
      <c r="AB80" s="466"/>
      <c r="AC80" s="350"/>
      <c r="AD80" s="350"/>
      <c r="AE80" s="350"/>
      <c r="AF80" s="350"/>
    </row>
    <row r="81" spans="1:32" s="597" customFormat="1" ht="18" customHeight="1" x14ac:dyDescent="0.2">
      <c r="A81" s="88"/>
      <c r="B81" s="180"/>
      <c r="C81" s="180"/>
      <c r="D81" s="88"/>
      <c r="E81" s="88"/>
      <c r="F81" s="88"/>
      <c r="G81" s="88"/>
      <c r="H81" s="120"/>
      <c r="I81" s="121"/>
      <c r="J81" s="181"/>
      <c r="K81" s="121"/>
      <c r="L81" s="88"/>
      <c r="M81" s="88"/>
      <c r="N81" s="88"/>
      <c r="O81" s="88"/>
      <c r="P81" s="88"/>
      <c r="Q81" s="129"/>
      <c r="R81" s="445"/>
      <c r="S81" s="121"/>
      <c r="T81" s="182"/>
      <c r="U81" s="181"/>
      <c r="V81" s="121"/>
      <c r="W81" s="121"/>
      <c r="X81" s="472"/>
      <c r="Y81" s="472"/>
      <c r="Z81" s="473"/>
      <c r="AA81" s="780"/>
      <c r="AB81" s="410"/>
      <c r="AC81" s="351"/>
      <c r="AD81" s="351"/>
      <c r="AE81" s="351"/>
      <c r="AF81" s="351"/>
    </row>
    <row r="82" spans="1:32" s="597" customFormat="1" ht="18" customHeight="1" x14ac:dyDescent="0.2">
      <c r="A82" s="1850"/>
      <c r="B82" s="1850"/>
      <c r="C82" s="1850"/>
      <c r="D82" s="1850"/>
      <c r="E82" s="1850"/>
      <c r="F82" s="1850"/>
      <c r="G82" s="1850"/>
      <c r="H82" s="1851"/>
      <c r="I82" s="1852"/>
      <c r="J82" s="1853"/>
      <c r="K82" s="1852"/>
      <c r="L82" s="1852"/>
      <c r="M82" s="1852"/>
      <c r="N82" s="1852"/>
      <c r="O82" s="1852"/>
      <c r="P82" s="1852"/>
      <c r="Q82" s="1852"/>
      <c r="R82" s="1854"/>
      <c r="S82" s="1852"/>
      <c r="T82" s="1855"/>
      <c r="U82" s="1853"/>
      <c r="V82" s="1852"/>
      <c r="W82" s="1852"/>
      <c r="X82" s="1856"/>
      <c r="Y82" s="1856"/>
      <c r="Z82" s="1857"/>
      <c r="AA82" s="2125"/>
      <c r="AB82" s="1847">
        <f>SUM(AB68:AB81)</f>
        <v>602.23680000000002</v>
      </c>
      <c r="AC82" s="1861"/>
      <c r="AD82" s="1861"/>
      <c r="AE82" s="1861"/>
      <c r="AF82" s="1861"/>
    </row>
    <row r="83" spans="1:32" s="597" customFormat="1" ht="14.1" customHeight="1" x14ac:dyDescent="0.2">
      <c r="A83" s="2690" t="s">
        <v>76</v>
      </c>
      <c r="B83" s="2690"/>
      <c r="C83" s="2691" t="s">
        <v>77</v>
      </c>
      <c r="D83" s="2691"/>
      <c r="E83" s="2691"/>
      <c r="F83" s="2691"/>
      <c r="G83" s="2691"/>
      <c r="H83" s="2691"/>
      <c r="I83" s="604" t="s">
        <v>78</v>
      </c>
      <c r="J83" s="604"/>
      <c r="K83" s="604"/>
      <c r="L83" s="604"/>
      <c r="M83" s="604"/>
      <c r="N83" s="604"/>
      <c r="AA83" s="767"/>
      <c r="AB83" s="598"/>
    </row>
    <row r="84" spans="1:32" s="597" customFormat="1" ht="14.1" customHeight="1" x14ac:dyDescent="0.2">
      <c r="A84" s="604"/>
      <c r="B84" s="605"/>
      <c r="C84" s="604"/>
      <c r="D84" s="604"/>
      <c r="E84" s="604"/>
      <c r="F84" s="604"/>
      <c r="G84" s="604"/>
      <c r="H84" s="604"/>
      <c r="I84" s="604" t="s">
        <v>79</v>
      </c>
      <c r="J84" s="604"/>
      <c r="K84" s="604"/>
      <c r="L84" s="604"/>
      <c r="M84" s="604"/>
      <c r="N84" s="604"/>
      <c r="AA84" s="767"/>
      <c r="AB84" s="598"/>
    </row>
    <row r="85" spans="1:32" s="597" customFormat="1" ht="14.1" customHeight="1" x14ac:dyDescent="0.2">
      <c r="A85" s="604"/>
      <c r="B85" s="605"/>
      <c r="C85" s="604"/>
      <c r="D85" s="604"/>
      <c r="E85" s="604"/>
      <c r="F85" s="604"/>
      <c r="G85" s="604"/>
      <c r="H85" s="604"/>
      <c r="I85" s="604" t="s">
        <v>80</v>
      </c>
      <c r="J85" s="604"/>
      <c r="K85" s="604"/>
      <c r="L85" s="604"/>
      <c r="M85" s="604"/>
      <c r="N85" s="604"/>
      <c r="AA85" s="767"/>
      <c r="AB85" s="598"/>
    </row>
    <row r="86" spans="1:32" s="597" customFormat="1" ht="14.1" customHeight="1" x14ac:dyDescent="0.2">
      <c r="A86" s="604"/>
      <c r="B86" s="605"/>
      <c r="C86" s="604"/>
      <c r="D86" s="604"/>
      <c r="E86" s="604"/>
      <c r="F86" s="604"/>
      <c r="G86" s="604"/>
      <c r="H86" s="604"/>
      <c r="I86" s="604" t="s">
        <v>81</v>
      </c>
      <c r="J86" s="604"/>
      <c r="K86" s="604"/>
      <c r="L86" s="604"/>
      <c r="M86" s="604"/>
      <c r="N86" s="604"/>
      <c r="AA86" s="767"/>
      <c r="AB86" s="598"/>
    </row>
    <row r="87" spans="1:32" s="597" customFormat="1" ht="14.1" customHeight="1" x14ac:dyDescent="0.2">
      <c r="A87" s="604"/>
      <c r="B87" s="605"/>
      <c r="C87" s="604"/>
      <c r="D87" s="604"/>
      <c r="E87" s="604"/>
      <c r="F87" s="604"/>
      <c r="G87" s="604"/>
      <c r="H87" s="604"/>
      <c r="I87" s="604" t="s">
        <v>88</v>
      </c>
      <c r="J87" s="604"/>
      <c r="K87" s="604"/>
      <c r="L87" s="604"/>
      <c r="M87" s="604"/>
      <c r="N87" s="604"/>
      <c r="AA87" s="767"/>
      <c r="AB87" s="598"/>
    </row>
    <row r="88" spans="1:32" s="597" customFormat="1" ht="18" customHeight="1" x14ac:dyDescent="0.2">
      <c r="A88" s="339"/>
      <c r="B88" s="339"/>
      <c r="C88" s="339"/>
      <c r="D88" s="339"/>
      <c r="E88" s="339"/>
      <c r="F88" s="339"/>
      <c r="G88" s="339"/>
      <c r="H88" s="339"/>
      <c r="I88" s="339"/>
      <c r="J88" s="339"/>
      <c r="K88" s="339"/>
      <c r="L88" s="339"/>
      <c r="M88" s="339"/>
      <c r="N88" s="339"/>
      <c r="O88" s="339"/>
      <c r="P88" s="339"/>
      <c r="Q88" s="339"/>
      <c r="R88" s="339"/>
      <c r="S88" s="339"/>
      <c r="T88" s="339"/>
      <c r="U88" s="339"/>
      <c r="V88" s="339"/>
      <c r="W88" s="339"/>
      <c r="X88" s="339"/>
      <c r="Y88" s="339"/>
      <c r="Z88" s="339"/>
      <c r="AA88" s="2702" t="s">
        <v>0</v>
      </c>
      <c r="AB88" s="2702"/>
      <c r="AC88" s="339"/>
      <c r="AD88" s="339"/>
      <c r="AE88" s="339"/>
      <c r="AF88" s="339"/>
    </row>
    <row r="89" spans="1:32" s="597" customFormat="1" ht="18" customHeight="1" x14ac:dyDescent="0.2">
      <c r="A89" s="2703" t="s">
        <v>1</v>
      </c>
      <c r="B89" s="2703"/>
      <c r="C89" s="2703"/>
      <c r="D89" s="2703"/>
      <c r="E89" s="2703"/>
      <c r="F89" s="2703"/>
      <c r="G89" s="2703"/>
      <c r="H89" s="2703"/>
      <c r="I89" s="2703"/>
      <c r="J89" s="2703"/>
      <c r="K89" s="2703"/>
      <c r="L89" s="2703"/>
      <c r="M89" s="2703"/>
      <c r="N89" s="2703"/>
      <c r="O89" s="2703"/>
      <c r="P89" s="2703"/>
      <c r="Q89" s="2703"/>
      <c r="R89" s="2703"/>
      <c r="S89" s="2703"/>
      <c r="T89" s="2703"/>
      <c r="U89" s="2703"/>
      <c r="V89" s="2703"/>
      <c r="W89" s="2703"/>
      <c r="X89" s="2703"/>
      <c r="Y89" s="2703"/>
      <c r="Z89" s="2703"/>
      <c r="AA89" s="2703"/>
      <c r="AB89" s="2703"/>
      <c r="AC89" s="344"/>
      <c r="AD89" s="344"/>
      <c r="AE89" s="344"/>
      <c r="AF89" s="344"/>
    </row>
    <row r="90" spans="1:32" s="597" customFormat="1" ht="18" customHeight="1" x14ac:dyDescent="0.2">
      <c r="A90" s="2704" t="s">
        <v>543</v>
      </c>
      <c r="B90" s="2704"/>
      <c r="C90" s="2704"/>
      <c r="D90" s="2704"/>
      <c r="E90" s="2704"/>
      <c r="F90" s="2704"/>
      <c r="G90" s="2704"/>
      <c r="H90" s="2704"/>
      <c r="I90" s="2704"/>
      <c r="J90" s="2704"/>
      <c r="K90" s="2704"/>
      <c r="L90" s="2704"/>
      <c r="M90" s="2704"/>
      <c r="N90" s="2704"/>
      <c r="O90" s="2704"/>
      <c r="P90" s="2704"/>
      <c r="Q90" s="2704"/>
      <c r="R90" s="2704"/>
      <c r="S90" s="2704"/>
      <c r="T90" s="2704"/>
      <c r="U90" s="2704"/>
      <c r="V90" s="2704"/>
      <c r="W90" s="2704"/>
      <c r="X90" s="2704"/>
      <c r="Y90" s="2704"/>
      <c r="Z90" s="2704"/>
      <c r="AA90" s="2704"/>
      <c r="AB90" s="2704"/>
      <c r="AC90" s="599"/>
      <c r="AD90" s="599"/>
      <c r="AE90" s="599"/>
      <c r="AF90" s="599"/>
    </row>
    <row r="91" spans="1:32" s="597" customFormat="1" ht="14.1" customHeight="1" x14ac:dyDescent="0.2">
      <c r="A91" s="2686" t="s">
        <v>2</v>
      </c>
      <c r="B91" s="360"/>
      <c r="C91" s="2686" t="s">
        <v>3</v>
      </c>
      <c r="D91" s="360"/>
      <c r="E91" s="360"/>
      <c r="F91" s="2693" t="s">
        <v>4</v>
      </c>
      <c r="G91" s="2693"/>
      <c r="H91" s="2693"/>
      <c r="I91" s="2694"/>
      <c r="J91" s="2694"/>
      <c r="K91" s="2695"/>
      <c r="L91" s="361"/>
      <c r="M91" s="2679" t="s">
        <v>5</v>
      </c>
      <c r="N91" s="2679"/>
      <c r="O91" s="2679"/>
      <c r="P91" s="2679"/>
      <c r="Q91" s="2696"/>
      <c r="R91" s="2696"/>
      <c r="S91" s="2696"/>
      <c r="T91" s="2696"/>
      <c r="U91" s="2696"/>
      <c r="V91" s="2697"/>
      <c r="W91" s="362" t="s">
        <v>6</v>
      </c>
      <c r="X91" s="363" t="s">
        <v>7</v>
      </c>
      <c r="Y91" s="364"/>
      <c r="Z91" s="364"/>
      <c r="AA91" s="363"/>
      <c r="AB91" s="365"/>
      <c r="AC91" s="516" t="s">
        <v>8</v>
      </c>
      <c r="AD91" s="346"/>
      <c r="AE91" s="346"/>
      <c r="AF91" s="600"/>
    </row>
    <row r="92" spans="1:32" s="597" customFormat="1" ht="14.1" customHeight="1" x14ac:dyDescent="0.2">
      <c r="A92" s="2687"/>
      <c r="B92" s="367"/>
      <c r="C92" s="2687"/>
      <c r="D92" s="2062" t="s">
        <v>9</v>
      </c>
      <c r="E92" s="368" t="s">
        <v>10</v>
      </c>
      <c r="F92" s="2698" t="s">
        <v>11</v>
      </c>
      <c r="G92" s="2694"/>
      <c r="H92" s="2695"/>
      <c r="I92" s="360"/>
      <c r="J92" s="369" t="s">
        <v>12</v>
      </c>
      <c r="K92" s="360"/>
      <c r="L92" s="2679" t="s">
        <v>2</v>
      </c>
      <c r="M92" s="2067"/>
      <c r="N92" s="2067"/>
      <c r="O92" s="2067"/>
      <c r="P92" s="371"/>
      <c r="Q92" s="372" t="s">
        <v>13</v>
      </c>
      <c r="R92" s="373" t="s">
        <v>12</v>
      </c>
      <c r="S92" s="2067" t="s">
        <v>6</v>
      </c>
      <c r="T92" s="2682" t="s">
        <v>14</v>
      </c>
      <c r="U92" s="2683"/>
      <c r="V92" s="375" t="s">
        <v>7</v>
      </c>
      <c r="W92" s="376" t="s">
        <v>15</v>
      </c>
      <c r="X92" s="377" t="s">
        <v>16</v>
      </c>
      <c r="Y92" s="377" t="s">
        <v>17</v>
      </c>
      <c r="Z92" s="377" t="s">
        <v>18</v>
      </c>
      <c r="AA92" s="377"/>
      <c r="AB92" s="378" t="s">
        <v>19</v>
      </c>
      <c r="AC92" s="528" t="s">
        <v>20</v>
      </c>
      <c r="AD92" s="601"/>
      <c r="AE92" s="347" t="s">
        <v>21</v>
      </c>
      <c r="AF92" s="340" t="s">
        <v>22</v>
      </c>
    </row>
    <row r="93" spans="1:32" s="597" customFormat="1" ht="14.1" customHeight="1" x14ac:dyDescent="0.2">
      <c r="A93" s="2687"/>
      <c r="B93" s="2062" t="s">
        <v>23</v>
      </c>
      <c r="C93" s="2687"/>
      <c r="D93" s="2062" t="s">
        <v>24</v>
      </c>
      <c r="E93" s="368" t="s">
        <v>25</v>
      </c>
      <c r="F93" s="2699"/>
      <c r="G93" s="2700"/>
      <c r="H93" s="2701"/>
      <c r="I93" s="2062" t="s">
        <v>26</v>
      </c>
      <c r="J93" s="379" t="s">
        <v>15</v>
      </c>
      <c r="K93" s="2066" t="s">
        <v>6</v>
      </c>
      <c r="L93" s="2680"/>
      <c r="M93" s="2068" t="s">
        <v>27</v>
      </c>
      <c r="N93" s="2068" t="s">
        <v>10</v>
      </c>
      <c r="O93" s="382" t="s">
        <v>10</v>
      </c>
      <c r="P93" s="383" t="s">
        <v>28</v>
      </c>
      <c r="Q93" s="384" t="s">
        <v>29</v>
      </c>
      <c r="R93" s="383" t="s">
        <v>15</v>
      </c>
      <c r="S93" s="385" t="s">
        <v>15</v>
      </c>
      <c r="T93" s="2684"/>
      <c r="U93" s="2685"/>
      <c r="V93" s="375" t="s">
        <v>30</v>
      </c>
      <c r="W93" s="376" t="s">
        <v>31</v>
      </c>
      <c r="X93" s="377" t="s">
        <v>30</v>
      </c>
      <c r="Y93" s="377" t="s">
        <v>32</v>
      </c>
      <c r="Z93" s="377" t="s">
        <v>7</v>
      </c>
      <c r="AA93" s="377" t="s">
        <v>33</v>
      </c>
      <c r="AB93" s="378" t="s">
        <v>34</v>
      </c>
      <c r="AC93" s="528" t="s">
        <v>35</v>
      </c>
      <c r="AD93" s="347" t="s">
        <v>36</v>
      </c>
      <c r="AE93" s="347" t="s">
        <v>37</v>
      </c>
      <c r="AF93" s="340" t="s">
        <v>38</v>
      </c>
    </row>
    <row r="94" spans="1:32" s="597" customFormat="1" ht="14.1" customHeight="1" x14ac:dyDescent="0.2">
      <c r="A94" s="2687"/>
      <c r="B94" s="2062" t="s">
        <v>39</v>
      </c>
      <c r="C94" s="2687"/>
      <c r="D94" s="2062" t="s">
        <v>40</v>
      </c>
      <c r="E94" s="368" t="s">
        <v>41</v>
      </c>
      <c r="F94" s="2686" t="s">
        <v>42</v>
      </c>
      <c r="G94" s="2686" t="s">
        <v>43</v>
      </c>
      <c r="H94" s="2688" t="s">
        <v>44</v>
      </c>
      <c r="I94" s="2062" t="s">
        <v>45</v>
      </c>
      <c r="J94" s="379" t="s">
        <v>46</v>
      </c>
      <c r="K94" s="2066" t="s">
        <v>47</v>
      </c>
      <c r="L94" s="2680"/>
      <c r="M94" s="2068" t="s">
        <v>30</v>
      </c>
      <c r="N94" s="2068" t="s">
        <v>30</v>
      </c>
      <c r="O94" s="382" t="s">
        <v>25</v>
      </c>
      <c r="P94" s="383" t="s">
        <v>30</v>
      </c>
      <c r="Q94" s="384" t="s">
        <v>48</v>
      </c>
      <c r="R94" s="383" t="s">
        <v>49</v>
      </c>
      <c r="S94" s="385" t="s">
        <v>30</v>
      </c>
      <c r="T94" s="386" t="s">
        <v>50</v>
      </c>
      <c r="U94" s="2065" t="s">
        <v>13</v>
      </c>
      <c r="V94" s="375" t="s">
        <v>51</v>
      </c>
      <c r="W94" s="376" t="s">
        <v>52</v>
      </c>
      <c r="X94" s="377" t="s">
        <v>53</v>
      </c>
      <c r="Y94" s="377" t="s">
        <v>54</v>
      </c>
      <c r="Z94" s="377" t="s">
        <v>55</v>
      </c>
      <c r="AA94" s="377" t="s">
        <v>56</v>
      </c>
      <c r="AB94" s="378" t="s">
        <v>57</v>
      </c>
      <c r="AC94" s="347" t="s">
        <v>58</v>
      </c>
      <c r="AD94" s="347" t="s">
        <v>59</v>
      </c>
      <c r="AE94" s="347" t="s">
        <v>59</v>
      </c>
      <c r="AF94" s="340" t="s">
        <v>60</v>
      </c>
    </row>
    <row r="95" spans="1:32" s="597" customFormat="1" ht="14.1" customHeight="1" x14ac:dyDescent="0.2">
      <c r="A95" s="2687"/>
      <c r="B95" s="2062" t="s">
        <v>61</v>
      </c>
      <c r="C95" s="2687"/>
      <c r="D95" s="2062" t="s">
        <v>62</v>
      </c>
      <c r="E95" s="368" t="s">
        <v>63</v>
      </c>
      <c r="F95" s="2687"/>
      <c r="G95" s="2687"/>
      <c r="H95" s="2689"/>
      <c r="I95" s="2062" t="s">
        <v>64</v>
      </c>
      <c r="J95" s="379" t="s">
        <v>59</v>
      </c>
      <c r="K95" s="2066" t="s">
        <v>59</v>
      </c>
      <c r="L95" s="2680"/>
      <c r="M95" s="2068"/>
      <c r="N95" s="2068"/>
      <c r="O95" s="382" t="s">
        <v>41</v>
      </c>
      <c r="P95" s="383" t="s">
        <v>65</v>
      </c>
      <c r="Q95" s="384" t="s">
        <v>66</v>
      </c>
      <c r="R95" s="383" t="s">
        <v>67</v>
      </c>
      <c r="S95" s="385" t="s">
        <v>59</v>
      </c>
      <c r="T95" s="387" t="s">
        <v>68</v>
      </c>
      <c r="U95" s="375" t="s">
        <v>14</v>
      </c>
      <c r="V95" s="375" t="s">
        <v>14</v>
      </c>
      <c r="W95" s="376" t="s">
        <v>30</v>
      </c>
      <c r="X95" s="388" t="s">
        <v>69</v>
      </c>
      <c r="Y95" s="388" t="s">
        <v>70</v>
      </c>
      <c r="Z95" s="377" t="s">
        <v>71</v>
      </c>
      <c r="AA95" s="377" t="s">
        <v>72</v>
      </c>
      <c r="AB95" s="378" t="s">
        <v>59</v>
      </c>
      <c r="AC95" s="347" t="s">
        <v>59</v>
      </c>
      <c r="AD95" s="347"/>
      <c r="AE95" s="347"/>
      <c r="AF95" s="340" t="s">
        <v>59</v>
      </c>
    </row>
    <row r="96" spans="1:32" s="597" customFormat="1" ht="14.1" customHeight="1" x14ac:dyDescent="0.2">
      <c r="A96" s="2692"/>
      <c r="B96" s="390"/>
      <c r="C96" s="2692"/>
      <c r="D96" s="390"/>
      <c r="E96" s="2063"/>
      <c r="F96" s="390"/>
      <c r="G96" s="390"/>
      <c r="H96" s="391"/>
      <c r="I96" s="2063"/>
      <c r="J96" s="392"/>
      <c r="K96" s="393"/>
      <c r="L96" s="2681"/>
      <c r="M96" s="2069"/>
      <c r="N96" s="2069"/>
      <c r="O96" s="2069" t="s">
        <v>63</v>
      </c>
      <c r="P96" s="395"/>
      <c r="Q96" s="396" t="s">
        <v>72</v>
      </c>
      <c r="R96" s="397" t="s">
        <v>59</v>
      </c>
      <c r="S96" s="398"/>
      <c r="T96" s="397" t="s">
        <v>73</v>
      </c>
      <c r="U96" s="398" t="s">
        <v>59</v>
      </c>
      <c r="V96" s="399" t="s">
        <v>59</v>
      </c>
      <c r="W96" s="400" t="s">
        <v>59</v>
      </c>
      <c r="X96" s="401" t="s">
        <v>59</v>
      </c>
      <c r="Y96" s="401" t="s">
        <v>59</v>
      </c>
      <c r="Z96" s="401" t="s">
        <v>59</v>
      </c>
      <c r="AA96" s="402"/>
      <c r="AB96" s="403"/>
      <c r="AC96" s="348"/>
      <c r="AD96" s="348"/>
      <c r="AE96" s="348"/>
      <c r="AF96" s="341"/>
    </row>
    <row r="97" spans="1:32" s="597" customFormat="1" ht="18" customHeight="1" x14ac:dyDescent="0.2">
      <c r="A97" s="242">
        <v>1</v>
      </c>
      <c r="B97" s="102">
        <v>29378</v>
      </c>
      <c r="C97" s="2070">
        <v>20</v>
      </c>
      <c r="D97" s="2070" t="s">
        <v>83</v>
      </c>
      <c r="E97" s="2070">
        <v>5</v>
      </c>
      <c r="F97" s="2070">
        <v>0</v>
      </c>
      <c r="G97" s="2070">
        <v>1</v>
      </c>
      <c r="H97" s="407">
        <v>29</v>
      </c>
      <c r="I97" s="121">
        <f>+F97*400+G97*100+H97</f>
        <v>129</v>
      </c>
      <c r="J97" s="275">
        <v>1700</v>
      </c>
      <c r="K97" s="78">
        <f>SUM(I97*J97)</f>
        <v>219300</v>
      </c>
      <c r="L97" s="61">
        <v>1</v>
      </c>
      <c r="M97" s="2070">
        <v>103</v>
      </c>
      <c r="N97" s="2070" t="s">
        <v>74</v>
      </c>
      <c r="O97" s="61">
        <v>2</v>
      </c>
      <c r="P97" s="2070">
        <f>17.73*19</f>
        <v>336.87</v>
      </c>
      <c r="Q97" s="196" t="s">
        <v>75</v>
      </c>
      <c r="R97" s="408">
        <v>9050</v>
      </c>
      <c r="S97" s="77">
        <f>P97*R97</f>
        <v>3048673.5</v>
      </c>
      <c r="T97" s="135">
        <v>10</v>
      </c>
      <c r="U97" s="74">
        <f>+S97*0.1</f>
        <v>304867.35000000003</v>
      </c>
      <c r="V97" s="74">
        <f>SUM(S97-U97)</f>
        <v>2743806.15</v>
      </c>
      <c r="W97" s="77">
        <f>K97+V97</f>
        <v>2963106.15</v>
      </c>
      <c r="X97" s="74">
        <f>W97</f>
        <v>2963106.15</v>
      </c>
      <c r="Y97" s="606" t="s">
        <v>87</v>
      </c>
      <c r="Z97" s="74">
        <v>0</v>
      </c>
      <c r="AA97" s="414">
        <v>0.02</v>
      </c>
      <c r="AB97" s="415">
        <f>AA97*Z97/100</f>
        <v>0</v>
      </c>
      <c r="AC97" s="350"/>
      <c r="AD97" s="350"/>
      <c r="AE97" s="350"/>
      <c r="AF97" s="350"/>
    </row>
    <row r="98" spans="1:32" s="597" customFormat="1" ht="18" customHeight="1" x14ac:dyDescent="0.2">
      <c r="A98" s="242"/>
      <c r="B98" s="242"/>
      <c r="C98" s="496"/>
      <c r="D98" s="85"/>
      <c r="E98" s="85"/>
      <c r="F98" s="411">
        <v>0</v>
      </c>
      <c r="G98" s="242">
        <v>0</v>
      </c>
      <c r="H98" s="497">
        <v>20</v>
      </c>
      <c r="I98" s="121">
        <f>+F98*400+G98*100+H98</f>
        <v>20</v>
      </c>
      <c r="J98" s="275">
        <v>1700</v>
      </c>
      <c r="K98" s="78">
        <f>SUM(I98*J98)</f>
        <v>34000</v>
      </c>
      <c r="L98" s="242">
        <v>2</v>
      </c>
      <c r="M98" s="2070">
        <v>401</v>
      </c>
      <c r="N98" s="2070" t="s">
        <v>74</v>
      </c>
      <c r="O98" s="61">
        <v>3</v>
      </c>
      <c r="P98" s="2070">
        <f>8.1*8.8</f>
        <v>71.28</v>
      </c>
      <c r="Q98" s="174" t="s">
        <v>75</v>
      </c>
      <c r="R98" s="408">
        <v>8000</v>
      </c>
      <c r="S98" s="77">
        <f>P98*R98</f>
        <v>570240</v>
      </c>
      <c r="T98" s="135">
        <v>10</v>
      </c>
      <c r="U98" s="74">
        <f>+S98*0.1</f>
        <v>57024</v>
      </c>
      <c r="V98" s="74">
        <f>SUM(S98-U98)</f>
        <v>513216</v>
      </c>
      <c r="W98" s="77">
        <f>K98+V98</f>
        <v>547216</v>
      </c>
      <c r="X98" s="74">
        <f>W98</f>
        <v>547216</v>
      </c>
      <c r="Y98" s="606" t="s">
        <v>102</v>
      </c>
      <c r="Z98" s="74">
        <f>+X98</f>
        <v>547216</v>
      </c>
      <c r="AA98" s="414">
        <v>0.3</v>
      </c>
      <c r="AB98" s="410">
        <f>AA98*Z98/100</f>
        <v>1641.6479999999999</v>
      </c>
      <c r="AC98" s="350"/>
      <c r="AD98" s="350"/>
      <c r="AE98" s="350"/>
      <c r="AF98" s="350"/>
    </row>
    <row r="99" spans="1:32" s="597" customFormat="1" ht="18" customHeight="1" x14ac:dyDescent="0.2">
      <c r="A99" s="2070">
        <v>2</v>
      </c>
      <c r="B99" s="1088">
        <v>29377</v>
      </c>
      <c r="C99" s="177">
        <v>20</v>
      </c>
      <c r="D99" s="2070" t="s">
        <v>83</v>
      </c>
      <c r="E99" s="2070">
        <v>2</v>
      </c>
      <c r="F99" s="2070">
        <v>0</v>
      </c>
      <c r="G99" s="2070">
        <v>1</v>
      </c>
      <c r="H99" s="2076">
        <v>48</v>
      </c>
      <c r="I99" s="2072">
        <v>148</v>
      </c>
      <c r="J99" s="178">
        <v>1700</v>
      </c>
      <c r="K99" s="2072">
        <v>251600</v>
      </c>
      <c r="L99" s="2070"/>
      <c r="M99" s="2070"/>
      <c r="N99" s="2070"/>
      <c r="O99" s="2070">
        <v>2</v>
      </c>
      <c r="P99" s="2076"/>
      <c r="Q99" s="2071"/>
      <c r="R99" s="437"/>
      <c r="S99" s="2072"/>
      <c r="T99" s="179"/>
      <c r="U99" s="178">
        <v>0</v>
      </c>
      <c r="V99" s="2072">
        <v>0</v>
      </c>
      <c r="W99" s="2072">
        <v>251600</v>
      </c>
      <c r="X99" s="470">
        <v>251600</v>
      </c>
      <c r="Y99" s="470" t="s">
        <v>87</v>
      </c>
      <c r="Z99" s="471">
        <v>251600</v>
      </c>
      <c r="AA99" s="764">
        <v>0.02</v>
      </c>
      <c r="AB99" s="466"/>
      <c r="AC99" s="350"/>
      <c r="AD99" s="350">
        <v>754.8</v>
      </c>
      <c r="AE99" s="350">
        <v>188.7</v>
      </c>
      <c r="AF99" s="350">
        <v>188.7</v>
      </c>
    </row>
    <row r="100" spans="1:32" s="597" customFormat="1" ht="18" customHeight="1" x14ac:dyDescent="0.2">
      <c r="A100" s="2070"/>
      <c r="B100" s="177"/>
      <c r="C100" s="177"/>
      <c r="D100" s="2070"/>
      <c r="E100" s="2070"/>
      <c r="F100" s="2070"/>
      <c r="G100" s="2070"/>
      <c r="H100" s="2076"/>
      <c r="I100" s="2072"/>
      <c r="J100" s="178"/>
      <c r="K100" s="2072"/>
      <c r="L100" s="2070"/>
      <c r="M100" s="2070"/>
      <c r="N100" s="2070"/>
      <c r="O100" s="2070"/>
      <c r="P100" s="2076"/>
      <c r="Q100" s="2071"/>
      <c r="R100" s="437"/>
      <c r="S100" s="2072"/>
      <c r="T100" s="179"/>
      <c r="U100" s="178"/>
      <c r="V100" s="2072"/>
      <c r="W100" s="2072"/>
      <c r="X100" s="470"/>
      <c r="Y100" s="470"/>
      <c r="Z100" s="471"/>
      <c r="AA100" s="764"/>
      <c r="AB100" s="466"/>
      <c r="AC100" s="350"/>
      <c r="AD100" s="350"/>
      <c r="AE100" s="350"/>
      <c r="AF100" s="350"/>
    </row>
    <row r="101" spans="1:32" s="597" customFormat="1" ht="18" customHeight="1" x14ac:dyDescent="0.2">
      <c r="A101" s="2070"/>
      <c r="B101" s="177"/>
      <c r="C101" s="177"/>
      <c r="D101" s="2070"/>
      <c r="E101" s="2070"/>
      <c r="F101" s="2070"/>
      <c r="G101" s="2070"/>
      <c r="H101" s="2076"/>
      <c r="I101" s="2072"/>
      <c r="J101" s="178"/>
      <c r="K101" s="2072"/>
      <c r="L101" s="2070"/>
      <c r="M101" s="2070"/>
      <c r="N101" s="2070"/>
      <c r="O101" s="2070"/>
      <c r="P101" s="2076"/>
      <c r="Q101" s="2071"/>
      <c r="R101" s="437"/>
      <c r="S101" s="2072"/>
      <c r="T101" s="179"/>
      <c r="U101" s="178"/>
      <c r="V101" s="2072"/>
      <c r="W101" s="2072"/>
      <c r="X101" s="470"/>
      <c r="Y101" s="470"/>
      <c r="Z101" s="471"/>
      <c r="AA101" s="764"/>
      <c r="AB101" s="466"/>
      <c r="AC101" s="350"/>
      <c r="AD101" s="350"/>
      <c r="AE101" s="350"/>
      <c r="AF101" s="350"/>
    </row>
    <row r="102" spans="1:32" s="597" customFormat="1" ht="18" customHeight="1" x14ac:dyDescent="0.2">
      <c r="A102" s="2070"/>
      <c r="B102" s="177"/>
      <c r="C102" s="177"/>
      <c r="D102" s="2070"/>
      <c r="E102" s="2070"/>
      <c r="F102" s="2070"/>
      <c r="G102" s="2070"/>
      <c r="H102" s="2076"/>
      <c r="I102" s="2072"/>
      <c r="J102" s="178"/>
      <c r="K102" s="2072"/>
      <c r="L102" s="2070"/>
      <c r="M102" s="2070"/>
      <c r="N102" s="2070"/>
      <c r="O102" s="2070"/>
      <c r="P102" s="2076"/>
      <c r="Q102" s="2071"/>
      <c r="R102" s="437"/>
      <c r="S102" s="2072"/>
      <c r="T102" s="179"/>
      <c r="U102" s="178"/>
      <c r="V102" s="2072"/>
      <c r="W102" s="2072"/>
      <c r="X102" s="470"/>
      <c r="Y102" s="470"/>
      <c r="Z102" s="471"/>
      <c r="AA102" s="764"/>
      <c r="AB102" s="466"/>
      <c r="AC102" s="350"/>
      <c r="AD102" s="350"/>
      <c r="AE102" s="350"/>
      <c r="AF102" s="350"/>
    </row>
    <row r="103" spans="1:32" s="597" customFormat="1" ht="18" customHeight="1" x14ac:dyDescent="0.2">
      <c r="A103" s="2070"/>
      <c r="B103" s="177"/>
      <c r="C103" s="177"/>
      <c r="D103" s="2070"/>
      <c r="E103" s="2070"/>
      <c r="F103" s="2070"/>
      <c r="G103" s="2070"/>
      <c r="H103" s="2076"/>
      <c r="I103" s="2072"/>
      <c r="J103" s="178"/>
      <c r="K103" s="2072"/>
      <c r="L103" s="2070"/>
      <c r="M103" s="2070"/>
      <c r="N103" s="2070"/>
      <c r="O103" s="2070"/>
      <c r="P103" s="2076"/>
      <c r="Q103" s="2071"/>
      <c r="R103" s="437"/>
      <c r="S103" s="2072"/>
      <c r="T103" s="179"/>
      <c r="U103" s="178"/>
      <c r="V103" s="2072"/>
      <c r="W103" s="2072"/>
      <c r="X103" s="470"/>
      <c r="Y103" s="470"/>
      <c r="Z103" s="471"/>
      <c r="AA103" s="764"/>
      <c r="AB103" s="466"/>
      <c r="AC103" s="350"/>
      <c r="AD103" s="350"/>
      <c r="AE103" s="350"/>
      <c r="AF103" s="350"/>
    </row>
    <row r="104" spans="1:32" s="597" customFormat="1" ht="18" customHeight="1" x14ac:dyDescent="0.2">
      <c r="A104" s="2070"/>
      <c r="B104" s="177"/>
      <c r="C104" s="177"/>
      <c r="D104" s="2070"/>
      <c r="E104" s="2070"/>
      <c r="F104" s="2070"/>
      <c r="G104" s="2070"/>
      <c r="H104" s="2076"/>
      <c r="I104" s="2072"/>
      <c r="J104" s="178"/>
      <c r="K104" s="2072"/>
      <c r="L104" s="2070"/>
      <c r="M104" s="2070"/>
      <c r="N104" s="2070"/>
      <c r="O104" s="2070"/>
      <c r="P104" s="2076"/>
      <c r="Q104" s="2071"/>
      <c r="R104" s="437"/>
      <c r="S104" s="2072"/>
      <c r="T104" s="179"/>
      <c r="U104" s="178"/>
      <c r="V104" s="2072"/>
      <c r="W104" s="2072"/>
      <c r="X104" s="470"/>
      <c r="Y104" s="470"/>
      <c r="Z104" s="471"/>
      <c r="AA104" s="764"/>
      <c r="AB104" s="466"/>
      <c r="AC104" s="350"/>
      <c r="AD104" s="350"/>
      <c r="AE104" s="350"/>
      <c r="AF104" s="350"/>
    </row>
    <row r="105" spans="1:32" s="597" customFormat="1" ht="18" customHeight="1" x14ac:dyDescent="0.2">
      <c r="A105" s="2070"/>
      <c r="B105" s="177"/>
      <c r="C105" s="177"/>
      <c r="D105" s="2070"/>
      <c r="E105" s="2070"/>
      <c r="F105" s="2070"/>
      <c r="G105" s="2070"/>
      <c r="H105" s="2076"/>
      <c r="I105" s="2072"/>
      <c r="J105" s="178"/>
      <c r="K105" s="2072"/>
      <c r="L105" s="2070"/>
      <c r="M105" s="2070"/>
      <c r="N105" s="2070"/>
      <c r="O105" s="2070"/>
      <c r="P105" s="2076"/>
      <c r="Q105" s="2071"/>
      <c r="R105" s="437"/>
      <c r="S105" s="2072"/>
      <c r="T105" s="179"/>
      <c r="U105" s="178"/>
      <c r="V105" s="2072"/>
      <c r="W105" s="2072"/>
      <c r="X105" s="470"/>
      <c r="Y105" s="470"/>
      <c r="Z105" s="471"/>
      <c r="AA105" s="764"/>
      <c r="AB105" s="466"/>
      <c r="AC105" s="350"/>
      <c r="AD105" s="350"/>
      <c r="AE105" s="350"/>
      <c r="AF105" s="350"/>
    </row>
    <row r="106" spans="1:32" s="597" customFormat="1" ht="18" customHeight="1" x14ac:dyDescent="0.2">
      <c r="A106" s="2070"/>
      <c r="B106" s="177"/>
      <c r="C106" s="177"/>
      <c r="D106" s="2070"/>
      <c r="E106" s="2070"/>
      <c r="F106" s="2070"/>
      <c r="G106" s="2070"/>
      <c r="H106" s="2076"/>
      <c r="I106" s="2072"/>
      <c r="J106" s="178"/>
      <c r="K106" s="2072"/>
      <c r="L106" s="2070"/>
      <c r="M106" s="2070"/>
      <c r="N106" s="2070"/>
      <c r="O106" s="2070"/>
      <c r="P106" s="2076"/>
      <c r="Q106" s="2071"/>
      <c r="R106" s="437"/>
      <c r="S106" s="2072"/>
      <c r="T106" s="179"/>
      <c r="U106" s="178"/>
      <c r="V106" s="2072"/>
      <c r="W106" s="2072"/>
      <c r="X106" s="470"/>
      <c r="Y106" s="470"/>
      <c r="Z106" s="471"/>
      <c r="AA106" s="764"/>
      <c r="AB106" s="466"/>
      <c r="AC106" s="350"/>
      <c r="AD106" s="350"/>
      <c r="AE106" s="350"/>
      <c r="AF106" s="350"/>
    </row>
    <row r="107" spans="1:32" s="597" customFormat="1" ht="18" customHeight="1" x14ac:dyDescent="0.2">
      <c r="A107" s="2070"/>
      <c r="B107" s="177"/>
      <c r="C107" s="177"/>
      <c r="D107" s="2070"/>
      <c r="E107" s="2070"/>
      <c r="F107" s="2070"/>
      <c r="G107" s="2070"/>
      <c r="H107" s="2076"/>
      <c r="I107" s="2072"/>
      <c r="J107" s="178"/>
      <c r="K107" s="2072"/>
      <c r="L107" s="2070"/>
      <c r="M107" s="2070"/>
      <c r="N107" s="2070"/>
      <c r="O107" s="2070"/>
      <c r="P107" s="2076"/>
      <c r="Q107" s="2071"/>
      <c r="R107" s="437"/>
      <c r="S107" s="2072"/>
      <c r="T107" s="179"/>
      <c r="U107" s="178"/>
      <c r="V107" s="2072"/>
      <c r="W107" s="2072"/>
      <c r="X107" s="470"/>
      <c r="Y107" s="470"/>
      <c r="Z107" s="471"/>
      <c r="AA107" s="764"/>
      <c r="AB107" s="466"/>
      <c r="AC107" s="350"/>
      <c r="AD107" s="350"/>
      <c r="AE107" s="350"/>
      <c r="AF107" s="350"/>
    </row>
    <row r="108" spans="1:32" s="597" customFormat="1" ht="18" customHeight="1" x14ac:dyDescent="0.2">
      <c r="A108" s="2070"/>
      <c r="B108" s="177"/>
      <c r="C108" s="177"/>
      <c r="D108" s="2070"/>
      <c r="E108" s="2070"/>
      <c r="F108" s="2070"/>
      <c r="G108" s="2070"/>
      <c r="H108" s="2076"/>
      <c r="I108" s="2072"/>
      <c r="J108" s="178"/>
      <c r="K108" s="2072"/>
      <c r="L108" s="2070"/>
      <c r="M108" s="2070"/>
      <c r="N108" s="2070"/>
      <c r="O108" s="2070"/>
      <c r="P108" s="2076"/>
      <c r="Q108" s="2071"/>
      <c r="R108" s="437"/>
      <c r="S108" s="2072"/>
      <c r="T108" s="179"/>
      <c r="U108" s="178"/>
      <c r="V108" s="2072"/>
      <c r="W108" s="2072"/>
      <c r="X108" s="470"/>
      <c r="Y108" s="470"/>
      <c r="Z108" s="471"/>
      <c r="AA108" s="764"/>
      <c r="AB108" s="466"/>
      <c r="AC108" s="350"/>
      <c r="AD108" s="350"/>
      <c r="AE108" s="350"/>
      <c r="AF108" s="350"/>
    </row>
    <row r="109" spans="1:32" s="597" customFormat="1" ht="18" customHeight="1" x14ac:dyDescent="0.2">
      <c r="A109" s="2070"/>
      <c r="B109" s="177"/>
      <c r="C109" s="177"/>
      <c r="D109" s="2070"/>
      <c r="E109" s="2070"/>
      <c r="F109" s="2070"/>
      <c r="G109" s="2070"/>
      <c r="H109" s="2076"/>
      <c r="I109" s="2072"/>
      <c r="J109" s="178"/>
      <c r="K109" s="2072"/>
      <c r="L109" s="2070"/>
      <c r="M109" s="2070"/>
      <c r="N109" s="2070"/>
      <c r="O109" s="2070"/>
      <c r="P109" s="2076"/>
      <c r="Q109" s="2071"/>
      <c r="R109" s="437"/>
      <c r="S109" s="2072"/>
      <c r="T109" s="179"/>
      <c r="U109" s="178"/>
      <c r="V109" s="2072"/>
      <c r="W109" s="2072"/>
      <c r="X109" s="470"/>
      <c r="Y109" s="470"/>
      <c r="Z109" s="471"/>
      <c r="AA109" s="764"/>
      <c r="AB109" s="466"/>
      <c r="AC109" s="350"/>
      <c r="AD109" s="350"/>
      <c r="AE109" s="350"/>
      <c r="AF109" s="350"/>
    </row>
    <row r="110" spans="1:32" s="597" customFormat="1" ht="18" customHeight="1" x14ac:dyDescent="0.2">
      <c r="A110" s="88"/>
      <c r="B110" s="180"/>
      <c r="C110" s="180"/>
      <c r="D110" s="88"/>
      <c r="E110" s="88"/>
      <c r="F110" s="88"/>
      <c r="G110" s="88"/>
      <c r="H110" s="120"/>
      <c r="I110" s="121"/>
      <c r="J110" s="181"/>
      <c r="K110" s="121"/>
      <c r="L110" s="88"/>
      <c r="M110" s="88"/>
      <c r="N110" s="88"/>
      <c r="O110" s="88"/>
      <c r="P110" s="88"/>
      <c r="Q110" s="129"/>
      <c r="R110" s="445"/>
      <c r="S110" s="121"/>
      <c r="T110" s="182"/>
      <c r="U110" s="181"/>
      <c r="V110" s="121"/>
      <c r="W110" s="121"/>
      <c r="X110" s="472"/>
      <c r="Y110" s="472"/>
      <c r="Z110" s="473"/>
      <c r="AA110" s="780"/>
      <c r="AB110" s="410"/>
      <c r="AC110" s="351"/>
      <c r="AD110" s="351"/>
      <c r="AE110" s="351"/>
      <c r="AF110" s="351"/>
    </row>
    <row r="111" spans="1:32" s="597" customFormat="1" ht="18" customHeight="1" x14ac:dyDescent="0.2">
      <c r="A111" s="183"/>
      <c r="B111" s="183"/>
      <c r="C111" s="183"/>
      <c r="D111" s="183"/>
      <c r="E111" s="183"/>
      <c r="F111" s="183"/>
      <c r="G111" s="183"/>
      <c r="H111" s="184"/>
      <c r="I111" s="185"/>
      <c r="J111" s="186"/>
      <c r="K111" s="185"/>
      <c r="L111" s="185"/>
      <c r="M111" s="185"/>
      <c r="N111" s="185"/>
      <c r="O111" s="185"/>
      <c r="P111" s="185"/>
      <c r="Q111" s="185"/>
      <c r="R111" s="438"/>
      <c r="S111" s="185"/>
      <c r="T111" s="187"/>
      <c r="U111" s="186"/>
      <c r="V111" s="185"/>
      <c r="W111" s="185"/>
      <c r="X111" s="474"/>
      <c r="Y111" s="474"/>
      <c r="Z111" s="475"/>
      <c r="AA111" s="781"/>
      <c r="AB111" s="476">
        <f>SUM(AB97:AB110)</f>
        <v>1641.6479999999999</v>
      </c>
      <c r="AC111" s="349"/>
      <c r="AD111" s="349"/>
      <c r="AE111" s="349"/>
      <c r="AF111" s="349"/>
    </row>
    <row r="112" spans="1:32" s="597" customFormat="1" ht="14.1" customHeight="1" x14ac:dyDescent="0.2">
      <c r="A112" s="2690" t="s">
        <v>76</v>
      </c>
      <c r="B112" s="2690"/>
      <c r="C112" s="2691" t="s">
        <v>77</v>
      </c>
      <c r="D112" s="2691"/>
      <c r="E112" s="2691"/>
      <c r="F112" s="2691"/>
      <c r="G112" s="2691"/>
      <c r="H112" s="2691"/>
      <c r="I112" s="604" t="s">
        <v>78</v>
      </c>
      <c r="J112" s="604"/>
      <c r="K112" s="604"/>
      <c r="L112" s="604"/>
      <c r="M112" s="604"/>
      <c r="N112" s="604"/>
      <c r="AA112" s="767"/>
      <c r="AB112" s="598"/>
    </row>
    <row r="113" spans="1:32" s="597" customFormat="1" ht="14.1" customHeight="1" x14ac:dyDescent="0.2">
      <c r="A113" s="604"/>
      <c r="B113" s="605"/>
      <c r="C113" s="604"/>
      <c r="D113" s="604"/>
      <c r="E113" s="604"/>
      <c r="F113" s="604"/>
      <c r="G113" s="604"/>
      <c r="H113" s="604"/>
      <c r="I113" s="604" t="s">
        <v>79</v>
      </c>
      <c r="J113" s="604"/>
      <c r="K113" s="604"/>
      <c r="L113" s="604"/>
      <c r="M113" s="604"/>
      <c r="N113" s="604"/>
      <c r="AA113" s="767"/>
      <c r="AB113" s="598"/>
    </row>
    <row r="114" spans="1:32" s="597" customFormat="1" ht="14.1" customHeight="1" x14ac:dyDescent="0.2">
      <c r="A114" s="604"/>
      <c r="B114" s="605"/>
      <c r="C114" s="604"/>
      <c r="D114" s="604"/>
      <c r="E114" s="604"/>
      <c r="F114" s="604"/>
      <c r="G114" s="604"/>
      <c r="H114" s="604"/>
      <c r="I114" s="604" t="s">
        <v>80</v>
      </c>
      <c r="J114" s="604"/>
      <c r="K114" s="604"/>
      <c r="L114" s="604"/>
      <c r="M114" s="604"/>
      <c r="N114" s="604"/>
      <c r="AA114" s="767"/>
      <c r="AB114" s="598"/>
    </row>
    <row r="115" spans="1:32" s="597" customFormat="1" ht="14.1" customHeight="1" x14ac:dyDescent="0.2">
      <c r="A115" s="604"/>
      <c r="B115" s="605"/>
      <c r="C115" s="604"/>
      <c r="D115" s="604"/>
      <c r="E115" s="604"/>
      <c r="F115" s="604"/>
      <c r="G115" s="604"/>
      <c r="H115" s="604"/>
      <c r="I115" s="604" t="s">
        <v>81</v>
      </c>
      <c r="J115" s="604"/>
      <c r="K115" s="604"/>
      <c r="L115" s="604"/>
      <c r="M115" s="604"/>
      <c r="N115" s="604"/>
      <c r="AA115" s="767"/>
      <c r="AB115" s="598"/>
    </row>
    <row r="116" spans="1:32" s="597" customFormat="1" ht="14.1" customHeight="1" x14ac:dyDescent="0.2">
      <c r="A116" s="604"/>
      <c r="B116" s="605"/>
      <c r="C116" s="604"/>
      <c r="D116" s="604"/>
      <c r="E116" s="604"/>
      <c r="F116" s="604"/>
      <c r="G116" s="604"/>
      <c r="H116" s="604"/>
      <c r="I116" s="604" t="s">
        <v>88</v>
      </c>
      <c r="J116" s="604"/>
      <c r="K116" s="604"/>
      <c r="L116" s="604"/>
      <c r="M116" s="604"/>
      <c r="N116" s="604"/>
      <c r="AA116" s="767"/>
      <c r="AB116" s="598"/>
    </row>
    <row r="117" spans="1:32" s="597" customFormat="1" ht="18" customHeight="1" x14ac:dyDescent="0.2">
      <c r="A117" s="339"/>
      <c r="B117" s="339"/>
      <c r="C117" s="339"/>
      <c r="D117" s="339"/>
      <c r="E117" s="339"/>
      <c r="F117" s="339"/>
      <c r="G117" s="339"/>
      <c r="H117" s="339"/>
      <c r="I117" s="339"/>
      <c r="J117" s="339"/>
      <c r="K117" s="339"/>
      <c r="L117" s="339"/>
      <c r="M117" s="339"/>
      <c r="N117" s="339"/>
      <c r="O117" s="339"/>
      <c r="P117" s="339"/>
      <c r="Q117" s="339"/>
      <c r="R117" s="339"/>
      <c r="S117" s="339"/>
      <c r="T117" s="339"/>
      <c r="U117" s="339"/>
      <c r="V117" s="339"/>
      <c r="W117" s="339"/>
      <c r="X117" s="339"/>
      <c r="Y117" s="339"/>
      <c r="Z117" s="339"/>
      <c r="AA117" s="2702" t="s">
        <v>0</v>
      </c>
      <c r="AB117" s="2702"/>
      <c r="AC117" s="339"/>
      <c r="AD117" s="339"/>
      <c r="AE117" s="339"/>
      <c r="AF117" s="339"/>
    </row>
    <row r="118" spans="1:32" s="597" customFormat="1" ht="18" customHeight="1" x14ac:dyDescent="0.2">
      <c r="A118" s="2703" t="s">
        <v>1</v>
      </c>
      <c r="B118" s="2703"/>
      <c r="C118" s="2703"/>
      <c r="D118" s="2703"/>
      <c r="E118" s="2703"/>
      <c r="F118" s="2703"/>
      <c r="G118" s="2703"/>
      <c r="H118" s="2703"/>
      <c r="I118" s="2703"/>
      <c r="J118" s="2703"/>
      <c r="K118" s="2703"/>
      <c r="L118" s="2703"/>
      <c r="M118" s="2703"/>
      <c r="N118" s="2703"/>
      <c r="O118" s="2703"/>
      <c r="P118" s="2703"/>
      <c r="Q118" s="2703"/>
      <c r="R118" s="2703"/>
      <c r="S118" s="2703"/>
      <c r="T118" s="2703"/>
      <c r="U118" s="2703"/>
      <c r="V118" s="2703"/>
      <c r="W118" s="2703"/>
      <c r="X118" s="2703"/>
      <c r="Y118" s="2703"/>
      <c r="Z118" s="2703"/>
      <c r="AA118" s="2703"/>
      <c r="AB118" s="2703"/>
      <c r="AC118" s="344"/>
      <c r="AD118" s="344"/>
      <c r="AE118" s="344"/>
      <c r="AF118" s="344"/>
    </row>
    <row r="119" spans="1:32" s="597" customFormat="1" ht="18" customHeight="1" x14ac:dyDescent="0.2">
      <c r="A119" s="2704" t="s">
        <v>544</v>
      </c>
      <c r="B119" s="2704"/>
      <c r="C119" s="2704"/>
      <c r="D119" s="2704"/>
      <c r="E119" s="2704"/>
      <c r="F119" s="2704"/>
      <c r="G119" s="2704"/>
      <c r="H119" s="2704"/>
      <c r="I119" s="2704"/>
      <c r="J119" s="2704"/>
      <c r="K119" s="2704"/>
      <c r="L119" s="2704"/>
      <c r="M119" s="2704"/>
      <c r="N119" s="2704"/>
      <c r="O119" s="2704"/>
      <c r="P119" s="2704"/>
      <c r="Q119" s="2704"/>
      <c r="R119" s="2704"/>
      <c r="S119" s="2704"/>
      <c r="T119" s="2704"/>
      <c r="U119" s="2704"/>
      <c r="V119" s="2704"/>
      <c r="W119" s="2704"/>
      <c r="X119" s="2704"/>
      <c r="Y119" s="2704"/>
      <c r="Z119" s="2704"/>
      <c r="AA119" s="2704"/>
      <c r="AB119" s="2704"/>
      <c r="AC119" s="599"/>
      <c r="AD119" s="599"/>
      <c r="AE119" s="599"/>
      <c r="AF119" s="599"/>
    </row>
    <row r="120" spans="1:32" s="597" customFormat="1" ht="14.1" customHeight="1" x14ac:dyDescent="0.2">
      <c r="A120" s="2686" t="s">
        <v>2</v>
      </c>
      <c r="B120" s="360"/>
      <c r="C120" s="2686" t="s">
        <v>3</v>
      </c>
      <c r="D120" s="360"/>
      <c r="E120" s="360"/>
      <c r="F120" s="2693" t="s">
        <v>4</v>
      </c>
      <c r="G120" s="2693"/>
      <c r="H120" s="2693"/>
      <c r="I120" s="2694"/>
      <c r="J120" s="2694"/>
      <c r="K120" s="2695"/>
      <c r="L120" s="361"/>
      <c r="M120" s="2679" t="s">
        <v>5</v>
      </c>
      <c r="N120" s="2679"/>
      <c r="O120" s="2679"/>
      <c r="P120" s="2679"/>
      <c r="Q120" s="2696"/>
      <c r="R120" s="2696"/>
      <c r="S120" s="2696"/>
      <c r="T120" s="2696"/>
      <c r="U120" s="2696"/>
      <c r="V120" s="2697"/>
      <c r="W120" s="362" t="s">
        <v>6</v>
      </c>
      <c r="X120" s="363" t="s">
        <v>7</v>
      </c>
      <c r="Y120" s="364"/>
      <c r="Z120" s="364"/>
      <c r="AA120" s="363"/>
      <c r="AB120" s="365"/>
      <c r="AC120" s="516" t="s">
        <v>8</v>
      </c>
      <c r="AD120" s="346"/>
      <c r="AE120" s="346"/>
      <c r="AF120" s="600"/>
    </row>
    <row r="121" spans="1:32" s="597" customFormat="1" ht="14.1" customHeight="1" x14ac:dyDescent="0.2">
      <c r="A121" s="2687"/>
      <c r="B121" s="367"/>
      <c r="C121" s="2687"/>
      <c r="D121" s="2062" t="s">
        <v>9</v>
      </c>
      <c r="E121" s="368" t="s">
        <v>10</v>
      </c>
      <c r="F121" s="2698" t="s">
        <v>11</v>
      </c>
      <c r="G121" s="2694"/>
      <c r="H121" s="2695"/>
      <c r="I121" s="360"/>
      <c r="J121" s="369" t="s">
        <v>12</v>
      </c>
      <c r="K121" s="360"/>
      <c r="L121" s="2679" t="s">
        <v>2</v>
      </c>
      <c r="M121" s="2067"/>
      <c r="N121" s="2067"/>
      <c r="O121" s="2067"/>
      <c r="P121" s="371"/>
      <c r="Q121" s="372" t="s">
        <v>13</v>
      </c>
      <c r="R121" s="373" t="s">
        <v>12</v>
      </c>
      <c r="S121" s="2067" t="s">
        <v>6</v>
      </c>
      <c r="T121" s="2682" t="s">
        <v>14</v>
      </c>
      <c r="U121" s="2683"/>
      <c r="V121" s="375" t="s">
        <v>7</v>
      </c>
      <c r="W121" s="376" t="s">
        <v>15</v>
      </c>
      <c r="X121" s="377" t="s">
        <v>16</v>
      </c>
      <c r="Y121" s="377" t="s">
        <v>17</v>
      </c>
      <c r="Z121" s="377" t="s">
        <v>18</v>
      </c>
      <c r="AA121" s="377"/>
      <c r="AB121" s="378" t="s">
        <v>19</v>
      </c>
      <c r="AC121" s="528" t="s">
        <v>20</v>
      </c>
      <c r="AD121" s="601"/>
      <c r="AE121" s="347" t="s">
        <v>21</v>
      </c>
      <c r="AF121" s="340" t="s">
        <v>22</v>
      </c>
    </row>
    <row r="122" spans="1:32" s="597" customFormat="1" ht="14.1" customHeight="1" x14ac:dyDescent="0.2">
      <c r="A122" s="2687"/>
      <c r="B122" s="2062" t="s">
        <v>23</v>
      </c>
      <c r="C122" s="2687"/>
      <c r="D122" s="2062" t="s">
        <v>24</v>
      </c>
      <c r="E122" s="368" t="s">
        <v>25</v>
      </c>
      <c r="F122" s="2699"/>
      <c r="G122" s="2700"/>
      <c r="H122" s="2701"/>
      <c r="I122" s="2062" t="s">
        <v>26</v>
      </c>
      <c r="J122" s="379" t="s">
        <v>15</v>
      </c>
      <c r="K122" s="2066" t="s">
        <v>6</v>
      </c>
      <c r="L122" s="2680"/>
      <c r="M122" s="2068" t="s">
        <v>27</v>
      </c>
      <c r="N122" s="2068" t="s">
        <v>10</v>
      </c>
      <c r="O122" s="382" t="s">
        <v>10</v>
      </c>
      <c r="P122" s="383" t="s">
        <v>28</v>
      </c>
      <c r="Q122" s="384" t="s">
        <v>29</v>
      </c>
      <c r="R122" s="383" t="s">
        <v>15</v>
      </c>
      <c r="S122" s="385" t="s">
        <v>15</v>
      </c>
      <c r="T122" s="2684"/>
      <c r="U122" s="2685"/>
      <c r="V122" s="375" t="s">
        <v>30</v>
      </c>
      <c r="W122" s="376" t="s">
        <v>31</v>
      </c>
      <c r="X122" s="377" t="s">
        <v>30</v>
      </c>
      <c r="Y122" s="377" t="s">
        <v>32</v>
      </c>
      <c r="Z122" s="377" t="s">
        <v>7</v>
      </c>
      <c r="AA122" s="377" t="s">
        <v>33</v>
      </c>
      <c r="AB122" s="378" t="s">
        <v>34</v>
      </c>
      <c r="AC122" s="528" t="s">
        <v>35</v>
      </c>
      <c r="AD122" s="347" t="s">
        <v>36</v>
      </c>
      <c r="AE122" s="347" t="s">
        <v>37</v>
      </c>
      <c r="AF122" s="340" t="s">
        <v>38</v>
      </c>
    </row>
    <row r="123" spans="1:32" s="597" customFormat="1" ht="14.1" customHeight="1" x14ac:dyDescent="0.2">
      <c r="A123" s="2687"/>
      <c r="B123" s="2062" t="s">
        <v>39</v>
      </c>
      <c r="C123" s="2687"/>
      <c r="D123" s="2062" t="s">
        <v>40</v>
      </c>
      <c r="E123" s="368" t="s">
        <v>41</v>
      </c>
      <c r="F123" s="2686" t="s">
        <v>42</v>
      </c>
      <c r="G123" s="2686" t="s">
        <v>43</v>
      </c>
      <c r="H123" s="2688" t="s">
        <v>44</v>
      </c>
      <c r="I123" s="2062" t="s">
        <v>45</v>
      </c>
      <c r="J123" s="379" t="s">
        <v>46</v>
      </c>
      <c r="K123" s="2066" t="s">
        <v>47</v>
      </c>
      <c r="L123" s="2680"/>
      <c r="M123" s="2068" t="s">
        <v>30</v>
      </c>
      <c r="N123" s="2068" t="s">
        <v>30</v>
      </c>
      <c r="O123" s="382" t="s">
        <v>25</v>
      </c>
      <c r="P123" s="383" t="s">
        <v>30</v>
      </c>
      <c r="Q123" s="384" t="s">
        <v>48</v>
      </c>
      <c r="R123" s="383" t="s">
        <v>49</v>
      </c>
      <c r="S123" s="385" t="s">
        <v>30</v>
      </c>
      <c r="T123" s="386" t="s">
        <v>50</v>
      </c>
      <c r="U123" s="2065" t="s">
        <v>13</v>
      </c>
      <c r="V123" s="375" t="s">
        <v>51</v>
      </c>
      <c r="W123" s="376" t="s">
        <v>52</v>
      </c>
      <c r="X123" s="377" t="s">
        <v>53</v>
      </c>
      <c r="Y123" s="377" t="s">
        <v>54</v>
      </c>
      <c r="Z123" s="377" t="s">
        <v>55</v>
      </c>
      <c r="AA123" s="377" t="s">
        <v>56</v>
      </c>
      <c r="AB123" s="378" t="s">
        <v>57</v>
      </c>
      <c r="AC123" s="347" t="s">
        <v>58</v>
      </c>
      <c r="AD123" s="347" t="s">
        <v>59</v>
      </c>
      <c r="AE123" s="347" t="s">
        <v>59</v>
      </c>
      <c r="AF123" s="340" t="s">
        <v>60</v>
      </c>
    </row>
    <row r="124" spans="1:32" s="597" customFormat="1" ht="14.1" customHeight="1" x14ac:dyDescent="0.2">
      <c r="A124" s="2687"/>
      <c r="B124" s="2062" t="s">
        <v>61</v>
      </c>
      <c r="C124" s="2687"/>
      <c r="D124" s="2062" t="s">
        <v>62</v>
      </c>
      <c r="E124" s="368" t="s">
        <v>63</v>
      </c>
      <c r="F124" s="2687"/>
      <c r="G124" s="2687"/>
      <c r="H124" s="2689"/>
      <c r="I124" s="2062" t="s">
        <v>64</v>
      </c>
      <c r="J124" s="379" t="s">
        <v>59</v>
      </c>
      <c r="K124" s="2066" t="s">
        <v>59</v>
      </c>
      <c r="L124" s="2680"/>
      <c r="M124" s="2068"/>
      <c r="N124" s="2068"/>
      <c r="O124" s="382" t="s">
        <v>41</v>
      </c>
      <c r="P124" s="383" t="s">
        <v>65</v>
      </c>
      <c r="Q124" s="384" t="s">
        <v>66</v>
      </c>
      <c r="R124" s="383" t="s">
        <v>67</v>
      </c>
      <c r="S124" s="385" t="s">
        <v>59</v>
      </c>
      <c r="T124" s="387" t="s">
        <v>68</v>
      </c>
      <c r="U124" s="375" t="s">
        <v>14</v>
      </c>
      <c r="V124" s="375" t="s">
        <v>14</v>
      </c>
      <c r="W124" s="376" t="s">
        <v>30</v>
      </c>
      <c r="X124" s="388" t="s">
        <v>69</v>
      </c>
      <c r="Y124" s="388" t="s">
        <v>70</v>
      </c>
      <c r="Z124" s="377" t="s">
        <v>71</v>
      </c>
      <c r="AA124" s="377" t="s">
        <v>72</v>
      </c>
      <c r="AB124" s="378" t="s">
        <v>59</v>
      </c>
      <c r="AC124" s="347" t="s">
        <v>59</v>
      </c>
      <c r="AD124" s="347"/>
      <c r="AE124" s="347"/>
      <c r="AF124" s="340" t="s">
        <v>59</v>
      </c>
    </row>
    <row r="125" spans="1:32" s="597" customFormat="1" ht="14.1" customHeight="1" x14ac:dyDescent="0.2">
      <c r="A125" s="2692"/>
      <c r="B125" s="390"/>
      <c r="C125" s="2692"/>
      <c r="D125" s="390"/>
      <c r="E125" s="2063"/>
      <c r="F125" s="390"/>
      <c r="G125" s="390"/>
      <c r="H125" s="391"/>
      <c r="I125" s="2063"/>
      <c r="J125" s="392"/>
      <c r="K125" s="393"/>
      <c r="L125" s="2681"/>
      <c r="M125" s="2069"/>
      <c r="N125" s="2069"/>
      <c r="O125" s="2069" t="s">
        <v>63</v>
      </c>
      <c r="P125" s="395"/>
      <c r="Q125" s="396" t="s">
        <v>72</v>
      </c>
      <c r="R125" s="397" t="s">
        <v>59</v>
      </c>
      <c r="S125" s="398"/>
      <c r="T125" s="397" t="s">
        <v>73</v>
      </c>
      <c r="U125" s="398" t="s">
        <v>59</v>
      </c>
      <c r="V125" s="399" t="s">
        <v>59</v>
      </c>
      <c r="W125" s="400" t="s">
        <v>59</v>
      </c>
      <c r="X125" s="401" t="s">
        <v>59</v>
      </c>
      <c r="Y125" s="401" t="s">
        <v>59</v>
      </c>
      <c r="Z125" s="401" t="s">
        <v>59</v>
      </c>
      <c r="AA125" s="402"/>
      <c r="AB125" s="403"/>
      <c r="AC125" s="348"/>
      <c r="AD125" s="348"/>
      <c r="AE125" s="348"/>
      <c r="AF125" s="341"/>
    </row>
    <row r="126" spans="1:32" s="597" customFormat="1" ht="18" customHeight="1" x14ac:dyDescent="0.25">
      <c r="A126" s="53">
        <v>1</v>
      </c>
      <c r="B126" s="333">
        <v>32981</v>
      </c>
      <c r="C126" s="41">
        <v>950</v>
      </c>
      <c r="D126" s="41" t="s">
        <v>83</v>
      </c>
      <c r="E126" s="15">
        <v>5</v>
      </c>
      <c r="F126" s="41">
        <v>1</v>
      </c>
      <c r="G126" s="41">
        <v>3</v>
      </c>
      <c r="H126" s="267">
        <v>92.5</v>
      </c>
      <c r="I126" s="18">
        <f>F126*400+G126*100+H126</f>
        <v>792.5</v>
      </c>
      <c r="J126" s="258">
        <v>1500</v>
      </c>
      <c r="K126" s="39">
        <f>SUM(I126*J126)</f>
        <v>1188750</v>
      </c>
      <c r="L126" s="485"/>
      <c r="M126" s="772"/>
      <c r="N126" s="773"/>
      <c r="O126" s="773"/>
      <c r="P126" s="774"/>
      <c r="Q126" s="774"/>
      <c r="R126" s="775"/>
      <c r="S126" s="773"/>
      <c r="T126" s="776"/>
      <c r="U126" s="773"/>
      <c r="V126" s="485"/>
      <c r="W126" s="775"/>
      <c r="X126" s="777"/>
      <c r="Y126" s="773"/>
      <c r="Z126" s="777"/>
      <c r="AA126" s="485"/>
      <c r="AB126" s="778"/>
      <c r="AC126" s="602"/>
      <c r="AD126" s="603">
        <f>AB127-AC126</f>
        <v>0</v>
      </c>
      <c r="AE126" s="603">
        <f>IF(AD126&lt;=0,0,AD126*25/100)</f>
        <v>0</v>
      </c>
      <c r="AF126" s="603">
        <f>IF(AC126+AE126&gt;AB127,AB127,AC126+AE126)</f>
        <v>0</v>
      </c>
    </row>
    <row r="127" spans="1:32" s="597" customFormat="1" ht="18" customHeight="1" x14ac:dyDescent="0.25">
      <c r="A127" s="242"/>
      <c r="B127" s="269"/>
      <c r="C127" s="285"/>
      <c r="D127" s="273"/>
      <c r="E127" s="273"/>
      <c r="F127" s="268">
        <v>0</v>
      </c>
      <c r="G127" s="269">
        <v>7</v>
      </c>
      <c r="H127" s="266">
        <v>0</v>
      </c>
      <c r="I127" s="18">
        <f>F127*400+G127*100+H127</f>
        <v>700</v>
      </c>
      <c r="J127" s="258">
        <v>1500</v>
      </c>
      <c r="K127" s="39">
        <f>SUM(I127*J127)</f>
        <v>1050000</v>
      </c>
      <c r="L127" s="45">
        <v>1</v>
      </c>
      <c r="M127" s="2070">
        <v>106</v>
      </c>
      <c r="N127" s="15" t="s">
        <v>96</v>
      </c>
      <c r="O127" s="50">
        <v>2</v>
      </c>
      <c r="P127" s="15">
        <f>20.89*34.62</f>
        <v>723.21179999999993</v>
      </c>
      <c r="Q127" s="76" t="s">
        <v>75</v>
      </c>
      <c r="R127" s="260">
        <v>7950</v>
      </c>
      <c r="S127" s="18">
        <f>P127*R127</f>
        <v>5749533.8099999996</v>
      </c>
      <c r="T127" s="59">
        <v>54</v>
      </c>
      <c r="U127" s="18">
        <f>+S127*85/100</f>
        <v>4887103.7385</v>
      </c>
      <c r="V127" s="18">
        <f>SUM(S127-U127)</f>
        <v>862430.07149999961</v>
      </c>
      <c r="W127" s="18">
        <f>K127+V127</f>
        <v>1912430.0714999996</v>
      </c>
      <c r="X127" s="18">
        <f>W127</f>
        <v>1912430.0714999996</v>
      </c>
      <c r="Y127" s="293" t="s">
        <v>87</v>
      </c>
      <c r="Z127" s="18">
        <v>0</v>
      </c>
      <c r="AA127" s="264">
        <v>0.02</v>
      </c>
      <c r="AB127" s="416">
        <f>+Z127*AA127/100</f>
        <v>0</v>
      </c>
      <c r="AC127" s="602"/>
      <c r="AD127" s="603"/>
      <c r="AE127" s="603"/>
      <c r="AF127" s="603"/>
    </row>
    <row r="128" spans="1:32" s="597" customFormat="1" ht="18" customHeight="1" x14ac:dyDescent="0.25">
      <c r="A128" s="242"/>
      <c r="B128" s="269"/>
      <c r="C128" s="285"/>
      <c r="D128" s="273"/>
      <c r="E128" s="273"/>
      <c r="F128" s="268">
        <v>0</v>
      </c>
      <c r="G128" s="269">
        <v>0</v>
      </c>
      <c r="H128" s="266">
        <v>23.39</v>
      </c>
      <c r="I128" s="18">
        <f>F128*400+G128*100+H128</f>
        <v>23.39</v>
      </c>
      <c r="J128" s="258">
        <v>1500</v>
      </c>
      <c r="K128" s="39">
        <f>SUM(I128*J128)</f>
        <v>35085</v>
      </c>
      <c r="L128" s="269">
        <v>2</v>
      </c>
      <c r="M128" s="2070">
        <v>511</v>
      </c>
      <c r="N128" s="15" t="s">
        <v>74</v>
      </c>
      <c r="O128" s="50">
        <v>3</v>
      </c>
      <c r="P128" s="15">
        <f>14.7*7.1</f>
        <v>104.36999999999999</v>
      </c>
      <c r="Q128" s="62" t="s">
        <v>75</v>
      </c>
      <c r="R128" s="260">
        <v>8650</v>
      </c>
      <c r="S128" s="18">
        <f>P128*R128</f>
        <v>902800.49999999988</v>
      </c>
      <c r="T128" s="20">
        <v>9</v>
      </c>
      <c r="U128" s="47">
        <f>+S128*9/100</f>
        <v>81252.044999999984</v>
      </c>
      <c r="V128" s="18">
        <f>SUM(S128-U128)</f>
        <v>821548.45499999984</v>
      </c>
      <c r="W128" s="18">
        <f>K128+V128</f>
        <v>856633.45499999984</v>
      </c>
      <c r="X128" s="18">
        <f>W128</f>
        <v>856633.45499999984</v>
      </c>
      <c r="Y128" s="779">
        <v>0</v>
      </c>
      <c r="Z128" s="47">
        <f>+X128</f>
        <v>856633.45499999984</v>
      </c>
      <c r="AA128" s="292">
        <v>0.3</v>
      </c>
      <c r="AB128" s="415">
        <f>+Z128*AA128/100</f>
        <v>2569.9003649999995</v>
      </c>
      <c r="AC128" s="350"/>
      <c r="AD128" s="350"/>
      <c r="AE128" s="350"/>
      <c r="AF128" s="350"/>
    </row>
    <row r="129" spans="1:32" s="597" customFormat="1" ht="18" customHeight="1" x14ac:dyDescent="0.25">
      <c r="A129" s="242"/>
      <c r="B129" s="269"/>
      <c r="C129" s="285"/>
      <c r="D129" s="273"/>
      <c r="E129" s="273"/>
      <c r="F129" s="268">
        <v>0</v>
      </c>
      <c r="G129" s="269">
        <v>0</v>
      </c>
      <c r="H129" s="266">
        <v>69.11</v>
      </c>
      <c r="I129" s="18">
        <f>F129*400+G129*100+H129</f>
        <v>69.11</v>
      </c>
      <c r="J129" s="258">
        <v>1500</v>
      </c>
      <c r="K129" s="39">
        <f>SUM(I129*J129)</f>
        <v>103665</v>
      </c>
      <c r="L129" s="269">
        <v>3</v>
      </c>
      <c r="M129" s="2070">
        <v>101</v>
      </c>
      <c r="N129" s="15" t="s">
        <v>82</v>
      </c>
      <c r="O129" s="50">
        <v>3</v>
      </c>
      <c r="P129" s="15">
        <f>6.85*18.9</f>
        <v>129.46499999999997</v>
      </c>
      <c r="Q129" s="62" t="s">
        <v>75</v>
      </c>
      <c r="R129" s="260">
        <v>7700</v>
      </c>
      <c r="S129" s="18">
        <f>P129*R129</f>
        <v>996880.49999999977</v>
      </c>
      <c r="T129" s="20">
        <v>9</v>
      </c>
      <c r="U129" s="47">
        <f>+S129*35/100</f>
        <v>348908.17499999993</v>
      </c>
      <c r="V129" s="18">
        <f>SUM(S129-U129)</f>
        <v>647972.32499999984</v>
      </c>
      <c r="W129" s="18">
        <f>K129+V129</f>
        <v>751637.32499999984</v>
      </c>
      <c r="X129" s="18">
        <f>W129</f>
        <v>751637.32499999984</v>
      </c>
      <c r="Y129" s="779">
        <v>0</v>
      </c>
      <c r="Z129" s="47">
        <v>0</v>
      </c>
      <c r="AA129" s="292">
        <v>0.3</v>
      </c>
      <c r="AB129" s="415">
        <v>0</v>
      </c>
      <c r="AC129" s="350"/>
      <c r="AD129" s="350"/>
      <c r="AE129" s="350"/>
      <c r="AF129" s="350"/>
    </row>
    <row r="130" spans="1:32" s="597" customFormat="1" ht="18" customHeight="1" x14ac:dyDescent="0.2">
      <c r="A130" s="2070"/>
      <c r="B130" s="177"/>
      <c r="C130" s="177"/>
      <c r="D130" s="2070"/>
      <c r="E130" s="2070"/>
      <c r="F130" s="2070"/>
      <c r="G130" s="2070"/>
      <c r="H130" s="2076"/>
      <c r="I130" s="2072"/>
      <c r="J130" s="178"/>
      <c r="K130" s="2072"/>
      <c r="L130" s="2070"/>
      <c r="M130" s="2070"/>
      <c r="N130" s="2070"/>
      <c r="O130" s="2070"/>
      <c r="P130" s="2076"/>
      <c r="Q130" s="2071"/>
      <c r="R130" s="437"/>
      <c r="S130" s="2072"/>
      <c r="T130" s="179"/>
      <c r="U130" s="178"/>
      <c r="V130" s="2072"/>
      <c r="W130" s="2072"/>
      <c r="X130" s="470"/>
      <c r="Y130" s="470"/>
      <c r="Z130" s="471"/>
      <c r="AA130" s="764"/>
      <c r="AB130" s="466"/>
      <c r="AC130" s="350"/>
      <c r="AD130" s="350"/>
      <c r="AE130" s="350"/>
      <c r="AF130" s="350"/>
    </row>
    <row r="131" spans="1:32" s="597" customFormat="1" ht="18" customHeight="1" x14ac:dyDescent="0.2">
      <c r="A131" s="2070"/>
      <c r="B131" s="177"/>
      <c r="C131" s="177"/>
      <c r="D131" s="2070"/>
      <c r="E131" s="2070"/>
      <c r="F131" s="2070"/>
      <c r="G131" s="2070"/>
      <c r="H131" s="2076"/>
      <c r="I131" s="2072"/>
      <c r="J131" s="178"/>
      <c r="K131" s="2072"/>
      <c r="L131" s="2070"/>
      <c r="M131" s="2070"/>
      <c r="N131" s="2070"/>
      <c r="O131" s="2070"/>
      <c r="P131" s="2076"/>
      <c r="Q131" s="2071"/>
      <c r="R131" s="437"/>
      <c r="S131" s="2072"/>
      <c r="T131" s="179"/>
      <c r="U131" s="178"/>
      <c r="V131" s="2072"/>
      <c r="W131" s="2072"/>
      <c r="X131" s="470"/>
      <c r="Y131" s="470"/>
      <c r="Z131" s="471"/>
      <c r="AA131" s="764"/>
      <c r="AB131" s="466"/>
      <c r="AC131" s="350"/>
      <c r="AD131" s="350"/>
      <c r="AE131" s="350"/>
      <c r="AF131" s="350"/>
    </row>
    <row r="132" spans="1:32" s="597" customFormat="1" ht="18" customHeight="1" x14ac:dyDescent="0.2">
      <c r="A132" s="2070"/>
      <c r="B132" s="177"/>
      <c r="C132" s="177"/>
      <c r="D132" s="2070"/>
      <c r="E132" s="2070"/>
      <c r="F132" s="2070"/>
      <c r="G132" s="2070"/>
      <c r="H132" s="2076"/>
      <c r="I132" s="2072"/>
      <c r="J132" s="178"/>
      <c r="K132" s="2072"/>
      <c r="L132" s="2070"/>
      <c r="M132" s="2070"/>
      <c r="N132" s="2070"/>
      <c r="O132" s="2070"/>
      <c r="P132" s="2076"/>
      <c r="Q132" s="2071"/>
      <c r="R132" s="437"/>
      <c r="S132" s="2072"/>
      <c r="T132" s="179"/>
      <c r="U132" s="178"/>
      <c r="V132" s="2072"/>
      <c r="W132" s="2072"/>
      <c r="X132" s="470"/>
      <c r="Y132" s="472"/>
      <c r="Z132" s="471"/>
      <c r="AA132" s="764"/>
      <c r="AB132" s="466"/>
      <c r="AC132" s="350"/>
      <c r="AD132" s="350"/>
      <c r="AE132" s="350"/>
      <c r="AF132" s="350"/>
    </row>
    <row r="133" spans="1:32" s="597" customFormat="1" ht="18" customHeight="1" x14ac:dyDescent="0.2">
      <c r="A133" s="2070"/>
      <c r="B133" s="177"/>
      <c r="C133" s="177"/>
      <c r="D133" s="2070"/>
      <c r="E133" s="2070"/>
      <c r="F133" s="2070"/>
      <c r="G133" s="2070"/>
      <c r="H133" s="2076"/>
      <c r="I133" s="2072"/>
      <c r="J133" s="178"/>
      <c r="K133" s="2072"/>
      <c r="L133" s="2070"/>
      <c r="M133" s="2070"/>
      <c r="N133" s="2070"/>
      <c r="O133" s="2070"/>
      <c r="P133" s="2076"/>
      <c r="Q133" s="2071"/>
      <c r="R133" s="437"/>
      <c r="S133" s="2072"/>
      <c r="T133" s="179"/>
      <c r="U133" s="178"/>
      <c r="V133" s="2072"/>
      <c r="W133" s="2072"/>
      <c r="X133" s="470"/>
      <c r="Y133" s="470"/>
      <c r="Z133" s="471"/>
      <c r="AA133" s="764"/>
      <c r="AB133" s="466"/>
      <c r="AC133" s="350"/>
      <c r="AD133" s="350"/>
      <c r="AE133" s="350"/>
      <c r="AF133" s="350"/>
    </row>
    <row r="134" spans="1:32" s="597" customFormat="1" ht="18" customHeight="1" x14ac:dyDescent="0.2">
      <c r="A134" s="2070"/>
      <c r="B134" s="177"/>
      <c r="C134" s="177"/>
      <c r="D134" s="2070"/>
      <c r="E134" s="2070"/>
      <c r="F134" s="2070"/>
      <c r="G134" s="2070"/>
      <c r="H134" s="2076"/>
      <c r="I134" s="2072"/>
      <c r="J134" s="178"/>
      <c r="K134" s="2072"/>
      <c r="L134" s="2070"/>
      <c r="M134" s="2070"/>
      <c r="N134" s="2070"/>
      <c r="O134" s="2070"/>
      <c r="P134" s="2076"/>
      <c r="Q134" s="2071"/>
      <c r="R134" s="437"/>
      <c r="S134" s="2072"/>
      <c r="T134" s="179"/>
      <c r="U134" s="178"/>
      <c r="V134" s="2072"/>
      <c r="W134" s="2072"/>
      <c r="X134" s="470"/>
      <c r="Y134" s="470"/>
      <c r="Z134" s="471"/>
      <c r="AA134" s="764"/>
      <c r="AB134" s="466"/>
      <c r="AC134" s="350"/>
      <c r="AD134" s="350"/>
      <c r="AE134" s="350"/>
      <c r="AF134" s="350"/>
    </row>
    <row r="135" spans="1:32" s="597" customFormat="1" ht="18" customHeight="1" x14ac:dyDescent="0.2">
      <c r="A135" s="2070"/>
      <c r="B135" s="177"/>
      <c r="C135" s="177"/>
      <c r="D135" s="2070"/>
      <c r="E135" s="2070"/>
      <c r="F135" s="2070"/>
      <c r="G135" s="2070"/>
      <c r="H135" s="2076"/>
      <c r="I135" s="2072"/>
      <c r="J135" s="178"/>
      <c r="K135" s="2072"/>
      <c r="L135" s="2070"/>
      <c r="M135" s="2070"/>
      <c r="N135" s="2070"/>
      <c r="O135" s="2070"/>
      <c r="P135" s="2076"/>
      <c r="Q135" s="2071"/>
      <c r="R135" s="437"/>
      <c r="S135" s="2072"/>
      <c r="T135" s="179"/>
      <c r="U135" s="178"/>
      <c r="V135" s="2072"/>
      <c r="W135" s="2072"/>
      <c r="X135" s="470"/>
      <c r="Y135" s="470"/>
      <c r="Z135" s="471"/>
      <c r="AA135" s="764"/>
      <c r="AB135" s="466"/>
      <c r="AC135" s="350"/>
      <c r="AD135" s="350"/>
      <c r="AE135" s="350"/>
      <c r="AF135" s="350"/>
    </row>
    <row r="136" spans="1:32" s="597" customFormat="1" ht="18" customHeight="1" x14ac:dyDescent="0.2">
      <c r="A136" s="2070"/>
      <c r="B136" s="177"/>
      <c r="C136" s="177"/>
      <c r="D136" s="2070"/>
      <c r="E136" s="2070"/>
      <c r="F136" s="2070"/>
      <c r="G136" s="2070"/>
      <c r="H136" s="2076"/>
      <c r="I136" s="2072"/>
      <c r="J136" s="178"/>
      <c r="K136" s="2072"/>
      <c r="L136" s="2070"/>
      <c r="M136" s="2070"/>
      <c r="N136" s="2070"/>
      <c r="O136" s="2070"/>
      <c r="P136" s="2076"/>
      <c r="Q136" s="2071"/>
      <c r="R136" s="437"/>
      <c r="S136" s="2072"/>
      <c r="T136" s="179"/>
      <c r="U136" s="178"/>
      <c r="V136" s="2072"/>
      <c r="W136" s="2072"/>
      <c r="X136" s="470"/>
      <c r="Y136" s="470"/>
      <c r="Z136" s="471"/>
      <c r="AA136" s="764"/>
      <c r="AB136" s="466"/>
      <c r="AC136" s="350"/>
      <c r="AD136" s="350"/>
      <c r="AE136" s="350"/>
      <c r="AF136" s="350"/>
    </row>
    <row r="137" spans="1:32" s="597" customFormat="1" ht="18" customHeight="1" x14ac:dyDescent="0.2">
      <c r="A137" s="2070"/>
      <c r="B137" s="177"/>
      <c r="C137" s="177"/>
      <c r="D137" s="2070"/>
      <c r="E137" s="2070"/>
      <c r="F137" s="2070"/>
      <c r="G137" s="2070"/>
      <c r="H137" s="2076"/>
      <c r="I137" s="2072"/>
      <c r="J137" s="178"/>
      <c r="K137" s="2072"/>
      <c r="L137" s="2070"/>
      <c r="M137" s="2070"/>
      <c r="N137" s="2070"/>
      <c r="O137" s="2070"/>
      <c r="P137" s="2076"/>
      <c r="Q137" s="2071"/>
      <c r="R137" s="437"/>
      <c r="S137" s="2072"/>
      <c r="T137" s="179"/>
      <c r="U137" s="178"/>
      <c r="V137" s="2072"/>
      <c r="W137" s="2072"/>
      <c r="X137" s="470"/>
      <c r="Y137" s="470"/>
      <c r="Z137" s="471"/>
      <c r="AA137" s="764"/>
      <c r="AB137" s="466"/>
      <c r="AC137" s="350"/>
      <c r="AD137" s="350"/>
      <c r="AE137" s="350"/>
      <c r="AF137" s="350"/>
    </row>
    <row r="138" spans="1:32" s="597" customFormat="1" ht="18" customHeight="1" x14ac:dyDescent="0.2">
      <c r="A138" s="2070"/>
      <c r="B138" s="177"/>
      <c r="C138" s="177"/>
      <c r="D138" s="2070"/>
      <c r="E138" s="2070"/>
      <c r="F138" s="2070"/>
      <c r="G138" s="2070"/>
      <c r="H138" s="2076"/>
      <c r="I138" s="2072"/>
      <c r="J138" s="178"/>
      <c r="K138" s="2072"/>
      <c r="L138" s="2070"/>
      <c r="M138" s="2070"/>
      <c r="N138" s="2070"/>
      <c r="O138" s="2070"/>
      <c r="P138" s="2076"/>
      <c r="Q138" s="2071"/>
      <c r="R138" s="437"/>
      <c r="S138" s="2072"/>
      <c r="T138" s="179"/>
      <c r="U138" s="178"/>
      <c r="V138" s="2072"/>
      <c r="W138" s="2072"/>
      <c r="X138" s="470"/>
      <c r="Y138" s="470"/>
      <c r="Z138" s="471"/>
      <c r="AA138" s="764"/>
      <c r="AB138" s="466"/>
      <c r="AC138" s="350"/>
      <c r="AD138" s="350"/>
      <c r="AE138" s="350"/>
      <c r="AF138" s="350"/>
    </row>
    <row r="139" spans="1:32" s="597" customFormat="1" ht="18" customHeight="1" x14ac:dyDescent="0.2">
      <c r="A139" s="88"/>
      <c r="B139" s="180"/>
      <c r="C139" s="180"/>
      <c r="D139" s="88"/>
      <c r="E139" s="88"/>
      <c r="F139" s="88"/>
      <c r="G139" s="88"/>
      <c r="H139" s="120"/>
      <c r="I139" s="121"/>
      <c r="J139" s="181"/>
      <c r="K139" s="121"/>
      <c r="L139" s="88"/>
      <c r="M139" s="88"/>
      <c r="N139" s="88"/>
      <c r="O139" s="88"/>
      <c r="P139" s="88"/>
      <c r="Q139" s="129"/>
      <c r="R139" s="445"/>
      <c r="S139" s="121"/>
      <c r="T139" s="182"/>
      <c r="U139" s="181"/>
      <c r="V139" s="121"/>
      <c r="W139" s="121"/>
      <c r="X139" s="472"/>
      <c r="Y139" s="472"/>
      <c r="Z139" s="473"/>
      <c r="AA139" s="780"/>
      <c r="AB139" s="410"/>
      <c r="AC139" s="351"/>
      <c r="AD139" s="351"/>
      <c r="AE139" s="351"/>
      <c r="AF139" s="351"/>
    </row>
    <row r="140" spans="1:32" s="2137" customFormat="1" ht="18" customHeight="1" x14ac:dyDescent="0.2">
      <c r="A140" s="2126"/>
      <c r="B140" s="2126"/>
      <c r="C140" s="2126"/>
      <c r="D140" s="2126"/>
      <c r="E140" s="2126"/>
      <c r="F140" s="2126"/>
      <c r="G140" s="2126"/>
      <c r="H140" s="2127"/>
      <c r="I140" s="2128"/>
      <c r="J140" s="2129"/>
      <c r="K140" s="2128"/>
      <c r="L140" s="2128"/>
      <c r="M140" s="2128"/>
      <c r="N140" s="2128"/>
      <c r="O140" s="2128"/>
      <c r="P140" s="2128"/>
      <c r="Q140" s="2128"/>
      <c r="R140" s="2130"/>
      <c r="S140" s="2128"/>
      <c r="T140" s="2131"/>
      <c r="U140" s="2129"/>
      <c r="V140" s="2128"/>
      <c r="W140" s="2128"/>
      <c r="X140" s="2132"/>
      <c r="Y140" s="2132"/>
      <c r="Z140" s="2133"/>
      <c r="AA140" s="2134"/>
      <c r="AB140" s="2135">
        <f>SUM(AB127:AB139)</f>
        <v>2569.9003649999995</v>
      </c>
      <c r="AC140" s="2136"/>
      <c r="AD140" s="2136"/>
      <c r="AE140" s="2136"/>
      <c r="AF140" s="2136"/>
    </row>
    <row r="141" spans="1:32" s="597" customFormat="1" ht="14.1" customHeight="1" x14ac:dyDescent="0.2">
      <c r="A141" s="2690" t="s">
        <v>76</v>
      </c>
      <c r="B141" s="2690"/>
      <c r="C141" s="2691" t="s">
        <v>77</v>
      </c>
      <c r="D141" s="2691"/>
      <c r="E141" s="2691"/>
      <c r="F141" s="2691"/>
      <c r="G141" s="2691"/>
      <c r="H141" s="2691"/>
      <c r="I141" s="604" t="s">
        <v>78</v>
      </c>
      <c r="J141" s="604"/>
      <c r="K141" s="604"/>
      <c r="L141" s="604"/>
      <c r="M141" s="604"/>
      <c r="N141" s="604"/>
      <c r="AA141" s="767"/>
      <c r="AB141" s="598"/>
    </row>
    <row r="142" spans="1:32" s="597" customFormat="1" ht="14.1" customHeight="1" x14ac:dyDescent="0.2">
      <c r="A142" s="604"/>
      <c r="B142" s="605"/>
      <c r="C142" s="604"/>
      <c r="D142" s="604"/>
      <c r="E142" s="604"/>
      <c r="F142" s="604"/>
      <c r="G142" s="604"/>
      <c r="H142" s="604"/>
      <c r="I142" s="604" t="s">
        <v>79</v>
      </c>
      <c r="J142" s="604"/>
      <c r="K142" s="604"/>
      <c r="L142" s="604"/>
      <c r="M142" s="604"/>
      <c r="N142" s="604"/>
      <c r="AA142" s="767"/>
      <c r="AB142" s="598"/>
    </row>
    <row r="143" spans="1:32" s="597" customFormat="1" ht="14.1" customHeight="1" x14ac:dyDescent="0.2">
      <c r="A143" s="604"/>
      <c r="B143" s="605"/>
      <c r="C143" s="604"/>
      <c r="D143" s="604"/>
      <c r="E143" s="604"/>
      <c r="F143" s="604"/>
      <c r="G143" s="604"/>
      <c r="H143" s="604"/>
      <c r="I143" s="604" t="s">
        <v>80</v>
      </c>
      <c r="J143" s="604"/>
      <c r="K143" s="604"/>
      <c r="L143" s="604"/>
      <c r="M143" s="604"/>
      <c r="N143" s="604"/>
      <c r="AA143" s="767"/>
      <c r="AB143" s="598"/>
    </row>
    <row r="144" spans="1:32" s="597" customFormat="1" ht="14.1" customHeight="1" x14ac:dyDescent="0.2">
      <c r="A144" s="604"/>
      <c r="B144" s="605"/>
      <c r="C144" s="604"/>
      <c r="D144" s="604"/>
      <c r="E144" s="604"/>
      <c r="F144" s="604"/>
      <c r="G144" s="604"/>
      <c r="H144" s="604"/>
      <c r="I144" s="604" t="s">
        <v>81</v>
      </c>
      <c r="J144" s="604"/>
      <c r="K144" s="604"/>
      <c r="L144" s="604"/>
      <c r="M144" s="604"/>
      <c r="N144" s="604"/>
      <c r="AA144" s="767"/>
      <c r="AB144" s="598"/>
    </row>
    <row r="145" spans="1:32" s="597" customFormat="1" ht="14.1" customHeight="1" x14ac:dyDescent="0.2">
      <c r="A145" s="604"/>
      <c r="B145" s="605"/>
      <c r="C145" s="604"/>
      <c r="D145" s="604"/>
      <c r="E145" s="604"/>
      <c r="F145" s="604"/>
      <c r="G145" s="604"/>
      <c r="H145" s="604"/>
      <c r="I145" s="604" t="s">
        <v>88</v>
      </c>
      <c r="J145" s="604"/>
      <c r="K145" s="604"/>
      <c r="L145" s="604"/>
      <c r="M145" s="604"/>
      <c r="N145" s="604"/>
      <c r="AA145" s="767"/>
      <c r="AB145" s="598"/>
    </row>
    <row r="146" spans="1:32" s="597" customFormat="1" ht="18" customHeight="1" x14ac:dyDescent="0.2">
      <c r="A146" s="339"/>
      <c r="B146" s="339"/>
      <c r="C146" s="339"/>
      <c r="D146" s="339"/>
      <c r="E146" s="339"/>
      <c r="F146" s="339"/>
      <c r="G146" s="339"/>
      <c r="H146" s="339"/>
      <c r="I146" s="339"/>
      <c r="J146" s="339"/>
      <c r="K146" s="339"/>
      <c r="L146" s="339"/>
      <c r="M146" s="339"/>
      <c r="N146" s="339"/>
      <c r="O146" s="339"/>
      <c r="P146" s="339"/>
      <c r="Q146" s="339"/>
      <c r="R146" s="339"/>
      <c r="S146" s="339"/>
      <c r="T146" s="339"/>
      <c r="U146" s="339"/>
      <c r="V146" s="339"/>
      <c r="W146" s="339"/>
      <c r="X146" s="339"/>
      <c r="Y146" s="339"/>
      <c r="Z146" s="339"/>
      <c r="AA146" s="2702" t="s">
        <v>0</v>
      </c>
      <c r="AB146" s="2702"/>
      <c r="AC146" s="339"/>
      <c r="AD146" s="339"/>
      <c r="AE146" s="339"/>
      <c r="AF146" s="339"/>
    </row>
    <row r="147" spans="1:32" s="597" customFormat="1" ht="18" customHeight="1" x14ac:dyDescent="0.2">
      <c r="A147" s="2703" t="s">
        <v>1</v>
      </c>
      <c r="B147" s="2703"/>
      <c r="C147" s="2703"/>
      <c r="D147" s="2703"/>
      <c r="E147" s="2703"/>
      <c r="F147" s="2703"/>
      <c r="G147" s="2703"/>
      <c r="H147" s="2703"/>
      <c r="I147" s="2703"/>
      <c r="J147" s="2703"/>
      <c r="K147" s="2703"/>
      <c r="L147" s="2703"/>
      <c r="M147" s="2703"/>
      <c r="N147" s="2703"/>
      <c r="O147" s="2703"/>
      <c r="P147" s="2703"/>
      <c r="Q147" s="2703"/>
      <c r="R147" s="2703"/>
      <c r="S147" s="2703"/>
      <c r="T147" s="2703"/>
      <c r="U147" s="2703"/>
      <c r="V147" s="2703"/>
      <c r="W147" s="2703"/>
      <c r="X147" s="2703"/>
      <c r="Y147" s="2703"/>
      <c r="Z147" s="2703"/>
      <c r="AA147" s="2703"/>
      <c r="AB147" s="2703"/>
      <c r="AC147" s="344"/>
      <c r="AD147" s="344"/>
      <c r="AE147" s="344"/>
      <c r="AF147" s="344"/>
    </row>
    <row r="148" spans="1:32" s="597" customFormat="1" ht="18" customHeight="1" x14ac:dyDescent="0.2">
      <c r="A148" s="2704" t="s">
        <v>545</v>
      </c>
      <c r="B148" s="2704"/>
      <c r="C148" s="2704"/>
      <c r="D148" s="2704"/>
      <c r="E148" s="2704"/>
      <c r="F148" s="2704"/>
      <c r="G148" s="2704"/>
      <c r="H148" s="2704"/>
      <c r="I148" s="2704"/>
      <c r="J148" s="2704"/>
      <c r="K148" s="2704"/>
      <c r="L148" s="2704"/>
      <c r="M148" s="2704"/>
      <c r="N148" s="2704"/>
      <c r="O148" s="2704"/>
      <c r="P148" s="2704"/>
      <c r="Q148" s="2704"/>
      <c r="R148" s="2704"/>
      <c r="S148" s="2704"/>
      <c r="T148" s="2704"/>
      <c r="U148" s="2704"/>
      <c r="V148" s="2704"/>
      <c r="W148" s="2704"/>
      <c r="X148" s="2704"/>
      <c r="Y148" s="2704"/>
      <c r="Z148" s="2704"/>
      <c r="AA148" s="2704"/>
      <c r="AB148" s="2704"/>
      <c r="AC148" s="599"/>
      <c r="AD148" s="599"/>
      <c r="AE148" s="599"/>
      <c r="AF148" s="599"/>
    </row>
    <row r="149" spans="1:32" s="597" customFormat="1" ht="14.1" customHeight="1" x14ac:dyDescent="0.2">
      <c r="A149" s="2686" t="s">
        <v>2</v>
      </c>
      <c r="B149" s="360"/>
      <c r="C149" s="2686" t="s">
        <v>3</v>
      </c>
      <c r="D149" s="360"/>
      <c r="E149" s="360"/>
      <c r="F149" s="2693" t="s">
        <v>4</v>
      </c>
      <c r="G149" s="2693"/>
      <c r="H149" s="2693"/>
      <c r="I149" s="2694"/>
      <c r="J149" s="2694"/>
      <c r="K149" s="2695"/>
      <c r="L149" s="361"/>
      <c r="M149" s="2679" t="s">
        <v>5</v>
      </c>
      <c r="N149" s="2679"/>
      <c r="O149" s="2679"/>
      <c r="P149" s="2679"/>
      <c r="Q149" s="2696"/>
      <c r="R149" s="2696"/>
      <c r="S149" s="2696"/>
      <c r="T149" s="2696"/>
      <c r="U149" s="2696"/>
      <c r="V149" s="2697"/>
      <c r="W149" s="362" t="s">
        <v>6</v>
      </c>
      <c r="X149" s="363" t="s">
        <v>7</v>
      </c>
      <c r="Y149" s="364"/>
      <c r="Z149" s="364"/>
      <c r="AA149" s="363"/>
      <c r="AB149" s="365"/>
      <c r="AC149" s="516" t="s">
        <v>8</v>
      </c>
      <c r="AD149" s="346"/>
      <c r="AE149" s="346"/>
      <c r="AF149" s="600"/>
    </row>
    <row r="150" spans="1:32" s="597" customFormat="1" ht="14.1" customHeight="1" x14ac:dyDescent="0.2">
      <c r="A150" s="2687"/>
      <c r="B150" s="367"/>
      <c r="C150" s="2687"/>
      <c r="D150" s="2062" t="s">
        <v>9</v>
      </c>
      <c r="E150" s="368" t="s">
        <v>10</v>
      </c>
      <c r="F150" s="2698" t="s">
        <v>11</v>
      </c>
      <c r="G150" s="2694"/>
      <c r="H150" s="2695"/>
      <c r="I150" s="360"/>
      <c r="J150" s="369" t="s">
        <v>12</v>
      </c>
      <c r="K150" s="360"/>
      <c r="L150" s="2679" t="s">
        <v>2</v>
      </c>
      <c r="M150" s="2067"/>
      <c r="N150" s="2067"/>
      <c r="O150" s="2067"/>
      <c r="P150" s="371"/>
      <c r="Q150" s="372" t="s">
        <v>13</v>
      </c>
      <c r="R150" s="373" t="s">
        <v>12</v>
      </c>
      <c r="S150" s="2067" t="s">
        <v>6</v>
      </c>
      <c r="T150" s="2682" t="s">
        <v>14</v>
      </c>
      <c r="U150" s="2683"/>
      <c r="V150" s="375" t="s">
        <v>7</v>
      </c>
      <c r="W150" s="376" t="s">
        <v>15</v>
      </c>
      <c r="X150" s="377" t="s">
        <v>16</v>
      </c>
      <c r="Y150" s="377" t="s">
        <v>17</v>
      </c>
      <c r="Z150" s="377" t="s">
        <v>18</v>
      </c>
      <c r="AA150" s="377"/>
      <c r="AB150" s="378" t="s">
        <v>19</v>
      </c>
      <c r="AC150" s="528" t="s">
        <v>20</v>
      </c>
      <c r="AD150" s="601"/>
      <c r="AE150" s="347" t="s">
        <v>21</v>
      </c>
      <c r="AF150" s="340" t="s">
        <v>22</v>
      </c>
    </row>
    <row r="151" spans="1:32" s="597" customFormat="1" ht="14.1" customHeight="1" x14ac:dyDescent="0.2">
      <c r="A151" s="2687"/>
      <c r="B151" s="2062" t="s">
        <v>23</v>
      </c>
      <c r="C151" s="2687"/>
      <c r="D151" s="2062" t="s">
        <v>24</v>
      </c>
      <c r="E151" s="368" t="s">
        <v>25</v>
      </c>
      <c r="F151" s="2699"/>
      <c r="G151" s="2700"/>
      <c r="H151" s="2701"/>
      <c r="I151" s="2062" t="s">
        <v>26</v>
      </c>
      <c r="J151" s="379" t="s">
        <v>15</v>
      </c>
      <c r="K151" s="2066" t="s">
        <v>6</v>
      </c>
      <c r="L151" s="2680"/>
      <c r="M151" s="2068" t="s">
        <v>27</v>
      </c>
      <c r="N151" s="2068" t="s">
        <v>10</v>
      </c>
      <c r="O151" s="382" t="s">
        <v>10</v>
      </c>
      <c r="P151" s="383" t="s">
        <v>28</v>
      </c>
      <c r="Q151" s="384" t="s">
        <v>29</v>
      </c>
      <c r="R151" s="383" t="s">
        <v>15</v>
      </c>
      <c r="S151" s="385" t="s">
        <v>15</v>
      </c>
      <c r="T151" s="2684"/>
      <c r="U151" s="2685"/>
      <c r="V151" s="375" t="s">
        <v>30</v>
      </c>
      <c r="W151" s="376" t="s">
        <v>31</v>
      </c>
      <c r="X151" s="377" t="s">
        <v>30</v>
      </c>
      <c r="Y151" s="377" t="s">
        <v>32</v>
      </c>
      <c r="Z151" s="377" t="s">
        <v>7</v>
      </c>
      <c r="AA151" s="377" t="s">
        <v>33</v>
      </c>
      <c r="AB151" s="378" t="s">
        <v>34</v>
      </c>
      <c r="AC151" s="528" t="s">
        <v>35</v>
      </c>
      <c r="AD151" s="347" t="s">
        <v>36</v>
      </c>
      <c r="AE151" s="347" t="s">
        <v>37</v>
      </c>
      <c r="AF151" s="340" t="s">
        <v>38</v>
      </c>
    </row>
    <row r="152" spans="1:32" s="597" customFormat="1" ht="14.1" customHeight="1" x14ac:dyDescent="0.2">
      <c r="A152" s="2687"/>
      <c r="B152" s="2062" t="s">
        <v>39</v>
      </c>
      <c r="C152" s="2687"/>
      <c r="D152" s="2062" t="s">
        <v>40</v>
      </c>
      <c r="E152" s="368" t="s">
        <v>41</v>
      </c>
      <c r="F152" s="2686" t="s">
        <v>42</v>
      </c>
      <c r="G152" s="2686" t="s">
        <v>43</v>
      </c>
      <c r="H152" s="2688" t="s">
        <v>44</v>
      </c>
      <c r="I152" s="2062" t="s">
        <v>45</v>
      </c>
      <c r="J152" s="379" t="s">
        <v>46</v>
      </c>
      <c r="K152" s="2066" t="s">
        <v>47</v>
      </c>
      <c r="L152" s="2680"/>
      <c r="M152" s="2068" t="s">
        <v>30</v>
      </c>
      <c r="N152" s="2068" t="s">
        <v>30</v>
      </c>
      <c r="O152" s="382" t="s">
        <v>25</v>
      </c>
      <c r="P152" s="383" t="s">
        <v>30</v>
      </c>
      <c r="Q152" s="384" t="s">
        <v>48</v>
      </c>
      <c r="R152" s="383" t="s">
        <v>49</v>
      </c>
      <c r="S152" s="385" t="s">
        <v>30</v>
      </c>
      <c r="T152" s="386" t="s">
        <v>50</v>
      </c>
      <c r="U152" s="2065" t="s">
        <v>13</v>
      </c>
      <c r="V152" s="375" t="s">
        <v>51</v>
      </c>
      <c r="W152" s="376" t="s">
        <v>52</v>
      </c>
      <c r="X152" s="377" t="s">
        <v>53</v>
      </c>
      <c r="Y152" s="377" t="s">
        <v>54</v>
      </c>
      <c r="Z152" s="377" t="s">
        <v>55</v>
      </c>
      <c r="AA152" s="377" t="s">
        <v>56</v>
      </c>
      <c r="AB152" s="378" t="s">
        <v>57</v>
      </c>
      <c r="AC152" s="347" t="s">
        <v>58</v>
      </c>
      <c r="AD152" s="347" t="s">
        <v>59</v>
      </c>
      <c r="AE152" s="347" t="s">
        <v>59</v>
      </c>
      <c r="AF152" s="340" t="s">
        <v>60</v>
      </c>
    </row>
    <row r="153" spans="1:32" s="597" customFormat="1" ht="14.1" customHeight="1" x14ac:dyDescent="0.2">
      <c r="A153" s="2687"/>
      <c r="B153" s="2062" t="s">
        <v>61</v>
      </c>
      <c r="C153" s="2687"/>
      <c r="D153" s="2062" t="s">
        <v>62</v>
      </c>
      <c r="E153" s="368" t="s">
        <v>63</v>
      </c>
      <c r="F153" s="2687"/>
      <c r="G153" s="2687"/>
      <c r="H153" s="2689"/>
      <c r="I153" s="2062" t="s">
        <v>64</v>
      </c>
      <c r="J153" s="379" t="s">
        <v>59</v>
      </c>
      <c r="K153" s="2066" t="s">
        <v>59</v>
      </c>
      <c r="L153" s="2680"/>
      <c r="M153" s="2068"/>
      <c r="N153" s="2068"/>
      <c r="O153" s="382" t="s">
        <v>41</v>
      </c>
      <c r="P153" s="383" t="s">
        <v>65</v>
      </c>
      <c r="Q153" s="384" t="s">
        <v>66</v>
      </c>
      <c r="R153" s="383" t="s">
        <v>67</v>
      </c>
      <c r="S153" s="385" t="s">
        <v>59</v>
      </c>
      <c r="T153" s="387" t="s">
        <v>68</v>
      </c>
      <c r="U153" s="375" t="s">
        <v>14</v>
      </c>
      <c r="V153" s="375" t="s">
        <v>14</v>
      </c>
      <c r="W153" s="376" t="s">
        <v>30</v>
      </c>
      <c r="X153" s="388" t="s">
        <v>69</v>
      </c>
      <c r="Y153" s="388" t="s">
        <v>70</v>
      </c>
      <c r="Z153" s="377" t="s">
        <v>71</v>
      </c>
      <c r="AA153" s="377" t="s">
        <v>72</v>
      </c>
      <c r="AB153" s="378" t="s">
        <v>59</v>
      </c>
      <c r="AC153" s="347" t="s">
        <v>59</v>
      </c>
      <c r="AD153" s="347"/>
      <c r="AE153" s="347"/>
      <c r="AF153" s="340" t="s">
        <v>59</v>
      </c>
    </row>
    <row r="154" spans="1:32" s="597" customFormat="1" ht="14.1" customHeight="1" x14ac:dyDescent="0.2">
      <c r="A154" s="2692"/>
      <c r="B154" s="390"/>
      <c r="C154" s="2692"/>
      <c r="D154" s="390"/>
      <c r="E154" s="2063"/>
      <c r="F154" s="390"/>
      <c r="G154" s="390"/>
      <c r="H154" s="391"/>
      <c r="I154" s="2063"/>
      <c r="J154" s="392"/>
      <c r="K154" s="393"/>
      <c r="L154" s="2681"/>
      <c r="M154" s="2069"/>
      <c r="N154" s="2069"/>
      <c r="O154" s="2069" t="s">
        <v>63</v>
      </c>
      <c r="P154" s="395"/>
      <c r="Q154" s="396" t="s">
        <v>72</v>
      </c>
      <c r="R154" s="397" t="s">
        <v>59</v>
      </c>
      <c r="S154" s="398"/>
      <c r="T154" s="397" t="s">
        <v>73</v>
      </c>
      <c r="U154" s="398" t="s">
        <v>59</v>
      </c>
      <c r="V154" s="399" t="s">
        <v>59</v>
      </c>
      <c r="W154" s="400" t="s">
        <v>59</v>
      </c>
      <c r="X154" s="401" t="s">
        <v>59</v>
      </c>
      <c r="Y154" s="401" t="s">
        <v>59</v>
      </c>
      <c r="Z154" s="401" t="s">
        <v>59</v>
      </c>
      <c r="AA154" s="402"/>
      <c r="AB154" s="403"/>
      <c r="AC154" s="348"/>
      <c r="AD154" s="348"/>
      <c r="AE154" s="348"/>
      <c r="AF154" s="341"/>
    </row>
    <row r="155" spans="1:32" s="597" customFormat="1" x14ac:dyDescent="0.25">
      <c r="A155" s="53">
        <v>1</v>
      </c>
      <c r="B155" s="333">
        <v>20960</v>
      </c>
      <c r="C155" s="41">
        <v>93</v>
      </c>
      <c r="D155" s="41" t="s">
        <v>83</v>
      </c>
      <c r="E155" s="15">
        <v>5</v>
      </c>
      <c r="F155" s="41">
        <v>3</v>
      </c>
      <c r="G155" s="41">
        <v>2</v>
      </c>
      <c r="H155" s="267">
        <v>90</v>
      </c>
      <c r="I155" s="18">
        <f>F155*400+G155*100+H155</f>
        <v>1490</v>
      </c>
      <c r="J155" s="258">
        <v>1500</v>
      </c>
      <c r="K155" s="39">
        <f>SUM(I155*J155)</f>
        <v>2235000</v>
      </c>
      <c r="L155" s="45">
        <v>1</v>
      </c>
      <c r="M155" s="82">
        <v>513</v>
      </c>
      <c r="N155" s="41" t="s">
        <v>74</v>
      </c>
      <c r="O155" s="16">
        <v>3</v>
      </c>
      <c r="P155" s="41">
        <f>22.36*12.3</f>
        <v>275.02800000000002</v>
      </c>
      <c r="Q155" s="62" t="s">
        <v>75</v>
      </c>
      <c r="R155" s="260">
        <v>6250</v>
      </c>
      <c r="S155" s="18">
        <f t="shared" ref="S155:S160" si="17">P155*R155</f>
        <v>1718925.0000000002</v>
      </c>
      <c r="T155" s="41">
        <v>23</v>
      </c>
      <c r="U155" s="47">
        <f>+S155*36/100</f>
        <v>618813.00000000012</v>
      </c>
      <c r="V155" s="47">
        <f t="shared" ref="V155:V160" si="18">SUM(S155-U155)</f>
        <v>1100112</v>
      </c>
      <c r="W155" s="18">
        <f>K155+V155</f>
        <v>3335112</v>
      </c>
      <c r="X155" s="47">
        <f>W155</f>
        <v>3335112</v>
      </c>
      <c r="Y155" s="18"/>
      <c r="Z155" s="18">
        <f>+X155</f>
        <v>3335112</v>
      </c>
      <c r="AA155" s="264">
        <v>0.3</v>
      </c>
      <c r="AB155" s="2072">
        <f>+Z155*AA155/100</f>
        <v>10005.335999999999</v>
      </c>
    </row>
    <row r="156" spans="1:32" s="597" customFormat="1" x14ac:dyDescent="0.25">
      <c r="A156" s="242"/>
      <c r="B156" s="269"/>
      <c r="C156" s="285"/>
      <c r="D156" s="273"/>
      <c r="E156" s="273"/>
      <c r="F156" s="268"/>
      <c r="G156" s="269"/>
      <c r="H156" s="266"/>
      <c r="I156" s="18"/>
      <c r="J156" s="258"/>
      <c r="K156" s="39"/>
      <c r="L156" s="269">
        <v>2</v>
      </c>
      <c r="M156" s="88">
        <v>513</v>
      </c>
      <c r="N156" s="15" t="s">
        <v>74</v>
      </c>
      <c r="O156" s="50">
        <v>3</v>
      </c>
      <c r="P156" s="15">
        <f>20.67*12.25</f>
        <v>253.20750000000001</v>
      </c>
      <c r="Q156" s="62" t="s">
        <v>75</v>
      </c>
      <c r="R156" s="260">
        <v>6250</v>
      </c>
      <c r="S156" s="18">
        <f t="shared" si="17"/>
        <v>1582546.875</v>
      </c>
      <c r="T156" s="27">
        <v>23</v>
      </c>
      <c r="U156" s="47">
        <f>+S156*36/100</f>
        <v>569716.875</v>
      </c>
      <c r="V156" s="47">
        <f t="shared" si="18"/>
        <v>1012830</v>
      </c>
      <c r="W156" s="18">
        <f>V156</f>
        <v>1012830</v>
      </c>
      <c r="X156" s="47">
        <f>W156</f>
        <v>1012830</v>
      </c>
      <c r="Y156" s="18"/>
      <c r="Z156" s="18">
        <f t="shared" ref="Z156:Z161" si="19">+X156</f>
        <v>1012830</v>
      </c>
      <c r="AA156" s="264">
        <v>0.3</v>
      </c>
      <c r="AB156" s="2072">
        <f t="shared" ref="AB156:AB162" si="20">+Z156*AA156/100</f>
        <v>3038.49</v>
      </c>
    </row>
    <row r="157" spans="1:32" s="597" customFormat="1" x14ac:dyDescent="0.25">
      <c r="A157" s="242"/>
      <c r="B157" s="269"/>
      <c r="C157" s="285"/>
      <c r="D157" s="273"/>
      <c r="E157" s="273"/>
      <c r="F157" s="268"/>
      <c r="G157" s="269"/>
      <c r="H157" s="266"/>
      <c r="I157" s="18"/>
      <c r="J157" s="258"/>
      <c r="K157" s="39"/>
      <c r="L157" s="269">
        <v>3</v>
      </c>
      <c r="M157" s="231">
        <v>513</v>
      </c>
      <c r="N157" s="15" t="s">
        <v>74</v>
      </c>
      <c r="O157" s="50">
        <v>3</v>
      </c>
      <c r="P157" s="266">
        <f>31.3*12.25</f>
        <v>383.42500000000001</v>
      </c>
      <c r="Q157" s="62" t="s">
        <v>75</v>
      </c>
      <c r="R157" s="260">
        <v>6250</v>
      </c>
      <c r="S157" s="18">
        <f t="shared" si="17"/>
        <v>2396406.25</v>
      </c>
      <c r="T157" s="27">
        <v>23</v>
      </c>
      <c r="U157" s="47">
        <f>+S157*36/100</f>
        <v>862706.25</v>
      </c>
      <c r="V157" s="47">
        <f t="shared" si="18"/>
        <v>1533700</v>
      </c>
      <c r="W157" s="18">
        <f t="shared" ref="W157:X161" si="21">V157</f>
        <v>1533700</v>
      </c>
      <c r="X157" s="47">
        <f t="shared" si="21"/>
        <v>1533700</v>
      </c>
      <c r="Y157" s="18"/>
      <c r="Z157" s="18">
        <f t="shared" si="19"/>
        <v>1533700</v>
      </c>
      <c r="AA157" s="264">
        <v>0.3</v>
      </c>
      <c r="AB157" s="2072">
        <f t="shared" si="20"/>
        <v>4601.1000000000004</v>
      </c>
    </row>
    <row r="158" spans="1:32" s="597" customFormat="1" x14ac:dyDescent="0.25">
      <c r="A158" s="242"/>
      <c r="B158" s="269"/>
      <c r="C158" s="285"/>
      <c r="D158" s="273"/>
      <c r="E158" s="273"/>
      <c r="F158" s="268"/>
      <c r="G158" s="269"/>
      <c r="H158" s="266"/>
      <c r="I158" s="18"/>
      <c r="J158" s="258"/>
      <c r="K158" s="39"/>
      <c r="L158" s="269">
        <v>4</v>
      </c>
      <c r="M158" s="88">
        <v>513</v>
      </c>
      <c r="N158" s="15" t="s">
        <v>74</v>
      </c>
      <c r="O158" s="50">
        <v>3</v>
      </c>
      <c r="P158" s="266">
        <f>16.16*9.58</f>
        <v>154.81280000000001</v>
      </c>
      <c r="Q158" s="62" t="s">
        <v>75</v>
      </c>
      <c r="R158" s="260">
        <v>6250</v>
      </c>
      <c r="S158" s="18">
        <f t="shared" si="17"/>
        <v>967580.00000000012</v>
      </c>
      <c r="T158" s="27">
        <v>23</v>
      </c>
      <c r="U158" s="47">
        <f>+S158*36/100</f>
        <v>348328.80000000005</v>
      </c>
      <c r="V158" s="47">
        <f t="shared" si="18"/>
        <v>619251.20000000007</v>
      </c>
      <c r="W158" s="18">
        <f t="shared" si="21"/>
        <v>619251.20000000007</v>
      </c>
      <c r="X158" s="47">
        <f t="shared" si="21"/>
        <v>619251.20000000007</v>
      </c>
      <c r="Y158" s="18"/>
      <c r="Z158" s="18">
        <f t="shared" si="19"/>
        <v>619251.20000000007</v>
      </c>
      <c r="AA158" s="264">
        <v>0.3</v>
      </c>
      <c r="AB158" s="2072">
        <f t="shared" si="20"/>
        <v>1857.7536000000002</v>
      </c>
    </row>
    <row r="159" spans="1:32" s="597" customFormat="1" x14ac:dyDescent="0.25">
      <c r="A159" s="242"/>
      <c r="B159" s="269"/>
      <c r="C159" s="285"/>
      <c r="D159" s="273"/>
      <c r="E159" s="273"/>
      <c r="F159" s="268"/>
      <c r="G159" s="269"/>
      <c r="H159" s="266"/>
      <c r="I159" s="18"/>
      <c r="J159" s="258"/>
      <c r="K159" s="39"/>
      <c r="L159" s="269">
        <v>5</v>
      </c>
      <c r="M159" s="241">
        <v>504</v>
      </c>
      <c r="N159" s="269" t="s">
        <v>82</v>
      </c>
      <c r="O159" s="50">
        <v>3</v>
      </c>
      <c r="P159" s="266">
        <f>30.14*4.52</f>
        <v>136.2328</v>
      </c>
      <c r="Q159" s="62" t="s">
        <v>75</v>
      </c>
      <c r="R159" s="260">
        <v>3100</v>
      </c>
      <c r="S159" s="18">
        <f t="shared" si="17"/>
        <v>422321.68</v>
      </c>
      <c r="T159" s="27">
        <v>23</v>
      </c>
      <c r="U159" s="47">
        <f>+S159*93/100</f>
        <v>392759.16240000003</v>
      </c>
      <c r="V159" s="47">
        <f t="shared" si="18"/>
        <v>29562.517599999963</v>
      </c>
      <c r="W159" s="18">
        <f t="shared" si="21"/>
        <v>29562.517599999963</v>
      </c>
      <c r="X159" s="47">
        <f t="shared" si="21"/>
        <v>29562.517599999963</v>
      </c>
      <c r="Y159" s="18"/>
      <c r="Z159" s="18">
        <f t="shared" si="19"/>
        <v>29562.517599999963</v>
      </c>
      <c r="AA159" s="264">
        <v>0.3</v>
      </c>
      <c r="AB159" s="2072">
        <f t="shared" si="20"/>
        <v>88.687552799999878</v>
      </c>
    </row>
    <row r="160" spans="1:32" s="597" customFormat="1" x14ac:dyDescent="0.25">
      <c r="A160" s="242"/>
      <c r="B160" s="269"/>
      <c r="C160" s="285"/>
      <c r="D160" s="273"/>
      <c r="E160" s="273"/>
      <c r="F160" s="268"/>
      <c r="G160" s="269"/>
      <c r="H160" s="266"/>
      <c r="I160" s="18"/>
      <c r="J160" s="258"/>
      <c r="K160" s="39"/>
      <c r="L160" s="269">
        <v>6</v>
      </c>
      <c r="M160" s="242">
        <v>504</v>
      </c>
      <c r="N160" s="269" t="s">
        <v>82</v>
      </c>
      <c r="O160" s="50">
        <v>3</v>
      </c>
      <c r="P160" s="266">
        <f>16.64*4.52</f>
        <v>75.212800000000001</v>
      </c>
      <c r="Q160" s="62" t="s">
        <v>75</v>
      </c>
      <c r="R160" s="260">
        <v>3100</v>
      </c>
      <c r="S160" s="18">
        <f t="shared" si="17"/>
        <v>233159.67999999999</v>
      </c>
      <c r="T160" s="27">
        <v>23</v>
      </c>
      <c r="U160" s="47">
        <f>+S160*93/100</f>
        <v>216838.5024</v>
      </c>
      <c r="V160" s="47">
        <f t="shared" si="18"/>
        <v>16321.177599999995</v>
      </c>
      <c r="W160" s="18">
        <f t="shared" si="21"/>
        <v>16321.177599999995</v>
      </c>
      <c r="X160" s="47">
        <f t="shared" si="21"/>
        <v>16321.177599999995</v>
      </c>
      <c r="Y160" s="18"/>
      <c r="Z160" s="18">
        <f t="shared" si="19"/>
        <v>16321.177599999995</v>
      </c>
      <c r="AA160" s="264">
        <v>0.3</v>
      </c>
      <c r="AB160" s="2072">
        <f t="shared" si="20"/>
        <v>48.963532799999982</v>
      </c>
    </row>
    <row r="161" spans="1:32" s="597" customFormat="1" x14ac:dyDescent="0.25">
      <c r="A161" s="242"/>
      <c r="B161" s="269"/>
      <c r="C161" s="285"/>
      <c r="D161" s="273"/>
      <c r="E161" s="273"/>
      <c r="F161" s="268">
        <v>5</v>
      </c>
      <c r="G161" s="269">
        <v>0</v>
      </c>
      <c r="H161" s="266">
        <v>7.7</v>
      </c>
      <c r="I161" s="18">
        <f>F161*400+G161*100+H161</f>
        <v>2007.7</v>
      </c>
      <c r="J161" s="258">
        <v>1500</v>
      </c>
      <c r="K161" s="39">
        <f>SUM(I161*J161)</f>
        <v>3011550</v>
      </c>
      <c r="L161" s="269"/>
      <c r="M161" s="815"/>
      <c r="N161" s="510"/>
      <c r="O161" s="50">
        <v>3</v>
      </c>
      <c r="P161" s="266"/>
      <c r="Q161" s="285"/>
      <c r="R161" s="436"/>
      <c r="S161" s="282"/>
      <c r="T161" s="286"/>
      <c r="U161" s="282"/>
      <c r="V161" s="282"/>
      <c r="W161" s="282">
        <f>+K161+V161</f>
        <v>3011550</v>
      </c>
      <c r="X161" s="282">
        <f t="shared" si="21"/>
        <v>3011550</v>
      </c>
      <c r="Y161" s="282"/>
      <c r="Z161" s="282">
        <f t="shared" si="19"/>
        <v>3011550</v>
      </c>
      <c r="AA161" s="264">
        <v>0.3</v>
      </c>
      <c r="AB161" s="2072">
        <f t="shared" si="20"/>
        <v>9034.65</v>
      </c>
    </row>
    <row r="162" spans="1:32" s="597" customFormat="1" ht="18" customHeight="1" x14ac:dyDescent="0.2">
      <c r="A162" s="2070"/>
      <c r="B162" s="177"/>
      <c r="C162" s="177"/>
      <c r="D162" s="2070"/>
      <c r="E162" s="2070"/>
      <c r="F162" s="2070"/>
      <c r="G162" s="2070"/>
      <c r="H162" s="2076"/>
      <c r="I162" s="77"/>
      <c r="J162" s="178"/>
      <c r="K162" s="78"/>
      <c r="L162" s="2070"/>
      <c r="M162" s="2070"/>
      <c r="N162" s="2070"/>
      <c r="O162" s="2070"/>
      <c r="P162" s="2076"/>
      <c r="Q162" s="2071"/>
      <c r="R162" s="437"/>
      <c r="S162" s="2072"/>
      <c r="T162" s="179"/>
      <c r="U162" s="178"/>
      <c r="V162" s="2072"/>
      <c r="W162" s="77">
        <f>K162+V162</f>
        <v>0</v>
      </c>
      <c r="X162" s="470">
        <f>+W162</f>
        <v>0</v>
      </c>
      <c r="Y162" s="470"/>
      <c r="Z162" s="471"/>
      <c r="AA162" s="764"/>
      <c r="AB162" s="466">
        <f t="shared" si="20"/>
        <v>0</v>
      </c>
      <c r="AC162" s="350"/>
      <c r="AD162" s="350"/>
      <c r="AE162" s="350"/>
      <c r="AF162" s="350"/>
    </row>
    <row r="163" spans="1:32" s="597" customFormat="1" ht="18" customHeight="1" x14ac:dyDescent="0.2">
      <c r="A163" s="2070"/>
      <c r="B163" s="177"/>
      <c r="C163" s="177"/>
      <c r="D163" s="2070"/>
      <c r="E163" s="2070"/>
      <c r="F163" s="2070"/>
      <c r="G163" s="2070"/>
      <c r="H163" s="2076"/>
      <c r="I163" s="2072"/>
      <c r="J163" s="178"/>
      <c r="K163" s="2072"/>
      <c r="L163" s="2070"/>
      <c r="M163" s="2070"/>
      <c r="N163" s="2070"/>
      <c r="O163" s="2070"/>
      <c r="P163" s="2076"/>
      <c r="Q163" s="2071"/>
      <c r="R163" s="437"/>
      <c r="S163" s="2072"/>
      <c r="T163" s="179"/>
      <c r="U163" s="178"/>
      <c r="V163" s="2072"/>
      <c r="W163" s="2072"/>
      <c r="X163" s="470"/>
      <c r="Y163" s="470"/>
      <c r="Z163" s="471"/>
      <c r="AA163" s="764"/>
      <c r="AB163" s="466"/>
      <c r="AC163" s="350"/>
      <c r="AD163" s="350"/>
      <c r="AE163" s="350"/>
      <c r="AF163" s="350"/>
    </row>
    <row r="164" spans="1:32" s="597" customFormat="1" ht="18" customHeight="1" x14ac:dyDescent="0.2">
      <c r="A164" s="2070"/>
      <c r="B164" s="177"/>
      <c r="C164" s="177"/>
      <c r="D164" s="2070"/>
      <c r="E164" s="2070"/>
      <c r="F164" s="2070"/>
      <c r="G164" s="2070"/>
      <c r="H164" s="2076"/>
      <c r="I164" s="2072"/>
      <c r="J164" s="178"/>
      <c r="K164" s="2072"/>
      <c r="L164" s="2070"/>
      <c r="M164" s="2070"/>
      <c r="N164" s="2070"/>
      <c r="O164" s="2070"/>
      <c r="P164" s="2076"/>
      <c r="Q164" s="2071"/>
      <c r="R164" s="437"/>
      <c r="S164" s="2072"/>
      <c r="T164" s="179"/>
      <c r="U164" s="178"/>
      <c r="V164" s="2072"/>
      <c r="W164" s="2072"/>
      <c r="X164" s="470"/>
      <c r="Y164" s="470"/>
      <c r="Z164" s="471"/>
      <c r="AA164" s="764"/>
      <c r="AB164" s="466"/>
      <c r="AC164" s="350"/>
      <c r="AD164" s="350"/>
      <c r="AE164" s="350"/>
      <c r="AF164" s="350"/>
    </row>
    <row r="165" spans="1:32" s="597" customFormat="1" ht="18" customHeight="1" x14ac:dyDescent="0.2">
      <c r="A165" s="2070"/>
      <c r="B165" s="177"/>
      <c r="C165" s="177"/>
      <c r="D165" s="2070"/>
      <c r="E165" s="2070"/>
      <c r="F165" s="2070"/>
      <c r="G165" s="2070"/>
      <c r="H165" s="2076"/>
      <c r="I165" s="2072"/>
      <c r="J165" s="178"/>
      <c r="K165" s="2072"/>
      <c r="L165" s="2070"/>
      <c r="M165" s="2070"/>
      <c r="N165" s="2070"/>
      <c r="O165" s="2070"/>
      <c r="P165" s="2076"/>
      <c r="Q165" s="2071"/>
      <c r="R165" s="437"/>
      <c r="S165" s="2072"/>
      <c r="T165" s="179"/>
      <c r="U165" s="178"/>
      <c r="V165" s="2072"/>
      <c r="W165" s="2072"/>
      <c r="X165" s="470"/>
      <c r="Y165" s="470"/>
      <c r="Z165" s="471"/>
      <c r="AA165" s="764"/>
      <c r="AB165" s="466"/>
      <c r="AC165" s="350"/>
      <c r="AD165" s="350"/>
      <c r="AE165" s="350"/>
      <c r="AF165" s="350"/>
    </row>
    <row r="166" spans="1:32" s="597" customFormat="1" ht="18" customHeight="1" x14ac:dyDescent="0.2">
      <c r="A166" s="2070"/>
      <c r="B166" s="177"/>
      <c r="C166" s="177"/>
      <c r="D166" s="2070"/>
      <c r="E166" s="2070"/>
      <c r="F166" s="2070"/>
      <c r="G166" s="2070"/>
      <c r="H166" s="2076"/>
      <c r="I166" s="2072"/>
      <c r="J166" s="178"/>
      <c r="K166" s="2072"/>
      <c r="L166" s="2070"/>
      <c r="M166" s="2070"/>
      <c r="N166" s="2070"/>
      <c r="O166" s="2070"/>
      <c r="P166" s="2076"/>
      <c r="Q166" s="2071"/>
      <c r="R166" s="437"/>
      <c r="S166" s="2072"/>
      <c r="T166" s="179"/>
      <c r="U166" s="178"/>
      <c r="V166" s="2072"/>
      <c r="W166" s="2072"/>
      <c r="X166" s="470"/>
      <c r="Y166" s="470"/>
      <c r="Z166" s="471"/>
      <c r="AA166" s="764"/>
      <c r="AB166" s="466"/>
      <c r="AC166" s="350"/>
      <c r="AD166" s="350"/>
      <c r="AE166" s="350"/>
      <c r="AF166" s="350"/>
    </row>
    <row r="167" spans="1:32" s="597" customFormat="1" ht="18" customHeight="1" x14ac:dyDescent="0.2">
      <c r="A167" s="2070"/>
      <c r="B167" s="177"/>
      <c r="C167" s="177"/>
      <c r="D167" s="2070"/>
      <c r="E167" s="2070"/>
      <c r="F167" s="2070"/>
      <c r="G167" s="2070"/>
      <c r="H167" s="2076"/>
      <c r="I167" s="2072"/>
      <c r="J167" s="178"/>
      <c r="K167" s="2072"/>
      <c r="L167" s="2070"/>
      <c r="M167" s="2070"/>
      <c r="N167" s="2070"/>
      <c r="O167" s="2070"/>
      <c r="P167" s="2076"/>
      <c r="Q167" s="2071"/>
      <c r="R167" s="437"/>
      <c r="S167" s="2072"/>
      <c r="T167" s="179"/>
      <c r="U167" s="178"/>
      <c r="V167" s="2072"/>
      <c r="W167" s="2072"/>
      <c r="X167" s="470"/>
      <c r="Y167" s="470"/>
      <c r="Z167" s="471"/>
      <c r="AA167" s="764"/>
      <c r="AB167" s="466"/>
      <c r="AC167" s="350"/>
      <c r="AD167" s="350"/>
      <c r="AE167" s="350"/>
      <c r="AF167" s="350"/>
    </row>
    <row r="168" spans="1:32" s="597" customFormat="1" ht="18" customHeight="1" x14ac:dyDescent="0.2">
      <c r="A168" s="2070"/>
      <c r="B168" s="177"/>
      <c r="C168" s="177"/>
      <c r="D168" s="2070"/>
      <c r="E168" s="2070"/>
      <c r="F168" s="2070"/>
      <c r="G168" s="2070"/>
      <c r="H168" s="2076"/>
      <c r="I168" s="2072"/>
      <c r="J168" s="178"/>
      <c r="K168" s="2072"/>
      <c r="L168" s="2070"/>
      <c r="M168" s="2070"/>
      <c r="N168" s="2070"/>
      <c r="O168" s="2070"/>
      <c r="P168" s="2076"/>
      <c r="Q168" s="2071"/>
      <c r="R168" s="437"/>
      <c r="S168" s="2072"/>
      <c r="T168" s="179"/>
      <c r="U168" s="178"/>
      <c r="V168" s="2072"/>
      <c r="W168" s="2072"/>
      <c r="X168" s="470"/>
      <c r="Y168" s="470"/>
      <c r="Z168" s="471"/>
      <c r="AA168" s="764"/>
      <c r="AB168" s="466"/>
      <c r="AC168" s="350"/>
      <c r="AD168" s="350"/>
      <c r="AE168" s="350"/>
      <c r="AF168" s="350"/>
    </row>
    <row r="169" spans="1:32" s="597" customFormat="1" ht="18" customHeight="1" x14ac:dyDescent="0.2">
      <c r="A169" s="88"/>
      <c r="B169" s="180"/>
      <c r="C169" s="180"/>
      <c r="D169" s="88"/>
      <c r="E169" s="88"/>
      <c r="F169" s="88"/>
      <c r="G169" s="88"/>
      <c r="H169" s="120"/>
      <c r="I169" s="121"/>
      <c r="J169" s="181"/>
      <c r="K169" s="121"/>
      <c r="L169" s="88"/>
      <c r="M169" s="88"/>
      <c r="N169" s="88"/>
      <c r="O169" s="88"/>
      <c r="P169" s="88"/>
      <c r="Q169" s="129"/>
      <c r="R169" s="445"/>
      <c r="S169" s="121"/>
      <c r="T169" s="182"/>
      <c r="U169" s="181"/>
      <c r="V169" s="121"/>
      <c r="W169" s="121"/>
      <c r="X169" s="472"/>
      <c r="Y169" s="472"/>
      <c r="Z169" s="473"/>
      <c r="AA169" s="780"/>
      <c r="AB169" s="410"/>
      <c r="AC169" s="351"/>
      <c r="AD169" s="351"/>
      <c r="AE169" s="351"/>
      <c r="AF169" s="351"/>
    </row>
    <row r="170" spans="1:32" s="597" customFormat="1" ht="18" customHeight="1" x14ac:dyDescent="0.2">
      <c r="A170" s="1850"/>
      <c r="B170" s="1850"/>
      <c r="C170" s="1850"/>
      <c r="D170" s="1850"/>
      <c r="E170" s="1850"/>
      <c r="F170" s="1850"/>
      <c r="G170" s="1850"/>
      <c r="H170" s="1851"/>
      <c r="I170" s="1852"/>
      <c r="J170" s="1853"/>
      <c r="K170" s="1852"/>
      <c r="L170" s="1852"/>
      <c r="M170" s="1852"/>
      <c r="N170" s="1852"/>
      <c r="O170" s="1852"/>
      <c r="P170" s="1852"/>
      <c r="Q170" s="1852"/>
      <c r="R170" s="1854"/>
      <c r="S170" s="1852"/>
      <c r="T170" s="1855"/>
      <c r="U170" s="1853"/>
      <c r="V170" s="1852"/>
      <c r="W170" s="1852"/>
      <c r="X170" s="1856"/>
      <c r="Y170" s="1856"/>
      <c r="Z170" s="1857"/>
      <c r="AA170" s="2125"/>
      <c r="AB170" s="1847">
        <f>SUM(AB155:AB169)</f>
        <v>28674.9806856</v>
      </c>
      <c r="AC170" s="1861"/>
      <c r="AD170" s="1861"/>
      <c r="AE170" s="1861"/>
      <c r="AF170" s="1861"/>
    </row>
    <row r="171" spans="1:32" s="597" customFormat="1" ht="14.1" customHeight="1" x14ac:dyDescent="0.2">
      <c r="A171" s="2690" t="s">
        <v>76</v>
      </c>
      <c r="B171" s="2690"/>
      <c r="C171" s="2691" t="s">
        <v>77</v>
      </c>
      <c r="D171" s="2691"/>
      <c r="E171" s="2691"/>
      <c r="F171" s="2691"/>
      <c r="G171" s="2691"/>
      <c r="H171" s="2691"/>
      <c r="I171" s="604" t="s">
        <v>78</v>
      </c>
      <c r="J171" s="604"/>
      <c r="K171" s="604"/>
      <c r="L171" s="604"/>
      <c r="M171" s="604"/>
      <c r="N171" s="604"/>
      <c r="AA171" s="767"/>
      <c r="AB171" s="598"/>
    </row>
    <row r="172" spans="1:32" s="597" customFormat="1" ht="14.1" customHeight="1" x14ac:dyDescent="0.2">
      <c r="A172" s="604"/>
      <c r="B172" s="605"/>
      <c r="C172" s="604"/>
      <c r="D172" s="604"/>
      <c r="E172" s="604"/>
      <c r="F172" s="604"/>
      <c r="G172" s="604"/>
      <c r="H172" s="604"/>
      <c r="I172" s="604" t="s">
        <v>79</v>
      </c>
      <c r="J172" s="604"/>
      <c r="K172" s="604"/>
      <c r="L172" s="604"/>
      <c r="M172" s="604"/>
      <c r="N172" s="604"/>
      <c r="AA172" s="767"/>
      <c r="AB172" s="598"/>
    </row>
    <row r="173" spans="1:32" s="597" customFormat="1" ht="14.1" customHeight="1" x14ac:dyDescent="0.2">
      <c r="A173" s="604"/>
      <c r="B173" s="605"/>
      <c r="C173" s="604"/>
      <c r="D173" s="604"/>
      <c r="E173" s="604"/>
      <c r="F173" s="604"/>
      <c r="G173" s="604"/>
      <c r="H173" s="604"/>
      <c r="I173" s="604" t="s">
        <v>80</v>
      </c>
      <c r="J173" s="604"/>
      <c r="K173" s="604"/>
      <c r="L173" s="604"/>
      <c r="M173" s="604"/>
      <c r="N173" s="604"/>
      <c r="AA173" s="767"/>
      <c r="AB173" s="598"/>
    </row>
    <row r="174" spans="1:32" s="597" customFormat="1" ht="14.1" customHeight="1" x14ac:dyDescent="0.2">
      <c r="A174" s="604"/>
      <c r="B174" s="605"/>
      <c r="C174" s="604"/>
      <c r="D174" s="604"/>
      <c r="E174" s="604"/>
      <c r="F174" s="604"/>
      <c r="G174" s="604"/>
      <c r="H174" s="604"/>
      <c r="I174" s="604" t="s">
        <v>81</v>
      </c>
      <c r="J174" s="604"/>
      <c r="K174" s="604"/>
      <c r="L174" s="604"/>
      <c r="M174" s="604"/>
      <c r="N174" s="604"/>
      <c r="AA174" s="767"/>
      <c r="AB174" s="598"/>
    </row>
    <row r="175" spans="1:32" s="597" customFormat="1" ht="14.1" customHeight="1" x14ac:dyDescent="0.2">
      <c r="A175" s="604"/>
      <c r="B175" s="605"/>
      <c r="C175" s="604"/>
      <c r="D175" s="604"/>
      <c r="E175" s="604"/>
      <c r="F175" s="604"/>
      <c r="G175" s="604"/>
      <c r="H175" s="604"/>
      <c r="I175" s="604" t="s">
        <v>88</v>
      </c>
      <c r="J175" s="604"/>
      <c r="K175" s="604"/>
      <c r="L175" s="604"/>
      <c r="M175" s="604"/>
      <c r="N175" s="604"/>
      <c r="AA175" s="767"/>
      <c r="AB175" s="598"/>
    </row>
    <row r="176" spans="1:32" s="597" customFormat="1" x14ac:dyDescent="0.2">
      <c r="A176" s="455"/>
      <c r="B176" s="455"/>
      <c r="C176" s="455"/>
      <c r="D176" s="455"/>
      <c r="E176" s="455"/>
      <c r="F176" s="455"/>
      <c r="G176" s="455"/>
      <c r="H176" s="455"/>
      <c r="I176" s="455"/>
      <c r="J176" s="455"/>
      <c r="K176" s="455"/>
      <c r="L176" s="455"/>
      <c r="M176" s="455"/>
      <c r="N176" s="455"/>
      <c r="O176" s="455"/>
      <c r="P176" s="455"/>
      <c r="Q176" s="455"/>
      <c r="R176" s="455"/>
      <c r="S176" s="455"/>
      <c r="T176" s="455"/>
      <c r="U176" s="609"/>
      <c r="V176" s="455"/>
      <c r="W176" s="455"/>
      <c r="X176" s="455"/>
      <c r="Y176" s="455"/>
      <c r="Z176" s="455"/>
      <c r="AA176" s="2705" t="s">
        <v>0</v>
      </c>
      <c r="AB176" s="2705"/>
    </row>
    <row r="177" spans="1:32" s="597" customFormat="1" x14ac:dyDescent="0.2">
      <c r="A177" s="2706" t="s">
        <v>1</v>
      </c>
      <c r="B177" s="2706"/>
      <c r="C177" s="2706"/>
      <c r="D177" s="2706"/>
      <c r="E177" s="2706"/>
      <c r="F177" s="2706"/>
      <c r="G177" s="2706"/>
      <c r="H177" s="2706"/>
      <c r="I177" s="2706"/>
      <c r="J177" s="2706"/>
      <c r="K177" s="2706"/>
      <c r="L177" s="2706"/>
      <c r="M177" s="2706"/>
      <c r="N177" s="2706"/>
      <c r="O177" s="2706"/>
      <c r="P177" s="2706"/>
      <c r="Q177" s="2706"/>
      <c r="R177" s="2706"/>
      <c r="S177" s="2706"/>
      <c r="T177" s="2706"/>
      <c r="U177" s="2706"/>
      <c r="V177" s="2706"/>
      <c r="W177" s="2706"/>
      <c r="X177" s="2706"/>
      <c r="Y177" s="2706"/>
      <c r="Z177" s="2706"/>
      <c r="AA177" s="2706"/>
      <c r="AB177" s="2706"/>
    </row>
    <row r="178" spans="1:32" s="597" customFormat="1" ht="18.75" x14ac:dyDescent="0.2">
      <c r="A178" s="2704" t="s">
        <v>546</v>
      </c>
      <c r="B178" s="2704"/>
      <c r="C178" s="2704"/>
      <c r="D178" s="2704"/>
      <c r="E178" s="2704"/>
      <c r="F178" s="2704"/>
      <c r="G178" s="2704"/>
      <c r="H178" s="2704"/>
      <c r="I178" s="2704"/>
      <c r="J178" s="2704"/>
      <c r="K178" s="2704"/>
      <c r="L178" s="2704"/>
      <c r="M178" s="2704"/>
      <c r="N178" s="2704"/>
      <c r="O178" s="2704"/>
      <c r="P178" s="2704"/>
      <c r="Q178" s="2704"/>
      <c r="R178" s="2704"/>
      <c r="S178" s="2704"/>
      <c r="T178" s="2704"/>
      <c r="U178" s="2704"/>
      <c r="V178" s="2704"/>
      <c r="W178" s="2704"/>
      <c r="X178" s="2704"/>
      <c r="Y178" s="2704"/>
      <c r="Z178" s="2704"/>
      <c r="AA178" s="2704"/>
      <c r="AB178" s="2704"/>
    </row>
    <row r="179" spans="1:32" s="597" customFormat="1" x14ac:dyDescent="0.2">
      <c r="A179" s="2686" t="s">
        <v>2</v>
      </c>
      <c r="B179" s="360"/>
      <c r="C179" s="2686" t="s">
        <v>3</v>
      </c>
      <c r="D179" s="360"/>
      <c r="E179" s="360"/>
      <c r="F179" s="2693" t="s">
        <v>4</v>
      </c>
      <c r="G179" s="2693"/>
      <c r="H179" s="2693"/>
      <c r="I179" s="2694"/>
      <c r="J179" s="2694"/>
      <c r="K179" s="2695"/>
      <c r="L179" s="361"/>
      <c r="M179" s="2679" t="s">
        <v>5</v>
      </c>
      <c r="N179" s="2679"/>
      <c r="O179" s="2679"/>
      <c r="P179" s="2679"/>
      <c r="Q179" s="2696"/>
      <c r="R179" s="2696"/>
      <c r="S179" s="2696"/>
      <c r="T179" s="2696"/>
      <c r="U179" s="2696"/>
      <c r="V179" s="2697"/>
      <c r="W179" s="362" t="s">
        <v>6</v>
      </c>
      <c r="X179" s="363" t="s">
        <v>7</v>
      </c>
      <c r="Y179" s="364"/>
      <c r="Z179" s="364"/>
      <c r="AA179" s="363"/>
      <c r="AB179" s="458"/>
    </row>
    <row r="180" spans="1:32" s="597" customFormat="1" x14ac:dyDescent="0.2">
      <c r="A180" s="2687"/>
      <c r="B180" s="367"/>
      <c r="C180" s="2687"/>
      <c r="D180" s="2062" t="s">
        <v>9</v>
      </c>
      <c r="E180" s="2062" t="s">
        <v>10</v>
      </c>
      <c r="F180" s="2698" t="s">
        <v>11</v>
      </c>
      <c r="G180" s="2694"/>
      <c r="H180" s="2695"/>
      <c r="I180" s="360"/>
      <c r="J180" s="2061" t="s">
        <v>12</v>
      </c>
      <c r="K180" s="360"/>
      <c r="L180" s="2734" t="s">
        <v>2</v>
      </c>
      <c r="M180" s="2067"/>
      <c r="N180" s="2067"/>
      <c r="O180" s="2067"/>
      <c r="P180" s="371"/>
      <c r="Q180" s="459" t="s">
        <v>13</v>
      </c>
      <c r="R180" s="2067" t="s">
        <v>12</v>
      </c>
      <c r="S180" s="2067" t="s">
        <v>6</v>
      </c>
      <c r="T180" s="2682" t="s">
        <v>14</v>
      </c>
      <c r="U180" s="2683"/>
      <c r="V180" s="375" t="s">
        <v>7</v>
      </c>
      <c r="W180" s="376" t="s">
        <v>15</v>
      </c>
      <c r="X180" s="377" t="s">
        <v>16</v>
      </c>
      <c r="Y180" s="377" t="s">
        <v>17</v>
      </c>
      <c r="Z180" s="377" t="s">
        <v>18</v>
      </c>
      <c r="AA180" s="377"/>
      <c r="AB180" s="460" t="s">
        <v>19</v>
      </c>
    </row>
    <row r="181" spans="1:32" s="597" customFormat="1" x14ac:dyDescent="0.2">
      <c r="A181" s="2687"/>
      <c r="B181" s="2062" t="s">
        <v>23</v>
      </c>
      <c r="C181" s="2687"/>
      <c r="D181" s="2062" t="s">
        <v>24</v>
      </c>
      <c r="E181" s="2062" t="s">
        <v>25</v>
      </c>
      <c r="F181" s="2699"/>
      <c r="G181" s="2700"/>
      <c r="H181" s="2701"/>
      <c r="I181" s="2062" t="s">
        <v>26</v>
      </c>
      <c r="J181" s="2066" t="s">
        <v>15</v>
      </c>
      <c r="K181" s="2066" t="s">
        <v>6</v>
      </c>
      <c r="L181" s="2735"/>
      <c r="M181" s="2068" t="s">
        <v>27</v>
      </c>
      <c r="N181" s="2068" t="s">
        <v>10</v>
      </c>
      <c r="O181" s="2068" t="s">
        <v>10</v>
      </c>
      <c r="P181" s="385" t="s">
        <v>28</v>
      </c>
      <c r="Q181" s="461" t="s">
        <v>29</v>
      </c>
      <c r="R181" s="385" t="s">
        <v>15</v>
      </c>
      <c r="S181" s="385" t="s">
        <v>15</v>
      </c>
      <c r="T181" s="2684"/>
      <c r="U181" s="2685"/>
      <c r="V181" s="375" t="s">
        <v>30</v>
      </c>
      <c r="W181" s="376" t="s">
        <v>31</v>
      </c>
      <c r="X181" s="377" t="s">
        <v>30</v>
      </c>
      <c r="Y181" s="377" t="s">
        <v>32</v>
      </c>
      <c r="Z181" s="377" t="s">
        <v>7</v>
      </c>
      <c r="AA181" s="377" t="s">
        <v>33</v>
      </c>
      <c r="AB181" s="460" t="s">
        <v>34</v>
      </c>
    </row>
    <row r="182" spans="1:32" s="597" customFormat="1" x14ac:dyDescent="0.2">
      <c r="A182" s="2687"/>
      <c r="B182" s="2062" t="s">
        <v>39</v>
      </c>
      <c r="C182" s="2687"/>
      <c r="D182" s="2062" t="s">
        <v>40</v>
      </c>
      <c r="E182" s="2062" t="s">
        <v>41</v>
      </c>
      <c r="F182" s="2686" t="s">
        <v>42</v>
      </c>
      <c r="G182" s="2686" t="s">
        <v>43</v>
      </c>
      <c r="H182" s="2688" t="s">
        <v>44</v>
      </c>
      <c r="I182" s="2062" t="s">
        <v>45</v>
      </c>
      <c r="J182" s="2066" t="s">
        <v>46</v>
      </c>
      <c r="K182" s="2066" t="s">
        <v>47</v>
      </c>
      <c r="L182" s="2735"/>
      <c r="M182" s="2068" t="s">
        <v>30</v>
      </c>
      <c r="N182" s="2068" t="s">
        <v>30</v>
      </c>
      <c r="O182" s="2068" t="s">
        <v>25</v>
      </c>
      <c r="P182" s="385" t="s">
        <v>30</v>
      </c>
      <c r="Q182" s="461" t="s">
        <v>48</v>
      </c>
      <c r="R182" s="385" t="s">
        <v>49</v>
      </c>
      <c r="S182" s="385" t="s">
        <v>30</v>
      </c>
      <c r="T182" s="2065" t="s">
        <v>50</v>
      </c>
      <c r="U182" s="620" t="s">
        <v>13</v>
      </c>
      <c r="V182" s="375" t="s">
        <v>51</v>
      </c>
      <c r="W182" s="376" t="s">
        <v>52</v>
      </c>
      <c r="X182" s="377" t="s">
        <v>53</v>
      </c>
      <c r="Y182" s="377" t="s">
        <v>54</v>
      </c>
      <c r="Z182" s="377" t="s">
        <v>55</v>
      </c>
      <c r="AA182" s="377" t="s">
        <v>56</v>
      </c>
      <c r="AB182" s="460" t="s">
        <v>57</v>
      </c>
    </row>
    <row r="183" spans="1:32" s="597" customFormat="1" x14ac:dyDescent="0.2">
      <c r="A183" s="2687"/>
      <c r="B183" s="2062" t="s">
        <v>61</v>
      </c>
      <c r="C183" s="2687"/>
      <c r="D183" s="2062" t="s">
        <v>62</v>
      </c>
      <c r="E183" s="2062" t="s">
        <v>63</v>
      </c>
      <c r="F183" s="2687"/>
      <c r="G183" s="2687"/>
      <c r="H183" s="2689"/>
      <c r="I183" s="2062" t="s">
        <v>64</v>
      </c>
      <c r="J183" s="2066" t="s">
        <v>59</v>
      </c>
      <c r="K183" s="2066" t="s">
        <v>59</v>
      </c>
      <c r="L183" s="2735"/>
      <c r="M183" s="2068"/>
      <c r="N183" s="2068"/>
      <c r="O183" s="2068" t="s">
        <v>41</v>
      </c>
      <c r="P183" s="385" t="s">
        <v>65</v>
      </c>
      <c r="Q183" s="461" t="s">
        <v>66</v>
      </c>
      <c r="R183" s="385" t="s">
        <v>67</v>
      </c>
      <c r="S183" s="385" t="s">
        <v>59</v>
      </c>
      <c r="T183" s="375" t="s">
        <v>68</v>
      </c>
      <c r="U183" s="622" t="s">
        <v>14</v>
      </c>
      <c r="V183" s="375" t="s">
        <v>14</v>
      </c>
      <c r="W183" s="376" t="s">
        <v>30</v>
      </c>
      <c r="X183" s="388" t="s">
        <v>69</v>
      </c>
      <c r="Y183" s="388" t="s">
        <v>70</v>
      </c>
      <c r="Z183" s="377" t="s">
        <v>71</v>
      </c>
      <c r="AA183" s="377" t="s">
        <v>72</v>
      </c>
      <c r="AB183" s="460" t="s">
        <v>59</v>
      </c>
    </row>
    <row r="184" spans="1:32" s="597" customFormat="1" x14ac:dyDescent="0.2">
      <c r="A184" s="2692"/>
      <c r="B184" s="390"/>
      <c r="C184" s="2692"/>
      <c r="D184" s="390"/>
      <c r="E184" s="2063"/>
      <c r="F184" s="390"/>
      <c r="G184" s="390"/>
      <c r="H184" s="391"/>
      <c r="I184" s="2063"/>
      <c r="J184" s="393"/>
      <c r="K184" s="393"/>
      <c r="L184" s="2736"/>
      <c r="M184" s="2069"/>
      <c r="N184" s="2069"/>
      <c r="O184" s="2069" t="s">
        <v>63</v>
      </c>
      <c r="P184" s="2069"/>
      <c r="Q184" s="2064" t="s">
        <v>72</v>
      </c>
      <c r="R184" s="398" t="s">
        <v>59</v>
      </c>
      <c r="S184" s="398"/>
      <c r="T184" s="398" t="s">
        <v>73</v>
      </c>
      <c r="U184" s="624" t="s">
        <v>59</v>
      </c>
      <c r="V184" s="399" t="s">
        <v>59</v>
      </c>
      <c r="W184" s="400" t="s">
        <v>59</v>
      </c>
      <c r="X184" s="401" t="s">
        <v>59</v>
      </c>
      <c r="Y184" s="401" t="s">
        <v>59</v>
      </c>
      <c r="Z184" s="401" t="s">
        <v>59</v>
      </c>
      <c r="AA184" s="402"/>
      <c r="AB184" s="462"/>
    </row>
    <row r="185" spans="1:32" s="597" customFormat="1" x14ac:dyDescent="0.2">
      <c r="A185" s="88">
        <v>1</v>
      </c>
      <c r="B185" s="95">
        <v>70144</v>
      </c>
      <c r="C185" s="82">
        <v>3174</v>
      </c>
      <c r="D185" s="27" t="s">
        <v>83</v>
      </c>
      <c r="E185" s="27">
        <v>5</v>
      </c>
      <c r="F185" s="27">
        <v>2</v>
      </c>
      <c r="G185" s="804">
        <v>0</v>
      </c>
      <c r="H185" s="291">
        <v>0</v>
      </c>
      <c r="I185" s="30">
        <f>F185*400+G185*100+H185</f>
        <v>800</v>
      </c>
      <c r="J185" s="31">
        <v>1500</v>
      </c>
      <c r="K185" s="39">
        <f>+I185*J185</f>
        <v>1200000</v>
      </c>
      <c r="L185" s="15"/>
      <c r="M185" s="805"/>
      <c r="N185" s="15"/>
      <c r="O185" s="15"/>
      <c r="P185" s="22"/>
      <c r="Q185" s="25"/>
      <c r="R185" s="563"/>
      <c r="S185" s="23"/>
      <c r="T185" s="26"/>
      <c r="U185" s="24"/>
      <c r="V185" s="23"/>
      <c r="W185" s="18"/>
      <c r="X185" s="18"/>
      <c r="Y185" s="564"/>
      <c r="Z185" s="18"/>
      <c r="AA185" s="292"/>
      <c r="AB185" s="410">
        <f>+Z185*AA185/100</f>
        <v>0</v>
      </c>
    </row>
    <row r="186" spans="1:32" s="597" customFormat="1" x14ac:dyDescent="0.2">
      <c r="A186" s="2070"/>
      <c r="B186" s="806"/>
      <c r="C186" s="21"/>
      <c r="D186" s="27"/>
      <c r="E186" s="27"/>
      <c r="F186" s="27"/>
      <c r="G186" s="804"/>
      <c r="H186" s="291">
        <v>82.5</v>
      </c>
      <c r="I186" s="30">
        <f>H186</f>
        <v>82.5</v>
      </c>
      <c r="J186" s="31">
        <v>1500</v>
      </c>
      <c r="K186" s="39">
        <f>+I186*J186</f>
        <v>123750</v>
      </c>
      <c r="L186" s="15">
        <v>1</v>
      </c>
      <c r="M186" s="15" t="s">
        <v>260</v>
      </c>
      <c r="N186" s="15" t="s">
        <v>74</v>
      </c>
      <c r="O186" s="15">
        <v>3</v>
      </c>
      <c r="P186" s="22">
        <v>330</v>
      </c>
      <c r="Q186" s="25" t="s">
        <v>75</v>
      </c>
      <c r="R186" s="563">
        <v>8650</v>
      </c>
      <c r="S186" s="23">
        <f>R186*P186</f>
        <v>2854500</v>
      </c>
      <c r="T186" s="26">
        <v>2</v>
      </c>
      <c r="U186" s="24">
        <f>S186*2/100</f>
        <v>57090</v>
      </c>
      <c r="V186" s="23">
        <f>S186-U186</f>
        <v>2797410</v>
      </c>
      <c r="W186" s="18">
        <f>V186+K186</f>
        <v>2921160</v>
      </c>
      <c r="X186" s="18">
        <f>W186</f>
        <v>2921160</v>
      </c>
      <c r="Y186" s="564"/>
      <c r="Z186" s="18">
        <f>X186</f>
        <v>2921160</v>
      </c>
      <c r="AA186" s="292">
        <v>0.3</v>
      </c>
      <c r="AB186" s="410">
        <f>Z186*AA186/100</f>
        <v>8763.48</v>
      </c>
    </row>
    <row r="187" spans="1:32" s="597" customFormat="1" x14ac:dyDescent="0.2">
      <c r="A187" s="177"/>
      <c r="B187" s="21"/>
      <c r="C187" s="1036"/>
      <c r="D187" s="27"/>
      <c r="E187" s="15"/>
      <c r="F187" s="15">
        <v>1</v>
      </c>
      <c r="G187" s="807">
        <v>3</v>
      </c>
      <c r="H187" s="22">
        <v>17.5</v>
      </c>
      <c r="I187" s="30">
        <f>F187*400+G187*100+H187</f>
        <v>717.5</v>
      </c>
      <c r="J187" s="31">
        <v>1500</v>
      </c>
      <c r="K187" s="39">
        <f>+I187*J187</f>
        <v>1076250</v>
      </c>
      <c r="L187" s="15"/>
      <c r="M187" s="15"/>
      <c r="N187" s="15"/>
      <c r="O187" s="15">
        <v>3</v>
      </c>
      <c r="P187" s="22"/>
      <c r="Q187" s="25"/>
      <c r="R187" s="563"/>
      <c r="S187" s="23"/>
      <c r="T187" s="26"/>
      <c r="U187" s="24"/>
      <c r="V187" s="23"/>
      <c r="W187" s="18">
        <f>K187</f>
        <v>1076250</v>
      </c>
      <c r="X187" s="18">
        <f>W187</f>
        <v>1076250</v>
      </c>
      <c r="Y187" s="564"/>
      <c r="Z187" s="18">
        <f>X187</f>
        <v>1076250</v>
      </c>
      <c r="AA187" s="292">
        <v>0.3</v>
      </c>
      <c r="AB187" s="410">
        <f>Z187*AA187/100</f>
        <v>3228.75</v>
      </c>
      <c r="AC187" s="665"/>
      <c r="AD187" s="665"/>
      <c r="AE187" s="665"/>
      <c r="AF187" s="665"/>
    </row>
    <row r="188" spans="1:32" s="597" customFormat="1" x14ac:dyDescent="0.2">
      <c r="A188" s="2070"/>
      <c r="B188" s="177"/>
      <c r="C188" s="177"/>
      <c r="D188" s="2070"/>
      <c r="E188" s="2070"/>
      <c r="F188" s="2070"/>
      <c r="G188" s="2070"/>
      <c r="H188" s="2076"/>
      <c r="I188" s="2072"/>
      <c r="J188" s="178"/>
      <c r="K188" s="2072"/>
      <c r="L188" s="2070"/>
      <c r="M188" s="2070"/>
      <c r="N188" s="2070"/>
      <c r="O188" s="2070"/>
      <c r="P188" s="2076"/>
      <c r="Q188" s="2071"/>
      <c r="R188" s="437"/>
      <c r="S188" s="2072"/>
      <c r="T188" s="179"/>
      <c r="U188" s="178"/>
      <c r="V188" s="2072"/>
      <c r="W188" s="2072"/>
      <c r="X188" s="470"/>
      <c r="Y188" s="470"/>
      <c r="Z188" s="471"/>
      <c r="AA188" s="471"/>
      <c r="AB188" s="466"/>
    </row>
    <row r="189" spans="1:32" s="597" customFormat="1" x14ac:dyDescent="0.2">
      <c r="A189" s="2070"/>
      <c r="B189" s="177"/>
      <c r="C189" s="177"/>
      <c r="D189" s="2070"/>
      <c r="E189" s="2070"/>
      <c r="F189" s="2070"/>
      <c r="G189" s="2070"/>
      <c r="H189" s="2076"/>
      <c r="I189" s="2072"/>
      <c r="J189" s="178"/>
      <c r="K189" s="2072"/>
      <c r="L189" s="2070"/>
      <c r="M189" s="2070"/>
      <c r="N189" s="2070"/>
      <c r="O189" s="2070"/>
      <c r="P189" s="2076"/>
      <c r="Q189" s="2071"/>
      <c r="R189" s="437"/>
      <c r="S189" s="2072"/>
      <c r="T189" s="179"/>
      <c r="U189" s="178"/>
      <c r="V189" s="2072"/>
      <c r="W189" s="2072"/>
      <c r="X189" s="470"/>
      <c r="Y189" s="470"/>
      <c r="Z189" s="471"/>
      <c r="AA189" s="471"/>
      <c r="AB189" s="466"/>
    </row>
    <row r="190" spans="1:32" s="597" customFormat="1" x14ac:dyDescent="0.2">
      <c r="A190" s="2070"/>
      <c r="B190" s="177"/>
      <c r="C190" s="177"/>
      <c r="D190" s="2070"/>
      <c r="E190" s="2070"/>
      <c r="F190" s="2070"/>
      <c r="G190" s="2070"/>
      <c r="H190" s="2076"/>
      <c r="I190" s="2072"/>
      <c r="J190" s="178"/>
      <c r="K190" s="2072"/>
      <c r="L190" s="2070"/>
      <c r="M190" s="2070"/>
      <c r="N190" s="2070"/>
      <c r="O190" s="2070"/>
      <c r="P190" s="2076"/>
      <c r="Q190" s="2071"/>
      <c r="R190" s="437"/>
      <c r="S190" s="2072"/>
      <c r="T190" s="179"/>
      <c r="U190" s="178"/>
      <c r="V190" s="2072"/>
      <c r="W190" s="2072"/>
      <c r="X190" s="470"/>
      <c r="Y190" s="470"/>
      <c r="Z190" s="471"/>
      <c r="AA190" s="471"/>
      <c r="AB190" s="466"/>
    </row>
    <row r="191" spans="1:32" s="597" customFormat="1" x14ac:dyDescent="0.2">
      <c r="A191" s="2070"/>
      <c r="B191" s="177"/>
      <c r="C191" s="177"/>
      <c r="D191" s="2070"/>
      <c r="E191" s="2070"/>
      <c r="F191" s="2070"/>
      <c r="G191" s="2070"/>
      <c r="H191" s="2076"/>
      <c r="I191" s="2072"/>
      <c r="J191" s="178"/>
      <c r="K191" s="2072"/>
      <c r="L191" s="2070"/>
      <c r="M191" s="2070"/>
      <c r="N191" s="2070"/>
      <c r="O191" s="2070"/>
      <c r="P191" s="2076"/>
      <c r="Q191" s="2071"/>
      <c r="R191" s="437"/>
      <c r="S191" s="2072"/>
      <c r="T191" s="179"/>
      <c r="U191" s="178"/>
      <c r="V191" s="2072"/>
      <c r="W191" s="2072"/>
      <c r="X191" s="470"/>
      <c r="Y191" s="470"/>
      <c r="Z191" s="471"/>
      <c r="AA191" s="471"/>
      <c r="AB191" s="466"/>
    </row>
    <row r="192" spans="1:32" s="597" customFormat="1" x14ac:dyDescent="0.2">
      <c r="A192" s="2070"/>
      <c r="B192" s="177"/>
      <c r="C192" s="177"/>
      <c r="D192" s="2070"/>
      <c r="E192" s="2070"/>
      <c r="F192" s="2070"/>
      <c r="G192" s="2070"/>
      <c r="H192" s="2076"/>
      <c r="I192" s="2072"/>
      <c r="J192" s="178"/>
      <c r="K192" s="2072"/>
      <c r="L192" s="2070"/>
      <c r="M192" s="2070"/>
      <c r="N192" s="2070"/>
      <c r="O192" s="2070"/>
      <c r="P192" s="2076"/>
      <c r="Q192" s="2071"/>
      <c r="R192" s="437"/>
      <c r="S192" s="2072"/>
      <c r="T192" s="179"/>
      <c r="U192" s="178"/>
      <c r="V192" s="2072"/>
      <c r="W192" s="2072"/>
      <c r="X192" s="470"/>
      <c r="Y192" s="470"/>
      <c r="Z192" s="471"/>
      <c r="AA192" s="471"/>
      <c r="AB192" s="466"/>
    </row>
    <row r="193" spans="1:32" s="597" customFormat="1" x14ac:dyDescent="0.2">
      <c r="A193" s="2070"/>
      <c r="B193" s="177"/>
      <c r="C193" s="177"/>
      <c r="D193" s="2070"/>
      <c r="E193" s="2070"/>
      <c r="F193" s="2070"/>
      <c r="G193" s="2070"/>
      <c r="H193" s="2076"/>
      <c r="I193" s="2072"/>
      <c r="J193" s="178"/>
      <c r="K193" s="2072"/>
      <c r="L193" s="2070"/>
      <c r="M193" s="2070"/>
      <c r="N193" s="2070"/>
      <c r="O193" s="2070"/>
      <c r="P193" s="2076"/>
      <c r="Q193" s="2071"/>
      <c r="R193" s="437"/>
      <c r="S193" s="2072"/>
      <c r="T193" s="179"/>
      <c r="U193" s="178"/>
      <c r="V193" s="2072"/>
      <c r="W193" s="2072"/>
      <c r="X193" s="470"/>
      <c r="Y193" s="470"/>
      <c r="Z193" s="471"/>
      <c r="AA193" s="471"/>
      <c r="AB193" s="466"/>
    </row>
    <row r="194" spans="1:32" s="597" customFormat="1" x14ac:dyDescent="0.2">
      <c r="A194" s="2070"/>
      <c r="B194" s="177"/>
      <c r="C194" s="177"/>
      <c r="D194" s="2070"/>
      <c r="E194" s="2070"/>
      <c r="F194" s="2070"/>
      <c r="G194" s="2070"/>
      <c r="H194" s="2076"/>
      <c r="I194" s="2072"/>
      <c r="J194" s="178"/>
      <c r="K194" s="2072"/>
      <c r="L194" s="2070"/>
      <c r="M194" s="2070"/>
      <c r="N194" s="2070"/>
      <c r="O194" s="2070"/>
      <c r="P194" s="2076"/>
      <c r="Q194" s="2071"/>
      <c r="R194" s="437"/>
      <c r="S194" s="2072"/>
      <c r="T194" s="179"/>
      <c r="U194" s="178"/>
      <c r="V194" s="2072"/>
      <c r="W194" s="2072"/>
      <c r="X194" s="470"/>
      <c r="Y194" s="470"/>
      <c r="Z194" s="471"/>
      <c r="AA194" s="471"/>
      <c r="AB194" s="466"/>
    </row>
    <row r="195" spans="1:32" s="597" customFormat="1" x14ac:dyDescent="0.2">
      <c r="A195" s="2070"/>
      <c r="B195" s="177"/>
      <c r="C195" s="177"/>
      <c r="D195" s="2070"/>
      <c r="E195" s="2070"/>
      <c r="F195" s="2070"/>
      <c r="G195" s="2070"/>
      <c r="H195" s="2076"/>
      <c r="I195" s="2072"/>
      <c r="J195" s="178"/>
      <c r="K195" s="2072"/>
      <c r="L195" s="2070"/>
      <c r="M195" s="2070"/>
      <c r="N195" s="2070"/>
      <c r="O195" s="2070"/>
      <c r="P195" s="2076"/>
      <c r="Q195" s="2071"/>
      <c r="R195" s="437"/>
      <c r="S195" s="2072"/>
      <c r="T195" s="179"/>
      <c r="U195" s="178"/>
      <c r="V195" s="2072"/>
      <c r="W195" s="2072"/>
      <c r="X195" s="470"/>
      <c r="Y195" s="470"/>
      <c r="Z195" s="471"/>
      <c r="AA195" s="471"/>
      <c r="AB195" s="466"/>
    </row>
    <row r="196" spans="1:32" s="597" customFormat="1" x14ac:dyDescent="0.2">
      <c r="A196" s="2070"/>
      <c r="B196" s="177"/>
      <c r="C196" s="177"/>
      <c r="D196" s="2070"/>
      <c r="E196" s="2070"/>
      <c r="F196" s="2070"/>
      <c r="G196" s="2070"/>
      <c r="H196" s="2076"/>
      <c r="I196" s="2072"/>
      <c r="J196" s="178"/>
      <c r="K196" s="2072"/>
      <c r="L196" s="2070"/>
      <c r="M196" s="2070"/>
      <c r="N196" s="2070"/>
      <c r="O196" s="2070"/>
      <c r="P196" s="2076"/>
      <c r="Q196" s="2071"/>
      <c r="R196" s="437"/>
      <c r="S196" s="2072"/>
      <c r="T196" s="179"/>
      <c r="U196" s="178"/>
      <c r="V196" s="2072"/>
      <c r="W196" s="2072"/>
      <c r="X196" s="470"/>
      <c r="Y196" s="470"/>
      <c r="Z196" s="471"/>
      <c r="AA196" s="471"/>
      <c r="AB196" s="466"/>
    </row>
    <row r="197" spans="1:32" s="597" customFormat="1" x14ac:dyDescent="0.2">
      <c r="A197" s="2070"/>
      <c r="B197" s="177"/>
      <c r="C197" s="177"/>
      <c r="D197" s="2070"/>
      <c r="E197" s="2070"/>
      <c r="F197" s="2070"/>
      <c r="G197" s="2070"/>
      <c r="H197" s="2076"/>
      <c r="I197" s="2072"/>
      <c r="J197" s="178"/>
      <c r="K197" s="2072"/>
      <c r="L197" s="2070"/>
      <c r="M197" s="2070"/>
      <c r="N197" s="2070"/>
      <c r="O197" s="2070"/>
      <c r="P197" s="2076"/>
      <c r="Q197" s="2071"/>
      <c r="R197" s="437"/>
      <c r="S197" s="2072"/>
      <c r="T197" s="179"/>
      <c r="U197" s="178"/>
      <c r="V197" s="2072"/>
      <c r="W197" s="2072"/>
      <c r="X197" s="470"/>
      <c r="Y197" s="470"/>
      <c r="Z197" s="471"/>
      <c r="AA197" s="471"/>
      <c r="AB197" s="466"/>
    </row>
    <row r="198" spans="1:32" s="597" customFormat="1" x14ac:dyDescent="0.2">
      <c r="A198" s="2070"/>
      <c r="B198" s="177"/>
      <c r="C198" s="177"/>
      <c r="D198" s="2070"/>
      <c r="E198" s="2070"/>
      <c r="F198" s="2070"/>
      <c r="G198" s="2070"/>
      <c r="H198" s="2076"/>
      <c r="I198" s="2072"/>
      <c r="J198" s="178"/>
      <c r="K198" s="2072"/>
      <c r="L198" s="2070"/>
      <c r="M198" s="2070"/>
      <c r="N198" s="2070"/>
      <c r="O198" s="2070"/>
      <c r="P198" s="2076"/>
      <c r="Q198" s="2071"/>
      <c r="R198" s="437"/>
      <c r="S198" s="2072"/>
      <c r="T198" s="179"/>
      <c r="U198" s="178"/>
      <c r="V198" s="2072"/>
      <c r="W198" s="2072"/>
      <c r="X198" s="470"/>
      <c r="Y198" s="470"/>
      <c r="Z198" s="471"/>
      <c r="AA198" s="471"/>
      <c r="AB198" s="466"/>
    </row>
    <row r="199" spans="1:32" s="597" customFormat="1" x14ac:dyDescent="0.2">
      <c r="A199" s="2070"/>
      <c r="B199" s="177"/>
      <c r="C199" s="177"/>
      <c r="D199" s="2070"/>
      <c r="E199" s="2070"/>
      <c r="F199" s="2070"/>
      <c r="G199" s="2070"/>
      <c r="H199" s="2076"/>
      <c r="I199" s="2072"/>
      <c r="J199" s="178"/>
      <c r="K199" s="2072"/>
      <c r="L199" s="2070"/>
      <c r="M199" s="2070"/>
      <c r="N199" s="2070"/>
      <c r="O199" s="2070"/>
      <c r="P199" s="2076"/>
      <c r="Q199" s="2071"/>
      <c r="R199" s="437"/>
      <c r="S199" s="2072"/>
      <c r="T199" s="179"/>
      <c r="U199" s="178"/>
      <c r="V199" s="2072"/>
      <c r="W199" s="2072"/>
      <c r="X199" s="470"/>
      <c r="Y199" s="470"/>
      <c r="Z199" s="471"/>
      <c r="AA199" s="471"/>
      <c r="AB199" s="466"/>
    </row>
    <row r="200" spans="1:32" s="597" customFormat="1" x14ac:dyDescent="0.2">
      <c r="A200" s="2070"/>
      <c r="B200" s="177"/>
      <c r="C200" s="177"/>
      <c r="D200" s="2070"/>
      <c r="E200" s="2070"/>
      <c r="F200" s="2070"/>
      <c r="G200" s="2070"/>
      <c r="H200" s="2076"/>
      <c r="I200" s="2072"/>
      <c r="J200" s="178"/>
      <c r="K200" s="2072"/>
      <c r="L200" s="2070"/>
      <c r="M200" s="2070"/>
      <c r="N200" s="2070"/>
      <c r="O200" s="2070"/>
      <c r="P200" s="2076"/>
      <c r="Q200" s="2071"/>
      <c r="R200" s="437"/>
      <c r="S200" s="2072"/>
      <c r="T200" s="179"/>
      <c r="U200" s="178"/>
      <c r="V200" s="2072"/>
      <c r="W200" s="2072"/>
      <c r="X200" s="470"/>
      <c r="Y200" s="470"/>
      <c r="Z200" s="471"/>
      <c r="AA200" s="471"/>
      <c r="AB200" s="466"/>
    </row>
    <row r="201" spans="1:32" s="597" customFormat="1" x14ac:dyDescent="0.2">
      <c r="A201" s="2070"/>
      <c r="B201" s="177"/>
      <c r="C201" s="177"/>
      <c r="D201" s="2070"/>
      <c r="E201" s="2070"/>
      <c r="F201" s="2070"/>
      <c r="G201" s="2070"/>
      <c r="H201" s="2076"/>
      <c r="I201" s="2072"/>
      <c r="J201" s="178"/>
      <c r="K201" s="2072"/>
      <c r="L201" s="2070"/>
      <c r="M201" s="2070"/>
      <c r="N201" s="2070"/>
      <c r="O201" s="2070"/>
      <c r="P201" s="2076"/>
      <c r="Q201" s="2071"/>
      <c r="R201" s="437"/>
      <c r="S201" s="2072"/>
      <c r="T201" s="179"/>
      <c r="U201" s="178"/>
      <c r="V201" s="2072"/>
      <c r="W201" s="2072"/>
      <c r="X201" s="470"/>
      <c r="Y201" s="470"/>
      <c r="Z201" s="471"/>
      <c r="AA201" s="471"/>
      <c r="AB201" s="466"/>
    </row>
    <row r="202" spans="1:32" s="597" customFormat="1" x14ac:dyDescent="0.2">
      <c r="A202" s="1850"/>
      <c r="B202" s="1850"/>
      <c r="C202" s="1850"/>
      <c r="D202" s="1850"/>
      <c r="E202" s="1850"/>
      <c r="F202" s="1850"/>
      <c r="G202" s="1850"/>
      <c r="H202" s="1851"/>
      <c r="I202" s="1852"/>
      <c r="J202" s="1853"/>
      <c r="K202" s="1852"/>
      <c r="L202" s="1852"/>
      <c r="M202" s="1852"/>
      <c r="N202" s="1852"/>
      <c r="O202" s="1852"/>
      <c r="P202" s="1852"/>
      <c r="Q202" s="1852"/>
      <c r="R202" s="1854"/>
      <c r="S202" s="1852"/>
      <c r="T202" s="1855"/>
      <c r="U202" s="1853"/>
      <c r="V202" s="1852"/>
      <c r="W202" s="1852"/>
      <c r="X202" s="1856"/>
      <c r="Y202" s="1856"/>
      <c r="Z202" s="1857"/>
      <c r="AA202" s="1857"/>
      <c r="AB202" s="1847">
        <f>SUM(AB185:AB201)</f>
        <v>11992.23</v>
      </c>
    </row>
    <row r="203" spans="1:32" s="597" customFormat="1" x14ac:dyDescent="0.2">
      <c r="A203" s="2737" t="s">
        <v>76</v>
      </c>
      <c r="B203" s="2737"/>
      <c r="C203" s="2738" t="s">
        <v>77</v>
      </c>
      <c r="D203" s="2738"/>
      <c r="E203" s="2738"/>
      <c r="F203" s="2738"/>
      <c r="G203" s="2738"/>
      <c r="H203" s="2738"/>
      <c r="I203" s="457" t="s">
        <v>78</v>
      </c>
      <c r="J203" s="457"/>
      <c r="K203" s="457"/>
      <c r="L203" s="457"/>
      <c r="M203" s="457"/>
      <c r="N203" s="457"/>
      <c r="O203" s="457"/>
      <c r="P203" s="457"/>
      <c r="Q203" s="457"/>
      <c r="R203" s="457"/>
      <c r="S203" s="457"/>
      <c r="T203" s="457"/>
      <c r="U203" s="478"/>
      <c r="V203" s="457"/>
      <c r="W203" s="457"/>
      <c r="X203" s="457"/>
      <c r="Y203" s="457"/>
      <c r="Z203" s="457"/>
      <c r="AA203" s="457"/>
      <c r="AB203" s="478"/>
    </row>
    <row r="204" spans="1:32" s="597" customFormat="1" x14ac:dyDescent="0.2">
      <c r="A204" s="457"/>
      <c r="B204" s="479"/>
      <c r="C204" s="457"/>
      <c r="D204" s="457"/>
      <c r="E204" s="457"/>
      <c r="F204" s="457"/>
      <c r="G204" s="457"/>
      <c r="H204" s="457"/>
      <c r="I204" s="457" t="s">
        <v>79</v>
      </c>
      <c r="J204" s="457"/>
      <c r="K204" s="457"/>
      <c r="L204" s="457"/>
      <c r="M204" s="457"/>
      <c r="N204" s="457"/>
      <c r="O204" s="457"/>
      <c r="P204" s="457"/>
      <c r="Q204" s="457"/>
      <c r="R204" s="457"/>
      <c r="S204" s="457"/>
      <c r="T204" s="457"/>
      <c r="U204" s="478"/>
      <c r="V204" s="457"/>
      <c r="W204" s="457"/>
      <c r="X204" s="457"/>
      <c r="Y204" s="457"/>
      <c r="Z204" s="457"/>
      <c r="AA204" s="457"/>
      <c r="AB204" s="478"/>
    </row>
    <row r="205" spans="1:32" s="597" customFormat="1" x14ac:dyDescent="0.2">
      <c r="A205" s="457"/>
      <c r="B205" s="479"/>
      <c r="C205" s="457"/>
      <c r="D205" s="457"/>
      <c r="E205" s="457"/>
      <c r="F205" s="457"/>
      <c r="G205" s="457"/>
      <c r="H205" s="457"/>
      <c r="I205" s="457" t="s">
        <v>80</v>
      </c>
      <c r="J205" s="457"/>
      <c r="K205" s="457"/>
      <c r="L205" s="457"/>
      <c r="M205" s="457"/>
      <c r="N205" s="457"/>
      <c r="O205" s="457"/>
      <c r="P205" s="457"/>
      <c r="Q205" s="457"/>
      <c r="R205" s="457"/>
      <c r="S205" s="457"/>
      <c r="T205" s="457"/>
      <c r="U205" s="478"/>
      <c r="V205" s="457"/>
      <c r="W205" s="457"/>
      <c r="X205" s="457"/>
      <c r="Y205" s="457"/>
      <c r="Z205" s="457"/>
      <c r="AA205" s="457"/>
      <c r="AB205" s="478"/>
    </row>
    <row r="206" spans="1:32" s="597" customFormat="1" x14ac:dyDescent="0.2">
      <c r="A206" s="457"/>
      <c r="B206" s="479"/>
      <c r="C206" s="457"/>
      <c r="D206" s="457"/>
      <c r="E206" s="457"/>
      <c r="F206" s="457"/>
      <c r="G206" s="457"/>
      <c r="H206" s="457"/>
      <c r="I206" s="457" t="s">
        <v>81</v>
      </c>
      <c r="J206" s="457"/>
      <c r="K206" s="457"/>
      <c r="L206" s="457"/>
      <c r="M206" s="457"/>
      <c r="N206" s="457"/>
      <c r="O206" s="457"/>
      <c r="P206" s="457"/>
      <c r="Q206" s="457"/>
      <c r="R206" s="457"/>
      <c r="S206" s="457"/>
      <c r="T206" s="457"/>
      <c r="U206" s="478"/>
      <c r="V206" s="457"/>
      <c r="W206" s="457"/>
      <c r="X206" s="457"/>
      <c r="Y206" s="457"/>
      <c r="Z206" s="457"/>
      <c r="AA206" s="457"/>
      <c r="AB206" s="478"/>
    </row>
    <row r="207" spans="1:32" s="597" customFormat="1" x14ac:dyDescent="0.2">
      <c r="A207" s="457"/>
      <c r="B207" s="479"/>
      <c r="C207" s="457"/>
      <c r="D207" s="457"/>
      <c r="E207" s="457"/>
      <c r="F207" s="457"/>
      <c r="G207" s="457"/>
      <c r="H207" s="457"/>
      <c r="I207" s="457" t="s">
        <v>88</v>
      </c>
      <c r="J207" s="457"/>
      <c r="K207" s="457"/>
      <c r="L207" s="457"/>
      <c r="M207" s="457"/>
      <c r="N207" s="457"/>
      <c r="O207" s="457"/>
      <c r="P207" s="457"/>
      <c r="Q207" s="457"/>
      <c r="R207" s="457"/>
      <c r="S207" s="457"/>
      <c r="T207" s="457"/>
      <c r="U207" s="478"/>
      <c r="V207" s="457"/>
      <c r="W207" s="457"/>
      <c r="X207" s="457"/>
      <c r="Y207" s="457"/>
      <c r="Z207" s="457"/>
      <c r="AA207" s="457"/>
      <c r="AB207" s="478"/>
    </row>
    <row r="208" spans="1:32" s="597" customFormat="1" ht="18" customHeight="1" x14ac:dyDescent="0.2">
      <c r="A208" s="339"/>
      <c r="B208" s="339"/>
      <c r="C208" s="339"/>
      <c r="D208" s="339"/>
      <c r="E208" s="339"/>
      <c r="F208" s="339"/>
      <c r="G208" s="339"/>
      <c r="H208" s="339"/>
      <c r="I208" s="339"/>
      <c r="J208" s="339"/>
      <c r="K208" s="339"/>
      <c r="L208" s="339"/>
      <c r="M208" s="339"/>
      <c r="N208" s="339"/>
      <c r="O208" s="339"/>
      <c r="P208" s="339"/>
      <c r="Q208" s="339"/>
      <c r="R208" s="339"/>
      <c r="S208" s="339"/>
      <c r="T208" s="339"/>
      <c r="U208" s="339"/>
      <c r="V208" s="339"/>
      <c r="W208" s="339"/>
      <c r="X208" s="339"/>
      <c r="Y208" s="339"/>
      <c r="Z208" s="339"/>
      <c r="AA208" s="2702" t="s">
        <v>0</v>
      </c>
      <c r="AB208" s="2702"/>
      <c r="AC208" s="339"/>
      <c r="AD208" s="339"/>
      <c r="AE208" s="339"/>
      <c r="AF208" s="339"/>
    </row>
    <row r="209" spans="1:32" s="597" customFormat="1" ht="18" customHeight="1" x14ac:dyDescent="0.2">
      <c r="A209" s="2703" t="s">
        <v>1</v>
      </c>
      <c r="B209" s="2703"/>
      <c r="C209" s="2703"/>
      <c r="D209" s="2703"/>
      <c r="E209" s="2703"/>
      <c r="F209" s="2703"/>
      <c r="G209" s="2703"/>
      <c r="H209" s="2703"/>
      <c r="I209" s="2703"/>
      <c r="J209" s="2703"/>
      <c r="K209" s="2703"/>
      <c r="L209" s="2703"/>
      <c r="M209" s="2703"/>
      <c r="N209" s="2703"/>
      <c r="O209" s="2703"/>
      <c r="P209" s="2703"/>
      <c r="Q209" s="2703"/>
      <c r="R209" s="2703"/>
      <c r="S209" s="2703"/>
      <c r="T209" s="2703"/>
      <c r="U209" s="2703"/>
      <c r="V209" s="2703"/>
      <c r="W209" s="2703"/>
      <c r="X209" s="2703"/>
      <c r="Y209" s="2703"/>
      <c r="Z209" s="2703"/>
      <c r="AA209" s="2703"/>
      <c r="AB209" s="2703"/>
      <c r="AC209" s="344"/>
      <c r="AD209" s="344"/>
      <c r="AE209" s="344"/>
      <c r="AF209" s="344"/>
    </row>
    <row r="210" spans="1:32" s="597" customFormat="1" ht="18" customHeight="1" x14ac:dyDescent="0.2">
      <c r="A210" s="2704" t="s">
        <v>547</v>
      </c>
      <c r="B210" s="2704"/>
      <c r="C210" s="2704"/>
      <c r="D210" s="2704"/>
      <c r="E210" s="2704"/>
      <c r="F210" s="2704"/>
      <c r="G210" s="2704"/>
      <c r="H210" s="2704"/>
      <c r="I210" s="2704"/>
      <c r="J210" s="2704"/>
      <c r="K210" s="2704"/>
      <c r="L210" s="2704"/>
      <c r="M210" s="2704"/>
      <c r="N210" s="2704"/>
      <c r="O210" s="2704"/>
      <c r="P210" s="2704"/>
      <c r="Q210" s="2704"/>
      <c r="R210" s="2704"/>
      <c r="S210" s="2704"/>
      <c r="T210" s="2704"/>
      <c r="U210" s="2704"/>
      <c r="V210" s="2704"/>
      <c r="W210" s="2704"/>
      <c r="X210" s="2704"/>
      <c r="Y210" s="2704"/>
      <c r="Z210" s="2704"/>
      <c r="AA210" s="2704"/>
      <c r="AB210" s="2704"/>
      <c r="AC210" s="599"/>
      <c r="AD210" s="599"/>
      <c r="AE210" s="599"/>
      <c r="AF210" s="599"/>
    </row>
    <row r="211" spans="1:32" s="597" customFormat="1" ht="14.1" customHeight="1" x14ac:dyDescent="0.2">
      <c r="A211" s="2686" t="s">
        <v>2</v>
      </c>
      <c r="B211" s="360"/>
      <c r="C211" s="2686" t="s">
        <v>3</v>
      </c>
      <c r="D211" s="360"/>
      <c r="E211" s="360"/>
      <c r="F211" s="2693" t="s">
        <v>4</v>
      </c>
      <c r="G211" s="2693"/>
      <c r="H211" s="2693"/>
      <c r="I211" s="2694"/>
      <c r="J211" s="2694"/>
      <c r="K211" s="2695"/>
      <c r="L211" s="361"/>
      <c r="M211" s="2679" t="s">
        <v>5</v>
      </c>
      <c r="N211" s="2679"/>
      <c r="O211" s="2679"/>
      <c r="P211" s="2679"/>
      <c r="Q211" s="2696"/>
      <c r="R211" s="2696"/>
      <c r="S211" s="2696"/>
      <c r="T211" s="2696"/>
      <c r="U211" s="2696"/>
      <c r="V211" s="2697"/>
      <c r="W211" s="362" t="s">
        <v>6</v>
      </c>
      <c r="X211" s="363" t="s">
        <v>7</v>
      </c>
      <c r="Y211" s="364"/>
      <c r="Z211" s="364"/>
      <c r="AA211" s="363"/>
      <c r="AB211" s="365"/>
      <c r="AC211" s="516" t="s">
        <v>8</v>
      </c>
      <c r="AD211" s="346"/>
      <c r="AE211" s="346"/>
      <c r="AF211" s="600"/>
    </row>
    <row r="212" spans="1:32" s="597" customFormat="1" ht="14.1" customHeight="1" x14ac:dyDescent="0.2">
      <c r="A212" s="2687"/>
      <c r="B212" s="367"/>
      <c r="C212" s="2687"/>
      <c r="D212" s="2062" t="s">
        <v>9</v>
      </c>
      <c r="E212" s="368" t="s">
        <v>10</v>
      </c>
      <c r="F212" s="2698" t="s">
        <v>11</v>
      </c>
      <c r="G212" s="2694"/>
      <c r="H212" s="2695"/>
      <c r="I212" s="360"/>
      <c r="J212" s="369" t="s">
        <v>12</v>
      </c>
      <c r="K212" s="360"/>
      <c r="L212" s="2679" t="s">
        <v>2</v>
      </c>
      <c r="M212" s="2067"/>
      <c r="N212" s="2067"/>
      <c r="O212" s="2067"/>
      <c r="P212" s="371"/>
      <c r="Q212" s="372" t="s">
        <v>13</v>
      </c>
      <c r="R212" s="373" t="s">
        <v>12</v>
      </c>
      <c r="S212" s="2067" t="s">
        <v>6</v>
      </c>
      <c r="T212" s="2682" t="s">
        <v>14</v>
      </c>
      <c r="U212" s="2683"/>
      <c r="V212" s="375" t="s">
        <v>7</v>
      </c>
      <c r="W212" s="376" t="s">
        <v>15</v>
      </c>
      <c r="X212" s="377" t="s">
        <v>16</v>
      </c>
      <c r="Y212" s="377" t="s">
        <v>17</v>
      </c>
      <c r="Z212" s="377" t="s">
        <v>18</v>
      </c>
      <c r="AA212" s="377"/>
      <c r="AB212" s="378" t="s">
        <v>19</v>
      </c>
      <c r="AC212" s="528" t="s">
        <v>20</v>
      </c>
      <c r="AD212" s="601"/>
      <c r="AE212" s="347" t="s">
        <v>21</v>
      </c>
      <c r="AF212" s="340" t="s">
        <v>22</v>
      </c>
    </row>
    <row r="213" spans="1:32" s="597" customFormat="1" ht="14.1" customHeight="1" x14ac:dyDescent="0.2">
      <c r="A213" s="2687"/>
      <c r="B213" s="2062" t="s">
        <v>23</v>
      </c>
      <c r="C213" s="2687"/>
      <c r="D213" s="2062" t="s">
        <v>24</v>
      </c>
      <c r="E213" s="368" t="s">
        <v>25</v>
      </c>
      <c r="F213" s="2699"/>
      <c r="G213" s="2700"/>
      <c r="H213" s="2701"/>
      <c r="I213" s="2062" t="s">
        <v>26</v>
      </c>
      <c r="J213" s="379" t="s">
        <v>15</v>
      </c>
      <c r="K213" s="2066" t="s">
        <v>6</v>
      </c>
      <c r="L213" s="2680"/>
      <c r="M213" s="2068" t="s">
        <v>27</v>
      </c>
      <c r="N213" s="2068" t="s">
        <v>10</v>
      </c>
      <c r="O213" s="382" t="s">
        <v>10</v>
      </c>
      <c r="P213" s="383" t="s">
        <v>28</v>
      </c>
      <c r="Q213" s="384" t="s">
        <v>29</v>
      </c>
      <c r="R213" s="383" t="s">
        <v>15</v>
      </c>
      <c r="S213" s="385" t="s">
        <v>15</v>
      </c>
      <c r="T213" s="2684"/>
      <c r="U213" s="2685"/>
      <c r="V213" s="375" t="s">
        <v>30</v>
      </c>
      <c r="W213" s="376" t="s">
        <v>31</v>
      </c>
      <c r="X213" s="377" t="s">
        <v>30</v>
      </c>
      <c r="Y213" s="377" t="s">
        <v>32</v>
      </c>
      <c r="Z213" s="377" t="s">
        <v>7</v>
      </c>
      <c r="AA213" s="377" t="s">
        <v>33</v>
      </c>
      <c r="AB213" s="378" t="s">
        <v>34</v>
      </c>
      <c r="AC213" s="528" t="s">
        <v>35</v>
      </c>
      <c r="AD213" s="347" t="s">
        <v>36</v>
      </c>
      <c r="AE213" s="347" t="s">
        <v>37</v>
      </c>
      <c r="AF213" s="340" t="s">
        <v>38</v>
      </c>
    </row>
    <row r="214" spans="1:32" s="597" customFormat="1" ht="14.1" customHeight="1" x14ac:dyDescent="0.2">
      <c r="A214" s="2687"/>
      <c r="B214" s="2062" t="s">
        <v>39</v>
      </c>
      <c r="C214" s="2687"/>
      <c r="D214" s="2062" t="s">
        <v>40</v>
      </c>
      <c r="E214" s="368" t="s">
        <v>41</v>
      </c>
      <c r="F214" s="2686" t="s">
        <v>42</v>
      </c>
      <c r="G214" s="2686" t="s">
        <v>43</v>
      </c>
      <c r="H214" s="2688" t="s">
        <v>44</v>
      </c>
      <c r="I214" s="2062" t="s">
        <v>45</v>
      </c>
      <c r="J214" s="379" t="s">
        <v>46</v>
      </c>
      <c r="K214" s="2066" t="s">
        <v>47</v>
      </c>
      <c r="L214" s="2680"/>
      <c r="M214" s="2068" t="s">
        <v>30</v>
      </c>
      <c r="N214" s="2068" t="s">
        <v>30</v>
      </c>
      <c r="O214" s="382" t="s">
        <v>25</v>
      </c>
      <c r="P214" s="383" t="s">
        <v>30</v>
      </c>
      <c r="Q214" s="384" t="s">
        <v>48</v>
      </c>
      <c r="R214" s="383" t="s">
        <v>49</v>
      </c>
      <c r="S214" s="385" t="s">
        <v>30</v>
      </c>
      <c r="T214" s="386" t="s">
        <v>50</v>
      </c>
      <c r="U214" s="2065" t="s">
        <v>13</v>
      </c>
      <c r="V214" s="375" t="s">
        <v>51</v>
      </c>
      <c r="W214" s="376" t="s">
        <v>52</v>
      </c>
      <c r="X214" s="377" t="s">
        <v>53</v>
      </c>
      <c r="Y214" s="377" t="s">
        <v>54</v>
      </c>
      <c r="Z214" s="377" t="s">
        <v>55</v>
      </c>
      <c r="AA214" s="377" t="s">
        <v>56</v>
      </c>
      <c r="AB214" s="378" t="s">
        <v>57</v>
      </c>
      <c r="AC214" s="347" t="s">
        <v>58</v>
      </c>
      <c r="AD214" s="347" t="s">
        <v>59</v>
      </c>
      <c r="AE214" s="347" t="s">
        <v>59</v>
      </c>
      <c r="AF214" s="340" t="s">
        <v>60</v>
      </c>
    </row>
    <row r="215" spans="1:32" s="597" customFormat="1" ht="14.1" customHeight="1" x14ac:dyDescent="0.2">
      <c r="A215" s="2687"/>
      <c r="B215" s="2062" t="s">
        <v>61</v>
      </c>
      <c r="C215" s="2687"/>
      <c r="D215" s="2062" t="s">
        <v>62</v>
      </c>
      <c r="E215" s="368" t="s">
        <v>63</v>
      </c>
      <c r="F215" s="2687"/>
      <c r="G215" s="2687"/>
      <c r="H215" s="2689"/>
      <c r="I215" s="2062" t="s">
        <v>64</v>
      </c>
      <c r="J215" s="379" t="s">
        <v>59</v>
      </c>
      <c r="K215" s="2066" t="s">
        <v>59</v>
      </c>
      <c r="L215" s="2680"/>
      <c r="M215" s="2068"/>
      <c r="N215" s="2068"/>
      <c r="O215" s="382" t="s">
        <v>41</v>
      </c>
      <c r="P215" s="383" t="s">
        <v>65</v>
      </c>
      <c r="Q215" s="384" t="s">
        <v>66</v>
      </c>
      <c r="R215" s="383" t="s">
        <v>67</v>
      </c>
      <c r="S215" s="385" t="s">
        <v>59</v>
      </c>
      <c r="T215" s="387" t="s">
        <v>68</v>
      </c>
      <c r="U215" s="375" t="s">
        <v>14</v>
      </c>
      <c r="V215" s="375" t="s">
        <v>14</v>
      </c>
      <c r="W215" s="376" t="s">
        <v>30</v>
      </c>
      <c r="X215" s="388" t="s">
        <v>69</v>
      </c>
      <c r="Y215" s="388" t="s">
        <v>70</v>
      </c>
      <c r="Z215" s="377" t="s">
        <v>71</v>
      </c>
      <c r="AA215" s="377" t="s">
        <v>72</v>
      </c>
      <c r="AB215" s="378" t="s">
        <v>59</v>
      </c>
      <c r="AC215" s="347" t="s">
        <v>59</v>
      </c>
      <c r="AD215" s="347"/>
      <c r="AE215" s="347"/>
      <c r="AF215" s="340" t="s">
        <v>59</v>
      </c>
    </row>
    <row r="216" spans="1:32" s="597" customFormat="1" ht="14.1" customHeight="1" x14ac:dyDescent="0.2">
      <c r="A216" s="2692"/>
      <c r="B216" s="390"/>
      <c r="C216" s="2692"/>
      <c r="D216" s="390"/>
      <c r="E216" s="2063"/>
      <c r="F216" s="390"/>
      <c r="G216" s="390"/>
      <c r="H216" s="391"/>
      <c r="I216" s="2063"/>
      <c r="J216" s="392"/>
      <c r="K216" s="393"/>
      <c r="L216" s="2681"/>
      <c r="M216" s="2069"/>
      <c r="N216" s="2069"/>
      <c r="O216" s="2069" t="s">
        <v>63</v>
      </c>
      <c r="P216" s="395"/>
      <c r="Q216" s="396" t="s">
        <v>72</v>
      </c>
      <c r="R216" s="397" t="s">
        <v>59</v>
      </c>
      <c r="S216" s="398"/>
      <c r="T216" s="397" t="s">
        <v>73</v>
      </c>
      <c r="U216" s="398" t="s">
        <v>59</v>
      </c>
      <c r="V216" s="399" t="s">
        <v>59</v>
      </c>
      <c r="W216" s="400" t="s">
        <v>59</v>
      </c>
      <c r="X216" s="401" t="s">
        <v>59</v>
      </c>
      <c r="Y216" s="401" t="s">
        <v>59</v>
      </c>
      <c r="Z216" s="401" t="s">
        <v>59</v>
      </c>
      <c r="AA216" s="402"/>
      <c r="AB216" s="403"/>
      <c r="AC216" s="348"/>
      <c r="AD216" s="348"/>
      <c r="AE216" s="348"/>
      <c r="AF216" s="341"/>
    </row>
    <row r="217" spans="1:32" s="597" customFormat="1" ht="18" customHeight="1" x14ac:dyDescent="0.25">
      <c r="A217" s="53">
        <v>1</v>
      </c>
      <c r="B217" s="333">
        <v>50979</v>
      </c>
      <c r="C217" s="41">
        <v>857</v>
      </c>
      <c r="D217" s="41" t="s">
        <v>83</v>
      </c>
      <c r="E217" s="15">
        <v>2</v>
      </c>
      <c r="F217" s="41">
        <v>0</v>
      </c>
      <c r="G217" s="41">
        <v>1</v>
      </c>
      <c r="H217" s="267">
        <v>95</v>
      </c>
      <c r="I217" s="18">
        <f>F217*400+G217*100+H217</f>
        <v>195</v>
      </c>
      <c r="J217" s="258">
        <v>1000</v>
      </c>
      <c r="K217" s="39">
        <f>SUM(I217*J217)</f>
        <v>195000</v>
      </c>
      <c r="L217" s="45">
        <v>1</v>
      </c>
      <c r="M217" s="82">
        <v>103</v>
      </c>
      <c r="N217" s="41" t="s">
        <v>74</v>
      </c>
      <c r="O217" s="16">
        <v>2</v>
      </c>
      <c r="P217" s="259">
        <v>84.77</v>
      </c>
      <c r="Q217" s="62" t="s">
        <v>75</v>
      </c>
      <c r="R217" s="260">
        <v>9050</v>
      </c>
      <c r="S217" s="18">
        <f>P217*R217</f>
        <v>767168.5</v>
      </c>
      <c r="T217" s="259">
        <v>4</v>
      </c>
      <c r="U217" s="47">
        <f>+S217*4/100</f>
        <v>30686.74</v>
      </c>
      <c r="V217" s="47">
        <f>SUM(S217-U217)</f>
        <v>736481.76</v>
      </c>
      <c r="W217" s="18">
        <f>K217+V217</f>
        <v>931481.76</v>
      </c>
      <c r="X217" s="47">
        <f>+W217</f>
        <v>931481.76</v>
      </c>
      <c r="Y217" s="18">
        <v>0</v>
      </c>
      <c r="Z217" s="18">
        <f>+X217</f>
        <v>931481.76</v>
      </c>
      <c r="AA217" s="264">
        <v>0.02</v>
      </c>
      <c r="AB217" s="406">
        <f>+Z217*AA217/100</f>
        <v>186.29635200000001</v>
      </c>
      <c r="AC217" s="602"/>
      <c r="AD217" s="603">
        <f>AB217-AC217</f>
        <v>186.29635200000001</v>
      </c>
      <c r="AE217" s="603">
        <f>IF(AD217&lt;=0,0,AD217*25/100)</f>
        <v>46.574088000000003</v>
      </c>
      <c r="AF217" s="603">
        <f>IF(AC217+AE217&gt;AB217,AB217,AC217+AE217)</f>
        <v>46.574088000000003</v>
      </c>
    </row>
    <row r="218" spans="1:32" s="597" customFormat="1" ht="18" customHeight="1" x14ac:dyDescent="0.25">
      <c r="A218" s="242"/>
      <c r="B218" s="269"/>
      <c r="C218" s="285"/>
      <c r="D218" s="273"/>
      <c r="E218" s="273"/>
      <c r="F218" s="268"/>
      <c r="G218" s="269"/>
      <c r="H218" s="266"/>
      <c r="I218" s="18"/>
      <c r="J218" s="261"/>
      <c r="K218" s="262"/>
      <c r="L218" s="45">
        <v>2</v>
      </c>
      <c r="M218" s="2070">
        <v>103</v>
      </c>
      <c r="N218" s="15" t="s">
        <v>74</v>
      </c>
      <c r="O218" s="50">
        <v>2</v>
      </c>
      <c r="P218" s="27">
        <v>78.715000000000003</v>
      </c>
      <c r="Q218" s="62" t="s">
        <v>75</v>
      </c>
      <c r="R218" s="260">
        <v>9050</v>
      </c>
      <c r="S218" s="18">
        <f>P218*R218</f>
        <v>712370.75</v>
      </c>
      <c r="T218" s="15">
        <v>4</v>
      </c>
      <c r="U218" s="47">
        <f>+S218*4/100</f>
        <v>28494.83</v>
      </c>
      <c r="V218" s="47">
        <f>SUM(S218-U218)</f>
        <v>683875.92</v>
      </c>
      <c r="W218" s="18">
        <f>K218+V218</f>
        <v>683875.92</v>
      </c>
      <c r="X218" s="47">
        <f>+W218</f>
        <v>683875.92</v>
      </c>
      <c r="Y218" s="18">
        <v>0</v>
      </c>
      <c r="Z218" s="18">
        <f>+X218</f>
        <v>683875.92</v>
      </c>
      <c r="AA218" s="264">
        <v>0.02</v>
      </c>
      <c r="AB218" s="410">
        <f>+Z218*AA218/100</f>
        <v>136.775184</v>
      </c>
      <c r="AC218" s="602"/>
      <c r="AD218" s="603">
        <f>AB218-AC218</f>
        <v>136.775184</v>
      </c>
      <c r="AE218" s="603">
        <f>IF(AD218&lt;=0,0,AD218*25/100)</f>
        <v>34.193795999999999</v>
      </c>
      <c r="AF218" s="603">
        <f>IF(AC218+AE218&gt;AB218,AB218,AC218+AE218)</f>
        <v>34.193795999999999</v>
      </c>
    </row>
    <row r="219" spans="1:32" s="597" customFormat="1" ht="18" customHeight="1" x14ac:dyDescent="0.2">
      <c r="A219" s="2070"/>
      <c r="B219" s="177"/>
      <c r="C219" s="177"/>
      <c r="D219" s="2070"/>
      <c r="E219" s="2070"/>
      <c r="F219" s="2070"/>
      <c r="G219" s="2070"/>
      <c r="H219" s="2076"/>
      <c r="I219" s="2072"/>
      <c r="J219" s="178"/>
      <c r="K219" s="2072"/>
      <c r="L219" s="2070"/>
      <c r="M219" s="2070"/>
      <c r="N219" s="2070"/>
      <c r="O219" s="2070"/>
      <c r="P219" s="2076"/>
      <c r="Q219" s="2071"/>
      <c r="R219" s="437"/>
      <c r="S219" s="2072"/>
      <c r="T219" s="179"/>
      <c r="U219" s="178"/>
      <c r="V219" s="2072"/>
      <c r="W219" s="2072"/>
      <c r="X219" s="470"/>
      <c r="Y219" s="470"/>
      <c r="Z219" s="471"/>
      <c r="AA219" s="764"/>
      <c r="AB219" s="466"/>
      <c r="AC219" s="350"/>
      <c r="AD219" s="350"/>
      <c r="AE219" s="350"/>
      <c r="AF219" s="350"/>
    </row>
    <row r="220" spans="1:32" s="597" customFormat="1" ht="18" customHeight="1" x14ac:dyDescent="0.2">
      <c r="A220" s="2070"/>
      <c r="B220" s="177"/>
      <c r="C220" s="177"/>
      <c r="D220" s="2070"/>
      <c r="E220" s="2070"/>
      <c r="F220" s="2070"/>
      <c r="G220" s="2070"/>
      <c r="H220" s="2076"/>
      <c r="I220" s="2072"/>
      <c r="J220" s="178"/>
      <c r="K220" s="2072"/>
      <c r="L220" s="2070"/>
      <c r="M220" s="2070"/>
      <c r="N220" s="2070"/>
      <c r="O220" s="2070"/>
      <c r="P220" s="2076"/>
      <c r="Q220" s="2071"/>
      <c r="R220" s="437"/>
      <c r="S220" s="2072"/>
      <c r="T220" s="179"/>
      <c r="U220" s="178"/>
      <c r="V220" s="2072"/>
      <c r="W220" s="2072"/>
      <c r="X220" s="470"/>
      <c r="Y220" s="470"/>
      <c r="Z220" s="471"/>
      <c r="AA220" s="764"/>
      <c r="AB220" s="466"/>
      <c r="AC220" s="350"/>
      <c r="AD220" s="350"/>
      <c r="AE220" s="350"/>
      <c r="AF220" s="350"/>
    </row>
    <row r="221" spans="1:32" s="597" customFormat="1" ht="18" customHeight="1" x14ac:dyDescent="0.2">
      <c r="A221" s="2070"/>
      <c r="B221" s="177"/>
      <c r="C221" s="177"/>
      <c r="D221" s="2070"/>
      <c r="E221" s="2070"/>
      <c r="F221" s="2070"/>
      <c r="G221" s="2070"/>
      <c r="H221" s="2076"/>
      <c r="I221" s="2072"/>
      <c r="J221" s="178"/>
      <c r="K221" s="2072"/>
      <c r="L221" s="2070"/>
      <c r="M221" s="2070"/>
      <c r="N221" s="2070"/>
      <c r="O221" s="2070"/>
      <c r="P221" s="2076"/>
      <c r="Q221" s="2071"/>
      <c r="R221" s="437"/>
      <c r="S221" s="2072"/>
      <c r="T221" s="179"/>
      <c r="U221" s="178"/>
      <c r="V221" s="2072"/>
      <c r="W221" s="2072"/>
      <c r="X221" s="470"/>
      <c r="Y221" s="470"/>
      <c r="Z221" s="471"/>
      <c r="AA221" s="764"/>
      <c r="AB221" s="466"/>
      <c r="AC221" s="350"/>
      <c r="AD221" s="350"/>
      <c r="AE221" s="350"/>
      <c r="AF221" s="350"/>
    </row>
    <row r="222" spans="1:32" s="597" customFormat="1" ht="18" customHeight="1" x14ac:dyDescent="0.2">
      <c r="A222" s="2070"/>
      <c r="B222" s="177"/>
      <c r="C222" s="177"/>
      <c r="D222" s="2070"/>
      <c r="E222" s="2070"/>
      <c r="F222" s="2070"/>
      <c r="G222" s="2070"/>
      <c r="H222" s="2076"/>
      <c r="I222" s="2072"/>
      <c r="J222" s="178"/>
      <c r="K222" s="2072"/>
      <c r="L222" s="2070"/>
      <c r="M222" s="2070"/>
      <c r="N222" s="2070"/>
      <c r="O222" s="2070"/>
      <c r="P222" s="2076"/>
      <c r="Q222" s="2071"/>
      <c r="R222" s="437"/>
      <c r="S222" s="2072"/>
      <c r="T222" s="179"/>
      <c r="U222" s="178"/>
      <c r="V222" s="2072"/>
      <c r="W222" s="2072"/>
      <c r="X222" s="470"/>
      <c r="Y222" s="470"/>
      <c r="Z222" s="471"/>
      <c r="AA222" s="764"/>
      <c r="AB222" s="466"/>
      <c r="AC222" s="350"/>
      <c r="AD222" s="350"/>
      <c r="AE222" s="350"/>
      <c r="AF222" s="350"/>
    </row>
    <row r="223" spans="1:32" s="597" customFormat="1" ht="18" customHeight="1" x14ac:dyDescent="0.2">
      <c r="A223" s="2070"/>
      <c r="B223" s="177"/>
      <c r="C223" s="177"/>
      <c r="D223" s="2070"/>
      <c r="E223" s="2070"/>
      <c r="F223" s="2070"/>
      <c r="G223" s="2070"/>
      <c r="H223" s="2076"/>
      <c r="I223" s="2072"/>
      <c r="J223" s="178"/>
      <c r="K223" s="2072"/>
      <c r="L223" s="2070"/>
      <c r="M223" s="2070"/>
      <c r="N223" s="2070"/>
      <c r="O223" s="2070"/>
      <c r="P223" s="2076"/>
      <c r="Q223" s="2071"/>
      <c r="R223" s="437"/>
      <c r="S223" s="2072"/>
      <c r="T223" s="179"/>
      <c r="U223" s="178"/>
      <c r="V223" s="2072"/>
      <c r="W223" s="2072"/>
      <c r="X223" s="470"/>
      <c r="Y223" s="470"/>
      <c r="Z223" s="471"/>
      <c r="AA223" s="764"/>
      <c r="AB223" s="466"/>
      <c r="AC223" s="350"/>
      <c r="AD223" s="350"/>
      <c r="AE223" s="350"/>
      <c r="AF223" s="350"/>
    </row>
    <row r="224" spans="1:32" s="597" customFormat="1" ht="18" customHeight="1" x14ac:dyDescent="0.2">
      <c r="A224" s="2070"/>
      <c r="B224" s="177"/>
      <c r="C224" s="177"/>
      <c r="D224" s="2070"/>
      <c r="E224" s="2070"/>
      <c r="F224" s="2070"/>
      <c r="G224" s="2070"/>
      <c r="H224" s="2076"/>
      <c r="I224" s="2072"/>
      <c r="J224" s="178"/>
      <c r="K224" s="2072"/>
      <c r="L224" s="2070"/>
      <c r="M224" s="2070"/>
      <c r="N224" s="2070"/>
      <c r="O224" s="2070"/>
      <c r="P224" s="2076"/>
      <c r="Q224" s="2071"/>
      <c r="R224" s="437"/>
      <c r="S224" s="2072"/>
      <c r="T224" s="179"/>
      <c r="U224" s="178"/>
      <c r="V224" s="2072"/>
      <c r="W224" s="2072"/>
      <c r="X224" s="470"/>
      <c r="Y224" s="470"/>
      <c r="Z224" s="471"/>
      <c r="AA224" s="764"/>
      <c r="AB224" s="466"/>
      <c r="AC224" s="350"/>
      <c r="AD224" s="350"/>
      <c r="AE224" s="350"/>
      <c r="AF224" s="350"/>
    </row>
    <row r="225" spans="1:32" s="597" customFormat="1" ht="18" customHeight="1" x14ac:dyDescent="0.2">
      <c r="A225" s="2070"/>
      <c r="B225" s="177"/>
      <c r="C225" s="177"/>
      <c r="D225" s="2070"/>
      <c r="E225" s="2070"/>
      <c r="F225" s="2070"/>
      <c r="G225" s="2070"/>
      <c r="H225" s="2076"/>
      <c r="I225" s="2072"/>
      <c r="J225" s="178"/>
      <c r="K225" s="2072"/>
      <c r="L225" s="2070"/>
      <c r="M225" s="2070"/>
      <c r="N225" s="2070"/>
      <c r="O225" s="2070"/>
      <c r="P225" s="2076"/>
      <c r="Q225" s="2071"/>
      <c r="R225" s="437"/>
      <c r="S225" s="2072"/>
      <c r="T225" s="179"/>
      <c r="U225" s="178"/>
      <c r="V225" s="2072"/>
      <c r="W225" s="2072"/>
      <c r="X225" s="470"/>
      <c r="Y225" s="470"/>
      <c r="Z225" s="471"/>
      <c r="AA225" s="764"/>
      <c r="AB225" s="466"/>
      <c r="AC225" s="350"/>
      <c r="AD225" s="350"/>
      <c r="AE225" s="350"/>
      <c r="AF225" s="350"/>
    </row>
    <row r="226" spans="1:32" s="597" customFormat="1" ht="18" customHeight="1" x14ac:dyDescent="0.2">
      <c r="A226" s="2070"/>
      <c r="B226" s="177"/>
      <c r="C226" s="177"/>
      <c r="D226" s="2070"/>
      <c r="E226" s="2070"/>
      <c r="F226" s="2070"/>
      <c r="G226" s="2070"/>
      <c r="H226" s="2076"/>
      <c r="I226" s="2072"/>
      <c r="J226" s="178"/>
      <c r="K226" s="2072"/>
      <c r="L226" s="2070"/>
      <c r="M226" s="2070"/>
      <c r="N226" s="2070"/>
      <c r="O226" s="2070"/>
      <c r="P226" s="2076"/>
      <c r="Q226" s="2071"/>
      <c r="R226" s="437"/>
      <c r="S226" s="2072"/>
      <c r="T226" s="179"/>
      <c r="U226" s="178"/>
      <c r="V226" s="2072"/>
      <c r="W226" s="2072"/>
      <c r="X226" s="470"/>
      <c r="Y226" s="470"/>
      <c r="Z226" s="471"/>
      <c r="AA226" s="764"/>
      <c r="AB226" s="466"/>
      <c r="AC226" s="350"/>
      <c r="AD226" s="350"/>
      <c r="AE226" s="350"/>
      <c r="AF226" s="350"/>
    </row>
    <row r="227" spans="1:32" s="597" customFormat="1" ht="18" customHeight="1" x14ac:dyDescent="0.2">
      <c r="A227" s="2070"/>
      <c r="B227" s="177"/>
      <c r="C227" s="177"/>
      <c r="D227" s="2070"/>
      <c r="E227" s="2070"/>
      <c r="F227" s="2070"/>
      <c r="G227" s="2070"/>
      <c r="H227" s="2076"/>
      <c r="I227" s="2072"/>
      <c r="J227" s="178"/>
      <c r="K227" s="2072"/>
      <c r="L227" s="2070"/>
      <c r="M227" s="2070"/>
      <c r="N227" s="2070"/>
      <c r="O227" s="2070"/>
      <c r="P227" s="2076"/>
      <c r="Q227" s="2071"/>
      <c r="R227" s="437"/>
      <c r="S227" s="2072"/>
      <c r="T227" s="179"/>
      <c r="U227" s="178"/>
      <c r="V227" s="2072"/>
      <c r="W227" s="2072"/>
      <c r="X227" s="470"/>
      <c r="Y227" s="470"/>
      <c r="Z227" s="471"/>
      <c r="AA227" s="764"/>
      <c r="AB227" s="466"/>
      <c r="AC227" s="350"/>
      <c r="AD227" s="350"/>
      <c r="AE227" s="350"/>
      <c r="AF227" s="350"/>
    </row>
    <row r="228" spans="1:32" s="597" customFormat="1" ht="18" customHeight="1" x14ac:dyDescent="0.2">
      <c r="A228" s="2070"/>
      <c r="B228" s="177"/>
      <c r="C228" s="177"/>
      <c r="D228" s="2070"/>
      <c r="E228" s="2070"/>
      <c r="F228" s="2070"/>
      <c r="G228" s="2070"/>
      <c r="H228" s="2076"/>
      <c r="I228" s="2072"/>
      <c r="J228" s="178"/>
      <c r="K228" s="2072"/>
      <c r="L228" s="2070"/>
      <c r="M228" s="2070"/>
      <c r="N228" s="2070"/>
      <c r="O228" s="2070"/>
      <c r="P228" s="2076"/>
      <c r="Q228" s="2071"/>
      <c r="R228" s="437"/>
      <c r="S228" s="2072"/>
      <c r="T228" s="179"/>
      <c r="U228" s="178"/>
      <c r="V228" s="2072"/>
      <c r="W228" s="2072"/>
      <c r="X228" s="470"/>
      <c r="Y228" s="470"/>
      <c r="Z228" s="471"/>
      <c r="AA228" s="764"/>
      <c r="AB228" s="466"/>
      <c r="AC228" s="350"/>
      <c r="AD228" s="350"/>
      <c r="AE228" s="350"/>
      <c r="AF228" s="350"/>
    </row>
    <row r="229" spans="1:32" s="597" customFormat="1" ht="18" customHeight="1" x14ac:dyDescent="0.2">
      <c r="A229" s="2070"/>
      <c r="B229" s="177"/>
      <c r="C229" s="177"/>
      <c r="D229" s="2070"/>
      <c r="E229" s="2070"/>
      <c r="F229" s="2070"/>
      <c r="G229" s="2070"/>
      <c r="H229" s="2076"/>
      <c r="I229" s="2072"/>
      <c r="J229" s="178"/>
      <c r="K229" s="2072"/>
      <c r="L229" s="2070"/>
      <c r="M229" s="2070"/>
      <c r="N229" s="2070"/>
      <c r="O229" s="2070"/>
      <c r="P229" s="2076"/>
      <c r="Q229" s="2071"/>
      <c r="R229" s="437"/>
      <c r="S229" s="2072"/>
      <c r="T229" s="179"/>
      <c r="U229" s="178"/>
      <c r="V229" s="2072"/>
      <c r="W229" s="2072"/>
      <c r="X229" s="470"/>
      <c r="Y229" s="470"/>
      <c r="Z229" s="471"/>
      <c r="AA229" s="764"/>
      <c r="AB229" s="466"/>
      <c r="AC229" s="350"/>
      <c r="AD229" s="350"/>
      <c r="AE229" s="350"/>
      <c r="AF229" s="350"/>
    </row>
    <row r="230" spans="1:32" s="597" customFormat="1" ht="18" customHeight="1" x14ac:dyDescent="0.2">
      <c r="A230" s="88"/>
      <c r="B230" s="180"/>
      <c r="C230" s="180"/>
      <c r="D230" s="88"/>
      <c r="E230" s="88"/>
      <c r="F230" s="88"/>
      <c r="G230" s="88"/>
      <c r="H230" s="120"/>
      <c r="I230" s="121"/>
      <c r="J230" s="181"/>
      <c r="K230" s="121"/>
      <c r="L230" s="88"/>
      <c r="M230" s="88"/>
      <c r="N230" s="88"/>
      <c r="O230" s="88"/>
      <c r="P230" s="88"/>
      <c r="Q230" s="129"/>
      <c r="R230" s="445"/>
      <c r="S230" s="121"/>
      <c r="T230" s="182"/>
      <c r="U230" s="181"/>
      <c r="V230" s="121"/>
      <c r="W230" s="121"/>
      <c r="X230" s="472"/>
      <c r="Y230" s="472"/>
      <c r="Z230" s="473"/>
      <c r="AA230" s="780"/>
      <c r="AB230" s="410"/>
      <c r="AC230" s="351"/>
      <c r="AD230" s="351"/>
      <c r="AE230" s="351"/>
      <c r="AF230" s="351"/>
    </row>
    <row r="231" spans="1:32" s="597" customFormat="1" ht="18" customHeight="1" x14ac:dyDescent="0.2">
      <c r="A231" s="1850"/>
      <c r="B231" s="1850"/>
      <c r="C231" s="1850"/>
      <c r="D231" s="1850"/>
      <c r="E231" s="1850"/>
      <c r="F231" s="1850"/>
      <c r="G231" s="1850"/>
      <c r="H231" s="1851"/>
      <c r="I231" s="1852"/>
      <c r="J231" s="1853"/>
      <c r="K231" s="1852"/>
      <c r="L231" s="1852"/>
      <c r="M231" s="1852"/>
      <c r="N231" s="1852"/>
      <c r="O231" s="1852"/>
      <c r="P231" s="1852"/>
      <c r="Q231" s="1852"/>
      <c r="R231" s="1854"/>
      <c r="S231" s="1852"/>
      <c r="T231" s="1855"/>
      <c r="U231" s="1853"/>
      <c r="V231" s="1852"/>
      <c r="W231" s="1852"/>
      <c r="X231" s="1856"/>
      <c r="Y231" s="1856"/>
      <c r="Z231" s="1857"/>
      <c r="AA231" s="2125"/>
      <c r="AB231" s="1847">
        <f>SUM(AB217:AB230)</f>
        <v>323.07153600000004</v>
      </c>
      <c r="AC231" s="1861"/>
      <c r="AD231" s="1861"/>
      <c r="AE231" s="1861"/>
      <c r="AF231" s="1861"/>
    </row>
    <row r="232" spans="1:32" s="597" customFormat="1" ht="14.1" customHeight="1" x14ac:dyDescent="0.2">
      <c r="A232" s="2690" t="s">
        <v>76</v>
      </c>
      <c r="B232" s="2690"/>
      <c r="C232" s="2691" t="s">
        <v>77</v>
      </c>
      <c r="D232" s="2691"/>
      <c r="E232" s="2691"/>
      <c r="F232" s="2691"/>
      <c r="G232" s="2691"/>
      <c r="H232" s="2691"/>
      <c r="I232" s="604" t="s">
        <v>78</v>
      </c>
      <c r="J232" s="604"/>
      <c r="K232" s="604"/>
      <c r="L232" s="604"/>
      <c r="M232" s="604"/>
      <c r="N232" s="604"/>
      <c r="AA232" s="767"/>
      <c r="AB232" s="598"/>
    </row>
    <row r="233" spans="1:32" s="597" customFormat="1" ht="14.1" customHeight="1" x14ac:dyDescent="0.2">
      <c r="A233" s="604"/>
      <c r="B233" s="605"/>
      <c r="C233" s="604"/>
      <c r="D233" s="604"/>
      <c r="E233" s="604"/>
      <c r="F233" s="604"/>
      <c r="G233" s="604"/>
      <c r="H233" s="604"/>
      <c r="I233" s="604" t="s">
        <v>79</v>
      </c>
      <c r="J233" s="604"/>
      <c r="K233" s="604"/>
      <c r="L233" s="604"/>
      <c r="M233" s="604"/>
      <c r="N233" s="604"/>
      <c r="AA233" s="767"/>
      <c r="AB233" s="598"/>
    </row>
    <row r="234" spans="1:32" s="597" customFormat="1" ht="14.1" customHeight="1" x14ac:dyDescent="0.2">
      <c r="A234" s="604"/>
      <c r="B234" s="605"/>
      <c r="C234" s="604"/>
      <c r="D234" s="604"/>
      <c r="E234" s="604"/>
      <c r="F234" s="604"/>
      <c r="G234" s="604"/>
      <c r="H234" s="604"/>
      <c r="I234" s="604" t="s">
        <v>80</v>
      </c>
      <c r="J234" s="604"/>
      <c r="K234" s="604"/>
      <c r="L234" s="604"/>
      <c r="M234" s="604"/>
      <c r="N234" s="604"/>
      <c r="AA234" s="767"/>
      <c r="AB234" s="598"/>
    </row>
    <row r="235" spans="1:32" s="597" customFormat="1" ht="14.1" customHeight="1" x14ac:dyDescent="0.2">
      <c r="A235" s="604"/>
      <c r="B235" s="605"/>
      <c r="C235" s="604"/>
      <c r="D235" s="604"/>
      <c r="E235" s="604"/>
      <c r="F235" s="604"/>
      <c r="G235" s="604"/>
      <c r="H235" s="604"/>
      <c r="I235" s="604" t="s">
        <v>81</v>
      </c>
      <c r="J235" s="604"/>
      <c r="K235" s="604"/>
      <c r="L235" s="604"/>
      <c r="M235" s="604"/>
      <c r="N235" s="604"/>
      <c r="AA235" s="767"/>
      <c r="AB235" s="598"/>
    </row>
    <row r="236" spans="1:32" s="597" customFormat="1" ht="14.1" customHeight="1" x14ac:dyDescent="0.2">
      <c r="A236" s="604"/>
      <c r="B236" s="605"/>
      <c r="C236" s="604"/>
      <c r="D236" s="604"/>
      <c r="E236" s="604"/>
      <c r="F236" s="604"/>
      <c r="G236" s="604"/>
      <c r="H236" s="604"/>
      <c r="I236" s="604" t="s">
        <v>88</v>
      </c>
      <c r="J236" s="604"/>
      <c r="K236" s="604"/>
      <c r="L236" s="604"/>
      <c r="M236" s="604"/>
      <c r="N236" s="604"/>
      <c r="AA236" s="767"/>
      <c r="AB236" s="598"/>
    </row>
    <row r="237" spans="1:32" s="597" customFormat="1" ht="18" customHeight="1" x14ac:dyDescent="0.2">
      <c r="A237" s="2096"/>
      <c r="B237" s="2096"/>
      <c r="C237" s="2096"/>
      <c r="D237" s="2096"/>
      <c r="E237" s="2096"/>
      <c r="F237" s="2096"/>
      <c r="G237" s="2096"/>
      <c r="H237" s="2096"/>
      <c r="I237" s="2096"/>
      <c r="J237" s="2096"/>
      <c r="K237" s="2096"/>
      <c r="L237" s="2096"/>
      <c r="M237" s="2096"/>
      <c r="N237" s="2096"/>
      <c r="O237" s="2096"/>
      <c r="P237" s="2096"/>
      <c r="Q237" s="2096"/>
      <c r="R237" s="2096"/>
      <c r="S237" s="2096"/>
      <c r="T237" s="2096"/>
      <c r="U237" s="2096"/>
      <c r="V237" s="2096"/>
      <c r="W237" s="2096"/>
      <c r="X237" s="2096"/>
      <c r="Y237" s="2096"/>
      <c r="Z237" s="2096"/>
      <c r="AA237" s="2707" t="s">
        <v>0</v>
      </c>
      <c r="AB237" s="2707"/>
      <c r="AC237" s="339"/>
      <c r="AD237" s="339"/>
      <c r="AE237" s="339"/>
      <c r="AF237" s="339"/>
    </row>
    <row r="238" spans="1:32" s="597" customFormat="1" ht="18" customHeight="1" x14ac:dyDescent="0.2">
      <c r="A238" s="2707" t="s">
        <v>1</v>
      </c>
      <c r="B238" s="2707"/>
      <c r="C238" s="2707"/>
      <c r="D238" s="2707"/>
      <c r="E238" s="2707"/>
      <c r="F238" s="2707"/>
      <c r="G238" s="2707"/>
      <c r="H238" s="2707"/>
      <c r="I238" s="2707"/>
      <c r="J238" s="2707"/>
      <c r="K238" s="2707"/>
      <c r="L238" s="2707"/>
      <c r="M238" s="2707"/>
      <c r="N238" s="2707"/>
      <c r="O238" s="2707"/>
      <c r="P238" s="2707"/>
      <c r="Q238" s="2707"/>
      <c r="R238" s="2707"/>
      <c r="S238" s="2707"/>
      <c r="T238" s="2707"/>
      <c r="U238" s="2707"/>
      <c r="V238" s="2707"/>
      <c r="W238" s="2707"/>
      <c r="X238" s="2707"/>
      <c r="Y238" s="2707"/>
      <c r="Z238" s="2707"/>
      <c r="AA238" s="2707"/>
      <c r="AB238" s="2707"/>
      <c r="AC238" s="344"/>
      <c r="AD238" s="344"/>
      <c r="AE238" s="344"/>
      <c r="AF238" s="344"/>
    </row>
    <row r="239" spans="1:32" s="597" customFormat="1" ht="18" customHeight="1" x14ac:dyDescent="0.2">
      <c r="A239" s="2708" t="s">
        <v>548</v>
      </c>
      <c r="B239" s="2708"/>
      <c r="C239" s="2708"/>
      <c r="D239" s="2708"/>
      <c r="E239" s="2708"/>
      <c r="F239" s="2708"/>
      <c r="G239" s="2708"/>
      <c r="H239" s="2708"/>
      <c r="I239" s="2708"/>
      <c r="J239" s="2708"/>
      <c r="K239" s="2708"/>
      <c r="L239" s="2708"/>
      <c r="M239" s="2708"/>
      <c r="N239" s="2708"/>
      <c r="O239" s="2708"/>
      <c r="P239" s="2708"/>
      <c r="Q239" s="2708"/>
      <c r="R239" s="2708"/>
      <c r="S239" s="2708"/>
      <c r="T239" s="2708"/>
      <c r="U239" s="2708"/>
      <c r="V239" s="2708"/>
      <c r="W239" s="2708"/>
      <c r="X239" s="2708"/>
      <c r="Y239" s="2708"/>
      <c r="Z239" s="2708"/>
      <c r="AA239" s="2708"/>
      <c r="AB239" s="2708"/>
      <c r="AC239" s="599"/>
      <c r="AD239" s="599"/>
      <c r="AE239" s="599"/>
      <c r="AF239" s="599"/>
    </row>
    <row r="240" spans="1:32" s="597" customFormat="1" ht="14.1" customHeight="1" x14ac:dyDescent="0.2">
      <c r="A240" s="2709" t="s">
        <v>2</v>
      </c>
      <c r="B240" s="160"/>
      <c r="C240" s="2709" t="s">
        <v>3</v>
      </c>
      <c r="D240" s="160"/>
      <c r="E240" s="160"/>
      <c r="F240" s="2712" t="s">
        <v>4</v>
      </c>
      <c r="G240" s="2712"/>
      <c r="H240" s="2712"/>
      <c r="I240" s="2713"/>
      <c r="J240" s="2713"/>
      <c r="K240" s="2714"/>
      <c r="L240" s="2"/>
      <c r="M240" s="2715" t="s">
        <v>5</v>
      </c>
      <c r="N240" s="2715"/>
      <c r="O240" s="2715"/>
      <c r="P240" s="2715"/>
      <c r="Q240" s="2716"/>
      <c r="R240" s="2716"/>
      <c r="S240" s="2716"/>
      <c r="T240" s="2716"/>
      <c r="U240" s="2716"/>
      <c r="V240" s="2717"/>
      <c r="W240" s="161" t="s">
        <v>6</v>
      </c>
      <c r="X240" s="162" t="s">
        <v>7</v>
      </c>
      <c r="Y240" s="163"/>
      <c r="Z240" s="163"/>
      <c r="AA240" s="162"/>
      <c r="AB240" s="206"/>
      <c r="AC240" s="516" t="s">
        <v>8</v>
      </c>
      <c r="AD240" s="346"/>
      <c r="AE240" s="346"/>
      <c r="AF240" s="600"/>
    </row>
    <row r="241" spans="1:32" s="597" customFormat="1" ht="14.1" customHeight="1" x14ac:dyDescent="0.2">
      <c r="A241" s="2710"/>
      <c r="B241" s="4"/>
      <c r="C241" s="2710"/>
      <c r="D241" s="2057" t="s">
        <v>9</v>
      </c>
      <c r="E241" s="207" t="s">
        <v>10</v>
      </c>
      <c r="F241" s="2718" t="s">
        <v>11</v>
      </c>
      <c r="G241" s="2713"/>
      <c r="H241" s="2714"/>
      <c r="I241" s="160"/>
      <c r="J241" s="208" t="s">
        <v>12</v>
      </c>
      <c r="K241" s="160"/>
      <c r="L241" s="2715" t="s">
        <v>2</v>
      </c>
      <c r="M241" s="141"/>
      <c r="N241" s="141"/>
      <c r="O241" s="141"/>
      <c r="P241" s="164"/>
      <c r="Q241" s="209" t="s">
        <v>13</v>
      </c>
      <c r="R241" s="210" t="s">
        <v>12</v>
      </c>
      <c r="S241" s="141" t="s">
        <v>6</v>
      </c>
      <c r="T241" s="2724" t="s">
        <v>14</v>
      </c>
      <c r="U241" s="2725"/>
      <c r="V241" s="165" t="s">
        <v>7</v>
      </c>
      <c r="W241" s="166" t="s">
        <v>15</v>
      </c>
      <c r="X241" s="5" t="s">
        <v>16</v>
      </c>
      <c r="Y241" s="5" t="s">
        <v>17</v>
      </c>
      <c r="Z241" s="5" t="s">
        <v>18</v>
      </c>
      <c r="AA241" s="5"/>
      <c r="AB241" s="55" t="s">
        <v>19</v>
      </c>
      <c r="AC241" s="528" t="s">
        <v>20</v>
      </c>
      <c r="AD241" s="601"/>
      <c r="AE241" s="347" t="s">
        <v>21</v>
      </c>
      <c r="AF241" s="340" t="s">
        <v>22</v>
      </c>
    </row>
    <row r="242" spans="1:32" s="597" customFormat="1" ht="14.1" customHeight="1" x14ac:dyDescent="0.2">
      <c r="A242" s="2710"/>
      <c r="B242" s="2057" t="s">
        <v>23</v>
      </c>
      <c r="C242" s="2710"/>
      <c r="D242" s="2057" t="s">
        <v>24</v>
      </c>
      <c r="E242" s="207" t="s">
        <v>25</v>
      </c>
      <c r="F242" s="2719"/>
      <c r="G242" s="2720"/>
      <c r="H242" s="2721"/>
      <c r="I242" s="2057" t="s">
        <v>26</v>
      </c>
      <c r="J242" s="211" t="s">
        <v>15</v>
      </c>
      <c r="K242" s="2060" t="s">
        <v>6</v>
      </c>
      <c r="L242" s="2722"/>
      <c r="M242" s="142" t="s">
        <v>27</v>
      </c>
      <c r="N242" s="142" t="s">
        <v>10</v>
      </c>
      <c r="O242" s="212" t="s">
        <v>10</v>
      </c>
      <c r="P242" s="213" t="s">
        <v>28</v>
      </c>
      <c r="Q242" s="214" t="s">
        <v>29</v>
      </c>
      <c r="R242" s="213" t="s">
        <v>15</v>
      </c>
      <c r="S242" s="8" t="s">
        <v>15</v>
      </c>
      <c r="T242" s="2726"/>
      <c r="U242" s="2727"/>
      <c r="V242" s="165" t="s">
        <v>30</v>
      </c>
      <c r="W242" s="166" t="s">
        <v>31</v>
      </c>
      <c r="X242" s="5" t="s">
        <v>30</v>
      </c>
      <c r="Y242" s="5" t="s">
        <v>32</v>
      </c>
      <c r="Z242" s="5" t="s">
        <v>7</v>
      </c>
      <c r="AA242" s="5" t="s">
        <v>33</v>
      </c>
      <c r="AB242" s="55" t="s">
        <v>34</v>
      </c>
      <c r="AC242" s="528" t="s">
        <v>35</v>
      </c>
      <c r="AD242" s="347" t="s">
        <v>36</v>
      </c>
      <c r="AE242" s="347" t="s">
        <v>37</v>
      </c>
      <c r="AF242" s="340" t="s">
        <v>38</v>
      </c>
    </row>
    <row r="243" spans="1:32" s="597" customFormat="1" ht="14.1" customHeight="1" x14ac:dyDescent="0.2">
      <c r="A243" s="2710"/>
      <c r="B243" s="2057" t="s">
        <v>39</v>
      </c>
      <c r="C243" s="2710"/>
      <c r="D243" s="2057" t="s">
        <v>40</v>
      </c>
      <c r="E243" s="207" t="s">
        <v>41</v>
      </c>
      <c r="F243" s="2709" t="s">
        <v>42</v>
      </c>
      <c r="G243" s="2709" t="s">
        <v>43</v>
      </c>
      <c r="H243" s="2728" t="s">
        <v>44</v>
      </c>
      <c r="I243" s="2057" t="s">
        <v>45</v>
      </c>
      <c r="J243" s="211" t="s">
        <v>46</v>
      </c>
      <c r="K243" s="2060" t="s">
        <v>47</v>
      </c>
      <c r="L243" s="2722"/>
      <c r="M243" s="142" t="s">
        <v>30</v>
      </c>
      <c r="N243" s="142" t="s">
        <v>30</v>
      </c>
      <c r="O243" s="212" t="s">
        <v>25</v>
      </c>
      <c r="P243" s="213" t="s">
        <v>30</v>
      </c>
      <c r="Q243" s="214" t="s">
        <v>48</v>
      </c>
      <c r="R243" s="213" t="s">
        <v>49</v>
      </c>
      <c r="S243" s="8" t="s">
        <v>30</v>
      </c>
      <c r="T243" s="215" t="s">
        <v>50</v>
      </c>
      <c r="U243" s="2059" t="s">
        <v>13</v>
      </c>
      <c r="V243" s="165" t="s">
        <v>51</v>
      </c>
      <c r="W243" s="166" t="s">
        <v>52</v>
      </c>
      <c r="X243" s="5" t="s">
        <v>53</v>
      </c>
      <c r="Y243" s="5" t="s">
        <v>54</v>
      </c>
      <c r="Z243" s="5" t="s">
        <v>55</v>
      </c>
      <c r="AA243" s="5" t="s">
        <v>56</v>
      </c>
      <c r="AB243" s="55" t="s">
        <v>57</v>
      </c>
      <c r="AC243" s="347" t="s">
        <v>58</v>
      </c>
      <c r="AD243" s="347" t="s">
        <v>59</v>
      </c>
      <c r="AE243" s="347" t="s">
        <v>59</v>
      </c>
      <c r="AF243" s="340" t="s">
        <v>60</v>
      </c>
    </row>
    <row r="244" spans="1:32" s="597" customFormat="1" ht="14.1" customHeight="1" x14ac:dyDescent="0.2">
      <c r="A244" s="2710"/>
      <c r="B244" s="2057" t="s">
        <v>61</v>
      </c>
      <c r="C244" s="2710"/>
      <c r="D244" s="2057" t="s">
        <v>62</v>
      </c>
      <c r="E244" s="207" t="s">
        <v>63</v>
      </c>
      <c r="F244" s="2710"/>
      <c r="G244" s="2710"/>
      <c r="H244" s="2729"/>
      <c r="I244" s="2057" t="s">
        <v>64</v>
      </c>
      <c r="J244" s="211" t="s">
        <v>59</v>
      </c>
      <c r="K244" s="2060" t="s">
        <v>59</v>
      </c>
      <c r="L244" s="2722"/>
      <c r="M244" s="142"/>
      <c r="N244" s="142"/>
      <c r="O244" s="212" t="s">
        <v>41</v>
      </c>
      <c r="P244" s="213" t="s">
        <v>65</v>
      </c>
      <c r="Q244" s="214" t="s">
        <v>66</v>
      </c>
      <c r="R244" s="213" t="s">
        <v>67</v>
      </c>
      <c r="S244" s="8" t="s">
        <v>59</v>
      </c>
      <c r="T244" s="216" t="s">
        <v>68</v>
      </c>
      <c r="U244" s="165" t="s">
        <v>14</v>
      </c>
      <c r="V244" s="165" t="s">
        <v>14</v>
      </c>
      <c r="W244" s="166" t="s">
        <v>30</v>
      </c>
      <c r="X244" s="167" t="s">
        <v>69</v>
      </c>
      <c r="Y244" s="167" t="s">
        <v>70</v>
      </c>
      <c r="Z244" s="5" t="s">
        <v>71</v>
      </c>
      <c r="AA244" s="5" t="s">
        <v>72</v>
      </c>
      <c r="AB244" s="55" t="s">
        <v>59</v>
      </c>
      <c r="AC244" s="347" t="s">
        <v>59</v>
      </c>
      <c r="AD244" s="347"/>
      <c r="AE244" s="347"/>
      <c r="AF244" s="340" t="s">
        <v>59</v>
      </c>
    </row>
    <row r="245" spans="1:32" s="597" customFormat="1" ht="14.1" customHeight="1" x14ac:dyDescent="0.2">
      <c r="A245" s="2711"/>
      <c r="B245" s="9"/>
      <c r="C245" s="2711"/>
      <c r="D245" s="9"/>
      <c r="E245" s="2058"/>
      <c r="F245" s="9"/>
      <c r="G245" s="9"/>
      <c r="H245" s="10"/>
      <c r="I245" s="2058"/>
      <c r="J245" s="217"/>
      <c r="K245" s="168"/>
      <c r="L245" s="2723"/>
      <c r="M245" s="143"/>
      <c r="N245" s="143"/>
      <c r="O245" s="143" t="s">
        <v>63</v>
      </c>
      <c r="P245" s="218"/>
      <c r="Q245" s="219" t="s">
        <v>72</v>
      </c>
      <c r="R245" s="220" t="s">
        <v>59</v>
      </c>
      <c r="S245" s="169"/>
      <c r="T245" s="220" t="s">
        <v>73</v>
      </c>
      <c r="U245" s="169" t="s">
        <v>59</v>
      </c>
      <c r="V245" s="170" t="s">
        <v>59</v>
      </c>
      <c r="W245" s="171" t="s">
        <v>59</v>
      </c>
      <c r="X245" s="172" t="s">
        <v>59</v>
      </c>
      <c r="Y245" s="172" t="s">
        <v>59</v>
      </c>
      <c r="Z245" s="172" t="s">
        <v>59</v>
      </c>
      <c r="AA245" s="11"/>
      <c r="AB245" s="56"/>
      <c r="AC245" s="348"/>
      <c r="AD245" s="348"/>
      <c r="AE245" s="348"/>
      <c r="AF245" s="341"/>
    </row>
    <row r="246" spans="1:32" s="597" customFormat="1" ht="18" customHeight="1" x14ac:dyDescent="0.25">
      <c r="A246" s="99">
        <v>1</v>
      </c>
      <c r="B246" s="1672">
        <v>41035</v>
      </c>
      <c r="C246" s="40">
        <v>351</v>
      </c>
      <c r="D246" s="40" t="s">
        <v>83</v>
      </c>
      <c r="E246" s="40">
        <v>5</v>
      </c>
      <c r="F246" s="40">
        <v>4</v>
      </c>
      <c r="G246" s="40">
        <v>0</v>
      </c>
      <c r="H246" s="43">
        <v>0</v>
      </c>
      <c r="I246" s="2097">
        <v>100</v>
      </c>
      <c r="J246" s="2098">
        <v>750</v>
      </c>
      <c r="K246" s="2099">
        <f>SUM(I246*J246)</f>
        <v>75000</v>
      </c>
      <c r="L246" s="101">
        <v>1</v>
      </c>
      <c r="M246" s="51">
        <v>103</v>
      </c>
      <c r="N246" s="40" t="s">
        <v>74</v>
      </c>
      <c r="O246" s="101">
        <v>1</v>
      </c>
      <c r="P246" s="40">
        <v>336</v>
      </c>
      <c r="Q246" s="2100" t="s">
        <v>75</v>
      </c>
      <c r="R246" s="2101">
        <v>9050</v>
      </c>
      <c r="S246" s="2102">
        <f t="shared" ref="S246:S254" si="22">P246*R246</f>
        <v>3040800</v>
      </c>
      <c r="T246" s="2103">
        <v>1</v>
      </c>
      <c r="U246" s="2104">
        <f>S246*1/100</f>
        <v>30408</v>
      </c>
      <c r="V246" s="2104">
        <f t="shared" ref="V246:V248" si="23">S246-U246</f>
        <v>3010392</v>
      </c>
      <c r="W246" s="2102">
        <f>K246+V246</f>
        <v>3085392</v>
      </c>
      <c r="X246" s="2104">
        <f>W246</f>
        <v>3085392</v>
      </c>
      <c r="Y246" s="2102" t="s">
        <v>87</v>
      </c>
      <c r="Z246" s="2102">
        <v>0</v>
      </c>
      <c r="AA246" s="2105"/>
      <c r="AB246" s="2106">
        <f>+Z246*AA246/100</f>
        <v>0</v>
      </c>
      <c r="AC246" s="602"/>
      <c r="AD246" s="603">
        <f>AB246-AC246</f>
        <v>0</v>
      </c>
      <c r="AE246" s="603">
        <f>IF(AD246&lt;=0,0,AD246*25/100)</f>
        <v>0</v>
      </c>
      <c r="AF246" s="603">
        <f>IF(AC246+AE246&gt;AB246,AB246,AC246+AE246)</f>
        <v>0</v>
      </c>
    </row>
    <row r="247" spans="1:32" s="597" customFormat="1" ht="18" customHeight="1" x14ac:dyDescent="0.2">
      <c r="A247" s="100"/>
      <c r="B247" s="2107"/>
      <c r="C247" s="2107"/>
      <c r="D247" s="2107"/>
      <c r="E247" s="2107"/>
      <c r="F247" s="2107"/>
      <c r="G247" s="2107"/>
      <c r="H247" s="2108"/>
      <c r="I247" s="2102">
        <v>1500</v>
      </c>
      <c r="J247" s="2098">
        <v>750</v>
      </c>
      <c r="K247" s="2099">
        <f>SUM(I247*J247)</f>
        <v>1125000</v>
      </c>
      <c r="L247" s="2109"/>
      <c r="M247" s="105"/>
      <c r="N247" s="2107"/>
      <c r="O247" s="2109"/>
      <c r="P247" s="2107"/>
      <c r="Q247" s="2100"/>
      <c r="R247" s="2101"/>
      <c r="S247" s="2102"/>
      <c r="T247" s="2103"/>
      <c r="U247" s="2104"/>
      <c r="V247" s="2104"/>
      <c r="W247" s="2102">
        <f>K247+V247</f>
        <v>1125000</v>
      </c>
      <c r="X247" s="2104">
        <f>W247</f>
        <v>1125000</v>
      </c>
      <c r="Y247" s="2102"/>
      <c r="Z247" s="2102">
        <v>0</v>
      </c>
      <c r="AA247" s="2105"/>
      <c r="AB247" s="584"/>
      <c r="AC247" s="2110"/>
      <c r="AD247" s="719"/>
      <c r="AE247" s="719"/>
      <c r="AF247" s="719"/>
    </row>
    <row r="248" spans="1:32" s="597" customFormat="1" ht="18" customHeight="1" x14ac:dyDescent="0.2">
      <c r="A248" s="100"/>
      <c r="B248" s="2107"/>
      <c r="C248" s="2107"/>
      <c r="D248" s="2107"/>
      <c r="E248" s="2107">
        <v>1</v>
      </c>
      <c r="F248" s="2107">
        <v>2</v>
      </c>
      <c r="G248" s="2107">
        <v>0</v>
      </c>
      <c r="H248" s="2108">
        <v>63</v>
      </c>
      <c r="I248" s="2102">
        <f>F248*400+G248*100+H248</f>
        <v>863</v>
      </c>
      <c r="J248" s="2111">
        <v>750</v>
      </c>
      <c r="K248" s="2112">
        <f>SUM(I248*J248)</f>
        <v>647250</v>
      </c>
      <c r="L248" s="2113"/>
      <c r="M248" s="54"/>
      <c r="N248" s="2114"/>
      <c r="O248" s="2113"/>
      <c r="P248" s="2114"/>
      <c r="Q248" s="2100"/>
      <c r="R248" s="2101"/>
      <c r="S248" s="2102">
        <f t="shared" si="22"/>
        <v>0</v>
      </c>
      <c r="T248" s="2103"/>
      <c r="U248" s="2104">
        <f t="shared" ref="U248" si="24">S248*2/100</f>
        <v>0</v>
      </c>
      <c r="V248" s="2104">
        <f t="shared" si="23"/>
        <v>0</v>
      </c>
      <c r="W248" s="2102">
        <f>K248</f>
        <v>647250</v>
      </c>
      <c r="X248" s="2104">
        <f t="shared" ref="X248:X254" si="25">W248</f>
        <v>647250</v>
      </c>
      <c r="Y248" s="2102" t="s">
        <v>87</v>
      </c>
      <c r="Z248" s="2102">
        <v>0</v>
      </c>
      <c r="AA248" s="2105">
        <v>0.01</v>
      </c>
      <c r="AB248" s="584">
        <f t="shared" ref="AB248:AB254" si="26">+Z248*AA248/100</f>
        <v>0</v>
      </c>
      <c r="AC248" s="350"/>
      <c r="AD248" s="350"/>
      <c r="AE248" s="350"/>
      <c r="AF248" s="350"/>
    </row>
    <row r="249" spans="1:32" s="597" customFormat="1" ht="18" customHeight="1" x14ac:dyDescent="0.2">
      <c r="A249" s="52"/>
      <c r="B249" s="2114"/>
      <c r="C249" s="2114"/>
      <c r="D249" s="2114"/>
      <c r="E249" s="2107">
        <v>3</v>
      </c>
      <c r="F249" s="2114">
        <v>2</v>
      </c>
      <c r="G249" s="2114">
        <v>0</v>
      </c>
      <c r="H249" s="2115">
        <v>31.5</v>
      </c>
      <c r="I249" s="2102">
        <f>F249*400+G249*100+H249</f>
        <v>831.5</v>
      </c>
      <c r="J249" s="2111">
        <v>750</v>
      </c>
      <c r="K249" s="2112">
        <f>SUM(I249*J249)</f>
        <v>623625</v>
      </c>
      <c r="L249" s="2109">
        <v>2</v>
      </c>
      <c r="M249" s="105">
        <v>517</v>
      </c>
      <c r="N249" s="2107" t="s">
        <v>74</v>
      </c>
      <c r="O249" s="2109">
        <v>1</v>
      </c>
      <c r="P249" s="2107">
        <v>1456</v>
      </c>
      <c r="Q249" s="2100" t="s">
        <v>75</v>
      </c>
      <c r="R249" s="2101">
        <v>2150</v>
      </c>
      <c r="S249" s="2102">
        <f t="shared" si="22"/>
        <v>3130400</v>
      </c>
      <c r="T249" s="2103">
        <v>2</v>
      </c>
      <c r="U249" s="2104">
        <f>S249*2/100</f>
        <v>62608</v>
      </c>
      <c r="V249" s="2104">
        <f>S249-U249</f>
        <v>3067792</v>
      </c>
      <c r="W249" s="2102">
        <f t="shared" ref="W249:W254" si="27">V249+K249</f>
        <v>3691417</v>
      </c>
      <c r="X249" s="2116">
        <f t="shared" si="25"/>
        <v>3691417</v>
      </c>
      <c r="Y249" s="2102" t="s">
        <v>87</v>
      </c>
      <c r="Z249" s="2117"/>
      <c r="AA249" s="2105">
        <v>0.01</v>
      </c>
      <c r="AB249" s="2118">
        <f t="shared" si="26"/>
        <v>0</v>
      </c>
      <c r="AC249" s="350"/>
      <c r="AD249" s="350"/>
      <c r="AE249" s="350"/>
      <c r="AF249" s="350"/>
    </row>
    <row r="250" spans="1:32" s="597" customFormat="1" ht="18" customHeight="1" x14ac:dyDescent="0.25">
      <c r="A250" s="52"/>
      <c r="B250" s="2119"/>
      <c r="C250" s="2120"/>
      <c r="D250" s="2121"/>
      <c r="E250" s="2121"/>
      <c r="F250" s="2122"/>
      <c r="G250" s="2119"/>
      <c r="H250" s="2123"/>
      <c r="I250" s="2102"/>
      <c r="J250" s="2111"/>
      <c r="K250" s="2112"/>
      <c r="L250" s="2113">
        <v>3</v>
      </c>
      <c r="M250" s="54">
        <v>517</v>
      </c>
      <c r="N250" s="2114" t="s">
        <v>74</v>
      </c>
      <c r="O250" s="2113">
        <v>1</v>
      </c>
      <c r="P250" s="2114">
        <v>1470</v>
      </c>
      <c r="Q250" s="2100" t="s">
        <v>75</v>
      </c>
      <c r="R250" s="2101">
        <v>2150</v>
      </c>
      <c r="S250" s="2102">
        <f t="shared" si="22"/>
        <v>3160500</v>
      </c>
      <c r="T250" s="2103">
        <v>2</v>
      </c>
      <c r="U250" s="2104">
        <f>S250*2/100</f>
        <v>63210</v>
      </c>
      <c r="V250" s="2104">
        <f>S250-U250</f>
        <v>3097290</v>
      </c>
      <c r="W250" s="2102">
        <f t="shared" si="27"/>
        <v>3097290</v>
      </c>
      <c r="X250" s="2116">
        <f t="shared" si="25"/>
        <v>3097290</v>
      </c>
      <c r="Y250" s="2102" t="s">
        <v>87</v>
      </c>
      <c r="Z250" s="2102"/>
      <c r="AA250" s="2105">
        <v>0.01</v>
      </c>
      <c r="AB250" s="585">
        <f t="shared" si="26"/>
        <v>0</v>
      </c>
      <c r="AC250" s="350"/>
      <c r="AD250" s="350"/>
      <c r="AE250" s="350"/>
      <c r="AF250" s="350"/>
    </row>
    <row r="251" spans="1:32" s="597" customFormat="1" ht="18" customHeight="1" x14ac:dyDescent="0.25">
      <c r="A251" s="52"/>
      <c r="B251" s="2119"/>
      <c r="C251" s="2120"/>
      <c r="D251" s="2121"/>
      <c r="E251" s="2121"/>
      <c r="F251" s="2122">
        <v>0</v>
      </c>
      <c r="G251" s="2119">
        <v>3</v>
      </c>
      <c r="H251" s="2123">
        <v>28</v>
      </c>
      <c r="I251" s="2102">
        <f>F251*400+G251*100+H251</f>
        <v>328</v>
      </c>
      <c r="J251" s="2111">
        <v>750</v>
      </c>
      <c r="K251" s="2112">
        <f>SUM(I251*J251)</f>
        <v>246000</v>
      </c>
      <c r="L251" s="2113">
        <v>4</v>
      </c>
      <c r="M251" s="54">
        <v>103</v>
      </c>
      <c r="N251" s="2114" t="s">
        <v>74</v>
      </c>
      <c r="O251" s="2113">
        <v>2</v>
      </c>
      <c r="P251" s="2114">
        <f>5*15</f>
        <v>75</v>
      </c>
      <c r="Q251" s="2100" t="s">
        <v>75</v>
      </c>
      <c r="R251" s="2101">
        <v>9050</v>
      </c>
      <c r="S251" s="2102">
        <f t="shared" si="22"/>
        <v>678750</v>
      </c>
      <c r="T251" s="2103">
        <v>28</v>
      </c>
      <c r="U251" s="2104">
        <f>S251*46/100</f>
        <v>312225</v>
      </c>
      <c r="V251" s="2104">
        <f>SUM(S251-U251)</f>
        <v>366525</v>
      </c>
      <c r="W251" s="2102">
        <f t="shared" si="27"/>
        <v>612525</v>
      </c>
      <c r="X251" s="2104">
        <f t="shared" si="25"/>
        <v>612525</v>
      </c>
      <c r="Y251" s="2102" t="s">
        <v>87</v>
      </c>
      <c r="Z251" s="2102">
        <v>0</v>
      </c>
      <c r="AA251" s="2105">
        <v>0.02</v>
      </c>
      <c r="AB251" s="584">
        <f t="shared" si="26"/>
        <v>0</v>
      </c>
      <c r="AC251" s="350"/>
      <c r="AD251" s="350"/>
      <c r="AE251" s="350"/>
      <c r="AF251" s="350"/>
    </row>
    <row r="252" spans="1:32" s="597" customFormat="1" ht="18" customHeight="1" x14ac:dyDescent="0.25">
      <c r="A252" s="52"/>
      <c r="B252" s="2119"/>
      <c r="C252" s="2120"/>
      <c r="D252" s="2121"/>
      <c r="E252" s="2121"/>
      <c r="F252" s="2122"/>
      <c r="G252" s="2119"/>
      <c r="H252" s="2123">
        <v>40</v>
      </c>
      <c r="I252" s="2102">
        <f>F252*400+G252*100+H252</f>
        <v>40</v>
      </c>
      <c r="J252" s="2111">
        <v>750</v>
      </c>
      <c r="K252" s="2112">
        <f>SUM(I252*J252)</f>
        <v>30000</v>
      </c>
      <c r="L252" s="2113">
        <v>5</v>
      </c>
      <c r="M252" s="54">
        <v>503</v>
      </c>
      <c r="N252" s="2114" t="s">
        <v>74</v>
      </c>
      <c r="O252" s="2113">
        <v>2</v>
      </c>
      <c r="P252" s="2114">
        <f>4*16</f>
        <v>64</v>
      </c>
      <c r="Q252" s="2100" t="s">
        <v>75</v>
      </c>
      <c r="R252" s="2101">
        <v>6550</v>
      </c>
      <c r="S252" s="2102">
        <f t="shared" si="22"/>
        <v>419200</v>
      </c>
      <c r="T252" s="2103">
        <v>28</v>
      </c>
      <c r="U252" s="2104">
        <f>S252*46/100</f>
        <v>192832</v>
      </c>
      <c r="V252" s="2104">
        <f>SUM(S252-U252)</f>
        <v>226368</v>
      </c>
      <c r="W252" s="2102">
        <f t="shared" si="27"/>
        <v>256368</v>
      </c>
      <c r="X252" s="2104">
        <f t="shared" si="25"/>
        <v>256368</v>
      </c>
      <c r="Y252" s="2102"/>
      <c r="Z252" s="2102">
        <f>X252</f>
        <v>256368</v>
      </c>
      <c r="AA252" s="2105">
        <v>0.02</v>
      </c>
      <c r="AB252" s="2118">
        <f t="shared" si="26"/>
        <v>51.273599999999995</v>
      </c>
      <c r="AC252" s="350"/>
      <c r="AD252" s="350"/>
      <c r="AE252" s="350"/>
      <c r="AF252" s="350"/>
    </row>
    <row r="253" spans="1:32" s="597" customFormat="1" ht="18" customHeight="1" x14ac:dyDescent="0.25">
      <c r="A253" s="52"/>
      <c r="B253" s="2119"/>
      <c r="C253" s="2120"/>
      <c r="D253" s="2121"/>
      <c r="E253" s="2121"/>
      <c r="F253" s="2122"/>
      <c r="G253" s="2119"/>
      <c r="H253" s="2123">
        <v>62.5</v>
      </c>
      <c r="I253" s="2102">
        <f>F253*400+G253*100+H253</f>
        <v>62.5</v>
      </c>
      <c r="J253" s="2111">
        <v>750</v>
      </c>
      <c r="K253" s="2112">
        <f>SUM(I253*J253)</f>
        <v>46875</v>
      </c>
      <c r="L253" s="2113">
        <v>6</v>
      </c>
      <c r="M253" s="105">
        <v>503</v>
      </c>
      <c r="N253" s="2107" t="s">
        <v>74</v>
      </c>
      <c r="O253" s="2109">
        <v>1</v>
      </c>
      <c r="P253" s="2107">
        <f>5*50</f>
        <v>250</v>
      </c>
      <c r="Q253" s="2100" t="s">
        <v>75</v>
      </c>
      <c r="R253" s="2101">
        <v>6550</v>
      </c>
      <c r="S253" s="2102">
        <f t="shared" si="22"/>
        <v>1637500</v>
      </c>
      <c r="T253" s="2103">
        <v>2</v>
      </c>
      <c r="U253" s="2104">
        <f>S253*2/100</f>
        <v>32750</v>
      </c>
      <c r="V253" s="2104">
        <f>SUM(S253-U253)</f>
        <v>1604750</v>
      </c>
      <c r="W253" s="2102">
        <f t="shared" si="27"/>
        <v>1651625</v>
      </c>
      <c r="X253" s="2104">
        <f t="shared" si="25"/>
        <v>1651625</v>
      </c>
      <c r="Y253" s="2102"/>
      <c r="Z253" s="2102">
        <f>X253</f>
        <v>1651625</v>
      </c>
      <c r="AA253" s="2105">
        <v>0.02</v>
      </c>
      <c r="AB253" s="585">
        <f t="shared" si="26"/>
        <v>330.32499999999999</v>
      </c>
      <c r="AC253" s="350"/>
      <c r="AD253" s="350"/>
      <c r="AE253" s="350"/>
      <c r="AF253" s="350"/>
    </row>
    <row r="254" spans="1:32" s="597" customFormat="1" ht="18" customHeight="1" x14ac:dyDescent="0.25">
      <c r="A254" s="105"/>
      <c r="B254" s="2119"/>
      <c r="C254" s="2120"/>
      <c r="D254" s="2121"/>
      <c r="E254" s="2121"/>
      <c r="F254" s="2122"/>
      <c r="G254" s="2119">
        <v>1</v>
      </c>
      <c r="H254" s="2123">
        <v>15</v>
      </c>
      <c r="I254" s="2102">
        <f>F254*400+G254*100+H254</f>
        <v>115</v>
      </c>
      <c r="J254" s="2111">
        <v>750</v>
      </c>
      <c r="K254" s="2112">
        <f>SUM(I254*J254)</f>
        <v>86250</v>
      </c>
      <c r="L254" s="2119">
        <v>7</v>
      </c>
      <c r="M254" s="105">
        <v>504</v>
      </c>
      <c r="N254" s="2107" t="s">
        <v>74</v>
      </c>
      <c r="O254" s="2109">
        <v>3</v>
      </c>
      <c r="P254" s="2123">
        <f>6*30</f>
        <v>180</v>
      </c>
      <c r="Q254" s="2100" t="s">
        <v>75</v>
      </c>
      <c r="R254" s="2101">
        <v>3100</v>
      </c>
      <c r="S254" s="2102">
        <f t="shared" si="22"/>
        <v>558000</v>
      </c>
      <c r="T254" s="2103">
        <v>28</v>
      </c>
      <c r="U254" s="2104">
        <f>S254*46/100</f>
        <v>256680</v>
      </c>
      <c r="V254" s="2104">
        <f>SUM(S254-U254)</f>
        <v>301320</v>
      </c>
      <c r="W254" s="2102">
        <f t="shared" si="27"/>
        <v>387570</v>
      </c>
      <c r="X254" s="2104">
        <f t="shared" si="25"/>
        <v>387570</v>
      </c>
      <c r="Y254" s="2102"/>
      <c r="Z254" s="2102">
        <f>+X254</f>
        <v>387570</v>
      </c>
      <c r="AA254" s="2105">
        <v>0.3</v>
      </c>
      <c r="AB254" s="585">
        <f t="shared" si="26"/>
        <v>1162.71</v>
      </c>
      <c r="AC254" s="350"/>
      <c r="AD254" s="350"/>
      <c r="AE254" s="350"/>
      <c r="AF254" s="350"/>
    </row>
    <row r="255" spans="1:32" s="597" customFormat="1" ht="18" customHeight="1" x14ac:dyDescent="0.2">
      <c r="A255" s="105"/>
      <c r="B255" s="131"/>
      <c r="C255" s="131"/>
      <c r="D255" s="105"/>
      <c r="E255" s="105"/>
      <c r="F255" s="105"/>
      <c r="G255" s="105"/>
      <c r="H255" s="451"/>
      <c r="I255" s="111"/>
      <c r="J255" s="587"/>
      <c r="K255" s="111"/>
      <c r="L255" s="105"/>
      <c r="M255" s="105"/>
      <c r="N255" s="105"/>
      <c r="O255" s="105"/>
      <c r="P255" s="451"/>
      <c r="Q255" s="251"/>
      <c r="R255" s="588"/>
      <c r="S255" s="111"/>
      <c r="T255" s="589"/>
      <c r="U255" s="587"/>
      <c r="V255" s="111"/>
      <c r="W255" s="111"/>
      <c r="X255" s="112"/>
      <c r="Y255" s="112"/>
      <c r="Z255" s="590"/>
      <c r="AA255" s="2124"/>
      <c r="AB255" s="591"/>
      <c r="AC255" s="350"/>
      <c r="AD255" s="350"/>
      <c r="AE255" s="350"/>
      <c r="AF255" s="350"/>
    </row>
    <row r="256" spans="1:32" s="597" customFormat="1" ht="18" customHeight="1" x14ac:dyDescent="0.2">
      <c r="A256" s="105"/>
      <c r="B256" s="131"/>
      <c r="C256" s="131"/>
      <c r="D256" s="105"/>
      <c r="E256" s="105"/>
      <c r="F256" s="105"/>
      <c r="G256" s="105"/>
      <c r="H256" s="451"/>
      <c r="I256" s="111"/>
      <c r="J256" s="587"/>
      <c r="K256" s="111"/>
      <c r="L256" s="105"/>
      <c r="M256" s="105"/>
      <c r="N256" s="105"/>
      <c r="O256" s="105"/>
      <c r="P256" s="451"/>
      <c r="Q256" s="251"/>
      <c r="R256" s="588"/>
      <c r="S256" s="111"/>
      <c r="T256" s="589"/>
      <c r="U256" s="587"/>
      <c r="V256" s="111"/>
      <c r="W256" s="111"/>
      <c r="X256" s="112"/>
      <c r="Y256" s="112"/>
      <c r="Z256" s="590"/>
      <c r="AA256" s="2124"/>
      <c r="AB256" s="591"/>
      <c r="AC256" s="350"/>
      <c r="AD256" s="350"/>
      <c r="AE256" s="350"/>
      <c r="AF256" s="350"/>
    </row>
    <row r="257" spans="1:32" s="597" customFormat="1" ht="18" customHeight="1" x14ac:dyDescent="0.2">
      <c r="A257" s="105"/>
      <c r="B257" s="131"/>
      <c r="C257" s="131"/>
      <c r="D257" s="105"/>
      <c r="E257" s="105"/>
      <c r="F257" s="105"/>
      <c r="G257" s="105"/>
      <c r="H257" s="451"/>
      <c r="I257" s="111"/>
      <c r="J257" s="587"/>
      <c r="K257" s="111"/>
      <c r="L257" s="105"/>
      <c r="M257" s="105"/>
      <c r="N257" s="105"/>
      <c r="O257" s="105"/>
      <c r="P257" s="451"/>
      <c r="Q257" s="251"/>
      <c r="R257" s="588"/>
      <c r="S257" s="111"/>
      <c r="T257" s="589"/>
      <c r="U257" s="587"/>
      <c r="V257" s="111"/>
      <c r="W257" s="111"/>
      <c r="X257" s="112"/>
      <c r="Y257" s="112"/>
      <c r="Z257" s="590"/>
      <c r="AA257" s="2124"/>
      <c r="AB257" s="591"/>
      <c r="AC257" s="350"/>
      <c r="AD257" s="350"/>
      <c r="AE257" s="350"/>
      <c r="AF257" s="350"/>
    </row>
    <row r="258" spans="1:32" s="597" customFormat="1" ht="18" customHeight="1" x14ac:dyDescent="0.2">
      <c r="A258" s="105"/>
      <c r="B258" s="131"/>
      <c r="C258" s="131"/>
      <c r="D258" s="105"/>
      <c r="E258" s="105"/>
      <c r="F258" s="105"/>
      <c r="G258" s="105"/>
      <c r="H258" s="451"/>
      <c r="I258" s="111"/>
      <c r="J258" s="587"/>
      <c r="K258" s="111"/>
      <c r="L258" s="105"/>
      <c r="M258" s="105"/>
      <c r="N258" s="105"/>
      <c r="O258" s="105"/>
      <c r="P258" s="451"/>
      <c r="Q258" s="251"/>
      <c r="R258" s="588"/>
      <c r="S258" s="111"/>
      <c r="T258" s="589"/>
      <c r="U258" s="587"/>
      <c r="V258" s="111"/>
      <c r="W258" s="111"/>
      <c r="X258" s="112"/>
      <c r="Y258" s="112"/>
      <c r="Z258" s="590"/>
      <c r="AA258" s="2124"/>
      <c r="AB258" s="591"/>
      <c r="AC258" s="350"/>
      <c r="AD258" s="350"/>
      <c r="AE258" s="350"/>
      <c r="AF258" s="350"/>
    </row>
    <row r="259" spans="1:32" s="597" customFormat="1" ht="18" customHeight="1" x14ac:dyDescent="0.2">
      <c r="A259" s="105"/>
      <c r="B259" s="131"/>
      <c r="C259" s="131"/>
      <c r="D259" s="105"/>
      <c r="E259" s="105"/>
      <c r="F259" s="105"/>
      <c r="G259" s="105"/>
      <c r="H259" s="451"/>
      <c r="I259" s="111"/>
      <c r="J259" s="587"/>
      <c r="K259" s="111"/>
      <c r="L259" s="105"/>
      <c r="M259" s="105"/>
      <c r="N259" s="105"/>
      <c r="O259" s="105"/>
      <c r="P259" s="451"/>
      <c r="Q259" s="251"/>
      <c r="R259" s="588"/>
      <c r="S259" s="111"/>
      <c r="T259" s="589"/>
      <c r="U259" s="587"/>
      <c r="V259" s="111"/>
      <c r="W259" s="111"/>
      <c r="X259" s="112"/>
      <c r="Y259" s="112"/>
      <c r="Z259" s="590"/>
      <c r="AA259" s="2124"/>
      <c r="AB259" s="591"/>
      <c r="AC259" s="350"/>
      <c r="AD259" s="350"/>
      <c r="AE259" s="350"/>
      <c r="AF259" s="350"/>
    </row>
    <row r="260" spans="1:32" s="597" customFormat="1" ht="18" customHeight="1" x14ac:dyDescent="0.2">
      <c r="A260" s="2138"/>
      <c r="B260" s="2139"/>
      <c r="C260" s="2139"/>
      <c r="D260" s="2138"/>
      <c r="E260" s="2138"/>
      <c r="F260" s="2138"/>
      <c r="G260" s="2138"/>
      <c r="H260" s="2140"/>
      <c r="I260" s="2141"/>
      <c r="J260" s="2142"/>
      <c r="K260" s="2141"/>
      <c r="L260" s="2138"/>
      <c r="M260" s="2138"/>
      <c r="N260" s="2138"/>
      <c r="O260" s="2138"/>
      <c r="P260" s="2140"/>
      <c r="Q260" s="2143"/>
      <c r="R260" s="2144"/>
      <c r="S260" s="2141"/>
      <c r="T260" s="2145"/>
      <c r="U260" s="2142"/>
      <c r="V260" s="2141"/>
      <c r="W260" s="2141"/>
      <c r="X260" s="2146"/>
      <c r="Y260" s="2146"/>
      <c r="Z260" s="2147"/>
      <c r="AA260" s="2148"/>
      <c r="AB260" s="2149">
        <f>SUM(AB246:AB259)</f>
        <v>1544.3086000000001</v>
      </c>
      <c r="AC260" s="1875"/>
      <c r="AD260" s="1875"/>
      <c r="AE260" s="1875"/>
      <c r="AF260" s="1875"/>
    </row>
    <row r="261" spans="1:32" s="597" customFormat="1" ht="14.1" customHeight="1" x14ac:dyDescent="0.2">
      <c r="A261" s="2730" t="s">
        <v>76</v>
      </c>
      <c r="B261" s="2730"/>
      <c r="C261" s="2731" t="s">
        <v>77</v>
      </c>
      <c r="D261" s="2731"/>
      <c r="E261" s="2731"/>
      <c r="F261" s="2731"/>
      <c r="G261" s="2731"/>
      <c r="H261" s="2731"/>
      <c r="I261" s="843" t="s">
        <v>78</v>
      </c>
      <c r="J261" s="843"/>
      <c r="K261" s="843"/>
      <c r="L261" s="843"/>
      <c r="M261" s="843"/>
      <c r="N261" s="843"/>
      <c r="O261" s="844"/>
      <c r="P261" s="844"/>
      <c r="Q261" s="844"/>
      <c r="R261" s="844"/>
      <c r="S261" s="844"/>
      <c r="T261" s="844"/>
      <c r="U261" s="844"/>
      <c r="V261" s="844"/>
      <c r="W261" s="844"/>
      <c r="X261" s="844"/>
      <c r="Y261" s="844"/>
      <c r="Z261" s="844"/>
      <c r="AA261" s="968"/>
      <c r="AB261" s="845"/>
    </row>
    <row r="262" spans="1:32" s="597" customFormat="1" ht="14.1" customHeight="1" x14ac:dyDescent="0.2">
      <c r="A262" s="843"/>
      <c r="B262" s="846"/>
      <c r="C262" s="843"/>
      <c r="D262" s="843"/>
      <c r="E262" s="843"/>
      <c r="F262" s="843"/>
      <c r="G262" s="843"/>
      <c r="H262" s="843"/>
      <c r="I262" s="843" t="s">
        <v>79</v>
      </c>
      <c r="J262" s="843"/>
      <c r="K262" s="843"/>
      <c r="L262" s="843"/>
      <c r="M262" s="843"/>
      <c r="N262" s="843"/>
      <c r="O262" s="844"/>
      <c r="P262" s="844"/>
      <c r="Q262" s="844"/>
      <c r="R262" s="844"/>
      <c r="S262" s="844"/>
      <c r="T262" s="844"/>
      <c r="U262" s="844"/>
      <c r="V262" s="844"/>
      <c r="W262" s="844"/>
      <c r="X262" s="844"/>
      <c r="Y262" s="844"/>
      <c r="Z262" s="844"/>
      <c r="AA262" s="968"/>
      <c r="AB262" s="845"/>
    </row>
    <row r="263" spans="1:32" s="597" customFormat="1" ht="14.1" customHeight="1" x14ac:dyDescent="0.2">
      <c r="A263" s="843"/>
      <c r="B263" s="846"/>
      <c r="C263" s="843"/>
      <c r="D263" s="843"/>
      <c r="E263" s="843"/>
      <c r="F263" s="843"/>
      <c r="G263" s="843"/>
      <c r="H263" s="843"/>
      <c r="I263" s="843" t="s">
        <v>80</v>
      </c>
      <c r="J263" s="843"/>
      <c r="K263" s="843"/>
      <c r="L263" s="843"/>
      <c r="M263" s="843"/>
      <c r="N263" s="843"/>
      <c r="O263" s="844"/>
      <c r="P263" s="844"/>
      <c r="Q263" s="844"/>
      <c r="R263" s="844"/>
      <c r="S263" s="844"/>
      <c r="T263" s="844"/>
      <c r="U263" s="844"/>
      <c r="V263" s="844"/>
      <c r="W263" s="844"/>
      <c r="X263" s="844"/>
      <c r="Y263" s="844"/>
      <c r="Z263" s="844"/>
      <c r="AA263" s="968"/>
      <c r="AB263" s="845"/>
    </row>
    <row r="264" spans="1:32" s="597" customFormat="1" ht="14.1" customHeight="1" x14ac:dyDescent="0.2">
      <c r="A264" s="843"/>
      <c r="B264" s="846"/>
      <c r="C264" s="843"/>
      <c r="D264" s="843"/>
      <c r="E264" s="843"/>
      <c r="F264" s="843"/>
      <c r="G264" s="843"/>
      <c r="H264" s="843"/>
      <c r="I264" s="843" t="s">
        <v>81</v>
      </c>
      <c r="J264" s="843"/>
      <c r="K264" s="843"/>
      <c r="L264" s="843"/>
      <c r="M264" s="843"/>
      <c r="N264" s="843"/>
      <c r="O264" s="844"/>
      <c r="P264" s="844"/>
      <c r="Q264" s="844"/>
      <c r="R264" s="844"/>
      <c r="S264" s="844"/>
      <c r="T264" s="844"/>
      <c r="U264" s="844"/>
      <c r="V264" s="844"/>
      <c r="W264" s="844"/>
      <c r="X264" s="844"/>
      <c r="Y264" s="844"/>
      <c r="Z264" s="844"/>
      <c r="AA264" s="968"/>
      <c r="AB264" s="845"/>
    </row>
    <row r="265" spans="1:32" s="597" customFormat="1" ht="14.1" customHeight="1" x14ac:dyDescent="0.2">
      <c r="A265" s="843"/>
      <c r="B265" s="846"/>
      <c r="C265" s="843"/>
      <c r="D265" s="843"/>
      <c r="E265" s="843"/>
      <c r="F265" s="843"/>
      <c r="G265" s="843"/>
      <c r="H265" s="843"/>
      <c r="I265" s="843" t="s">
        <v>88</v>
      </c>
      <c r="J265" s="843"/>
      <c r="K265" s="843"/>
      <c r="L265" s="843"/>
      <c r="M265" s="843"/>
      <c r="N265" s="843"/>
      <c r="O265" s="844"/>
      <c r="P265" s="844"/>
      <c r="Q265" s="844"/>
      <c r="R265" s="844"/>
      <c r="S265" s="844"/>
      <c r="T265" s="844"/>
      <c r="U265" s="844"/>
      <c r="V265" s="844"/>
      <c r="W265" s="844"/>
      <c r="X265" s="844"/>
      <c r="Y265" s="844"/>
      <c r="Z265" s="844"/>
      <c r="AA265" s="968"/>
      <c r="AB265" s="845"/>
    </row>
    <row r="266" spans="1:32" s="597" customFormat="1" ht="18" customHeight="1" x14ac:dyDescent="0.2">
      <c r="A266" s="339"/>
      <c r="B266" s="339"/>
      <c r="C266" s="339"/>
      <c r="D266" s="339"/>
      <c r="E266" s="339"/>
      <c r="F266" s="339"/>
      <c r="G266" s="339"/>
      <c r="H266" s="339"/>
      <c r="I266" s="339"/>
      <c r="J266" s="339"/>
      <c r="K266" s="339"/>
      <c r="L266" s="339"/>
      <c r="M266" s="339"/>
      <c r="N266" s="339"/>
      <c r="O266" s="339"/>
      <c r="P266" s="339"/>
      <c r="Q266" s="339"/>
      <c r="R266" s="339"/>
      <c r="S266" s="339"/>
      <c r="T266" s="339"/>
      <c r="U266" s="339"/>
      <c r="V266" s="339"/>
      <c r="W266" s="339"/>
      <c r="X266" s="339"/>
      <c r="Y266" s="339"/>
      <c r="Z266" s="339"/>
      <c r="AA266" s="2702" t="s">
        <v>0</v>
      </c>
      <c r="AB266" s="2702"/>
      <c r="AC266" s="339"/>
      <c r="AD266" s="339"/>
      <c r="AE266" s="339"/>
      <c r="AF266" s="339"/>
    </row>
    <row r="267" spans="1:32" s="597" customFormat="1" ht="18" customHeight="1" x14ac:dyDescent="0.2">
      <c r="A267" s="2703" t="s">
        <v>1</v>
      </c>
      <c r="B267" s="2703"/>
      <c r="C267" s="2703"/>
      <c r="D267" s="2703"/>
      <c r="E267" s="2703"/>
      <c r="F267" s="2703"/>
      <c r="G267" s="2703"/>
      <c r="H267" s="2703"/>
      <c r="I267" s="2703"/>
      <c r="J267" s="2703"/>
      <c r="K267" s="2703"/>
      <c r="L267" s="2703"/>
      <c r="M267" s="2703"/>
      <c r="N267" s="2703"/>
      <c r="O267" s="2703"/>
      <c r="P267" s="2703"/>
      <c r="Q267" s="2703"/>
      <c r="R267" s="2703"/>
      <c r="S267" s="2703"/>
      <c r="T267" s="2703"/>
      <c r="U267" s="2703"/>
      <c r="V267" s="2703"/>
      <c r="W267" s="2703"/>
      <c r="X267" s="2703"/>
      <c r="Y267" s="2703"/>
      <c r="Z267" s="2703"/>
      <c r="AA267" s="2703"/>
      <c r="AB267" s="2703"/>
      <c r="AC267" s="344"/>
      <c r="AD267" s="344"/>
      <c r="AE267" s="344"/>
      <c r="AF267" s="344"/>
    </row>
    <row r="268" spans="1:32" s="597" customFormat="1" ht="18" customHeight="1" x14ac:dyDescent="0.2">
      <c r="A268" s="2704" t="s">
        <v>549</v>
      </c>
      <c r="B268" s="2704"/>
      <c r="C268" s="2704"/>
      <c r="D268" s="2704"/>
      <c r="E268" s="2704"/>
      <c r="F268" s="2704"/>
      <c r="G268" s="2704"/>
      <c r="H268" s="2704"/>
      <c r="I268" s="2704"/>
      <c r="J268" s="2704"/>
      <c r="K268" s="2704"/>
      <c r="L268" s="2704"/>
      <c r="M268" s="2704"/>
      <c r="N268" s="2704"/>
      <c r="O268" s="2704"/>
      <c r="P268" s="2704"/>
      <c r="Q268" s="2704"/>
      <c r="R268" s="2704"/>
      <c r="S268" s="2704"/>
      <c r="T268" s="2704"/>
      <c r="U268" s="2704"/>
      <c r="V268" s="2704"/>
      <c r="W268" s="2704"/>
      <c r="X268" s="2704"/>
      <c r="Y268" s="2704"/>
      <c r="Z268" s="2704"/>
      <c r="AA268" s="2704"/>
      <c r="AB268" s="2704"/>
      <c r="AC268" s="599"/>
      <c r="AD268" s="599"/>
      <c r="AE268" s="599"/>
      <c r="AF268" s="599"/>
    </row>
    <row r="269" spans="1:32" s="597" customFormat="1" ht="14.1" customHeight="1" x14ac:dyDescent="0.2">
      <c r="A269" s="2686" t="s">
        <v>2</v>
      </c>
      <c r="B269" s="360"/>
      <c r="C269" s="2686" t="s">
        <v>3</v>
      </c>
      <c r="D269" s="360"/>
      <c r="E269" s="360"/>
      <c r="F269" s="2693" t="s">
        <v>4</v>
      </c>
      <c r="G269" s="2693"/>
      <c r="H269" s="2693"/>
      <c r="I269" s="2694"/>
      <c r="J269" s="2694"/>
      <c r="K269" s="2695"/>
      <c r="L269" s="361"/>
      <c r="M269" s="2679" t="s">
        <v>5</v>
      </c>
      <c r="N269" s="2679"/>
      <c r="O269" s="2679"/>
      <c r="P269" s="2679"/>
      <c r="Q269" s="2696"/>
      <c r="R269" s="2696"/>
      <c r="S269" s="2696"/>
      <c r="T269" s="2696"/>
      <c r="U269" s="2696"/>
      <c r="V269" s="2697"/>
      <c r="W269" s="362" t="s">
        <v>6</v>
      </c>
      <c r="X269" s="363" t="s">
        <v>7</v>
      </c>
      <c r="Y269" s="364"/>
      <c r="Z269" s="364"/>
      <c r="AA269" s="363"/>
      <c r="AB269" s="365"/>
      <c r="AC269" s="516" t="s">
        <v>8</v>
      </c>
      <c r="AD269" s="346"/>
      <c r="AE269" s="346"/>
      <c r="AF269" s="600"/>
    </row>
    <row r="270" spans="1:32" s="597" customFormat="1" ht="14.1" customHeight="1" x14ac:dyDescent="0.2">
      <c r="A270" s="2687"/>
      <c r="B270" s="367"/>
      <c r="C270" s="2687"/>
      <c r="D270" s="2062" t="s">
        <v>9</v>
      </c>
      <c r="E270" s="368" t="s">
        <v>10</v>
      </c>
      <c r="F270" s="2698" t="s">
        <v>11</v>
      </c>
      <c r="G270" s="2694"/>
      <c r="H270" s="2695"/>
      <c r="I270" s="360"/>
      <c r="J270" s="369" t="s">
        <v>12</v>
      </c>
      <c r="K270" s="360"/>
      <c r="L270" s="2679" t="s">
        <v>2</v>
      </c>
      <c r="M270" s="2067"/>
      <c r="N270" s="2067"/>
      <c r="O270" s="2067"/>
      <c r="P270" s="371"/>
      <c r="Q270" s="372" t="s">
        <v>13</v>
      </c>
      <c r="R270" s="373" t="s">
        <v>12</v>
      </c>
      <c r="S270" s="2067" t="s">
        <v>6</v>
      </c>
      <c r="T270" s="2682" t="s">
        <v>14</v>
      </c>
      <c r="U270" s="2683"/>
      <c r="V270" s="375" t="s">
        <v>7</v>
      </c>
      <c r="W270" s="376" t="s">
        <v>15</v>
      </c>
      <c r="X270" s="377" t="s">
        <v>16</v>
      </c>
      <c r="Y270" s="377" t="s">
        <v>17</v>
      </c>
      <c r="Z270" s="377" t="s">
        <v>18</v>
      </c>
      <c r="AA270" s="377"/>
      <c r="AB270" s="378" t="s">
        <v>19</v>
      </c>
      <c r="AC270" s="528" t="s">
        <v>20</v>
      </c>
      <c r="AD270" s="601"/>
      <c r="AE270" s="347" t="s">
        <v>21</v>
      </c>
      <c r="AF270" s="340" t="s">
        <v>22</v>
      </c>
    </row>
    <row r="271" spans="1:32" s="597" customFormat="1" ht="14.1" customHeight="1" x14ac:dyDescent="0.2">
      <c r="A271" s="2687"/>
      <c r="B271" s="2062" t="s">
        <v>23</v>
      </c>
      <c r="C271" s="2687"/>
      <c r="D271" s="2062" t="s">
        <v>24</v>
      </c>
      <c r="E271" s="368" t="s">
        <v>25</v>
      </c>
      <c r="F271" s="2699"/>
      <c r="G271" s="2700"/>
      <c r="H271" s="2701"/>
      <c r="I271" s="2062" t="s">
        <v>26</v>
      </c>
      <c r="J271" s="379" t="s">
        <v>15</v>
      </c>
      <c r="K271" s="2066" t="s">
        <v>6</v>
      </c>
      <c r="L271" s="2680"/>
      <c r="M271" s="2068" t="s">
        <v>27</v>
      </c>
      <c r="N271" s="2068" t="s">
        <v>10</v>
      </c>
      <c r="O271" s="382" t="s">
        <v>10</v>
      </c>
      <c r="P271" s="383" t="s">
        <v>28</v>
      </c>
      <c r="Q271" s="384" t="s">
        <v>29</v>
      </c>
      <c r="R271" s="383" t="s">
        <v>15</v>
      </c>
      <c r="S271" s="385" t="s">
        <v>15</v>
      </c>
      <c r="T271" s="2684"/>
      <c r="U271" s="2685"/>
      <c r="V271" s="375" t="s">
        <v>30</v>
      </c>
      <c r="W271" s="376" t="s">
        <v>31</v>
      </c>
      <c r="X271" s="377" t="s">
        <v>30</v>
      </c>
      <c r="Y271" s="377" t="s">
        <v>32</v>
      </c>
      <c r="Z271" s="377" t="s">
        <v>7</v>
      </c>
      <c r="AA271" s="377" t="s">
        <v>33</v>
      </c>
      <c r="AB271" s="378" t="s">
        <v>34</v>
      </c>
      <c r="AC271" s="528" t="s">
        <v>35</v>
      </c>
      <c r="AD271" s="347" t="s">
        <v>36</v>
      </c>
      <c r="AE271" s="347" t="s">
        <v>37</v>
      </c>
      <c r="AF271" s="340" t="s">
        <v>38</v>
      </c>
    </row>
    <row r="272" spans="1:32" s="597" customFormat="1" ht="14.1" customHeight="1" x14ac:dyDescent="0.2">
      <c r="A272" s="2687"/>
      <c r="B272" s="2062" t="s">
        <v>39</v>
      </c>
      <c r="C272" s="2687"/>
      <c r="D272" s="2062" t="s">
        <v>40</v>
      </c>
      <c r="E272" s="368" t="s">
        <v>41</v>
      </c>
      <c r="F272" s="2686" t="s">
        <v>42</v>
      </c>
      <c r="G272" s="2686" t="s">
        <v>43</v>
      </c>
      <c r="H272" s="2688" t="s">
        <v>44</v>
      </c>
      <c r="I272" s="2062" t="s">
        <v>45</v>
      </c>
      <c r="J272" s="379" t="s">
        <v>46</v>
      </c>
      <c r="K272" s="2066" t="s">
        <v>47</v>
      </c>
      <c r="L272" s="2680"/>
      <c r="M272" s="2068" t="s">
        <v>30</v>
      </c>
      <c r="N272" s="2068" t="s">
        <v>30</v>
      </c>
      <c r="O272" s="382" t="s">
        <v>25</v>
      </c>
      <c r="P272" s="383" t="s">
        <v>30</v>
      </c>
      <c r="Q272" s="384" t="s">
        <v>48</v>
      </c>
      <c r="R272" s="383" t="s">
        <v>49</v>
      </c>
      <c r="S272" s="385" t="s">
        <v>30</v>
      </c>
      <c r="T272" s="386" t="s">
        <v>50</v>
      </c>
      <c r="U272" s="2065" t="s">
        <v>13</v>
      </c>
      <c r="V272" s="375" t="s">
        <v>51</v>
      </c>
      <c r="W272" s="376" t="s">
        <v>52</v>
      </c>
      <c r="X272" s="377" t="s">
        <v>53</v>
      </c>
      <c r="Y272" s="377" t="s">
        <v>54</v>
      </c>
      <c r="Z272" s="377" t="s">
        <v>55</v>
      </c>
      <c r="AA272" s="377" t="s">
        <v>56</v>
      </c>
      <c r="AB272" s="378" t="s">
        <v>57</v>
      </c>
      <c r="AC272" s="347" t="s">
        <v>58</v>
      </c>
      <c r="AD272" s="347" t="s">
        <v>59</v>
      </c>
      <c r="AE272" s="347" t="s">
        <v>59</v>
      </c>
      <c r="AF272" s="340" t="s">
        <v>60</v>
      </c>
    </row>
    <row r="273" spans="1:32" s="597" customFormat="1" ht="14.1" customHeight="1" x14ac:dyDescent="0.2">
      <c r="A273" s="2687"/>
      <c r="B273" s="2062" t="s">
        <v>61</v>
      </c>
      <c r="C273" s="2687"/>
      <c r="D273" s="2062" t="s">
        <v>62</v>
      </c>
      <c r="E273" s="368" t="s">
        <v>63</v>
      </c>
      <c r="F273" s="2687"/>
      <c r="G273" s="2687"/>
      <c r="H273" s="2689"/>
      <c r="I273" s="2062" t="s">
        <v>64</v>
      </c>
      <c r="J273" s="379" t="s">
        <v>59</v>
      </c>
      <c r="K273" s="2066" t="s">
        <v>59</v>
      </c>
      <c r="L273" s="2680"/>
      <c r="M273" s="2068"/>
      <c r="N273" s="2068"/>
      <c r="O273" s="382" t="s">
        <v>41</v>
      </c>
      <c r="P273" s="383" t="s">
        <v>65</v>
      </c>
      <c r="Q273" s="384" t="s">
        <v>66</v>
      </c>
      <c r="R273" s="383" t="s">
        <v>67</v>
      </c>
      <c r="S273" s="385" t="s">
        <v>59</v>
      </c>
      <c r="T273" s="387" t="s">
        <v>68</v>
      </c>
      <c r="U273" s="375" t="s">
        <v>14</v>
      </c>
      <c r="V273" s="375" t="s">
        <v>14</v>
      </c>
      <c r="W273" s="376" t="s">
        <v>30</v>
      </c>
      <c r="X273" s="388" t="s">
        <v>69</v>
      </c>
      <c r="Y273" s="388" t="s">
        <v>70</v>
      </c>
      <c r="Z273" s="377" t="s">
        <v>71</v>
      </c>
      <c r="AA273" s="377" t="s">
        <v>72</v>
      </c>
      <c r="AB273" s="378" t="s">
        <v>59</v>
      </c>
      <c r="AC273" s="347" t="s">
        <v>59</v>
      </c>
      <c r="AD273" s="347"/>
      <c r="AE273" s="347"/>
      <c r="AF273" s="340" t="s">
        <v>59</v>
      </c>
    </row>
    <row r="274" spans="1:32" s="597" customFormat="1" ht="14.1" customHeight="1" x14ac:dyDescent="0.2">
      <c r="A274" s="2692"/>
      <c r="B274" s="390"/>
      <c r="C274" s="2692"/>
      <c r="D274" s="390"/>
      <c r="E274" s="2063"/>
      <c r="F274" s="390"/>
      <c r="G274" s="390"/>
      <c r="H274" s="391"/>
      <c r="I274" s="2063"/>
      <c r="J274" s="392"/>
      <c r="K274" s="393"/>
      <c r="L274" s="2681"/>
      <c r="M274" s="2069"/>
      <c r="N274" s="2069"/>
      <c r="O274" s="2069" t="s">
        <v>63</v>
      </c>
      <c r="P274" s="395"/>
      <c r="Q274" s="396" t="s">
        <v>72</v>
      </c>
      <c r="R274" s="397" t="s">
        <v>59</v>
      </c>
      <c r="S274" s="398"/>
      <c r="T274" s="397" t="s">
        <v>73</v>
      </c>
      <c r="U274" s="398" t="s">
        <v>59</v>
      </c>
      <c r="V274" s="399" t="s">
        <v>59</v>
      </c>
      <c r="W274" s="400" t="s">
        <v>59</v>
      </c>
      <c r="X274" s="401" t="s">
        <v>59</v>
      </c>
      <c r="Y274" s="401" t="s">
        <v>59</v>
      </c>
      <c r="Z274" s="401" t="s">
        <v>59</v>
      </c>
      <c r="AA274" s="402"/>
      <c r="AB274" s="403"/>
      <c r="AC274" s="348"/>
      <c r="AD274" s="348"/>
      <c r="AE274" s="348"/>
      <c r="AF274" s="341"/>
    </row>
    <row r="275" spans="1:32" s="597" customFormat="1" ht="18" customHeight="1" x14ac:dyDescent="0.25">
      <c r="A275" s="53">
        <v>1</v>
      </c>
      <c r="B275" s="333">
        <v>57267</v>
      </c>
      <c r="C275" s="41">
        <v>983</v>
      </c>
      <c r="D275" s="41" t="s">
        <v>83</v>
      </c>
      <c r="E275" s="15">
        <v>5</v>
      </c>
      <c r="F275" s="41">
        <v>1</v>
      </c>
      <c r="G275" s="41">
        <v>1</v>
      </c>
      <c r="H275" s="267">
        <v>75</v>
      </c>
      <c r="I275" s="18">
        <f>575-I276-I277</f>
        <v>351</v>
      </c>
      <c r="J275" s="23">
        <v>1500</v>
      </c>
      <c r="K275" s="39">
        <f>SUM(I275*J275)</f>
        <v>526500</v>
      </c>
      <c r="L275" s="45">
        <v>1</v>
      </c>
      <c r="M275" s="82">
        <v>101</v>
      </c>
      <c r="N275" s="41" t="s">
        <v>82</v>
      </c>
      <c r="O275" s="16">
        <v>2</v>
      </c>
      <c r="P275" s="41">
        <v>380.18</v>
      </c>
      <c r="Q275" s="62" t="s">
        <v>75</v>
      </c>
      <c r="R275" s="260">
        <v>7700</v>
      </c>
      <c r="S275" s="18">
        <f>P275*R275</f>
        <v>2927386</v>
      </c>
      <c r="T275" s="20">
        <v>10</v>
      </c>
      <c r="U275" s="47">
        <f>S275*40/100</f>
        <v>1170954.3999999999</v>
      </c>
      <c r="V275" s="47">
        <f>SUM(S275-U275)</f>
        <v>1756431.6</v>
      </c>
      <c r="W275" s="18">
        <f>K275+V275</f>
        <v>2282931.6</v>
      </c>
      <c r="X275" s="47">
        <f>(W275+W276+W277)*Q275/100</f>
        <v>4299066</v>
      </c>
      <c r="Y275" s="18" t="s">
        <v>87</v>
      </c>
      <c r="Z275" s="18">
        <v>0</v>
      </c>
      <c r="AA275" s="264">
        <v>0.02</v>
      </c>
      <c r="AB275" s="406">
        <f>+Z275*AA275/100</f>
        <v>0</v>
      </c>
      <c r="AC275" s="602"/>
      <c r="AD275" s="603">
        <f>AB275-AC275</f>
        <v>0</v>
      </c>
      <c r="AE275" s="603">
        <f>IF(AD275&lt;=0,0,AD275*25/100)</f>
        <v>0</v>
      </c>
      <c r="AF275" s="603">
        <f>IF(AC275+AE275&gt;AB275,AB275,AC275+AE275)</f>
        <v>0</v>
      </c>
    </row>
    <row r="276" spans="1:32" s="597" customFormat="1" ht="18" customHeight="1" x14ac:dyDescent="0.25">
      <c r="A276" s="242"/>
      <c r="B276" s="269"/>
      <c r="C276" s="285"/>
      <c r="D276" s="273"/>
      <c r="E276" s="21"/>
      <c r="F276" s="268"/>
      <c r="G276" s="269"/>
      <c r="H276" s="266"/>
      <c r="I276" s="18">
        <v>112</v>
      </c>
      <c r="J276" s="23">
        <v>1500</v>
      </c>
      <c r="K276" s="39">
        <f>I276*J276</f>
        <v>168000</v>
      </c>
      <c r="L276" s="45">
        <v>2</v>
      </c>
      <c r="M276" s="88">
        <v>401</v>
      </c>
      <c r="N276" s="27" t="s">
        <v>74</v>
      </c>
      <c r="O276" s="27">
        <v>3</v>
      </c>
      <c r="P276" s="270">
        <v>111.12</v>
      </c>
      <c r="Q276" s="62" t="s">
        <v>75</v>
      </c>
      <c r="R276" s="260">
        <v>8000</v>
      </c>
      <c r="S276" s="18">
        <f>P276*R276</f>
        <v>888960</v>
      </c>
      <c r="T276" s="20">
        <v>5</v>
      </c>
      <c r="U276" s="47">
        <f>S276*5/100</f>
        <v>44448</v>
      </c>
      <c r="V276" s="47">
        <f>SUM(S276-U276)</f>
        <v>844512</v>
      </c>
      <c r="W276" s="18">
        <f>K276+V276</f>
        <v>1012512</v>
      </c>
      <c r="X276" s="47">
        <f>(W276+W277+W278)*Q276/100</f>
        <v>2016134.4</v>
      </c>
      <c r="Y276" s="18"/>
      <c r="Z276" s="18">
        <f>+X276</f>
        <v>2016134.4</v>
      </c>
      <c r="AA276" s="264">
        <v>0.02</v>
      </c>
      <c r="AB276" s="415">
        <f>+Z276*AA276/100</f>
        <v>403.22687999999999</v>
      </c>
      <c r="AC276" s="350"/>
      <c r="AD276" s="350"/>
      <c r="AE276" s="350"/>
      <c r="AF276" s="350"/>
    </row>
    <row r="277" spans="1:32" s="597" customFormat="1" ht="18" customHeight="1" x14ac:dyDescent="0.25">
      <c r="A277" s="242"/>
      <c r="B277" s="27"/>
      <c r="C277" s="27"/>
      <c r="D277" s="27"/>
      <c r="E277" s="21"/>
      <c r="F277" s="27"/>
      <c r="G277" s="27"/>
      <c r="H277" s="266"/>
      <c r="I277" s="18">
        <v>112</v>
      </c>
      <c r="J277" s="23">
        <v>1500</v>
      </c>
      <c r="K277" s="39">
        <f>I277*J277</f>
        <v>168000</v>
      </c>
      <c r="L277" s="45">
        <v>3</v>
      </c>
      <c r="M277" s="2070">
        <v>401</v>
      </c>
      <c r="N277" s="15" t="s">
        <v>74</v>
      </c>
      <c r="O277" s="50">
        <v>3</v>
      </c>
      <c r="P277" s="27">
        <v>111.12</v>
      </c>
      <c r="Q277" s="62" t="s">
        <v>75</v>
      </c>
      <c r="R277" s="260">
        <v>8000</v>
      </c>
      <c r="S277" s="18">
        <f>P277*R277</f>
        <v>888960</v>
      </c>
      <c r="T277" s="20">
        <v>6</v>
      </c>
      <c r="U277" s="47">
        <f>S277*6/100</f>
        <v>53337.599999999999</v>
      </c>
      <c r="V277" s="47">
        <f>SUM(S277-U277)</f>
        <v>835622.40000000002</v>
      </c>
      <c r="W277" s="18">
        <f>K277+V277</f>
        <v>1003622.4</v>
      </c>
      <c r="X277" s="47">
        <f>(W277+W278+W279)*Q277/100</f>
        <v>1003622.4</v>
      </c>
      <c r="Y277" s="18"/>
      <c r="Z277" s="18">
        <f>+X277</f>
        <v>1003622.4</v>
      </c>
      <c r="AA277" s="264">
        <v>0.02</v>
      </c>
      <c r="AB277" s="415">
        <f>+Z277*AA277/100</f>
        <v>200.72448</v>
      </c>
      <c r="AC277" s="350"/>
      <c r="AD277" s="350"/>
      <c r="AE277" s="350"/>
      <c r="AF277" s="350"/>
    </row>
    <row r="278" spans="1:32" s="597" customFormat="1" ht="18" customHeight="1" x14ac:dyDescent="0.2">
      <c r="A278" s="2070"/>
      <c r="B278" s="177"/>
      <c r="C278" s="177"/>
      <c r="D278" s="2070"/>
      <c r="E278" s="2070"/>
      <c r="F278" s="2070"/>
      <c r="G278" s="2070"/>
      <c r="H278" s="2076"/>
      <c r="I278" s="2072"/>
      <c r="J278" s="178"/>
      <c r="K278" s="2072"/>
      <c r="L278" s="2070"/>
      <c r="M278" s="2070"/>
      <c r="N278" s="2070"/>
      <c r="O278" s="2070"/>
      <c r="P278" s="2076"/>
      <c r="Q278" s="2071"/>
      <c r="R278" s="437"/>
      <c r="S278" s="2072"/>
      <c r="T278" s="179"/>
      <c r="U278" s="178"/>
      <c r="V278" s="2072"/>
      <c r="W278" s="2072"/>
      <c r="X278" s="470"/>
      <c r="Y278" s="470"/>
      <c r="Z278" s="471"/>
      <c r="AA278" s="764"/>
      <c r="AB278" s="410"/>
      <c r="AC278" s="350"/>
      <c r="AD278" s="350"/>
      <c r="AE278" s="350"/>
      <c r="AF278" s="350"/>
    </row>
    <row r="279" spans="1:32" s="597" customFormat="1" ht="18" customHeight="1" x14ac:dyDescent="0.2">
      <c r="A279" s="2070"/>
      <c r="B279" s="177"/>
      <c r="C279" s="177"/>
      <c r="D279" s="2070"/>
      <c r="E279" s="2070"/>
      <c r="F279" s="2070"/>
      <c r="G279" s="2070"/>
      <c r="H279" s="2076"/>
      <c r="I279" s="2072"/>
      <c r="J279" s="178"/>
      <c r="K279" s="2072"/>
      <c r="L279" s="2070"/>
      <c r="M279" s="2070"/>
      <c r="N279" s="2070"/>
      <c r="O279" s="2070"/>
      <c r="P279" s="2076"/>
      <c r="Q279" s="2071"/>
      <c r="R279" s="437"/>
      <c r="S279" s="2072"/>
      <c r="T279" s="179"/>
      <c r="U279" s="178"/>
      <c r="V279" s="2072"/>
      <c r="W279" s="2072"/>
      <c r="X279" s="470"/>
      <c r="Y279" s="470"/>
      <c r="Z279" s="471"/>
      <c r="AA279" s="764"/>
      <c r="AB279" s="466"/>
      <c r="AC279" s="350"/>
      <c r="AD279" s="350"/>
      <c r="AE279" s="350"/>
      <c r="AF279" s="350"/>
    </row>
    <row r="280" spans="1:32" s="597" customFormat="1" ht="18" customHeight="1" x14ac:dyDescent="0.2">
      <c r="A280" s="2070"/>
      <c r="B280" s="177"/>
      <c r="C280" s="177"/>
      <c r="D280" s="2070"/>
      <c r="E280" s="2070"/>
      <c r="F280" s="2070"/>
      <c r="G280" s="2070"/>
      <c r="H280" s="2076"/>
      <c r="I280" s="2072"/>
      <c r="J280" s="178"/>
      <c r="K280" s="2072"/>
      <c r="L280" s="2070"/>
      <c r="M280" s="2070"/>
      <c r="N280" s="2070"/>
      <c r="O280" s="2070"/>
      <c r="P280" s="2076"/>
      <c r="Q280" s="2071"/>
      <c r="R280" s="437"/>
      <c r="S280" s="2072"/>
      <c r="T280" s="179"/>
      <c r="U280" s="178"/>
      <c r="V280" s="2072"/>
      <c r="W280" s="2072"/>
      <c r="X280" s="470"/>
      <c r="Y280" s="470"/>
      <c r="Z280" s="471"/>
      <c r="AA280" s="764"/>
      <c r="AB280" s="466"/>
      <c r="AC280" s="350"/>
      <c r="AD280" s="350"/>
      <c r="AE280" s="350"/>
      <c r="AF280" s="350"/>
    </row>
    <row r="281" spans="1:32" s="597" customFormat="1" ht="18" customHeight="1" x14ac:dyDescent="0.2">
      <c r="A281" s="2070"/>
      <c r="B281" s="177"/>
      <c r="C281" s="177"/>
      <c r="D281" s="2070"/>
      <c r="E281" s="2070"/>
      <c r="F281" s="2070"/>
      <c r="G281" s="2070"/>
      <c r="H281" s="2076"/>
      <c r="I281" s="2072"/>
      <c r="J281" s="178"/>
      <c r="K281" s="2072"/>
      <c r="L281" s="2070"/>
      <c r="M281" s="2070"/>
      <c r="N281" s="2070"/>
      <c r="O281" s="2070"/>
      <c r="P281" s="2076"/>
      <c r="Q281" s="2071"/>
      <c r="R281" s="437"/>
      <c r="S281" s="2072"/>
      <c r="T281" s="179"/>
      <c r="U281" s="178"/>
      <c r="V281" s="2072"/>
      <c r="W281" s="2072"/>
      <c r="X281" s="470"/>
      <c r="Y281" s="470"/>
      <c r="Z281" s="471"/>
      <c r="AA281" s="764"/>
      <c r="AB281" s="466"/>
      <c r="AC281" s="350"/>
      <c r="AD281" s="350"/>
      <c r="AE281" s="350"/>
      <c r="AF281" s="350"/>
    </row>
    <row r="282" spans="1:32" s="597" customFormat="1" ht="18" customHeight="1" x14ac:dyDescent="0.2">
      <c r="A282" s="2070"/>
      <c r="B282" s="177"/>
      <c r="C282" s="177"/>
      <c r="D282" s="2070"/>
      <c r="E282" s="2070"/>
      <c r="F282" s="2070"/>
      <c r="G282" s="2070"/>
      <c r="H282" s="2076"/>
      <c r="I282" s="2072"/>
      <c r="J282" s="178"/>
      <c r="K282" s="2072"/>
      <c r="L282" s="2070"/>
      <c r="M282" s="2070"/>
      <c r="N282" s="2070"/>
      <c r="O282" s="2070"/>
      <c r="P282" s="2076"/>
      <c r="Q282" s="2071"/>
      <c r="R282" s="437"/>
      <c r="S282" s="2072"/>
      <c r="T282" s="179"/>
      <c r="U282" s="178"/>
      <c r="V282" s="2072"/>
      <c r="W282" s="2072"/>
      <c r="X282" s="470"/>
      <c r="Y282" s="470"/>
      <c r="Z282" s="471"/>
      <c r="AA282" s="764"/>
      <c r="AB282" s="466"/>
      <c r="AC282" s="350"/>
      <c r="AD282" s="350"/>
      <c r="AE282" s="350"/>
      <c r="AF282" s="350"/>
    </row>
    <row r="283" spans="1:32" s="597" customFormat="1" ht="18" customHeight="1" x14ac:dyDescent="0.2">
      <c r="A283" s="2070"/>
      <c r="B283" s="177"/>
      <c r="C283" s="177"/>
      <c r="D283" s="2070"/>
      <c r="E283" s="2070"/>
      <c r="F283" s="2070"/>
      <c r="G283" s="2070"/>
      <c r="H283" s="2076"/>
      <c r="I283" s="2072"/>
      <c r="J283" s="178"/>
      <c r="K283" s="2072"/>
      <c r="L283" s="2070"/>
      <c r="M283" s="2070"/>
      <c r="N283" s="2070"/>
      <c r="O283" s="2070"/>
      <c r="P283" s="2076"/>
      <c r="Q283" s="2071"/>
      <c r="R283" s="437"/>
      <c r="S283" s="2072"/>
      <c r="T283" s="179"/>
      <c r="U283" s="178"/>
      <c r="V283" s="2072"/>
      <c r="W283" s="2072"/>
      <c r="X283" s="470"/>
      <c r="Y283" s="470"/>
      <c r="Z283" s="471"/>
      <c r="AA283" s="764"/>
      <c r="AB283" s="466"/>
      <c r="AC283" s="350"/>
      <c r="AD283" s="350"/>
      <c r="AE283" s="350"/>
      <c r="AF283" s="350"/>
    </row>
    <row r="284" spans="1:32" s="597" customFormat="1" ht="18" customHeight="1" x14ac:dyDescent="0.2">
      <c r="A284" s="2070"/>
      <c r="B284" s="177"/>
      <c r="C284" s="177"/>
      <c r="D284" s="2070"/>
      <c r="E284" s="2070"/>
      <c r="F284" s="2070"/>
      <c r="G284" s="2070"/>
      <c r="H284" s="2076"/>
      <c r="I284" s="2072"/>
      <c r="J284" s="178"/>
      <c r="K284" s="2072"/>
      <c r="L284" s="2070"/>
      <c r="M284" s="2070"/>
      <c r="N284" s="2070"/>
      <c r="O284" s="2070"/>
      <c r="P284" s="2076"/>
      <c r="Q284" s="2071"/>
      <c r="R284" s="437"/>
      <c r="S284" s="2072"/>
      <c r="T284" s="179"/>
      <c r="U284" s="178"/>
      <c r="V284" s="2072"/>
      <c r="W284" s="2072"/>
      <c r="X284" s="470"/>
      <c r="Y284" s="470"/>
      <c r="Z284" s="471"/>
      <c r="AA284" s="764"/>
      <c r="AB284" s="466"/>
      <c r="AC284" s="350"/>
      <c r="AD284" s="350"/>
      <c r="AE284" s="350"/>
      <c r="AF284" s="350"/>
    </row>
    <row r="285" spans="1:32" s="597" customFormat="1" ht="18" customHeight="1" x14ac:dyDescent="0.2">
      <c r="A285" s="2070"/>
      <c r="B285" s="177"/>
      <c r="C285" s="177"/>
      <c r="D285" s="2070"/>
      <c r="E285" s="2070"/>
      <c r="F285" s="2070"/>
      <c r="G285" s="2070"/>
      <c r="H285" s="2076"/>
      <c r="I285" s="2072"/>
      <c r="J285" s="178"/>
      <c r="K285" s="2072"/>
      <c r="L285" s="2070"/>
      <c r="M285" s="2070"/>
      <c r="N285" s="2070"/>
      <c r="O285" s="2070"/>
      <c r="P285" s="2076"/>
      <c r="Q285" s="2071"/>
      <c r="R285" s="437"/>
      <c r="S285" s="2072"/>
      <c r="T285" s="179"/>
      <c r="U285" s="178"/>
      <c r="V285" s="2072"/>
      <c r="W285" s="2072"/>
      <c r="X285" s="470"/>
      <c r="Y285" s="470"/>
      <c r="Z285" s="471"/>
      <c r="AA285" s="764"/>
      <c r="AB285" s="466"/>
      <c r="AC285" s="350"/>
      <c r="AD285" s="350"/>
      <c r="AE285" s="350"/>
      <c r="AF285" s="350"/>
    </row>
    <row r="286" spans="1:32" s="597" customFormat="1" ht="18" customHeight="1" x14ac:dyDescent="0.2">
      <c r="A286" s="2070"/>
      <c r="B286" s="177"/>
      <c r="C286" s="177"/>
      <c r="D286" s="2070"/>
      <c r="E286" s="2070"/>
      <c r="F286" s="2070"/>
      <c r="G286" s="2070"/>
      <c r="H286" s="2076"/>
      <c r="I286" s="2072"/>
      <c r="J286" s="178"/>
      <c r="K286" s="2072"/>
      <c r="L286" s="2070"/>
      <c r="M286" s="2070"/>
      <c r="N286" s="2070"/>
      <c r="O286" s="2070"/>
      <c r="P286" s="2076"/>
      <c r="Q286" s="2071"/>
      <c r="R286" s="437"/>
      <c r="S286" s="2072"/>
      <c r="T286" s="179"/>
      <c r="U286" s="178"/>
      <c r="V286" s="2072"/>
      <c r="W286" s="2072"/>
      <c r="X286" s="470"/>
      <c r="Y286" s="470"/>
      <c r="Z286" s="471"/>
      <c r="AA286" s="764"/>
      <c r="AB286" s="466"/>
      <c r="AC286" s="350"/>
      <c r="AD286" s="350"/>
      <c r="AE286" s="350"/>
      <c r="AF286" s="350"/>
    </row>
    <row r="287" spans="1:32" s="597" customFormat="1" ht="18" customHeight="1" x14ac:dyDescent="0.2">
      <c r="A287" s="2070"/>
      <c r="B287" s="177"/>
      <c r="C287" s="177"/>
      <c r="D287" s="2070"/>
      <c r="E287" s="2070"/>
      <c r="F287" s="2070"/>
      <c r="G287" s="2070"/>
      <c r="H287" s="2076"/>
      <c r="I287" s="2072"/>
      <c r="J287" s="178"/>
      <c r="K287" s="2072"/>
      <c r="L287" s="2070"/>
      <c r="M287" s="2070"/>
      <c r="N287" s="2070"/>
      <c r="O287" s="2070"/>
      <c r="P287" s="2076"/>
      <c r="Q287" s="2071"/>
      <c r="R287" s="437"/>
      <c r="S287" s="2072"/>
      <c r="T287" s="179"/>
      <c r="U287" s="178"/>
      <c r="V287" s="2072"/>
      <c r="W287" s="2072"/>
      <c r="X287" s="470"/>
      <c r="Y287" s="470"/>
      <c r="Z287" s="471"/>
      <c r="AA287" s="764"/>
      <c r="AB287" s="466"/>
      <c r="AC287" s="350"/>
      <c r="AD287" s="350"/>
      <c r="AE287" s="350"/>
      <c r="AF287" s="350"/>
    </row>
    <row r="288" spans="1:32" s="597" customFormat="1" ht="18" customHeight="1" x14ac:dyDescent="0.2">
      <c r="A288" s="88"/>
      <c r="B288" s="180"/>
      <c r="C288" s="180"/>
      <c r="D288" s="88"/>
      <c r="E288" s="88"/>
      <c r="F288" s="88"/>
      <c r="G288" s="88"/>
      <c r="H288" s="120"/>
      <c r="I288" s="121"/>
      <c r="J288" s="181"/>
      <c r="K288" s="121"/>
      <c r="L288" s="88"/>
      <c r="M288" s="88"/>
      <c r="N288" s="88"/>
      <c r="O288" s="88"/>
      <c r="P288" s="88"/>
      <c r="Q288" s="129"/>
      <c r="R288" s="445"/>
      <c r="S288" s="121"/>
      <c r="T288" s="182"/>
      <c r="U288" s="181"/>
      <c r="V288" s="121"/>
      <c r="W288" s="121"/>
      <c r="X288" s="472"/>
      <c r="Y288" s="472"/>
      <c r="Z288" s="473"/>
      <c r="AA288" s="780"/>
      <c r="AB288" s="410"/>
      <c r="AC288" s="351"/>
      <c r="AD288" s="351"/>
      <c r="AE288" s="351"/>
      <c r="AF288" s="351"/>
    </row>
    <row r="289" spans="1:32" s="597" customFormat="1" ht="18" customHeight="1" x14ac:dyDescent="0.2">
      <c r="A289" s="1850"/>
      <c r="B289" s="1850"/>
      <c r="C289" s="1850"/>
      <c r="D289" s="1850"/>
      <c r="E289" s="1850"/>
      <c r="F289" s="1850"/>
      <c r="G289" s="1850"/>
      <c r="H289" s="1851"/>
      <c r="I289" s="1852"/>
      <c r="J289" s="1853"/>
      <c r="K289" s="1852"/>
      <c r="L289" s="1852"/>
      <c r="M289" s="1852"/>
      <c r="N289" s="1852"/>
      <c r="O289" s="1852"/>
      <c r="P289" s="1852"/>
      <c r="Q289" s="1852"/>
      <c r="R289" s="1854"/>
      <c r="S289" s="1852"/>
      <c r="T289" s="1855"/>
      <c r="U289" s="1853"/>
      <c r="V289" s="1852"/>
      <c r="W289" s="1852"/>
      <c r="X289" s="1856"/>
      <c r="Y289" s="1856"/>
      <c r="Z289" s="1857"/>
      <c r="AA289" s="2125"/>
      <c r="AB289" s="1847">
        <f>SUM(AB275:AB288)</f>
        <v>603.95136000000002</v>
      </c>
      <c r="AC289" s="1861"/>
      <c r="AD289" s="1861"/>
      <c r="AE289" s="1861"/>
      <c r="AF289" s="1861"/>
    </row>
    <row r="290" spans="1:32" s="597" customFormat="1" ht="14.1" customHeight="1" x14ac:dyDescent="0.2">
      <c r="A290" s="2690" t="s">
        <v>76</v>
      </c>
      <c r="B290" s="2690"/>
      <c r="C290" s="2691" t="s">
        <v>77</v>
      </c>
      <c r="D290" s="2691"/>
      <c r="E290" s="2691"/>
      <c r="F290" s="2691"/>
      <c r="G290" s="2691"/>
      <c r="H290" s="2691"/>
      <c r="I290" s="604" t="s">
        <v>78</v>
      </c>
      <c r="J290" s="604"/>
      <c r="K290" s="604"/>
      <c r="L290" s="604"/>
      <c r="M290" s="604"/>
      <c r="N290" s="604"/>
      <c r="AA290" s="767"/>
      <c r="AB290" s="598"/>
    </row>
    <row r="291" spans="1:32" s="597" customFormat="1" ht="14.1" customHeight="1" x14ac:dyDescent="0.2">
      <c r="A291" s="604"/>
      <c r="B291" s="605"/>
      <c r="C291" s="604"/>
      <c r="D291" s="604"/>
      <c r="E291" s="604"/>
      <c r="F291" s="604"/>
      <c r="G291" s="604"/>
      <c r="H291" s="604"/>
      <c r="I291" s="604" t="s">
        <v>79</v>
      </c>
      <c r="J291" s="604"/>
      <c r="K291" s="604"/>
      <c r="L291" s="604"/>
      <c r="M291" s="604"/>
      <c r="N291" s="604"/>
      <c r="AA291" s="767"/>
      <c r="AB291" s="598"/>
    </row>
    <row r="292" spans="1:32" s="597" customFormat="1" ht="14.1" customHeight="1" x14ac:dyDescent="0.2">
      <c r="A292" s="604"/>
      <c r="B292" s="605"/>
      <c r="C292" s="604"/>
      <c r="D292" s="604"/>
      <c r="E292" s="604"/>
      <c r="F292" s="604"/>
      <c r="G292" s="604"/>
      <c r="H292" s="604"/>
      <c r="I292" s="604" t="s">
        <v>80</v>
      </c>
      <c r="J292" s="604"/>
      <c r="K292" s="604"/>
      <c r="L292" s="604"/>
      <c r="M292" s="604"/>
      <c r="N292" s="604"/>
      <c r="AA292" s="767"/>
      <c r="AB292" s="598"/>
    </row>
    <row r="293" spans="1:32" s="597" customFormat="1" ht="14.1" customHeight="1" x14ac:dyDescent="0.2">
      <c r="A293" s="604"/>
      <c r="B293" s="605"/>
      <c r="C293" s="604"/>
      <c r="D293" s="604"/>
      <c r="E293" s="604"/>
      <c r="F293" s="604"/>
      <c r="G293" s="604"/>
      <c r="H293" s="604"/>
      <c r="I293" s="604" t="s">
        <v>81</v>
      </c>
      <c r="J293" s="604"/>
      <c r="K293" s="604"/>
      <c r="L293" s="604"/>
      <c r="M293" s="604"/>
      <c r="N293" s="604"/>
      <c r="AA293" s="767"/>
      <c r="AB293" s="598"/>
    </row>
    <row r="294" spans="1:32" ht="14.1" customHeight="1" x14ac:dyDescent="0.2">
      <c r="A294" s="429"/>
      <c r="B294" s="430"/>
      <c r="C294" s="429"/>
      <c r="D294" s="429"/>
      <c r="E294" s="429"/>
      <c r="F294" s="429"/>
      <c r="G294" s="429"/>
      <c r="H294" s="429"/>
      <c r="I294" s="604" t="s">
        <v>88</v>
      </c>
      <c r="J294" s="429"/>
      <c r="K294" s="429"/>
      <c r="L294" s="429"/>
      <c r="M294" s="429"/>
      <c r="N294" s="429"/>
    </row>
    <row r="295" spans="1:32" s="597" customFormat="1" ht="18" customHeight="1" x14ac:dyDescent="0.2">
      <c r="A295" s="339"/>
      <c r="B295" s="339"/>
      <c r="C295" s="339"/>
      <c r="D295" s="339"/>
      <c r="E295" s="339"/>
      <c r="F295" s="339"/>
      <c r="G295" s="339"/>
      <c r="H295" s="339"/>
      <c r="I295" s="339"/>
      <c r="J295" s="339"/>
      <c r="K295" s="339"/>
      <c r="L295" s="339"/>
      <c r="M295" s="339"/>
      <c r="N295" s="339"/>
      <c r="O295" s="339"/>
      <c r="P295" s="339"/>
      <c r="Q295" s="339"/>
      <c r="R295" s="339"/>
      <c r="S295" s="339"/>
      <c r="T295" s="339"/>
      <c r="U295" s="339"/>
      <c r="V295" s="339"/>
      <c r="W295" s="339"/>
      <c r="X295" s="339"/>
      <c r="Y295" s="339"/>
      <c r="Z295" s="339"/>
      <c r="AA295" s="2702" t="s">
        <v>0</v>
      </c>
      <c r="AB295" s="2702"/>
      <c r="AC295" s="339"/>
      <c r="AD295" s="339"/>
      <c r="AE295" s="339"/>
      <c r="AF295" s="339"/>
    </row>
    <row r="296" spans="1:32" s="597" customFormat="1" ht="18" customHeight="1" x14ac:dyDescent="0.2">
      <c r="A296" s="2703" t="s">
        <v>1</v>
      </c>
      <c r="B296" s="2703"/>
      <c r="C296" s="2703"/>
      <c r="D296" s="2703"/>
      <c r="E296" s="2703"/>
      <c r="F296" s="2703"/>
      <c r="G296" s="2703"/>
      <c r="H296" s="2703"/>
      <c r="I296" s="2703"/>
      <c r="J296" s="2703"/>
      <c r="K296" s="2703"/>
      <c r="L296" s="2703"/>
      <c r="M296" s="2703"/>
      <c r="N296" s="2703"/>
      <c r="O296" s="2703"/>
      <c r="P296" s="2703"/>
      <c r="Q296" s="2703"/>
      <c r="R296" s="2703"/>
      <c r="S296" s="2703"/>
      <c r="T296" s="2703"/>
      <c r="U296" s="2703"/>
      <c r="V296" s="2703"/>
      <c r="W296" s="2703"/>
      <c r="X296" s="2703"/>
      <c r="Y296" s="2703"/>
      <c r="Z296" s="2703"/>
      <c r="AA296" s="2703"/>
      <c r="AB296" s="2703"/>
      <c r="AC296" s="344"/>
      <c r="AD296" s="344"/>
      <c r="AE296" s="344"/>
      <c r="AF296" s="344"/>
    </row>
    <row r="297" spans="1:32" s="597" customFormat="1" ht="18" customHeight="1" x14ac:dyDescent="0.2">
      <c r="A297" s="2704" t="s">
        <v>550</v>
      </c>
      <c r="B297" s="2704"/>
      <c r="C297" s="2704"/>
      <c r="D297" s="2704"/>
      <c r="E297" s="2704"/>
      <c r="F297" s="2704"/>
      <c r="G297" s="2704"/>
      <c r="H297" s="2704"/>
      <c r="I297" s="2704"/>
      <c r="J297" s="2704"/>
      <c r="K297" s="2704"/>
      <c r="L297" s="2704"/>
      <c r="M297" s="2704"/>
      <c r="N297" s="2704"/>
      <c r="O297" s="2704"/>
      <c r="P297" s="2704"/>
      <c r="Q297" s="2704"/>
      <c r="R297" s="2704"/>
      <c r="S297" s="2704"/>
      <c r="T297" s="2704"/>
      <c r="U297" s="2704"/>
      <c r="V297" s="2704"/>
      <c r="W297" s="2704"/>
      <c r="X297" s="2704"/>
      <c r="Y297" s="2704"/>
      <c r="Z297" s="2704"/>
      <c r="AA297" s="2704"/>
      <c r="AB297" s="2704"/>
      <c r="AC297" s="599"/>
      <c r="AD297" s="599"/>
      <c r="AE297" s="599"/>
      <c r="AF297" s="599"/>
    </row>
    <row r="298" spans="1:32" s="597" customFormat="1" ht="14.1" customHeight="1" x14ac:dyDescent="0.2">
      <c r="A298" s="2686" t="s">
        <v>2</v>
      </c>
      <c r="B298" s="360"/>
      <c r="C298" s="2686" t="s">
        <v>3</v>
      </c>
      <c r="D298" s="360"/>
      <c r="E298" s="360"/>
      <c r="F298" s="2693" t="s">
        <v>4</v>
      </c>
      <c r="G298" s="2693"/>
      <c r="H298" s="2693"/>
      <c r="I298" s="2694"/>
      <c r="J298" s="2694"/>
      <c r="K298" s="2695"/>
      <c r="L298" s="361"/>
      <c r="M298" s="2679" t="s">
        <v>5</v>
      </c>
      <c r="N298" s="2679"/>
      <c r="O298" s="2679"/>
      <c r="P298" s="2679"/>
      <c r="Q298" s="2696"/>
      <c r="R298" s="2696"/>
      <c r="S298" s="2696"/>
      <c r="T298" s="2696"/>
      <c r="U298" s="2696"/>
      <c r="V298" s="2697"/>
      <c r="W298" s="362" t="s">
        <v>6</v>
      </c>
      <c r="X298" s="363" t="s">
        <v>7</v>
      </c>
      <c r="Y298" s="364"/>
      <c r="Z298" s="364"/>
      <c r="AA298" s="363"/>
      <c r="AB298" s="365"/>
      <c r="AC298" s="516" t="s">
        <v>8</v>
      </c>
      <c r="AD298" s="346"/>
      <c r="AE298" s="346"/>
      <c r="AF298" s="600"/>
    </row>
    <row r="299" spans="1:32" s="597" customFormat="1" ht="14.1" customHeight="1" x14ac:dyDescent="0.2">
      <c r="A299" s="2687"/>
      <c r="B299" s="367"/>
      <c r="C299" s="2687"/>
      <c r="D299" s="2062" t="s">
        <v>9</v>
      </c>
      <c r="E299" s="368" t="s">
        <v>10</v>
      </c>
      <c r="F299" s="2698" t="s">
        <v>11</v>
      </c>
      <c r="G299" s="2694"/>
      <c r="H299" s="2695"/>
      <c r="I299" s="360"/>
      <c r="J299" s="369" t="s">
        <v>12</v>
      </c>
      <c r="K299" s="360"/>
      <c r="L299" s="2679" t="s">
        <v>2</v>
      </c>
      <c r="M299" s="2067"/>
      <c r="N299" s="2067"/>
      <c r="O299" s="2067"/>
      <c r="P299" s="371"/>
      <c r="Q299" s="372" t="s">
        <v>13</v>
      </c>
      <c r="R299" s="373" t="s">
        <v>12</v>
      </c>
      <c r="S299" s="2067" t="s">
        <v>6</v>
      </c>
      <c r="T299" s="2682" t="s">
        <v>14</v>
      </c>
      <c r="U299" s="2683"/>
      <c r="V299" s="375" t="s">
        <v>7</v>
      </c>
      <c r="W299" s="376" t="s">
        <v>15</v>
      </c>
      <c r="X299" s="377" t="s">
        <v>16</v>
      </c>
      <c r="Y299" s="377" t="s">
        <v>17</v>
      </c>
      <c r="Z299" s="377" t="s">
        <v>18</v>
      </c>
      <c r="AA299" s="377"/>
      <c r="AB299" s="378" t="s">
        <v>19</v>
      </c>
      <c r="AC299" s="528" t="s">
        <v>20</v>
      </c>
      <c r="AD299" s="601"/>
      <c r="AE299" s="347" t="s">
        <v>21</v>
      </c>
      <c r="AF299" s="340" t="s">
        <v>22</v>
      </c>
    </row>
    <row r="300" spans="1:32" s="597" customFormat="1" ht="14.1" customHeight="1" x14ac:dyDescent="0.2">
      <c r="A300" s="2687"/>
      <c r="B300" s="2062" t="s">
        <v>23</v>
      </c>
      <c r="C300" s="2687"/>
      <c r="D300" s="2062" t="s">
        <v>24</v>
      </c>
      <c r="E300" s="368" t="s">
        <v>25</v>
      </c>
      <c r="F300" s="2699"/>
      <c r="G300" s="2700"/>
      <c r="H300" s="2701"/>
      <c r="I300" s="2062" t="s">
        <v>26</v>
      </c>
      <c r="J300" s="379" t="s">
        <v>15</v>
      </c>
      <c r="K300" s="2066" t="s">
        <v>6</v>
      </c>
      <c r="L300" s="2680"/>
      <c r="M300" s="2068" t="s">
        <v>27</v>
      </c>
      <c r="N300" s="2068" t="s">
        <v>10</v>
      </c>
      <c r="O300" s="382" t="s">
        <v>10</v>
      </c>
      <c r="P300" s="383" t="s">
        <v>28</v>
      </c>
      <c r="Q300" s="384" t="s">
        <v>29</v>
      </c>
      <c r="R300" s="383" t="s">
        <v>15</v>
      </c>
      <c r="S300" s="385" t="s">
        <v>15</v>
      </c>
      <c r="T300" s="2684"/>
      <c r="U300" s="2685"/>
      <c r="V300" s="375" t="s">
        <v>30</v>
      </c>
      <c r="W300" s="376" t="s">
        <v>31</v>
      </c>
      <c r="X300" s="377" t="s">
        <v>30</v>
      </c>
      <c r="Y300" s="377" t="s">
        <v>32</v>
      </c>
      <c r="Z300" s="377" t="s">
        <v>7</v>
      </c>
      <c r="AA300" s="377" t="s">
        <v>33</v>
      </c>
      <c r="AB300" s="378" t="s">
        <v>34</v>
      </c>
      <c r="AC300" s="528" t="s">
        <v>35</v>
      </c>
      <c r="AD300" s="347" t="s">
        <v>36</v>
      </c>
      <c r="AE300" s="347" t="s">
        <v>37</v>
      </c>
      <c r="AF300" s="340" t="s">
        <v>38</v>
      </c>
    </row>
    <row r="301" spans="1:32" s="597" customFormat="1" ht="14.1" customHeight="1" x14ac:dyDescent="0.2">
      <c r="A301" s="2687"/>
      <c r="B301" s="2062" t="s">
        <v>39</v>
      </c>
      <c r="C301" s="2687"/>
      <c r="D301" s="2062" t="s">
        <v>40</v>
      </c>
      <c r="E301" s="368" t="s">
        <v>41</v>
      </c>
      <c r="F301" s="2686" t="s">
        <v>42</v>
      </c>
      <c r="G301" s="2686" t="s">
        <v>43</v>
      </c>
      <c r="H301" s="2688" t="s">
        <v>44</v>
      </c>
      <c r="I301" s="2062" t="s">
        <v>45</v>
      </c>
      <c r="J301" s="379" t="s">
        <v>46</v>
      </c>
      <c r="K301" s="2066" t="s">
        <v>47</v>
      </c>
      <c r="L301" s="2680"/>
      <c r="M301" s="2068" t="s">
        <v>30</v>
      </c>
      <c r="N301" s="2068" t="s">
        <v>30</v>
      </c>
      <c r="O301" s="382" t="s">
        <v>25</v>
      </c>
      <c r="P301" s="383" t="s">
        <v>30</v>
      </c>
      <c r="Q301" s="384" t="s">
        <v>48</v>
      </c>
      <c r="R301" s="383" t="s">
        <v>49</v>
      </c>
      <c r="S301" s="385" t="s">
        <v>30</v>
      </c>
      <c r="T301" s="386" t="s">
        <v>50</v>
      </c>
      <c r="U301" s="2065" t="s">
        <v>13</v>
      </c>
      <c r="V301" s="375" t="s">
        <v>51</v>
      </c>
      <c r="W301" s="376" t="s">
        <v>52</v>
      </c>
      <c r="X301" s="377" t="s">
        <v>53</v>
      </c>
      <c r="Y301" s="377" t="s">
        <v>54</v>
      </c>
      <c r="Z301" s="377" t="s">
        <v>55</v>
      </c>
      <c r="AA301" s="377" t="s">
        <v>56</v>
      </c>
      <c r="AB301" s="378" t="s">
        <v>57</v>
      </c>
      <c r="AC301" s="347" t="s">
        <v>58</v>
      </c>
      <c r="AD301" s="347" t="s">
        <v>59</v>
      </c>
      <c r="AE301" s="347" t="s">
        <v>59</v>
      </c>
      <c r="AF301" s="340" t="s">
        <v>60</v>
      </c>
    </row>
    <row r="302" spans="1:32" s="597" customFormat="1" ht="14.1" customHeight="1" x14ac:dyDescent="0.2">
      <c r="A302" s="2687"/>
      <c r="B302" s="2062" t="s">
        <v>61</v>
      </c>
      <c r="C302" s="2687"/>
      <c r="D302" s="2062" t="s">
        <v>62</v>
      </c>
      <c r="E302" s="368" t="s">
        <v>63</v>
      </c>
      <c r="F302" s="2687"/>
      <c r="G302" s="2687"/>
      <c r="H302" s="2689"/>
      <c r="I302" s="2062" t="s">
        <v>64</v>
      </c>
      <c r="J302" s="379" t="s">
        <v>59</v>
      </c>
      <c r="K302" s="2066" t="s">
        <v>59</v>
      </c>
      <c r="L302" s="2680"/>
      <c r="M302" s="2068"/>
      <c r="N302" s="2068"/>
      <c r="O302" s="382" t="s">
        <v>41</v>
      </c>
      <c r="P302" s="383" t="s">
        <v>65</v>
      </c>
      <c r="Q302" s="384" t="s">
        <v>66</v>
      </c>
      <c r="R302" s="383" t="s">
        <v>67</v>
      </c>
      <c r="S302" s="385" t="s">
        <v>59</v>
      </c>
      <c r="T302" s="387" t="s">
        <v>68</v>
      </c>
      <c r="U302" s="375" t="s">
        <v>14</v>
      </c>
      <c r="V302" s="375" t="s">
        <v>14</v>
      </c>
      <c r="W302" s="376" t="s">
        <v>30</v>
      </c>
      <c r="X302" s="388" t="s">
        <v>69</v>
      </c>
      <c r="Y302" s="388" t="s">
        <v>70</v>
      </c>
      <c r="Z302" s="377" t="s">
        <v>71</v>
      </c>
      <c r="AA302" s="377" t="s">
        <v>72</v>
      </c>
      <c r="AB302" s="378" t="s">
        <v>59</v>
      </c>
      <c r="AC302" s="347" t="s">
        <v>59</v>
      </c>
      <c r="AD302" s="347"/>
      <c r="AE302" s="347"/>
      <c r="AF302" s="340" t="s">
        <v>59</v>
      </c>
    </row>
    <row r="303" spans="1:32" s="597" customFormat="1" ht="14.1" customHeight="1" x14ac:dyDescent="0.2">
      <c r="A303" s="2692"/>
      <c r="B303" s="390"/>
      <c r="C303" s="2692"/>
      <c r="D303" s="390"/>
      <c r="E303" s="2063"/>
      <c r="F303" s="390"/>
      <c r="G303" s="390"/>
      <c r="H303" s="391"/>
      <c r="I303" s="2063"/>
      <c r="J303" s="392"/>
      <c r="K303" s="393"/>
      <c r="L303" s="2681"/>
      <c r="M303" s="2069"/>
      <c r="N303" s="2069"/>
      <c r="O303" s="2069" t="s">
        <v>63</v>
      </c>
      <c r="P303" s="395"/>
      <c r="Q303" s="396" t="s">
        <v>72</v>
      </c>
      <c r="R303" s="397" t="s">
        <v>59</v>
      </c>
      <c r="S303" s="398"/>
      <c r="T303" s="397" t="s">
        <v>73</v>
      </c>
      <c r="U303" s="398" t="s">
        <v>59</v>
      </c>
      <c r="V303" s="399" t="s">
        <v>59</v>
      </c>
      <c r="W303" s="400" t="s">
        <v>59</v>
      </c>
      <c r="X303" s="401" t="s">
        <v>59</v>
      </c>
      <c r="Y303" s="401" t="s">
        <v>59</v>
      </c>
      <c r="Z303" s="401" t="s">
        <v>59</v>
      </c>
      <c r="AA303" s="402"/>
      <c r="AB303" s="403"/>
      <c r="AC303" s="348"/>
      <c r="AD303" s="348"/>
      <c r="AE303" s="348"/>
      <c r="AF303" s="341"/>
    </row>
    <row r="304" spans="1:32" s="597" customFormat="1" ht="18" customHeight="1" x14ac:dyDescent="0.25">
      <c r="A304" s="75">
        <v>1</v>
      </c>
      <c r="B304" s="2150">
        <v>27042</v>
      </c>
      <c r="C304" s="28">
        <v>665</v>
      </c>
      <c r="D304" s="28" t="s">
        <v>83</v>
      </c>
      <c r="E304" s="28">
        <v>4</v>
      </c>
      <c r="F304" s="28">
        <v>0</v>
      </c>
      <c r="G304" s="28">
        <v>1</v>
      </c>
      <c r="H304" s="1448">
        <v>0</v>
      </c>
      <c r="I304" s="879">
        <f>F304*400+G304*100+H304</f>
        <v>100</v>
      </c>
      <c r="J304" s="258">
        <v>1700</v>
      </c>
      <c r="K304" s="1449">
        <f>SUM(I304*J304)</f>
        <v>170000</v>
      </c>
      <c r="L304" s="1450">
        <v>1</v>
      </c>
      <c r="M304" s="271">
        <v>103</v>
      </c>
      <c r="N304" s="1036" t="s">
        <v>74</v>
      </c>
      <c r="O304" s="1036">
        <v>3</v>
      </c>
      <c r="P304" s="1451">
        <v>32</v>
      </c>
      <c r="Q304" s="1452" t="s">
        <v>75</v>
      </c>
      <c r="R304" s="1453">
        <v>9050</v>
      </c>
      <c r="S304" s="879">
        <v>216000</v>
      </c>
      <c r="T304" s="1454">
        <v>4</v>
      </c>
      <c r="U304" s="1455">
        <f>S304*0.04</f>
        <v>8640</v>
      </c>
      <c r="V304" s="1455">
        <f>SUM(S304-U304)</f>
        <v>207360</v>
      </c>
      <c r="W304" s="879">
        <f>K304+V304</f>
        <v>377360</v>
      </c>
      <c r="X304" s="1455">
        <f>W304</f>
        <v>377360</v>
      </c>
      <c r="Y304" s="1456" t="s">
        <v>102</v>
      </c>
      <c r="Z304" s="879">
        <f>+X304</f>
        <v>377360</v>
      </c>
      <c r="AA304" s="1457">
        <v>0.3</v>
      </c>
      <c r="AB304" s="465">
        <f>+Z304*AA304/100</f>
        <v>1132.08</v>
      </c>
      <c r="AC304" s="602"/>
      <c r="AD304" s="603">
        <f>AB304-AC304</f>
        <v>1132.08</v>
      </c>
      <c r="AE304" s="603">
        <f>IF(AD304&lt;=0,0,AD304*25/100)</f>
        <v>283.02</v>
      </c>
      <c r="AF304" s="603">
        <f>IF(AC304+AE304&gt;AB304,AB304,AC304+AE304)</f>
        <v>283.02</v>
      </c>
    </row>
    <row r="305" spans="1:32" s="597" customFormat="1" ht="18" customHeight="1" x14ac:dyDescent="0.2">
      <c r="A305" s="2070"/>
      <c r="B305" s="177"/>
      <c r="C305" s="177"/>
      <c r="D305" s="2070"/>
      <c r="E305" s="2070"/>
      <c r="F305" s="2070"/>
      <c r="G305" s="2070"/>
      <c r="H305" s="2076"/>
      <c r="I305" s="2072"/>
      <c r="J305" s="178"/>
      <c r="K305" s="2072"/>
      <c r="L305" s="2070"/>
      <c r="M305" s="2070"/>
      <c r="N305" s="2070"/>
      <c r="O305" s="2070"/>
      <c r="P305" s="2076"/>
      <c r="Q305" s="2071"/>
      <c r="R305" s="437"/>
      <c r="S305" s="2072"/>
      <c r="T305" s="179"/>
      <c r="U305" s="178"/>
      <c r="V305" s="2072"/>
      <c r="W305" s="2072"/>
      <c r="X305" s="470"/>
      <c r="Y305" s="470"/>
      <c r="Z305" s="471"/>
      <c r="AA305" s="764"/>
      <c r="AB305" s="466"/>
      <c r="AC305" s="350"/>
      <c r="AD305" s="350"/>
      <c r="AE305" s="350"/>
      <c r="AF305" s="350"/>
    </row>
    <row r="306" spans="1:32" s="597" customFormat="1" ht="18" customHeight="1" x14ac:dyDescent="0.2">
      <c r="A306" s="2070"/>
      <c r="B306" s="177"/>
      <c r="C306" s="177"/>
      <c r="D306" s="2070"/>
      <c r="E306" s="2070"/>
      <c r="F306" s="2070"/>
      <c r="G306" s="2070"/>
      <c r="H306" s="2076"/>
      <c r="I306" s="2072"/>
      <c r="J306" s="178"/>
      <c r="K306" s="2072"/>
      <c r="L306" s="2070"/>
      <c r="M306" s="2070"/>
      <c r="N306" s="2070"/>
      <c r="O306" s="2070"/>
      <c r="P306" s="2076"/>
      <c r="Q306" s="2071"/>
      <c r="R306" s="437"/>
      <c r="S306" s="2072"/>
      <c r="T306" s="179"/>
      <c r="U306" s="178"/>
      <c r="V306" s="2072"/>
      <c r="W306" s="2072"/>
      <c r="X306" s="470"/>
      <c r="Y306" s="470"/>
      <c r="Z306" s="471"/>
      <c r="AA306" s="764"/>
      <c r="AB306" s="466"/>
      <c r="AC306" s="350"/>
      <c r="AD306" s="350"/>
      <c r="AE306" s="350"/>
      <c r="AF306" s="350"/>
    </row>
    <row r="307" spans="1:32" s="597" customFormat="1" ht="18" customHeight="1" x14ac:dyDescent="0.2">
      <c r="A307" s="2070"/>
      <c r="B307" s="177"/>
      <c r="C307" s="177"/>
      <c r="D307" s="2070"/>
      <c r="E307" s="2070"/>
      <c r="F307" s="2070"/>
      <c r="G307" s="2070"/>
      <c r="H307" s="2076"/>
      <c r="I307" s="2072"/>
      <c r="J307" s="178"/>
      <c r="K307" s="2072"/>
      <c r="L307" s="2070"/>
      <c r="M307" s="2070"/>
      <c r="N307" s="2070"/>
      <c r="O307" s="2070"/>
      <c r="P307" s="2076"/>
      <c r="Q307" s="2071"/>
      <c r="R307" s="437"/>
      <c r="S307" s="2072"/>
      <c r="T307" s="179"/>
      <c r="U307" s="178"/>
      <c r="V307" s="2072"/>
      <c r="W307" s="2072"/>
      <c r="X307" s="470"/>
      <c r="Y307" s="470"/>
      <c r="Z307" s="471"/>
      <c r="AA307" s="764"/>
      <c r="AB307" s="466"/>
      <c r="AC307" s="350"/>
      <c r="AD307" s="350"/>
      <c r="AE307" s="350"/>
      <c r="AF307" s="350"/>
    </row>
    <row r="308" spans="1:32" s="597" customFormat="1" ht="18" customHeight="1" x14ac:dyDescent="0.2">
      <c r="A308" s="2070"/>
      <c r="B308" s="177"/>
      <c r="C308" s="177"/>
      <c r="D308" s="2070"/>
      <c r="E308" s="2070"/>
      <c r="F308" s="2070"/>
      <c r="G308" s="2070"/>
      <c r="H308" s="2076"/>
      <c r="I308" s="2072"/>
      <c r="J308" s="178"/>
      <c r="K308" s="2072"/>
      <c r="L308" s="2070"/>
      <c r="M308" s="2070"/>
      <c r="N308" s="2070"/>
      <c r="O308" s="2070"/>
      <c r="P308" s="2076"/>
      <c r="Q308" s="2071"/>
      <c r="R308" s="437"/>
      <c r="S308" s="2072"/>
      <c r="T308" s="179"/>
      <c r="U308" s="178"/>
      <c r="V308" s="2072"/>
      <c r="W308" s="2072"/>
      <c r="X308" s="470"/>
      <c r="Y308" s="470"/>
      <c r="Z308" s="471"/>
      <c r="AA308" s="764"/>
      <c r="AB308" s="466"/>
      <c r="AC308" s="350"/>
      <c r="AD308" s="350"/>
      <c r="AE308" s="350"/>
      <c r="AF308" s="350"/>
    </row>
    <row r="309" spans="1:32" s="597" customFormat="1" ht="18" customHeight="1" x14ac:dyDescent="0.2">
      <c r="A309" s="2070"/>
      <c r="B309" s="177"/>
      <c r="C309" s="177"/>
      <c r="D309" s="2070"/>
      <c r="E309" s="2070"/>
      <c r="F309" s="2070"/>
      <c r="G309" s="2070"/>
      <c r="H309" s="2076"/>
      <c r="I309" s="2072"/>
      <c r="J309" s="178"/>
      <c r="K309" s="2072"/>
      <c r="L309" s="2070"/>
      <c r="M309" s="2070"/>
      <c r="N309" s="2070"/>
      <c r="O309" s="2070"/>
      <c r="P309" s="2076"/>
      <c r="Q309" s="2071"/>
      <c r="R309" s="437"/>
      <c r="S309" s="2072"/>
      <c r="T309" s="179"/>
      <c r="U309" s="178"/>
      <c r="V309" s="2072"/>
      <c r="W309" s="2072"/>
      <c r="X309" s="470"/>
      <c r="Y309" s="470"/>
      <c r="Z309" s="471"/>
      <c r="AA309" s="764"/>
      <c r="AB309" s="466"/>
      <c r="AC309" s="350"/>
      <c r="AD309" s="350"/>
      <c r="AE309" s="350"/>
      <c r="AF309" s="350"/>
    </row>
    <row r="310" spans="1:32" s="597" customFormat="1" ht="18" customHeight="1" x14ac:dyDescent="0.2">
      <c r="A310" s="2070"/>
      <c r="B310" s="177"/>
      <c r="C310" s="177"/>
      <c r="D310" s="2070"/>
      <c r="E310" s="2070"/>
      <c r="F310" s="2070"/>
      <c r="G310" s="2070"/>
      <c r="H310" s="2076"/>
      <c r="I310" s="2072"/>
      <c r="J310" s="178"/>
      <c r="K310" s="2072"/>
      <c r="L310" s="2070"/>
      <c r="M310" s="2070"/>
      <c r="N310" s="2070"/>
      <c r="O310" s="2070"/>
      <c r="P310" s="2076"/>
      <c r="Q310" s="2071"/>
      <c r="R310" s="437"/>
      <c r="S310" s="2072"/>
      <c r="T310" s="179"/>
      <c r="U310" s="178"/>
      <c r="V310" s="2072"/>
      <c r="W310" s="2072"/>
      <c r="X310" s="470"/>
      <c r="Y310" s="470"/>
      <c r="Z310" s="471"/>
      <c r="AA310" s="764"/>
      <c r="AB310" s="466"/>
      <c r="AC310" s="350"/>
      <c r="AD310" s="350"/>
      <c r="AE310" s="350"/>
      <c r="AF310" s="350"/>
    </row>
    <row r="311" spans="1:32" s="597" customFormat="1" ht="18" customHeight="1" x14ac:dyDescent="0.2">
      <c r="A311" s="2070"/>
      <c r="B311" s="177"/>
      <c r="C311" s="177"/>
      <c r="D311" s="2070"/>
      <c r="E311" s="2070"/>
      <c r="F311" s="2070"/>
      <c r="G311" s="2070"/>
      <c r="H311" s="2076"/>
      <c r="I311" s="2072"/>
      <c r="J311" s="178"/>
      <c r="K311" s="2072"/>
      <c r="L311" s="2070"/>
      <c r="M311" s="2070"/>
      <c r="N311" s="2070"/>
      <c r="O311" s="2070"/>
      <c r="P311" s="2076"/>
      <c r="Q311" s="2071"/>
      <c r="R311" s="437"/>
      <c r="S311" s="2072"/>
      <c r="T311" s="179"/>
      <c r="U311" s="178"/>
      <c r="V311" s="2072"/>
      <c r="W311" s="2072"/>
      <c r="X311" s="470"/>
      <c r="Y311" s="470"/>
      <c r="Z311" s="471"/>
      <c r="AA311" s="764"/>
      <c r="AB311" s="466"/>
      <c r="AC311" s="350"/>
      <c r="AD311" s="350"/>
      <c r="AE311" s="350"/>
      <c r="AF311" s="350"/>
    </row>
    <row r="312" spans="1:32" s="597" customFormat="1" ht="18" customHeight="1" x14ac:dyDescent="0.2">
      <c r="A312" s="2070"/>
      <c r="B312" s="177"/>
      <c r="C312" s="177"/>
      <c r="D312" s="2070"/>
      <c r="E312" s="2070"/>
      <c r="F312" s="2070"/>
      <c r="G312" s="2070"/>
      <c r="H312" s="2076"/>
      <c r="I312" s="2072"/>
      <c r="J312" s="178"/>
      <c r="K312" s="2072"/>
      <c r="L312" s="2070"/>
      <c r="M312" s="2070"/>
      <c r="N312" s="2070"/>
      <c r="O312" s="2070"/>
      <c r="P312" s="2076"/>
      <c r="Q312" s="2071"/>
      <c r="R312" s="437"/>
      <c r="S312" s="2072"/>
      <c r="T312" s="179"/>
      <c r="U312" s="178"/>
      <c r="V312" s="2072"/>
      <c r="W312" s="2072"/>
      <c r="X312" s="470"/>
      <c r="Y312" s="470"/>
      <c r="Z312" s="471"/>
      <c r="AA312" s="764"/>
      <c r="AB312" s="466"/>
      <c r="AC312" s="350"/>
      <c r="AD312" s="350"/>
      <c r="AE312" s="350"/>
      <c r="AF312" s="350"/>
    </row>
    <row r="313" spans="1:32" s="597" customFormat="1" ht="18" customHeight="1" x14ac:dyDescent="0.2">
      <c r="A313" s="2070"/>
      <c r="B313" s="177"/>
      <c r="C313" s="177"/>
      <c r="D313" s="2070"/>
      <c r="E313" s="2070"/>
      <c r="F313" s="2070"/>
      <c r="G313" s="2070"/>
      <c r="H313" s="2076"/>
      <c r="I313" s="2072"/>
      <c r="J313" s="178"/>
      <c r="K313" s="2072"/>
      <c r="L313" s="2070"/>
      <c r="M313" s="2070"/>
      <c r="N313" s="2070"/>
      <c r="O313" s="2070"/>
      <c r="P313" s="2076"/>
      <c r="Q313" s="2071"/>
      <c r="R313" s="437"/>
      <c r="S313" s="2072"/>
      <c r="T313" s="179"/>
      <c r="U313" s="178"/>
      <c r="V313" s="2072"/>
      <c r="W313" s="2072"/>
      <c r="X313" s="470"/>
      <c r="Y313" s="470"/>
      <c r="Z313" s="471"/>
      <c r="AA313" s="764"/>
      <c r="AB313" s="466"/>
      <c r="AC313" s="350"/>
      <c r="AD313" s="350"/>
      <c r="AE313" s="350"/>
      <c r="AF313" s="350"/>
    </row>
    <row r="314" spans="1:32" s="597" customFormat="1" ht="18" customHeight="1" x14ac:dyDescent="0.2">
      <c r="A314" s="2070"/>
      <c r="B314" s="177"/>
      <c r="C314" s="177"/>
      <c r="D314" s="2070"/>
      <c r="E314" s="2070"/>
      <c r="F314" s="2070"/>
      <c r="G314" s="2070"/>
      <c r="H314" s="2076"/>
      <c r="I314" s="2072"/>
      <c r="J314" s="178"/>
      <c r="K314" s="2072"/>
      <c r="L314" s="2070"/>
      <c r="M314" s="2070"/>
      <c r="N314" s="2070"/>
      <c r="O314" s="2070"/>
      <c r="P314" s="2076"/>
      <c r="Q314" s="2071"/>
      <c r="R314" s="437"/>
      <c r="S314" s="2072"/>
      <c r="T314" s="179"/>
      <c r="U314" s="178"/>
      <c r="V314" s="2072"/>
      <c r="W314" s="2072"/>
      <c r="X314" s="470"/>
      <c r="Y314" s="470"/>
      <c r="Z314" s="471"/>
      <c r="AA314" s="764"/>
      <c r="AB314" s="466"/>
      <c r="AC314" s="350"/>
      <c r="AD314" s="350"/>
      <c r="AE314" s="350"/>
      <c r="AF314" s="350"/>
    </row>
    <row r="315" spans="1:32" s="597" customFormat="1" ht="18" customHeight="1" x14ac:dyDescent="0.2">
      <c r="A315" s="2070"/>
      <c r="B315" s="177"/>
      <c r="C315" s="177"/>
      <c r="D315" s="2070"/>
      <c r="E315" s="2070"/>
      <c r="F315" s="2070"/>
      <c r="G315" s="2070"/>
      <c r="H315" s="2076"/>
      <c r="I315" s="2072"/>
      <c r="J315" s="178"/>
      <c r="K315" s="2072"/>
      <c r="L315" s="2070"/>
      <c r="M315" s="2070"/>
      <c r="N315" s="2070"/>
      <c r="O315" s="2070"/>
      <c r="P315" s="2076"/>
      <c r="Q315" s="2071"/>
      <c r="R315" s="437"/>
      <c r="S315" s="2072"/>
      <c r="T315" s="179"/>
      <c r="U315" s="178"/>
      <c r="V315" s="2072"/>
      <c r="W315" s="2072"/>
      <c r="X315" s="470"/>
      <c r="Y315" s="470"/>
      <c r="Z315" s="471"/>
      <c r="AA315" s="764"/>
      <c r="AB315" s="466"/>
      <c r="AC315" s="350"/>
      <c r="AD315" s="350"/>
      <c r="AE315" s="350"/>
      <c r="AF315" s="350"/>
    </row>
    <row r="316" spans="1:32" s="597" customFormat="1" ht="18" customHeight="1" x14ac:dyDescent="0.2">
      <c r="A316" s="2070"/>
      <c r="B316" s="177"/>
      <c r="C316" s="177"/>
      <c r="D316" s="2070"/>
      <c r="E316" s="2070"/>
      <c r="F316" s="2070"/>
      <c r="G316" s="2070"/>
      <c r="H316" s="2076"/>
      <c r="I316" s="2072"/>
      <c r="J316" s="178"/>
      <c r="K316" s="2072"/>
      <c r="L316" s="2070"/>
      <c r="M316" s="2070"/>
      <c r="N316" s="2070"/>
      <c r="O316" s="2070"/>
      <c r="P316" s="2076"/>
      <c r="Q316" s="2071"/>
      <c r="R316" s="437"/>
      <c r="S316" s="2072"/>
      <c r="T316" s="179"/>
      <c r="U316" s="178"/>
      <c r="V316" s="2072"/>
      <c r="W316" s="2072"/>
      <c r="X316" s="470"/>
      <c r="Y316" s="470"/>
      <c r="Z316" s="471"/>
      <c r="AA316" s="764"/>
      <c r="AB316" s="466"/>
      <c r="AC316" s="350"/>
      <c r="AD316" s="350"/>
      <c r="AE316" s="350"/>
      <c r="AF316" s="350"/>
    </row>
    <row r="317" spans="1:32" s="597" customFormat="1" ht="18" customHeight="1" x14ac:dyDescent="0.2">
      <c r="A317" s="88"/>
      <c r="B317" s="180"/>
      <c r="C317" s="180"/>
      <c r="D317" s="88"/>
      <c r="E317" s="88"/>
      <c r="F317" s="88"/>
      <c r="G317" s="88"/>
      <c r="H317" s="120"/>
      <c r="I317" s="121"/>
      <c r="J317" s="181"/>
      <c r="K317" s="121"/>
      <c r="L317" s="88"/>
      <c r="M317" s="88"/>
      <c r="N317" s="88"/>
      <c r="O317" s="88"/>
      <c r="P317" s="88"/>
      <c r="Q317" s="129"/>
      <c r="R317" s="445"/>
      <c r="S317" s="121"/>
      <c r="T317" s="182"/>
      <c r="U317" s="181"/>
      <c r="V317" s="121"/>
      <c r="W317" s="121"/>
      <c r="X317" s="472"/>
      <c r="Y317" s="472"/>
      <c r="Z317" s="473"/>
      <c r="AA317" s="780"/>
      <c r="AB317" s="410"/>
      <c r="AC317" s="351"/>
      <c r="AD317" s="351"/>
      <c r="AE317" s="351"/>
      <c r="AF317" s="351"/>
    </row>
    <row r="318" spans="1:32" s="597" customFormat="1" ht="18" customHeight="1" x14ac:dyDescent="0.2">
      <c r="A318" s="1850"/>
      <c r="B318" s="1850"/>
      <c r="C318" s="1850"/>
      <c r="D318" s="1850"/>
      <c r="E318" s="1850"/>
      <c r="F318" s="1850"/>
      <c r="G318" s="1850"/>
      <c r="H318" s="1851"/>
      <c r="I318" s="1852"/>
      <c r="J318" s="1853"/>
      <c r="K318" s="1852"/>
      <c r="L318" s="1852"/>
      <c r="M318" s="1852"/>
      <c r="N318" s="1852"/>
      <c r="O318" s="1852"/>
      <c r="P318" s="1852"/>
      <c r="Q318" s="1852"/>
      <c r="R318" s="1854"/>
      <c r="S318" s="1852"/>
      <c r="T318" s="1855"/>
      <c r="U318" s="1853"/>
      <c r="V318" s="1852"/>
      <c r="W318" s="1852"/>
      <c r="X318" s="1856"/>
      <c r="Y318" s="1856"/>
      <c r="Z318" s="1857"/>
      <c r="AA318" s="2125"/>
      <c r="AB318" s="1847">
        <f>SUM(AB304:AB317)</f>
        <v>1132.08</v>
      </c>
      <c r="AC318" s="1861"/>
      <c r="AD318" s="1861"/>
      <c r="AE318" s="1861"/>
      <c r="AF318" s="1861"/>
    </row>
    <row r="319" spans="1:32" s="597" customFormat="1" ht="14.1" customHeight="1" x14ac:dyDescent="0.2">
      <c r="A319" s="2690" t="s">
        <v>76</v>
      </c>
      <c r="B319" s="2690"/>
      <c r="C319" s="2691" t="s">
        <v>77</v>
      </c>
      <c r="D319" s="2691"/>
      <c r="E319" s="2691"/>
      <c r="F319" s="2691"/>
      <c r="G319" s="2691"/>
      <c r="H319" s="2691"/>
      <c r="I319" s="604" t="s">
        <v>78</v>
      </c>
      <c r="J319" s="604"/>
      <c r="K319" s="604"/>
      <c r="L319" s="604"/>
      <c r="M319" s="604"/>
      <c r="N319" s="604"/>
      <c r="AA319" s="767"/>
      <c r="AB319" s="598"/>
    </row>
    <row r="320" spans="1:32" s="597" customFormat="1" ht="14.1" customHeight="1" x14ac:dyDescent="0.2">
      <c r="A320" s="604"/>
      <c r="B320" s="605"/>
      <c r="C320" s="604"/>
      <c r="D320" s="604"/>
      <c r="E320" s="604"/>
      <c r="F320" s="604"/>
      <c r="G320" s="604"/>
      <c r="H320" s="604"/>
      <c r="I320" s="604" t="s">
        <v>79</v>
      </c>
      <c r="J320" s="604"/>
      <c r="K320" s="604"/>
      <c r="L320" s="604"/>
      <c r="M320" s="604"/>
      <c r="N320" s="604"/>
      <c r="AA320" s="767"/>
      <c r="AB320" s="598"/>
    </row>
    <row r="321" spans="1:33" s="597" customFormat="1" ht="14.1" customHeight="1" x14ac:dyDescent="0.2">
      <c r="A321" s="604"/>
      <c r="B321" s="605"/>
      <c r="C321" s="604"/>
      <c r="D321" s="604"/>
      <c r="E321" s="604"/>
      <c r="F321" s="604"/>
      <c r="G321" s="604"/>
      <c r="H321" s="604"/>
      <c r="I321" s="604" t="s">
        <v>80</v>
      </c>
      <c r="J321" s="604"/>
      <c r="K321" s="604"/>
      <c r="L321" s="604"/>
      <c r="M321" s="604"/>
      <c r="N321" s="604"/>
      <c r="AA321" s="767"/>
      <c r="AB321" s="598"/>
    </row>
    <row r="322" spans="1:33" s="597" customFormat="1" ht="14.1" customHeight="1" x14ac:dyDescent="0.2">
      <c r="A322" s="604"/>
      <c r="B322" s="605"/>
      <c r="C322" s="604"/>
      <c r="D322" s="604"/>
      <c r="E322" s="604"/>
      <c r="F322" s="604"/>
      <c r="G322" s="604"/>
      <c r="H322" s="604"/>
      <c r="I322" s="604" t="s">
        <v>81</v>
      </c>
      <c r="J322" s="604"/>
      <c r="K322" s="604"/>
      <c r="L322" s="604"/>
      <c r="M322" s="604"/>
      <c r="N322" s="604"/>
      <c r="AA322" s="767"/>
      <c r="AB322" s="598"/>
    </row>
    <row r="323" spans="1:33" s="597" customFormat="1" ht="14.1" customHeight="1" x14ac:dyDescent="0.2">
      <c r="A323" s="604"/>
      <c r="B323" s="605"/>
      <c r="C323" s="604"/>
      <c r="D323" s="604"/>
      <c r="E323" s="604"/>
      <c r="F323" s="604"/>
      <c r="G323" s="604"/>
      <c r="H323" s="604"/>
      <c r="I323" s="604" t="s">
        <v>88</v>
      </c>
      <c r="J323" s="604"/>
      <c r="K323" s="604"/>
      <c r="L323" s="604"/>
      <c r="M323" s="604"/>
      <c r="N323" s="604"/>
      <c r="AA323" s="767"/>
      <c r="AB323" s="598"/>
    </row>
    <row r="324" spans="1:33" s="597" customFormat="1" ht="18" customHeight="1" x14ac:dyDescent="0.2">
      <c r="A324" s="339"/>
      <c r="B324" s="339"/>
      <c r="C324" s="339"/>
      <c r="D324" s="339"/>
      <c r="E324" s="339"/>
      <c r="F324" s="339"/>
      <c r="G324" s="339"/>
      <c r="H324" s="339"/>
      <c r="I324" s="339"/>
      <c r="J324" s="339"/>
      <c r="K324" s="339"/>
      <c r="L324" s="339"/>
      <c r="M324" s="339"/>
      <c r="N324" s="339"/>
      <c r="O324" s="339"/>
      <c r="P324" s="339"/>
      <c r="Q324" s="339"/>
      <c r="R324" s="339"/>
      <c r="S324" s="339"/>
      <c r="T324" s="339"/>
      <c r="U324" s="339"/>
      <c r="V324" s="339"/>
      <c r="W324" s="339"/>
      <c r="X324" s="339"/>
      <c r="Y324" s="339"/>
      <c r="Z324" s="339"/>
      <c r="AA324" s="2702" t="s">
        <v>0</v>
      </c>
      <c r="AB324" s="2702"/>
      <c r="AC324" s="339"/>
      <c r="AD324" s="339"/>
      <c r="AE324" s="339"/>
      <c r="AF324" s="339"/>
    </row>
    <row r="325" spans="1:33" s="597" customFormat="1" ht="18" customHeight="1" x14ac:dyDescent="0.2">
      <c r="A325" s="2703" t="s">
        <v>1</v>
      </c>
      <c r="B325" s="2703"/>
      <c r="C325" s="2703"/>
      <c r="D325" s="2703"/>
      <c r="E325" s="2703"/>
      <c r="F325" s="2703"/>
      <c r="G325" s="2703"/>
      <c r="H325" s="2703"/>
      <c r="I325" s="2703"/>
      <c r="J325" s="2703"/>
      <c r="K325" s="2703"/>
      <c r="L325" s="2703"/>
      <c r="M325" s="2703"/>
      <c r="N325" s="2703"/>
      <c r="O325" s="2703"/>
      <c r="P325" s="2703"/>
      <c r="Q325" s="2703"/>
      <c r="R325" s="2703"/>
      <c r="S325" s="2703"/>
      <c r="T325" s="2703"/>
      <c r="U325" s="2703"/>
      <c r="V325" s="2703"/>
      <c r="W325" s="2703"/>
      <c r="X325" s="2703"/>
      <c r="Y325" s="2703"/>
      <c r="Z325" s="2703"/>
      <c r="AA325" s="2703"/>
      <c r="AB325" s="2703"/>
      <c r="AC325" s="344"/>
      <c r="AD325" s="344"/>
      <c r="AE325" s="344"/>
      <c r="AF325" s="344"/>
    </row>
    <row r="326" spans="1:33" s="597" customFormat="1" ht="18" customHeight="1" x14ac:dyDescent="0.2">
      <c r="A326" s="2704" t="s">
        <v>551</v>
      </c>
      <c r="B326" s="2704"/>
      <c r="C326" s="2704"/>
      <c r="D326" s="2704"/>
      <c r="E326" s="2704"/>
      <c r="F326" s="2704"/>
      <c r="G326" s="2704"/>
      <c r="H326" s="2704"/>
      <c r="I326" s="2704"/>
      <c r="J326" s="2704"/>
      <c r="K326" s="2704"/>
      <c r="L326" s="2704"/>
      <c r="M326" s="2704"/>
      <c r="N326" s="2704"/>
      <c r="O326" s="2704"/>
      <c r="P326" s="2704"/>
      <c r="Q326" s="2704"/>
      <c r="R326" s="2704"/>
      <c r="S326" s="2704"/>
      <c r="T326" s="2704"/>
      <c r="U326" s="2704"/>
      <c r="V326" s="2704"/>
      <c r="W326" s="2704"/>
      <c r="X326" s="2704"/>
      <c r="Y326" s="2704"/>
      <c r="Z326" s="2704"/>
      <c r="AA326" s="2704"/>
      <c r="AB326" s="2704"/>
      <c r="AC326" s="599"/>
      <c r="AD326" s="599"/>
      <c r="AE326" s="599"/>
      <c r="AF326" s="599"/>
    </row>
    <row r="327" spans="1:33" s="597" customFormat="1" ht="14.1" customHeight="1" x14ac:dyDescent="0.2">
      <c r="A327" s="2686" t="s">
        <v>2</v>
      </c>
      <c r="B327" s="360"/>
      <c r="C327" s="2686" t="s">
        <v>3</v>
      </c>
      <c r="D327" s="360"/>
      <c r="E327" s="360"/>
      <c r="F327" s="2693" t="s">
        <v>4</v>
      </c>
      <c r="G327" s="2693"/>
      <c r="H327" s="2693"/>
      <c r="I327" s="2694"/>
      <c r="J327" s="2694"/>
      <c r="K327" s="2695"/>
      <c r="L327" s="361"/>
      <c r="M327" s="2679" t="s">
        <v>5</v>
      </c>
      <c r="N327" s="2679"/>
      <c r="O327" s="2679"/>
      <c r="P327" s="2679"/>
      <c r="Q327" s="2696"/>
      <c r="R327" s="2696"/>
      <c r="S327" s="2696"/>
      <c r="T327" s="2696"/>
      <c r="U327" s="2696"/>
      <c r="V327" s="2697"/>
      <c r="W327" s="362" t="s">
        <v>6</v>
      </c>
      <c r="X327" s="363" t="s">
        <v>7</v>
      </c>
      <c r="Y327" s="364"/>
      <c r="Z327" s="364"/>
      <c r="AA327" s="363"/>
      <c r="AB327" s="365"/>
      <c r="AC327" s="516" t="s">
        <v>8</v>
      </c>
      <c r="AD327" s="346"/>
      <c r="AE327" s="346"/>
      <c r="AF327" s="600"/>
    </row>
    <row r="328" spans="1:33" s="597" customFormat="1" ht="14.1" customHeight="1" x14ac:dyDescent="0.2">
      <c r="A328" s="2687"/>
      <c r="B328" s="367"/>
      <c r="C328" s="2687"/>
      <c r="D328" s="2062" t="s">
        <v>9</v>
      </c>
      <c r="E328" s="368" t="s">
        <v>10</v>
      </c>
      <c r="F328" s="2698" t="s">
        <v>11</v>
      </c>
      <c r="G328" s="2694"/>
      <c r="H328" s="2695"/>
      <c r="I328" s="360"/>
      <c r="J328" s="369" t="s">
        <v>12</v>
      </c>
      <c r="K328" s="360"/>
      <c r="L328" s="2679" t="s">
        <v>2</v>
      </c>
      <c r="M328" s="2067"/>
      <c r="N328" s="2067"/>
      <c r="O328" s="2067"/>
      <c r="P328" s="371"/>
      <c r="Q328" s="372" t="s">
        <v>13</v>
      </c>
      <c r="R328" s="373" t="s">
        <v>12</v>
      </c>
      <c r="S328" s="2067" t="s">
        <v>6</v>
      </c>
      <c r="T328" s="2682" t="s">
        <v>14</v>
      </c>
      <c r="U328" s="2683"/>
      <c r="V328" s="375" t="s">
        <v>7</v>
      </c>
      <c r="W328" s="376" t="s">
        <v>15</v>
      </c>
      <c r="X328" s="377" t="s">
        <v>16</v>
      </c>
      <c r="Y328" s="377" t="s">
        <v>17</v>
      </c>
      <c r="Z328" s="377" t="s">
        <v>18</v>
      </c>
      <c r="AA328" s="377"/>
      <c r="AB328" s="378" t="s">
        <v>19</v>
      </c>
      <c r="AC328" s="528" t="s">
        <v>20</v>
      </c>
      <c r="AD328" s="601"/>
      <c r="AE328" s="347" t="s">
        <v>21</v>
      </c>
      <c r="AF328" s="340" t="s">
        <v>22</v>
      </c>
    </row>
    <row r="329" spans="1:33" s="597" customFormat="1" ht="14.1" customHeight="1" x14ac:dyDescent="0.2">
      <c r="A329" s="2687"/>
      <c r="B329" s="2062" t="s">
        <v>23</v>
      </c>
      <c r="C329" s="2687"/>
      <c r="D329" s="2062" t="s">
        <v>24</v>
      </c>
      <c r="E329" s="368" t="s">
        <v>25</v>
      </c>
      <c r="F329" s="2699"/>
      <c r="G329" s="2700"/>
      <c r="H329" s="2701"/>
      <c r="I329" s="2062" t="s">
        <v>26</v>
      </c>
      <c r="J329" s="379" t="s">
        <v>15</v>
      </c>
      <c r="K329" s="2066" t="s">
        <v>6</v>
      </c>
      <c r="L329" s="2680"/>
      <c r="M329" s="2068" t="s">
        <v>27</v>
      </c>
      <c r="N329" s="2068" t="s">
        <v>10</v>
      </c>
      <c r="O329" s="382" t="s">
        <v>10</v>
      </c>
      <c r="P329" s="383" t="s">
        <v>28</v>
      </c>
      <c r="Q329" s="384" t="s">
        <v>29</v>
      </c>
      <c r="R329" s="383" t="s">
        <v>15</v>
      </c>
      <c r="S329" s="385" t="s">
        <v>15</v>
      </c>
      <c r="T329" s="2684"/>
      <c r="U329" s="2685"/>
      <c r="V329" s="375" t="s">
        <v>30</v>
      </c>
      <c r="W329" s="376" t="s">
        <v>31</v>
      </c>
      <c r="X329" s="377" t="s">
        <v>30</v>
      </c>
      <c r="Y329" s="377" t="s">
        <v>32</v>
      </c>
      <c r="Z329" s="377" t="s">
        <v>7</v>
      </c>
      <c r="AA329" s="377" t="s">
        <v>33</v>
      </c>
      <c r="AB329" s="378" t="s">
        <v>34</v>
      </c>
      <c r="AC329" s="528" t="s">
        <v>35</v>
      </c>
      <c r="AD329" s="347" t="s">
        <v>36</v>
      </c>
      <c r="AE329" s="347" t="s">
        <v>37</v>
      </c>
      <c r="AF329" s="340" t="s">
        <v>38</v>
      </c>
    </row>
    <row r="330" spans="1:33" s="597" customFormat="1" ht="14.1" customHeight="1" x14ac:dyDescent="0.2">
      <c r="A330" s="2687"/>
      <c r="B330" s="2062" t="s">
        <v>39</v>
      </c>
      <c r="C330" s="2687"/>
      <c r="D330" s="2062" t="s">
        <v>40</v>
      </c>
      <c r="E330" s="368" t="s">
        <v>41</v>
      </c>
      <c r="F330" s="2686" t="s">
        <v>42</v>
      </c>
      <c r="G330" s="2686" t="s">
        <v>43</v>
      </c>
      <c r="H330" s="2688" t="s">
        <v>44</v>
      </c>
      <c r="I330" s="2062" t="s">
        <v>45</v>
      </c>
      <c r="J330" s="379" t="s">
        <v>46</v>
      </c>
      <c r="K330" s="2066" t="s">
        <v>47</v>
      </c>
      <c r="L330" s="2680"/>
      <c r="M330" s="2068" t="s">
        <v>30</v>
      </c>
      <c r="N330" s="2068" t="s">
        <v>30</v>
      </c>
      <c r="O330" s="382" t="s">
        <v>25</v>
      </c>
      <c r="P330" s="383" t="s">
        <v>30</v>
      </c>
      <c r="Q330" s="384" t="s">
        <v>48</v>
      </c>
      <c r="R330" s="383" t="s">
        <v>49</v>
      </c>
      <c r="S330" s="385" t="s">
        <v>30</v>
      </c>
      <c r="T330" s="386" t="s">
        <v>50</v>
      </c>
      <c r="U330" s="2065" t="s">
        <v>13</v>
      </c>
      <c r="V330" s="375" t="s">
        <v>51</v>
      </c>
      <c r="W330" s="376" t="s">
        <v>52</v>
      </c>
      <c r="X330" s="377" t="s">
        <v>53</v>
      </c>
      <c r="Y330" s="377" t="s">
        <v>54</v>
      </c>
      <c r="Z330" s="377" t="s">
        <v>55</v>
      </c>
      <c r="AA330" s="377" t="s">
        <v>56</v>
      </c>
      <c r="AB330" s="378" t="s">
        <v>57</v>
      </c>
      <c r="AC330" s="347" t="s">
        <v>58</v>
      </c>
      <c r="AD330" s="347" t="s">
        <v>59</v>
      </c>
      <c r="AE330" s="347" t="s">
        <v>59</v>
      </c>
      <c r="AF330" s="340" t="s">
        <v>60</v>
      </c>
    </row>
    <row r="331" spans="1:33" s="597" customFormat="1" ht="14.1" customHeight="1" x14ac:dyDescent="0.2">
      <c r="A331" s="2687"/>
      <c r="B331" s="2062" t="s">
        <v>61</v>
      </c>
      <c r="C331" s="2687"/>
      <c r="D331" s="2062" t="s">
        <v>62</v>
      </c>
      <c r="E331" s="368" t="s">
        <v>63</v>
      </c>
      <c r="F331" s="2687"/>
      <c r="G331" s="2687"/>
      <c r="H331" s="2689"/>
      <c r="I331" s="2062" t="s">
        <v>64</v>
      </c>
      <c r="J331" s="379" t="s">
        <v>59</v>
      </c>
      <c r="K331" s="2066" t="s">
        <v>59</v>
      </c>
      <c r="L331" s="2680"/>
      <c r="M331" s="2068"/>
      <c r="N331" s="2068"/>
      <c r="O331" s="382" t="s">
        <v>41</v>
      </c>
      <c r="P331" s="383" t="s">
        <v>65</v>
      </c>
      <c r="Q331" s="384" t="s">
        <v>66</v>
      </c>
      <c r="R331" s="383" t="s">
        <v>67</v>
      </c>
      <c r="S331" s="385" t="s">
        <v>59</v>
      </c>
      <c r="T331" s="387" t="s">
        <v>68</v>
      </c>
      <c r="U331" s="375" t="s">
        <v>14</v>
      </c>
      <c r="V331" s="375" t="s">
        <v>14</v>
      </c>
      <c r="W331" s="376" t="s">
        <v>30</v>
      </c>
      <c r="X331" s="388" t="s">
        <v>69</v>
      </c>
      <c r="Y331" s="388" t="s">
        <v>70</v>
      </c>
      <c r="Z331" s="377" t="s">
        <v>71</v>
      </c>
      <c r="AA331" s="377" t="s">
        <v>72</v>
      </c>
      <c r="AB331" s="378" t="s">
        <v>59</v>
      </c>
      <c r="AC331" s="347" t="s">
        <v>59</v>
      </c>
      <c r="AD331" s="347"/>
      <c r="AE331" s="347"/>
      <c r="AF331" s="340" t="s">
        <v>59</v>
      </c>
    </row>
    <row r="332" spans="1:33" s="597" customFormat="1" ht="14.1" customHeight="1" x14ac:dyDescent="0.2">
      <c r="A332" s="2692"/>
      <c r="B332" s="390"/>
      <c r="C332" s="2692"/>
      <c r="D332" s="390"/>
      <c r="E332" s="2063"/>
      <c r="F332" s="390"/>
      <c r="G332" s="390"/>
      <c r="H332" s="391"/>
      <c r="I332" s="2063"/>
      <c r="J332" s="392"/>
      <c r="K332" s="393"/>
      <c r="L332" s="2681"/>
      <c r="M332" s="2069"/>
      <c r="N332" s="2069"/>
      <c r="O332" s="2069" t="s">
        <v>63</v>
      </c>
      <c r="P332" s="395"/>
      <c r="Q332" s="396" t="s">
        <v>72</v>
      </c>
      <c r="R332" s="397" t="s">
        <v>59</v>
      </c>
      <c r="S332" s="398"/>
      <c r="T332" s="397" t="s">
        <v>73</v>
      </c>
      <c r="U332" s="398" t="s">
        <v>59</v>
      </c>
      <c r="V332" s="399" t="s">
        <v>59</v>
      </c>
      <c r="W332" s="400" t="s">
        <v>59</v>
      </c>
      <c r="X332" s="401" t="s">
        <v>59</v>
      </c>
      <c r="Y332" s="401" t="s">
        <v>59</v>
      </c>
      <c r="Z332" s="401" t="s">
        <v>59</v>
      </c>
      <c r="AA332" s="402"/>
      <c r="AB332" s="403"/>
      <c r="AC332" s="348"/>
      <c r="AD332" s="348"/>
      <c r="AE332" s="348"/>
      <c r="AF332" s="341"/>
    </row>
    <row r="333" spans="1:33" s="597" customFormat="1" ht="18" customHeight="1" x14ac:dyDescent="0.25">
      <c r="A333" s="53">
        <v>1</v>
      </c>
      <c r="B333" s="333">
        <v>27950</v>
      </c>
      <c r="C333" s="41">
        <v>12</v>
      </c>
      <c r="D333" s="41" t="s">
        <v>83</v>
      </c>
      <c r="E333" s="15">
        <v>4</v>
      </c>
      <c r="F333" s="41">
        <v>0</v>
      </c>
      <c r="G333" s="41">
        <v>1</v>
      </c>
      <c r="H333" s="267">
        <v>2</v>
      </c>
      <c r="I333" s="18">
        <f>+F333*400+G333*100+H333</f>
        <v>102</v>
      </c>
      <c r="J333" s="258">
        <v>280</v>
      </c>
      <c r="K333" s="39">
        <f>SUM(I333*J333)</f>
        <v>28560</v>
      </c>
      <c r="L333" s="45"/>
      <c r="M333" s="1058"/>
      <c r="N333" s="808"/>
      <c r="O333" s="16"/>
      <c r="P333" s="41"/>
      <c r="Q333" s="62"/>
      <c r="R333" s="260"/>
      <c r="S333" s="18"/>
      <c r="T333" s="20"/>
      <c r="U333" s="47"/>
      <c r="V333" s="47"/>
      <c r="W333" s="18">
        <f>K333+V333</f>
        <v>28560</v>
      </c>
      <c r="X333" s="47">
        <f>W333</f>
        <v>28560</v>
      </c>
      <c r="Y333" s="18"/>
      <c r="Z333" s="18">
        <f>+X333</f>
        <v>28560</v>
      </c>
      <c r="AA333" s="264">
        <v>0.6</v>
      </c>
      <c r="AB333" s="465">
        <f>+Z333*AA333/100</f>
        <v>171.36</v>
      </c>
      <c r="AC333" s="602"/>
      <c r="AD333" s="603">
        <f>AB333-AC333</f>
        <v>171.36</v>
      </c>
      <c r="AE333" s="603">
        <f>IF(AD333&lt;=0,0,AD333*25/100)</f>
        <v>42.84</v>
      </c>
      <c r="AF333" s="603">
        <f>IF(AC333+AE333&gt;AB333,AB333,AC333+AE333)</f>
        <v>42.84</v>
      </c>
      <c r="AG333" s="597" t="s">
        <v>387</v>
      </c>
    </row>
    <row r="334" spans="1:33" s="597" customFormat="1" ht="18" customHeight="1" x14ac:dyDescent="0.25">
      <c r="A334" s="75">
        <v>2</v>
      </c>
      <c r="B334" s="269">
        <v>28660</v>
      </c>
      <c r="C334" s="285" t="s">
        <v>177</v>
      </c>
      <c r="D334" s="273" t="s">
        <v>83</v>
      </c>
      <c r="E334" s="273">
        <v>4</v>
      </c>
      <c r="F334" s="268">
        <v>0</v>
      </c>
      <c r="G334" s="269">
        <v>0</v>
      </c>
      <c r="H334" s="266">
        <v>92</v>
      </c>
      <c r="I334" s="18">
        <f>+F334*400+G334*100+H334</f>
        <v>92</v>
      </c>
      <c r="J334" s="258">
        <v>280</v>
      </c>
      <c r="K334" s="39">
        <f>SUM(I334*J334)</f>
        <v>25760</v>
      </c>
      <c r="L334" s="45"/>
      <c r="M334" s="1305"/>
      <c r="N334" s="72"/>
      <c r="O334" s="45"/>
      <c r="P334" s="27"/>
      <c r="Q334" s="32"/>
      <c r="R334" s="260"/>
      <c r="S334" s="18"/>
      <c r="T334" s="20"/>
      <c r="U334" s="47"/>
      <c r="V334" s="47"/>
      <c r="W334" s="18">
        <f>K334+V334</f>
        <v>25760</v>
      </c>
      <c r="X334" s="47">
        <f>W334</f>
        <v>25760</v>
      </c>
      <c r="Y334" s="18"/>
      <c r="Z334" s="18">
        <f>+X334</f>
        <v>25760</v>
      </c>
      <c r="AA334" s="264">
        <v>0.6</v>
      </c>
      <c r="AB334" s="410">
        <f>+Z334*AA334/100</f>
        <v>154.56</v>
      </c>
      <c r="AC334" s="350"/>
      <c r="AD334" s="350"/>
      <c r="AE334" s="350"/>
      <c r="AF334" s="350"/>
    </row>
    <row r="335" spans="1:33" s="597" customFormat="1" ht="18" customHeight="1" x14ac:dyDescent="0.2">
      <c r="A335" s="61"/>
      <c r="B335" s="102"/>
      <c r="C335" s="2070"/>
      <c r="D335" s="2070"/>
      <c r="E335" s="2070"/>
      <c r="F335" s="2070"/>
      <c r="G335" s="2070"/>
      <c r="H335" s="407"/>
      <c r="I335" s="77"/>
      <c r="J335" s="2072"/>
      <c r="K335" s="78"/>
      <c r="L335" s="61"/>
      <c r="M335" s="2070"/>
      <c r="N335" s="2070"/>
      <c r="O335" s="61"/>
      <c r="P335" s="2070"/>
      <c r="Q335" s="196"/>
      <c r="R335" s="408"/>
      <c r="S335" s="77"/>
      <c r="T335" s="135"/>
      <c r="U335" s="74"/>
      <c r="V335" s="74"/>
      <c r="W335" s="77"/>
      <c r="X335" s="74"/>
      <c r="Y335" s="77"/>
      <c r="Z335" s="77"/>
      <c r="AA335" s="2074"/>
      <c r="AB335" s="416"/>
      <c r="AC335" s="350"/>
      <c r="AD335" s="350"/>
      <c r="AE335" s="350"/>
      <c r="AF335" s="350"/>
    </row>
    <row r="336" spans="1:33" s="597" customFormat="1" ht="18" customHeight="1" x14ac:dyDescent="0.2">
      <c r="A336" s="2070"/>
      <c r="B336" s="177"/>
      <c r="C336" s="177"/>
      <c r="D336" s="2070"/>
      <c r="E336" s="2070"/>
      <c r="F336" s="2070"/>
      <c r="G336" s="2070"/>
      <c r="H336" s="2076"/>
      <c r="I336" s="2072"/>
      <c r="J336" s="178"/>
      <c r="K336" s="2072"/>
      <c r="L336" s="2070"/>
      <c r="M336" s="2070"/>
      <c r="N336" s="2070"/>
      <c r="O336" s="2070"/>
      <c r="P336" s="2076"/>
      <c r="Q336" s="2071"/>
      <c r="R336" s="437"/>
      <c r="S336" s="2072"/>
      <c r="T336" s="1064"/>
      <c r="U336" s="178"/>
      <c r="V336" s="2072"/>
      <c r="W336" s="2072"/>
      <c r="X336" s="470"/>
      <c r="Y336" s="470"/>
      <c r="Z336" s="471"/>
      <c r="AA336" s="764"/>
      <c r="AB336" s="466"/>
      <c r="AC336" s="350"/>
      <c r="AD336" s="350"/>
      <c r="AE336" s="350"/>
      <c r="AF336" s="350"/>
    </row>
    <row r="337" spans="1:32" s="597" customFormat="1" ht="18" customHeight="1" x14ac:dyDescent="0.2">
      <c r="A337" s="2070"/>
      <c r="B337" s="177"/>
      <c r="C337" s="177"/>
      <c r="D337" s="2070"/>
      <c r="E337" s="2070"/>
      <c r="F337" s="2070"/>
      <c r="G337" s="2070"/>
      <c r="H337" s="2076"/>
      <c r="I337" s="2072"/>
      <c r="J337" s="178"/>
      <c r="K337" s="2072"/>
      <c r="L337" s="2070"/>
      <c r="M337" s="2070"/>
      <c r="N337" s="2070"/>
      <c r="O337" s="2070"/>
      <c r="P337" s="2076"/>
      <c r="Q337" s="2071"/>
      <c r="R337" s="437"/>
      <c r="S337" s="2072"/>
      <c r="T337" s="179"/>
      <c r="U337" s="178"/>
      <c r="V337" s="2072"/>
      <c r="W337" s="2072"/>
      <c r="X337" s="470"/>
      <c r="Y337" s="470"/>
      <c r="Z337" s="471"/>
      <c r="AA337" s="764"/>
      <c r="AB337" s="466"/>
      <c r="AC337" s="350"/>
      <c r="AD337" s="350"/>
      <c r="AE337" s="350"/>
      <c r="AF337" s="350"/>
    </row>
    <row r="338" spans="1:32" s="597" customFormat="1" ht="18" customHeight="1" x14ac:dyDescent="0.2">
      <c r="A338" s="2070"/>
      <c r="B338" s="177"/>
      <c r="C338" s="177"/>
      <c r="D338" s="2070"/>
      <c r="E338" s="2070"/>
      <c r="F338" s="2070"/>
      <c r="G338" s="2070"/>
      <c r="H338" s="2076"/>
      <c r="I338" s="2072"/>
      <c r="J338" s="178"/>
      <c r="K338" s="2072"/>
      <c r="L338" s="2070"/>
      <c r="M338" s="2070"/>
      <c r="N338" s="2070"/>
      <c r="O338" s="2070"/>
      <c r="P338" s="2076"/>
      <c r="Q338" s="2071"/>
      <c r="R338" s="437"/>
      <c r="S338" s="2072"/>
      <c r="T338" s="179"/>
      <c r="U338" s="178"/>
      <c r="V338" s="2072"/>
      <c r="W338" s="2072"/>
      <c r="X338" s="470"/>
      <c r="Y338" s="470"/>
      <c r="Z338" s="471"/>
      <c r="AA338" s="764"/>
      <c r="AB338" s="466"/>
      <c r="AC338" s="350"/>
      <c r="AD338" s="350"/>
      <c r="AE338" s="350"/>
      <c r="AF338" s="350"/>
    </row>
    <row r="339" spans="1:32" s="597" customFormat="1" ht="18" customHeight="1" x14ac:dyDescent="0.2">
      <c r="A339" s="2070"/>
      <c r="B339" s="177"/>
      <c r="C339" s="177"/>
      <c r="D339" s="2070"/>
      <c r="E339" s="2070"/>
      <c r="F339" s="2070"/>
      <c r="G339" s="2070"/>
      <c r="H339" s="2076"/>
      <c r="I339" s="2072"/>
      <c r="J339" s="178"/>
      <c r="K339" s="2072"/>
      <c r="L339" s="2070"/>
      <c r="M339" s="2070"/>
      <c r="N339" s="2070"/>
      <c r="O339" s="2070"/>
      <c r="P339" s="2076"/>
      <c r="Q339" s="2071"/>
      <c r="R339" s="437"/>
      <c r="S339" s="2072"/>
      <c r="T339" s="179"/>
      <c r="U339" s="178"/>
      <c r="V339" s="2072"/>
      <c r="W339" s="2072"/>
      <c r="X339" s="470"/>
      <c r="Y339" s="470"/>
      <c r="Z339" s="471"/>
      <c r="AA339" s="764"/>
      <c r="AB339" s="466"/>
      <c r="AC339" s="350"/>
      <c r="AD339" s="350"/>
      <c r="AE339" s="350"/>
      <c r="AF339" s="350"/>
    </row>
    <row r="340" spans="1:32" s="597" customFormat="1" ht="18" customHeight="1" x14ac:dyDescent="0.2">
      <c r="A340" s="2070"/>
      <c r="B340" s="177"/>
      <c r="C340" s="177"/>
      <c r="D340" s="2070"/>
      <c r="E340" s="2070"/>
      <c r="F340" s="2070"/>
      <c r="G340" s="2070"/>
      <c r="H340" s="2076"/>
      <c r="I340" s="2072"/>
      <c r="J340" s="178"/>
      <c r="K340" s="2072"/>
      <c r="L340" s="2070"/>
      <c r="M340" s="2070"/>
      <c r="N340" s="2070"/>
      <c r="O340" s="2070"/>
      <c r="P340" s="2076"/>
      <c r="Q340" s="2071"/>
      <c r="R340" s="437"/>
      <c r="S340" s="2072"/>
      <c r="T340" s="179"/>
      <c r="U340" s="178"/>
      <c r="V340" s="2072"/>
      <c r="W340" s="2072"/>
      <c r="X340" s="470"/>
      <c r="Y340" s="470"/>
      <c r="Z340" s="471"/>
      <c r="AA340" s="764"/>
      <c r="AB340" s="466"/>
      <c r="AC340" s="350"/>
      <c r="AD340" s="350"/>
      <c r="AE340" s="350"/>
      <c r="AF340" s="350"/>
    </row>
    <row r="341" spans="1:32" s="597" customFormat="1" ht="18" customHeight="1" x14ac:dyDescent="0.2">
      <c r="A341" s="2070"/>
      <c r="B341" s="177"/>
      <c r="C341" s="177"/>
      <c r="D341" s="2070"/>
      <c r="E341" s="2070"/>
      <c r="F341" s="2070"/>
      <c r="G341" s="2070"/>
      <c r="H341" s="2076"/>
      <c r="I341" s="2072"/>
      <c r="J341" s="178"/>
      <c r="K341" s="2072"/>
      <c r="L341" s="2070"/>
      <c r="M341" s="2070"/>
      <c r="N341" s="2070"/>
      <c r="O341" s="2070"/>
      <c r="P341" s="2076"/>
      <c r="Q341" s="2071"/>
      <c r="R341" s="437"/>
      <c r="S341" s="2072"/>
      <c r="T341" s="179"/>
      <c r="U341" s="178"/>
      <c r="V341" s="2072"/>
      <c r="W341" s="2072"/>
      <c r="X341" s="470"/>
      <c r="Y341" s="470"/>
      <c r="Z341" s="471"/>
      <c r="AA341" s="764"/>
      <c r="AB341" s="466"/>
      <c r="AC341" s="350"/>
      <c r="AD341" s="350"/>
      <c r="AE341" s="350"/>
      <c r="AF341" s="350"/>
    </row>
    <row r="342" spans="1:32" s="597" customFormat="1" ht="18" customHeight="1" x14ac:dyDescent="0.2">
      <c r="A342" s="2070"/>
      <c r="B342" s="177"/>
      <c r="C342" s="177"/>
      <c r="D342" s="2070"/>
      <c r="E342" s="2070"/>
      <c r="F342" s="2070"/>
      <c r="G342" s="2070"/>
      <c r="H342" s="2076"/>
      <c r="I342" s="2072"/>
      <c r="J342" s="178"/>
      <c r="K342" s="2072"/>
      <c r="L342" s="2070"/>
      <c r="M342" s="2070"/>
      <c r="N342" s="2070"/>
      <c r="O342" s="2070"/>
      <c r="P342" s="2076"/>
      <c r="Q342" s="2071"/>
      <c r="R342" s="437"/>
      <c r="S342" s="2072"/>
      <c r="T342" s="179"/>
      <c r="U342" s="178"/>
      <c r="V342" s="2072"/>
      <c r="W342" s="2072"/>
      <c r="X342" s="470"/>
      <c r="Y342" s="470"/>
      <c r="Z342" s="471"/>
      <c r="AA342" s="764"/>
      <c r="AB342" s="466"/>
      <c r="AC342" s="350"/>
      <c r="AD342" s="350"/>
      <c r="AE342" s="350"/>
      <c r="AF342" s="350"/>
    </row>
    <row r="343" spans="1:32" s="597" customFormat="1" ht="18" customHeight="1" x14ac:dyDescent="0.2">
      <c r="A343" s="2070"/>
      <c r="B343" s="177"/>
      <c r="C343" s="177"/>
      <c r="D343" s="2070"/>
      <c r="E343" s="2070"/>
      <c r="F343" s="2070"/>
      <c r="G343" s="2070"/>
      <c r="H343" s="2076"/>
      <c r="I343" s="2072"/>
      <c r="J343" s="178"/>
      <c r="K343" s="2072"/>
      <c r="L343" s="2070"/>
      <c r="M343" s="2070"/>
      <c r="N343" s="2070"/>
      <c r="O343" s="2070"/>
      <c r="P343" s="2076"/>
      <c r="Q343" s="2071"/>
      <c r="R343" s="437"/>
      <c r="S343" s="2072"/>
      <c r="T343" s="179"/>
      <c r="U343" s="178"/>
      <c r="V343" s="2072"/>
      <c r="W343" s="2072"/>
      <c r="X343" s="470"/>
      <c r="Y343" s="470"/>
      <c r="Z343" s="471"/>
      <c r="AA343" s="764"/>
      <c r="AB343" s="466"/>
      <c r="AC343" s="350"/>
      <c r="AD343" s="350"/>
      <c r="AE343" s="350"/>
      <c r="AF343" s="350"/>
    </row>
    <row r="344" spans="1:32" s="597" customFormat="1" ht="18" customHeight="1" x14ac:dyDescent="0.2">
      <c r="A344" s="2070"/>
      <c r="B344" s="177"/>
      <c r="C344" s="177"/>
      <c r="D344" s="2070"/>
      <c r="E344" s="2070"/>
      <c r="F344" s="2070"/>
      <c r="G344" s="2070"/>
      <c r="H344" s="2076"/>
      <c r="I344" s="2072"/>
      <c r="J344" s="178"/>
      <c r="K344" s="2072"/>
      <c r="L344" s="2070"/>
      <c r="M344" s="2070"/>
      <c r="N344" s="2070"/>
      <c r="O344" s="2070"/>
      <c r="P344" s="2076"/>
      <c r="Q344" s="2071"/>
      <c r="R344" s="437"/>
      <c r="S344" s="2072"/>
      <c r="T344" s="179"/>
      <c r="U344" s="178"/>
      <c r="V344" s="2072"/>
      <c r="W344" s="2072"/>
      <c r="X344" s="470"/>
      <c r="Y344" s="470"/>
      <c r="Z344" s="471"/>
      <c r="AA344" s="764"/>
      <c r="AB344" s="466"/>
      <c r="AC344" s="350"/>
      <c r="AD344" s="350"/>
      <c r="AE344" s="350"/>
      <c r="AF344" s="350"/>
    </row>
    <row r="345" spans="1:32" s="597" customFormat="1" ht="18" customHeight="1" x14ac:dyDescent="0.2">
      <c r="A345" s="2070"/>
      <c r="B345" s="177"/>
      <c r="C345" s="177"/>
      <c r="D345" s="2070"/>
      <c r="E345" s="2070"/>
      <c r="F345" s="2070"/>
      <c r="G345" s="2070"/>
      <c r="H345" s="2076"/>
      <c r="I345" s="2072"/>
      <c r="J345" s="178"/>
      <c r="K345" s="2072"/>
      <c r="L345" s="2070"/>
      <c r="M345" s="2070"/>
      <c r="N345" s="2070"/>
      <c r="O345" s="2070"/>
      <c r="P345" s="2076"/>
      <c r="Q345" s="2071"/>
      <c r="R345" s="437"/>
      <c r="S345" s="2072"/>
      <c r="T345" s="179"/>
      <c r="U345" s="178"/>
      <c r="V345" s="2072"/>
      <c r="W345" s="2072"/>
      <c r="X345" s="470"/>
      <c r="Y345" s="470"/>
      <c r="Z345" s="471"/>
      <c r="AA345" s="764"/>
      <c r="AB345" s="466"/>
      <c r="AC345" s="350"/>
      <c r="AD345" s="350"/>
      <c r="AE345" s="350"/>
      <c r="AF345" s="350"/>
    </row>
    <row r="346" spans="1:32" s="597" customFormat="1" ht="18" customHeight="1" x14ac:dyDescent="0.2">
      <c r="A346" s="88"/>
      <c r="B346" s="180"/>
      <c r="C346" s="180"/>
      <c r="D346" s="88"/>
      <c r="E346" s="88"/>
      <c r="F346" s="88"/>
      <c r="G346" s="88"/>
      <c r="H346" s="120"/>
      <c r="I346" s="121"/>
      <c r="J346" s="181"/>
      <c r="K346" s="121"/>
      <c r="L346" s="88"/>
      <c r="M346" s="88"/>
      <c r="N346" s="88"/>
      <c r="O346" s="88"/>
      <c r="P346" s="88"/>
      <c r="Q346" s="129"/>
      <c r="R346" s="445"/>
      <c r="S346" s="121"/>
      <c r="T346" s="182"/>
      <c r="U346" s="181"/>
      <c r="V346" s="121"/>
      <c r="W346" s="121"/>
      <c r="X346" s="472"/>
      <c r="Y346" s="472"/>
      <c r="Z346" s="473"/>
      <c r="AA346" s="780"/>
      <c r="AB346" s="410"/>
      <c r="AC346" s="351"/>
      <c r="AD346" s="351"/>
      <c r="AE346" s="351"/>
      <c r="AF346" s="351"/>
    </row>
    <row r="347" spans="1:32" s="597" customFormat="1" ht="18" customHeight="1" x14ac:dyDescent="0.2">
      <c r="A347" s="1850"/>
      <c r="B347" s="1850"/>
      <c r="C347" s="1850"/>
      <c r="D347" s="1850"/>
      <c r="E347" s="1850"/>
      <c r="F347" s="1850"/>
      <c r="G347" s="1850"/>
      <c r="H347" s="1851"/>
      <c r="I347" s="1852"/>
      <c r="J347" s="1853"/>
      <c r="K347" s="1852"/>
      <c r="L347" s="1852"/>
      <c r="M347" s="1852"/>
      <c r="N347" s="1852"/>
      <c r="O347" s="1852"/>
      <c r="P347" s="1852"/>
      <c r="Q347" s="1852"/>
      <c r="R347" s="1854"/>
      <c r="S347" s="1852"/>
      <c r="T347" s="1855"/>
      <c r="U347" s="1853"/>
      <c r="V347" s="1852"/>
      <c r="W347" s="1852"/>
      <c r="X347" s="1856"/>
      <c r="Y347" s="1856"/>
      <c r="Z347" s="1857"/>
      <c r="AA347" s="2125"/>
      <c r="AB347" s="1847">
        <f>SUM(AB333:AB346)</f>
        <v>325.92</v>
      </c>
      <c r="AC347" s="1861"/>
      <c r="AD347" s="1861"/>
      <c r="AE347" s="1861"/>
      <c r="AF347" s="1861"/>
    </row>
    <row r="348" spans="1:32" s="597" customFormat="1" ht="14.1" customHeight="1" x14ac:dyDescent="0.2">
      <c r="A348" s="2690" t="s">
        <v>76</v>
      </c>
      <c r="B348" s="2690"/>
      <c r="C348" s="2691" t="s">
        <v>77</v>
      </c>
      <c r="D348" s="2691"/>
      <c r="E348" s="2691"/>
      <c r="F348" s="2691"/>
      <c r="G348" s="2691"/>
      <c r="H348" s="2691"/>
      <c r="I348" s="604" t="s">
        <v>78</v>
      </c>
      <c r="J348" s="604"/>
      <c r="K348" s="604"/>
      <c r="L348" s="604"/>
      <c r="M348" s="604"/>
      <c r="N348" s="604"/>
      <c r="AA348" s="767"/>
      <c r="AB348" s="598"/>
    </row>
    <row r="349" spans="1:32" s="597" customFormat="1" ht="14.1" customHeight="1" x14ac:dyDescent="0.2">
      <c r="A349" s="604"/>
      <c r="B349" s="605"/>
      <c r="C349" s="604"/>
      <c r="D349" s="604"/>
      <c r="E349" s="604"/>
      <c r="F349" s="604"/>
      <c r="G349" s="604"/>
      <c r="H349" s="604"/>
      <c r="I349" s="604" t="s">
        <v>79</v>
      </c>
      <c r="J349" s="604"/>
      <c r="K349" s="604"/>
      <c r="L349" s="604"/>
      <c r="M349" s="604"/>
      <c r="N349" s="604"/>
      <c r="AA349" s="767"/>
      <c r="AB349" s="598"/>
    </row>
    <row r="350" spans="1:32" s="597" customFormat="1" ht="14.1" customHeight="1" x14ac:dyDescent="0.2">
      <c r="A350" s="604"/>
      <c r="B350" s="605"/>
      <c r="C350" s="604"/>
      <c r="D350" s="604"/>
      <c r="E350" s="604"/>
      <c r="F350" s="604"/>
      <c r="G350" s="604"/>
      <c r="H350" s="604"/>
      <c r="I350" s="604" t="s">
        <v>80</v>
      </c>
      <c r="J350" s="604"/>
      <c r="K350" s="604"/>
      <c r="L350" s="604"/>
      <c r="M350" s="604"/>
      <c r="N350" s="604"/>
      <c r="AA350" s="767"/>
      <c r="AB350" s="598"/>
    </row>
    <row r="351" spans="1:32" s="597" customFormat="1" ht="14.1" customHeight="1" x14ac:dyDescent="0.2">
      <c r="A351" s="604"/>
      <c r="B351" s="605"/>
      <c r="C351" s="604"/>
      <c r="D351" s="604"/>
      <c r="E351" s="604"/>
      <c r="F351" s="604"/>
      <c r="G351" s="604"/>
      <c r="H351" s="604"/>
      <c r="I351" s="604" t="s">
        <v>81</v>
      </c>
      <c r="J351" s="604"/>
      <c r="K351" s="604"/>
      <c r="L351" s="604"/>
      <c r="M351" s="604"/>
      <c r="N351" s="604"/>
      <c r="AA351" s="767"/>
      <c r="AB351" s="598"/>
    </row>
    <row r="352" spans="1:32" s="597" customFormat="1" ht="14.1" customHeight="1" x14ac:dyDescent="0.2">
      <c r="A352" s="604"/>
      <c r="B352" s="605"/>
      <c r="C352" s="604"/>
      <c r="D352" s="604"/>
      <c r="E352" s="604"/>
      <c r="F352" s="604"/>
      <c r="G352" s="604"/>
      <c r="H352" s="604"/>
      <c r="I352" s="604" t="s">
        <v>88</v>
      </c>
      <c r="J352" s="604"/>
      <c r="K352" s="604"/>
      <c r="L352" s="604"/>
      <c r="M352" s="604"/>
      <c r="N352" s="604"/>
      <c r="AA352" s="767"/>
      <c r="AB352" s="598"/>
    </row>
    <row r="353" spans="1:33" s="597" customFormat="1" ht="18" customHeight="1" x14ac:dyDescent="0.2">
      <c r="A353" s="344"/>
      <c r="B353" s="344"/>
      <c r="C353" s="344"/>
      <c r="D353" s="344"/>
      <c r="E353" s="344"/>
      <c r="F353" s="344"/>
      <c r="G353" s="344"/>
      <c r="H353" s="344"/>
      <c r="I353" s="344"/>
      <c r="J353" s="344"/>
      <c r="K353" s="344"/>
      <c r="L353" s="344"/>
      <c r="M353" s="344"/>
      <c r="N353" s="344"/>
      <c r="O353" s="344"/>
      <c r="P353" s="344"/>
      <c r="Q353" s="344"/>
      <c r="R353" s="344"/>
      <c r="S353" s="344"/>
      <c r="T353" s="344"/>
      <c r="U353" s="344"/>
      <c r="V353" s="344"/>
      <c r="W353" s="344"/>
      <c r="X353" s="344"/>
      <c r="Y353" s="344"/>
      <c r="Z353" s="344"/>
      <c r="AA353" s="2703" t="s">
        <v>0</v>
      </c>
      <c r="AB353" s="2703"/>
      <c r="AC353" s="339"/>
      <c r="AD353" s="339"/>
      <c r="AE353" s="339"/>
      <c r="AF353" s="339"/>
    </row>
    <row r="354" spans="1:33" s="597" customFormat="1" ht="18" customHeight="1" x14ac:dyDescent="0.2">
      <c r="A354" s="2703" t="s">
        <v>1</v>
      </c>
      <c r="B354" s="2703"/>
      <c r="C354" s="2703"/>
      <c r="D354" s="2703"/>
      <c r="E354" s="2703"/>
      <c r="F354" s="2703"/>
      <c r="G354" s="2703"/>
      <c r="H354" s="2703"/>
      <c r="I354" s="2703"/>
      <c r="J354" s="2703"/>
      <c r="K354" s="2703"/>
      <c r="L354" s="2703"/>
      <c r="M354" s="2703"/>
      <c r="N354" s="2703"/>
      <c r="O354" s="2703"/>
      <c r="P354" s="2703"/>
      <c r="Q354" s="2703"/>
      <c r="R354" s="2703"/>
      <c r="S354" s="2703"/>
      <c r="T354" s="2703"/>
      <c r="U354" s="2703"/>
      <c r="V354" s="2703"/>
      <c r="W354" s="2703"/>
      <c r="X354" s="2703"/>
      <c r="Y354" s="2703"/>
      <c r="Z354" s="2703"/>
      <c r="AA354" s="2703"/>
      <c r="AB354" s="2703"/>
      <c r="AC354" s="344"/>
      <c r="AD354" s="344"/>
      <c r="AE354" s="344"/>
      <c r="AF354" s="344"/>
    </row>
    <row r="355" spans="1:33" s="597" customFormat="1" ht="18" customHeight="1" x14ac:dyDescent="0.2">
      <c r="A355" s="2704" t="s">
        <v>552</v>
      </c>
      <c r="B355" s="2704"/>
      <c r="C355" s="2704"/>
      <c r="D355" s="2704"/>
      <c r="E355" s="2704"/>
      <c r="F355" s="2704"/>
      <c r="G355" s="2704"/>
      <c r="H355" s="2704"/>
      <c r="I355" s="2704"/>
      <c r="J355" s="2704"/>
      <c r="K355" s="2704"/>
      <c r="L355" s="2704"/>
      <c r="M355" s="2704"/>
      <c r="N355" s="2704"/>
      <c r="O355" s="2704"/>
      <c r="P355" s="2704"/>
      <c r="Q355" s="2704"/>
      <c r="R355" s="2704"/>
      <c r="S355" s="2704"/>
      <c r="T355" s="2704"/>
      <c r="U355" s="2704"/>
      <c r="V355" s="2704"/>
      <c r="W355" s="2704"/>
      <c r="X355" s="2704"/>
      <c r="Y355" s="2704"/>
      <c r="Z355" s="2704"/>
      <c r="AA355" s="2704"/>
      <c r="AB355" s="2704"/>
      <c r="AC355" s="599"/>
      <c r="AD355" s="599"/>
      <c r="AE355" s="599"/>
      <c r="AF355" s="599"/>
    </row>
    <row r="356" spans="1:33" s="597" customFormat="1" ht="14.1" customHeight="1" x14ac:dyDescent="0.2">
      <c r="A356" s="2686" t="s">
        <v>2</v>
      </c>
      <c r="B356" s="360"/>
      <c r="C356" s="2686" t="s">
        <v>3</v>
      </c>
      <c r="D356" s="360"/>
      <c r="E356" s="360"/>
      <c r="F356" s="2693" t="s">
        <v>4</v>
      </c>
      <c r="G356" s="2693"/>
      <c r="H356" s="2693"/>
      <c r="I356" s="2694"/>
      <c r="J356" s="2694"/>
      <c r="K356" s="2695"/>
      <c r="L356" s="361"/>
      <c r="M356" s="2679" t="s">
        <v>5</v>
      </c>
      <c r="N356" s="2679"/>
      <c r="O356" s="2679"/>
      <c r="P356" s="2679"/>
      <c r="Q356" s="2696"/>
      <c r="R356" s="2696"/>
      <c r="S356" s="2696"/>
      <c r="T356" s="2696"/>
      <c r="U356" s="2696"/>
      <c r="V356" s="2697"/>
      <c r="W356" s="362" t="s">
        <v>6</v>
      </c>
      <c r="X356" s="363" t="s">
        <v>7</v>
      </c>
      <c r="Y356" s="364"/>
      <c r="Z356" s="364"/>
      <c r="AA356" s="363"/>
      <c r="AB356" s="365"/>
      <c r="AC356" s="516" t="s">
        <v>8</v>
      </c>
      <c r="AD356" s="346"/>
      <c r="AE356" s="346"/>
      <c r="AF356" s="600"/>
    </row>
    <row r="357" spans="1:33" s="597" customFormat="1" ht="14.1" customHeight="1" x14ac:dyDescent="0.2">
      <c r="A357" s="2687"/>
      <c r="B357" s="367"/>
      <c r="C357" s="2687"/>
      <c r="D357" s="2062" t="s">
        <v>9</v>
      </c>
      <c r="E357" s="368" t="s">
        <v>10</v>
      </c>
      <c r="F357" s="2698" t="s">
        <v>11</v>
      </c>
      <c r="G357" s="2694"/>
      <c r="H357" s="2695"/>
      <c r="I357" s="360"/>
      <c r="J357" s="369" t="s">
        <v>12</v>
      </c>
      <c r="K357" s="360"/>
      <c r="L357" s="2679" t="s">
        <v>2</v>
      </c>
      <c r="M357" s="2067"/>
      <c r="N357" s="2067"/>
      <c r="O357" s="2067"/>
      <c r="P357" s="371"/>
      <c r="Q357" s="372" t="s">
        <v>13</v>
      </c>
      <c r="R357" s="373" t="s">
        <v>12</v>
      </c>
      <c r="S357" s="2067" t="s">
        <v>6</v>
      </c>
      <c r="T357" s="2682" t="s">
        <v>14</v>
      </c>
      <c r="U357" s="2683"/>
      <c r="V357" s="375" t="s">
        <v>7</v>
      </c>
      <c r="W357" s="376" t="s">
        <v>15</v>
      </c>
      <c r="X357" s="377" t="s">
        <v>16</v>
      </c>
      <c r="Y357" s="377" t="s">
        <v>17</v>
      </c>
      <c r="Z357" s="377" t="s">
        <v>18</v>
      </c>
      <c r="AA357" s="377"/>
      <c r="AB357" s="378" t="s">
        <v>19</v>
      </c>
      <c r="AC357" s="528" t="s">
        <v>20</v>
      </c>
      <c r="AD357" s="601"/>
      <c r="AE357" s="347" t="s">
        <v>21</v>
      </c>
      <c r="AF357" s="340" t="s">
        <v>22</v>
      </c>
    </row>
    <row r="358" spans="1:33" s="597" customFormat="1" ht="14.1" customHeight="1" x14ac:dyDescent="0.2">
      <c r="A358" s="2687"/>
      <c r="B358" s="2062" t="s">
        <v>23</v>
      </c>
      <c r="C358" s="2687"/>
      <c r="D358" s="2062" t="s">
        <v>24</v>
      </c>
      <c r="E358" s="368" t="s">
        <v>25</v>
      </c>
      <c r="F358" s="2699"/>
      <c r="G358" s="2700"/>
      <c r="H358" s="2701"/>
      <c r="I358" s="2062" t="s">
        <v>26</v>
      </c>
      <c r="J358" s="379" t="s">
        <v>15</v>
      </c>
      <c r="K358" s="2066" t="s">
        <v>6</v>
      </c>
      <c r="L358" s="2680"/>
      <c r="M358" s="2068" t="s">
        <v>27</v>
      </c>
      <c r="N358" s="2068" t="s">
        <v>10</v>
      </c>
      <c r="O358" s="382" t="s">
        <v>10</v>
      </c>
      <c r="P358" s="383" t="s">
        <v>28</v>
      </c>
      <c r="Q358" s="384" t="s">
        <v>29</v>
      </c>
      <c r="R358" s="383" t="s">
        <v>15</v>
      </c>
      <c r="S358" s="385" t="s">
        <v>15</v>
      </c>
      <c r="T358" s="2684"/>
      <c r="U358" s="2685"/>
      <c r="V358" s="375" t="s">
        <v>30</v>
      </c>
      <c r="W358" s="376" t="s">
        <v>31</v>
      </c>
      <c r="X358" s="377" t="s">
        <v>30</v>
      </c>
      <c r="Y358" s="377" t="s">
        <v>32</v>
      </c>
      <c r="Z358" s="377" t="s">
        <v>7</v>
      </c>
      <c r="AA358" s="377" t="s">
        <v>33</v>
      </c>
      <c r="AB358" s="378" t="s">
        <v>34</v>
      </c>
      <c r="AC358" s="528" t="s">
        <v>35</v>
      </c>
      <c r="AD358" s="347" t="s">
        <v>36</v>
      </c>
      <c r="AE358" s="347" t="s">
        <v>37</v>
      </c>
      <c r="AF358" s="340" t="s">
        <v>38</v>
      </c>
    </row>
    <row r="359" spans="1:33" s="597" customFormat="1" ht="14.1" customHeight="1" x14ac:dyDescent="0.2">
      <c r="A359" s="2687"/>
      <c r="B359" s="2062" t="s">
        <v>39</v>
      </c>
      <c r="C359" s="2687"/>
      <c r="D359" s="2062" t="s">
        <v>40</v>
      </c>
      <c r="E359" s="368" t="s">
        <v>41</v>
      </c>
      <c r="F359" s="2686" t="s">
        <v>42</v>
      </c>
      <c r="G359" s="2686" t="s">
        <v>43</v>
      </c>
      <c r="H359" s="2688" t="s">
        <v>44</v>
      </c>
      <c r="I359" s="2062" t="s">
        <v>45</v>
      </c>
      <c r="J359" s="379" t="s">
        <v>46</v>
      </c>
      <c r="K359" s="2066" t="s">
        <v>47</v>
      </c>
      <c r="L359" s="2680"/>
      <c r="M359" s="2068" t="s">
        <v>30</v>
      </c>
      <c r="N359" s="2068" t="s">
        <v>30</v>
      </c>
      <c r="O359" s="382" t="s">
        <v>25</v>
      </c>
      <c r="P359" s="383" t="s">
        <v>30</v>
      </c>
      <c r="Q359" s="384" t="s">
        <v>48</v>
      </c>
      <c r="R359" s="383" t="s">
        <v>49</v>
      </c>
      <c r="S359" s="385" t="s">
        <v>30</v>
      </c>
      <c r="T359" s="386" t="s">
        <v>50</v>
      </c>
      <c r="U359" s="2065" t="s">
        <v>13</v>
      </c>
      <c r="V359" s="375" t="s">
        <v>51</v>
      </c>
      <c r="W359" s="376" t="s">
        <v>52</v>
      </c>
      <c r="X359" s="377" t="s">
        <v>53</v>
      </c>
      <c r="Y359" s="377" t="s">
        <v>54</v>
      </c>
      <c r="Z359" s="377" t="s">
        <v>55</v>
      </c>
      <c r="AA359" s="377" t="s">
        <v>56</v>
      </c>
      <c r="AB359" s="378" t="s">
        <v>57</v>
      </c>
      <c r="AC359" s="347" t="s">
        <v>58</v>
      </c>
      <c r="AD359" s="347" t="s">
        <v>59</v>
      </c>
      <c r="AE359" s="347" t="s">
        <v>59</v>
      </c>
      <c r="AF359" s="340" t="s">
        <v>60</v>
      </c>
    </row>
    <row r="360" spans="1:33" s="597" customFormat="1" ht="14.1" customHeight="1" x14ac:dyDescent="0.2">
      <c r="A360" s="2687"/>
      <c r="B360" s="2062" t="s">
        <v>61</v>
      </c>
      <c r="C360" s="2687"/>
      <c r="D360" s="2062" t="s">
        <v>62</v>
      </c>
      <c r="E360" s="368" t="s">
        <v>63</v>
      </c>
      <c r="F360" s="2687"/>
      <c r="G360" s="2687"/>
      <c r="H360" s="2689"/>
      <c r="I360" s="2062" t="s">
        <v>64</v>
      </c>
      <c r="J360" s="379" t="s">
        <v>59</v>
      </c>
      <c r="K360" s="2066" t="s">
        <v>59</v>
      </c>
      <c r="L360" s="2680"/>
      <c r="M360" s="2068"/>
      <c r="N360" s="2068"/>
      <c r="O360" s="382" t="s">
        <v>41</v>
      </c>
      <c r="P360" s="383" t="s">
        <v>65</v>
      </c>
      <c r="Q360" s="384" t="s">
        <v>66</v>
      </c>
      <c r="R360" s="383" t="s">
        <v>67</v>
      </c>
      <c r="S360" s="385" t="s">
        <v>59</v>
      </c>
      <c r="T360" s="387" t="s">
        <v>68</v>
      </c>
      <c r="U360" s="375" t="s">
        <v>14</v>
      </c>
      <c r="V360" s="375" t="s">
        <v>14</v>
      </c>
      <c r="W360" s="376" t="s">
        <v>30</v>
      </c>
      <c r="X360" s="388" t="s">
        <v>69</v>
      </c>
      <c r="Y360" s="388" t="s">
        <v>70</v>
      </c>
      <c r="Z360" s="377" t="s">
        <v>71</v>
      </c>
      <c r="AA360" s="377" t="s">
        <v>72</v>
      </c>
      <c r="AB360" s="378" t="s">
        <v>59</v>
      </c>
      <c r="AC360" s="347" t="s">
        <v>59</v>
      </c>
      <c r="AD360" s="347"/>
      <c r="AE360" s="347"/>
      <c r="AF360" s="340" t="s">
        <v>59</v>
      </c>
    </row>
    <row r="361" spans="1:33" s="597" customFormat="1" ht="14.1" customHeight="1" x14ac:dyDescent="0.2">
      <c r="A361" s="2692"/>
      <c r="B361" s="390"/>
      <c r="C361" s="2692"/>
      <c r="D361" s="390"/>
      <c r="E361" s="2063"/>
      <c r="F361" s="390"/>
      <c r="G361" s="390"/>
      <c r="H361" s="391"/>
      <c r="I361" s="2063"/>
      <c r="J361" s="392"/>
      <c r="K361" s="393"/>
      <c r="L361" s="2681"/>
      <c r="M361" s="2069"/>
      <c r="N361" s="2069"/>
      <c r="O361" s="2069" t="s">
        <v>63</v>
      </c>
      <c r="P361" s="395"/>
      <c r="Q361" s="396" t="s">
        <v>72</v>
      </c>
      <c r="R361" s="397" t="s">
        <v>59</v>
      </c>
      <c r="S361" s="398"/>
      <c r="T361" s="397" t="s">
        <v>73</v>
      </c>
      <c r="U361" s="398" t="s">
        <v>59</v>
      </c>
      <c r="V361" s="399" t="s">
        <v>59</v>
      </c>
      <c r="W361" s="400" t="s">
        <v>59</v>
      </c>
      <c r="X361" s="401" t="s">
        <v>59</v>
      </c>
      <c r="Y361" s="401" t="s">
        <v>59</v>
      </c>
      <c r="Z361" s="401" t="s">
        <v>59</v>
      </c>
      <c r="AA361" s="402"/>
      <c r="AB361" s="403"/>
      <c r="AC361" s="348"/>
      <c r="AD361" s="348"/>
      <c r="AE361" s="348"/>
      <c r="AF361" s="341"/>
    </row>
    <row r="362" spans="1:33" s="597" customFormat="1" ht="18" customHeight="1" x14ac:dyDescent="0.25">
      <c r="A362" s="53">
        <v>1</v>
      </c>
      <c r="B362" s="1387">
        <v>27954</v>
      </c>
      <c r="C362" s="259">
        <v>16</v>
      </c>
      <c r="D362" s="259" t="s">
        <v>83</v>
      </c>
      <c r="E362" s="259">
        <v>4</v>
      </c>
      <c r="F362" s="259">
        <v>0</v>
      </c>
      <c r="G362" s="259">
        <v>1</v>
      </c>
      <c r="H362" s="272">
        <v>16</v>
      </c>
      <c r="I362" s="44">
        <f>F362*400+G362*100+H362</f>
        <v>116</v>
      </c>
      <c r="J362" s="42">
        <v>280</v>
      </c>
      <c r="K362" s="60">
        <f>SUM(I362*J362)</f>
        <v>32480</v>
      </c>
      <c r="L362" s="63"/>
      <c r="M362" s="2073"/>
      <c r="N362" s="259"/>
      <c r="O362" s="63"/>
      <c r="P362" s="259"/>
      <c r="Q362" s="799"/>
      <c r="R362" s="260"/>
      <c r="S362" s="18"/>
      <c r="T362" s="20"/>
      <c r="U362" s="47"/>
      <c r="V362" s="47"/>
      <c r="W362" s="18">
        <f>K362+V362</f>
        <v>32480</v>
      </c>
      <c r="X362" s="47">
        <f>W362</f>
        <v>32480</v>
      </c>
      <c r="Y362" s="18">
        <v>0</v>
      </c>
      <c r="Z362" s="18">
        <f>+X362</f>
        <v>32480</v>
      </c>
      <c r="AA362" s="264">
        <v>0.6</v>
      </c>
      <c r="AB362" s="742">
        <f>+Z362*AA362/100</f>
        <v>194.88</v>
      </c>
      <c r="AC362" s="602"/>
      <c r="AD362" s="603">
        <f>AB362-AC362</f>
        <v>194.88</v>
      </c>
      <c r="AE362" s="603">
        <f>IF(AD362&lt;=0,0,AD362*25/100)</f>
        <v>48.72</v>
      </c>
      <c r="AF362" s="603">
        <f>IF(AC362+AE362&gt;AB362,AB362,AC362+AE362)</f>
        <v>48.72</v>
      </c>
      <c r="AG362" s="597" t="s">
        <v>387</v>
      </c>
    </row>
    <row r="363" spans="1:33" s="597" customFormat="1" ht="18" customHeight="1" x14ac:dyDescent="0.2">
      <c r="A363" s="2070"/>
      <c r="B363" s="2070"/>
      <c r="C363" s="2070"/>
      <c r="D363" s="2070"/>
      <c r="E363" s="2070"/>
      <c r="F363" s="2070"/>
      <c r="G363" s="2070"/>
      <c r="H363" s="2076"/>
      <c r="I363" s="178"/>
      <c r="J363" s="178"/>
      <c r="K363" s="178"/>
      <c r="L363" s="2070"/>
      <c r="M363" s="2070"/>
      <c r="N363" s="2070"/>
      <c r="O363" s="2070"/>
      <c r="P363" s="2076"/>
      <c r="Q363" s="2071"/>
      <c r="R363" s="437"/>
      <c r="S363" s="178"/>
      <c r="T363" s="179"/>
      <c r="U363" s="178"/>
      <c r="V363" s="178"/>
      <c r="W363" s="178"/>
      <c r="X363" s="470"/>
      <c r="Y363" s="470"/>
      <c r="Z363" s="748"/>
      <c r="AA363" s="876"/>
      <c r="AB363" s="744"/>
      <c r="AC363" s="350"/>
      <c r="AD363" s="350"/>
      <c r="AE363" s="350"/>
      <c r="AF363" s="350"/>
    </row>
    <row r="364" spans="1:33" s="597" customFormat="1" ht="18" customHeight="1" x14ac:dyDescent="0.2">
      <c r="A364" s="2070"/>
      <c r="B364" s="2070"/>
      <c r="C364" s="2070"/>
      <c r="D364" s="2070"/>
      <c r="E364" s="2070"/>
      <c r="F364" s="2070"/>
      <c r="G364" s="2070"/>
      <c r="H364" s="2076"/>
      <c r="I364" s="178"/>
      <c r="J364" s="178"/>
      <c r="K364" s="178"/>
      <c r="L364" s="2070"/>
      <c r="M364" s="2070"/>
      <c r="N364" s="2070"/>
      <c r="O364" s="2070"/>
      <c r="P364" s="2076"/>
      <c r="Q364" s="2071"/>
      <c r="R364" s="437"/>
      <c r="S364" s="178"/>
      <c r="T364" s="179"/>
      <c r="U364" s="178"/>
      <c r="V364" s="178"/>
      <c r="W364" s="178"/>
      <c r="X364" s="470"/>
      <c r="Y364" s="470"/>
      <c r="Z364" s="748"/>
      <c r="AA364" s="876"/>
      <c r="AB364" s="744"/>
      <c r="AC364" s="350"/>
      <c r="AD364" s="350"/>
      <c r="AE364" s="350"/>
      <c r="AF364" s="350"/>
    </row>
    <row r="365" spans="1:33" s="597" customFormat="1" ht="18" customHeight="1" x14ac:dyDescent="0.2">
      <c r="A365" s="2070"/>
      <c r="B365" s="2070"/>
      <c r="C365" s="2070"/>
      <c r="D365" s="2070"/>
      <c r="E365" s="2070"/>
      <c r="F365" s="2070"/>
      <c r="G365" s="2070"/>
      <c r="H365" s="2076"/>
      <c r="I365" s="178"/>
      <c r="J365" s="178"/>
      <c r="K365" s="178"/>
      <c r="L365" s="2070"/>
      <c r="M365" s="2070"/>
      <c r="N365" s="2070"/>
      <c r="O365" s="2070"/>
      <c r="P365" s="2076"/>
      <c r="Q365" s="2071"/>
      <c r="R365" s="437"/>
      <c r="S365" s="178"/>
      <c r="T365" s="179"/>
      <c r="U365" s="178"/>
      <c r="V365" s="178"/>
      <c r="W365" s="178"/>
      <c r="X365" s="470"/>
      <c r="Y365" s="470"/>
      <c r="Z365" s="748"/>
      <c r="AA365" s="876"/>
      <c r="AB365" s="744"/>
      <c r="AC365" s="350"/>
      <c r="AD365" s="350"/>
      <c r="AE365" s="350"/>
      <c r="AF365" s="350"/>
    </row>
    <row r="366" spans="1:33" s="597" customFormat="1" ht="18" customHeight="1" x14ac:dyDescent="0.2">
      <c r="A366" s="2070"/>
      <c r="B366" s="2070"/>
      <c r="C366" s="2070"/>
      <c r="D366" s="2070"/>
      <c r="E366" s="2070"/>
      <c r="F366" s="2070"/>
      <c r="G366" s="2070"/>
      <c r="H366" s="2076"/>
      <c r="I366" s="178"/>
      <c r="J366" s="178"/>
      <c r="K366" s="178"/>
      <c r="L366" s="2070"/>
      <c r="M366" s="2070"/>
      <c r="N366" s="2070"/>
      <c r="O366" s="2070"/>
      <c r="P366" s="2076"/>
      <c r="Q366" s="2071"/>
      <c r="R366" s="437"/>
      <c r="S366" s="178"/>
      <c r="T366" s="179"/>
      <c r="U366" s="178"/>
      <c r="V366" s="178"/>
      <c r="W366" s="178"/>
      <c r="X366" s="470"/>
      <c r="Y366" s="470"/>
      <c r="Z366" s="748"/>
      <c r="AA366" s="876"/>
      <c r="AB366" s="744"/>
      <c r="AC366" s="350"/>
      <c r="AD366" s="350"/>
      <c r="AE366" s="350"/>
      <c r="AF366" s="350"/>
    </row>
    <row r="367" spans="1:33" s="597" customFormat="1" ht="18" customHeight="1" x14ac:dyDescent="0.2">
      <c r="A367" s="2070"/>
      <c r="B367" s="2070"/>
      <c r="C367" s="2070"/>
      <c r="D367" s="2070"/>
      <c r="E367" s="2070"/>
      <c r="F367" s="2070"/>
      <c r="G367" s="2070"/>
      <c r="H367" s="2076"/>
      <c r="I367" s="178"/>
      <c r="J367" s="178"/>
      <c r="K367" s="178"/>
      <c r="L367" s="2070"/>
      <c r="M367" s="2070"/>
      <c r="N367" s="2070"/>
      <c r="O367" s="2070"/>
      <c r="P367" s="2076"/>
      <c r="Q367" s="2071"/>
      <c r="R367" s="437"/>
      <c r="S367" s="178"/>
      <c r="T367" s="179"/>
      <c r="U367" s="178"/>
      <c r="V367" s="178"/>
      <c r="W367" s="178"/>
      <c r="X367" s="470"/>
      <c r="Y367" s="470"/>
      <c r="Z367" s="748"/>
      <c r="AA367" s="876"/>
      <c r="AB367" s="744"/>
      <c r="AC367" s="350"/>
      <c r="AD367" s="350"/>
      <c r="AE367" s="350"/>
      <c r="AF367" s="350"/>
    </row>
    <row r="368" spans="1:33" s="597" customFormat="1" ht="18" customHeight="1" x14ac:dyDescent="0.2">
      <c r="A368" s="2070"/>
      <c r="B368" s="2070"/>
      <c r="C368" s="2070"/>
      <c r="D368" s="2070"/>
      <c r="E368" s="2070"/>
      <c r="F368" s="2070"/>
      <c r="G368" s="2070"/>
      <c r="H368" s="2076"/>
      <c r="I368" s="178"/>
      <c r="J368" s="178"/>
      <c r="K368" s="178"/>
      <c r="L368" s="2070"/>
      <c r="M368" s="2070"/>
      <c r="N368" s="2070"/>
      <c r="O368" s="2070"/>
      <c r="P368" s="2076"/>
      <c r="Q368" s="2071"/>
      <c r="R368" s="437"/>
      <c r="S368" s="178"/>
      <c r="T368" s="179"/>
      <c r="U368" s="178"/>
      <c r="V368" s="178"/>
      <c r="W368" s="178"/>
      <c r="X368" s="470"/>
      <c r="Y368" s="470"/>
      <c r="Z368" s="748"/>
      <c r="AA368" s="876"/>
      <c r="AB368" s="744"/>
      <c r="AC368" s="350"/>
      <c r="AD368" s="350"/>
      <c r="AE368" s="350"/>
      <c r="AF368" s="350"/>
    </row>
    <row r="369" spans="1:32" s="597" customFormat="1" ht="18" customHeight="1" x14ac:dyDescent="0.2">
      <c r="A369" s="2070"/>
      <c r="B369" s="2070"/>
      <c r="C369" s="2070"/>
      <c r="D369" s="2070"/>
      <c r="E369" s="2070"/>
      <c r="F369" s="2070"/>
      <c r="G369" s="2070"/>
      <c r="H369" s="2076"/>
      <c r="I369" s="178"/>
      <c r="J369" s="178"/>
      <c r="K369" s="178"/>
      <c r="L369" s="2070"/>
      <c r="M369" s="2070"/>
      <c r="N369" s="2070"/>
      <c r="O369" s="2070"/>
      <c r="P369" s="2076"/>
      <c r="Q369" s="2071"/>
      <c r="R369" s="437"/>
      <c r="S369" s="178"/>
      <c r="T369" s="179"/>
      <c r="U369" s="178"/>
      <c r="V369" s="178"/>
      <c r="W369" s="178"/>
      <c r="X369" s="470"/>
      <c r="Y369" s="470"/>
      <c r="Z369" s="748"/>
      <c r="AA369" s="876"/>
      <c r="AB369" s="744"/>
      <c r="AC369" s="350"/>
      <c r="AD369" s="350"/>
      <c r="AE369" s="350"/>
      <c r="AF369" s="350"/>
    </row>
    <row r="370" spans="1:32" s="597" customFormat="1" ht="18" customHeight="1" x14ac:dyDescent="0.2">
      <c r="A370" s="2070"/>
      <c r="B370" s="2070"/>
      <c r="C370" s="2070"/>
      <c r="D370" s="2070"/>
      <c r="E370" s="2070"/>
      <c r="F370" s="2070"/>
      <c r="G370" s="2070"/>
      <c r="H370" s="2076"/>
      <c r="I370" s="178"/>
      <c r="J370" s="178"/>
      <c r="K370" s="178"/>
      <c r="L370" s="2070"/>
      <c r="M370" s="2070"/>
      <c r="N370" s="2070"/>
      <c r="O370" s="2070"/>
      <c r="P370" s="2076"/>
      <c r="Q370" s="2071"/>
      <c r="R370" s="437"/>
      <c r="S370" s="178"/>
      <c r="T370" s="179"/>
      <c r="U370" s="178"/>
      <c r="V370" s="178"/>
      <c r="W370" s="178"/>
      <c r="X370" s="470"/>
      <c r="Y370" s="470"/>
      <c r="Z370" s="748"/>
      <c r="AA370" s="876"/>
      <c r="AB370" s="744"/>
      <c r="AC370" s="350"/>
      <c r="AD370" s="350"/>
      <c r="AE370" s="350"/>
      <c r="AF370" s="350"/>
    </row>
    <row r="371" spans="1:32" s="597" customFormat="1" ht="18" customHeight="1" x14ac:dyDescent="0.2">
      <c r="A371" s="2070"/>
      <c r="B371" s="2070"/>
      <c r="C371" s="2070"/>
      <c r="D371" s="2070"/>
      <c r="E371" s="2070"/>
      <c r="F371" s="2070"/>
      <c r="G371" s="2070"/>
      <c r="H371" s="2076"/>
      <c r="I371" s="178"/>
      <c r="J371" s="178"/>
      <c r="K371" s="178"/>
      <c r="L371" s="2070"/>
      <c r="M371" s="2070"/>
      <c r="N371" s="2070"/>
      <c r="O371" s="2070"/>
      <c r="P371" s="2076"/>
      <c r="Q371" s="2071"/>
      <c r="R371" s="437"/>
      <c r="S371" s="178"/>
      <c r="T371" s="179"/>
      <c r="U371" s="178"/>
      <c r="V371" s="178"/>
      <c r="W371" s="178"/>
      <c r="X371" s="470"/>
      <c r="Y371" s="470"/>
      <c r="Z371" s="748"/>
      <c r="AA371" s="876"/>
      <c r="AB371" s="744"/>
      <c r="AC371" s="350"/>
      <c r="AD371" s="350"/>
      <c r="AE371" s="350"/>
      <c r="AF371" s="350"/>
    </row>
    <row r="372" spans="1:32" s="597" customFormat="1" ht="18" customHeight="1" x14ac:dyDescent="0.2">
      <c r="A372" s="2070"/>
      <c r="B372" s="2070"/>
      <c r="C372" s="2070"/>
      <c r="D372" s="2070"/>
      <c r="E372" s="2070"/>
      <c r="F372" s="2070"/>
      <c r="G372" s="2070"/>
      <c r="H372" s="2076"/>
      <c r="I372" s="178"/>
      <c r="J372" s="178"/>
      <c r="K372" s="178"/>
      <c r="L372" s="2070"/>
      <c r="M372" s="2070"/>
      <c r="N372" s="2070"/>
      <c r="O372" s="2070"/>
      <c r="P372" s="2076"/>
      <c r="Q372" s="2071"/>
      <c r="R372" s="437"/>
      <c r="S372" s="178"/>
      <c r="T372" s="179"/>
      <c r="U372" s="178"/>
      <c r="V372" s="178"/>
      <c r="W372" s="178"/>
      <c r="X372" s="470"/>
      <c r="Y372" s="470"/>
      <c r="Z372" s="748"/>
      <c r="AA372" s="876"/>
      <c r="AB372" s="744"/>
      <c r="AC372" s="350"/>
      <c r="AD372" s="350"/>
      <c r="AE372" s="350"/>
      <c r="AF372" s="350"/>
    </row>
    <row r="373" spans="1:32" s="597" customFormat="1" ht="18" customHeight="1" x14ac:dyDescent="0.2">
      <c r="A373" s="2070"/>
      <c r="B373" s="2070"/>
      <c r="C373" s="2070"/>
      <c r="D373" s="2070"/>
      <c r="E373" s="2070"/>
      <c r="F373" s="2070"/>
      <c r="G373" s="2070"/>
      <c r="H373" s="2076"/>
      <c r="I373" s="178"/>
      <c r="J373" s="178"/>
      <c r="K373" s="178"/>
      <c r="L373" s="2070"/>
      <c r="M373" s="2070"/>
      <c r="N373" s="2070"/>
      <c r="O373" s="2070"/>
      <c r="P373" s="2076"/>
      <c r="Q373" s="2071"/>
      <c r="R373" s="437"/>
      <c r="S373" s="178"/>
      <c r="T373" s="179"/>
      <c r="U373" s="178"/>
      <c r="V373" s="178"/>
      <c r="W373" s="178"/>
      <c r="X373" s="470"/>
      <c r="Y373" s="470"/>
      <c r="Z373" s="748"/>
      <c r="AA373" s="876"/>
      <c r="AB373" s="744"/>
      <c r="AC373" s="350"/>
      <c r="AD373" s="350"/>
      <c r="AE373" s="350"/>
      <c r="AF373" s="350"/>
    </row>
    <row r="374" spans="1:32" s="597" customFormat="1" ht="18" customHeight="1" x14ac:dyDescent="0.2">
      <c r="A374" s="2070"/>
      <c r="B374" s="2070"/>
      <c r="C374" s="2070"/>
      <c r="D374" s="2070"/>
      <c r="E374" s="2070"/>
      <c r="F374" s="2070"/>
      <c r="G374" s="2070"/>
      <c r="H374" s="2076"/>
      <c r="I374" s="178"/>
      <c r="J374" s="178"/>
      <c r="K374" s="178"/>
      <c r="L374" s="2070"/>
      <c r="M374" s="2070"/>
      <c r="N374" s="2070"/>
      <c r="O374" s="2070"/>
      <c r="P374" s="2076"/>
      <c r="Q374" s="2071"/>
      <c r="R374" s="437"/>
      <c r="S374" s="178"/>
      <c r="T374" s="179"/>
      <c r="U374" s="178"/>
      <c r="V374" s="178"/>
      <c r="W374" s="178"/>
      <c r="X374" s="470"/>
      <c r="Y374" s="470"/>
      <c r="Z374" s="748"/>
      <c r="AA374" s="876"/>
      <c r="AB374" s="744"/>
      <c r="AC374" s="350"/>
      <c r="AD374" s="350"/>
      <c r="AE374" s="350"/>
      <c r="AF374" s="350"/>
    </row>
    <row r="375" spans="1:32" s="597" customFormat="1" ht="18" customHeight="1" x14ac:dyDescent="0.2">
      <c r="A375" s="88"/>
      <c r="B375" s="88"/>
      <c r="C375" s="88"/>
      <c r="D375" s="88"/>
      <c r="E375" s="88"/>
      <c r="F375" s="88"/>
      <c r="G375" s="88"/>
      <c r="H375" s="120"/>
      <c r="I375" s="181"/>
      <c r="J375" s="181"/>
      <c r="K375" s="181"/>
      <c r="L375" s="88"/>
      <c r="M375" s="88"/>
      <c r="N375" s="88"/>
      <c r="O375" s="88"/>
      <c r="P375" s="88"/>
      <c r="Q375" s="129"/>
      <c r="R375" s="445"/>
      <c r="S375" s="181"/>
      <c r="T375" s="182"/>
      <c r="U375" s="181"/>
      <c r="V375" s="181"/>
      <c r="W375" s="181"/>
      <c r="X375" s="472"/>
      <c r="Y375" s="472"/>
      <c r="Z375" s="659"/>
      <c r="AA375" s="877"/>
      <c r="AB375" s="660"/>
      <c r="AC375" s="351"/>
      <c r="AD375" s="351"/>
      <c r="AE375" s="351"/>
      <c r="AF375" s="351"/>
    </row>
    <row r="376" spans="1:32" s="597" customFormat="1" ht="18" customHeight="1" x14ac:dyDescent="0.2">
      <c r="A376" s="1850"/>
      <c r="B376" s="1850"/>
      <c r="C376" s="1850"/>
      <c r="D376" s="1850"/>
      <c r="E376" s="1850"/>
      <c r="F376" s="1850"/>
      <c r="G376" s="1850"/>
      <c r="H376" s="1851"/>
      <c r="I376" s="1853"/>
      <c r="J376" s="1853"/>
      <c r="K376" s="1853"/>
      <c r="L376" s="1853"/>
      <c r="M376" s="1853"/>
      <c r="N376" s="1853"/>
      <c r="O376" s="1853"/>
      <c r="P376" s="1853"/>
      <c r="Q376" s="1853"/>
      <c r="R376" s="1854"/>
      <c r="S376" s="1853"/>
      <c r="T376" s="1855"/>
      <c r="U376" s="1853"/>
      <c r="V376" s="1853"/>
      <c r="W376" s="1853"/>
      <c r="X376" s="1856"/>
      <c r="Y376" s="1856"/>
      <c r="Z376" s="1858"/>
      <c r="AA376" s="2151"/>
      <c r="AB376" s="1848">
        <f>SUM(AB362:AB375)</f>
        <v>194.88</v>
      </c>
      <c r="AC376" s="1861"/>
      <c r="AD376" s="1861"/>
      <c r="AE376" s="1861"/>
      <c r="AF376" s="1861"/>
    </row>
    <row r="377" spans="1:32" s="597" customFormat="1" ht="14.1" customHeight="1" x14ac:dyDescent="0.2">
      <c r="A377" s="2690" t="s">
        <v>76</v>
      </c>
      <c r="B377" s="2690"/>
      <c r="C377" s="2691" t="s">
        <v>77</v>
      </c>
      <c r="D377" s="2691"/>
      <c r="E377" s="2691"/>
      <c r="F377" s="2691"/>
      <c r="G377" s="2691"/>
      <c r="H377" s="2691"/>
      <c r="I377" s="604" t="s">
        <v>78</v>
      </c>
      <c r="J377" s="604"/>
      <c r="K377" s="604"/>
      <c r="L377" s="604"/>
      <c r="M377" s="604"/>
      <c r="N377" s="604"/>
      <c r="AA377" s="767"/>
      <c r="AB377" s="878"/>
    </row>
    <row r="378" spans="1:32" s="597" customFormat="1" ht="14.1" customHeight="1" x14ac:dyDescent="0.2">
      <c r="A378" s="604"/>
      <c r="B378" s="605"/>
      <c r="C378" s="604"/>
      <c r="D378" s="604"/>
      <c r="E378" s="604"/>
      <c r="F378" s="604"/>
      <c r="G378" s="604"/>
      <c r="H378" s="604"/>
      <c r="I378" s="604" t="s">
        <v>79</v>
      </c>
      <c r="J378" s="604"/>
      <c r="K378" s="604"/>
      <c r="L378" s="604"/>
      <c r="M378" s="604"/>
      <c r="N378" s="604"/>
      <c r="AA378" s="767"/>
      <c r="AB378" s="878"/>
    </row>
    <row r="379" spans="1:32" s="597" customFormat="1" ht="14.1" customHeight="1" x14ac:dyDescent="0.2">
      <c r="A379" s="604"/>
      <c r="B379" s="605"/>
      <c r="C379" s="604"/>
      <c r="D379" s="604"/>
      <c r="E379" s="604"/>
      <c r="F379" s="604"/>
      <c r="G379" s="604"/>
      <c r="H379" s="604"/>
      <c r="I379" s="604" t="s">
        <v>80</v>
      </c>
      <c r="J379" s="604"/>
      <c r="K379" s="604"/>
      <c r="L379" s="604"/>
      <c r="M379" s="604"/>
      <c r="N379" s="604"/>
      <c r="AA379" s="767"/>
      <c r="AB379" s="878"/>
    </row>
    <row r="380" spans="1:32" s="597" customFormat="1" ht="14.1" customHeight="1" x14ac:dyDescent="0.2">
      <c r="A380" s="604"/>
      <c r="B380" s="605"/>
      <c r="C380" s="604"/>
      <c r="D380" s="604"/>
      <c r="E380" s="604"/>
      <c r="F380" s="604"/>
      <c r="G380" s="604"/>
      <c r="H380" s="604"/>
      <c r="I380" s="604" t="s">
        <v>81</v>
      </c>
      <c r="J380" s="604"/>
      <c r="K380" s="604"/>
      <c r="L380" s="604"/>
      <c r="M380" s="604"/>
      <c r="N380" s="604"/>
      <c r="AA380" s="767"/>
      <c r="AB380" s="878"/>
    </row>
    <row r="381" spans="1:32" s="597" customFormat="1" ht="14.1" customHeight="1" x14ac:dyDescent="0.2">
      <c r="A381" s="604"/>
      <c r="B381" s="605"/>
      <c r="C381" s="604"/>
      <c r="D381" s="604"/>
      <c r="E381" s="604"/>
      <c r="F381" s="604"/>
      <c r="G381" s="604"/>
      <c r="H381" s="604"/>
      <c r="I381" s="604" t="s">
        <v>88</v>
      </c>
      <c r="J381" s="604"/>
      <c r="K381" s="604"/>
      <c r="L381" s="604"/>
      <c r="M381" s="604"/>
      <c r="N381" s="604"/>
      <c r="AA381" s="767"/>
      <c r="AB381" s="878"/>
    </row>
    <row r="382" spans="1:32" s="597" customFormat="1" ht="18" customHeight="1" x14ac:dyDescent="0.2">
      <c r="A382" s="339"/>
      <c r="B382" s="339"/>
      <c r="C382" s="339"/>
      <c r="D382" s="339"/>
      <c r="E382" s="339"/>
      <c r="F382" s="339"/>
      <c r="G382" s="339"/>
      <c r="H382" s="339"/>
      <c r="I382" s="339"/>
      <c r="J382" s="339"/>
      <c r="K382" s="339"/>
      <c r="L382" s="339"/>
      <c r="M382" s="339"/>
      <c r="N382" s="339"/>
      <c r="O382" s="339"/>
      <c r="P382" s="339"/>
      <c r="Q382" s="339"/>
      <c r="R382" s="339"/>
      <c r="S382" s="339"/>
      <c r="T382" s="339"/>
      <c r="U382" s="339"/>
      <c r="V382" s="339"/>
      <c r="W382" s="339"/>
      <c r="X382" s="339"/>
      <c r="Y382" s="339"/>
      <c r="Z382" s="339"/>
      <c r="AA382" s="2702" t="s">
        <v>0</v>
      </c>
      <c r="AB382" s="2702"/>
      <c r="AC382" s="339"/>
      <c r="AD382" s="339"/>
      <c r="AE382" s="339"/>
      <c r="AF382" s="339"/>
    </row>
    <row r="383" spans="1:32" s="597" customFormat="1" ht="18" customHeight="1" x14ac:dyDescent="0.2">
      <c r="A383" s="2703" t="s">
        <v>1</v>
      </c>
      <c r="B383" s="2703"/>
      <c r="C383" s="2703"/>
      <c r="D383" s="2703"/>
      <c r="E383" s="2703"/>
      <c r="F383" s="2703"/>
      <c r="G383" s="2703"/>
      <c r="H383" s="2703"/>
      <c r="I383" s="2703"/>
      <c r="J383" s="2703"/>
      <c r="K383" s="2703"/>
      <c r="L383" s="2703"/>
      <c r="M383" s="2703"/>
      <c r="N383" s="2703"/>
      <c r="O383" s="2703"/>
      <c r="P383" s="2703"/>
      <c r="Q383" s="2703"/>
      <c r="R383" s="2703"/>
      <c r="S383" s="2703"/>
      <c r="T383" s="2703"/>
      <c r="U383" s="2703"/>
      <c r="V383" s="2703"/>
      <c r="W383" s="2703"/>
      <c r="X383" s="2703"/>
      <c r="Y383" s="2703"/>
      <c r="Z383" s="2703"/>
      <c r="AA383" s="2703"/>
      <c r="AB383" s="2703"/>
      <c r="AC383" s="344"/>
      <c r="AD383" s="344"/>
      <c r="AE383" s="344"/>
      <c r="AF383" s="344"/>
    </row>
    <row r="384" spans="1:32" s="597" customFormat="1" ht="18" customHeight="1" x14ac:dyDescent="0.2">
      <c r="A384" s="2704" t="s">
        <v>553</v>
      </c>
      <c r="B384" s="2704"/>
      <c r="C384" s="2704"/>
      <c r="D384" s="2704"/>
      <c r="E384" s="2704"/>
      <c r="F384" s="2704"/>
      <c r="G384" s="2704"/>
      <c r="H384" s="2704"/>
      <c r="I384" s="2704"/>
      <c r="J384" s="2704"/>
      <c r="K384" s="2704"/>
      <c r="L384" s="2704"/>
      <c r="M384" s="2704"/>
      <c r="N384" s="2704"/>
      <c r="O384" s="2704"/>
      <c r="P384" s="2704"/>
      <c r="Q384" s="2704"/>
      <c r="R384" s="2704"/>
      <c r="S384" s="2704"/>
      <c r="T384" s="2704"/>
      <c r="U384" s="2704"/>
      <c r="V384" s="2704"/>
      <c r="W384" s="2704"/>
      <c r="X384" s="2704"/>
      <c r="Y384" s="2704"/>
      <c r="Z384" s="2704"/>
      <c r="AA384" s="2704"/>
      <c r="AB384" s="2704"/>
      <c r="AC384" s="599"/>
      <c r="AD384" s="599"/>
      <c r="AE384" s="599"/>
      <c r="AF384" s="599"/>
    </row>
    <row r="385" spans="1:33" s="597" customFormat="1" ht="14.1" customHeight="1" x14ac:dyDescent="0.2">
      <c r="A385" s="2686" t="s">
        <v>2</v>
      </c>
      <c r="B385" s="360"/>
      <c r="C385" s="2686" t="s">
        <v>3</v>
      </c>
      <c r="D385" s="360"/>
      <c r="E385" s="360"/>
      <c r="F385" s="2693" t="s">
        <v>4</v>
      </c>
      <c r="G385" s="2693"/>
      <c r="H385" s="2693"/>
      <c r="I385" s="2694"/>
      <c r="J385" s="2694"/>
      <c r="K385" s="2695"/>
      <c r="L385" s="361"/>
      <c r="M385" s="2679" t="s">
        <v>5</v>
      </c>
      <c r="N385" s="2679"/>
      <c r="O385" s="2679"/>
      <c r="P385" s="2679"/>
      <c r="Q385" s="2696"/>
      <c r="R385" s="2696"/>
      <c r="S385" s="2696"/>
      <c r="T385" s="2696"/>
      <c r="U385" s="2696"/>
      <c r="V385" s="2697"/>
      <c r="W385" s="362" t="s">
        <v>6</v>
      </c>
      <c r="X385" s="363" t="s">
        <v>7</v>
      </c>
      <c r="Y385" s="364"/>
      <c r="Z385" s="364"/>
      <c r="AA385" s="363"/>
      <c r="AB385" s="365"/>
      <c r="AC385" s="516" t="s">
        <v>8</v>
      </c>
      <c r="AD385" s="346"/>
      <c r="AE385" s="346"/>
      <c r="AF385" s="600"/>
    </row>
    <row r="386" spans="1:33" s="597" customFormat="1" ht="14.1" customHeight="1" x14ac:dyDescent="0.2">
      <c r="A386" s="2687"/>
      <c r="B386" s="367"/>
      <c r="C386" s="2687"/>
      <c r="D386" s="2062" t="s">
        <v>9</v>
      </c>
      <c r="E386" s="368" t="s">
        <v>10</v>
      </c>
      <c r="F386" s="2698" t="s">
        <v>11</v>
      </c>
      <c r="G386" s="2694"/>
      <c r="H386" s="2695"/>
      <c r="I386" s="360"/>
      <c r="J386" s="369" t="s">
        <v>12</v>
      </c>
      <c r="K386" s="360"/>
      <c r="L386" s="2679" t="s">
        <v>2</v>
      </c>
      <c r="M386" s="2067"/>
      <c r="N386" s="2067"/>
      <c r="O386" s="2067"/>
      <c r="P386" s="371"/>
      <c r="Q386" s="372" t="s">
        <v>13</v>
      </c>
      <c r="R386" s="373" t="s">
        <v>12</v>
      </c>
      <c r="S386" s="2067" t="s">
        <v>6</v>
      </c>
      <c r="T386" s="2682" t="s">
        <v>14</v>
      </c>
      <c r="U386" s="2683"/>
      <c r="V386" s="375" t="s">
        <v>7</v>
      </c>
      <c r="W386" s="376" t="s">
        <v>15</v>
      </c>
      <c r="X386" s="377" t="s">
        <v>16</v>
      </c>
      <c r="Y386" s="377" t="s">
        <v>17</v>
      </c>
      <c r="Z386" s="377" t="s">
        <v>18</v>
      </c>
      <c r="AA386" s="377"/>
      <c r="AB386" s="378" t="s">
        <v>19</v>
      </c>
      <c r="AC386" s="528" t="s">
        <v>20</v>
      </c>
      <c r="AD386" s="601"/>
      <c r="AE386" s="347" t="s">
        <v>21</v>
      </c>
      <c r="AF386" s="340" t="s">
        <v>22</v>
      </c>
    </row>
    <row r="387" spans="1:33" s="597" customFormat="1" ht="14.1" customHeight="1" x14ac:dyDescent="0.2">
      <c r="A387" s="2687"/>
      <c r="B387" s="2062" t="s">
        <v>23</v>
      </c>
      <c r="C387" s="2687"/>
      <c r="D387" s="2062" t="s">
        <v>24</v>
      </c>
      <c r="E387" s="368" t="s">
        <v>25</v>
      </c>
      <c r="F387" s="2699"/>
      <c r="G387" s="2700"/>
      <c r="H387" s="2701"/>
      <c r="I387" s="2062" t="s">
        <v>26</v>
      </c>
      <c r="J387" s="379" t="s">
        <v>15</v>
      </c>
      <c r="K387" s="2066" t="s">
        <v>6</v>
      </c>
      <c r="L387" s="2680"/>
      <c r="M387" s="2068" t="s">
        <v>27</v>
      </c>
      <c r="N387" s="2068" t="s">
        <v>10</v>
      </c>
      <c r="O387" s="382" t="s">
        <v>10</v>
      </c>
      <c r="P387" s="383" t="s">
        <v>28</v>
      </c>
      <c r="Q387" s="384" t="s">
        <v>29</v>
      </c>
      <c r="R387" s="383" t="s">
        <v>15</v>
      </c>
      <c r="S387" s="385" t="s">
        <v>15</v>
      </c>
      <c r="T387" s="2684"/>
      <c r="U387" s="2685"/>
      <c r="V387" s="375" t="s">
        <v>30</v>
      </c>
      <c r="W387" s="376" t="s">
        <v>31</v>
      </c>
      <c r="X387" s="377" t="s">
        <v>30</v>
      </c>
      <c r="Y387" s="377" t="s">
        <v>32</v>
      </c>
      <c r="Z387" s="377" t="s">
        <v>7</v>
      </c>
      <c r="AA387" s="377" t="s">
        <v>33</v>
      </c>
      <c r="AB387" s="378" t="s">
        <v>34</v>
      </c>
      <c r="AC387" s="528" t="s">
        <v>35</v>
      </c>
      <c r="AD387" s="347" t="s">
        <v>36</v>
      </c>
      <c r="AE387" s="347" t="s">
        <v>37</v>
      </c>
      <c r="AF387" s="340" t="s">
        <v>38</v>
      </c>
    </row>
    <row r="388" spans="1:33" s="597" customFormat="1" ht="14.1" customHeight="1" x14ac:dyDescent="0.2">
      <c r="A388" s="2687"/>
      <c r="B388" s="2062" t="s">
        <v>39</v>
      </c>
      <c r="C388" s="2687"/>
      <c r="D388" s="2062" t="s">
        <v>40</v>
      </c>
      <c r="E388" s="368" t="s">
        <v>41</v>
      </c>
      <c r="F388" s="2686" t="s">
        <v>42</v>
      </c>
      <c r="G388" s="2686" t="s">
        <v>43</v>
      </c>
      <c r="H388" s="2688" t="s">
        <v>44</v>
      </c>
      <c r="I388" s="2062" t="s">
        <v>45</v>
      </c>
      <c r="J388" s="379" t="s">
        <v>46</v>
      </c>
      <c r="K388" s="2066" t="s">
        <v>47</v>
      </c>
      <c r="L388" s="2680"/>
      <c r="M388" s="2068" t="s">
        <v>30</v>
      </c>
      <c r="N388" s="2068" t="s">
        <v>30</v>
      </c>
      <c r="O388" s="382" t="s">
        <v>25</v>
      </c>
      <c r="P388" s="383" t="s">
        <v>30</v>
      </c>
      <c r="Q388" s="384" t="s">
        <v>48</v>
      </c>
      <c r="R388" s="383" t="s">
        <v>49</v>
      </c>
      <c r="S388" s="385" t="s">
        <v>30</v>
      </c>
      <c r="T388" s="386" t="s">
        <v>50</v>
      </c>
      <c r="U388" s="2065" t="s">
        <v>13</v>
      </c>
      <c r="V388" s="375" t="s">
        <v>51</v>
      </c>
      <c r="W388" s="376" t="s">
        <v>52</v>
      </c>
      <c r="X388" s="377" t="s">
        <v>53</v>
      </c>
      <c r="Y388" s="377" t="s">
        <v>54</v>
      </c>
      <c r="Z388" s="377" t="s">
        <v>55</v>
      </c>
      <c r="AA388" s="377" t="s">
        <v>56</v>
      </c>
      <c r="AB388" s="378" t="s">
        <v>57</v>
      </c>
      <c r="AC388" s="347" t="s">
        <v>58</v>
      </c>
      <c r="AD388" s="347" t="s">
        <v>59</v>
      </c>
      <c r="AE388" s="347" t="s">
        <v>59</v>
      </c>
      <c r="AF388" s="340" t="s">
        <v>60</v>
      </c>
    </row>
    <row r="389" spans="1:33" s="597" customFormat="1" ht="14.1" customHeight="1" x14ac:dyDescent="0.2">
      <c r="A389" s="2687"/>
      <c r="B389" s="2062" t="s">
        <v>61</v>
      </c>
      <c r="C389" s="2687"/>
      <c r="D389" s="2062" t="s">
        <v>62</v>
      </c>
      <c r="E389" s="368" t="s">
        <v>63</v>
      </c>
      <c r="F389" s="2687"/>
      <c r="G389" s="2687"/>
      <c r="H389" s="2689"/>
      <c r="I389" s="2062" t="s">
        <v>64</v>
      </c>
      <c r="J389" s="379" t="s">
        <v>59</v>
      </c>
      <c r="K389" s="2066" t="s">
        <v>59</v>
      </c>
      <c r="L389" s="2680"/>
      <c r="M389" s="2068"/>
      <c r="N389" s="2068"/>
      <c r="O389" s="382" t="s">
        <v>41</v>
      </c>
      <c r="P389" s="383" t="s">
        <v>65</v>
      </c>
      <c r="Q389" s="384" t="s">
        <v>66</v>
      </c>
      <c r="R389" s="383" t="s">
        <v>67</v>
      </c>
      <c r="S389" s="385" t="s">
        <v>59</v>
      </c>
      <c r="T389" s="387" t="s">
        <v>68</v>
      </c>
      <c r="U389" s="375" t="s">
        <v>14</v>
      </c>
      <c r="V389" s="375" t="s">
        <v>14</v>
      </c>
      <c r="W389" s="376" t="s">
        <v>30</v>
      </c>
      <c r="X389" s="388" t="s">
        <v>69</v>
      </c>
      <c r="Y389" s="388" t="s">
        <v>70</v>
      </c>
      <c r="Z389" s="377" t="s">
        <v>71</v>
      </c>
      <c r="AA389" s="377" t="s">
        <v>72</v>
      </c>
      <c r="AB389" s="378" t="s">
        <v>59</v>
      </c>
      <c r="AC389" s="347" t="s">
        <v>59</v>
      </c>
      <c r="AD389" s="347"/>
      <c r="AE389" s="347"/>
      <c r="AF389" s="340" t="s">
        <v>59</v>
      </c>
    </row>
    <row r="390" spans="1:33" s="597" customFormat="1" ht="14.1" customHeight="1" x14ac:dyDescent="0.2">
      <c r="A390" s="2692"/>
      <c r="B390" s="390"/>
      <c r="C390" s="2692"/>
      <c r="D390" s="390"/>
      <c r="E390" s="2063"/>
      <c r="F390" s="390"/>
      <c r="G390" s="390"/>
      <c r="H390" s="391"/>
      <c r="I390" s="2063"/>
      <c r="J390" s="392"/>
      <c r="K390" s="393"/>
      <c r="L390" s="2681"/>
      <c r="M390" s="2069"/>
      <c r="N390" s="2069"/>
      <c r="O390" s="2069" t="s">
        <v>63</v>
      </c>
      <c r="P390" s="395"/>
      <c r="Q390" s="396" t="s">
        <v>72</v>
      </c>
      <c r="R390" s="397" t="s">
        <v>59</v>
      </c>
      <c r="S390" s="398"/>
      <c r="T390" s="397" t="s">
        <v>73</v>
      </c>
      <c r="U390" s="398" t="s">
        <v>59</v>
      </c>
      <c r="V390" s="399" t="s">
        <v>59</v>
      </c>
      <c r="W390" s="400" t="s">
        <v>59</v>
      </c>
      <c r="X390" s="401" t="s">
        <v>59</v>
      </c>
      <c r="Y390" s="401" t="s">
        <v>59</v>
      </c>
      <c r="Z390" s="401" t="s">
        <v>59</v>
      </c>
      <c r="AA390" s="402"/>
      <c r="AB390" s="403"/>
      <c r="AC390" s="348"/>
      <c r="AD390" s="348"/>
      <c r="AE390" s="348"/>
      <c r="AF390" s="341"/>
    </row>
    <row r="391" spans="1:33" s="597" customFormat="1" ht="18" customHeight="1" x14ac:dyDescent="0.25">
      <c r="A391" s="53">
        <v>1</v>
      </c>
      <c r="B391" s="1387">
        <v>28659</v>
      </c>
      <c r="C391" s="259">
        <v>32</v>
      </c>
      <c r="D391" s="259" t="s">
        <v>83</v>
      </c>
      <c r="E391" s="259">
        <v>4</v>
      </c>
      <c r="F391" s="259">
        <v>0</v>
      </c>
      <c r="G391" s="259">
        <v>1</v>
      </c>
      <c r="H391" s="272">
        <v>1</v>
      </c>
      <c r="I391" s="42">
        <f>F391*400+G391*100+H391</f>
        <v>101</v>
      </c>
      <c r="J391" s="798">
        <v>280</v>
      </c>
      <c r="K391" s="278">
        <f>SUM(I391*J391)</f>
        <v>28280</v>
      </c>
      <c r="L391" s="63"/>
      <c r="M391" s="2073"/>
      <c r="N391" s="259"/>
      <c r="O391" s="63"/>
      <c r="P391" s="259"/>
      <c r="Q391" s="799"/>
      <c r="R391" s="260"/>
      <c r="S391" s="18"/>
      <c r="T391" s="20"/>
      <c r="U391" s="47"/>
      <c r="V391" s="47"/>
      <c r="W391" s="18">
        <f>K391+V391</f>
        <v>28280</v>
      </c>
      <c r="X391" s="47">
        <f>W391</f>
        <v>28280</v>
      </c>
      <c r="Y391" s="18">
        <v>0</v>
      </c>
      <c r="Z391" s="18">
        <f>+X391</f>
        <v>28280</v>
      </c>
      <c r="AA391" s="264">
        <v>0.6</v>
      </c>
      <c r="AB391" s="465">
        <f>+Z391*AA391/100</f>
        <v>169.68</v>
      </c>
      <c r="AC391" s="602"/>
      <c r="AD391" s="603">
        <f>AB391-AC391</f>
        <v>169.68</v>
      </c>
      <c r="AE391" s="603">
        <f>IF(AD391&lt;=0,0,AD391*25/100)</f>
        <v>42.42</v>
      </c>
      <c r="AF391" s="603">
        <f>IF(AC391+AE391&gt;AB391,AB391,AC391+AE391)</f>
        <v>42.42</v>
      </c>
      <c r="AG391" s="1750" t="s">
        <v>387</v>
      </c>
    </row>
    <row r="392" spans="1:33" s="597" customFormat="1" ht="18" customHeight="1" x14ac:dyDescent="0.2">
      <c r="A392" s="2070"/>
      <c r="B392" s="177"/>
      <c r="C392" s="177"/>
      <c r="D392" s="2070"/>
      <c r="E392" s="2070"/>
      <c r="F392" s="2070"/>
      <c r="G392" s="2070"/>
      <c r="H392" s="2076"/>
      <c r="I392" s="2072"/>
      <c r="J392" s="178"/>
      <c r="K392" s="2072"/>
      <c r="L392" s="2070"/>
      <c r="M392" s="2070"/>
      <c r="N392" s="2070"/>
      <c r="O392" s="2070"/>
      <c r="P392" s="2076"/>
      <c r="Q392" s="2071"/>
      <c r="R392" s="437"/>
      <c r="S392" s="2072"/>
      <c r="T392" s="179"/>
      <c r="U392" s="178"/>
      <c r="V392" s="2072"/>
      <c r="W392" s="2072"/>
      <c r="X392" s="470"/>
      <c r="Y392" s="470"/>
      <c r="Z392" s="471"/>
      <c r="AA392" s="764"/>
      <c r="AB392" s="466"/>
      <c r="AC392" s="350"/>
      <c r="AD392" s="350"/>
      <c r="AE392" s="350"/>
      <c r="AF392" s="350"/>
    </row>
    <row r="393" spans="1:33" s="597" customFormat="1" ht="18" customHeight="1" x14ac:dyDescent="0.2">
      <c r="A393" s="2070"/>
      <c r="B393" s="177"/>
      <c r="C393" s="177"/>
      <c r="D393" s="2070"/>
      <c r="E393" s="2070"/>
      <c r="F393" s="2070"/>
      <c r="G393" s="2070"/>
      <c r="H393" s="2076"/>
      <c r="I393" s="2072"/>
      <c r="J393" s="178"/>
      <c r="K393" s="2072"/>
      <c r="L393" s="2070"/>
      <c r="M393" s="2070"/>
      <c r="N393" s="2070"/>
      <c r="O393" s="2070"/>
      <c r="P393" s="2076"/>
      <c r="Q393" s="2071"/>
      <c r="R393" s="437"/>
      <c r="S393" s="2072"/>
      <c r="T393" s="179"/>
      <c r="U393" s="178"/>
      <c r="V393" s="2072"/>
      <c r="W393" s="2072"/>
      <c r="X393" s="470"/>
      <c r="Y393" s="470"/>
      <c r="Z393" s="471"/>
      <c r="AA393" s="764"/>
      <c r="AB393" s="466"/>
      <c r="AC393" s="350"/>
      <c r="AD393" s="350"/>
      <c r="AE393" s="350"/>
      <c r="AF393" s="350"/>
    </row>
    <row r="394" spans="1:33" s="597" customFormat="1" ht="18" customHeight="1" x14ac:dyDescent="0.2">
      <c r="A394" s="2070"/>
      <c r="B394" s="177"/>
      <c r="C394" s="177"/>
      <c r="D394" s="2070"/>
      <c r="E394" s="2070"/>
      <c r="F394" s="2070"/>
      <c r="G394" s="2070"/>
      <c r="H394" s="2076"/>
      <c r="I394" s="2072"/>
      <c r="J394" s="178"/>
      <c r="K394" s="2072"/>
      <c r="L394" s="2070"/>
      <c r="M394" s="2070"/>
      <c r="N394" s="2070"/>
      <c r="O394" s="2070"/>
      <c r="P394" s="2076"/>
      <c r="Q394" s="2071"/>
      <c r="R394" s="437"/>
      <c r="S394" s="2072"/>
      <c r="T394" s="179"/>
      <c r="U394" s="178"/>
      <c r="V394" s="2072"/>
      <c r="W394" s="2072"/>
      <c r="X394" s="470"/>
      <c r="Y394" s="470"/>
      <c r="Z394" s="471"/>
      <c r="AA394" s="764"/>
      <c r="AB394" s="466"/>
      <c r="AC394" s="350"/>
      <c r="AD394" s="350"/>
      <c r="AE394" s="350"/>
      <c r="AF394" s="350"/>
    </row>
    <row r="395" spans="1:33" s="597" customFormat="1" ht="18" customHeight="1" x14ac:dyDescent="0.2">
      <c r="A395" s="2070"/>
      <c r="B395" s="177"/>
      <c r="C395" s="177"/>
      <c r="D395" s="2070"/>
      <c r="E395" s="2070"/>
      <c r="F395" s="2070"/>
      <c r="G395" s="2070"/>
      <c r="H395" s="2076"/>
      <c r="I395" s="2072"/>
      <c r="J395" s="178"/>
      <c r="K395" s="2072"/>
      <c r="L395" s="2070"/>
      <c r="M395" s="2070"/>
      <c r="N395" s="2070"/>
      <c r="O395" s="2070"/>
      <c r="P395" s="2076"/>
      <c r="Q395" s="2071"/>
      <c r="R395" s="437"/>
      <c r="S395" s="2072"/>
      <c r="T395" s="179"/>
      <c r="U395" s="178"/>
      <c r="V395" s="2072"/>
      <c r="W395" s="2072"/>
      <c r="X395" s="470"/>
      <c r="Y395" s="470"/>
      <c r="Z395" s="471"/>
      <c r="AA395" s="764"/>
      <c r="AB395" s="466"/>
      <c r="AC395" s="350"/>
      <c r="AD395" s="350"/>
      <c r="AE395" s="350"/>
      <c r="AF395" s="350"/>
    </row>
    <row r="396" spans="1:33" s="597" customFormat="1" ht="18" customHeight="1" x14ac:dyDescent="0.2">
      <c r="A396" s="2070"/>
      <c r="B396" s="177"/>
      <c r="C396" s="177"/>
      <c r="D396" s="2070"/>
      <c r="E396" s="2070"/>
      <c r="F396" s="2070"/>
      <c r="G396" s="2070"/>
      <c r="H396" s="2076"/>
      <c r="I396" s="2072"/>
      <c r="J396" s="178"/>
      <c r="K396" s="2072"/>
      <c r="L396" s="2070"/>
      <c r="M396" s="2070"/>
      <c r="N396" s="2070"/>
      <c r="O396" s="2070"/>
      <c r="P396" s="2076"/>
      <c r="Q396" s="2071"/>
      <c r="R396" s="437"/>
      <c r="S396" s="2072"/>
      <c r="T396" s="179"/>
      <c r="U396" s="178"/>
      <c r="V396" s="2072"/>
      <c r="W396" s="2072"/>
      <c r="X396" s="470"/>
      <c r="Y396" s="470"/>
      <c r="Z396" s="471"/>
      <c r="AA396" s="764"/>
      <c r="AB396" s="466"/>
      <c r="AC396" s="350"/>
      <c r="AD396" s="350"/>
      <c r="AE396" s="350"/>
      <c r="AF396" s="350"/>
    </row>
    <row r="397" spans="1:33" s="597" customFormat="1" ht="18" customHeight="1" x14ac:dyDescent="0.2">
      <c r="A397" s="2070"/>
      <c r="B397" s="177"/>
      <c r="C397" s="177"/>
      <c r="D397" s="2070"/>
      <c r="E397" s="2070"/>
      <c r="F397" s="2070"/>
      <c r="G397" s="2070"/>
      <c r="H397" s="2076"/>
      <c r="I397" s="2072"/>
      <c r="J397" s="178"/>
      <c r="K397" s="2072"/>
      <c r="L397" s="2070"/>
      <c r="M397" s="2070"/>
      <c r="N397" s="2070"/>
      <c r="O397" s="2070"/>
      <c r="P397" s="2076"/>
      <c r="Q397" s="2071"/>
      <c r="R397" s="437"/>
      <c r="S397" s="2072"/>
      <c r="T397" s="179"/>
      <c r="U397" s="178"/>
      <c r="V397" s="2072"/>
      <c r="W397" s="2072"/>
      <c r="X397" s="470"/>
      <c r="Y397" s="470"/>
      <c r="Z397" s="471"/>
      <c r="AA397" s="764"/>
      <c r="AB397" s="466"/>
      <c r="AC397" s="350"/>
      <c r="AD397" s="350"/>
      <c r="AE397" s="350"/>
      <c r="AF397" s="350"/>
    </row>
    <row r="398" spans="1:33" s="597" customFormat="1" ht="18" customHeight="1" x14ac:dyDescent="0.2">
      <c r="A398" s="2070"/>
      <c r="B398" s="177"/>
      <c r="C398" s="177"/>
      <c r="D398" s="2070"/>
      <c r="E398" s="2070"/>
      <c r="F398" s="2070"/>
      <c r="G398" s="2070"/>
      <c r="H398" s="2076"/>
      <c r="I398" s="2072"/>
      <c r="J398" s="178"/>
      <c r="K398" s="2072"/>
      <c r="L398" s="2070"/>
      <c r="M398" s="2070"/>
      <c r="N398" s="2070"/>
      <c r="O398" s="2070"/>
      <c r="P398" s="2076"/>
      <c r="Q398" s="2071"/>
      <c r="R398" s="437"/>
      <c r="S398" s="2072"/>
      <c r="T398" s="179"/>
      <c r="U398" s="178"/>
      <c r="V398" s="2072"/>
      <c r="W398" s="2072"/>
      <c r="X398" s="470"/>
      <c r="Y398" s="470"/>
      <c r="Z398" s="471"/>
      <c r="AA398" s="764"/>
      <c r="AB398" s="466"/>
      <c r="AC398" s="350"/>
      <c r="AD398" s="350"/>
      <c r="AE398" s="350"/>
      <c r="AF398" s="350"/>
    </row>
    <row r="399" spans="1:33" s="597" customFormat="1" ht="18" customHeight="1" x14ac:dyDescent="0.2">
      <c r="A399" s="2070"/>
      <c r="B399" s="177"/>
      <c r="C399" s="177"/>
      <c r="D399" s="2070"/>
      <c r="E399" s="2070"/>
      <c r="F399" s="2070"/>
      <c r="G399" s="2070"/>
      <c r="H399" s="2076"/>
      <c r="I399" s="2072"/>
      <c r="J399" s="178"/>
      <c r="K399" s="2072"/>
      <c r="L399" s="2070"/>
      <c r="M399" s="2070"/>
      <c r="N399" s="2070"/>
      <c r="O399" s="2070"/>
      <c r="P399" s="2076"/>
      <c r="Q399" s="2071"/>
      <c r="R399" s="437"/>
      <c r="S399" s="2072"/>
      <c r="T399" s="179"/>
      <c r="U399" s="178"/>
      <c r="V399" s="2072"/>
      <c r="W399" s="2072"/>
      <c r="X399" s="470"/>
      <c r="Y399" s="470"/>
      <c r="Z399" s="471"/>
      <c r="AA399" s="764"/>
      <c r="AB399" s="466"/>
      <c r="AC399" s="350"/>
      <c r="AD399" s="350"/>
      <c r="AE399" s="350"/>
      <c r="AF399" s="350"/>
    </row>
    <row r="400" spans="1:33" s="597" customFormat="1" ht="18" customHeight="1" x14ac:dyDescent="0.2">
      <c r="A400" s="2070"/>
      <c r="B400" s="177"/>
      <c r="C400" s="177"/>
      <c r="D400" s="2070"/>
      <c r="E400" s="2070"/>
      <c r="F400" s="2070"/>
      <c r="G400" s="2070"/>
      <c r="H400" s="2076"/>
      <c r="I400" s="2072"/>
      <c r="J400" s="178"/>
      <c r="K400" s="2072"/>
      <c r="L400" s="2070"/>
      <c r="M400" s="2070"/>
      <c r="N400" s="2070"/>
      <c r="O400" s="2070"/>
      <c r="P400" s="2076"/>
      <c r="Q400" s="2071"/>
      <c r="R400" s="437"/>
      <c r="S400" s="2072"/>
      <c r="T400" s="179"/>
      <c r="U400" s="178"/>
      <c r="V400" s="2072"/>
      <c r="W400" s="2072"/>
      <c r="X400" s="470"/>
      <c r="Y400" s="470"/>
      <c r="Z400" s="471"/>
      <c r="AA400" s="764"/>
      <c r="AB400" s="466"/>
      <c r="AC400" s="350"/>
      <c r="AD400" s="350"/>
      <c r="AE400" s="350"/>
      <c r="AF400" s="350"/>
    </row>
    <row r="401" spans="1:32" s="597" customFormat="1" ht="18" customHeight="1" x14ac:dyDescent="0.2">
      <c r="A401" s="2070"/>
      <c r="B401" s="177"/>
      <c r="C401" s="177"/>
      <c r="D401" s="2070"/>
      <c r="E401" s="2070"/>
      <c r="F401" s="2070"/>
      <c r="G401" s="2070"/>
      <c r="H401" s="2076"/>
      <c r="I401" s="2072"/>
      <c r="J401" s="178"/>
      <c r="K401" s="2072"/>
      <c r="L401" s="2070"/>
      <c r="M401" s="2070"/>
      <c r="N401" s="2070"/>
      <c r="O401" s="2070"/>
      <c r="P401" s="2076"/>
      <c r="Q401" s="2071"/>
      <c r="R401" s="437"/>
      <c r="S401" s="2072"/>
      <c r="T401" s="179"/>
      <c r="U401" s="178"/>
      <c r="V401" s="2072"/>
      <c r="W401" s="2072"/>
      <c r="X401" s="470"/>
      <c r="Y401" s="470"/>
      <c r="Z401" s="471"/>
      <c r="AA401" s="764"/>
      <c r="AB401" s="466"/>
      <c r="AC401" s="350"/>
      <c r="AD401" s="350"/>
      <c r="AE401" s="350"/>
      <c r="AF401" s="350"/>
    </row>
    <row r="402" spans="1:32" s="597" customFormat="1" ht="18" customHeight="1" x14ac:dyDescent="0.2">
      <c r="A402" s="2070"/>
      <c r="B402" s="177"/>
      <c r="C402" s="177"/>
      <c r="D402" s="2070"/>
      <c r="E402" s="2070"/>
      <c r="F402" s="2070"/>
      <c r="G402" s="2070"/>
      <c r="H402" s="2076"/>
      <c r="I402" s="2072"/>
      <c r="J402" s="178"/>
      <c r="K402" s="2072"/>
      <c r="L402" s="2070"/>
      <c r="M402" s="2070"/>
      <c r="N402" s="2070"/>
      <c r="O402" s="2070"/>
      <c r="P402" s="2076"/>
      <c r="Q402" s="2071"/>
      <c r="R402" s="437"/>
      <c r="S402" s="2072"/>
      <c r="T402" s="179"/>
      <c r="U402" s="178"/>
      <c r="V402" s="2072"/>
      <c r="W402" s="2072"/>
      <c r="X402" s="470"/>
      <c r="Y402" s="470"/>
      <c r="Z402" s="471"/>
      <c r="AA402" s="764"/>
      <c r="AB402" s="466"/>
      <c r="AC402" s="350"/>
      <c r="AD402" s="350"/>
      <c r="AE402" s="350"/>
      <c r="AF402" s="350"/>
    </row>
    <row r="403" spans="1:32" s="597" customFormat="1" ht="18" customHeight="1" x14ac:dyDescent="0.2">
      <c r="A403" s="2070"/>
      <c r="B403" s="177"/>
      <c r="C403" s="177"/>
      <c r="D403" s="2070"/>
      <c r="E403" s="2070"/>
      <c r="F403" s="2070"/>
      <c r="G403" s="2070"/>
      <c r="H403" s="2076"/>
      <c r="I403" s="2072"/>
      <c r="J403" s="178"/>
      <c r="K403" s="2072"/>
      <c r="L403" s="2070"/>
      <c r="M403" s="2070"/>
      <c r="N403" s="2070"/>
      <c r="O403" s="2070"/>
      <c r="P403" s="2076"/>
      <c r="Q403" s="2071"/>
      <c r="R403" s="437"/>
      <c r="S403" s="2072"/>
      <c r="T403" s="179"/>
      <c r="U403" s="178"/>
      <c r="V403" s="2072"/>
      <c r="W403" s="2072"/>
      <c r="X403" s="470"/>
      <c r="Y403" s="470"/>
      <c r="Z403" s="471"/>
      <c r="AA403" s="764"/>
      <c r="AB403" s="466"/>
      <c r="AC403" s="350"/>
      <c r="AD403" s="350"/>
      <c r="AE403" s="350"/>
      <c r="AF403" s="350"/>
    </row>
    <row r="404" spans="1:32" s="597" customFormat="1" ht="18" customHeight="1" x14ac:dyDescent="0.2">
      <c r="A404" s="88"/>
      <c r="B404" s="180"/>
      <c r="C404" s="180"/>
      <c r="D404" s="88"/>
      <c r="E404" s="88"/>
      <c r="F404" s="88"/>
      <c r="G404" s="88"/>
      <c r="H404" s="120"/>
      <c r="I404" s="121"/>
      <c r="J404" s="181"/>
      <c r="K404" s="121"/>
      <c r="L404" s="88"/>
      <c r="M404" s="88"/>
      <c r="N404" s="88"/>
      <c r="O404" s="88"/>
      <c r="P404" s="88"/>
      <c r="Q404" s="129"/>
      <c r="R404" s="445"/>
      <c r="S404" s="121"/>
      <c r="T404" s="182"/>
      <c r="U404" s="181"/>
      <c r="V404" s="121"/>
      <c r="W404" s="121"/>
      <c r="X404" s="472"/>
      <c r="Y404" s="472"/>
      <c r="Z404" s="473"/>
      <c r="AA404" s="780"/>
      <c r="AB404" s="410"/>
      <c r="AC404" s="351"/>
      <c r="AD404" s="351"/>
      <c r="AE404" s="351"/>
      <c r="AF404" s="351"/>
    </row>
    <row r="405" spans="1:32" s="597" customFormat="1" ht="18" customHeight="1" x14ac:dyDescent="0.2">
      <c r="A405" s="1850"/>
      <c r="B405" s="1850"/>
      <c r="C405" s="1850"/>
      <c r="D405" s="1850"/>
      <c r="E405" s="1850"/>
      <c r="F405" s="1850"/>
      <c r="G405" s="1850"/>
      <c r="H405" s="1851"/>
      <c r="I405" s="1852"/>
      <c r="J405" s="1853"/>
      <c r="K405" s="1852"/>
      <c r="L405" s="1852"/>
      <c r="M405" s="1852"/>
      <c r="N405" s="1852"/>
      <c r="O405" s="1852"/>
      <c r="P405" s="1852"/>
      <c r="Q405" s="1852"/>
      <c r="R405" s="1854"/>
      <c r="S405" s="1852"/>
      <c r="T405" s="1855"/>
      <c r="U405" s="1853"/>
      <c r="V405" s="1852"/>
      <c r="W405" s="1852"/>
      <c r="X405" s="1856"/>
      <c r="Y405" s="1856"/>
      <c r="Z405" s="1857"/>
      <c r="AA405" s="2125"/>
      <c r="AB405" s="1847">
        <f>SUM(AB391:AB404)</f>
        <v>169.68</v>
      </c>
      <c r="AC405" s="1861"/>
      <c r="AD405" s="1861"/>
      <c r="AE405" s="1861"/>
      <c r="AF405" s="1861"/>
    </row>
    <row r="406" spans="1:32" s="597" customFormat="1" ht="14.1" customHeight="1" x14ac:dyDescent="0.2">
      <c r="A406" s="2690" t="s">
        <v>76</v>
      </c>
      <c r="B406" s="2690"/>
      <c r="C406" s="2691" t="s">
        <v>77</v>
      </c>
      <c r="D406" s="2691"/>
      <c r="E406" s="2691"/>
      <c r="F406" s="2691"/>
      <c r="G406" s="2691"/>
      <c r="H406" s="2691"/>
      <c r="I406" s="604" t="s">
        <v>78</v>
      </c>
      <c r="J406" s="604"/>
      <c r="K406" s="604"/>
      <c r="L406" s="604"/>
      <c r="M406" s="604"/>
      <c r="N406" s="604"/>
      <c r="AA406" s="767"/>
      <c r="AB406" s="598"/>
    </row>
    <row r="407" spans="1:32" s="597" customFormat="1" ht="14.1" customHeight="1" x14ac:dyDescent="0.2">
      <c r="A407" s="604"/>
      <c r="B407" s="605"/>
      <c r="C407" s="604"/>
      <c r="D407" s="604"/>
      <c r="E407" s="604"/>
      <c r="F407" s="604"/>
      <c r="G407" s="604"/>
      <c r="H407" s="604"/>
      <c r="I407" s="604" t="s">
        <v>79</v>
      </c>
      <c r="J407" s="604"/>
      <c r="K407" s="604"/>
      <c r="L407" s="604"/>
      <c r="M407" s="604"/>
      <c r="N407" s="604"/>
      <c r="AA407" s="767"/>
      <c r="AB407" s="598"/>
    </row>
    <row r="408" spans="1:32" s="597" customFormat="1" ht="14.1" customHeight="1" x14ac:dyDescent="0.2">
      <c r="A408" s="604"/>
      <c r="B408" s="605"/>
      <c r="C408" s="604"/>
      <c r="D408" s="604"/>
      <c r="E408" s="604"/>
      <c r="F408" s="604"/>
      <c r="G408" s="604"/>
      <c r="H408" s="604"/>
      <c r="I408" s="604" t="s">
        <v>80</v>
      </c>
      <c r="J408" s="604"/>
      <c r="K408" s="604"/>
      <c r="L408" s="604"/>
      <c r="M408" s="604"/>
      <c r="N408" s="604"/>
      <c r="AA408" s="767"/>
      <c r="AB408" s="598"/>
    </row>
    <row r="409" spans="1:32" s="597" customFormat="1" ht="14.1" customHeight="1" x14ac:dyDescent="0.2">
      <c r="A409" s="604"/>
      <c r="B409" s="605"/>
      <c r="C409" s="604"/>
      <c r="D409" s="604"/>
      <c r="E409" s="604"/>
      <c r="F409" s="604"/>
      <c r="G409" s="604"/>
      <c r="H409" s="604"/>
      <c r="I409" s="604" t="s">
        <v>81</v>
      </c>
      <c r="J409" s="604"/>
      <c r="K409" s="604"/>
      <c r="L409" s="604"/>
      <c r="M409" s="604"/>
      <c r="N409" s="604"/>
      <c r="AA409" s="767"/>
      <c r="AB409" s="598"/>
    </row>
    <row r="410" spans="1:32" s="597" customFormat="1" ht="14.1" customHeight="1" x14ac:dyDescent="0.2">
      <c r="A410" s="604"/>
      <c r="B410" s="605"/>
      <c r="C410" s="604"/>
      <c r="D410" s="604"/>
      <c r="E410" s="604"/>
      <c r="F410" s="604"/>
      <c r="G410" s="604"/>
      <c r="H410" s="604"/>
      <c r="I410" s="604" t="s">
        <v>88</v>
      </c>
      <c r="J410" s="604"/>
      <c r="K410" s="604"/>
      <c r="L410" s="604"/>
      <c r="M410" s="604"/>
      <c r="N410" s="604"/>
      <c r="AA410" s="767"/>
      <c r="AB410" s="598"/>
    </row>
    <row r="411" spans="1:32" s="597" customFormat="1" ht="18" customHeight="1" x14ac:dyDescent="0.2">
      <c r="A411" s="339"/>
      <c r="B411" s="339"/>
      <c r="C411" s="339"/>
      <c r="D411" s="339"/>
      <c r="E411" s="339"/>
      <c r="F411" s="339"/>
      <c r="G411" s="339"/>
      <c r="H411" s="339"/>
      <c r="I411" s="339"/>
      <c r="J411" s="339"/>
      <c r="K411" s="339"/>
      <c r="L411" s="339"/>
      <c r="M411" s="339"/>
      <c r="N411" s="339"/>
      <c r="O411" s="339"/>
      <c r="P411" s="339"/>
      <c r="Q411" s="339"/>
      <c r="R411" s="339"/>
      <c r="S411" s="339"/>
      <c r="T411" s="339"/>
      <c r="U411" s="339"/>
      <c r="V411" s="339"/>
      <c r="W411" s="339"/>
      <c r="X411" s="339"/>
      <c r="Y411" s="339"/>
      <c r="Z411" s="339"/>
      <c r="AA411" s="2702" t="s">
        <v>0</v>
      </c>
      <c r="AB411" s="2702"/>
      <c r="AC411" s="339"/>
      <c r="AD411" s="339"/>
      <c r="AE411" s="339"/>
      <c r="AF411" s="339"/>
    </row>
    <row r="412" spans="1:32" s="597" customFormat="1" ht="18" customHeight="1" x14ac:dyDescent="0.2">
      <c r="A412" s="2703" t="s">
        <v>1</v>
      </c>
      <c r="B412" s="2703"/>
      <c r="C412" s="2703"/>
      <c r="D412" s="2703"/>
      <c r="E412" s="2703"/>
      <c r="F412" s="2703"/>
      <c r="G412" s="2703"/>
      <c r="H412" s="2703"/>
      <c r="I412" s="2703"/>
      <c r="J412" s="2703"/>
      <c r="K412" s="2703"/>
      <c r="L412" s="2703"/>
      <c r="M412" s="2703"/>
      <c r="N412" s="2703"/>
      <c r="O412" s="2703"/>
      <c r="P412" s="2703"/>
      <c r="Q412" s="2703"/>
      <c r="R412" s="2703"/>
      <c r="S412" s="2703"/>
      <c r="T412" s="2703"/>
      <c r="U412" s="2703"/>
      <c r="V412" s="2703"/>
      <c r="W412" s="2703"/>
      <c r="X412" s="2703"/>
      <c r="Y412" s="2703"/>
      <c r="Z412" s="2703"/>
      <c r="AA412" s="2703"/>
      <c r="AB412" s="2703"/>
      <c r="AC412" s="344"/>
      <c r="AD412" s="344"/>
      <c r="AE412" s="344"/>
      <c r="AF412" s="344"/>
    </row>
    <row r="413" spans="1:32" s="597" customFormat="1" ht="18" customHeight="1" x14ac:dyDescent="0.2">
      <c r="A413" s="2704" t="s">
        <v>554</v>
      </c>
      <c r="B413" s="2704"/>
      <c r="C413" s="2704"/>
      <c r="D413" s="2704"/>
      <c r="E413" s="2704"/>
      <c r="F413" s="2704"/>
      <c r="G413" s="2704"/>
      <c r="H413" s="2704"/>
      <c r="I413" s="2704"/>
      <c r="J413" s="2704"/>
      <c r="K413" s="2704"/>
      <c r="L413" s="2704"/>
      <c r="M413" s="2704"/>
      <c r="N413" s="2704"/>
      <c r="O413" s="2704"/>
      <c r="P413" s="2704"/>
      <c r="Q413" s="2704"/>
      <c r="R413" s="2704"/>
      <c r="S413" s="2704"/>
      <c r="T413" s="2704"/>
      <c r="U413" s="2704"/>
      <c r="V413" s="2704"/>
      <c r="W413" s="2704"/>
      <c r="X413" s="2704"/>
      <c r="Y413" s="2704"/>
      <c r="Z413" s="2704"/>
      <c r="AA413" s="2704"/>
      <c r="AB413" s="2704"/>
      <c r="AC413" s="599"/>
      <c r="AD413" s="599"/>
      <c r="AE413" s="599"/>
      <c r="AF413" s="599"/>
    </row>
    <row r="414" spans="1:32" s="597" customFormat="1" ht="14.1" customHeight="1" x14ac:dyDescent="0.2">
      <c r="A414" s="2686" t="s">
        <v>2</v>
      </c>
      <c r="B414" s="360"/>
      <c r="C414" s="2686" t="s">
        <v>3</v>
      </c>
      <c r="D414" s="360"/>
      <c r="E414" s="360"/>
      <c r="F414" s="2693" t="s">
        <v>4</v>
      </c>
      <c r="G414" s="2693"/>
      <c r="H414" s="2693"/>
      <c r="I414" s="2694"/>
      <c r="J414" s="2694"/>
      <c r="K414" s="2695"/>
      <c r="L414" s="361"/>
      <c r="M414" s="2679" t="s">
        <v>5</v>
      </c>
      <c r="N414" s="2679"/>
      <c r="O414" s="2679"/>
      <c r="P414" s="2679"/>
      <c r="Q414" s="2696"/>
      <c r="R414" s="2696"/>
      <c r="S414" s="2696"/>
      <c r="T414" s="2696"/>
      <c r="U414" s="2696"/>
      <c r="V414" s="2697"/>
      <c r="W414" s="362" t="s">
        <v>6</v>
      </c>
      <c r="X414" s="363" t="s">
        <v>7</v>
      </c>
      <c r="Y414" s="364"/>
      <c r="Z414" s="364"/>
      <c r="AA414" s="363"/>
      <c r="AB414" s="365"/>
      <c r="AC414" s="516" t="s">
        <v>8</v>
      </c>
      <c r="AD414" s="346"/>
      <c r="AE414" s="346"/>
      <c r="AF414" s="600"/>
    </row>
    <row r="415" spans="1:32" s="597" customFormat="1" ht="14.1" customHeight="1" x14ac:dyDescent="0.2">
      <c r="A415" s="2687"/>
      <c r="B415" s="367"/>
      <c r="C415" s="2687"/>
      <c r="D415" s="2062" t="s">
        <v>9</v>
      </c>
      <c r="E415" s="368" t="s">
        <v>10</v>
      </c>
      <c r="F415" s="2698" t="s">
        <v>11</v>
      </c>
      <c r="G415" s="2694"/>
      <c r="H415" s="2695"/>
      <c r="I415" s="360"/>
      <c r="J415" s="369" t="s">
        <v>12</v>
      </c>
      <c r="K415" s="360"/>
      <c r="L415" s="2679" t="s">
        <v>2</v>
      </c>
      <c r="M415" s="2067"/>
      <c r="N415" s="2067"/>
      <c r="O415" s="2067"/>
      <c r="P415" s="371"/>
      <c r="Q415" s="372" t="s">
        <v>13</v>
      </c>
      <c r="R415" s="373" t="s">
        <v>12</v>
      </c>
      <c r="S415" s="2067" t="s">
        <v>6</v>
      </c>
      <c r="T415" s="2682" t="s">
        <v>14</v>
      </c>
      <c r="U415" s="2683"/>
      <c r="V415" s="375" t="s">
        <v>7</v>
      </c>
      <c r="W415" s="376" t="s">
        <v>15</v>
      </c>
      <c r="X415" s="377" t="s">
        <v>16</v>
      </c>
      <c r="Y415" s="377" t="s">
        <v>17</v>
      </c>
      <c r="Z415" s="377" t="s">
        <v>18</v>
      </c>
      <c r="AA415" s="377"/>
      <c r="AB415" s="378" t="s">
        <v>19</v>
      </c>
      <c r="AC415" s="528" t="s">
        <v>20</v>
      </c>
      <c r="AD415" s="601"/>
      <c r="AE415" s="347" t="s">
        <v>21</v>
      </c>
      <c r="AF415" s="340" t="s">
        <v>22</v>
      </c>
    </row>
    <row r="416" spans="1:32" s="597" customFormat="1" ht="14.1" customHeight="1" x14ac:dyDescent="0.2">
      <c r="A416" s="2687"/>
      <c r="B416" s="2062" t="s">
        <v>23</v>
      </c>
      <c r="C416" s="2687"/>
      <c r="D416" s="2062" t="s">
        <v>24</v>
      </c>
      <c r="E416" s="368" t="s">
        <v>25</v>
      </c>
      <c r="F416" s="2699"/>
      <c r="G416" s="2700"/>
      <c r="H416" s="2701"/>
      <c r="I416" s="2062" t="s">
        <v>26</v>
      </c>
      <c r="J416" s="379" t="s">
        <v>15</v>
      </c>
      <c r="K416" s="2066" t="s">
        <v>6</v>
      </c>
      <c r="L416" s="2680"/>
      <c r="M416" s="2068" t="s">
        <v>27</v>
      </c>
      <c r="N416" s="2068" t="s">
        <v>10</v>
      </c>
      <c r="O416" s="382" t="s">
        <v>10</v>
      </c>
      <c r="P416" s="383" t="s">
        <v>28</v>
      </c>
      <c r="Q416" s="384" t="s">
        <v>29</v>
      </c>
      <c r="R416" s="383" t="s">
        <v>15</v>
      </c>
      <c r="S416" s="385" t="s">
        <v>15</v>
      </c>
      <c r="T416" s="2684"/>
      <c r="U416" s="2685"/>
      <c r="V416" s="375" t="s">
        <v>30</v>
      </c>
      <c r="W416" s="376" t="s">
        <v>31</v>
      </c>
      <c r="X416" s="377" t="s">
        <v>30</v>
      </c>
      <c r="Y416" s="377" t="s">
        <v>32</v>
      </c>
      <c r="Z416" s="377" t="s">
        <v>7</v>
      </c>
      <c r="AA416" s="377" t="s">
        <v>33</v>
      </c>
      <c r="AB416" s="378" t="s">
        <v>34</v>
      </c>
      <c r="AC416" s="528" t="s">
        <v>35</v>
      </c>
      <c r="AD416" s="347" t="s">
        <v>36</v>
      </c>
      <c r="AE416" s="347" t="s">
        <v>37</v>
      </c>
      <c r="AF416" s="340" t="s">
        <v>38</v>
      </c>
    </row>
    <row r="417" spans="1:33" s="597" customFormat="1" ht="14.1" customHeight="1" x14ac:dyDescent="0.2">
      <c r="A417" s="2687"/>
      <c r="B417" s="2062" t="s">
        <v>39</v>
      </c>
      <c r="C417" s="2687"/>
      <c r="D417" s="2062" t="s">
        <v>40</v>
      </c>
      <c r="E417" s="368" t="s">
        <v>41</v>
      </c>
      <c r="F417" s="2686" t="s">
        <v>42</v>
      </c>
      <c r="G417" s="2686" t="s">
        <v>43</v>
      </c>
      <c r="H417" s="2688" t="s">
        <v>44</v>
      </c>
      <c r="I417" s="2062" t="s">
        <v>45</v>
      </c>
      <c r="J417" s="379" t="s">
        <v>46</v>
      </c>
      <c r="K417" s="2066" t="s">
        <v>47</v>
      </c>
      <c r="L417" s="2680"/>
      <c r="M417" s="2068" t="s">
        <v>30</v>
      </c>
      <c r="N417" s="2068" t="s">
        <v>30</v>
      </c>
      <c r="O417" s="382" t="s">
        <v>25</v>
      </c>
      <c r="P417" s="383" t="s">
        <v>30</v>
      </c>
      <c r="Q417" s="384" t="s">
        <v>48</v>
      </c>
      <c r="R417" s="383" t="s">
        <v>49</v>
      </c>
      <c r="S417" s="385" t="s">
        <v>30</v>
      </c>
      <c r="T417" s="386" t="s">
        <v>50</v>
      </c>
      <c r="U417" s="2065" t="s">
        <v>13</v>
      </c>
      <c r="V417" s="375" t="s">
        <v>51</v>
      </c>
      <c r="W417" s="376" t="s">
        <v>52</v>
      </c>
      <c r="X417" s="377" t="s">
        <v>53</v>
      </c>
      <c r="Y417" s="377" t="s">
        <v>54</v>
      </c>
      <c r="Z417" s="377" t="s">
        <v>55</v>
      </c>
      <c r="AA417" s="377" t="s">
        <v>56</v>
      </c>
      <c r="AB417" s="378" t="s">
        <v>57</v>
      </c>
      <c r="AC417" s="347" t="s">
        <v>58</v>
      </c>
      <c r="AD417" s="347" t="s">
        <v>59</v>
      </c>
      <c r="AE417" s="347" t="s">
        <v>59</v>
      </c>
      <c r="AF417" s="340" t="s">
        <v>60</v>
      </c>
    </row>
    <row r="418" spans="1:33" s="597" customFormat="1" ht="14.1" customHeight="1" x14ac:dyDescent="0.2">
      <c r="A418" s="2687"/>
      <c r="B418" s="2062" t="s">
        <v>61</v>
      </c>
      <c r="C418" s="2687"/>
      <c r="D418" s="2062" t="s">
        <v>62</v>
      </c>
      <c r="E418" s="368" t="s">
        <v>63</v>
      </c>
      <c r="F418" s="2687"/>
      <c r="G418" s="2687"/>
      <c r="H418" s="2689"/>
      <c r="I418" s="2062" t="s">
        <v>64</v>
      </c>
      <c r="J418" s="379" t="s">
        <v>59</v>
      </c>
      <c r="K418" s="2066" t="s">
        <v>59</v>
      </c>
      <c r="L418" s="2680"/>
      <c r="M418" s="2068"/>
      <c r="N418" s="2068"/>
      <c r="O418" s="382" t="s">
        <v>41</v>
      </c>
      <c r="P418" s="383" t="s">
        <v>65</v>
      </c>
      <c r="Q418" s="384" t="s">
        <v>66</v>
      </c>
      <c r="R418" s="383" t="s">
        <v>67</v>
      </c>
      <c r="S418" s="385" t="s">
        <v>59</v>
      </c>
      <c r="T418" s="387" t="s">
        <v>68</v>
      </c>
      <c r="U418" s="375" t="s">
        <v>14</v>
      </c>
      <c r="V418" s="375" t="s">
        <v>14</v>
      </c>
      <c r="W418" s="376" t="s">
        <v>30</v>
      </c>
      <c r="X418" s="388" t="s">
        <v>69</v>
      </c>
      <c r="Y418" s="388" t="s">
        <v>70</v>
      </c>
      <c r="Z418" s="377" t="s">
        <v>71</v>
      </c>
      <c r="AA418" s="377" t="s">
        <v>72</v>
      </c>
      <c r="AB418" s="378" t="s">
        <v>59</v>
      </c>
      <c r="AC418" s="347" t="s">
        <v>59</v>
      </c>
      <c r="AD418" s="347"/>
      <c r="AE418" s="347"/>
      <c r="AF418" s="340" t="s">
        <v>59</v>
      </c>
    </row>
    <row r="419" spans="1:33" s="597" customFormat="1" ht="14.1" customHeight="1" x14ac:dyDescent="0.2">
      <c r="A419" s="2692"/>
      <c r="B419" s="390"/>
      <c r="C419" s="2692"/>
      <c r="D419" s="390"/>
      <c r="E419" s="2063"/>
      <c r="F419" s="390"/>
      <c r="G419" s="390"/>
      <c r="H419" s="391"/>
      <c r="I419" s="2063"/>
      <c r="J419" s="392"/>
      <c r="K419" s="393"/>
      <c r="L419" s="2681"/>
      <c r="M419" s="2069"/>
      <c r="N419" s="2069"/>
      <c r="O419" s="2069" t="s">
        <v>63</v>
      </c>
      <c r="P419" s="395"/>
      <c r="Q419" s="396" t="s">
        <v>72</v>
      </c>
      <c r="R419" s="397" t="s">
        <v>59</v>
      </c>
      <c r="S419" s="398"/>
      <c r="T419" s="397" t="s">
        <v>73</v>
      </c>
      <c r="U419" s="398" t="s">
        <v>59</v>
      </c>
      <c r="V419" s="399" t="s">
        <v>59</v>
      </c>
      <c r="W419" s="400" t="s">
        <v>59</v>
      </c>
      <c r="X419" s="401" t="s">
        <v>59</v>
      </c>
      <c r="Y419" s="401" t="s">
        <v>59</v>
      </c>
      <c r="Z419" s="401" t="s">
        <v>59</v>
      </c>
      <c r="AA419" s="402"/>
      <c r="AB419" s="403"/>
      <c r="AC419" s="348"/>
      <c r="AD419" s="348"/>
      <c r="AE419" s="348"/>
      <c r="AF419" s="341"/>
    </row>
    <row r="420" spans="1:33" s="597" customFormat="1" ht="18" customHeight="1" x14ac:dyDescent="0.25">
      <c r="A420" s="53">
        <v>1</v>
      </c>
      <c r="B420" s="1387">
        <v>28662</v>
      </c>
      <c r="C420" s="259">
        <v>35</v>
      </c>
      <c r="D420" s="259" t="s">
        <v>83</v>
      </c>
      <c r="E420" s="259">
        <v>4</v>
      </c>
      <c r="F420" s="259">
        <v>0</v>
      </c>
      <c r="G420" s="259">
        <v>1</v>
      </c>
      <c r="H420" s="272">
        <v>2</v>
      </c>
      <c r="I420" s="66">
        <f>F420*400+G420*100+H420</f>
        <v>102</v>
      </c>
      <c r="J420" s="798">
        <v>280</v>
      </c>
      <c r="K420" s="278">
        <f>SUM(I420*J420)</f>
        <v>28560</v>
      </c>
      <c r="L420" s="63"/>
      <c r="M420" s="2073"/>
      <c r="N420" s="259"/>
      <c r="O420" s="63"/>
      <c r="P420" s="259"/>
      <c r="Q420" s="799"/>
      <c r="R420" s="260"/>
      <c r="S420" s="18"/>
      <c r="T420" s="20"/>
      <c r="U420" s="47"/>
      <c r="V420" s="47"/>
      <c r="W420" s="18">
        <f>K420+V420</f>
        <v>28560</v>
      </c>
      <c r="X420" s="47">
        <f>W420</f>
        <v>28560</v>
      </c>
      <c r="Y420" s="18">
        <v>0</v>
      </c>
      <c r="Z420" s="18">
        <f>+X420</f>
        <v>28560</v>
      </c>
      <c r="AA420" s="264">
        <v>0.6</v>
      </c>
      <c r="AB420" s="465">
        <f>+Z420*AA420/100</f>
        <v>171.36</v>
      </c>
      <c r="AC420" s="602"/>
      <c r="AD420" s="603">
        <f>AB420-AC420</f>
        <v>171.36</v>
      </c>
      <c r="AE420" s="603">
        <f>IF(AD420&lt;=0,0,AD420*25/100)</f>
        <v>42.84</v>
      </c>
      <c r="AF420" s="603">
        <f>IF(AC420+AE420&gt;AB420,AB420,AC420+AE420)</f>
        <v>42.84</v>
      </c>
      <c r="AG420" s="1750" t="s">
        <v>387</v>
      </c>
    </row>
    <row r="421" spans="1:33" s="597" customFormat="1" ht="18" customHeight="1" x14ac:dyDescent="0.2">
      <c r="A421" s="2070"/>
      <c r="B421" s="2070"/>
      <c r="C421" s="2070"/>
      <c r="D421" s="2070"/>
      <c r="E421" s="2070"/>
      <c r="F421" s="2070"/>
      <c r="G421" s="2070"/>
      <c r="H421" s="2076"/>
      <c r="I421" s="178"/>
      <c r="J421" s="178"/>
      <c r="K421" s="178"/>
      <c r="L421" s="2070"/>
      <c r="M421" s="248"/>
      <c r="N421" s="2070"/>
      <c r="O421" s="2070"/>
      <c r="P421" s="173"/>
      <c r="Q421" s="2071"/>
      <c r="R421" s="437"/>
      <c r="S421" s="178"/>
      <c r="T421" s="61"/>
      <c r="U421" s="178"/>
      <c r="V421" s="178"/>
      <c r="W421" s="178"/>
      <c r="X421" s="470"/>
      <c r="Y421" s="245"/>
      <c r="Z421" s="748"/>
      <c r="AA421" s="246"/>
      <c r="AB421" s="744"/>
      <c r="AC421" s="603"/>
      <c r="AD421" s="603">
        <f>AB421-AC421</f>
        <v>0</v>
      </c>
      <c r="AE421" s="603">
        <f>IF(AD421&lt;=0,0,AD421*25/100)</f>
        <v>0</v>
      </c>
      <c r="AF421" s="603">
        <f>IF(AC421+AE421&gt;AB421,AB421,AC421+AE421)</f>
        <v>0</v>
      </c>
    </row>
    <row r="422" spans="1:33" s="597" customFormat="1" ht="18" customHeight="1" x14ac:dyDescent="0.2">
      <c r="A422" s="2070"/>
      <c r="B422" s="177"/>
      <c r="C422" s="177"/>
      <c r="D422" s="2070"/>
      <c r="E422" s="2070"/>
      <c r="F422" s="2070"/>
      <c r="G422" s="2070"/>
      <c r="H422" s="2076"/>
      <c r="I422" s="2072"/>
      <c r="J422" s="178"/>
      <c r="K422" s="2072"/>
      <c r="L422" s="2070"/>
      <c r="M422" s="2070"/>
      <c r="N422" s="2070"/>
      <c r="O422" s="2070"/>
      <c r="P422" s="2076"/>
      <c r="Q422" s="2071"/>
      <c r="R422" s="437"/>
      <c r="S422" s="2072"/>
      <c r="T422" s="179"/>
      <c r="U422" s="178"/>
      <c r="V422" s="2072"/>
      <c r="W422" s="2072"/>
      <c r="X422" s="470"/>
      <c r="Y422" s="470"/>
      <c r="Z422" s="471"/>
      <c r="AA422" s="764"/>
      <c r="AB422" s="466"/>
      <c r="AC422" s="350"/>
      <c r="AD422" s="350"/>
      <c r="AE422" s="350"/>
      <c r="AF422" s="350"/>
    </row>
    <row r="423" spans="1:33" s="597" customFormat="1" ht="18" customHeight="1" x14ac:dyDescent="0.2">
      <c r="A423" s="2070"/>
      <c r="B423" s="177"/>
      <c r="C423" s="177"/>
      <c r="D423" s="2070"/>
      <c r="E423" s="2070"/>
      <c r="F423" s="2070"/>
      <c r="G423" s="2070"/>
      <c r="H423" s="2076"/>
      <c r="I423" s="2072"/>
      <c r="J423" s="178"/>
      <c r="K423" s="2072"/>
      <c r="L423" s="2070"/>
      <c r="M423" s="2070"/>
      <c r="N423" s="2070"/>
      <c r="O423" s="2070"/>
      <c r="P423" s="2076"/>
      <c r="Q423" s="2071"/>
      <c r="R423" s="437"/>
      <c r="S423" s="2072"/>
      <c r="T423" s="179"/>
      <c r="U423" s="178"/>
      <c r="V423" s="2072"/>
      <c r="W423" s="2072"/>
      <c r="X423" s="470"/>
      <c r="Y423" s="470"/>
      <c r="Z423" s="471"/>
      <c r="AA423" s="764"/>
      <c r="AB423" s="466"/>
      <c r="AC423" s="350"/>
      <c r="AD423" s="350"/>
      <c r="AE423" s="350"/>
      <c r="AF423" s="350"/>
    </row>
    <row r="424" spans="1:33" s="597" customFormat="1" ht="18" customHeight="1" x14ac:dyDescent="0.2">
      <c r="A424" s="2070"/>
      <c r="B424" s="177"/>
      <c r="C424" s="177"/>
      <c r="D424" s="2070"/>
      <c r="E424" s="2070"/>
      <c r="F424" s="2070"/>
      <c r="G424" s="2070"/>
      <c r="H424" s="2076"/>
      <c r="I424" s="2072"/>
      <c r="J424" s="178"/>
      <c r="K424" s="2072"/>
      <c r="L424" s="2070"/>
      <c r="M424" s="2070"/>
      <c r="N424" s="2070"/>
      <c r="O424" s="2070"/>
      <c r="P424" s="2076"/>
      <c r="Q424" s="2071"/>
      <c r="R424" s="437"/>
      <c r="S424" s="2072"/>
      <c r="T424" s="179"/>
      <c r="U424" s="178"/>
      <c r="V424" s="2072"/>
      <c r="W424" s="2072"/>
      <c r="X424" s="470"/>
      <c r="Y424" s="470"/>
      <c r="Z424" s="471"/>
      <c r="AA424" s="764"/>
      <c r="AB424" s="466"/>
      <c r="AC424" s="350"/>
      <c r="AD424" s="350"/>
      <c r="AE424" s="350"/>
      <c r="AF424" s="350"/>
    </row>
    <row r="425" spans="1:33" s="597" customFormat="1" ht="18" customHeight="1" x14ac:dyDescent="0.2">
      <c r="A425" s="2070"/>
      <c r="B425" s="177"/>
      <c r="C425" s="177"/>
      <c r="D425" s="2070"/>
      <c r="E425" s="2070"/>
      <c r="F425" s="2070"/>
      <c r="G425" s="2070"/>
      <c r="H425" s="2076"/>
      <c r="I425" s="2072"/>
      <c r="J425" s="178"/>
      <c r="K425" s="2072"/>
      <c r="L425" s="2070"/>
      <c r="M425" s="2070"/>
      <c r="N425" s="2070"/>
      <c r="O425" s="2070"/>
      <c r="P425" s="2076"/>
      <c r="Q425" s="2071"/>
      <c r="R425" s="437"/>
      <c r="S425" s="2072"/>
      <c r="T425" s="179"/>
      <c r="U425" s="178"/>
      <c r="V425" s="2072"/>
      <c r="W425" s="2072"/>
      <c r="X425" s="470"/>
      <c r="Y425" s="470"/>
      <c r="Z425" s="471"/>
      <c r="AA425" s="764"/>
      <c r="AB425" s="466"/>
      <c r="AC425" s="350"/>
      <c r="AD425" s="350"/>
      <c r="AE425" s="350"/>
      <c r="AF425" s="350"/>
    </row>
    <row r="426" spans="1:33" s="597" customFormat="1" ht="18" customHeight="1" x14ac:dyDescent="0.2">
      <c r="A426" s="2070"/>
      <c r="B426" s="177"/>
      <c r="C426" s="177"/>
      <c r="D426" s="2070"/>
      <c r="E426" s="2070"/>
      <c r="F426" s="2070"/>
      <c r="G426" s="2070"/>
      <c r="H426" s="2076"/>
      <c r="I426" s="2072"/>
      <c r="J426" s="178"/>
      <c r="K426" s="2072"/>
      <c r="L426" s="2070"/>
      <c r="M426" s="2070"/>
      <c r="N426" s="2070"/>
      <c r="O426" s="2070"/>
      <c r="P426" s="2076"/>
      <c r="Q426" s="2071"/>
      <c r="R426" s="437"/>
      <c r="S426" s="2072"/>
      <c r="T426" s="179"/>
      <c r="U426" s="178"/>
      <c r="V426" s="2072"/>
      <c r="W426" s="2072"/>
      <c r="X426" s="470"/>
      <c r="Y426" s="470"/>
      <c r="Z426" s="471"/>
      <c r="AA426" s="764"/>
      <c r="AB426" s="466"/>
      <c r="AC426" s="350"/>
      <c r="AD426" s="350"/>
      <c r="AE426" s="350"/>
      <c r="AF426" s="350"/>
    </row>
    <row r="427" spans="1:33" s="597" customFormat="1" ht="18" customHeight="1" x14ac:dyDescent="0.2">
      <c r="A427" s="2070"/>
      <c r="B427" s="177"/>
      <c r="C427" s="177"/>
      <c r="D427" s="2070"/>
      <c r="E427" s="2070"/>
      <c r="F427" s="2070"/>
      <c r="G427" s="2070"/>
      <c r="H427" s="2076"/>
      <c r="I427" s="2072"/>
      <c r="J427" s="178"/>
      <c r="K427" s="2072"/>
      <c r="L427" s="2070"/>
      <c r="M427" s="2070"/>
      <c r="N427" s="2070"/>
      <c r="O427" s="2070"/>
      <c r="P427" s="2076"/>
      <c r="Q427" s="2071"/>
      <c r="R427" s="437"/>
      <c r="S427" s="2072"/>
      <c r="T427" s="179"/>
      <c r="U427" s="178"/>
      <c r="V427" s="2072"/>
      <c r="W427" s="2072"/>
      <c r="X427" s="470"/>
      <c r="Y427" s="470"/>
      <c r="Z427" s="471"/>
      <c r="AA427" s="764"/>
      <c r="AB427" s="466"/>
      <c r="AC427" s="350"/>
      <c r="AD427" s="350"/>
      <c r="AE427" s="350"/>
      <c r="AF427" s="350"/>
    </row>
    <row r="428" spans="1:33" s="597" customFormat="1" ht="18" customHeight="1" x14ac:dyDescent="0.2">
      <c r="A428" s="2070"/>
      <c r="B428" s="177"/>
      <c r="C428" s="177"/>
      <c r="D428" s="2070"/>
      <c r="E428" s="2070"/>
      <c r="F428" s="2070"/>
      <c r="G428" s="2070"/>
      <c r="H428" s="2076"/>
      <c r="I428" s="2072"/>
      <c r="J428" s="178"/>
      <c r="K428" s="2072"/>
      <c r="L428" s="2070"/>
      <c r="M428" s="2070"/>
      <c r="N428" s="2070"/>
      <c r="O428" s="2070"/>
      <c r="P428" s="2076"/>
      <c r="Q428" s="2071"/>
      <c r="R428" s="437"/>
      <c r="S428" s="2072"/>
      <c r="T428" s="179"/>
      <c r="U428" s="178"/>
      <c r="V428" s="2072"/>
      <c r="W428" s="2072"/>
      <c r="X428" s="470"/>
      <c r="Y428" s="470"/>
      <c r="Z428" s="471"/>
      <c r="AA428" s="764"/>
      <c r="AB428" s="466"/>
      <c r="AC428" s="350"/>
      <c r="AD428" s="350"/>
      <c r="AE428" s="350"/>
      <c r="AF428" s="350"/>
    </row>
    <row r="429" spans="1:33" s="597" customFormat="1" ht="18" customHeight="1" x14ac:dyDescent="0.2">
      <c r="A429" s="2070"/>
      <c r="B429" s="177"/>
      <c r="C429" s="177"/>
      <c r="D429" s="2070"/>
      <c r="E429" s="2070"/>
      <c r="F429" s="2070"/>
      <c r="G429" s="2070"/>
      <c r="H429" s="2076"/>
      <c r="I429" s="2072"/>
      <c r="J429" s="178"/>
      <c r="K429" s="2072"/>
      <c r="L429" s="2070"/>
      <c r="M429" s="2070"/>
      <c r="N429" s="2070"/>
      <c r="O429" s="2070"/>
      <c r="P429" s="2076"/>
      <c r="Q429" s="2071"/>
      <c r="R429" s="437"/>
      <c r="S429" s="2072"/>
      <c r="T429" s="179"/>
      <c r="U429" s="178"/>
      <c r="V429" s="2072"/>
      <c r="W429" s="2072"/>
      <c r="X429" s="470"/>
      <c r="Y429" s="470"/>
      <c r="Z429" s="471"/>
      <c r="AA429" s="764"/>
      <c r="AB429" s="466"/>
      <c r="AC429" s="350"/>
      <c r="AD429" s="350"/>
      <c r="AE429" s="350"/>
      <c r="AF429" s="350"/>
    </row>
    <row r="430" spans="1:33" s="597" customFormat="1" ht="18" customHeight="1" x14ac:dyDescent="0.2">
      <c r="A430" s="2070"/>
      <c r="B430" s="177"/>
      <c r="C430" s="177"/>
      <c r="D430" s="2070"/>
      <c r="E430" s="2070"/>
      <c r="F430" s="2070"/>
      <c r="G430" s="2070"/>
      <c r="H430" s="2076"/>
      <c r="I430" s="2072"/>
      <c r="J430" s="178"/>
      <c r="K430" s="2072"/>
      <c r="L430" s="2070"/>
      <c r="M430" s="2070"/>
      <c r="N430" s="2070"/>
      <c r="O430" s="2070"/>
      <c r="P430" s="2076"/>
      <c r="Q430" s="2071"/>
      <c r="R430" s="437"/>
      <c r="S430" s="2072"/>
      <c r="T430" s="179"/>
      <c r="U430" s="178"/>
      <c r="V430" s="2072"/>
      <c r="W430" s="2072"/>
      <c r="X430" s="470"/>
      <c r="Y430" s="470"/>
      <c r="Z430" s="471"/>
      <c r="AA430" s="764"/>
      <c r="AB430" s="466"/>
      <c r="AC430" s="350"/>
      <c r="AD430" s="350"/>
      <c r="AE430" s="350"/>
      <c r="AF430" s="350"/>
    </row>
    <row r="431" spans="1:33" s="597" customFormat="1" ht="18" customHeight="1" x14ac:dyDescent="0.2">
      <c r="A431" s="2070"/>
      <c r="B431" s="177"/>
      <c r="C431" s="177"/>
      <c r="D431" s="2070"/>
      <c r="E431" s="2070"/>
      <c r="F431" s="2070"/>
      <c r="G431" s="2070"/>
      <c r="H431" s="2076"/>
      <c r="I431" s="2072"/>
      <c r="J431" s="178"/>
      <c r="K431" s="2072"/>
      <c r="L431" s="2070"/>
      <c r="M431" s="2070"/>
      <c r="N431" s="2070"/>
      <c r="O431" s="2070"/>
      <c r="P431" s="2076"/>
      <c r="Q431" s="2071"/>
      <c r="R431" s="437"/>
      <c r="S431" s="2072"/>
      <c r="T431" s="179"/>
      <c r="U431" s="178"/>
      <c r="V431" s="2072"/>
      <c r="W431" s="2072"/>
      <c r="X431" s="470"/>
      <c r="Y431" s="470"/>
      <c r="Z431" s="471"/>
      <c r="AA431" s="764"/>
      <c r="AB431" s="466"/>
      <c r="AC431" s="350"/>
      <c r="AD431" s="350"/>
      <c r="AE431" s="350"/>
      <c r="AF431" s="350"/>
    </row>
    <row r="432" spans="1:33" s="597" customFormat="1" ht="18" customHeight="1" x14ac:dyDescent="0.2">
      <c r="A432" s="2070"/>
      <c r="B432" s="177"/>
      <c r="C432" s="177"/>
      <c r="D432" s="2070"/>
      <c r="E432" s="2070"/>
      <c r="F432" s="2070"/>
      <c r="G432" s="2070"/>
      <c r="H432" s="2076"/>
      <c r="I432" s="2072"/>
      <c r="J432" s="178"/>
      <c r="K432" s="2072"/>
      <c r="L432" s="2070"/>
      <c r="M432" s="2070"/>
      <c r="N432" s="2070"/>
      <c r="O432" s="2070"/>
      <c r="P432" s="2076"/>
      <c r="Q432" s="2071"/>
      <c r="R432" s="437"/>
      <c r="S432" s="2072"/>
      <c r="T432" s="179"/>
      <c r="U432" s="178"/>
      <c r="V432" s="2072"/>
      <c r="W432" s="2072"/>
      <c r="X432" s="470"/>
      <c r="Y432" s="470"/>
      <c r="Z432" s="471"/>
      <c r="AA432" s="764"/>
      <c r="AB432" s="466"/>
      <c r="AC432" s="350"/>
      <c r="AD432" s="350"/>
      <c r="AE432" s="350"/>
      <c r="AF432" s="350"/>
    </row>
    <row r="433" spans="1:32" s="597" customFormat="1" ht="18" customHeight="1" x14ac:dyDescent="0.2">
      <c r="A433" s="88"/>
      <c r="B433" s="180"/>
      <c r="C433" s="180"/>
      <c r="D433" s="88"/>
      <c r="E433" s="88"/>
      <c r="F433" s="88"/>
      <c r="G433" s="88"/>
      <c r="H433" s="120"/>
      <c r="I433" s="121"/>
      <c r="J433" s="181"/>
      <c r="K433" s="121"/>
      <c r="L433" s="88"/>
      <c r="M433" s="88"/>
      <c r="N433" s="88"/>
      <c r="O433" s="88"/>
      <c r="P433" s="88"/>
      <c r="Q433" s="129"/>
      <c r="R433" s="445"/>
      <c r="S433" s="121"/>
      <c r="T433" s="182"/>
      <c r="U433" s="181"/>
      <c r="V433" s="121"/>
      <c r="W433" s="121"/>
      <c r="X433" s="472"/>
      <c r="Y433" s="472"/>
      <c r="Z433" s="473"/>
      <c r="AA433" s="780"/>
      <c r="AB433" s="410"/>
      <c r="AC433" s="351"/>
      <c r="AD433" s="351"/>
      <c r="AE433" s="351"/>
      <c r="AF433" s="351"/>
    </row>
    <row r="434" spans="1:32" s="597" customFormat="1" ht="18" customHeight="1" x14ac:dyDescent="0.2">
      <c r="A434" s="1850"/>
      <c r="B434" s="1850"/>
      <c r="C434" s="1850"/>
      <c r="D434" s="1850"/>
      <c r="E434" s="1850"/>
      <c r="F434" s="1850"/>
      <c r="G434" s="1850"/>
      <c r="H434" s="1851"/>
      <c r="I434" s="1852"/>
      <c r="J434" s="1853"/>
      <c r="K434" s="1852"/>
      <c r="L434" s="1852"/>
      <c r="M434" s="1852"/>
      <c r="N434" s="1852"/>
      <c r="O434" s="1852"/>
      <c r="P434" s="1852"/>
      <c r="Q434" s="1852"/>
      <c r="R434" s="1854"/>
      <c r="S434" s="1852"/>
      <c r="T434" s="1855"/>
      <c r="U434" s="1853"/>
      <c r="V434" s="1852"/>
      <c r="W434" s="1852"/>
      <c r="X434" s="1856"/>
      <c r="Y434" s="1856"/>
      <c r="Z434" s="1857"/>
      <c r="AA434" s="2125"/>
      <c r="AB434" s="1847">
        <f>SUM(AB420:AB433)</f>
        <v>171.36</v>
      </c>
      <c r="AC434" s="1861"/>
      <c r="AD434" s="1861"/>
      <c r="AE434" s="1861"/>
      <c r="AF434" s="1861"/>
    </row>
    <row r="435" spans="1:32" s="597" customFormat="1" ht="14.1" customHeight="1" x14ac:dyDescent="0.2">
      <c r="A435" s="2690" t="s">
        <v>76</v>
      </c>
      <c r="B435" s="2690"/>
      <c r="C435" s="2691" t="s">
        <v>77</v>
      </c>
      <c r="D435" s="2691"/>
      <c r="E435" s="2691"/>
      <c r="F435" s="2691"/>
      <c r="G435" s="2691"/>
      <c r="H435" s="2691"/>
      <c r="I435" s="604" t="s">
        <v>78</v>
      </c>
      <c r="J435" s="604"/>
      <c r="K435" s="604"/>
      <c r="L435" s="604"/>
      <c r="M435" s="604"/>
      <c r="N435" s="604"/>
      <c r="AA435" s="767"/>
      <c r="AB435" s="598"/>
    </row>
    <row r="436" spans="1:32" s="597" customFormat="1" ht="14.1" customHeight="1" x14ac:dyDescent="0.2">
      <c r="A436" s="604"/>
      <c r="B436" s="605"/>
      <c r="C436" s="604"/>
      <c r="D436" s="604"/>
      <c r="E436" s="604"/>
      <c r="F436" s="604"/>
      <c r="G436" s="604"/>
      <c r="H436" s="604"/>
      <c r="I436" s="604" t="s">
        <v>79</v>
      </c>
      <c r="J436" s="604"/>
      <c r="K436" s="604"/>
      <c r="L436" s="604"/>
      <c r="M436" s="604"/>
      <c r="N436" s="604"/>
      <c r="AA436" s="767"/>
      <c r="AB436" s="598"/>
    </row>
    <row r="437" spans="1:32" s="597" customFormat="1" ht="14.1" customHeight="1" x14ac:dyDescent="0.2">
      <c r="A437" s="604"/>
      <c r="B437" s="605"/>
      <c r="C437" s="604"/>
      <c r="D437" s="604"/>
      <c r="E437" s="604"/>
      <c r="F437" s="604"/>
      <c r="G437" s="604"/>
      <c r="H437" s="604"/>
      <c r="I437" s="604" t="s">
        <v>80</v>
      </c>
      <c r="J437" s="604"/>
      <c r="K437" s="604"/>
      <c r="L437" s="604"/>
      <c r="M437" s="604"/>
      <c r="N437" s="604"/>
      <c r="AA437" s="767"/>
      <c r="AB437" s="598"/>
    </row>
    <row r="438" spans="1:32" s="597" customFormat="1" ht="14.1" customHeight="1" x14ac:dyDescent="0.2">
      <c r="A438" s="604"/>
      <c r="B438" s="605"/>
      <c r="C438" s="604"/>
      <c r="D438" s="604"/>
      <c r="E438" s="604"/>
      <c r="F438" s="604"/>
      <c r="G438" s="604"/>
      <c r="H438" s="604"/>
      <c r="I438" s="604" t="s">
        <v>81</v>
      </c>
      <c r="J438" s="604"/>
      <c r="K438" s="604"/>
      <c r="L438" s="604"/>
      <c r="M438" s="604"/>
      <c r="N438" s="604"/>
      <c r="AA438" s="767"/>
      <c r="AB438" s="598"/>
    </row>
    <row r="439" spans="1:32" s="597" customFormat="1" ht="14.1" customHeight="1" x14ac:dyDescent="0.2">
      <c r="A439" s="604"/>
      <c r="B439" s="605"/>
      <c r="C439" s="604"/>
      <c r="D439" s="604"/>
      <c r="E439" s="604"/>
      <c r="F439" s="604"/>
      <c r="G439" s="604"/>
      <c r="H439" s="604"/>
      <c r="I439" s="604" t="s">
        <v>88</v>
      </c>
      <c r="J439" s="604"/>
      <c r="K439" s="604"/>
      <c r="L439" s="604"/>
      <c r="M439" s="604"/>
      <c r="N439" s="604"/>
      <c r="AA439" s="767"/>
      <c r="AB439" s="598"/>
    </row>
    <row r="440" spans="1:32" s="597" customFormat="1" ht="18" customHeight="1" x14ac:dyDescent="0.2">
      <c r="A440" s="339"/>
      <c r="B440" s="339"/>
      <c r="C440" s="339"/>
      <c r="D440" s="339"/>
      <c r="E440" s="339"/>
      <c r="F440" s="339"/>
      <c r="G440" s="339"/>
      <c r="H440" s="339"/>
      <c r="I440" s="339"/>
      <c r="J440" s="339"/>
      <c r="K440" s="339"/>
      <c r="L440" s="339"/>
      <c r="M440" s="339"/>
      <c r="N440" s="339"/>
      <c r="O440" s="339"/>
      <c r="P440" s="339"/>
      <c r="Q440" s="339"/>
      <c r="R440" s="339"/>
      <c r="S440" s="339"/>
      <c r="T440" s="339"/>
      <c r="U440" s="339"/>
      <c r="V440" s="339"/>
      <c r="W440" s="339"/>
      <c r="X440" s="339"/>
      <c r="Y440" s="339"/>
      <c r="Z440" s="339"/>
      <c r="AA440" s="2702" t="s">
        <v>0</v>
      </c>
      <c r="AB440" s="2702"/>
      <c r="AC440" s="339"/>
      <c r="AD440" s="339"/>
      <c r="AE440" s="339"/>
      <c r="AF440" s="339"/>
    </row>
    <row r="441" spans="1:32" s="597" customFormat="1" ht="18" customHeight="1" x14ac:dyDescent="0.2">
      <c r="A441" s="2703" t="s">
        <v>1</v>
      </c>
      <c r="B441" s="2703"/>
      <c r="C441" s="2703"/>
      <c r="D441" s="2703"/>
      <c r="E441" s="2703"/>
      <c r="F441" s="2703"/>
      <c r="G441" s="2703"/>
      <c r="H441" s="2703"/>
      <c r="I441" s="2703"/>
      <c r="J441" s="2703"/>
      <c r="K441" s="2703"/>
      <c r="L441" s="2703"/>
      <c r="M441" s="2703"/>
      <c r="N441" s="2703"/>
      <c r="O441" s="2703"/>
      <c r="P441" s="2703"/>
      <c r="Q441" s="2703"/>
      <c r="R441" s="2703"/>
      <c r="S441" s="2703"/>
      <c r="T441" s="2703"/>
      <c r="U441" s="2703"/>
      <c r="V441" s="2703"/>
      <c r="W441" s="2703"/>
      <c r="X441" s="2703"/>
      <c r="Y441" s="2703"/>
      <c r="Z441" s="2703"/>
      <c r="AA441" s="2703"/>
      <c r="AB441" s="2703"/>
      <c r="AC441" s="344"/>
      <c r="AD441" s="344"/>
      <c r="AE441" s="344"/>
      <c r="AF441" s="344"/>
    </row>
    <row r="442" spans="1:32" s="597" customFormat="1" ht="18" customHeight="1" x14ac:dyDescent="0.2">
      <c r="A442" s="2704" t="s">
        <v>555</v>
      </c>
      <c r="B442" s="2704"/>
      <c r="C442" s="2704"/>
      <c r="D442" s="2704"/>
      <c r="E442" s="2704"/>
      <c r="F442" s="2704"/>
      <c r="G442" s="2704"/>
      <c r="H442" s="2704"/>
      <c r="I442" s="2704"/>
      <c r="J442" s="2704"/>
      <c r="K442" s="2704"/>
      <c r="L442" s="2704"/>
      <c r="M442" s="2704"/>
      <c r="N442" s="2704"/>
      <c r="O442" s="2704"/>
      <c r="P442" s="2704"/>
      <c r="Q442" s="2704"/>
      <c r="R442" s="2704"/>
      <c r="S442" s="2704"/>
      <c r="T442" s="2704"/>
      <c r="U442" s="2704"/>
      <c r="V442" s="2704"/>
      <c r="W442" s="2704"/>
      <c r="X442" s="2704"/>
      <c r="Y442" s="2704"/>
      <c r="Z442" s="2704"/>
      <c r="AA442" s="2704"/>
      <c r="AB442" s="2704"/>
      <c r="AC442" s="599"/>
      <c r="AD442" s="599"/>
      <c r="AE442" s="599"/>
      <c r="AF442" s="599"/>
    </row>
    <row r="443" spans="1:32" s="597" customFormat="1" ht="14.1" customHeight="1" x14ac:dyDescent="0.2">
      <c r="A443" s="2686" t="s">
        <v>2</v>
      </c>
      <c r="B443" s="360"/>
      <c r="C443" s="2686" t="s">
        <v>3</v>
      </c>
      <c r="D443" s="360"/>
      <c r="E443" s="360"/>
      <c r="F443" s="2693" t="s">
        <v>4</v>
      </c>
      <c r="G443" s="2693"/>
      <c r="H443" s="2693"/>
      <c r="I443" s="2694"/>
      <c r="J443" s="2694"/>
      <c r="K443" s="2695"/>
      <c r="L443" s="361"/>
      <c r="M443" s="2679" t="s">
        <v>5</v>
      </c>
      <c r="N443" s="2679"/>
      <c r="O443" s="2679"/>
      <c r="P443" s="2679"/>
      <c r="Q443" s="2696"/>
      <c r="R443" s="2696"/>
      <c r="S443" s="2696"/>
      <c r="T443" s="2696"/>
      <c r="U443" s="2696"/>
      <c r="V443" s="2697"/>
      <c r="W443" s="362" t="s">
        <v>6</v>
      </c>
      <c r="X443" s="363" t="s">
        <v>7</v>
      </c>
      <c r="Y443" s="364"/>
      <c r="Z443" s="364"/>
      <c r="AA443" s="363"/>
      <c r="AB443" s="365"/>
      <c r="AC443" s="516" t="s">
        <v>8</v>
      </c>
      <c r="AD443" s="346"/>
      <c r="AE443" s="346"/>
      <c r="AF443" s="600"/>
    </row>
    <row r="444" spans="1:32" s="597" customFormat="1" ht="14.1" customHeight="1" x14ac:dyDescent="0.2">
      <c r="A444" s="2687"/>
      <c r="B444" s="367"/>
      <c r="C444" s="2687"/>
      <c r="D444" s="2062" t="s">
        <v>9</v>
      </c>
      <c r="E444" s="368" t="s">
        <v>10</v>
      </c>
      <c r="F444" s="2698" t="s">
        <v>11</v>
      </c>
      <c r="G444" s="2694"/>
      <c r="H444" s="2695"/>
      <c r="I444" s="360"/>
      <c r="J444" s="369" t="s">
        <v>12</v>
      </c>
      <c r="K444" s="360"/>
      <c r="L444" s="2679" t="s">
        <v>2</v>
      </c>
      <c r="M444" s="2067"/>
      <c r="N444" s="2067"/>
      <c r="O444" s="2067"/>
      <c r="P444" s="371"/>
      <c r="Q444" s="372" t="s">
        <v>13</v>
      </c>
      <c r="R444" s="373" t="s">
        <v>12</v>
      </c>
      <c r="S444" s="2067" t="s">
        <v>6</v>
      </c>
      <c r="T444" s="2682" t="s">
        <v>14</v>
      </c>
      <c r="U444" s="2683"/>
      <c r="V444" s="375" t="s">
        <v>7</v>
      </c>
      <c r="W444" s="376" t="s">
        <v>15</v>
      </c>
      <c r="X444" s="377" t="s">
        <v>16</v>
      </c>
      <c r="Y444" s="377" t="s">
        <v>17</v>
      </c>
      <c r="Z444" s="377" t="s">
        <v>18</v>
      </c>
      <c r="AA444" s="377"/>
      <c r="AB444" s="378" t="s">
        <v>19</v>
      </c>
      <c r="AC444" s="528" t="s">
        <v>20</v>
      </c>
      <c r="AD444" s="601"/>
      <c r="AE444" s="347" t="s">
        <v>21</v>
      </c>
      <c r="AF444" s="340" t="s">
        <v>22</v>
      </c>
    </row>
    <row r="445" spans="1:32" s="597" customFormat="1" ht="14.1" customHeight="1" x14ac:dyDescent="0.2">
      <c r="A445" s="2687"/>
      <c r="B445" s="2062" t="s">
        <v>23</v>
      </c>
      <c r="C445" s="2687"/>
      <c r="D445" s="2062" t="s">
        <v>24</v>
      </c>
      <c r="E445" s="368" t="s">
        <v>25</v>
      </c>
      <c r="F445" s="2699"/>
      <c r="G445" s="2700"/>
      <c r="H445" s="2701"/>
      <c r="I445" s="2062" t="s">
        <v>26</v>
      </c>
      <c r="J445" s="379" t="s">
        <v>15</v>
      </c>
      <c r="K445" s="2066" t="s">
        <v>6</v>
      </c>
      <c r="L445" s="2680"/>
      <c r="M445" s="2068" t="s">
        <v>27</v>
      </c>
      <c r="N445" s="2068" t="s">
        <v>10</v>
      </c>
      <c r="O445" s="382" t="s">
        <v>10</v>
      </c>
      <c r="P445" s="383" t="s">
        <v>28</v>
      </c>
      <c r="Q445" s="384" t="s">
        <v>29</v>
      </c>
      <c r="R445" s="383" t="s">
        <v>15</v>
      </c>
      <c r="S445" s="385" t="s">
        <v>15</v>
      </c>
      <c r="T445" s="2684"/>
      <c r="U445" s="2685"/>
      <c r="V445" s="375" t="s">
        <v>30</v>
      </c>
      <c r="W445" s="376" t="s">
        <v>31</v>
      </c>
      <c r="X445" s="377" t="s">
        <v>30</v>
      </c>
      <c r="Y445" s="377" t="s">
        <v>32</v>
      </c>
      <c r="Z445" s="377" t="s">
        <v>7</v>
      </c>
      <c r="AA445" s="377" t="s">
        <v>33</v>
      </c>
      <c r="AB445" s="378" t="s">
        <v>34</v>
      </c>
      <c r="AC445" s="528" t="s">
        <v>35</v>
      </c>
      <c r="AD445" s="347" t="s">
        <v>36</v>
      </c>
      <c r="AE445" s="347" t="s">
        <v>37</v>
      </c>
      <c r="AF445" s="340" t="s">
        <v>38</v>
      </c>
    </row>
    <row r="446" spans="1:32" s="597" customFormat="1" ht="14.1" customHeight="1" x14ac:dyDescent="0.2">
      <c r="A446" s="2687"/>
      <c r="B446" s="2062" t="s">
        <v>39</v>
      </c>
      <c r="C446" s="2687"/>
      <c r="D446" s="2062" t="s">
        <v>40</v>
      </c>
      <c r="E446" s="368" t="s">
        <v>41</v>
      </c>
      <c r="F446" s="2686" t="s">
        <v>42</v>
      </c>
      <c r="G446" s="2686" t="s">
        <v>43</v>
      </c>
      <c r="H446" s="2688" t="s">
        <v>44</v>
      </c>
      <c r="I446" s="2062" t="s">
        <v>45</v>
      </c>
      <c r="J446" s="379" t="s">
        <v>46</v>
      </c>
      <c r="K446" s="2066" t="s">
        <v>47</v>
      </c>
      <c r="L446" s="2680"/>
      <c r="M446" s="2068" t="s">
        <v>30</v>
      </c>
      <c r="N446" s="2068" t="s">
        <v>30</v>
      </c>
      <c r="O446" s="382" t="s">
        <v>25</v>
      </c>
      <c r="P446" s="383" t="s">
        <v>30</v>
      </c>
      <c r="Q446" s="384" t="s">
        <v>48</v>
      </c>
      <c r="R446" s="383" t="s">
        <v>49</v>
      </c>
      <c r="S446" s="385" t="s">
        <v>30</v>
      </c>
      <c r="T446" s="386" t="s">
        <v>50</v>
      </c>
      <c r="U446" s="2065" t="s">
        <v>13</v>
      </c>
      <c r="V446" s="375" t="s">
        <v>51</v>
      </c>
      <c r="W446" s="376" t="s">
        <v>52</v>
      </c>
      <c r="X446" s="377" t="s">
        <v>53</v>
      </c>
      <c r="Y446" s="377" t="s">
        <v>54</v>
      </c>
      <c r="Z446" s="377" t="s">
        <v>55</v>
      </c>
      <c r="AA446" s="377" t="s">
        <v>56</v>
      </c>
      <c r="AB446" s="378" t="s">
        <v>57</v>
      </c>
      <c r="AC446" s="347" t="s">
        <v>58</v>
      </c>
      <c r="AD446" s="347" t="s">
        <v>59</v>
      </c>
      <c r="AE446" s="347" t="s">
        <v>59</v>
      </c>
      <c r="AF446" s="340" t="s">
        <v>60</v>
      </c>
    </row>
    <row r="447" spans="1:32" s="597" customFormat="1" ht="14.1" customHeight="1" x14ac:dyDescent="0.2">
      <c r="A447" s="2687"/>
      <c r="B447" s="2062" t="s">
        <v>61</v>
      </c>
      <c r="C447" s="2687"/>
      <c r="D447" s="2062" t="s">
        <v>62</v>
      </c>
      <c r="E447" s="368" t="s">
        <v>63</v>
      </c>
      <c r="F447" s="2687"/>
      <c r="G447" s="2687"/>
      <c r="H447" s="2689"/>
      <c r="I447" s="2062" t="s">
        <v>64</v>
      </c>
      <c r="J447" s="379" t="s">
        <v>59</v>
      </c>
      <c r="K447" s="2066" t="s">
        <v>59</v>
      </c>
      <c r="L447" s="2680"/>
      <c r="M447" s="2068"/>
      <c r="N447" s="2068"/>
      <c r="O447" s="382" t="s">
        <v>41</v>
      </c>
      <c r="P447" s="383" t="s">
        <v>65</v>
      </c>
      <c r="Q447" s="384" t="s">
        <v>66</v>
      </c>
      <c r="R447" s="383" t="s">
        <v>67</v>
      </c>
      <c r="S447" s="385" t="s">
        <v>59</v>
      </c>
      <c r="T447" s="387" t="s">
        <v>68</v>
      </c>
      <c r="U447" s="375" t="s">
        <v>14</v>
      </c>
      <c r="V447" s="375" t="s">
        <v>14</v>
      </c>
      <c r="W447" s="376" t="s">
        <v>30</v>
      </c>
      <c r="X447" s="388" t="s">
        <v>69</v>
      </c>
      <c r="Y447" s="388" t="s">
        <v>70</v>
      </c>
      <c r="Z447" s="377" t="s">
        <v>71</v>
      </c>
      <c r="AA447" s="377" t="s">
        <v>72</v>
      </c>
      <c r="AB447" s="378" t="s">
        <v>59</v>
      </c>
      <c r="AC447" s="347" t="s">
        <v>59</v>
      </c>
      <c r="AD447" s="347"/>
      <c r="AE447" s="347"/>
      <c r="AF447" s="340" t="s">
        <v>59</v>
      </c>
    </row>
    <row r="448" spans="1:32" s="597" customFormat="1" ht="14.1" customHeight="1" x14ac:dyDescent="0.2">
      <c r="A448" s="2692"/>
      <c r="B448" s="390"/>
      <c r="C448" s="2692"/>
      <c r="D448" s="390"/>
      <c r="E448" s="2063"/>
      <c r="F448" s="390"/>
      <c r="G448" s="390"/>
      <c r="H448" s="391"/>
      <c r="I448" s="2063"/>
      <c r="J448" s="392"/>
      <c r="K448" s="393"/>
      <c r="L448" s="2681"/>
      <c r="M448" s="2069"/>
      <c r="N448" s="2069"/>
      <c r="O448" s="2069" t="s">
        <v>63</v>
      </c>
      <c r="P448" s="395"/>
      <c r="Q448" s="396" t="s">
        <v>72</v>
      </c>
      <c r="R448" s="397" t="s">
        <v>59</v>
      </c>
      <c r="S448" s="398"/>
      <c r="T448" s="397" t="s">
        <v>73</v>
      </c>
      <c r="U448" s="398" t="s">
        <v>59</v>
      </c>
      <c r="V448" s="399" t="s">
        <v>59</v>
      </c>
      <c r="W448" s="400" t="s">
        <v>59</v>
      </c>
      <c r="X448" s="401" t="s">
        <v>59</v>
      </c>
      <c r="Y448" s="401" t="s">
        <v>59</v>
      </c>
      <c r="Z448" s="401" t="s">
        <v>59</v>
      </c>
      <c r="AA448" s="402"/>
      <c r="AB448" s="403"/>
      <c r="AC448" s="348"/>
      <c r="AD448" s="348"/>
      <c r="AE448" s="348"/>
      <c r="AF448" s="341"/>
    </row>
    <row r="449" spans="1:33" s="597" customFormat="1" ht="18" customHeight="1" x14ac:dyDescent="0.25">
      <c r="A449" s="53">
        <v>1</v>
      </c>
      <c r="B449" s="1387">
        <v>28669</v>
      </c>
      <c r="C449" s="259">
        <v>36</v>
      </c>
      <c r="D449" s="259" t="s">
        <v>83</v>
      </c>
      <c r="E449" s="259">
        <v>4</v>
      </c>
      <c r="F449" s="259">
        <v>0</v>
      </c>
      <c r="G449" s="259">
        <v>1</v>
      </c>
      <c r="H449" s="272">
        <v>5</v>
      </c>
      <c r="I449" s="44">
        <f>F449*400+G449*100+H449</f>
        <v>105</v>
      </c>
      <c r="J449" s="42">
        <v>280</v>
      </c>
      <c r="K449" s="46">
        <f>SUM(I449*J449)</f>
        <v>29400</v>
      </c>
      <c r="L449" s="808"/>
      <c r="M449" s="808"/>
      <c r="N449" s="808"/>
      <c r="O449" s="808"/>
      <c r="P449" s="808"/>
      <c r="Q449" s="996"/>
      <c r="R449" s="771"/>
      <c r="S449" s="67"/>
      <c r="T449" s="997"/>
      <c r="U449" s="67"/>
      <c r="V449" s="67"/>
      <c r="W449" s="67">
        <f>K449+V449+K450+K451</f>
        <v>29400</v>
      </c>
      <c r="X449" s="67">
        <f>W449</f>
        <v>29400</v>
      </c>
      <c r="Y449" s="67">
        <f>V449</f>
        <v>0</v>
      </c>
      <c r="Z449" s="67">
        <f>+X449</f>
        <v>29400</v>
      </c>
      <c r="AA449" s="1023">
        <v>0.6</v>
      </c>
      <c r="AB449" s="465">
        <f>+Z449*AA449/100</f>
        <v>176.4</v>
      </c>
      <c r="AC449" s="602"/>
      <c r="AD449" s="603">
        <f>AB449-AC449</f>
        <v>176.4</v>
      </c>
      <c r="AE449" s="603">
        <f>IF(AD449&lt;=0,0,AD449*25/100)</f>
        <v>44.1</v>
      </c>
      <c r="AF449" s="603">
        <f>IF(AC449+AE449&gt;AB449,AB449,AC449+AE449)</f>
        <v>44.1</v>
      </c>
      <c r="AG449" s="1750" t="s">
        <v>387</v>
      </c>
    </row>
    <row r="450" spans="1:33" s="597" customFormat="1" ht="18" customHeight="1" x14ac:dyDescent="0.2">
      <c r="A450" s="2070"/>
      <c r="B450" s="177"/>
      <c r="C450" s="177"/>
      <c r="D450" s="2070"/>
      <c r="E450" s="2070"/>
      <c r="F450" s="2070"/>
      <c r="G450" s="2070"/>
      <c r="H450" s="2076"/>
      <c r="I450" s="2072"/>
      <c r="J450" s="178"/>
      <c r="K450" s="2072"/>
      <c r="L450" s="2070"/>
      <c r="M450" s="2072"/>
      <c r="N450" s="2072"/>
      <c r="O450" s="2072"/>
      <c r="P450" s="2072"/>
      <c r="Q450" s="2071"/>
      <c r="R450" s="2072"/>
      <c r="S450" s="2072"/>
      <c r="T450" s="2072"/>
      <c r="U450" s="2072"/>
      <c r="V450" s="2072"/>
      <c r="W450" s="2072"/>
      <c r="X450" s="470"/>
      <c r="Y450" s="470"/>
      <c r="Z450" s="471"/>
      <c r="AA450" s="246"/>
      <c r="AB450" s="466"/>
      <c r="AC450" s="602"/>
      <c r="AD450" s="603"/>
      <c r="AE450" s="603"/>
      <c r="AF450" s="603"/>
    </row>
    <row r="451" spans="1:33" s="597" customFormat="1" ht="18" customHeight="1" x14ac:dyDescent="0.2">
      <c r="A451" s="88"/>
      <c r="B451" s="174"/>
      <c r="C451" s="174"/>
      <c r="D451" s="88"/>
      <c r="E451" s="88"/>
      <c r="F451" s="88"/>
      <c r="G451" s="75"/>
      <c r="H451" s="188"/>
      <c r="I451" s="74"/>
      <c r="J451" s="440"/>
      <c r="K451" s="159"/>
      <c r="L451" s="88"/>
      <c r="M451" s="121"/>
      <c r="N451" s="121"/>
      <c r="O451" s="121"/>
      <c r="P451" s="121"/>
      <c r="Q451" s="129"/>
      <c r="R451" s="121"/>
      <c r="S451" s="121"/>
      <c r="T451" s="121"/>
      <c r="U451" s="121"/>
      <c r="V451" s="121"/>
      <c r="W451" s="121"/>
      <c r="X451" s="472"/>
      <c r="Y451" s="472"/>
      <c r="Z451" s="473"/>
      <c r="AA451" s="193"/>
      <c r="AB451" s="410"/>
      <c r="AC451" s="602"/>
      <c r="AD451" s="603"/>
      <c r="AE451" s="603"/>
      <c r="AF451" s="603"/>
    </row>
    <row r="452" spans="1:33" s="597" customFormat="1" ht="18" customHeight="1" x14ac:dyDescent="0.2">
      <c r="A452" s="2070"/>
      <c r="B452" s="177"/>
      <c r="C452" s="177"/>
      <c r="D452" s="2070"/>
      <c r="E452" s="2070"/>
      <c r="F452" s="2070"/>
      <c r="G452" s="2070"/>
      <c r="H452" s="2076"/>
      <c r="I452" s="2072"/>
      <c r="J452" s="178"/>
      <c r="K452" s="2072"/>
      <c r="L452" s="2070"/>
      <c r="M452" s="2070"/>
      <c r="N452" s="2070"/>
      <c r="O452" s="2070"/>
      <c r="P452" s="2076"/>
      <c r="Q452" s="2071"/>
      <c r="R452" s="437"/>
      <c r="S452" s="2072"/>
      <c r="T452" s="179"/>
      <c r="U452" s="178"/>
      <c r="V452" s="2072"/>
      <c r="W452" s="2072"/>
      <c r="X452" s="470"/>
      <c r="Y452" s="470"/>
      <c r="Z452" s="471"/>
      <c r="AA452" s="764"/>
      <c r="AB452" s="466"/>
      <c r="AC452" s="350"/>
      <c r="AD452" s="350"/>
      <c r="AE452" s="350"/>
      <c r="AF452" s="350"/>
    </row>
    <row r="453" spans="1:33" s="597" customFormat="1" ht="18" customHeight="1" x14ac:dyDescent="0.2">
      <c r="A453" s="2070"/>
      <c r="B453" s="177"/>
      <c r="C453" s="177"/>
      <c r="D453" s="2070"/>
      <c r="E453" s="2070"/>
      <c r="F453" s="2070"/>
      <c r="G453" s="2070"/>
      <c r="H453" s="2076"/>
      <c r="I453" s="2072"/>
      <c r="J453" s="178"/>
      <c r="K453" s="2072"/>
      <c r="L453" s="2070"/>
      <c r="M453" s="2070"/>
      <c r="N453" s="2070"/>
      <c r="O453" s="2070"/>
      <c r="P453" s="2076"/>
      <c r="Q453" s="2071"/>
      <c r="R453" s="437"/>
      <c r="S453" s="2072"/>
      <c r="T453" s="179"/>
      <c r="U453" s="178"/>
      <c r="V453" s="2072"/>
      <c r="W453" s="2072"/>
      <c r="X453" s="470"/>
      <c r="Y453" s="470"/>
      <c r="Z453" s="471"/>
      <c r="AA453" s="764"/>
      <c r="AB453" s="466"/>
      <c r="AC453" s="350"/>
      <c r="AD453" s="350"/>
      <c r="AE453" s="350"/>
      <c r="AF453" s="350"/>
    </row>
    <row r="454" spans="1:33" s="597" customFormat="1" ht="18" customHeight="1" x14ac:dyDescent="0.2">
      <c r="A454" s="2070"/>
      <c r="B454" s="177"/>
      <c r="C454" s="177"/>
      <c r="D454" s="2070"/>
      <c r="E454" s="2070"/>
      <c r="F454" s="2070"/>
      <c r="G454" s="2070"/>
      <c r="H454" s="2076"/>
      <c r="I454" s="2072"/>
      <c r="J454" s="178"/>
      <c r="K454" s="2072"/>
      <c r="L454" s="2070"/>
      <c r="M454" s="2070"/>
      <c r="N454" s="2070"/>
      <c r="O454" s="2070"/>
      <c r="P454" s="2076"/>
      <c r="Q454" s="2071"/>
      <c r="R454" s="437"/>
      <c r="S454" s="2072"/>
      <c r="T454" s="179"/>
      <c r="U454" s="178"/>
      <c r="V454" s="2072"/>
      <c r="W454" s="2072"/>
      <c r="X454" s="470"/>
      <c r="Y454" s="470"/>
      <c r="Z454" s="471"/>
      <c r="AA454" s="764"/>
      <c r="AB454" s="466"/>
      <c r="AC454" s="350"/>
      <c r="AD454" s="350"/>
      <c r="AE454" s="350"/>
      <c r="AF454" s="350"/>
    </row>
    <row r="455" spans="1:33" s="597" customFormat="1" ht="18" customHeight="1" x14ac:dyDescent="0.2">
      <c r="A455" s="2070"/>
      <c r="B455" s="177"/>
      <c r="C455" s="177"/>
      <c r="D455" s="2070"/>
      <c r="E455" s="2070"/>
      <c r="F455" s="2070"/>
      <c r="G455" s="2070"/>
      <c r="H455" s="2076"/>
      <c r="I455" s="2072"/>
      <c r="J455" s="178"/>
      <c r="K455" s="2072"/>
      <c r="L455" s="2070"/>
      <c r="M455" s="2070"/>
      <c r="N455" s="2070"/>
      <c r="O455" s="2070"/>
      <c r="P455" s="2076"/>
      <c r="Q455" s="2071"/>
      <c r="R455" s="437"/>
      <c r="S455" s="2072"/>
      <c r="T455" s="179"/>
      <c r="U455" s="178"/>
      <c r="V455" s="2072"/>
      <c r="W455" s="2072"/>
      <c r="X455" s="470"/>
      <c r="Y455" s="470"/>
      <c r="Z455" s="471"/>
      <c r="AA455" s="764"/>
      <c r="AB455" s="466"/>
      <c r="AC455" s="350"/>
      <c r="AD455" s="350"/>
      <c r="AE455" s="350"/>
      <c r="AF455" s="350"/>
    </row>
    <row r="456" spans="1:33" s="597" customFormat="1" ht="18" customHeight="1" x14ac:dyDescent="0.2">
      <c r="A456" s="2070"/>
      <c r="B456" s="177"/>
      <c r="C456" s="177"/>
      <c r="D456" s="2070"/>
      <c r="E456" s="2070"/>
      <c r="F456" s="2070"/>
      <c r="G456" s="2070"/>
      <c r="H456" s="2076"/>
      <c r="I456" s="2072"/>
      <c r="J456" s="178"/>
      <c r="K456" s="2072"/>
      <c r="L456" s="2070"/>
      <c r="M456" s="2070"/>
      <c r="N456" s="2070"/>
      <c r="O456" s="2070"/>
      <c r="P456" s="2076"/>
      <c r="Q456" s="2071"/>
      <c r="R456" s="437"/>
      <c r="S456" s="2072"/>
      <c r="T456" s="179"/>
      <c r="U456" s="178"/>
      <c r="V456" s="2072"/>
      <c r="W456" s="2072"/>
      <c r="X456" s="470"/>
      <c r="Y456" s="470"/>
      <c r="Z456" s="471"/>
      <c r="AA456" s="764"/>
      <c r="AB456" s="466"/>
      <c r="AC456" s="350"/>
      <c r="AD456" s="350"/>
      <c r="AE456" s="350"/>
      <c r="AF456" s="350"/>
    </row>
    <row r="457" spans="1:33" s="597" customFormat="1" ht="18" customHeight="1" x14ac:dyDescent="0.2">
      <c r="A457" s="2070"/>
      <c r="B457" s="177"/>
      <c r="C457" s="177"/>
      <c r="D457" s="2070"/>
      <c r="E457" s="2070"/>
      <c r="F457" s="2070"/>
      <c r="G457" s="2070"/>
      <c r="H457" s="2076"/>
      <c r="I457" s="2072"/>
      <c r="J457" s="178"/>
      <c r="K457" s="2072"/>
      <c r="L457" s="2070"/>
      <c r="M457" s="2070"/>
      <c r="N457" s="2070"/>
      <c r="O457" s="2070"/>
      <c r="P457" s="2076"/>
      <c r="Q457" s="2071"/>
      <c r="R457" s="437"/>
      <c r="S457" s="2072"/>
      <c r="T457" s="179"/>
      <c r="U457" s="178"/>
      <c r="V457" s="2072"/>
      <c r="W457" s="2072"/>
      <c r="X457" s="470"/>
      <c r="Y457" s="470"/>
      <c r="Z457" s="471"/>
      <c r="AA457" s="764"/>
      <c r="AB457" s="466"/>
      <c r="AC457" s="350"/>
      <c r="AD457" s="350"/>
      <c r="AE457" s="350"/>
      <c r="AF457" s="350"/>
    </row>
    <row r="458" spans="1:33" s="597" customFormat="1" ht="18" customHeight="1" x14ac:dyDescent="0.2">
      <c r="A458" s="2070"/>
      <c r="B458" s="177"/>
      <c r="C458" s="177"/>
      <c r="D458" s="2070"/>
      <c r="E458" s="2070"/>
      <c r="F458" s="2070"/>
      <c r="G458" s="2070"/>
      <c r="H458" s="2076"/>
      <c r="I458" s="2072"/>
      <c r="J458" s="178"/>
      <c r="K458" s="2072"/>
      <c r="L458" s="2070"/>
      <c r="M458" s="2070"/>
      <c r="N458" s="2070"/>
      <c r="O458" s="2070"/>
      <c r="P458" s="2076"/>
      <c r="Q458" s="2071"/>
      <c r="R458" s="437"/>
      <c r="S458" s="2072"/>
      <c r="T458" s="179"/>
      <c r="U458" s="178"/>
      <c r="V458" s="2072"/>
      <c r="W458" s="2072"/>
      <c r="X458" s="470"/>
      <c r="Y458" s="470"/>
      <c r="Z458" s="471"/>
      <c r="AA458" s="764"/>
      <c r="AB458" s="466"/>
      <c r="AC458" s="350"/>
      <c r="AD458" s="350"/>
      <c r="AE458" s="350"/>
      <c r="AF458" s="350"/>
    </row>
    <row r="459" spans="1:33" s="597" customFormat="1" ht="18" customHeight="1" x14ac:dyDescent="0.2">
      <c r="A459" s="2070"/>
      <c r="B459" s="177"/>
      <c r="C459" s="177"/>
      <c r="D459" s="2070"/>
      <c r="E459" s="2070"/>
      <c r="F459" s="2070"/>
      <c r="G459" s="2070"/>
      <c r="H459" s="2076"/>
      <c r="I459" s="2072"/>
      <c r="J459" s="178"/>
      <c r="K459" s="2072"/>
      <c r="L459" s="2070"/>
      <c r="M459" s="2070"/>
      <c r="N459" s="2070"/>
      <c r="O459" s="2070"/>
      <c r="P459" s="2076"/>
      <c r="Q459" s="2071"/>
      <c r="R459" s="437"/>
      <c r="S459" s="2072"/>
      <c r="T459" s="179"/>
      <c r="U459" s="178"/>
      <c r="V459" s="2072"/>
      <c r="W459" s="2072"/>
      <c r="X459" s="470"/>
      <c r="Y459" s="470"/>
      <c r="Z459" s="471"/>
      <c r="AA459" s="764"/>
      <c r="AB459" s="466"/>
      <c r="AC459" s="350"/>
      <c r="AD459" s="350"/>
      <c r="AE459" s="350"/>
      <c r="AF459" s="350"/>
    </row>
    <row r="460" spans="1:33" s="597" customFormat="1" ht="18" customHeight="1" x14ac:dyDescent="0.2">
      <c r="A460" s="2070"/>
      <c r="B460" s="177"/>
      <c r="C460" s="177"/>
      <c r="D460" s="2070"/>
      <c r="E460" s="2070"/>
      <c r="F460" s="2070"/>
      <c r="G460" s="2070"/>
      <c r="H460" s="2076"/>
      <c r="I460" s="2072"/>
      <c r="J460" s="178"/>
      <c r="K460" s="2072"/>
      <c r="L460" s="2070"/>
      <c r="M460" s="2070"/>
      <c r="N460" s="2070"/>
      <c r="O460" s="2070"/>
      <c r="P460" s="2076"/>
      <c r="Q460" s="2071"/>
      <c r="R460" s="437"/>
      <c r="S460" s="2072"/>
      <c r="T460" s="179"/>
      <c r="U460" s="178"/>
      <c r="V460" s="2072"/>
      <c r="W460" s="2072"/>
      <c r="X460" s="470"/>
      <c r="Y460" s="470"/>
      <c r="Z460" s="471"/>
      <c r="AA460" s="764"/>
      <c r="AB460" s="466"/>
      <c r="AC460" s="350"/>
      <c r="AD460" s="350"/>
      <c r="AE460" s="350"/>
      <c r="AF460" s="350"/>
    </row>
    <row r="461" spans="1:33" s="597" customFormat="1" ht="18" customHeight="1" x14ac:dyDescent="0.2">
      <c r="A461" s="2070"/>
      <c r="B461" s="177"/>
      <c r="C461" s="177"/>
      <c r="D461" s="2070"/>
      <c r="E461" s="2070"/>
      <c r="F461" s="2070"/>
      <c r="G461" s="2070"/>
      <c r="H461" s="2076"/>
      <c r="I461" s="2072"/>
      <c r="J461" s="178"/>
      <c r="K461" s="2072"/>
      <c r="L461" s="2070"/>
      <c r="M461" s="2070"/>
      <c r="N461" s="2070"/>
      <c r="O461" s="2070"/>
      <c r="P461" s="2076"/>
      <c r="Q461" s="2071"/>
      <c r="R461" s="437"/>
      <c r="S461" s="2072"/>
      <c r="T461" s="179"/>
      <c r="U461" s="178"/>
      <c r="V461" s="2072"/>
      <c r="W461" s="2072"/>
      <c r="X461" s="470"/>
      <c r="Y461" s="470"/>
      <c r="Z461" s="471"/>
      <c r="AA461" s="764"/>
      <c r="AB461" s="466"/>
      <c r="AC461" s="350"/>
      <c r="AD461" s="350"/>
      <c r="AE461" s="350"/>
      <c r="AF461" s="350"/>
    </row>
    <row r="462" spans="1:33" s="597" customFormat="1" ht="18" customHeight="1" x14ac:dyDescent="0.2">
      <c r="A462" s="88"/>
      <c r="B462" s="180"/>
      <c r="C462" s="180"/>
      <c r="D462" s="88"/>
      <c r="E462" s="88"/>
      <c r="F462" s="88"/>
      <c r="G462" s="88"/>
      <c r="H462" s="120"/>
      <c r="I462" s="121"/>
      <c r="J462" s="181"/>
      <c r="K462" s="121"/>
      <c r="L462" s="88"/>
      <c r="M462" s="88"/>
      <c r="N462" s="88"/>
      <c r="O462" s="88"/>
      <c r="P462" s="88"/>
      <c r="Q462" s="129"/>
      <c r="R462" s="445"/>
      <c r="S462" s="121"/>
      <c r="T462" s="182"/>
      <c r="U462" s="181"/>
      <c r="V462" s="121"/>
      <c r="W462" s="121"/>
      <c r="X462" s="472"/>
      <c r="Y462" s="472"/>
      <c r="Z462" s="473"/>
      <c r="AA462" s="780"/>
      <c r="AB462" s="410"/>
      <c r="AC462" s="351"/>
      <c r="AD462" s="351"/>
      <c r="AE462" s="351"/>
      <c r="AF462" s="351"/>
    </row>
    <row r="463" spans="1:33" s="597" customFormat="1" ht="18" customHeight="1" x14ac:dyDescent="0.2">
      <c r="A463" s="1850"/>
      <c r="B463" s="1850"/>
      <c r="C463" s="1850"/>
      <c r="D463" s="1850"/>
      <c r="E463" s="1850"/>
      <c r="F463" s="1850"/>
      <c r="G463" s="1850"/>
      <c r="H463" s="1851"/>
      <c r="I463" s="1852"/>
      <c r="J463" s="1853"/>
      <c r="K463" s="1852"/>
      <c r="L463" s="1852"/>
      <c r="M463" s="1852"/>
      <c r="N463" s="1852"/>
      <c r="O463" s="1852"/>
      <c r="P463" s="1852"/>
      <c r="Q463" s="1852"/>
      <c r="R463" s="1854"/>
      <c r="S463" s="1852"/>
      <c r="T463" s="1855"/>
      <c r="U463" s="1853"/>
      <c r="V463" s="1852"/>
      <c r="W463" s="1852"/>
      <c r="X463" s="1856"/>
      <c r="Y463" s="1856"/>
      <c r="Z463" s="1857"/>
      <c r="AA463" s="2125"/>
      <c r="AB463" s="1847">
        <f>SUM(AB449:AB462)</f>
        <v>176.4</v>
      </c>
      <c r="AC463" s="1861"/>
      <c r="AD463" s="1861"/>
      <c r="AE463" s="1861"/>
      <c r="AF463" s="1861"/>
    </row>
    <row r="464" spans="1:33" s="597" customFormat="1" ht="14.1" customHeight="1" x14ac:dyDescent="0.2">
      <c r="A464" s="2690" t="s">
        <v>76</v>
      </c>
      <c r="B464" s="2690"/>
      <c r="C464" s="2691" t="s">
        <v>77</v>
      </c>
      <c r="D464" s="2691"/>
      <c r="E464" s="2691"/>
      <c r="F464" s="2691"/>
      <c r="G464" s="2691"/>
      <c r="H464" s="2691"/>
      <c r="I464" s="604" t="s">
        <v>78</v>
      </c>
      <c r="J464" s="604"/>
      <c r="K464" s="604"/>
      <c r="L464" s="604"/>
      <c r="M464" s="604"/>
      <c r="N464" s="604"/>
      <c r="AA464" s="767"/>
      <c r="AB464" s="598"/>
    </row>
    <row r="465" spans="1:33" s="597" customFormat="1" ht="14.1" customHeight="1" x14ac:dyDescent="0.2">
      <c r="A465" s="604"/>
      <c r="B465" s="605"/>
      <c r="C465" s="604"/>
      <c r="D465" s="604"/>
      <c r="E465" s="604"/>
      <c r="F465" s="604"/>
      <c r="G465" s="604"/>
      <c r="H465" s="604"/>
      <c r="I465" s="604" t="s">
        <v>79</v>
      </c>
      <c r="J465" s="604"/>
      <c r="K465" s="604"/>
      <c r="L465" s="604"/>
      <c r="M465" s="604"/>
      <c r="N465" s="604"/>
      <c r="AA465" s="767"/>
      <c r="AB465" s="598"/>
    </row>
    <row r="466" spans="1:33" s="597" customFormat="1" ht="14.1" customHeight="1" x14ac:dyDescent="0.2">
      <c r="A466" s="604"/>
      <c r="B466" s="605"/>
      <c r="C466" s="604"/>
      <c r="D466" s="604"/>
      <c r="E466" s="604"/>
      <c r="F466" s="604"/>
      <c r="G466" s="604"/>
      <c r="H466" s="604"/>
      <c r="I466" s="604" t="s">
        <v>80</v>
      </c>
      <c r="J466" s="604"/>
      <c r="K466" s="604"/>
      <c r="L466" s="604"/>
      <c r="M466" s="604"/>
      <c r="N466" s="604"/>
      <c r="AA466" s="767"/>
      <c r="AB466" s="598"/>
    </row>
    <row r="467" spans="1:33" s="597" customFormat="1" ht="14.1" customHeight="1" x14ac:dyDescent="0.2">
      <c r="A467" s="604"/>
      <c r="B467" s="605"/>
      <c r="C467" s="604"/>
      <c r="D467" s="604"/>
      <c r="E467" s="604"/>
      <c r="F467" s="604"/>
      <c r="G467" s="604"/>
      <c r="H467" s="604"/>
      <c r="I467" s="604" t="s">
        <v>81</v>
      </c>
      <c r="J467" s="604"/>
      <c r="K467" s="604"/>
      <c r="L467" s="604"/>
      <c r="M467" s="604"/>
      <c r="N467" s="604"/>
      <c r="AA467" s="767"/>
      <c r="AB467" s="598"/>
    </row>
    <row r="468" spans="1:33" s="597" customFormat="1" ht="14.1" customHeight="1" x14ac:dyDescent="0.2">
      <c r="A468" s="604"/>
      <c r="B468" s="605"/>
      <c r="C468" s="604"/>
      <c r="D468" s="604"/>
      <c r="E468" s="604"/>
      <c r="F468" s="604"/>
      <c r="G468" s="604"/>
      <c r="H468" s="604"/>
      <c r="I468" s="604" t="s">
        <v>88</v>
      </c>
      <c r="J468" s="604"/>
      <c r="K468" s="604"/>
      <c r="L468" s="604"/>
      <c r="M468" s="604"/>
      <c r="N468" s="604"/>
      <c r="AA468" s="767"/>
      <c r="AB468" s="598"/>
    </row>
    <row r="469" spans="1:33" s="597" customFormat="1" ht="18" customHeight="1" x14ac:dyDescent="0.2">
      <c r="A469" s="339"/>
      <c r="B469" s="339"/>
      <c r="C469" s="339"/>
      <c r="D469" s="339"/>
      <c r="E469" s="339"/>
      <c r="F469" s="339"/>
      <c r="G469" s="339"/>
      <c r="H469" s="339"/>
      <c r="I469" s="339"/>
      <c r="J469" s="339"/>
      <c r="K469" s="339"/>
      <c r="L469" s="339"/>
      <c r="M469" s="339"/>
      <c r="N469" s="339"/>
      <c r="O469" s="339"/>
      <c r="P469" s="339"/>
      <c r="Q469" s="339"/>
      <c r="R469" s="339"/>
      <c r="S469" s="339"/>
      <c r="T469" s="339"/>
      <c r="U469" s="339"/>
      <c r="V469" s="339"/>
      <c r="W469" s="339"/>
      <c r="X469" s="339"/>
      <c r="Y469" s="339"/>
      <c r="Z469" s="339"/>
      <c r="AA469" s="2702" t="s">
        <v>0</v>
      </c>
      <c r="AB469" s="2702"/>
      <c r="AC469" s="339"/>
      <c r="AD469" s="339"/>
      <c r="AE469" s="339"/>
      <c r="AF469" s="339"/>
    </row>
    <row r="470" spans="1:33" s="597" customFormat="1" ht="18" customHeight="1" x14ac:dyDescent="0.2">
      <c r="A470" s="2703" t="s">
        <v>1</v>
      </c>
      <c r="B470" s="2703"/>
      <c r="C470" s="2703"/>
      <c r="D470" s="2703"/>
      <c r="E470" s="2703"/>
      <c r="F470" s="2703"/>
      <c r="G470" s="2703"/>
      <c r="H470" s="2703"/>
      <c r="I470" s="2703"/>
      <c r="J470" s="2703"/>
      <c r="K470" s="2703"/>
      <c r="L470" s="2703"/>
      <c r="M470" s="2703"/>
      <c r="N470" s="2703"/>
      <c r="O470" s="2703"/>
      <c r="P470" s="2703"/>
      <c r="Q470" s="2703"/>
      <c r="R470" s="2703"/>
      <c r="S470" s="2703"/>
      <c r="T470" s="2703"/>
      <c r="U470" s="2703"/>
      <c r="V470" s="2703"/>
      <c r="W470" s="2703"/>
      <c r="X470" s="2703"/>
      <c r="Y470" s="2703"/>
      <c r="Z470" s="2703"/>
      <c r="AA470" s="2703"/>
      <c r="AB470" s="2703"/>
      <c r="AC470" s="344"/>
      <c r="AD470" s="344"/>
      <c r="AE470" s="344"/>
      <c r="AF470" s="344"/>
    </row>
    <row r="471" spans="1:33" s="597" customFormat="1" ht="18" customHeight="1" x14ac:dyDescent="0.2">
      <c r="A471" s="2704" t="s">
        <v>556</v>
      </c>
      <c r="B471" s="2704"/>
      <c r="C471" s="2704"/>
      <c r="D471" s="2704"/>
      <c r="E471" s="2704"/>
      <c r="F471" s="2704"/>
      <c r="G471" s="2704"/>
      <c r="H471" s="2704"/>
      <c r="I471" s="2704"/>
      <c r="J471" s="2704"/>
      <c r="K471" s="2704"/>
      <c r="L471" s="2704"/>
      <c r="M471" s="2704"/>
      <c r="N471" s="2704"/>
      <c r="O471" s="2704"/>
      <c r="P471" s="2704"/>
      <c r="Q471" s="2704"/>
      <c r="R471" s="2704"/>
      <c r="S471" s="2704"/>
      <c r="T471" s="2704"/>
      <c r="U471" s="2704"/>
      <c r="V471" s="2704"/>
      <c r="W471" s="2704"/>
      <c r="X471" s="2704"/>
      <c r="Y471" s="2704"/>
      <c r="Z471" s="2704"/>
      <c r="AA471" s="2704"/>
      <c r="AB471" s="2704"/>
      <c r="AC471" s="599"/>
      <c r="AD471" s="599"/>
      <c r="AE471" s="599"/>
      <c r="AF471" s="599"/>
    </row>
    <row r="472" spans="1:33" s="597" customFormat="1" ht="14.1" customHeight="1" x14ac:dyDescent="0.2">
      <c r="A472" s="2686" t="s">
        <v>2</v>
      </c>
      <c r="B472" s="360"/>
      <c r="C472" s="2686" t="s">
        <v>3</v>
      </c>
      <c r="D472" s="360"/>
      <c r="E472" s="360"/>
      <c r="F472" s="2732" t="s">
        <v>4</v>
      </c>
      <c r="G472" s="2693"/>
      <c r="H472" s="2693"/>
      <c r="I472" s="2693"/>
      <c r="J472" s="2693"/>
      <c r="K472" s="2733"/>
      <c r="L472" s="361"/>
      <c r="M472" s="2696" t="s">
        <v>5</v>
      </c>
      <c r="N472" s="2696"/>
      <c r="O472" s="2696"/>
      <c r="P472" s="2696"/>
      <c r="Q472" s="2696"/>
      <c r="R472" s="2696"/>
      <c r="S472" s="2696"/>
      <c r="T472" s="2696"/>
      <c r="U472" s="2696"/>
      <c r="V472" s="2697"/>
      <c r="W472" s="362" t="s">
        <v>6</v>
      </c>
      <c r="X472" s="363" t="s">
        <v>7</v>
      </c>
      <c r="Y472" s="364"/>
      <c r="Z472" s="364"/>
      <c r="AA472" s="363"/>
      <c r="AB472" s="365"/>
      <c r="AC472" s="516" t="s">
        <v>8</v>
      </c>
      <c r="AD472" s="346"/>
      <c r="AE472" s="346"/>
      <c r="AF472" s="600"/>
    </row>
    <row r="473" spans="1:33" s="597" customFormat="1" ht="14.1" customHeight="1" x14ac:dyDescent="0.2">
      <c r="A473" s="2687"/>
      <c r="B473" s="367"/>
      <c r="C473" s="2687"/>
      <c r="D473" s="2062" t="s">
        <v>9</v>
      </c>
      <c r="E473" s="368" t="s">
        <v>10</v>
      </c>
      <c r="F473" s="2698" t="s">
        <v>11</v>
      </c>
      <c r="G473" s="2694"/>
      <c r="H473" s="2695"/>
      <c r="I473" s="360"/>
      <c r="J473" s="369" t="s">
        <v>12</v>
      </c>
      <c r="K473" s="360"/>
      <c r="L473" s="2734" t="s">
        <v>2</v>
      </c>
      <c r="M473" s="2067"/>
      <c r="N473" s="2067"/>
      <c r="O473" s="2067"/>
      <c r="P473" s="371"/>
      <c r="Q473" s="372" t="s">
        <v>13</v>
      </c>
      <c r="R473" s="373" t="s">
        <v>12</v>
      </c>
      <c r="S473" s="2067" t="s">
        <v>6</v>
      </c>
      <c r="T473" s="2682" t="s">
        <v>14</v>
      </c>
      <c r="U473" s="2683"/>
      <c r="V473" s="375" t="s">
        <v>7</v>
      </c>
      <c r="W473" s="376" t="s">
        <v>15</v>
      </c>
      <c r="X473" s="377" t="s">
        <v>16</v>
      </c>
      <c r="Y473" s="377" t="s">
        <v>17</v>
      </c>
      <c r="Z473" s="377" t="s">
        <v>18</v>
      </c>
      <c r="AA473" s="377"/>
      <c r="AB473" s="378" t="s">
        <v>19</v>
      </c>
      <c r="AC473" s="528" t="s">
        <v>20</v>
      </c>
      <c r="AD473" s="601"/>
      <c r="AE473" s="347" t="s">
        <v>21</v>
      </c>
      <c r="AF473" s="340" t="s">
        <v>22</v>
      </c>
    </row>
    <row r="474" spans="1:33" s="597" customFormat="1" ht="14.1" customHeight="1" x14ac:dyDescent="0.2">
      <c r="A474" s="2687"/>
      <c r="B474" s="2062" t="s">
        <v>23</v>
      </c>
      <c r="C474" s="2687"/>
      <c r="D474" s="2062" t="s">
        <v>24</v>
      </c>
      <c r="E474" s="368" t="s">
        <v>25</v>
      </c>
      <c r="F474" s="2699"/>
      <c r="G474" s="2700"/>
      <c r="H474" s="2701"/>
      <c r="I474" s="2062" t="s">
        <v>26</v>
      </c>
      <c r="J474" s="379" t="s">
        <v>15</v>
      </c>
      <c r="K474" s="2066" t="s">
        <v>6</v>
      </c>
      <c r="L474" s="2735"/>
      <c r="M474" s="2068" t="s">
        <v>27</v>
      </c>
      <c r="N474" s="2068" t="s">
        <v>10</v>
      </c>
      <c r="O474" s="382" t="s">
        <v>10</v>
      </c>
      <c r="P474" s="383" t="s">
        <v>28</v>
      </c>
      <c r="Q474" s="384" t="s">
        <v>29</v>
      </c>
      <c r="R474" s="383" t="s">
        <v>15</v>
      </c>
      <c r="S474" s="385" t="s">
        <v>15</v>
      </c>
      <c r="T474" s="2684"/>
      <c r="U474" s="2685"/>
      <c r="V474" s="375" t="s">
        <v>30</v>
      </c>
      <c r="W474" s="376" t="s">
        <v>31</v>
      </c>
      <c r="X474" s="377" t="s">
        <v>30</v>
      </c>
      <c r="Y474" s="377" t="s">
        <v>32</v>
      </c>
      <c r="Z474" s="377" t="s">
        <v>7</v>
      </c>
      <c r="AA474" s="377" t="s">
        <v>33</v>
      </c>
      <c r="AB474" s="378" t="s">
        <v>34</v>
      </c>
      <c r="AC474" s="528" t="s">
        <v>35</v>
      </c>
      <c r="AD474" s="347" t="s">
        <v>36</v>
      </c>
      <c r="AE474" s="347" t="s">
        <v>37</v>
      </c>
      <c r="AF474" s="340" t="s">
        <v>38</v>
      </c>
    </row>
    <row r="475" spans="1:33" s="597" customFormat="1" ht="14.1" customHeight="1" x14ac:dyDescent="0.2">
      <c r="A475" s="2687"/>
      <c r="B475" s="2062" t="s">
        <v>39</v>
      </c>
      <c r="C475" s="2687"/>
      <c r="D475" s="2062" t="s">
        <v>40</v>
      </c>
      <c r="E475" s="368" t="s">
        <v>41</v>
      </c>
      <c r="F475" s="2686" t="s">
        <v>42</v>
      </c>
      <c r="G475" s="2686" t="s">
        <v>43</v>
      </c>
      <c r="H475" s="2688" t="s">
        <v>44</v>
      </c>
      <c r="I475" s="2062" t="s">
        <v>45</v>
      </c>
      <c r="J475" s="379" t="s">
        <v>46</v>
      </c>
      <c r="K475" s="2066" t="s">
        <v>47</v>
      </c>
      <c r="L475" s="2735"/>
      <c r="M475" s="2068" t="s">
        <v>30</v>
      </c>
      <c r="N475" s="2068" t="s">
        <v>30</v>
      </c>
      <c r="O475" s="382" t="s">
        <v>25</v>
      </c>
      <c r="P475" s="383" t="s">
        <v>30</v>
      </c>
      <c r="Q475" s="384" t="s">
        <v>48</v>
      </c>
      <c r="R475" s="383" t="s">
        <v>49</v>
      </c>
      <c r="S475" s="385" t="s">
        <v>30</v>
      </c>
      <c r="T475" s="386" t="s">
        <v>50</v>
      </c>
      <c r="U475" s="2065" t="s">
        <v>13</v>
      </c>
      <c r="V475" s="375" t="s">
        <v>51</v>
      </c>
      <c r="W475" s="376" t="s">
        <v>52</v>
      </c>
      <c r="X475" s="377" t="s">
        <v>53</v>
      </c>
      <c r="Y475" s="377" t="s">
        <v>54</v>
      </c>
      <c r="Z475" s="377" t="s">
        <v>55</v>
      </c>
      <c r="AA475" s="377" t="s">
        <v>56</v>
      </c>
      <c r="AB475" s="378" t="s">
        <v>57</v>
      </c>
      <c r="AC475" s="347" t="s">
        <v>58</v>
      </c>
      <c r="AD475" s="347" t="s">
        <v>59</v>
      </c>
      <c r="AE475" s="347" t="s">
        <v>59</v>
      </c>
      <c r="AF475" s="340" t="s">
        <v>60</v>
      </c>
    </row>
    <row r="476" spans="1:33" s="597" customFormat="1" ht="14.1" customHeight="1" x14ac:dyDescent="0.2">
      <c r="A476" s="2687"/>
      <c r="B476" s="2062" t="s">
        <v>61</v>
      </c>
      <c r="C476" s="2687"/>
      <c r="D476" s="2062" t="s">
        <v>62</v>
      </c>
      <c r="E476" s="368" t="s">
        <v>63</v>
      </c>
      <c r="F476" s="2687"/>
      <c r="G476" s="2687"/>
      <c r="H476" s="2689"/>
      <c r="I476" s="2062" t="s">
        <v>64</v>
      </c>
      <c r="J476" s="379" t="s">
        <v>59</v>
      </c>
      <c r="K476" s="2066" t="s">
        <v>59</v>
      </c>
      <c r="L476" s="2735"/>
      <c r="M476" s="2068"/>
      <c r="N476" s="2068"/>
      <c r="O476" s="382" t="s">
        <v>41</v>
      </c>
      <c r="P476" s="383" t="s">
        <v>65</v>
      </c>
      <c r="Q476" s="384" t="s">
        <v>66</v>
      </c>
      <c r="R476" s="383" t="s">
        <v>67</v>
      </c>
      <c r="S476" s="385" t="s">
        <v>59</v>
      </c>
      <c r="T476" s="387" t="s">
        <v>68</v>
      </c>
      <c r="U476" s="375" t="s">
        <v>14</v>
      </c>
      <c r="V476" s="375" t="s">
        <v>14</v>
      </c>
      <c r="W476" s="376" t="s">
        <v>30</v>
      </c>
      <c r="X476" s="388" t="s">
        <v>69</v>
      </c>
      <c r="Y476" s="388" t="s">
        <v>70</v>
      </c>
      <c r="Z476" s="377" t="s">
        <v>71</v>
      </c>
      <c r="AA476" s="377" t="s">
        <v>72</v>
      </c>
      <c r="AB476" s="378" t="s">
        <v>59</v>
      </c>
      <c r="AC476" s="347" t="s">
        <v>59</v>
      </c>
      <c r="AD476" s="347"/>
      <c r="AE476" s="347"/>
      <c r="AF476" s="340" t="s">
        <v>59</v>
      </c>
    </row>
    <row r="477" spans="1:33" s="597" customFormat="1" ht="14.1" customHeight="1" x14ac:dyDescent="0.2">
      <c r="A477" s="2692"/>
      <c r="B477" s="390"/>
      <c r="C477" s="2692"/>
      <c r="D477" s="390"/>
      <c r="E477" s="2063"/>
      <c r="F477" s="390"/>
      <c r="G477" s="390"/>
      <c r="H477" s="391"/>
      <c r="I477" s="2063"/>
      <c r="J477" s="392"/>
      <c r="K477" s="393"/>
      <c r="L477" s="2736"/>
      <c r="M477" s="2069"/>
      <c r="N477" s="2069"/>
      <c r="O477" s="2069" t="s">
        <v>63</v>
      </c>
      <c r="P477" s="395"/>
      <c r="Q477" s="396" t="s">
        <v>72</v>
      </c>
      <c r="R477" s="397" t="s">
        <v>59</v>
      </c>
      <c r="S477" s="398"/>
      <c r="T477" s="397" t="s">
        <v>73</v>
      </c>
      <c r="U477" s="398" t="s">
        <v>59</v>
      </c>
      <c r="V477" s="399" t="s">
        <v>59</v>
      </c>
      <c r="W477" s="400" t="s">
        <v>59</v>
      </c>
      <c r="X477" s="401" t="s">
        <v>59</v>
      </c>
      <c r="Y477" s="401" t="s">
        <v>59</v>
      </c>
      <c r="Z477" s="401" t="s">
        <v>59</v>
      </c>
      <c r="AA477" s="402"/>
      <c r="AB477" s="403"/>
      <c r="AC477" s="348"/>
      <c r="AD477" s="348"/>
      <c r="AE477" s="348"/>
      <c r="AF477" s="341"/>
    </row>
    <row r="478" spans="1:33" s="597" customFormat="1" ht="18" customHeight="1" x14ac:dyDescent="0.25">
      <c r="A478" s="53">
        <v>1</v>
      </c>
      <c r="B478" s="333">
        <v>29831</v>
      </c>
      <c r="C478" s="41">
        <v>55</v>
      </c>
      <c r="D478" s="41" t="s">
        <v>83</v>
      </c>
      <c r="E478" s="41">
        <v>4</v>
      </c>
      <c r="F478" s="41">
        <v>0</v>
      </c>
      <c r="G478" s="41">
        <v>1</v>
      </c>
      <c r="H478" s="267">
        <v>36</v>
      </c>
      <c r="I478" s="44">
        <f>F478*400+G478*100+H478</f>
        <v>136</v>
      </c>
      <c r="J478" s="42">
        <v>280</v>
      </c>
      <c r="K478" s="46">
        <f>SUM(I478*J478)</f>
        <v>38080</v>
      </c>
      <c r="L478" s="808"/>
      <c r="M478" s="808"/>
      <c r="N478" s="808"/>
      <c r="O478" s="808"/>
      <c r="P478" s="808"/>
      <c r="Q478" s="996"/>
      <c r="R478" s="771"/>
      <c r="S478" s="67"/>
      <c r="T478" s="997"/>
      <c r="U478" s="67"/>
      <c r="V478" s="67"/>
      <c r="W478" s="67">
        <f>K478+V478</f>
        <v>38080</v>
      </c>
      <c r="X478" s="67">
        <f>W478</f>
        <v>38080</v>
      </c>
      <c r="Y478" s="67">
        <f>V478</f>
        <v>0</v>
      </c>
      <c r="Z478" s="67">
        <f>+X478</f>
        <v>38080</v>
      </c>
      <c r="AA478" s="1023">
        <v>0.6</v>
      </c>
      <c r="AB478" s="406">
        <f>+Z478*AA478/100</f>
        <v>228.48</v>
      </c>
      <c r="AC478" s="602"/>
      <c r="AD478" s="603">
        <f>AB478-AC478</f>
        <v>228.48</v>
      </c>
      <c r="AE478" s="603">
        <f>IF(AD478&lt;=0,0,AD478*25/100)</f>
        <v>57.12</v>
      </c>
      <c r="AF478" s="603">
        <f>IF(AC478+AE478&gt;AB478,AB478,AC478+AE478)</f>
        <v>57.12</v>
      </c>
      <c r="AG478" s="1750" t="s">
        <v>387</v>
      </c>
    </row>
    <row r="479" spans="1:33" s="597" customFormat="1" ht="18" customHeight="1" x14ac:dyDescent="0.25">
      <c r="A479" s="88">
        <v>2</v>
      </c>
      <c r="B479" s="289">
        <v>29832</v>
      </c>
      <c r="C479" s="270">
        <v>56</v>
      </c>
      <c r="D479" s="270" t="s">
        <v>83</v>
      </c>
      <c r="E479" s="270">
        <v>4</v>
      </c>
      <c r="F479" s="270">
        <v>0</v>
      </c>
      <c r="G479" s="270">
        <v>1</v>
      </c>
      <c r="H479" s="652">
        <v>56</v>
      </c>
      <c r="I479" s="47">
        <f>F479*400+G479*100+H479</f>
        <v>156</v>
      </c>
      <c r="J479" s="30">
        <v>280</v>
      </c>
      <c r="K479" s="48">
        <f>SUM(I479*J479)</f>
        <v>43680</v>
      </c>
      <c r="L479" s="72"/>
      <c r="M479" s="72"/>
      <c r="N479" s="72"/>
      <c r="O479" s="72"/>
      <c r="P479" s="72"/>
      <c r="Q479" s="1024"/>
      <c r="R479" s="446"/>
      <c r="S479" s="73"/>
      <c r="T479" s="1025"/>
      <c r="U479" s="73"/>
      <c r="V479" s="73"/>
      <c r="W479" s="73">
        <f>K479+V479</f>
        <v>43680</v>
      </c>
      <c r="X479" s="73">
        <f>W479</f>
        <v>43680</v>
      </c>
      <c r="Y479" s="73">
        <f>V479</f>
        <v>0</v>
      </c>
      <c r="Z479" s="73">
        <f>+X479</f>
        <v>43680</v>
      </c>
      <c r="AA479" s="1026">
        <v>0.6</v>
      </c>
      <c r="AB479" s="415">
        <f>+Z479*AA479/100</f>
        <v>262.08</v>
      </c>
      <c r="AC479" s="350"/>
      <c r="AD479" s="350"/>
      <c r="AE479" s="350"/>
      <c r="AF479" s="350"/>
    </row>
    <row r="480" spans="1:33" s="597" customFormat="1" ht="18" customHeight="1" x14ac:dyDescent="0.2">
      <c r="A480" s="2070"/>
      <c r="B480" s="177"/>
      <c r="C480" s="177"/>
      <c r="D480" s="2070"/>
      <c r="E480" s="2070"/>
      <c r="F480" s="2070"/>
      <c r="G480" s="2070"/>
      <c r="H480" s="2076"/>
      <c r="I480" s="2072"/>
      <c r="J480" s="178"/>
      <c r="K480" s="2072"/>
      <c r="L480" s="2070"/>
      <c r="M480" s="2070"/>
      <c r="N480" s="2070"/>
      <c r="O480" s="2070"/>
      <c r="P480" s="2076"/>
      <c r="Q480" s="2071"/>
      <c r="R480" s="437"/>
      <c r="S480" s="2072"/>
      <c r="T480" s="179"/>
      <c r="U480" s="178"/>
      <c r="V480" s="2072"/>
      <c r="W480" s="2072"/>
      <c r="X480" s="470"/>
      <c r="Y480" s="470"/>
      <c r="Z480" s="471"/>
      <c r="AA480" s="764"/>
      <c r="AB480" s="466"/>
      <c r="AC480" s="350"/>
      <c r="AD480" s="350"/>
      <c r="AE480" s="350"/>
      <c r="AF480" s="350"/>
    </row>
    <row r="481" spans="1:32" s="597" customFormat="1" ht="18" customHeight="1" x14ac:dyDescent="0.2">
      <c r="A481" s="2070"/>
      <c r="B481" s="177"/>
      <c r="C481" s="177"/>
      <c r="D481" s="2070"/>
      <c r="E481" s="2070"/>
      <c r="F481" s="2070"/>
      <c r="G481" s="2070"/>
      <c r="H481" s="2076"/>
      <c r="I481" s="2072"/>
      <c r="J481" s="178"/>
      <c r="K481" s="2072"/>
      <c r="L481" s="2070"/>
      <c r="M481" s="2070"/>
      <c r="N481" s="2070"/>
      <c r="O481" s="2070"/>
      <c r="P481" s="2076"/>
      <c r="Q481" s="2071"/>
      <c r="R481" s="437"/>
      <c r="S481" s="2072"/>
      <c r="T481" s="179"/>
      <c r="U481" s="178"/>
      <c r="V481" s="2072"/>
      <c r="W481" s="2072"/>
      <c r="X481" s="470"/>
      <c r="Y481" s="470"/>
      <c r="Z481" s="471"/>
      <c r="AA481" s="764"/>
      <c r="AB481" s="466"/>
      <c r="AC481" s="350"/>
      <c r="AD481" s="350"/>
      <c r="AE481" s="350"/>
      <c r="AF481" s="350"/>
    </row>
    <row r="482" spans="1:32" s="597" customFormat="1" ht="18" customHeight="1" x14ac:dyDescent="0.2">
      <c r="A482" s="2070"/>
      <c r="B482" s="177"/>
      <c r="C482" s="177"/>
      <c r="D482" s="2070"/>
      <c r="E482" s="2070"/>
      <c r="F482" s="2070"/>
      <c r="G482" s="2070"/>
      <c r="H482" s="2076"/>
      <c r="I482" s="2072"/>
      <c r="J482" s="178"/>
      <c r="K482" s="2072"/>
      <c r="L482" s="2070"/>
      <c r="M482" s="2070"/>
      <c r="N482" s="2070"/>
      <c r="O482" s="2070"/>
      <c r="P482" s="2076"/>
      <c r="Q482" s="2071"/>
      <c r="R482" s="437"/>
      <c r="S482" s="2072"/>
      <c r="T482" s="179"/>
      <c r="U482" s="178"/>
      <c r="V482" s="2072"/>
      <c r="W482" s="2072"/>
      <c r="X482" s="470"/>
      <c r="Y482" s="470"/>
      <c r="Z482" s="471"/>
      <c r="AA482" s="764"/>
      <c r="AB482" s="466"/>
      <c r="AC482" s="350"/>
      <c r="AD482" s="350"/>
      <c r="AE482" s="350"/>
      <c r="AF482" s="350"/>
    </row>
    <row r="483" spans="1:32" s="597" customFormat="1" ht="18" customHeight="1" x14ac:dyDescent="0.2">
      <c r="A483" s="2070"/>
      <c r="B483" s="177"/>
      <c r="C483" s="177"/>
      <c r="D483" s="2070"/>
      <c r="E483" s="2070"/>
      <c r="F483" s="2070"/>
      <c r="G483" s="2070"/>
      <c r="H483" s="2076"/>
      <c r="I483" s="2072"/>
      <c r="J483" s="178"/>
      <c r="K483" s="2072"/>
      <c r="L483" s="2070"/>
      <c r="M483" s="2070"/>
      <c r="N483" s="2070"/>
      <c r="O483" s="2070"/>
      <c r="P483" s="2076"/>
      <c r="Q483" s="2071"/>
      <c r="R483" s="437"/>
      <c r="S483" s="2072"/>
      <c r="T483" s="179"/>
      <c r="U483" s="178"/>
      <c r="V483" s="2072"/>
      <c r="W483" s="2072"/>
      <c r="X483" s="470"/>
      <c r="Y483" s="470"/>
      <c r="Z483" s="471"/>
      <c r="AA483" s="764"/>
      <c r="AB483" s="466"/>
      <c r="AC483" s="350"/>
      <c r="AD483" s="350"/>
      <c r="AE483" s="350"/>
      <c r="AF483" s="350"/>
    </row>
    <row r="484" spans="1:32" s="597" customFormat="1" ht="18" customHeight="1" x14ac:dyDescent="0.2">
      <c r="A484" s="2070"/>
      <c r="B484" s="177"/>
      <c r="C484" s="177"/>
      <c r="D484" s="2070"/>
      <c r="E484" s="2070"/>
      <c r="F484" s="2070"/>
      <c r="G484" s="2070"/>
      <c r="H484" s="2076"/>
      <c r="I484" s="2072"/>
      <c r="J484" s="178"/>
      <c r="K484" s="2072"/>
      <c r="L484" s="2070"/>
      <c r="M484" s="2070"/>
      <c r="N484" s="2070"/>
      <c r="O484" s="2070"/>
      <c r="P484" s="2076"/>
      <c r="Q484" s="2071"/>
      <c r="R484" s="437"/>
      <c r="S484" s="2072"/>
      <c r="T484" s="179"/>
      <c r="U484" s="178"/>
      <c r="V484" s="2072"/>
      <c r="W484" s="2072"/>
      <c r="X484" s="470"/>
      <c r="Y484" s="470"/>
      <c r="Z484" s="471"/>
      <c r="AA484" s="764"/>
      <c r="AB484" s="466"/>
      <c r="AC484" s="350"/>
      <c r="AD484" s="350"/>
      <c r="AE484" s="350"/>
      <c r="AF484" s="350"/>
    </row>
    <row r="485" spans="1:32" s="597" customFormat="1" ht="18" customHeight="1" x14ac:dyDescent="0.2">
      <c r="A485" s="2070"/>
      <c r="B485" s="177"/>
      <c r="C485" s="177"/>
      <c r="D485" s="2070"/>
      <c r="E485" s="2070"/>
      <c r="F485" s="2070"/>
      <c r="G485" s="2070"/>
      <c r="H485" s="2076"/>
      <c r="I485" s="2072"/>
      <c r="J485" s="178"/>
      <c r="K485" s="2072"/>
      <c r="L485" s="2070"/>
      <c r="M485" s="2070"/>
      <c r="N485" s="2070"/>
      <c r="O485" s="2070"/>
      <c r="P485" s="2076"/>
      <c r="Q485" s="2071"/>
      <c r="R485" s="437"/>
      <c r="S485" s="2072"/>
      <c r="T485" s="179"/>
      <c r="U485" s="178"/>
      <c r="V485" s="2072"/>
      <c r="W485" s="2072"/>
      <c r="X485" s="470"/>
      <c r="Y485" s="470"/>
      <c r="Z485" s="471"/>
      <c r="AA485" s="764"/>
      <c r="AB485" s="466"/>
      <c r="AC485" s="350"/>
      <c r="AD485" s="350"/>
      <c r="AE485" s="350"/>
      <c r="AF485" s="350"/>
    </row>
    <row r="486" spans="1:32" s="597" customFormat="1" ht="18" customHeight="1" x14ac:dyDescent="0.2">
      <c r="A486" s="2070"/>
      <c r="B486" s="177"/>
      <c r="C486" s="177"/>
      <c r="D486" s="2070"/>
      <c r="E486" s="2070"/>
      <c r="F486" s="2070"/>
      <c r="G486" s="2070"/>
      <c r="H486" s="2076"/>
      <c r="I486" s="2072"/>
      <c r="J486" s="178"/>
      <c r="K486" s="2072"/>
      <c r="L486" s="2070"/>
      <c r="M486" s="2070"/>
      <c r="N486" s="2070"/>
      <c r="O486" s="2070"/>
      <c r="P486" s="2076"/>
      <c r="Q486" s="2071"/>
      <c r="R486" s="437"/>
      <c r="S486" s="2072"/>
      <c r="T486" s="179"/>
      <c r="U486" s="178"/>
      <c r="V486" s="2072"/>
      <c r="W486" s="2072"/>
      <c r="X486" s="470"/>
      <c r="Y486" s="470"/>
      <c r="Z486" s="471"/>
      <c r="AA486" s="764"/>
      <c r="AB486" s="466"/>
      <c r="AC486" s="350"/>
      <c r="AD486" s="350"/>
      <c r="AE486" s="350"/>
      <c r="AF486" s="350"/>
    </row>
    <row r="487" spans="1:32" s="597" customFormat="1" ht="18" customHeight="1" x14ac:dyDescent="0.2">
      <c r="A487" s="2070"/>
      <c r="B487" s="177"/>
      <c r="C487" s="177"/>
      <c r="D487" s="2070"/>
      <c r="E487" s="2070"/>
      <c r="F487" s="2070"/>
      <c r="G487" s="2070"/>
      <c r="H487" s="2076"/>
      <c r="I487" s="2072"/>
      <c r="J487" s="178"/>
      <c r="K487" s="2072"/>
      <c r="L487" s="2070"/>
      <c r="M487" s="2070"/>
      <c r="N487" s="2070"/>
      <c r="O487" s="2070"/>
      <c r="P487" s="2076"/>
      <c r="Q487" s="2071"/>
      <c r="R487" s="437"/>
      <c r="S487" s="2072"/>
      <c r="T487" s="179"/>
      <c r="U487" s="178"/>
      <c r="V487" s="2072"/>
      <c r="W487" s="2072"/>
      <c r="X487" s="470"/>
      <c r="Y487" s="470"/>
      <c r="Z487" s="471"/>
      <c r="AA487" s="764"/>
      <c r="AB487" s="466"/>
      <c r="AC487" s="350"/>
      <c r="AD487" s="350"/>
      <c r="AE487" s="350"/>
      <c r="AF487" s="350"/>
    </row>
    <row r="488" spans="1:32" s="597" customFormat="1" ht="18" customHeight="1" x14ac:dyDescent="0.2">
      <c r="A488" s="2070"/>
      <c r="B488" s="177"/>
      <c r="C488" s="177"/>
      <c r="D488" s="2070"/>
      <c r="E488" s="2070"/>
      <c r="F488" s="2070"/>
      <c r="G488" s="2070"/>
      <c r="H488" s="2076"/>
      <c r="I488" s="2072"/>
      <c r="J488" s="178"/>
      <c r="K488" s="2072"/>
      <c r="L488" s="2070"/>
      <c r="M488" s="2070"/>
      <c r="N488" s="2070"/>
      <c r="O488" s="2070"/>
      <c r="P488" s="2076"/>
      <c r="Q488" s="2071"/>
      <c r="R488" s="437"/>
      <c r="S488" s="2072"/>
      <c r="T488" s="179"/>
      <c r="U488" s="178"/>
      <c r="V488" s="2072"/>
      <c r="W488" s="2072"/>
      <c r="X488" s="470"/>
      <c r="Y488" s="470"/>
      <c r="Z488" s="471"/>
      <c r="AA488" s="764"/>
      <c r="AB488" s="466"/>
      <c r="AC488" s="350"/>
      <c r="AD488" s="350"/>
      <c r="AE488" s="350"/>
      <c r="AF488" s="350"/>
    </row>
    <row r="489" spans="1:32" s="597" customFormat="1" ht="18" customHeight="1" x14ac:dyDescent="0.2">
      <c r="A489" s="2070"/>
      <c r="B489" s="177"/>
      <c r="C489" s="177"/>
      <c r="D489" s="2070"/>
      <c r="E489" s="2070"/>
      <c r="F489" s="2070"/>
      <c r="G489" s="2070"/>
      <c r="H489" s="2076"/>
      <c r="I489" s="2072"/>
      <c r="J489" s="178"/>
      <c r="K489" s="2072"/>
      <c r="L489" s="2070"/>
      <c r="M489" s="2070"/>
      <c r="N489" s="2070"/>
      <c r="O489" s="2070"/>
      <c r="P489" s="2076"/>
      <c r="Q489" s="2071"/>
      <c r="R489" s="437"/>
      <c r="S489" s="2072"/>
      <c r="T489" s="179"/>
      <c r="U489" s="178"/>
      <c r="V489" s="2072"/>
      <c r="W489" s="2072"/>
      <c r="X489" s="470"/>
      <c r="Y489" s="470"/>
      <c r="Z489" s="471"/>
      <c r="AA489" s="764"/>
      <c r="AB489" s="466"/>
      <c r="AC489" s="350"/>
      <c r="AD489" s="350"/>
      <c r="AE489" s="350"/>
      <c r="AF489" s="350"/>
    </row>
    <row r="490" spans="1:32" s="597" customFormat="1" ht="18" customHeight="1" x14ac:dyDescent="0.2">
      <c r="A490" s="2070"/>
      <c r="B490" s="177"/>
      <c r="C490" s="177"/>
      <c r="D490" s="2070"/>
      <c r="E490" s="2070"/>
      <c r="F490" s="2070"/>
      <c r="G490" s="2070"/>
      <c r="H490" s="2076"/>
      <c r="I490" s="2072"/>
      <c r="J490" s="178"/>
      <c r="K490" s="2072"/>
      <c r="L490" s="2070"/>
      <c r="M490" s="2070"/>
      <c r="N490" s="2070"/>
      <c r="O490" s="2070"/>
      <c r="P490" s="2076"/>
      <c r="Q490" s="2071"/>
      <c r="R490" s="437"/>
      <c r="S490" s="2072"/>
      <c r="T490" s="179"/>
      <c r="U490" s="178"/>
      <c r="V490" s="2072"/>
      <c r="W490" s="2072"/>
      <c r="X490" s="470"/>
      <c r="Y490" s="470"/>
      <c r="Z490" s="471"/>
      <c r="AA490" s="764"/>
      <c r="AB490" s="466"/>
      <c r="AC490" s="350"/>
      <c r="AD490" s="350"/>
      <c r="AE490" s="350"/>
      <c r="AF490" s="350"/>
    </row>
    <row r="491" spans="1:32" s="597" customFormat="1" ht="18" customHeight="1" x14ac:dyDescent="0.2">
      <c r="A491" s="88"/>
      <c r="B491" s="180"/>
      <c r="C491" s="180"/>
      <c r="D491" s="88"/>
      <c r="E491" s="88"/>
      <c r="F491" s="88"/>
      <c r="G491" s="88"/>
      <c r="H491" s="120"/>
      <c r="I491" s="121"/>
      <c r="J491" s="181"/>
      <c r="K491" s="121"/>
      <c r="L491" s="88"/>
      <c r="M491" s="88"/>
      <c r="N491" s="88"/>
      <c r="O491" s="88"/>
      <c r="P491" s="88"/>
      <c r="Q491" s="129"/>
      <c r="R491" s="445"/>
      <c r="S491" s="121"/>
      <c r="T491" s="182"/>
      <c r="U491" s="181"/>
      <c r="V491" s="121"/>
      <c r="W491" s="121"/>
      <c r="X491" s="472"/>
      <c r="Y491" s="472"/>
      <c r="Z491" s="473"/>
      <c r="AA491" s="780"/>
      <c r="AB491" s="410"/>
      <c r="AC491" s="351"/>
      <c r="AD491" s="351"/>
      <c r="AE491" s="351"/>
      <c r="AF491" s="351"/>
    </row>
    <row r="492" spans="1:32" s="597" customFormat="1" ht="18" customHeight="1" x14ac:dyDescent="0.2">
      <c r="A492" s="1850"/>
      <c r="B492" s="1850"/>
      <c r="C492" s="1850"/>
      <c r="D492" s="1850"/>
      <c r="E492" s="1850"/>
      <c r="F492" s="1850"/>
      <c r="G492" s="1850"/>
      <c r="H492" s="1851"/>
      <c r="I492" s="1852"/>
      <c r="J492" s="1853"/>
      <c r="K492" s="1852"/>
      <c r="L492" s="1852"/>
      <c r="M492" s="1852"/>
      <c r="N492" s="1852"/>
      <c r="O492" s="1852"/>
      <c r="P492" s="1852"/>
      <c r="Q492" s="1852"/>
      <c r="R492" s="1854"/>
      <c r="S492" s="1852"/>
      <c r="T492" s="1855"/>
      <c r="U492" s="1853"/>
      <c r="V492" s="1852"/>
      <c r="W492" s="1852"/>
      <c r="X492" s="1856"/>
      <c r="Y492" s="1856"/>
      <c r="Z492" s="1857"/>
      <c r="AA492" s="2125"/>
      <c r="AB492" s="1847">
        <f>SUM(AB478:AB491)</f>
        <v>490.55999999999995</v>
      </c>
      <c r="AC492" s="1861"/>
      <c r="AD492" s="1861"/>
      <c r="AE492" s="1861"/>
      <c r="AF492" s="1861"/>
    </row>
    <row r="493" spans="1:32" s="597" customFormat="1" ht="14.1" customHeight="1" x14ac:dyDescent="0.2">
      <c r="A493" s="2690" t="s">
        <v>76</v>
      </c>
      <c r="B493" s="2690"/>
      <c r="C493" s="2691" t="s">
        <v>77</v>
      </c>
      <c r="D493" s="2691"/>
      <c r="E493" s="2691"/>
      <c r="F493" s="2691"/>
      <c r="G493" s="2691"/>
      <c r="H493" s="2691"/>
      <c r="I493" s="604" t="s">
        <v>78</v>
      </c>
      <c r="J493" s="604"/>
      <c r="K493" s="604"/>
      <c r="L493" s="604"/>
      <c r="M493" s="604"/>
      <c r="N493" s="604"/>
      <c r="AA493" s="767"/>
      <c r="AB493" s="598"/>
    </row>
    <row r="494" spans="1:32" s="597" customFormat="1" ht="14.1" customHeight="1" x14ac:dyDescent="0.2">
      <c r="A494" s="604"/>
      <c r="B494" s="605"/>
      <c r="C494" s="604"/>
      <c r="D494" s="604"/>
      <c r="E494" s="604"/>
      <c r="F494" s="604"/>
      <c r="G494" s="604"/>
      <c r="H494" s="604"/>
      <c r="I494" s="604" t="s">
        <v>79</v>
      </c>
      <c r="J494" s="604"/>
      <c r="K494" s="604"/>
      <c r="L494" s="604"/>
      <c r="M494" s="604"/>
      <c r="N494" s="604"/>
      <c r="AA494" s="767"/>
      <c r="AB494" s="598"/>
    </row>
    <row r="495" spans="1:32" s="597" customFormat="1" ht="14.1" customHeight="1" x14ac:dyDescent="0.2">
      <c r="A495" s="604"/>
      <c r="B495" s="605"/>
      <c r="C495" s="604"/>
      <c r="D495" s="604"/>
      <c r="E495" s="604"/>
      <c r="F495" s="604"/>
      <c r="G495" s="604"/>
      <c r="H495" s="604"/>
      <c r="I495" s="604" t="s">
        <v>80</v>
      </c>
      <c r="J495" s="604"/>
      <c r="K495" s="604"/>
      <c r="L495" s="604"/>
      <c r="M495" s="604"/>
      <c r="N495" s="604"/>
      <c r="AA495" s="767"/>
      <c r="AB495" s="598"/>
    </row>
    <row r="496" spans="1:32" s="597" customFormat="1" ht="14.1" customHeight="1" x14ac:dyDescent="0.2">
      <c r="A496" s="604"/>
      <c r="B496" s="605"/>
      <c r="C496" s="604"/>
      <c r="D496" s="604"/>
      <c r="E496" s="604"/>
      <c r="F496" s="604"/>
      <c r="G496" s="604"/>
      <c r="H496" s="604"/>
      <c r="I496" s="604" t="s">
        <v>81</v>
      </c>
      <c r="J496" s="604"/>
      <c r="K496" s="604"/>
      <c r="L496" s="604"/>
      <c r="M496" s="604"/>
      <c r="N496" s="604"/>
      <c r="AA496" s="767"/>
      <c r="AB496" s="598"/>
    </row>
    <row r="497" spans="1:33" s="597" customFormat="1" ht="14.1" customHeight="1" x14ac:dyDescent="0.2">
      <c r="A497" s="604"/>
      <c r="B497" s="605"/>
      <c r="C497" s="604"/>
      <c r="D497" s="604"/>
      <c r="E497" s="604"/>
      <c r="F497" s="604"/>
      <c r="G497" s="604"/>
      <c r="H497" s="604"/>
      <c r="I497" s="604" t="s">
        <v>88</v>
      </c>
      <c r="J497" s="604"/>
      <c r="K497" s="604"/>
      <c r="L497" s="604"/>
      <c r="M497" s="604"/>
      <c r="N497" s="604"/>
      <c r="AA497" s="767"/>
      <c r="AB497" s="598"/>
    </row>
    <row r="498" spans="1:33" s="597" customFormat="1" ht="18" customHeight="1" x14ac:dyDescent="0.2">
      <c r="A498" s="339"/>
      <c r="B498" s="339"/>
      <c r="C498" s="339"/>
      <c r="D498" s="339"/>
      <c r="E498" s="339"/>
      <c r="F498" s="339"/>
      <c r="G498" s="339"/>
      <c r="H498" s="339"/>
      <c r="I498" s="339"/>
      <c r="J498" s="339"/>
      <c r="K498" s="339"/>
      <c r="L498" s="339"/>
      <c r="M498" s="339"/>
      <c r="N498" s="339"/>
      <c r="O498" s="339"/>
      <c r="P498" s="339"/>
      <c r="Q498" s="339"/>
      <c r="R498" s="339"/>
      <c r="S498" s="339"/>
      <c r="T498" s="339"/>
      <c r="U498" s="339"/>
      <c r="V498" s="339"/>
      <c r="W498" s="339"/>
      <c r="X498" s="339"/>
      <c r="Y498" s="339"/>
      <c r="Z498" s="339"/>
      <c r="AA498" s="2702" t="s">
        <v>0</v>
      </c>
      <c r="AB498" s="2702"/>
      <c r="AC498" s="339"/>
      <c r="AD498" s="339"/>
      <c r="AE498" s="339"/>
      <c r="AF498" s="339"/>
    </row>
    <row r="499" spans="1:33" s="597" customFormat="1" ht="18" customHeight="1" x14ac:dyDescent="0.2">
      <c r="A499" s="2703" t="s">
        <v>1</v>
      </c>
      <c r="B499" s="2703"/>
      <c r="C499" s="2703"/>
      <c r="D499" s="2703"/>
      <c r="E499" s="2703"/>
      <c r="F499" s="2703"/>
      <c r="G499" s="2703"/>
      <c r="H499" s="2703"/>
      <c r="I499" s="2703"/>
      <c r="J499" s="2703"/>
      <c r="K499" s="2703"/>
      <c r="L499" s="2703"/>
      <c r="M499" s="2703"/>
      <c r="N499" s="2703"/>
      <c r="O499" s="2703"/>
      <c r="P499" s="2703"/>
      <c r="Q499" s="2703"/>
      <c r="R499" s="2703"/>
      <c r="S499" s="2703"/>
      <c r="T499" s="2703"/>
      <c r="U499" s="2703"/>
      <c r="V499" s="2703"/>
      <c r="W499" s="2703"/>
      <c r="X499" s="2703"/>
      <c r="Y499" s="2703"/>
      <c r="Z499" s="2703"/>
      <c r="AA499" s="2703"/>
      <c r="AB499" s="2703"/>
      <c r="AC499" s="344"/>
      <c r="AD499" s="344"/>
      <c r="AE499" s="344"/>
      <c r="AF499" s="344"/>
    </row>
    <row r="500" spans="1:33" s="597" customFormat="1" ht="18" customHeight="1" x14ac:dyDescent="0.2">
      <c r="A500" s="2704" t="s">
        <v>557</v>
      </c>
      <c r="B500" s="2704"/>
      <c r="C500" s="2704"/>
      <c r="D500" s="2704"/>
      <c r="E500" s="2704"/>
      <c r="F500" s="2704"/>
      <c r="G500" s="2704"/>
      <c r="H500" s="2704"/>
      <c r="I500" s="2704"/>
      <c r="J500" s="2704"/>
      <c r="K500" s="2704"/>
      <c r="L500" s="2704"/>
      <c r="M500" s="2704"/>
      <c r="N500" s="2704"/>
      <c r="O500" s="2704"/>
      <c r="P500" s="2704"/>
      <c r="Q500" s="2704"/>
      <c r="R500" s="2704"/>
      <c r="S500" s="2704"/>
      <c r="T500" s="2704"/>
      <c r="U500" s="2704"/>
      <c r="V500" s="2704"/>
      <c r="W500" s="2704"/>
      <c r="X500" s="2704"/>
      <c r="Y500" s="2704"/>
      <c r="Z500" s="2704"/>
      <c r="AA500" s="2704"/>
      <c r="AB500" s="2704"/>
      <c r="AC500" s="599"/>
      <c r="AD500" s="599"/>
      <c r="AE500" s="599"/>
      <c r="AF500" s="599"/>
    </row>
    <row r="501" spans="1:33" s="597" customFormat="1" ht="14.1" customHeight="1" x14ac:dyDescent="0.2">
      <c r="A501" s="2686" t="s">
        <v>2</v>
      </c>
      <c r="B501" s="360"/>
      <c r="C501" s="2686" t="s">
        <v>3</v>
      </c>
      <c r="D501" s="360"/>
      <c r="E501" s="360"/>
      <c r="F501" s="2693" t="s">
        <v>4</v>
      </c>
      <c r="G501" s="2693"/>
      <c r="H501" s="2693"/>
      <c r="I501" s="2694"/>
      <c r="J501" s="2694"/>
      <c r="K501" s="2695"/>
      <c r="L501" s="361"/>
      <c r="M501" s="2679" t="s">
        <v>5</v>
      </c>
      <c r="N501" s="2679"/>
      <c r="O501" s="2679"/>
      <c r="P501" s="2679"/>
      <c r="Q501" s="2696"/>
      <c r="R501" s="2696"/>
      <c r="S501" s="2696"/>
      <c r="T501" s="2696"/>
      <c r="U501" s="2696"/>
      <c r="V501" s="2697"/>
      <c r="W501" s="362" t="s">
        <v>6</v>
      </c>
      <c r="X501" s="363" t="s">
        <v>7</v>
      </c>
      <c r="Y501" s="364"/>
      <c r="Z501" s="364"/>
      <c r="AA501" s="363"/>
      <c r="AB501" s="365"/>
      <c r="AC501" s="516" t="s">
        <v>8</v>
      </c>
      <c r="AD501" s="346"/>
      <c r="AE501" s="346"/>
      <c r="AF501" s="600"/>
    </row>
    <row r="502" spans="1:33" s="597" customFormat="1" ht="14.1" customHeight="1" x14ac:dyDescent="0.2">
      <c r="A502" s="2687"/>
      <c r="B502" s="367"/>
      <c r="C502" s="2687"/>
      <c r="D502" s="2062" t="s">
        <v>9</v>
      </c>
      <c r="E502" s="368" t="s">
        <v>10</v>
      </c>
      <c r="F502" s="2698" t="s">
        <v>11</v>
      </c>
      <c r="G502" s="2694"/>
      <c r="H502" s="2695"/>
      <c r="I502" s="360"/>
      <c r="J502" s="369" t="s">
        <v>12</v>
      </c>
      <c r="K502" s="360"/>
      <c r="L502" s="2679" t="s">
        <v>2</v>
      </c>
      <c r="M502" s="2067"/>
      <c r="N502" s="2067"/>
      <c r="O502" s="2067"/>
      <c r="P502" s="371"/>
      <c r="Q502" s="372" t="s">
        <v>13</v>
      </c>
      <c r="R502" s="373" t="s">
        <v>12</v>
      </c>
      <c r="S502" s="2067" t="s">
        <v>6</v>
      </c>
      <c r="T502" s="2682" t="s">
        <v>14</v>
      </c>
      <c r="U502" s="2683"/>
      <c r="V502" s="375" t="s">
        <v>7</v>
      </c>
      <c r="W502" s="376" t="s">
        <v>15</v>
      </c>
      <c r="X502" s="377" t="s">
        <v>16</v>
      </c>
      <c r="Y502" s="377" t="s">
        <v>17</v>
      </c>
      <c r="Z502" s="377" t="s">
        <v>18</v>
      </c>
      <c r="AA502" s="377"/>
      <c r="AB502" s="378" t="s">
        <v>19</v>
      </c>
      <c r="AC502" s="528" t="s">
        <v>20</v>
      </c>
      <c r="AD502" s="601"/>
      <c r="AE502" s="347" t="s">
        <v>21</v>
      </c>
      <c r="AF502" s="340" t="s">
        <v>22</v>
      </c>
    </row>
    <row r="503" spans="1:33" s="597" customFormat="1" ht="14.1" customHeight="1" x14ac:dyDescent="0.2">
      <c r="A503" s="2687"/>
      <c r="B503" s="2062" t="s">
        <v>23</v>
      </c>
      <c r="C503" s="2687"/>
      <c r="D503" s="2062" t="s">
        <v>24</v>
      </c>
      <c r="E503" s="368" t="s">
        <v>25</v>
      </c>
      <c r="F503" s="2699"/>
      <c r="G503" s="2700"/>
      <c r="H503" s="2701"/>
      <c r="I503" s="2062" t="s">
        <v>26</v>
      </c>
      <c r="J503" s="379" t="s">
        <v>15</v>
      </c>
      <c r="K503" s="2066" t="s">
        <v>6</v>
      </c>
      <c r="L503" s="2680"/>
      <c r="M503" s="2068" t="s">
        <v>27</v>
      </c>
      <c r="N503" s="2068" t="s">
        <v>10</v>
      </c>
      <c r="O503" s="382" t="s">
        <v>10</v>
      </c>
      <c r="P503" s="383" t="s">
        <v>28</v>
      </c>
      <c r="Q503" s="384" t="s">
        <v>29</v>
      </c>
      <c r="R503" s="383" t="s">
        <v>15</v>
      </c>
      <c r="S503" s="385" t="s">
        <v>15</v>
      </c>
      <c r="T503" s="2684"/>
      <c r="U503" s="2685"/>
      <c r="V503" s="375" t="s">
        <v>30</v>
      </c>
      <c r="W503" s="376" t="s">
        <v>31</v>
      </c>
      <c r="X503" s="377" t="s">
        <v>30</v>
      </c>
      <c r="Y503" s="377" t="s">
        <v>32</v>
      </c>
      <c r="Z503" s="377" t="s">
        <v>7</v>
      </c>
      <c r="AA503" s="377" t="s">
        <v>33</v>
      </c>
      <c r="AB503" s="378" t="s">
        <v>34</v>
      </c>
      <c r="AC503" s="528" t="s">
        <v>35</v>
      </c>
      <c r="AD503" s="347" t="s">
        <v>36</v>
      </c>
      <c r="AE503" s="347" t="s">
        <v>37</v>
      </c>
      <c r="AF503" s="340" t="s">
        <v>38</v>
      </c>
    </row>
    <row r="504" spans="1:33" s="597" customFormat="1" ht="14.1" customHeight="1" x14ac:dyDescent="0.2">
      <c r="A504" s="2687"/>
      <c r="B504" s="2062" t="s">
        <v>39</v>
      </c>
      <c r="C504" s="2687"/>
      <c r="D504" s="2062" t="s">
        <v>40</v>
      </c>
      <c r="E504" s="368" t="s">
        <v>41</v>
      </c>
      <c r="F504" s="2686" t="s">
        <v>42</v>
      </c>
      <c r="G504" s="2686" t="s">
        <v>43</v>
      </c>
      <c r="H504" s="2688" t="s">
        <v>44</v>
      </c>
      <c r="I504" s="2062" t="s">
        <v>45</v>
      </c>
      <c r="J504" s="379" t="s">
        <v>46</v>
      </c>
      <c r="K504" s="2066" t="s">
        <v>47</v>
      </c>
      <c r="L504" s="2680"/>
      <c r="M504" s="2068" t="s">
        <v>30</v>
      </c>
      <c r="N504" s="2068" t="s">
        <v>30</v>
      </c>
      <c r="O504" s="382" t="s">
        <v>25</v>
      </c>
      <c r="P504" s="383" t="s">
        <v>30</v>
      </c>
      <c r="Q504" s="384" t="s">
        <v>48</v>
      </c>
      <c r="R504" s="383" t="s">
        <v>49</v>
      </c>
      <c r="S504" s="385" t="s">
        <v>30</v>
      </c>
      <c r="T504" s="386" t="s">
        <v>50</v>
      </c>
      <c r="U504" s="2065" t="s">
        <v>13</v>
      </c>
      <c r="V504" s="375" t="s">
        <v>51</v>
      </c>
      <c r="W504" s="376" t="s">
        <v>52</v>
      </c>
      <c r="X504" s="377" t="s">
        <v>53</v>
      </c>
      <c r="Y504" s="377" t="s">
        <v>54</v>
      </c>
      <c r="Z504" s="377" t="s">
        <v>55</v>
      </c>
      <c r="AA504" s="377" t="s">
        <v>56</v>
      </c>
      <c r="AB504" s="378" t="s">
        <v>57</v>
      </c>
      <c r="AC504" s="347" t="s">
        <v>58</v>
      </c>
      <c r="AD504" s="347" t="s">
        <v>59</v>
      </c>
      <c r="AE504" s="347" t="s">
        <v>59</v>
      </c>
      <c r="AF504" s="340" t="s">
        <v>60</v>
      </c>
    </row>
    <row r="505" spans="1:33" s="597" customFormat="1" ht="14.1" customHeight="1" x14ac:dyDescent="0.2">
      <c r="A505" s="2687"/>
      <c r="B505" s="2062" t="s">
        <v>61</v>
      </c>
      <c r="C505" s="2687"/>
      <c r="D505" s="2062" t="s">
        <v>62</v>
      </c>
      <c r="E505" s="368" t="s">
        <v>63</v>
      </c>
      <c r="F505" s="2687"/>
      <c r="G505" s="2687"/>
      <c r="H505" s="2689"/>
      <c r="I505" s="2062" t="s">
        <v>64</v>
      </c>
      <c r="J505" s="379" t="s">
        <v>59</v>
      </c>
      <c r="K505" s="2066" t="s">
        <v>59</v>
      </c>
      <c r="L505" s="2680"/>
      <c r="M505" s="2068"/>
      <c r="N505" s="2068"/>
      <c r="O505" s="382" t="s">
        <v>41</v>
      </c>
      <c r="P505" s="383" t="s">
        <v>65</v>
      </c>
      <c r="Q505" s="384" t="s">
        <v>66</v>
      </c>
      <c r="R505" s="383" t="s">
        <v>67</v>
      </c>
      <c r="S505" s="385" t="s">
        <v>59</v>
      </c>
      <c r="T505" s="387" t="s">
        <v>68</v>
      </c>
      <c r="U505" s="375" t="s">
        <v>14</v>
      </c>
      <c r="V505" s="375" t="s">
        <v>14</v>
      </c>
      <c r="W505" s="376" t="s">
        <v>30</v>
      </c>
      <c r="X505" s="388" t="s">
        <v>69</v>
      </c>
      <c r="Y505" s="388" t="s">
        <v>70</v>
      </c>
      <c r="Z505" s="377" t="s">
        <v>71</v>
      </c>
      <c r="AA505" s="377" t="s">
        <v>72</v>
      </c>
      <c r="AB505" s="378" t="s">
        <v>59</v>
      </c>
      <c r="AC505" s="347" t="s">
        <v>59</v>
      </c>
      <c r="AD505" s="347"/>
      <c r="AE505" s="347"/>
      <c r="AF505" s="340" t="s">
        <v>59</v>
      </c>
    </row>
    <row r="506" spans="1:33" s="597" customFormat="1" ht="14.1" customHeight="1" x14ac:dyDescent="0.2">
      <c r="A506" s="2692"/>
      <c r="B506" s="390"/>
      <c r="C506" s="2692"/>
      <c r="D506" s="390"/>
      <c r="E506" s="2063"/>
      <c r="F506" s="390"/>
      <c r="G506" s="390"/>
      <c r="H506" s="391"/>
      <c r="I506" s="2063"/>
      <c r="J506" s="392"/>
      <c r="K506" s="393"/>
      <c r="L506" s="2681"/>
      <c r="M506" s="2069"/>
      <c r="N506" s="2069"/>
      <c r="O506" s="2069" t="s">
        <v>63</v>
      </c>
      <c r="P506" s="395"/>
      <c r="Q506" s="396" t="s">
        <v>72</v>
      </c>
      <c r="R506" s="397" t="s">
        <v>59</v>
      </c>
      <c r="S506" s="398"/>
      <c r="T506" s="397" t="s">
        <v>73</v>
      </c>
      <c r="U506" s="398" t="s">
        <v>59</v>
      </c>
      <c r="V506" s="399" t="s">
        <v>59</v>
      </c>
      <c r="W506" s="400" t="s">
        <v>59</v>
      </c>
      <c r="X506" s="401" t="s">
        <v>59</v>
      </c>
      <c r="Y506" s="401" t="s">
        <v>59</v>
      </c>
      <c r="Z506" s="401" t="s">
        <v>59</v>
      </c>
      <c r="AA506" s="402"/>
      <c r="AB506" s="403"/>
      <c r="AC506" s="348"/>
      <c r="AD506" s="348"/>
      <c r="AE506" s="348"/>
      <c r="AF506" s="341"/>
    </row>
    <row r="507" spans="1:33" s="597" customFormat="1" ht="18" customHeight="1" x14ac:dyDescent="0.25">
      <c r="A507" s="53">
        <v>1</v>
      </c>
      <c r="B507" s="1387">
        <v>29838</v>
      </c>
      <c r="C507" s="259">
        <v>62</v>
      </c>
      <c r="D507" s="259" t="s">
        <v>83</v>
      </c>
      <c r="E507" s="259">
        <v>4</v>
      </c>
      <c r="F507" s="259">
        <v>0</v>
      </c>
      <c r="G507" s="259">
        <v>0</v>
      </c>
      <c r="H507" s="272">
        <v>99</v>
      </c>
      <c r="I507" s="66">
        <f>F507*400+G507*100+H507</f>
        <v>99</v>
      </c>
      <c r="J507" s="798">
        <v>280</v>
      </c>
      <c r="K507" s="278">
        <f>SUM(I507*J507)</f>
        <v>27720</v>
      </c>
      <c r="L507" s="969"/>
      <c r="M507" s="969"/>
      <c r="N507" s="969"/>
      <c r="O507" s="969"/>
      <c r="P507" s="969"/>
      <c r="Q507" s="970"/>
      <c r="R507" s="971"/>
      <c r="S507" s="972"/>
      <c r="T507" s="973"/>
      <c r="U507" s="972"/>
      <c r="V507" s="972"/>
      <c r="W507" s="972">
        <f>K507+V507+K508+K509</f>
        <v>27720</v>
      </c>
      <c r="X507" s="972">
        <f>W507</f>
        <v>27720</v>
      </c>
      <c r="Y507" s="972">
        <f>V507</f>
        <v>0</v>
      </c>
      <c r="Z507" s="972">
        <f>+X507</f>
        <v>27720</v>
      </c>
      <c r="AA507" s="974">
        <v>0.6</v>
      </c>
      <c r="AB507" s="465">
        <f>+Z507*AA507/100</f>
        <v>166.32</v>
      </c>
      <c r="AC507" s="602"/>
      <c r="AD507" s="603">
        <f>AB507-AC507</f>
        <v>166.32</v>
      </c>
      <c r="AE507" s="603">
        <f>IF(AD507&lt;=0,0,AD507*25/100)</f>
        <v>41.58</v>
      </c>
      <c r="AF507" s="603">
        <f>IF(AC507+AE507&gt;AB507,AB507,AC507+AE507)</f>
        <v>41.58</v>
      </c>
      <c r="AG507" s="1750" t="s">
        <v>387</v>
      </c>
    </row>
    <row r="508" spans="1:33" s="597" customFormat="1" ht="18" customHeight="1" x14ac:dyDescent="0.2">
      <c r="A508" s="2070"/>
      <c r="B508" s="196"/>
      <c r="C508" s="196"/>
      <c r="D508" s="2070"/>
      <c r="E508" s="2070"/>
      <c r="F508" s="2070"/>
      <c r="G508" s="2070"/>
      <c r="H508" s="173"/>
      <c r="I508" s="77"/>
      <c r="J508" s="2075"/>
      <c r="K508" s="2072"/>
      <c r="L508" s="2070"/>
      <c r="M508" s="2070"/>
      <c r="N508" s="2070"/>
      <c r="O508" s="2070"/>
      <c r="P508" s="2076"/>
      <c r="Q508" s="2071"/>
      <c r="R508" s="437"/>
      <c r="S508" s="2072"/>
      <c r="T508" s="179"/>
      <c r="U508" s="178"/>
      <c r="V508" s="2072"/>
      <c r="W508" s="2072"/>
      <c r="X508" s="470"/>
      <c r="Y508" s="470"/>
      <c r="Z508" s="471"/>
      <c r="AA508" s="764"/>
      <c r="AB508" s="415"/>
      <c r="AC508" s="350"/>
      <c r="AD508" s="350"/>
      <c r="AE508" s="350"/>
      <c r="AF508" s="350"/>
    </row>
    <row r="509" spans="1:33" s="597" customFormat="1" ht="18" customHeight="1" x14ac:dyDescent="0.2">
      <c r="A509" s="2070"/>
      <c r="B509" s="177"/>
      <c r="C509" s="177"/>
      <c r="D509" s="2070"/>
      <c r="E509" s="2070"/>
      <c r="F509" s="2070"/>
      <c r="G509" s="2070"/>
      <c r="H509" s="2076"/>
      <c r="I509" s="2072"/>
      <c r="J509" s="178"/>
      <c r="K509" s="2072"/>
      <c r="L509" s="2070"/>
      <c r="M509" s="2070"/>
      <c r="N509" s="2070"/>
      <c r="O509" s="2070"/>
      <c r="P509" s="2076"/>
      <c r="Q509" s="2071"/>
      <c r="R509" s="437"/>
      <c r="S509" s="2072"/>
      <c r="T509" s="179"/>
      <c r="U509" s="178"/>
      <c r="V509" s="2072"/>
      <c r="W509" s="2072"/>
      <c r="X509" s="470"/>
      <c r="Y509" s="470"/>
      <c r="Z509" s="471"/>
      <c r="AA509" s="764"/>
      <c r="AB509" s="415"/>
      <c r="AC509" s="350"/>
      <c r="AD509" s="350"/>
      <c r="AE509" s="350"/>
      <c r="AF509" s="350"/>
    </row>
    <row r="510" spans="1:33" s="597" customFormat="1" ht="18" customHeight="1" x14ac:dyDescent="0.2">
      <c r="A510" s="2070"/>
      <c r="B510" s="177"/>
      <c r="C510" s="177"/>
      <c r="D510" s="2070"/>
      <c r="E510" s="2070"/>
      <c r="F510" s="2070"/>
      <c r="G510" s="2070"/>
      <c r="H510" s="2076"/>
      <c r="I510" s="2072"/>
      <c r="J510" s="178"/>
      <c r="K510" s="2072"/>
      <c r="L510" s="2070"/>
      <c r="M510" s="2070"/>
      <c r="N510" s="2070"/>
      <c r="O510" s="2070"/>
      <c r="P510" s="2076"/>
      <c r="Q510" s="2071"/>
      <c r="R510" s="437"/>
      <c r="S510" s="2072"/>
      <c r="T510" s="179"/>
      <c r="U510" s="178"/>
      <c r="V510" s="2072"/>
      <c r="W510" s="2072"/>
      <c r="X510" s="470"/>
      <c r="Y510" s="470"/>
      <c r="Z510" s="471"/>
      <c r="AA510" s="764"/>
      <c r="AB510" s="415"/>
      <c r="AC510" s="350"/>
      <c r="AD510" s="350"/>
      <c r="AE510" s="350"/>
      <c r="AF510" s="350"/>
    </row>
    <row r="511" spans="1:33" s="597" customFormat="1" ht="18" customHeight="1" x14ac:dyDescent="0.2">
      <c r="A511" s="2070"/>
      <c r="B511" s="177"/>
      <c r="C511" s="177"/>
      <c r="D511" s="2070"/>
      <c r="E511" s="2070"/>
      <c r="F511" s="2070"/>
      <c r="G511" s="2070"/>
      <c r="H511" s="2076"/>
      <c r="I511" s="2072"/>
      <c r="J511" s="178"/>
      <c r="K511" s="2072"/>
      <c r="L511" s="2070"/>
      <c r="M511" s="2070"/>
      <c r="N511" s="2070"/>
      <c r="O511" s="2070"/>
      <c r="P511" s="2076"/>
      <c r="Q511" s="2071"/>
      <c r="R511" s="437"/>
      <c r="S511" s="2072"/>
      <c r="T511" s="179"/>
      <c r="U511" s="178"/>
      <c r="V511" s="2072"/>
      <c r="W511" s="2072"/>
      <c r="X511" s="470"/>
      <c r="Y511" s="470"/>
      <c r="Z511" s="471"/>
      <c r="AA511" s="764"/>
      <c r="AB511" s="415"/>
      <c r="AC511" s="350"/>
      <c r="AD511" s="350"/>
      <c r="AE511" s="350"/>
      <c r="AF511" s="350"/>
    </row>
    <row r="512" spans="1:33" s="597" customFormat="1" ht="18" customHeight="1" x14ac:dyDescent="0.2">
      <c r="A512" s="2070"/>
      <c r="B512" s="177"/>
      <c r="C512" s="177"/>
      <c r="D512" s="2070"/>
      <c r="E512" s="2070"/>
      <c r="F512" s="2070"/>
      <c r="G512" s="2070"/>
      <c r="H512" s="2076"/>
      <c r="I512" s="2072"/>
      <c r="J512" s="178"/>
      <c r="K512" s="2072"/>
      <c r="L512" s="2070"/>
      <c r="M512" s="2070"/>
      <c r="N512" s="2070"/>
      <c r="O512" s="2070"/>
      <c r="P512" s="2076"/>
      <c r="Q512" s="2071"/>
      <c r="R512" s="437"/>
      <c r="S512" s="2072"/>
      <c r="T512" s="179"/>
      <c r="U512" s="178"/>
      <c r="V512" s="2072"/>
      <c r="W512" s="2072"/>
      <c r="X512" s="470"/>
      <c r="Y512" s="470"/>
      <c r="Z512" s="471"/>
      <c r="AA512" s="764"/>
      <c r="AB512" s="410"/>
      <c r="AC512" s="350"/>
      <c r="AD512" s="350"/>
      <c r="AE512" s="350"/>
      <c r="AF512" s="350"/>
    </row>
    <row r="513" spans="1:32" s="597" customFormat="1" ht="18" customHeight="1" x14ac:dyDescent="0.2">
      <c r="A513" s="2070"/>
      <c r="B513" s="177"/>
      <c r="C513" s="177"/>
      <c r="D513" s="2070"/>
      <c r="E513" s="2070"/>
      <c r="F513" s="2070"/>
      <c r="G513" s="2070"/>
      <c r="H513" s="2076"/>
      <c r="I513" s="2072"/>
      <c r="J513" s="178"/>
      <c r="K513" s="2072"/>
      <c r="L513" s="2070"/>
      <c r="M513" s="2070"/>
      <c r="N513" s="2070"/>
      <c r="O513" s="2070"/>
      <c r="P513" s="2076"/>
      <c r="Q513" s="2071"/>
      <c r="R513" s="437"/>
      <c r="S513" s="2072"/>
      <c r="T513" s="179"/>
      <c r="U513" s="178"/>
      <c r="V513" s="2072"/>
      <c r="W513" s="2072"/>
      <c r="X513" s="470"/>
      <c r="Y513" s="470"/>
      <c r="Z513" s="471"/>
      <c r="AA513" s="764"/>
      <c r="AB513" s="410"/>
      <c r="AC513" s="350"/>
      <c r="AD513" s="350"/>
      <c r="AE513" s="350"/>
      <c r="AF513" s="350"/>
    </row>
    <row r="514" spans="1:32" s="597" customFormat="1" ht="18" customHeight="1" x14ac:dyDescent="0.2">
      <c r="A514" s="2070"/>
      <c r="B514" s="177"/>
      <c r="C514" s="177"/>
      <c r="D514" s="2070"/>
      <c r="E514" s="2070"/>
      <c r="F514" s="2070"/>
      <c r="G514" s="2070"/>
      <c r="H514" s="2076"/>
      <c r="I514" s="2072"/>
      <c r="J514" s="178"/>
      <c r="K514" s="2072"/>
      <c r="L514" s="2070"/>
      <c r="M514" s="2070"/>
      <c r="N514" s="2070"/>
      <c r="O514" s="2070"/>
      <c r="P514" s="2076"/>
      <c r="Q514" s="2071"/>
      <c r="R514" s="437"/>
      <c r="S514" s="2072"/>
      <c r="T514" s="179"/>
      <c r="U514" s="178"/>
      <c r="V514" s="2072"/>
      <c r="W514" s="2072"/>
      <c r="X514" s="470"/>
      <c r="Y514" s="470"/>
      <c r="Z514" s="471"/>
      <c r="AA514" s="764"/>
      <c r="AB514" s="410"/>
      <c r="AC514" s="350"/>
      <c r="AD514" s="350"/>
      <c r="AE514" s="350"/>
      <c r="AF514" s="350"/>
    </row>
    <row r="515" spans="1:32" s="597" customFormat="1" ht="18" customHeight="1" x14ac:dyDescent="0.2">
      <c r="A515" s="2070"/>
      <c r="B515" s="177"/>
      <c r="C515" s="177"/>
      <c r="D515" s="2070"/>
      <c r="E515" s="2070"/>
      <c r="F515" s="2070"/>
      <c r="G515" s="2070"/>
      <c r="H515" s="2076"/>
      <c r="I515" s="2072"/>
      <c r="J515" s="178"/>
      <c r="K515" s="2072"/>
      <c r="L515" s="2070"/>
      <c r="M515" s="2070"/>
      <c r="N515" s="2070"/>
      <c r="O515" s="2070"/>
      <c r="P515" s="2076"/>
      <c r="Q515" s="2071"/>
      <c r="R515" s="437"/>
      <c r="S515" s="2072"/>
      <c r="T515" s="179"/>
      <c r="U515" s="178"/>
      <c r="V515" s="2072"/>
      <c r="W515" s="2072"/>
      <c r="X515" s="470"/>
      <c r="Y515" s="470"/>
      <c r="Z515" s="471"/>
      <c r="AA515" s="764"/>
      <c r="AB515" s="416"/>
      <c r="AC515" s="350"/>
      <c r="AD515" s="350"/>
      <c r="AE515" s="350"/>
      <c r="AF515" s="350"/>
    </row>
    <row r="516" spans="1:32" s="597" customFormat="1" ht="18" customHeight="1" x14ac:dyDescent="0.2">
      <c r="A516" s="2070"/>
      <c r="B516" s="177"/>
      <c r="C516" s="177"/>
      <c r="D516" s="2070"/>
      <c r="E516" s="2070"/>
      <c r="F516" s="2070"/>
      <c r="G516" s="2070"/>
      <c r="H516" s="2076"/>
      <c r="I516" s="2072"/>
      <c r="J516" s="178"/>
      <c r="K516" s="2072"/>
      <c r="L516" s="2070"/>
      <c r="M516" s="2070"/>
      <c r="N516" s="2070"/>
      <c r="O516" s="2070"/>
      <c r="P516" s="2076"/>
      <c r="Q516" s="2071"/>
      <c r="R516" s="437"/>
      <c r="S516" s="2072"/>
      <c r="T516" s="179"/>
      <c r="U516" s="178"/>
      <c r="V516" s="2072"/>
      <c r="W516" s="2072"/>
      <c r="X516" s="470"/>
      <c r="Y516" s="470"/>
      <c r="Z516" s="471"/>
      <c r="AA516" s="764"/>
      <c r="AB516" s="416"/>
      <c r="AC516" s="350"/>
      <c r="AD516" s="350"/>
      <c r="AE516" s="350"/>
      <c r="AF516" s="350"/>
    </row>
    <row r="517" spans="1:32" s="597" customFormat="1" ht="18" customHeight="1" x14ac:dyDescent="0.2">
      <c r="A517" s="2070"/>
      <c r="B517" s="177"/>
      <c r="C517" s="177"/>
      <c r="D517" s="2070"/>
      <c r="E517" s="2070"/>
      <c r="F517" s="2070"/>
      <c r="G517" s="2070"/>
      <c r="H517" s="2076"/>
      <c r="I517" s="2072"/>
      <c r="J517" s="178"/>
      <c r="K517" s="2072"/>
      <c r="L517" s="2070"/>
      <c r="M517" s="2070"/>
      <c r="N517" s="2070"/>
      <c r="O517" s="2070"/>
      <c r="P517" s="2076"/>
      <c r="Q517" s="2071"/>
      <c r="R517" s="437"/>
      <c r="S517" s="2072"/>
      <c r="T517" s="179"/>
      <c r="U517" s="178"/>
      <c r="V517" s="2072"/>
      <c r="W517" s="2072"/>
      <c r="X517" s="470"/>
      <c r="Y517" s="470"/>
      <c r="Z517" s="471"/>
      <c r="AA517" s="764"/>
      <c r="AB517" s="410"/>
      <c r="AC517" s="350"/>
      <c r="AD517" s="350"/>
      <c r="AE517" s="350"/>
      <c r="AF517" s="350"/>
    </row>
    <row r="518" spans="1:32" s="597" customFormat="1" ht="18" customHeight="1" x14ac:dyDescent="0.2">
      <c r="A518" s="2070"/>
      <c r="B518" s="177"/>
      <c r="C518" s="177"/>
      <c r="D518" s="2070"/>
      <c r="E518" s="2070"/>
      <c r="F518" s="2070"/>
      <c r="G518" s="2070"/>
      <c r="H518" s="2076"/>
      <c r="I518" s="2072"/>
      <c r="J518" s="178"/>
      <c r="K518" s="2072"/>
      <c r="L518" s="2070"/>
      <c r="M518" s="2070"/>
      <c r="N518" s="2070"/>
      <c r="O518" s="2070"/>
      <c r="P518" s="2076"/>
      <c r="Q518" s="2071"/>
      <c r="R518" s="437"/>
      <c r="S518" s="2072"/>
      <c r="T518" s="179"/>
      <c r="U518" s="178"/>
      <c r="V518" s="2072"/>
      <c r="W518" s="2072"/>
      <c r="X518" s="470"/>
      <c r="Y518" s="470"/>
      <c r="Z518" s="471"/>
      <c r="AA518" s="764"/>
      <c r="AB518" s="410"/>
      <c r="AC518" s="350"/>
      <c r="AD518" s="350"/>
      <c r="AE518" s="350"/>
      <c r="AF518" s="350"/>
    </row>
    <row r="519" spans="1:32" s="597" customFormat="1" ht="18" customHeight="1" x14ac:dyDescent="0.2">
      <c r="A519" s="2070"/>
      <c r="B519" s="177"/>
      <c r="C519" s="177"/>
      <c r="D519" s="2070"/>
      <c r="E519" s="2070"/>
      <c r="F519" s="2070"/>
      <c r="G519" s="2070"/>
      <c r="H519" s="2076"/>
      <c r="I519" s="2072"/>
      <c r="J519" s="178"/>
      <c r="K519" s="2072"/>
      <c r="L519" s="2070"/>
      <c r="M519" s="2070"/>
      <c r="N519" s="2070"/>
      <c r="O519" s="2070"/>
      <c r="P519" s="2076"/>
      <c r="Q519" s="2071"/>
      <c r="R519" s="437"/>
      <c r="S519" s="2072"/>
      <c r="T519" s="179"/>
      <c r="U519" s="178"/>
      <c r="V519" s="2072"/>
      <c r="W519" s="2072"/>
      <c r="X519" s="470"/>
      <c r="Y519" s="470"/>
      <c r="Z519" s="471"/>
      <c r="AA519" s="764"/>
      <c r="AB519" s="410"/>
      <c r="AC519" s="350"/>
      <c r="AD519" s="350"/>
      <c r="AE519" s="350"/>
      <c r="AF519" s="350"/>
    </row>
    <row r="520" spans="1:32" s="597" customFormat="1" ht="18" customHeight="1" x14ac:dyDescent="0.2">
      <c r="A520" s="88"/>
      <c r="B520" s="180"/>
      <c r="C520" s="180"/>
      <c r="D520" s="88"/>
      <c r="E520" s="88"/>
      <c r="F520" s="88"/>
      <c r="G520" s="88"/>
      <c r="H520" s="120"/>
      <c r="I520" s="121"/>
      <c r="J520" s="181"/>
      <c r="K520" s="121"/>
      <c r="L520" s="88"/>
      <c r="M520" s="88"/>
      <c r="N520" s="88"/>
      <c r="O520" s="88"/>
      <c r="P520" s="88"/>
      <c r="Q520" s="129"/>
      <c r="R520" s="445"/>
      <c r="S520" s="121"/>
      <c r="T520" s="182"/>
      <c r="U520" s="181"/>
      <c r="V520" s="121"/>
      <c r="W520" s="121"/>
      <c r="X520" s="472"/>
      <c r="Y520" s="472"/>
      <c r="Z520" s="473"/>
      <c r="AA520" s="780"/>
      <c r="AB520" s="410"/>
      <c r="AC520" s="351"/>
      <c r="AD520" s="351"/>
      <c r="AE520" s="351"/>
      <c r="AF520" s="351"/>
    </row>
    <row r="521" spans="1:32" s="597" customFormat="1" ht="18" customHeight="1" x14ac:dyDescent="0.2">
      <c r="A521" s="1850"/>
      <c r="B521" s="1850"/>
      <c r="C521" s="1850"/>
      <c r="D521" s="1850"/>
      <c r="E521" s="1850"/>
      <c r="F521" s="1850"/>
      <c r="G521" s="1850"/>
      <c r="H521" s="1851"/>
      <c r="I521" s="1852"/>
      <c r="J521" s="1853"/>
      <c r="K521" s="1852"/>
      <c r="L521" s="1852"/>
      <c r="M521" s="1852"/>
      <c r="N521" s="1852"/>
      <c r="O521" s="1852"/>
      <c r="P521" s="1852"/>
      <c r="Q521" s="1852"/>
      <c r="R521" s="1854"/>
      <c r="S521" s="1852"/>
      <c r="T521" s="1855"/>
      <c r="U521" s="1853"/>
      <c r="V521" s="1852"/>
      <c r="W521" s="1852"/>
      <c r="X521" s="1856"/>
      <c r="Y521" s="1856"/>
      <c r="Z521" s="1857"/>
      <c r="AA521" s="2125"/>
      <c r="AB521" s="1849">
        <f>SUM(AB507:AB520)</f>
        <v>166.32</v>
      </c>
      <c r="AC521" s="2152"/>
      <c r="AD521" s="2152"/>
      <c r="AE521" s="2152"/>
      <c r="AF521" s="2152"/>
    </row>
    <row r="522" spans="1:32" s="597" customFormat="1" ht="14.1" customHeight="1" x14ac:dyDescent="0.2">
      <c r="A522" s="2690" t="s">
        <v>76</v>
      </c>
      <c r="B522" s="2690"/>
      <c r="C522" s="2691" t="s">
        <v>77</v>
      </c>
      <c r="D522" s="2691"/>
      <c r="E522" s="2691"/>
      <c r="F522" s="2691"/>
      <c r="G522" s="2691"/>
      <c r="H522" s="2691"/>
      <c r="I522" s="604" t="s">
        <v>78</v>
      </c>
      <c r="J522" s="604"/>
      <c r="K522" s="604"/>
      <c r="L522" s="604"/>
      <c r="M522" s="604"/>
      <c r="N522" s="604"/>
      <c r="AA522" s="767"/>
      <c r="AB522" s="598"/>
    </row>
    <row r="523" spans="1:32" s="597" customFormat="1" ht="14.1" customHeight="1" x14ac:dyDescent="0.2">
      <c r="A523" s="604"/>
      <c r="B523" s="605"/>
      <c r="C523" s="604"/>
      <c r="D523" s="604"/>
      <c r="E523" s="604"/>
      <c r="F523" s="604"/>
      <c r="G523" s="604"/>
      <c r="H523" s="604"/>
      <c r="I523" s="604" t="s">
        <v>79</v>
      </c>
      <c r="J523" s="604"/>
      <c r="K523" s="604"/>
      <c r="L523" s="604"/>
      <c r="M523" s="604"/>
      <c r="N523" s="604"/>
      <c r="AA523" s="767"/>
      <c r="AB523" s="598"/>
    </row>
    <row r="524" spans="1:32" s="597" customFormat="1" ht="14.1" customHeight="1" x14ac:dyDescent="0.2">
      <c r="A524" s="604"/>
      <c r="B524" s="605"/>
      <c r="C524" s="604"/>
      <c r="D524" s="604"/>
      <c r="E524" s="604"/>
      <c r="F524" s="604"/>
      <c r="G524" s="604"/>
      <c r="H524" s="604"/>
      <c r="I524" s="604" t="s">
        <v>80</v>
      </c>
      <c r="J524" s="604"/>
      <c r="K524" s="604"/>
      <c r="L524" s="604"/>
      <c r="M524" s="604"/>
      <c r="N524" s="604"/>
      <c r="AA524" s="767"/>
      <c r="AB524" s="598"/>
    </row>
    <row r="525" spans="1:32" s="597" customFormat="1" ht="14.1" customHeight="1" x14ac:dyDescent="0.2">
      <c r="A525" s="604"/>
      <c r="B525" s="605"/>
      <c r="C525" s="604"/>
      <c r="D525" s="604"/>
      <c r="E525" s="604"/>
      <c r="F525" s="604"/>
      <c r="G525" s="604"/>
      <c r="H525" s="604"/>
      <c r="I525" s="604" t="s">
        <v>81</v>
      </c>
      <c r="J525" s="604"/>
      <c r="K525" s="604"/>
      <c r="L525" s="604"/>
      <c r="M525" s="604"/>
      <c r="N525" s="604"/>
      <c r="AA525" s="767"/>
      <c r="AB525" s="598"/>
    </row>
    <row r="526" spans="1:32" s="597" customFormat="1" ht="14.1" customHeight="1" x14ac:dyDescent="0.2">
      <c r="A526" s="604"/>
      <c r="B526" s="605"/>
      <c r="C526" s="604"/>
      <c r="D526" s="604"/>
      <c r="E526" s="604"/>
      <c r="F526" s="604"/>
      <c r="G526" s="604"/>
      <c r="H526" s="604"/>
      <c r="I526" s="604" t="s">
        <v>88</v>
      </c>
      <c r="J526" s="604"/>
      <c r="K526" s="604"/>
      <c r="L526" s="604"/>
      <c r="M526" s="604"/>
      <c r="N526" s="604"/>
      <c r="AA526" s="767"/>
      <c r="AB526" s="598"/>
    </row>
    <row r="527" spans="1:32" s="597" customFormat="1" ht="18" customHeight="1" x14ac:dyDescent="0.2">
      <c r="A527" s="339"/>
      <c r="B527" s="339"/>
      <c r="C527" s="339"/>
      <c r="D527" s="339"/>
      <c r="E527" s="339"/>
      <c r="F527" s="339"/>
      <c r="G527" s="339"/>
      <c r="H527" s="339"/>
      <c r="I527" s="339"/>
      <c r="J527" s="339"/>
      <c r="K527" s="339"/>
      <c r="L527" s="339"/>
      <c r="M527" s="339"/>
      <c r="N527" s="339"/>
      <c r="O527" s="339"/>
      <c r="P527" s="339"/>
      <c r="Q527" s="339"/>
      <c r="R527" s="339"/>
      <c r="S527" s="339"/>
      <c r="T527" s="339"/>
      <c r="U527" s="339"/>
      <c r="V527" s="339"/>
      <c r="W527" s="339"/>
      <c r="X527" s="339"/>
      <c r="Y527" s="339"/>
      <c r="Z527" s="339"/>
      <c r="AA527" s="2702" t="s">
        <v>0</v>
      </c>
      <c r="AB527" s="2702"/>
      <c r="AC527" s="339"/>
      <c r="AD527" s="339"/>
      <c r="AE527" s="339"/>
      <c r="AF527" s="339"/>
    </row>
    <row r="528" spans="1:32" s="597" customFormat="1" ht="18" customHeight="1" x14ac:dyDescent="0.2">
      <c r="A528" s="2703" t="s">
        <v>1</v>
      </c>
      <c r="B528" s="2703"/>
      <c r="C528" s="2703"/>
      <c r="D528" s="2703"/>
      <c r="E528" s="2703"/>
      <c r="F528" s="2703"/>
      <c r="G528" s="2703"/>
      <c r="H528" s="2703"/>
      <c r="I528" s="2703"/>
      <c r="J528" s="2703"/>
      <c r="K528" s="2703"/>
      <c r="L528" s="2703"/>
      <c r="M528" s="2703"/>
      <c r="N528" s="2703"/>
      <c r="O528" s="2703"/>
      <c r="P528" s="2703"/>
      <c r="Q528" s="2703"/>
      <c r="R528" s="2703"/>
      <c r="S528" s="2703"/>
      <c r="T528" s="2703"/>
      <c r="U528" s="2703"/>
      <c r="V528" s="2703"/>
      <c r="W528" s="2703"/>
      <c r="X528" s="2703"/>
      <c r="Y528" s="2703"/>
      <c r="Z528" s="2703"/>
      <c r="AA528" s="2703"/>
      <c r="AB528" s="2703"/>
      <c r="AC528" s="344"/>
      <c r="AD528" s="344"/>
      <c r="AE528" s="344"/>
      <c r="AF528" s="344"/>
    </row>
    <row r="529" spans="1:33" s="597" customFormat="1" ht="18" customHeight="1" x14ac:dyDescent="0.2">
      <c r="A529" s="2704" t="s">
        <v>558</v>
      </c>
      <c r="B529" s="2704"/>
      <c r="C529" s="2704"/>
      <c r="D529" s="2704"/>
      <c r="E529" s="2704"/>
      <c r="F529" s="2704"/>
      <c r="G529" s="2704"/>
      <c r="H529" s="2704"/>
      <c r="I529" s="2704"/>
      <c r="J529" s="2704"/>
      <c r="K529" s="2704"/>
      <c r="L529" s="2704"/>
      <c r="M529" s="2704"/>
      <c r="N529" s="2704"/>
      <c r="O529" s="2704"/>
      <c r="P529" s="2704"/>
      <c r="Q529" s="2704"/>
      <c r="R529" s="2704"/>
      <c r="S529" s="2704"/>
      <c r="T529" s="2704"/>
      <c r="U529" s="2704"/>
      <c r="V529" s="2704"/>
      <c r="W529" s="2704"/>
      <c r="X529" s="2704"/>
      <c r="Y529" s="2704"/>
      <c r="Z529" s="2704"/>
      <c r="AA529" s="2704"/>
      <c r="AB529" s="2704"/>
      <c r="AC529" s="599"/>
      <c r="AD529" s="599"/>
      <c r="AE529" s="599"/>
      <c r="AF529" s="599"/>
    </row>
    <row r="530" spans="1:33" s="597" customFormat="1" ht="14.1" customHeight="1" x14ac:dyDescent="0.2">
      <c r="A530" s="2686" t="s">
        <v>2</v>
      </c>
      <c r="B530" s="360"/>
      <c r="C530" s="2686" t="s">
        <v>3</v>
      </c>
      <c r="D530" s="360"/>
      <c r="E530" s="360"/>
      <c r="F530" s="2693" t="s">
        <v>4</v>
      </c>
      <c r="G530" s="2693"/>
      <c r="H530" s="2693"/>
      <c r="I530" s="2694"/>
      <c r="J530" s="2694"/>
      <c r="K530" s="2695"/>
      <c r="L530" s="361"/>
      <c r="M530" s="2679" t="s">
        <v>5</v>
      </c>
      <c r="N530" s="2679"/>
      <c r="O530" s="2679"/>
      <c r="P530" s="2679"/>
      <c r="Q530" s="2696"/>
      <c r="R530" s="2696"/>
      <c r="S530" s="2696"/>
      <c r="T530" s="2696"/>
      <c r="U530" s="2696"/>
      <c r="V530" s="2697"/>
      <c r="W530" s="362" t="s">
        <v>6</v>
      </c>
      <c r="X530" s="363" t="s">
        <v>7</v>
      </c>
      <c r="Y530" s="364"/>
      <c r="Z530" s="364"/>
      <c r="AA530" s="363"/>
      <c r="AB530" s="365"/>
      <c r="AC530" s="516" t="s">
        <v>8</v>
      </c>
      <c r="AD530" s="346"/>
      <c r="AE530" s="346"/>
      <c r="AF530" s="600"/>
    </row>
    <row r="531" spans="1:33" s="597" customFormat="1" ht="14.1" customHeight="1" x14ac:dyDescent="0.2">
      <c r="A531" s="2687"/>
      <c r="B531" s="367"/>
      <c r="C531" s="2687"/>
      <c r="D531" s="2062" t="s">
        <v>9</v>
      </c>
      <c r="E531" s="368" t="s">
        <v>10</v>
      </c>
      <c r="F531" s="2698" t="s">
        <v>11</v>
      </c>
      <c r="G531" s="2694"/>
      <c r="H531" s="2695"/>
      <c r="I531" s="360"/>
      <c r="J531" s="369" t="s">
        <v>12</v>
      </c>
      <c r="K531" s="360"/>
      <c r="L531" s="2679" t="s">
        <v>2</v>
      </c>
      <c r="M531" s="2067"/>
      <c r="N531" s="2067"/>
      <c r="O531" s="2067"/>
      <c r="P531" s="371"/>
      <c r="Q531" s="372" t="s">
        <v>13</v>
      </c>
      <c r="R531" s="373" t="s">
        <v>12</v>
      </c>
      <c r="S531" s="2067" t="s">
        <v>6</v>
      </c>
      <c r="T531" s="2682" t="s">
        <v>14</v>
      </c>
      <c r="U531" s="2683"/>
      <c r="V531" s="375" t="s">
        <v>7</v>
      </c>
      <c r="W531" s="376" t="s">
        <v>15</v>
      </c>
      <c r="X531" s="377" t="s">
        <v>16</v>
      </c>
      <c r="Y531" s="377" t="s">
        <v>17</v>
      </c>
      <c r="Z531" s="377" t="s">
        <v>18</v>
      </c>
      <c r="AA531" s="377"/>
      <c r="AB531" s="378" t="s">
        <v>19</v>
      </c>
      <c r="AC531" s="528" t="s">
        <v>20</v>
      </c>
      <c r="AD531" s="601"/>
      <c r="AE531" s="347" t="s">
        <v>21</v>
      </c>
      <c r="AF531" s="340" t="s">
        <v>22</v>
      </c>
    </row>
    <row r="532" spans="1:33" s="597" customFormat="1" ht="14.1" customHeight="1" x14ac:dyDescent="0.2">
      <c r="A532" s="2687"/>
      <c r="B532" s="2062" t="s">
        <v>23</v>
      </c>
      <c r="C532" s="2687"/>
      <c r="D532" s="2062" t="s">
        <v>24</v>
      </c>
      <c r="E532" s="368" t="s">
        <v>25</v>
      </c>
      <c r="F532" s="2699"/>
      <c r="G532" s="2700"/>
      <c r="H532" s="2701"/>
      <c r="I532" s="2062" t="s">
        <v>26</v>
      </c>
      <c r="J532" s="379" t="s">
        <v>15</v>
      </c>
      <c r="K532" s="2066" t="s">
        <v>6</v>
      </c>
      <c r="L532" s="2680"/>
      <c r="M532" s="2068" t="s">
        <v>27</v>
      </c>
      <c r="N532" s="2068" t="s">
        <v>10</v>
      </c>
      <c r="O532" s="382" t="s">
        <v>10</v>
      </c>
      <c r="P532" s="383" t="s">
        <v>28</v>
      </c>
      <c r="Q532" s="384" t="s">
        <v>29</v>
      </c>
      <c r="R532" s="383" t="s">
        <v>15</v>
      </c>
      <c r="S532" s="385" t="s">
        <v>15</v>
      </c>
      <c r="T532" s="2684"/>
      <c r="U532" s="2685"/>
      <c r="V532" s="375" t="s">
        <v>30</v>
      </c>
      <c r="W532" s="376" t="s">
        <v>31</v>
      </c>
      <c r="X532" s="377" t="s">
        <v>30</v>
      </c>
      <c r="Y532" s="377" t="s">
        <v>32</v>
      </c>
      <c r="Z532" s="377" t="s">
        <v>7</v>
      </c>
      <c r="AA532" s="377" t="s">
        <v>33</v>
      </c>
      <c r="AB532" s="378" t="s">
        <v>34</v>
      </c>
      <c r="AC532" s="528" t="s">
        <v>35</v>
      </c>
      <c r="AD532" s="347" t="s">
        <v>36</v>
      </c>
      <c r="AE532" s="347" t="s">
        <v>37</v>
      </c>
      <c r="AF532" s="340" t="s">
        <v>38</v>
      </c>
    </row>
    <row r="533" spans="1:33" s="597" customFormat="1" ht="14.1" customHeight="1" x14ac:dyDescent="0.2">
      <c r="A533" s="2687"/>
      <c r="B533" s="2062" t="s">
        <v>39</v>
      </c>
      <c r="C533" s="2687"/>
      <c r="D533" s="2062" t="s">
        <v>40</v>
      </c>
      <c r="E533" s="368" t="s">
        <v>41</v>
      </c>
      <c r="F533" s="2686" t="s">
        <v>42</v>
      </c>
      <c r="G533" s="2686" t="s">
        <v>43</v>
      </c>
      <c r="H533" s="2688" t="s">
        <v>44</v>
      </c>
      <c r="I533" s="2062" t="s">
        <v>45</v>
      </c>
      <c r="J533" s="379" t="s">
        <v>46</v>
      </c>
      <c r="K533" s="2066" t="s">
        <v>47</v>
      </c>
      <c r="L533" s="2680"/>
      <c r="M533" s="2068" t="s">
        <v>30</v>
      </c>
      <c r="N533" s="2068" t="s">
        <v>30</v>
      </c>
      <c r="O533" s="382" t="s">
        <v>25</v>
      </c>
      <c r="P533" s="383" t="s">
        <v>30</v>
      </c>
      <c r="Q533" s="384" t="s">
        <v>48</v>
      </c>
      <c r="R533" s="383" t="s">
        <v>49</v>
      </c>
      <c r="S533" s="385" t="s">
        <v>30</v>
      </c>
      <c r="T533" s="386" t="s">
        <v>50</v>
      </c>
      <c r="U533" s="2065" t="s">
        <v>13</v>
      </c>
      <c r="V533" s="375" t="s">
        <v>51</v>
      </c>
      <c r="W533" s="376" t="s">
        <v>52</v>
      </c>
      <c r="X533" s="377" t="s">
        <v>53</v>
      </c>
      <c r="Y533" s="377" t="s">
        <v>54</v>
      </c>
      <c r="Z533" s="377" t="s">
        <v>55</v>
      </c>
      <c r="AA533" s="377" t="s">
        <v>56</v>
      </c>
      <c r="AB533" s="378" t="s">
        <v>57</v>
      </c>
      <c r="AC533" s="347" t="s">
        <v>58</v>
      </c>
      <c r="AD533" s="347" t="s">
        <v>59</v>
      </c>
      <c r="AE533" s="347" t="s">
        <v>59</v>
      </c>
      <c r="AF533" s="340" t="s">
        <v>60</v>
      </c>
    </row>
    <row r="534" spans="1:33" s="597" customFormat="1" ht="14.1" customHeight="1" x14ac:dyDescent="0.2">
      <c r="A534" s="2687"/>
      <c r="B534" s="2062" t="s">
        <v>61</v>
      </c>
      <c r="C534" s="2687"/>
      <c r="D534" s="2062" t="s">
        <v>62</v>
      </c>
      <c r="E534" s="368" t="s">
        <v>63</v>
      </c>
      <c r="F534" s="2687"/>
      <c r="G534" s="2687"/>
      <c r="H534" s="2689"/>
      <c r="I534" s="2062" t="s">
        <v>64</v>
      </c>
      <c r="J534" s="379" t="s">
        <v>59</v>
      </c>
      <c r="K534" s="2066" t="s">
        <v>59</v>
      </c>
      <c r="L534" s="2680"/>
      <c r="M534" s="2068"/>
      <c r="N534" s="2068"/>
      <c r="O534" s="382" t="s">
        <v>41</v>
      </c>
      <c r="P534" s="383" t="s">
        <v>65</v>
      </c>
      <c r="Q534" s="384" t="s">
        <v>66</v>
      </c>
      <c r="R534" s="383" t="s">
        <v>67</v>
      </c>
      <c r="S534" s="385" t="s">
        <v>59</v>
      </c>
      <c r="T534" s="387" t="s">
        <v>68</v>
      </c>
      <c r="U534" s="375" t="s">
        <v>14</v>
      </c>
      <c r="V534" s="375" t="s">
        <v>14</v>
      </c>
      <c r="W534" s="376" t="s">
        <v>30</v>
      </c>
      <c r="X534" s="388" t="s">
        <v>69</v>
      </c>
      <c r="Y534" s="388" t="s">
        <v>70</v>
      </c>
      <c r="Z534" s="377" t="s">
        <v>71</v>
      </c>
      <c r="AA534" s="377" t="s">
        <v>72</v>
      </c>
      <c r="AB534" s="378" t="s">
        <v>59</v>
      </c>
      <c r="AC534" s="347" t="s">
        <v>59</v>
      </c>
      <c r="AD534" s="347"/>
      <c r="AE534" s="347"/>
      <c r="AF534" s="340" t="s">
        <v>59</v>
      </c>
    </row>
    <row r="535" spans="1:33" s="597" customFormat="1" ht="14.1" customHeight="1" x14ac:dyDescent="0.2">
      <c r="A535" s="2692"/>
      <c r="B535" s="390"/>
      <c r="C535" s="2692"/>
      <c r="D535" s="390"/>
      <c r="E535" s="2063"/>
      <c r="F535" s="390"/>
      <c r="G535" s="390"/>
      <c r="H535" s="391"/>
      <c r="I535" s="2063"/>
      <c r="J535" s="392"/>
      <c r="K535" s="393"/>
      <c r="L535" s="2681"/>
      <c r="M535" s="2069"/>
      <c r="N535" s="2069"/>
      <c r="O535" s="2069" t="s">
        <v>63</v>
      </c>
      <c r="P535" s="395"/>
      <c r="Q535" s="396" t="s">
        <v>72</v>
      </c>
      <c r="R535" s="397" t="s">
        <v>59</v>
      </c>
      <c r="S535" s="398"/>
      <c r="T535" s="397" t="s">
        <v>73</v>
      </c>
      <c r="U535" s="398" t="s">
        <v>59</v>
      </c>
      <c r="V535" s="399" t="s">
        <v>59</v>
      </c>
      <c r="W535" s="400" t="s">
        <v>59</v>
      </c>
      <c r="X535" s="401" t="s">
        <v>59</v>
      </c>
      <c r="Y535" s="401" t="s">
        <v>59</v>
      </c>
      <c r="Z535" s="401" t="s">
        <v>59</v>
      </c>
      <c r="AA535" s="402"/>
      <c r="AB535" s="403"/>
      <c r="AC535" s="348"/>
      <c r="AD535" s="348"/>
      <c r="AE535" s="348"/>
      <c r="AF535" s="341"/>
    </row>
    <row r="536" spans="1:33" s="597" customFormat="1" ht="18" customHeight="1" x14ac:dyDescent="0.25">
      <c r="A536" s="53">
        <v>1</v>
      </c>
      <c r="B536" s="1387">
        <v>70420</v>
      </c>
      <c r="C536" s="259">
        <v>1459</v>
      </c>
      <c r="D536" s="259" t="s">
        <v>83</v>
      </c>
      <c r="E536" s="259">
        <v>4</v>
      </c>
      <c r="F536" s="259">
        <v>0</v>
      </c>
      <c r="G536" s="259">
        <v>0</v>
      </c>
      <c r="H536" s="272">
        <v>49.5</v>
      </c>
      <c r="I536" s="44">
        <f>F536*400+G536*100+H536</f>
        <v>49.5</v>
      </c>
      <c r="J536" s="42">
        <v>280</v>
      </c>
      <c r="K536" s="60">
        <f>SUM(I536*J536)</f>
        <v>13860</v>
      </c>
      <c r="L536" s="969"/>
      <c r="M536" s="969"/>
      <c r="N536" s="969"/>
      <c r="O536" s="808"/>
      <c r="P536" s="969"/>
      <c r="Q536" s="970"/>
      <c r="R536" s="971"/>
      <c r="S536" s="972"/>
      <c r="T536" s="973"/>
      <c r="U536" s="972"/>
      <c r="V536" s="972"/>
      <c r="W536" s="67">
        <f>K536+V536+K537+K538</f>
        <v>13860</v>
      </c>
      <c r="X536" s="972">
        <f>W536</f>
        <v>13860</v>
      </c>
      <c r="Y536" s="972">
        <f>V536</f>
        <v>0</v>
      </c>
      <c r="Z536" s="972">
        <f>+X536</f>
        <v>13860</v>
      </c>
      <c r="AA536" s="974">
        <v>0.6</v>
      </c>
      <c r="AB536" s="465">
        <f>+Z536*AA536/100</f>
        <v>83.16</v>
      </c>
      <c r="AC536" s="602"/>
      <c r="AD536" s="603">
        <f>AB536-AC536</f>
        <v>83.16</v>
      </c>
      <c r="AE536" s="603">
        <f>IF(AD536&lt;=0,0,AD536*25/100)</f>
        <v>20.79</v>
      </c>
      <c r="AF536" s="603">
        <f>IF(AC536+AE536&gt;AB536,AB536,AC536+AE536)</f>
        <v>20.79</v>
      </c>
      <c r="AG536" s="1750" t="s">
        <v>387</v>
      </c>
    </row>
    <row r="537" spans="1:33" s="597" customFormat="1" ht="18" customHeight="1" x14ac:dyDescent="0.2">
      <c r="A537" s="2070"/>
      <c r="B537" s="177"/>
      <c r="C537" s="177"/>
      <c r="D537" s="2070"/>
      <c r="E537" s="2070"/>
      <c r="F537" s="2070"/>
      <c r="G537" s="2070"/>
      <c r="H537" s="2076"/>
      <c r="I537" s="2072"/>
      <c r="J537" s="178"/>
      <c r="K537" s="2072"/>
      <c r="L537" s="2070"/>
      <c r="M537" s="2070"/>
      <c r="N537" s="2070"/>
      <c r="O537" s="2070"/>
      <c r="P537" s="2076"/>
      <c r="Q537" s="2071"/>
      <c r="R537" s="437"/>
      <c r="S537" s="2072"/>
      <c r="T537" s="179"/>
      <c r="U537" s="178"/>
      <c r="V537" s="2072"/>
      <c r="W537" s="2072"/>
      <c r="X537" s="470"/>
      <c r="Y537" s="470"/>
      <c r="Z537" s="471"/>
      <c r="AA537" s="764"/>
      <c r="AB537" s="466"/>
      <c r="AC537" s="350"/>
      <c r="AD537" s="350"/>
      <c r="AE537" s="350"/>
      <c r="AF537" s="350"/>
    </row>
    <row r="538" spans="1:33" s="597" customFormat="1" ht="18" customHeight="1" x14ac:dyDescent="0.2">
      <c r="A538" s="2070"/>
      <c r="B538" s="177"/>
      <c r="C538" s="177"/>
      <c r="D538" s="2070"/>
      <c r="E538" s="2070"/>
      <c r="F538" s="2070"/>
      <c r="G538" s="2070"/>
      <c r="H538" s="2076"/>
      <c r="I538" s="2072"/>
      <c r="J538" s="178"/>
      <c r="K538" s="2072"/>
      <c r="L538" s="2070"/>
      <c r="M538" s="2070"/>
      <c r="N538" s="2070"/>
      <c r="O538" s="2070"/>
      <c r="P538" s="2076"/>
      <c r="Q538" s="2071"/>
      <c r="R538" s="437"/>
      <c r="S538" s="2072"/>
      <c r="T538" s="179"/>
      <c r="U538" s="178"/>
      <c r="V538" s="2072"/>
      <c r="W538" s="2072"/>
      <c r="X538" s="470"/>
      <c r="Y538" s="470"/>
      <c r="Z538" s="471"/>
      <c r="AA538" s="764"/>
      <c r="AB538" s="466"/>
      <c r="AC538" s="350"/>
      <c r="AD538" s="350"/>
      <c r="AE538" s="350"/>
      <c r="AF538" s="350"/>
    </row>
    <row r="539" spans="1:33" s="597" customFormat="1" ht="18" customHeight="1" x14ac:dyDescent="0.2">
      <c r="A539" s="2070"/>
      <c r="B539" s="177"/>
      <c r="C539" s="177"/>
      <c r="D539" s="2070"/>
      <c r="E539" s="2070"/>
      <c r="F539" s="2070"/>
      <c r="G539" s="2070"/>
      <c r="H539" s="2076"/>
      <c r="I539" s="2072"/>
      <c r="J539" s="178"/>
      <c r="K539" s="2072"/>
      <c r="L539" s="2070"/>
      <c r="M539" s="2070"/>
      <c r="N539" s="2070"/>
      <c r="O539" s="2070"/>
      <c r="P539" s="2076"/>
      <c r="Q539" s="2071"/>
      <c r="R539" s="437"/>
      <c r="S539" s="2072"/>
      <c r="T539" s="179"/>
      <c r="U539" s="178"/>
      <c r="V539" s="2072"/>
      <c r="W539" s="2072"/>
      <c r="X539" s="470"/>
      <c r="Y539" s="470"/>
      <c r="Z539" s="471"/>
      <c r="AA539" s="764"/>
      <c r="AB539" s="466"/>
      <c r="AC539" s="350"/>
      <c r="AD539" s="350"/>
      <c r="AE539" s="350"/>
      <c r="AF539" s="350"/>
    </row>
    <row r="540" spans="1:33" s="597" customFormat="1" ht="18" customHeight="1" x14ac:dyDescent="0.2">
      <c r="A540" s="2070"/>
      <c r="B540" s="177"/>
      <c r="C540" s="177"/>
      <c r="D540" s="2070"/>
      <c r="E540" s="2070"/>
      <c r="F540" s="2070"/>
      <c r="G540" s="2070"/>
      <c r="H540" s="2076"/>
      <c r="I540" s="2072"/>
      <c r="J540" s="178"/>
      <c r="K540" s="2072"/>
      <c r="L540" s="2070"/>
      <c r="M540" s="2070"/>
      <c r="N540" s="2070"/>
      <c r="O540" s="2070"/>
      <c r="P540" s="2076"/>
      <c r="Q540" s="2071"/>
      <c r="R540" s="437"/>
      <c r="S540" s="2072"/>
      <c r="T540" s="179"/>
      <c r="U540" s="178"/>
      <c r="V540" s="2072"/>
      <c r="W540" s="2072"/>
      <c r="X540" s="470"/>
      <c r="Y540" s="470"/>
      <c r="Z540" s="471"/>
      <c r="AA540" s="764"/>
      <c r="AB540" s="466"/>
      <c r="AC540" s="350"/>
      <c r="AD540" s="350"/>
      <c r="AE540" s="350"/>
      <c r="AF540" s="350"/>
    </row>
    <row r="541" spans="1:33" s="597" customFormat="1" ht="18" customHeight="1" x14ac:dyDescent="0.2">
      <c r="A541" s="2070"/>
      <c r="B541" s="177"/>
      <c r="C541" s="177"/>
      <c r="D541" s="2070"/>
      <c r="E541" s="2070"/>
      <c r="F541" s="2070"/>
      <c r="G541" s="2070"/>
      <c r="H541" s="2076"/>
      <c r="I541" s="2072"/>
      <c r="J541" s="178"/>
      <c r="K541" s="2072"/>
      <c r="L541" s="2070"/>
      <c r="M541" s="2070"/>
      <c r="N541" s="2070"/>
      <c r="O541" s="2070"/>
      <c r="P541" s="2076"/>
      <c r="Q541" s="2071"/>
      <c r="R541" s="437"/>
      <c r="S541" s="2072"/>
      <c r="T541" s="179"/>
      <c r="U541" s="178"/>
      <c r="V541" s="2072"/>
      <c r="W541" s="2072"/>
      <c r="X541" s="470"/>
      <c r="Y541" s="470"/>
      <c r="Z541" s="471"/>
      <c r="AA541" s="764"/>
      <c r="AB541" s="466"/>
      <c r="AC541" s="350"/>
      <c r="AD541" s="350"/>
      <c r="AE541" s="350"/>
      <c r="AF541" s="350"/>
    </row>
    <row r="542" spans="1:33" s="597" customFormat="1" ht="18" customHeight="1" x14ac:dyDescent="0.2">
      <c r="A542" s="2070"/>
      <c r="B542" s="177"/>
      <c r="C542" s="177"/>
      <c r="D542" s="2070"/>
      <c r="E542" s="2070"/>
      <c r="F542" s="2070"/>
      <c r="G542" s="2070"/>
      <c r="H542" s="2076"/>
      <c r="I542" s="2072"/>
      <c r="J542" s="178"/>
      <c r="K542" s="2072"/>
      <c r="L542" s="2070"/>
      <c r="M542" s="2070"/>
      <c r="N542" s="2070"/>
      <c r="O542" s="2070"/>
      <c r="P542" s="2076"/>
      <c r="Q542" s="2071"/>
      <c r="R542" s="437"/>
      <c r="S542" s="2072"/>
      <c r="T542" s="179"/>
      <c r="U542" s="178"/>
      <c r="V542" s="2072"/>
      <c r="W542" s="2072"/>
      <c r="X542" s="470"/>
      <c r="Y542" s="470"/>
      <c r="Z542" s="471"/>
      <c r="AA542" s="764"/>
      <c r="AB542" s="466"/>
      <c r="AC542" s="350"/>
      <c r="AD542" s="350"/>
      <c r="AE542" s="350"/>
      <c r="AF542" s="350"/>
    </row>
    <row r="543" spans="1:33" s="597" customFormat="1" ht="18" customHeight="1" x14ac:dyDescent="0.2">
      <c r="A543" s="2070"/>
      <c r="B543" s="177"/>
      <c r="C543" s="177"/>
      <c r="D543" s="2070"/>
      <c r="E543" s="2070"/>
      <c r="F543" s="2070"/>
      <c r="G543" s="2070"/>
      <c r="H543" s="2076"/>
      <c r="I543" s="2072"/>
      <c r="J543" s="178"/>
      <c r="K543" s="2072"/>
      <c r="L543" s="2070"/>
      <c r="M543" s="2070"/>
      <c r="N543" s="2070"/>
      <c r="O543" s="2070"/>
      <c r="P543" s="2076"/>
      <c r="Q543" s="2071"/>
      <c r="R543" s="437"/>
      <c r="S543" s="2072"/>
      <c r="T543" s="179"/>
      <c r="U543" s="178"/>
      <c r="V543" s="2072"/>
      <c r="W543" s="2072"/>
      <c r="X543" s="470"/>
      <c r="Y543" s="470"/>
      <c r="Z543" s="471"/>
      <c r="AA543" s="764"/>
      <c r="AB543" s="466"/>
      <c r="AC543" s="350"/>
      <c r="AD543" s="350"/>
      <c r="AE543" s="350"/>
      <c r="AF543" s="350"/>
    </row>
    <row r="544" spans="1:33" s="597" customFormat="1" ht="18" customHeight="1" x14ac:dyDescent="0.2">
      <c r="A544" s="2070"/>
      <c r="B544" s="177"/>
      <c r="C544" s="177"/>
      <c r="D544" s="2070"/>
      <c r="E544" s="2070"/>
      <c r="F544" s="2070"/>
      <c r="G544" s="2070"/>
      <c r="H544" s="2076"/>
      <c r="I544" s="2072"/>
      <c r="J544" s="178"/>
      <c r="K544" s="2072"/>
      <c r="L544" s="2070"/>
      <c r="M544" s="2070"/>
      <c r="N544" s="2070"/>
      <c r="O544" s="2070"/>
      <c r="P544" s="2076"/>
      <c r="Q544" s="2071"/>
      <c r="R544" s="437"/>
      <c r="S544" s="2072"/>
      <c r="T544" s="179"/>
      <c r="U544" s="178"/>
      <c r="V544" s="2072"/>
      <c r="W544" s="2072"/>
      <c r="X544" s="470"/>
      <c r="Y544" s="470"/>
      <c r="Z544" s="471"/>
      <c r="AA544" s="764"/>
      <c r="AB544" s="466"/>
      <c r="AC544" s="350"/>
      <c r="AD544" s="350"/>
      <c r="AE544" s="350"/>
      <c r="AF544" s="350"/>
    </row>
    <row r="545" spans="1:32" s="597" customFormat="1" ht="18" customHeight="1" x14ac:dyDescent="0.2">
      <c r="A545" s="2070"/>
      <c r="B545" s="177"/>
      <c r="C545" s="177"/>
      <c r="D545" s="2070"/>
      <c r="E545" s="2070"/>
      <c r="F545" s="2070"/>
      <c r="G545" s="2070"/>
      <c r="H545" s="2076"/>
      <c r="I545" s="2072"/>
      <c r="J545" s="178"/>
      <c r="K545" s="2072"/>
      <c r="L545" s="2070"/>
      <c r="M545" s="2070"/>
      <c r="N545" s="2070"/>
      <c r="O545" s="2070"/>
      <c r="P545" s="2076"/>
      <c r="Q545" s="2071"/>
      <c r="R545" s="437"/>
      <c r="S545" s="2072"/>
      <c r="T545" s="179"/>
      <c r="U545" s="178"/>
      <c r="V545" s="2072"/>
      <c r="W545" s="2072"/>
      <c r="X545" s="470"/>
      <c r="Y545" s="470"/>
      <c r="Z545" s="471"/>
      <c r="AA545" s="764"/>
      <c r="AB545" s="466"/>
      <c r="AC545" s="350"/>
      <c r="AD545" s="350"/>
      <c r="AE545" s="350"/>
      <c r="AF545" s="350"/>
    </row>
    <row r="546" spans="1:32" s="597" customFormat="1" ht="18" customHeight="1" x14ac:dyDescent="0.2">
      <c r="A546" s="2070"/>
      <c r="B546" s="177"/>
      <c r="C546" s="177"/>
      <c r="D546" s="2070"/>
      <c r="E546" s="2070"/>
      <c r="F546" s="2070"/>
      <c r="G546" s="2070"/>
      <c r="H546" s="2076"/>
      <c r="I546" s="2072"/>
      <c r="J546" s="178"/>
      <c r="K546" s="2072"/>
      <c r="L546" s="2070"/>
      <c r="M546" s="2070"/>
      <c r="N546" s="2070"/>
      <c r="O546" s="2070"/>
      <c r="P546" s="2076"/>
      <c r="Q546" s="2071"/>
      <c r="R546" s="437"/>
      <c r="S546" s="2072"/>
      <c r="T546" s="179"/>
      <c r="U546" s="178"/>
      <c r="V546" s="2072"/>
      <c r="W546" s="2072"/>
      <c r="X546" s="470"/>
      <c r="Y546" s="470"/>
      <c r="Z546" s="471"/>
      <c r="AA546" s="764"/>
      <c r="AB546" s="466"/>
      <c r="AC546" s="350"/>
      <c r="AD546" s="350"/>
      <c r="AE546" s="350"/>
      <c r="AF546" s="350"/>
    </row>
    <row r="547" spans="1:32" s="597" customFormat="1" ht="18" customHeight="1" x14ac:dyDescent="0.2">
      <c r="A547" s="2070"/>
      <c r="B547" s="177"/>
      <c r="C547" s="177"/>
      <c r="D547" s="2070"/>
      <c r="E547" s="2070"/>
      <c r="F547" s="2070"/>
      <c r="G547" s="2070"/>
      <c r="H547" s="2076"/>
      <c r="I547" s="2072"/>
      <c r="J547" s="178"/>
      <c r="K547" s="2072"/>
      <c r="L547" s="2070"/>
      <c r="M547" s="2070"/>
      <c r="N547" s="2070"/>
      <c r="O547" s="2070"/>
      <c r="P547" s="2076"/>
      <c r="Q547" s="2071"/>
      <c r="R547" s="437"/>
      <c r="S547" s="2072"/>
      <c r="T547" s="179"/>
      <c r="U547" s="178"/>
      <c r="V547" s="2072"/>
      <c r="W547" s="2072"/>
      <c r="X547" s="470"/>
      <c r="Y547" s="470"/>
      <c r="Z547" s="471"/>
      <c r="AA547" s="764"/>
      <c r="AB547" s="466"/>
      <c r="AC547" s="350"/>
      <c r="AD547" s="350"/>
      <c r="AE547" s="350"/>
      <c r="AF547" s="350"/>
    </row>
    <row r="548" spans="1:32" s="597" customFormat="1" ht="18" customHeight="1" x14ac:dyDescent="0.2">
      <c r="A548" s="2070"/>
      <c r="B548" s="177"/>
      <c r="C548" s="177"/>
      <c r="D548" s="2070"/>
      <c r="E548" s="2070"/>
      <c r="F548" s="2070"/>
      <c r="G548" s="2070"/>
      <c r="H548" s="2076"/>
      <c r="I548" s="2072"/>
      <c r="J548" s="178"/>
      <c r="K548" s="2072"/>
      <c r="L548" s="2070"/>
      <c r="M548" s="2070"/>
      <c r="N548" s="2070"/>
      <c r="O548" s="2070"/>
      <c r="P548" s="2076"/>
      <c r="Q548" s="2071"/>
      <c r="R548" s="437"/>
      <c r="S548" s="2072"/>
      <c r="T548" s="179"/>
      <c r="U548" s="178"/>
      <c r="V548" s="2072"/>
      <c r="W548" s="2072"/>
      <c r="X548" s="470"/>
      <c r="Y548" s="470"/>
      <c r="Z548" s="471"/>
      <c r="AA548" s="764"/>
      <c r="AB548" s="466"/>
      <c r="AC548" s="350"/>
      <c r="AD548" s="350"/>
      <c r="AE548" s="350"/>
      <c r="AF548" s="350"/>
    </row>
    <row r="549" spans="1:32" s="597" customFormat="1" ht="18" customHeight="1" x14ac:dyDescent="0.2">
      <c r="A549" s="88"/>
      <c r="B549" s="180"/>
      <c r="C549" s="180"/>
      <c r="D549" s="88"/>
      <c r="E549" s="88"/>
      <c r="F549" s="88"/>
      <c r="G549" s="88"/>
      <c r="H549" s="120"/>
      <c r="I549" s="121"/>
      <c r="J549" s="181"/>
      <c r="K549" s="121"/>
      <c r="L549" s="88"/>
      <c r="M549" s="88"/>
      <c r="N549" s="88"/>
      <c r="O549" s="88"/>
      <c r="P549" s="88"/>
      <c r="Q549" s="129"/>
      <c r="R549" s="445"/>
      <c r="S549" s="121"/>
      <c r="T549" s="182"/>
      <c r="U549" s="181"/>
      <c r="V549" s="121"/>
      <c r="W549" s="121"/>
      <c r="X549" s="472"/>
      <c r="Y549" s="472"/>
      <c r="Z549" s="473"/>
      <c r="AA549" s="780"/>
      <c r="AB549" s="410"/>
      <c r="AC549" s="351"/>
      <c r="AD549" s="351"/>
      <c r="AE549" s="351"/>
      <c r="AF549" s="351"/>
    </row>
    <row r="550" spans="1:32" s="597" customFormat="1" ht="18" customHeight="1" x14ac:dyDescent="0.2">
      <c r="A550" s="1850"/>
      <c r="B550" s="1850"/>
      <c r="C550" s="1850"/>
      <c r="D550" s="1850"/>
      <c r="E550" s="1850"/>
      <c r="F550" s="1850"/>
      <c r="G550" s="1850"/>
      <c r="H550" s="1851"/>
      <c r="I550" s="1852"/>
      <c r="J550" s="1853"/>
      <c r="K550" s="1852"/>
      <c r="L550" s="1852"/>
      <c r="M550" s="1852"/>
      <c r="N550" s="1852"/>
      <c r="O550" s="1852"/>
      <c r="P550" s="1852"/>
      <c r="Q550" s="1852"/>
      <c r="R550" s="1854"/>
      <c r="S550" s="1852"/>
      <c r="T550" s="1855"/>
      <c r="U550" s="1853"/>
      <c r="V550" s="1852"/>
      <c r="W550" s="1852"/>
      <c r="X550" s="1856"/>
      <c r="Y550" s="1856"/>
      <c r="Z550" s="1857"/>
      <c r="AA550" s="2125"/>
      <c r="AB550" s="1847">
        <f>SUM(AB536:AB549)</f>
        <v>83.16</v>
      </c>
      <c r="AC550" s="1861"/>
      <c r="AD550" s="1861"/>
      <c r="AE550" s="1861"/>
      <c r="AF550" s="1861"/>
    </row>
    <row r="551" spans="1:32" s="597" customFormat="1" ht="14.1" customHeight="1" x14ac:dyDescent="0.2">
      <c r="A551" s="2690" t="s">
        <v>76</v>
      </c>
      <c r="B551" s="2690"/>
      <c r="C551" s="2691" t="s">
        <v>77</v>
      </c>
      <c r="D551" s="2691"/>
      <c r="E551" s="2691"/>
      <c r="F551" s="2691"/>
      <c r="G551" s="2691"/>
      <c r="H551" s="2691"/>
      <c r="I551" s="604" t="s">
        <v>78</v>
      </c>
      <c r="J551" s="604"/>
      <c r="K551" s="604"/>
      <c r="L551" s="604"/>
      <c r="M551" s="604"/>
      <c r="N551" s="604"/>
      <c r="AA551" s="767"/>
      <c r="AB551" s="598"/>
    </row>
    <row r="552" spans="1:32" s="597" customFormat="1" ht="14.1" customHeight="1" x14ac:dyDescent="0.2">
      <c r="A552" s="604"/>
      <c r="B552" s="605"/>
      <c r="C552" s="604"/>
      <c r="D552" s="604"/>
      <c r="E552" s="604"/>
      <c r="F552" s="604"/>
      <c r="G552" s="604"/>
      <c r="H552" s="604"/>
      <c r="I552" s="604" t="s">
        <v>79</v>
      </c>
      <c r="J552" s="604"/>
      <c r="K552" s="604"/>
      <c r="L552" s="604"/>
      <c r="M552" s="604"/>
      <c r="N552" s="604"/>
      <c r="AA552" s="767"/>
      <c r="AB552" s="598"/>
    </row>
    <row r="553" spans="1:32" s="597" customFormat="1" ht="14.1" customHeight="1" x14ac:dyDescent="0.2">
      <c r="A553" s="604"/>
      <c r="B553" s="605"/>
      <c r="C553" s="604"/>
      <c r="D553" s="604"/>
      <c r="E553" s="604"/>
      <c r="F553" s="604"/>
      <c r="G553" s="604"/>
      <c r="H553" s="604"/>
      <c r="I553" s="604" t="s">
        <v>80</v>
      </c>
      <c r="J553" s="604"/>
      <c r="K553" s="604"/>
      <c r="L553" s="604"/>
      <c r="M553" s="604"/>
      <c r="N553" s="604"/>
      <c r="AA553" s="767"/>
      <c r="AB553" s="598"/>
    </row>
    <row r="554" spans="1:32" s="597" customFormat="1" ht="14.1" customHeight="1" x14ac:dyDescent="0.2">
      <c r="A554" s="604"/>
      <c r="B554" s="605"/>
      <c r="C554" s="604"/>
      <c r="D554" s="604"/>
      <c r="E554" s="604"/>
      <c r="F554" s="604"/>
      <c r="G554" s="604"/>
      <c r="H554" s="604"/>
      <c r="I554" s="604" t="s">
        <v>81</v>
      </c>
      <c r="J554" s="604"/>
      <c r="K554" s="604"/>
      <c r="L554" s="604"/>
      <c r="M554" s="604"/>
      <c r="N554" s="604"/>
      <c r="AA554" s="767"/>
      <c r="AB554" s="598"/>
    </row>
    <row r="555" spans="1:32" s="597" customFormat="1" ht="14.1" customHeight="1" x14ac:dyDescent="0.2">
      <c r="A555" s="604"/>
      <c r="B555" s="605"/>
      <c r="C555" s="604"/>
      <c r="D555" s="604"/>
      <c r="E555" s="604"/>
      <c r="F555" s="604"/>
      <c r="G555" s="604"/>
      <c r="H555" s="604"/>
      <c r="I555" s="604" t="s">
        <v>88</v>
      </c>
      <c r="J555" s="604"/>
      <c r="K555" s="604"/>
      <c r="L555" s="604"/>
      <c r="M555" s="604"/>
      <c r="N555" s="604"/>
      <c r="AA555" s="767"/>
      <c r="AB555" s="598"/>
    </row>
    <row r="556" spans="1:32" s="597" customFormat="1" ht="18" customHeight="1" x14ac:dyDescent="0.2">
      <c r="A556" s="339"/>
      <c r="B556" s="339"/>
      <c r="C556" s="339"/>
      <c r="D556" s="339"/>
      <c r="E556" s="339"/>
      <c r="F556" s="339"/>
      <c r="G556" s="339"/>
      <c r="H556" s="339"/>
      <c r="I556" s="339"/>
      <c r="J556" s="339"/>
      <c r="K556" s="339"/>
      <c r="L556" s="339"/>
      <c r="M556" s="339"/>
      <c r="N556" s="339"/>
      <c r="O556" s="339"/>
      <c r="P556" s="339"/>
      <c r="Q556" s="339"/>
      <c r="R556" s="339"/>
      <c r="S556" s="339"/>
      <c r="T556" s="339"/>
      <c r="U556" s="339"/>
      <c r="V556" s="339"/>
      <c r="W556" s="339"/>
      <c r="X556" s="339"/>
      <c r="Y556" s="339"/>
      <c r="Z556" s="339"/>
      <c r="AA556" s="2702" t="s">
        <v>0</v>
      </c>
      <c r="AB556" s="2702"/>
      <c r="AC556" s="339"/>
      <c r="AD556" s="339"/>
      <c r="AE556" s="339"/>
      <c r="AF556" s="339"/>
    </row>
    <row r="557" spans="1:32" s="597" customFormat="1" ht="18" customHeight="1" x14ac:dyDescent="0.2">
      <c r="A557" s="2703" t="s">
        <v>1</v>
      </c>
      <c r="B557" s="2703"/>
      <c r="C557" s="2703"/>
      <c r="D557" s="2703"/>
      <c r="E557" s="2703"/>
      <c r="F557" s="2703"/>
      <c r="G557" s="2703"/>
      <c r="H557" s="2703"/>
      <c r="I557" s="2703"/>
      <c r="J557" s="2703"/>
      <c r="K557" s="2703"/>
      <c r="L557" s="2703"/>
      <c r="M557" s="2703"/>
      <c r="N557" s="2703"/>
      <c r="O557" s="2703"/>
      <c r="P557" s="2703"/>
      <c r="Q557" s="2703"/>
      <c r="R557" s="2703"/>
      <c r="S557" s="2703"/>
      <c r="T557" s="2703"/>
      <c r="U557" s="2703"/>
      <c r="V557" s="2703"/>
      <c r="W557" s="2703"/>
      <c r="X557" s="2703"/>
      <c r="Y557" s="2703"/>
      <c r="Z557" s="2703"/>
      <c r="AA557" s="2703"/>
      <c r="AB557" s="2703"/>
      <c r="AC557" s="344"/>
      <c r="AD557" s="344"/>
      <c r="AE557" s="344"/>
      <c r="AF557" s="344"/>
    </row>
    <row r="558" spans="1:32" s="597" customFormat="1" ht="18" customHeight="1" x14ac:dyDescent="0.2">
      <c r="A558" s="2704" t="s">
        <v>559</v>
      </c>
      <c r="B558" s="2704"/>
      <c r="C558" s="2704"/>
      <c r="D558" s="2704"/>
      <c r="E558" s="2704"/>
      <c r="F558" s="2704"/>
      <c r="G558" s="2704"/>
      <c r="H558" s="2704"/>
      <c r="I558" s="2704"/>
      <c r="J558" s="2704"/>
      <c r="K558" s="2704"/>
      <c r="L558" s="2704"/>
      <c r="M558" s="2704"/>
      <c r="N558" s="2704"/>
      <c r="O558" s="2704"/>
      <c r="P558" s="2704"/>
      <c r="Q558" s="2704"/>
      <c r="R558" s="2704"/>
      <c r="S558" s="2704"/>
      <c r="T558" s="2704"/>
      <c r="U558" s="2704"/>
      <c r="V558" s="2704"/>
      <c r="W558" s="2704"/>
      <c r="X558" s="2704"/>
      <c r="Y558" s="2704"/>
      <c r="Z558" s="2704"/>
      <c r="AA558" s="2704"/>
      <c r="AB558" s="2704"/>
      <c r="AC558" s="599"/>
      <c r="AD558" s="599"/>
      <c r="AE558" s="599"/>
      <c r="AF558" s="599"/>
    </row>
    <row r="559" spans="1:32" s="597" customFormat="1" ht="14.1" customHeight="1" x14ac:dyDescent="0.2">
      <c r="A559" s="2686" t="s">
        <v>2</v>
      </c>
      <c r="B559" s="360"/>
      <c r="C559" s="2686" t="s">
        <v>3</v>
      </c>
      <c r="D559" s="360"/>
      <c r="E559" s="360"/>
      <c r="F559" s="2693" t="s">
        <v>4</v>
      </c>
      <c r="G559" s="2693"/>
      <c r="H559" s="2693"/>
      <c r="I559" s="2694"/>
      <c r="J559" s="2694"/>
      <c r="K559" s="2695"/>
      <c r="L559" s="361"/>
      <c r="M559" s="2679" t="s">
        <v>5</v>
      </c>
      <c r="N559" s="2679"/>
      <c r="O559" s="2679"/>
      <c r="P559" s="2679"/>
      <c r="Q559" s="2696"/>
      <c r="R559" s="2696"/>
      <c r="S559" s="2696"/>
      <c r="T559" s="2696"/>
      <c r="U559" s="2696"/>
      <c r="V559" s="2697"/>
      <c r="W559" s="362" t="s">
        <v>6</v>
      </c>
      <c r="X559" s="363" t="s">
        <v>7</v>
      </c>
      <c r="Y559" s="364"/>
      <c r="Z559" s="364"/>
      <c r="AA559" s="363"/>
      <c r="AB559" s="365"/>
      <c r="AC559" s="516" t="s">
        <v>8</v>
      </c>
      <c r="AD559" s="346"/>
      <c r="AE559" s="346"/>
      <c r="AF559" s="600"/>
    </row>
    <row r="560" spans="1:32" s="597" customFormat="1" ht="14.1" customHeight="1" x14ac:dyDescent="0.2">
      <c r="A560" s="2687"/>
      <c r="B560" s="367"/>
      <c r="C560" s="2687"/>
      <c r="D560" s="2062" t="s">
        <v>9</v>
      </c>
      <c r="E560" s="368" t="s">
        <v>10</v>
      </c>
      <c r="F560" s="2698" t="s">
        <v>11</v>
      </c>
      <c r="G560" s="2694"/>
      <c r="H560" s="2695"/>
      <c r="I560" s="360"/>
      <c r="J560" s="369" t="s">
        <v>12</v>
      </c>
      <c r="K560" s="360"/>
      <c r="L560" s="2679" t="s">
        <v>2</v>
      </c>
      <c r="M560" s="2067"/>
      <c r="N560" s="2067"/>
      <c r="O560" s="2067"/>
      <c r="P560" s="371"/>
      <c r="Q560" s="372" t="s">
        <v>13</v>
      </c>
      <c r="R560" s="373" t="s">
        <v>12</v>
      </c>
      <c r="S560" s="2067" t="s">
        <v>6</v>
      </c>
      <c r="T560" s="2682" t="s">
        <v>14</v>
      </c>
      <c r="U560" s="2683"/>
      <c r="V560" s="375" t="s">
        <v>7</v>
      </c>
      <c r="W560" s="376" t="s">
        <v>15</v>
      </c>
      <c r="X560" s="377" t="s">
        <v>16</v>
      </c>
      <c r="Y560" s="377" t="s">
        <v>17</v>
      </c>
      <c r="Z560" s="377" t="s">
        <v>18</v>
      </c>
      <c r="AA560" s="377"/>
      <c r="AB560" s="378" t="s">
        <v>19</v>
      </c>
      <c r="AC560" s="528" t="s">
        <v>20</v>
      </c>
      <c r="AD560" s="601"/>
      <c r="AE560" s="347" t="s">
        <v>21</v>
      </c>
      <c r="AF560" s="340" t="s">
        <v>22</v>
      </c>
    </row>
    <row r="561" spans="1:33" s="597" customFormat="1" ht="14.1" customHeight="1" x14ac:dyDescent="0.2">
      <c r="A561" s="2687"/>
      <c r="B561" s="2062" t="s">
        <v>23</v>
      </c>
      <c r="C561" s="2687"/>
      <c r="D561" s="2062" t="s">
        <v>24</v>
      </c>
      <c r="E561" s="368" t="s">
        <v>25</v>
      </c>
      <c r="F561" s="2699"/>
      <c r="G561" s="2700"/>
      <c r="H561" s="2701"/>
      <c r="I561" s="2062" t="s">
        <v>26</v>
      </c>
      <c r="J561" s="379" t="s">
        <v>15</v>
      </c>
      <c r="K561" s="2066" t="s">
        <v>6</v>
      </c>
      <c r="L561" s="2680"/>
      <c r="M561" s="2068" t="s">
        <v>27</v>
      </c>
      <c r="N561" s="2068" t="s">
        <v>10</v>
      </c>
      <c r="O561" s="382" t="s">
        <v>10</v>
      </c>
      <c r="P561" s="383" t="s">
        <v>28</v>
      </c>
      <c r="Q561" s="384" t="s">
        <v>29</v>
      </c>
      <c r="R561" s="383" t="s">
        <v>15</v>
      </c>
      <c r="S561" s="385" t="s">
        <v>15</v>
      </c>
      <c r="T561" s="2684"/>
      <c r="U561" s="2685"/>
      <c r="V561" s="375" t="s">
        <v>30</v>
      </c>
      <c r="W561" s="376" t="s">
        <v>31</v>
      </c>
      <c r="X561" s="377" t="s">
        <v>30</v>
      </c>
      <c r="Y561" s="377" t="s">
        <v>32</v>
      </c>
      <c r="Z561" s="377" t="s">
        <v>7</v>
      </c>
      <c r="AA561" s="377" t="s">
        <v>33</v>
      </c>
      <c r="AB561" s="378" t="s">
        <v>34</v>
      </c>
      <c r="AC561" s="528" t="s">
        <v>35</v>
      </c>
      <c r="AD561" s="347" t="s">
        <v>36</v>
      </c>
      <c r="AE561" s="347" t="s">
        <v>37</v>
      </c>
      <c r="AF561" s="340" t="s">
        <v>38</v>
      </c>
    </row>
    <row r="562" spans="1:33" s="597" customFormat="1" ht="14.1" customHeight="1" x14ac:dyDescent="0.2">
      <c r="A562" s="2687"/>
      <c r="B562" s="2062" t="s">
        <v>39</v>
      </c>
      <c r="C562" s="2687"/>
      <c r="D562" s="2062" t="s">
        <v>40</v>
      </c>
      <c r="E562" s="368" t="s">
        <v>41</v>
      </c>
      <c r="F562" s="2686" t="s">
        <v>42</v>
      </c>
      <c r="G562" s="2686" t="s">
        <v>43</v>
      </c>
      <c r="H562" s="2688" t="s">
        <v>44</v>
      </c>
      <c r="I562" s="2062" t="s">
        <v>45</v>
      </c>
      <c r="J562" s="379" t="s">
        <v>46</v>
      </c>
      <c r="K562" s="2066" t="s">
        <v>47</v>
      </c>
      <c r="L562" s="2680"/>
      <c r="M562" s="2068" t="s">
        <v>30</v>
      </c>
      <c r="N562" s="2068" t="s">
        <v>30</v>
      </c>
      <c r="O562" s="382" t="s">
        <v>25</v>
      </c>
      <c r="P562" s="383" t="s">
        <v>30</v>
      </c>
      <c r="Q562" s="384" t="s">
        <v>48</v>
      </c>
      <c r="R562" s="383" t="s">
        <v>49</v>
      </c>
      <c r="S562" s="385" t="s">
        <v>30</v>
      </c>
      <c r="T562" s="386" t="s">
        <v>50</v>
      </c>
      <c r="U562" s="2065" t="s">
        <v>13</v>
      </c>
      <c r="V562" s="375" t="s">
        <v>51</v>
      </c>
      <c r="W562" s="376" t="s">
        <v>52</v>
      </c>
      <c r="X562" s="377" t="s">
        <v>53</v>
      </c>
      <c r="Y562" s="377" t="s">
        <v>54</v>
      </c>
      <c r="Z562" s="377" t="s">
        <v>55</v>
      </c>
      <c r="AA562" s="377" t="s">
        <v>56</v>
      </c>
      <c r="AB562" s="378" t="s">
        <v>57</v>
      </c>
      <c r="AC562" s="347" t="s">
        <v>58</v>
      </c>
      <c r="AD562" s="347" t="s">
        <v>59</v>
      </c>
      <c r="AE562" s="347" t="s">
        <v>59</v>
      </c>
      <c r="AF562" s="340" t="s">
        <v>60</v>
      </c>
    </row>
    <row r="563" spans="1:33" s="597" customFormat="1" ht="14.1" customHeight="1" x14ac:dyDescent="0.2">
      <c r="A563" s="2687"/>
      <c r="B563" s="2062" t="s">
        <v>61</v>
      </c>
      <c r="C563" s="2687"/>
      <c r="D563" s="2062" t="s">
        <v>62</v>
      </c>
      <c r="E563" s="368" t="s">
        <v>63</v>
      </c>
      <c r="F563" s="2687"/>
      <c r="G563" s="2687"/>
      <c r="H563" s="2689"/>
      <c r="I563" s="2062" t="s">
        <v>64</v>
      </c>
      <c r="J563" s="379" t="s">
        <v>59</v>
      </c>
      <c r="K563" s="2066" t="s">
        <v>59</v>
      </c>
      <c r="L563" s="2680"/>
      <c r="M563" s="2068"/>
      <c r="N563" s="2068"/>
      <c r="O563" s="382" t="s">
        <v>41</v>
      </c>
      <c r="P563" s="383" t="s">
        <v>65</v>
      </c>
      <c r="Q563" s="384" t="s">
        <v>66</v>
      </c>
      <c r="R563" s="383" t="s">
        <v>67</v>
      </c>
      <c r="S563" s="385" t="s">
        <v>59</v>
      </c>
      <c r="T563" s="387" t="s">
        <v>68</v>
      </c>
      <c r="U563" s="375" t="s">
        <v>14</v>
      </c>
      <c r="V563" s="375" t="s">
        <v>14</v>
      </c>
      <c r="W563" s="376" t="s">
        <v>30</v>
      </c>
      <c r="X563" s="388" t="s">
        <v>69</v>
      </c>
      <c r="Y563" s="388" t="s">
        <v>70</v>
      </c>
      <c r="Z563" s="377" t="s">
        <v>71</v>
      </c>
      <c r="AA563" s="377" t="s">
        <v>72</v>
      </c>
      <c r="AB563" s="378" t="s">
        <v>59</v>
      </c>
      <c r="AC563" s="347" t="s">
        <v>59</v>
      </c>
      <c r="AD563" s="347"/>
      <c r="AE563" s="347"/>
      <c r="AF563" s="340" t="s">
        <v>59</v>
      </c>
    </row>
    <row r="564" spans="1:33" s="597" customFormat="1" ht="14.1" customHeight="1" x14ac:dyDescent="0.2">
      <c r="A564" s="2692"/>
      <c r="B564" s="390"/>
      <c r="C564" s="2692"/>
      <c r="D564" s="390"/>
      <c r="E564" s="2063"/>
      <c r="F564" s="390"/>
      <c r="G564" s="390"/>
      <c r="H564" s="391"/>
      <c r="I564" s="2063"/>
      <c r="J564" s="392"/>
      <c r="K564" s="393"/>
      <c r="L564" s="2681"/>
      <c r="M564" s="2069"/>
      <c r="N564" s="2069"/>
      <c r="O564" s="2069" t="s">
        <v>63</v>
      </c>
      <c r="P564" s="395"/>
      <c r="Q564" s="396" t="s">
        <v>72</v>
      </c>
      <c r="R564" s="397" t="s">
        <v>59</v>
      </c>
      <c r="S564" s="398"/>
      <c r="T564" s="397" t="s">
        <v>73</v>
      </c>
      <c r="U564" s="398" t="s">
        <v>59</v>
      </c>
      <c r="V564" s="399" t="s">
        <v>59</v>
      </c>
      <c r="W564" s="400" t="s">
        <v>59</v>
      </c>
      <c r="X564" s="401" t="s">
        <v>59</v>
      </c>
      <c r="Y564" s="401" t="s">
        <v>59</v>
      </c>
      <c r="Z564" s="401" t="s">
        <v>59</v>
      </c>
      <c r="AA564" s="402"/>
      <c r="AB564" s="403"/>
      <c r="AC564" s="348"/>
      <c r="AD564" s="348"/>
      <c r="AE564" s="348"/>
      <c r="AF564" s="341"/>
    </row>
    <row r="565" spans="1:33" s="597" customFormat="1" ht="14.1" customHeight="1" x14ac:dyDescent="0.25">
      <c r="A565" s="53">
        <v>1</v>
      </c>
      <c r="B565" s="333">
        <v>29844</v>
      </c>
      <c r="C565" s="41">
        <v>68</v>
      </c>
      <c r="D565" s="41" t="s">
        <v>83</v>
      </c>
      <c r="E565" s="41">
        <v>4</v>
      </c>
      <c r="F565" s="41">
        <v>0</v>
      </c>
      <c r="G565" s="41">
        <v>1</v>
      </c>
      <c r="H565" s="267">
        <v>0</v>
      </c>
      <c r="I565" s="44">
        <f>F565*400+G565*100+H565</f>
        <v>100</v>
      </c>
      <c r="J565" s="42">
        <v>280</v>
      </c>
      <c r="K565" s="46">
        <f>SUM(I565*J565)</f>
        <v>28000</v>
      </c>
      <c r="L565" s="808"/>
      <c r="M565" s="808"/>
      <c r="N565" s="808"/>
      <c r="O565" s="808"/>
      <c r="P565" s="808"/>
      <c r="Q565" s="996"/>
      <c r="R565" s="771"/>
      <c r="S565" s="67"/>
      <c r="T565" s="997"/>
      <c r="U565" s="67"/>
      <c r="V565" s="67"/>
      <c r="W565" s="67">
        <f>K565+V565</f>
        <v>28000</v>
      </c>
      <c r="X565" s="67">
        <f>W565</f>
        <v>28000</v>
      </c>
      <c r="Y565" s="67">
        <f>V565</f>
        <v>0</v>
      </c>
      <c r="Z565" s="67">
        <f>+X565</f>
        <v>28000</v>
      </c>
      <c r="AA565" s="1023">
        <v>0.6</v>
      </c>
      <c r="AB565" s="465">
        <f>+Z565*AA565/100</f>
        <v>168</v>
      </c>
      <c r="AC565" s="602"/>
      <c r="AD565" s="603">
        <f>AB565-AC565</f>
        <v>168</v>
      </c>
      <c r="AE565" s="603">
        <f>IF(AD565&lt;=0,0,AD565*25/100)</f>
        <v>42</v>
      </c>
      <c r="AF565" s="603">
        <f>IF(AC565+AE565&gt;AB565,AB565,AC565+AE565)</f>
        <v>42</v>
      </c>
      <c r="AG565" s="1750" t="s">
        <v>387</v>
      </c>
    </row>
    <row r="566" spans="1:33" s="597" customFormat="1" ht="18" customHeight="1" x14ac:dyDescent="0.25">
      <c r="A566" s="75">
        <v>2</v>
      </c>
      <c r="B566" s="273">
        <v>29845</v>
      </c>
      <c r="C566" s="27">
        <v>69</v>
      </c>
      <c r="D566" s="27" t="s">
        <v>83</v>
      </c>
      <c r="E566" s="27">
        <v>4</v>
      </c>
      <c r="F566" s="27">
        <v>0</v>
      </c>
      <c r="G566" s="27">
        <v>1</v>
      </c>
      <c r="H566" s="557">
        <v>0</v>
      </c>
      <c r="I566" s="47">
        <f>F566*400+G566*100+H566</f>
        <v>100</v>
      </c>
      <c r="J566" s="30">
        <v>280</v>
      </c>
      <c r="K566" s="48">
        <f>SUM(I566*J566)</f>
        <v>28000</v>
      </c>
      <c r="L566" s="72"/>
      <c r="M566" s="72"/>
      <c r="N566" s="72"/>
      <c r="O566" s="72"/>
      <c r="P566" s="72"/>
      <c r="Q566" s="1024"/>
      <c r="R566" s="446"/>
      <c r="S566" s="73"/>
      <c r="T566" s="1025"/>
      <c r="U566" s="73"/>
      <c r="V566" s="73"/>
      <c r="W566" s="73">
        <f>K566+V566</f>
        <v>28000</v>
      </c>
      <c r="X566" s="73">
        <f>W566</f>
        <v>28000</v>
      </c>
      <c r="Y566" s="73">
        <f>V566</f>
        <v>0</v>
      </c>
      <c r="Z566" s="73">
        <f>+X566</f>
        <v>28000</v>
      </c>
      <c r="AA566" s="1026">
        <v>0.6</v>
      </c>
      <c r="AB566" s="466">
        <f>+Z566*AA566/100</f>
        <v>168</v>
      </c>
      <c r="AC566" s="602"/>
      <c r="AD566" s="603">
        <f>AB566-AC566</f>
        <v>168</v>
      </c>
      <c r="AE566" s="603">
        <f>IF(AD566&lt;=0,0,AD566*25/100)</f>
        <v>42</v>
      </c>
      <c r="AF566" s="603">
        <f>IF(AC566+AE566&gt;AB566,AB566,AC566+AE566)</f>
        <v>42</v>
      </c>
    </row>
    <row r="567" spans="1:33" s="597" customFormat="1" ht="18" customHeight="1" x14ac:dyDescent="0.2">
      <c r="A567" s="88"/>
      <c r="B567" s="496"/>
      <c r="C567" s="174"/>
      <c r="D567" s="88"/>
      <c r="E567" s="88"/>
      <c r="F567" s="418"/>
      <c r="G567" s="75"/>
      <c r="H567" s="188"/>
      <c r="I567" s="74"/>
      <c r="J567" s="694"/>
      <c r="K567" s="159"/>
      <c r="L567" s="88"/>
      <c r="M567" s="121"/>
      <c r="N567" s="121"/>
      <c r="O567" s="121"/>
      <c r="P567" s="121"/>
      <c r="Q567" s="129"/>
      <c r="R567" s="121"/>
      <c r="S567" s="121"/>
      <c r="T567" s="121"/>
      <c r="U567" s="121"/>
      <c r="V567" s="121"/>
      <c r="W567" s="121"/>
      <c r="X567" s="472"/>
      <c r="Y567" s="472"/>
      <c r="Z567" s="473"/>
      <c r="AA567" s="193"/>
      <c r="AB567" s="410"/>
      <c r="AC567" s="602"/>
      <c r="AD567" s="603"/>
      <c r="AE567" s="603"/>
      <c r="AF567" s="603"/>
    </row>
    <row r="568" spans="1:33" s="597" customFormat="1" ht="18" customHeight="1" x14ac:dyDescent="0.2">
      <c r="A568" s="2070"/>
      <c r="B568" s="177"/>
      <c r="C568" s="177"/>
      <c r="D568" s="2070"/>
      <c r="E568" s="2070"/>
      <c r="F568" s="2070"/>
      <c r="G568" s="2070"/>
      <c r="H568" s="2076"/>
      <c r="I568" s="2072"/>
      <c r="J568" s="178"/>
      <c r="K568" s="2072"/>
      <c r="L568" s="2070"/>
      <c r="M568" s="2070"/>
      <c r="N568" s="2070"/>
      <c r="O568" s="2070"/>
      <c r="P568" s="2076"/>
      <c r="Q568" s="2071"/>
      <c r="R568" s="437"/>
      <c r="S568" s="2072"/>
      <c r="T568" s="179"/>
      <c r="U568" s="178"/>
      <c r="V568" s="2072"/>
      <c r="W568" s="2072"/>
      <c r="X568" s="470"/>
      <c r="Y568" s="470"/>
      <c r="Z568" s="471"/>
      <c r="AA568" s="764"/>
      <c r="AB568" s="466"/>
      <c r="AC568" s="350"/>
      <c r="AD568" s="350"/>
      <c r="AE568" s="350"/>
      <c r="AF568" s="350"/>
    </row>
    <row r="569" spans="1:33" s="597" customFormat="1" ht="18" customHeight="1" x14ac:dyDescent="0.2">
      <c r="A569" s="2070"/>
      <c r="B569" s="177"/>
      <c r="C569" s="177"/>
      <c r="D569" s="2070"/>
      <c r="E569" s="2070"/>
      <c r="F569" s="2070"/>
      <c r="G569" s="2070"/>
      <c r="H569" s="2076"/>
      <c r="I569" s="2072"/>
      <c r="J569" s="178"/>
      <c r="K569" s="2072"/>
      <c r="L569" s="2070"/>
      <c r="M569" s="2070"/>
      <c r="N569" s="2070"/>
      <c r="O569" s="2070"/>
      <c r="P569" s="2076"/>
      <c r="Q569" s="2071"/>
      <c r="R569" s="437"/>
      <c r="S569" s="2072"/>
      <c r="T569" s="179"/>
      <c r="U569" s="178"/>
      <c r="V569" s="2072"/>
      <c r="W569" s="2072"/>
      <c r="X569" s="470"/>
      <c r="Y569" s="470"/>
      <c r="Z569" s="471"/>
      <c r="AA569" s="764"/>
      <c r="AB569" s="466"/>
      <c r="AC569" s="350"/>
      <c r="AD569" s="350"/>
      <c r="AE569" s="350"/>
      <c r="AF569" s="350"/>
    </row>
    <row r="570" spans="1:33" s="597" customFormat="1" ht="18" customHeight="1" x14ac:dyDescent="0.2">
      <c r="A570" s="2070"/>
      <c r="B570" s="177"/>
      <c r="C570" s="177"/>
      <c r="D570" s="2070"/>
      <c r="E570" s="2070"/>
      <c r="F570" s="2070"/>
      <c r="G570" s="2070"/>
      <c r="H570" s="2076"/>
      <c r="I570" s="2072"/>
      <c r="J570" s="178"/>
      <c r="K570" s="2072"/>
      <c r="L570" s="2070"/>
      <c r="M570" s="2070"/>
      <c r="N570" s="2070"/>
      <c r="O570" s="2070"/>
      <c r="P570" s="2076"/>
      <c r="Q570" s="2071"/>
      <c r="R570" s="437"/>
      <c r="S570" s="2072"/>
      <c r="T570" s="179"/>
      <c r="U570" s="178"/>
      <c r="V570" s="2072"/>
      <c r="W570" s="2072"/>
      <c r="X570" s="470"/>
      <c r="Y570" s="470"/>
      <c r="Z570" s="471"/>
      <c r="AA570" s="764"/>
      <c r="AB570" s="466"/>
      <c r="AC570" s="350"/>
      <c r="AD570" s="350"/>
      <c r="AE570" s="350"/>
      <c r="AF570" s="350"/>
    </row>
    <row r="571" spans="1:33" s="597" customFormat="1" ht="18" customHeight="1" x14ac:dyDescent="0.2">
      <c r="A571" s="2070"/>
      <c r="B571" s="177"/>
      <c r="C571" s="177"/>
      <c r="D571" s="2070"/>
      <c r="E571" s="2070"/>
      <c r="F571" s="2070"/>
      <c r="G571" s="2070"/>
      <c r="H571" s="2076"/>
      <c r="I571" s="2072"/>
      <c r="J571" s="178"/>
      <c r="K571" s="2072"/>
      <c r="L571" s="2070"/>
      <c r="M571" s="2070"/>
      <c r="N571" s="2070"/>
      <c r="O571" s="2070"/>
      <c r="P571" s="2076"/>
      <c r="Q571" s="2071"/>
      <c r="R571" s="437"/>
      <c r="S571" s="2072"/>
      <c r="T571" s="179"/>
      <c r="U571" s="178"/>
      <c r="V571" s="2072"/>
      <c r="W571" s="2072"/>
      <c r="X571" s="470"/>
      <c r="Y571" s="470"/>
      <c r="Z571" s="471"/>
      <c r="AA571" s="764"/>
      <c r="AB571" s="466"/>
      <c r="AC571" s="350"/>
      <c r="AD571" s="350"/>
      <c r="AE571" s="350"/>
      <c r="AF571" s="350"/>
    </row>
    <row r="572" spans="1:33" s="597" customFormat="1" ht="18" customHeight="1" x14ac:dyDescent="0.2">
      <c r="A572" s="2070"/>
      <c r="B572" s="177"/>
      <c r="C572" s="177"/>
      <c r="D572" s="2070"/>
      <c r="E572" s="2070"/>
      <c r="F572" s="2070"/>
      <c r="G572" s="2070"/>
      <c r="H572" s="2076"/>
      <c r="I572" s="2072"/>
      <c r="J572" s="178"/>
      <c r="K572" s="2072"/>
      <c r="L572" s="2070"/>
      <c r="M572" s="2070"/>
      <c r="N572" s="2070"/>
      <c r="O572" s="2070"/>
      <c r="P572" s="2076"/>
      <c r="Q572" s="2071"/>
      <c r="R572" s="437"/>
      <c r="S572" s="2072"/>
      <c r="T572" s="179"/>
      <c r="U572" s="178"/>
      <c r="V572" s="2072"/>
      <c r="W572" s="2072"/>
      <c r="X572" s="470"/>
      <c r="Y572" s="470"/>
      <c r="Z572" s="471"/>
      <c r="AA572" s="764"/>
      <c r="AB572" s="466"/>
      <c r="AC572" s="350"/>
      <c r="AD572" s="350"/>
      <c r="AE572" s="350"/>
      <c r="AF572" s="350"/>
    </row>
    <row r="573" spans="1:33" s="597" customFormat="1" ht="18" customHeight="1" x14ac:dyDescent="0.2">
      <c r="A573" s="2070"/>
      <c r="B573" s="177"/>
      <c r="C573" s="177"/>
      <c r="D573" s="2070"/>
      <c r="E573" s="2070"/>
      <c r="F573" s="2070"/>
      <c r="G573" s="2070"/>
      <c r="H573" s="2076"/>
      <c r="I573" s="2072"/>
      <c r="J573" s="178"/>
      <c r="K573" s="2072"/>
      <c r="L573" s="2070"/>
      <c r="M573" s="2070"/>
      <c r="N573" s="2070"/>
      <c r="O573" s="2070"/>
      <c r="P573" s="2076"/>
      <c r="Q573" s="2071"/>
      <c r="R573" s="437"/>
      <c r="S573" s="2072"/>
      <c r="T573" s="179"/>
      <c r="U573" s="178"/>
      <c r="V573" s="2072"/>
      <c r="W573" s="2072"/>
      <c r="X573" s="470"/>
      <c r="Y573" s="470"/>
      <c r="Z573" s="471"/>
      <c r="AA573" s="764"/>
      <c r="AB573" s="466"/>
      <c r="AC573" s="350"/>
      <c r="AD573" s="350"/>
      <c r="AE573" s="350"/>
      <c r="AF573" s="350"/>
    </row>
    <row r="574" spans="1:33" s="597" customFormat="1" ht="18" customHeight="1" x14ac:dyDescent="0.2">
      <c r="A574" s="2070"/>
      <c r="B574" s="177"/>
      <c r="C574" s="177"/>
      <c r="D574" s="2070"/>
      <c r="E574" s="2070"/>
      <c r="F574" s="2070"/>
      <c r="G574" s="2070"/>
      <c r="H574" s="2076"/>
      <c r="I574" s="2072"/>
      <c r="J574" s="178"/>
      <c r="K574" s="2072"/>
      <c r="L574" s="2070"/>
      <c r="M574" s="2070"/>
      <c r="N574" s="2070"/>
      <c r="O574" s="2070"/>
      <c r="P574" s="2076"/>
      <c r="Q574" s="2071"/>
      <c r="R574" s="437"/>
      <c r="S574" s="2072"/>
      <c r="T574" s="179"/>
      <c r="U574" s="178"/>
      <c r="V574" s="2072"/>
      <c r="W574" s="2072"/>
      <c r="X574" s="470"/>
      <c r="Y574" s="470"/>
      <c r="Z574" s="471"/>
      <c r="AA574" s="764"/>
      <c r="AB574" s="466"/>
      <c r="AC574" s="350"/>
      <c r="AD574" s="350"/>
      <c r="AE574" s="350"/>
      <c r="AF574" s="350"/>
    </row>
    <row r="575" spans="1:33" s="597" customFormat="1" ht="18" customHeight="1" x14ac:dyDescent="0.2">
      <c r="A575" s="2070"/>
      <c r="B575" s="177"/>
      <c r="C575" s="177"/>
      <c r="D575" s="2070"/>
      <c r="E575" s="2070"/>
      <c r="F575" s="2070"/>
      <c r="G575" s="2070"/>
      <c r="H575" s="2076"/>
      <c r="I575" s="2072"/>
      <c r="J575" s="178"/>
      <c r="K575" s="2072"/>
      <c r="L575" s="2070"/>
      <c r="M575" s="2070"/>
      <c r="N575" s="2070"/>
      <c r="O575" s="2070"/>
      <c r="P575" s="2076"/>
      <c r="Q575" s="2071"/>
      <c r="R575" s="437"/>
      <c r="S575" s="2072"/>
      <c r="T575" s="179"/>
      <c r="U575" s="178"/>
      <c r="V575" s="2072"/>
      <c r="W575" s="2072"/>
      <c r="X575" s="470"/>
      <c r="Y575" s="470"/>
      <c r="Z575" s="471"/>
      <c r="AA575" s="764"/>
      <c r="AB575" s="466"/>
      <c r="AC575" s="350"/>
      <c r="AD575" s="350"/>
      <c r="AE575" s="350"/>
      <c r="AF575" s="350"/>
    </row>
    <row r="576" spans="1:33" s="597" customFormat="1" ht="18" customHeight="1" x14ac:dyDescent="0.2">
      <c r="A576" s="2070"/>
      <c r="B576" s="177"/>
      <c r="C576" s="177"/>
      <c r="D576" s="2070"/>
      <c r="E576" s="2070"/>
      <c r="F576" s="2070"/>
      <c r="G576" s="2070"/>
      <c r="H576" s="2076"/>
      <c r="I576" s="2072"/>
      <c r="J576" s="178"/>
      <c r="K576" s="2072"/>
      <c r="L576" s="2070"/>
      <c r="M576" s="2070"/>
      <c r="N576" s="2070"/>
      <c r="O576" s="2070"/>
      <c r="P576" s="2076"/>
      <c r="Q576" s="2071"/>
      <c r="R576" s="437"/>
      <c r="S576" s="2072"/>
      <c r="T576" s="179"/>
      <c r="U576" s="178"/>
      <c r="V576" s="2072"/>
      <c r="W576" s="2072"/>
      <c r="X576" s="470"/>
      <c r="Y576" s="470"/>
      <c r="Z576" s="471"/>
      <c r="AA576" s="764"/>
      <c r="AB576" s="466"/>
      <c r="AC576" s="350"/>
      <c r="AD576" s="350"/>
      <c r="AE576" s="350"/>
      <c r="AF576" s="350"/>
    </row>
    <row r="577" spans="1:32" s="597" customFormat="1" ht="18" customHeight="1" x14ac:dyDescent="0.2">
      <c r="A577" s="2070"/>
      <c r="B577" s="177"/>
      <c r="C577" s="177"/>
      <c r="D577" s="2070"/>
      <c r="E577" s="2070"/>
      <c r="F577" s="2070"/>
      <c r="G577" s="2070"/>
      <c r="H577" s="2076"/>
      <c r="I577" s="2072"/>
      <c r="J577" s="178"/>
      <c r="K577" s="2072"/>
      <c r="L577" s="2070"/>
      <c r="M577" s="2070"/>
      <c r="N577" s="2070"/>
      <c r="O577" s="2070"/>
      <c r="P577" s="2076"/>
      <c r="Q577" s="2071"/>
      <c r="R577" s="437"/>
      <c r="S577" s="2072"/>
      <c r="T577" s="179"/>
      <c r="U577" s="178"/>
      <c r="V577" s="2072"/>
      <c r="W577" s="2072"/>
      <c r="X577" s="470"/>
      <c r="Y577" s="470"/>
      <c r="Z577" s="471"/>
      <c r="AA577" s="764"/>
      <c r="AB577" s="466"/>
      <c r="AC577" s="350"/>
      <c r="AD577" s="350"/>
      <c r="AE577" s="350"/>
      <c r="AF577" s="350"/>
    </row>
    <row r="578" spans="1:32" s="597" customFormat="1" ht="18" customHeight="1" x14ac:dyDescent="0.2">
      <c r="A578" s="88"/>
      <c r="B578" s="180"/>
      <c r="C578" s="180"/>
      <c r="D578" s="88"/>
      <c r="E578" s="88"/>
      <c r="F578" s="88"/>
      <c r="G578" s="88"/>
      <c r="H578" s="120"/>
      <c r="I578" s="121"/>
      <c r="J578" s="181"/>
      <c r="K578" s="121"/>
      <c r="L578" s="88"/>
      <c r="M578" s="88"/>
      <c r="N578" s="88"/>
      <c r="O578" s="88"/>
      <c r="P578" s="88"/>
      <c r="Q578" s="129"/>
      <c r="R578" s="445"/>
      <c r="S578" s="121"/>
      <c r="T578" s="182"/>
      <c r="U578" s="181"/>
      <c r="V578" s="121"/>
      <c r="W578" s="121"/>
      <c r="X578" s="472"/>
      <c r="Y578" s="472"/>
      <c r="Z578" s="473"/>
      <c r="AA578" s="780"/>
      <c r="AB578" s="410"/>
      <c r="AC578" s="351"/>
      <c r="AD578" s="351"/>
      <c r="AE578" s="351"/>
      <c r="AF578" s="351"/>
    </row>
    <row r="579" spans="1:32" s="597" customFormat="1" ht="18" customHeight="1" x14ac:dyDescent="0.2">
      <c r="A579" s="1850"/>
      <c r="B579" s="1850"/>
      <c r="C579" s="1850"/>
      <c r="D579" s="1850"/>
      <c r="E579" s="1850"/>
      <c r="F579" s="1850"/>
      <c r="G579" s="1850"/>
      <c r="H579" s="1851"/>
      <c r="I579" s="1852"/>
      <c r="J579" s="1853"/>
      <c r="K579" s="1852"/>
      <c r="L579" s="1852"/>
      <c r="M579" s="1852"/>
      <c r="N579" s="1852"/>
      <c r="O579" s="1852"/>
      <c r="P579" s="1852"/>
      <c r="Q579" s="1852"/>
      <c r="R579" s="1854"/>
      <c r="S579" s="1852"/>
      <c r="T579" s="1855"/>
      <c r="U579" s="1853"/>
      <c r="V579" s="1852"/>
      <c r="W579" s="1852"/>
      <c r="X579" s="1856"/>
      <c r="Y579" s="1856"/>
      <c r="Z579" s="1857"/>
      <c r="AA579" s="2125"/>
      <c r="AB579" s="1847">
        <f>SUM(AB565:AB578)</f>
        <v>336</v>
      </c>
      <c r="AC579" s="1861"/>
      <c r="AD579" s="1861"/>
      <c r="AE579" s="1861"/>
      <c r="AF579" s="1861"/>
    </row>
    <row r="580" spans="1:32" s="597" customFormat="1" ht="14.1" customHeight="1" x14ac:dyDescent="0.2">
      <c r="A580" s="2690" t="s">
        <v>76</v>
      </c>
      <c r="B580" s="2690"/>
      <c r="C580" s="2691" t="s">
        <v>77</v>
      </c>
      <c r="D580" s="2691"/>
      <c r="E580" s="2691"/>
      <c r="F580" s="2691"/>
      <c r="G580" s="2691"/>
      <c r="H580" s="2691"/>
      <c r="I580" s="604" t="s">
        <v>78</v>
      </c>
      <c r="J580" s="604"/>
      <c r="K580" s="604"/>
      <c r="L580" s="604"/>
      <c r="M580" s="604"/>
      <c r="N580" s="604"/>
      <c r="AA580" s="767"/>
      <c r="AB580" s="598"/>
    </row>
    <row r="581" spans="1:32" s="597" customFormat="1" ht="14.1" customHeight="1" x14ac:dyDescent="0.2">
      <c r="A581" s="604"/>
      <c r="B581" s="605"/>
      <c r="C581" s="604"/>
      <c r="D581" s="604"/>
      <c r="E581" s="604"/>
      <c r="F581" s="604"/>
      <c r="G581" s="604"/>
      <c r="H581" s="604"/>
      <c r="I581" s="604" t="s">
        <v>79</v>
      </c>
      <c r="J581" s="604"/>
      <c r="K581" s="604"/>
      <c r="L581" s="604"/>
      <c r="M581" s="604"/>
      <c r="N581" s="604"/>
      <c r="AA581" s="767"/>
      <c r="AB581" s="598"/>
    </row>
    <row r="582" spans="1:32" s="597" customFormat="1" ht="14.1" customHeight="1" x14ac:dyDescent="0.2">
      <c r="A582" s="604"/>
      <c r="B582" s="605"/>
      <c r="C582" s="604"/>
      <c r="D582" s="604"/>
      <c r="E582" s="604"/>
      <c r="F582" s="604"/>
      <c r="G582" s="604"/>
      <c r="H582" s="604"/>
      <c r="I582" s="604" t="s">
        <v>80</v>
      </c>
      <c r="J582" s="604"/>
      <c r="K582" s="604"/>
      <c r="L582" s="604"/>
      <c r="M582" s="604"/>
      <c r="N582" s="604"/>
      <c r="AA582" s="767"/>
      <c r="AB582" s="598"/>
    </row>
    <row r="583" spans="1:32" s="597" customFormat="1" ht="14.1" customHeight="1" x14ac:dyDescent="0.2">
      <c r="A583" s="604"/>
      <c r="B583" s="605"/>
      <c r="C583" s="604"/>
      <c r="D583" s="604"/>
      <c r="E583" s="604"/>
      <c r="F583" s="604"/>
      <c r="G583" s="604"/>
      <c r="H583" s="604"/>
      <c r="I583" s="604" t="s">
        <v>81</v>
      </c>
      <c r="J583" s="604"/>
      <c r="K583" s="604"/>
      <c r="L583" s="604"/>
      <c r="M583" s="604"/>
      <c r="N583" s="604"/>
      <c r="AA583" s="767"/>
      <c r="AB583" s="598"/>
    </row>
    <row r="584" spans="1:32" s="597" customFormat="1" ht="14.1" customHeight="1" x14ac:dyDescent="0.2">
      <c r="A584" s="604"/>
      <c r="B584" s="605"/>
      <c r="C584" s="604"/>
      <c r="D584" s="604"/>
      <c r="E584" s="604"/>
      <c r="F584" s="604"/>
      <c r="G584" s="604"/>
      <c r="H584" s="604"/>
      <c r="I584" s="604" t="s">
        <v>88</v>
      </c>
      <c r="J584" s="604"/>
      <c r="K584" s="604"/>
      <c r="L584" s="604"/>
      <c r="M584" s="604"/>
      <c r="N584" s="604"/>
      <c r="AA584" s="767"/>
      <c r="AB584" s="598"/>
    </row>
    <row r="585" spans="1:32" s="597" customFormat="1" ht="18" customHeight="1" x14ac:dyDescent="0.2">
      <c r="A585" s="344"/>
      <c r="B585" s="344"/>
      <c r="C585" s="344"/>
      <c r="D585" s="344"/>
      <c r="E585" s="344"/>
      <c r="F585" s="344"/>
      <c r="G585" s="344"/>
      <c r="H585" s="344"/>
      <c r="I585" s="344"/>
      <c r="J585" s="344"/>
      <c r="K585" s="344"/>
      <c r="L585" s="344"/>
      <c r="M585" s="344"/>
      <c r="N585" s="344"/>
      <c r="O585" s="344"/>
      <c r="P585" s="344"/>
      <c r="Q585" s="344"/>
      <c r="R585" s="344"/>
      <c r="S585" s="344"/>
      <c r="T585" s="344"/>
      <c r="U585" s="344"/>
      <c r="V585" s="344"/>
      <c r="W585" s="344"/>
      <c r="X585" s="344"/>
      <c r="Y585" s="344"/>
      <c r="Z585" s="344"/>
      <c r="AA585" s="2703" t="s">
        <v>0</v>
      </c>
      <c r="AB585" s="2703"/>
      <c r="AC585" s="344"/>
      <c r="AD585" s="344"/>
      <c r="AE585" s="344"/>
      <c r="AF585" s="344"/>
    </row>
    <row r="586" spans="1:32" s="597" customFormat="1" ht="18" customHeight="1" x14ac:dyDescent="0.2">
      <c r="A586" s="2703" t="s">
        <v>1</v>
      </c>
      <c r="B586" s="2703"/>
      <c r="C586" s="2703"/>
      <c r="D586" s="2703"/>
      <c r="E586" s="2703"/>
      <c r="F586" s="2703"/>
      <c r="G586" s="2703"/>
      <c r="H586" s="2703"/>
      <c r="I586" s="2703"/>
      <c r="J586" s="2703"/>
      <c r="K586" s="2703"/>
      <c r="L586" s="2703"/>
      <c r="M586" s="2703"/>
      <c r="N586" s="2703"/>
      <c r="O586" s="2703"/>
      <c r="P586" s="2703"/>
      <c r="Q586" s="2703"/>
      <c r="R586" s="2703"/>
      <c r="S586" s="2703"/>
      <c r="T586" s="2703"/>
      <c r="U586" s="2703"/>
      <c r="V586" s="2703"/>
      <c r="W586" s="2703"/>
      <c r="X586" s="2703"/>
      <c r="Y586" s="2703"/>
      <c r="Z586" s="2703"/>
      <c r="AA586" s="2703"/>
      <c r="AB586" s="2703"/>
      <c r="AC586" s="344"/>
      <c r="AD586" s="344"/>
      <c r="AE586" s="344"/>
      <c r="AF586" s="344"/>
    </row>
    <row r="587" spans="1:32" s="597" customFormat="1" ht="18" customHeight="1" x14ac:dyDescent="0.2">
      <c r="A587" s="2704" t="s">
        <v>560</v>
      </c>
      <c r="B587" s="2704"/>
      <c r="C587" s="2704"/>
      <c r="D587" s="2704"/>
      <c r="E587" s="2704"/>
      <c r="F587" s="2704"/>
      <c r="G587" s="2704"/>
      <c r="H587" s="2704"/>
      <c r="I587" s="2704"/>
      <c r="J587" s="2704"/>
      <c r="K587" s="2704"/>
      <c r="L587" s="2704"/>
      <c r="M587" s="2704"/>
      <c r="N587" s="2704"/>
      <c r="O587" s="2704"/>
      <c r="P587" s="2704"/>
      <c r="Q587" s="2704"/>
      <c r="R587" s="2704"/>
      <c r="S587" s="2704"/>
      <c r="T587" s="2704"/>
      <c r="U587" s="2704"/>
      <c r="V587" s="2704"/>
      <c r="W587" s="2704"/>
      <c r="X587" s="2704"/>
      <c r="Y587" s="2704"/>
      <c r="Z587" s="2704"/>
      <c r="AA587" s="2704"/>
      <c r="AB587" s="2704"/>
      <c r="AC587" s="599"/>
      <c r="AD587" s="599"/>
      <c r="AE587" s="599"/>
      <c r="AF587" s="599"/>
    </row>
    <row r="588" spans="1:32" s="597" customFormat="1" ht="14.1" customHeight="1" x14ac:dyDescent="0.2">
      <c r="A588" s="2686" t="s">
        <v>2</v>
      </c>
      <c r="B588" s="360"/>
      <c r="C588" s="2686" t="s">
        <v>3</v>
      </c>
      <c r="D588" s="360"/>
      <c r="E588" s="360"/>
      <c r="F588" s="2693" t="s">
        <v>4</v>
      </c>
      <c r="G588" s="2693"/>
      <c r="H588" s="2693"/>
      <c r="I588" s="2694"/>
      <c r="J588" s="2694"/>
      <c r="K588" s="2695"/>
      <c r="L588" s="361"/>
      <c r="M588" s="2679" t="s">
        <v>5</v>
      </c>
      <c r="N588" s="2679"/>
      <c r="O588" s="2679"/>
      <c r="P588" s="2679"/>
      <c r="Q588" s="2696"/>
      <c r="R588" s="2696"/>
      <c r="S588" s="2696"/>
      <c r="T588" s="2696"/>
      <c r="U588" s="2696"/>
      <c r="V588" s="2697"/>
      <c r="W588" s="362" t="s">
        <v>6</v>
      </c>
      <c r="X588" s="363" t="s">
        <v>7</v>
      </c>
      <c r="Y588" s="364"/>
      <c r="Z588" s="364"/>
      <c r="AA588" s="363"/>
      <c r="AB588" s="365"/>
      <c r="AC588" s="516" t="s">
        <v>8</v>
      </c>
      <c r="AD588" s="346"/>
      <c r="AE588" s="346"/>
      <c r="AF588" s="600"/>
    </row>
    <row r="589" spans="1:32" s="597" customFormat="1" ht="14.1" customHeight="1" x14ac:dyDescent="0.2">
      <c r="A589" s="2687"/>
      <c r="B589" s="367"/>
      <c r="C589" s="2687"/>
      <c r="D589" s="2062" t="s">
        <v>9</v>
      </c>
      <c r="E589" s="368" t="s">
        <v>10</v>
      </c>
      <c r="F589" s="2698" t="s">
        <v>11</v>
      </c>
      <c r="G589" s="2694"/>
      <c r="H589" s="2695"/>
      <c r="I589" s="360"/>
      <c r="J589" s="369" t="s">
        <v>12</v>
      </c>
      <c r="K589" s="360"/>
      <c r="L589" s="2679" t="s">
        <v>2</v>
      </c>
      <c r="M589" s="2067"/>
      <c r="N589" s="2067"/>
      <c r="O589" s="2067"/>
      <c r="P589" s="371"/>
      <c r="Q589" s="372" t="s">
        <v>13</v>
      </c>
      <c r="R589" s="373" t="s">
        <v>12</v>
      </c>
      <c r="S589" s="2067" t="s">
        <v>6</v>
      </c>
      <c r="T589" s="2682" t="s">
        <v>14</v>
      </c>
      <c r="U589" s="2683"/>
      <c r="V589" s="375" t="s">
        <v>7</v>
      </c>
      <c r="W589" s="376" t="s">
        <v>15</v>
      </c>
      <c r="X589" s="377" t="s">
        <v>16</v>
      </c>
      <c r="Y589" s="377" t="s">
        <v>17</v>
      </c>
      <c r="Z589" s="377" t="s">
        <v>18</v>
      </c>
      <c r="AA589" s="377"/>
      <c r="AB589" s="378" t="s">
        <v>19</v>
      </c>
      <c r="AC589" s="528" t="s">
        <v>20</v>
      </c>
      <c r="AD589" s="601"/>
      <c r="AE589" s="347" t="s">
        <v>21</v>
      </c>
      <c r="AF589" s="340" t="s">
        <v>22</v>
      </c>
    </row>
    <row r="590" spans="1:32" s="597" customFormat="1" ht="14.1" customHeight="1" x14ac:dyDescent="0.2">
      <c r="A590" s="2687"/>
      <c r="B590" s="2062" t="s">
        <v>23</v>
      </c>
      <c r="C590" s="2687"/>
      <c r="D590" s="2062" t="s">
        <v>24</v>
      </c>
      <c r="E590" s="368" t="s">
        <v>25</v>
      </c>
      <c r="F590" s="2699"/>
      <c r="G590" s="2700"/>
      <c r="H590" s="2701"/>
      <c r="I590" s="2062" t="s">
        <v>26</v>
      </c>
      <c r="J590" s="379" t="s">
        <v>15</v>
      </c>
      <c r="K590" s="2066" t="s">
        <v>6</v>
      </c>
      <c r="L590" s="2680"/>
      <c r="M590" s="2068" t="s">
        <v>27</v>
      </c>
      <c r="N590" s="2068" t="s">
        <v>10</v>
      </c>
      <c r="O590" s="382" t="s">
        <v>10</v>
      </c>
      <c r="P590" s="383" t="s">
        <v>28</v>
      </c>
      <c r="Q590" s="384" t="s">
        <v>29</v>
      </c>
      <c r="R590" s="383" t="s">
        <v>15</v>
      </c>
      <c r="S590" s="385" t="s">
        <v>15</v>
      </c>
      <c r="T590" s="2684"/>
      <c r="U590" s="2685"/>
      <c r="V590" s="375" t="s">
        <v>30</v>
      </c>
      <c r="W590" s="376" t="s">
        <v>31</v>
      </c>
      <c r="X590" s="377" t="s">
        <v>30</v>
      </c>
      <c r="Y590" s="377" t="s">
        <v>32</v>
      </c>
      <c r="Z590" s="377" t="s">
        <v>7</v>
      </c>
      <c r="AA590" s="377" t="s">
        <v>33</v>
      </c>
      <c r="AB590" s="378" t="s">
        <v>34</v>
      </c>
      <c r="AC590" s="528" t="s">
        <v>35</v>
      </c>
      <c r="AD590" s="347" t="s">
        <v>36</v>
      </c>
      <c r="AE590" s="347" t="s">
        <v>37</v>
      </c>
      <c r="AF590" s="340" t="s">
        <v>38</v>
      </c>
    </row>
    <row r="591" spans="1:32" s="597" customFormat="1" ht="14.1" customHeight="1" x14ac:dyDescent="0.2">
      <c r="A591" s="2687"/>
      <c r="B591" s="2062" t="s">
        <v>39</v>
      </c>
      <c r="C591" s="2687"/>
      <c r="D591" s="2062" t="s">
        <v>40</v>
      </c>
      <c r="E591" s="368" t="s">
        <v>41</v>
      </c>
      <c r="F591" s="2686" t="s">
        <v>42</v>
      </c>
      <c r="G591" s="2686" t="s">
        <v>43</v>
      </c>
      <c r="H591" s="2688" t="s">
        <v>44</v>
      </c>
      <c r="I591" s="2062" t="s">
        <v>45</v>
      </c>
      <c r="J591" s="379" t="s">
        <v>46</v>
      </c>
      <c r="K591" s="2066" t="s">
        <v>47</v>
      </c>
      <c r="L591" s="2680"/>
      <c r="M591" s="2068" t="s">
        <v>30</v>
      </c>
      <c r="N591" s="2068" t="s">
        <v>30</v>
      </c>
      <c r="O591" s="382" t="s">
        <v>25</v>
      </c>
      <c r="P591" s="383" t="s">
        <v>30</v>
      </c>
      <c r="Q591" s="384" t="s">
        <v>48</v>
      </c>
      <c r="R591" s="383" t="s">
        <v>49</v>
      </c>
      <c r="S591" s="385" t="s">
        <v>30</v>
      </c>
      <c r="T591" s="386" t="s">
        <v>50</v>
      </c>
      <c r="U591" s="2065" t="s">
        <v>13</v>
      </c>
      <c r="V591" s="375" t="s">
        <v>51</v>
      </c>
      <c r="W591" s="376" t="s">
        <v>52</v>
      </c>
      <c r="X591" s="377" t="s">
        <v>53</v>
      </c>
      <c r="Y591" s="377" t="s">
        <v>54</v>
      </c>
      <c r="Z591" s="377" t="s">
        <v>55</v>
      </c>
      <c r="AA591" s="377" t="s">
        <v>56</v>
      </c>
      <c r="AB591" s="378" t="s">
        <v>57</v>
      </c>
      <c r="AC591" s="347" t="s">
        <v>58</v>
      </c>
      <c r="AD591" s="347" t="s">
        <v>59</v>
      </c>
      <c r="AE591" s="347" t="s">
        <v>59</v>
      </c>
      <c r="AF591" s="340" t="s">
        <v>60</v>
      </c>
    </row>
    <row r="592" spans="1:32" s="597" customFormat="1" ht="14.1" customHeight="1" x14ac:dyDescent="0.2">
      <c r="A592" s="2687"/>
      <c r="B592" s="2062" t="s">
        <v>61</v>
      </c>
      <c r="C592" s="2687"/>
      <c r="D592" s="2062" t="s">
        <v>62</v>
      </c>
      <c r="E592" s="368" t="s">
        <v>63</v>
      </c>
      <c r="F592" s="2687"/>
      <c r="G592" s="2687"/>
      <c r="H592" s="2689"/>
      <c r="I592" s="2062" t="s">
        <v>64</v>
      </c>
      <c r="J592" s="379" t="s">
        <v>59</v>
      </c>
      <c r="K592" s="2066" t="s">
        <v>59</v>
      </c>
      <c r="L592" s="2680"/>
      <c r="M592" s="2068"/>
      <c r="N592" s="2068"/>
      <c r="O592" s="382" t="s">
        <v>41</v>
      </c>
      <c r="P592" s="383" t="s">
        <v>65</v>
      </c>
      <c r="Q592" s="384" t="s">
        <v>66</v>
      </c>
      <c r="R592" s="383" t="s">
        <v>67</v>
      </c>
      <c r="S592" s="385" t="s">
        <v>59</v>
      </c>
      <c r="T592" s="387" t="s">
        <v>68</v>
      </c>
      <c r="U592" s="375" t="s">
        <v>14</v>
      </c>
      <c r="V592" s="375" t="s">
        <v>14</v>
      </c>
      <c r="W592" s="376" t="s">
        <v>30</v>
      </c>
      <c r="X592" s="388" t="s">
        <v>69</v>
      </c>
      <c r="Y592" s="388" t="s">
        <v>70</v>
      </c>
      <c r="Z592" s="377" t="s">
        <v>71</v>
      </c>
      <c r="AA592" s="377" t="s">
        <v>72</v>
      </c>
      <c r="AB592" s="378" t="s">
        <v>59</v>
      </c>
      <c r="AC592" s="347" t="s">
        <v>59</v>
      </c>
      <c r="AD592" s="347"/>
      <c r="AE592" s="347"/>
      <c r="AF592" s="340" t="s">
        <v>59</v>
      </c>
    </row>
    <row r="593" spans="1:33" s="597" customFormat="1" ht="14.1" customHeight="1" x14ac:dyDescent="0.2">
      <c r="A593" s="2692"/>
      <c r="B593" s="390"/>
      <c r="C593" s="2692"/>
      <c r="D593" s="390"/>
      <c r="E593" s="2063"/>
      <c r="F593" s="390"/>
      <c r="G593" s="390"/>
      <c r="H593" s="391"/>
      <c r="I593" s="2063"/>
      <c r="J593" s="392"/>
      <c r="K593" s="393"/>
      <c r="L593" s="2681"/>
      <c r="M593" s="2069"/>
      <c r="N593" s="2069"/>
      <c r="O593" s="2069" t="s">
        <v>63</v>
      </c>
      <c r="P593" s="395"/>
      <c r="Q593" s="396" t="s">
        <v>72</v>
      </c>
      <c r="R593" s="397" t="s">
        <v>59</v>
      </c>
      <c r="S593" s="398"/>
      <c r="T593" s="397" t="s">
        <v>73</v>
      </c>
      <c r="U593" s="398" t="s">
        <v>59</v>
      </c>
      <c r="V593" s="399" t="s">
        <v>59</v>
      </c>
      <c r="W593" s="400" t="s">
        <v>59</v>
      </c>
      <c r="X593" s="401" t="s">
        <v>59</v>
      </c>
      <c r="Y593" s="401" t="s">
        <v>59</v>
      </c>
      <c r="Z593" s="401" t="s">
        <v>59</v>
      </c>
      <c r="AA593" s="402"/>
      <c r="AB593" s="403"/>
      <c r="AC593" s="348"/>
      <c r="AD593" s="348"/>
      <c r="AE593" s="348"/>
      <c r="AF593" s="341"/>
    </row>
    <row r="594" spans="1:33" s="597" customFormat="1" ht="18" customHeight="1" x14ac:dyDescent="0.25">
      <c r="A594" s="53">
        <v>1</v>
      </c>
      <c r="B594" s="333">
        <v>29846</v>
      </c>
      <c r="C594" s="41">
        <v>70</v>
      </c>
      <c r="D594" s="41" t="s">
        <v>83</v>
      </c>
      <c r="E594" s="41">
        <v>4</v>
      </c>
      <c r="F594" s="41">
        <v>0</v>
      </c>
      <c r="G594" s="41">
        <v>1</v>
      </c>
      <c r="H594" s="267">
        <v>0</v>
      </c>
      <c r="I594" s="44">
        <f>F594*400+G594*100+H594</f>
        <v>100</v>
      </c>
      <c r="J594" s="42">
        <v>280</v>
      </c>
      <c r="K594" s="46">
        <f>SUM(I594*J594)</f>
        <v>28000</v>
      </c>
      <c r="L594" s="808"/>
      <c r="M594" s="808"/>
      <c r="N594" s="808"/>
      <c r="O594" s="808"/>
      <c r="P594" s="808"/>
      <c r="Q594" s="996"/>
      <c r="R594" s="771"/>
      <c r="S594" s="67"/>
      <c r="T594" s="997"/>
      <c r="U594" s="67"/>
      <c r="V594" s="67"/>
      <c r="W594" s="67">
        <f>K594+V594</f>
        <v>28000</v>
      </c>
      <c r="X594" s="67">
        <f>W594</f>
        <v>28000</v>
      </c>
      <c r="Y594" s="67">
        <f>V594</f>
        <v>0</v>
      </c>
      <c r="Z594" s="67">
        <f>+X594</f>
        <v>28000</v>
      </c>
      <c r="AA594" s="1023">
        <v>0.6</v>
      </c>
      <c r="AB594" s="406">
        <f>+Z594*AA594/100</f>
        <v>168</v>
      </c>
      <c r="AC594" s="602"/>
      <c r="AD594" s="603">
        <f>AB594-AC594</f>
        <v>168</v>
      </c>
      <c r="AE594" s="603">
        <f>IF(AD594&lt;=0,0,AD594*25/100)</f>
        <v>42</v>
      </c>
      <c r="AF594" s="603">
        <f>IF(AC594+AE594&gt;AB594,AB594,AC594+AE594)</f>
        <v>42</v>
      </c>
      <c r="AG594" s="1750" t="s">
        <v>387</v>
      </c>
    </row>
    <row r="595" spans="1:33" s="597" customFormat="1" ht="18" customHeight="1" x14ac:dyDescent="0.25">
      <c r="A595" s="75">
        <v>2</v>
      </c>
      <c r="B595" s="289">
        <v>29851</v>
      </c>
      <c r="C595" s="270">
        <v>75</v>
      </c>
      <c r="D595" s="270" t="s">
        <v>83</v>
      </c>
      <c r="E595" s="270">
        <v>4</v>
      </c>
      <c r="F595" s="270">
        <v>0</v>
      </c>
      <c r="G595" s="270">
        <v>1</v>
      </c>
      <c r="H595" s="652">
        <v>0</v>
      </c>
      <c r="I595" s="30">
        <f>F595*400+G595*100+H595</f>
        <v>100</v>
      </c>
      <c r="J595" s="92">
        <v>280</v>
      </c>
      <c r="K595" s="64">
        <f>SUM(I595*J595)</f>
        <v>28000</v>
      </c>
      <c r="L595" s="1420"/>
      <c r="M595" s="1420"/>
      <c r="N595" s="1420"/>
      <c r="O595" s="1420"/>
      <c r="P595" s="1420"/>
      <c r="Q595" s="1421"/>
      <c r="R595" s="653"/>
      <c r="S595" s="93"/>
      <c r="T595" s="1422"/>
      <c r="U595" s="93"/>
      <c r="V595" s="93"/>
      <c r="W595" s="93">
        <f>K595+V595</f>
        <v>28000</v>
      </c>
      <c r="X595" s="93">
        <f>W595</f>
        <v>28000</v>
      </c>
      <c r="Y595" s="93">
        <f>V595</f>
        <v>0</v>
      </c>
      <c r="Z595" s="93">
        <f>+X595</f>
        <v>28000</v>
      </c>
      <c r="AA595" s="1423">
        <v>0.6</v>
      </c>
      <c r="AB595" s="415">
        <f>+Z595*AA595/100</f>
        <v>168</v>
      </c>
      <c r="AC595" s="1424"/>
      <c r="AD595" s="603">
        <f>AB595-AC595</f>
        <v>168</v>
      </c>
      <c r="AE595" s="603">
        <f>IF(AD595&lt;=0,0,AD595*25/100)</f>
        <v>42</v>
      </c>
      <c r="AF595" s="603">
        <f>IF(AC595+AE595&gt;AB595,AB595,AC595+AE595)</f>
        <v>42</v>
      </c>
    </row>
    <row r="596" spans="1:33" s="597" customFormat="1" ht="18" customHeight="1" x14ac:dyDescent="0.2">
      <c r="A596" s="231"/>
      <c r="B596" s="231"/>
      <c r="C596" s="231"/>
      <c r="D596" s="231"/>
      <c r="E596" s="231"/>
      <c r="F596" s="231"/>
      <c r="G596" s="231"/>
      <c r="H596" s="152"/>
      <c r="I596" s="232"/>
      <c r="J596" s="232"/>
      <c r="K596" s="232"/>
      <c r="L596" s="231"/>
      <c r="M596" s="233"/>
      <c r="N596" s="231"/>
      <c r="O596" s="231"/>
      <c r="P596" s="654"/>
      <c r="Q596" s="234"/>
      <c r="R596" s="655"/>
      <c r="S596" s="232"/>
      <c r="T596" s="65"/>
      <c r="U596" s="232"/>
      <c r="V596" s="232"/>
      <c r="W596" s="232"/>
      <c r="X596" s="656"/>
      <c r="Y596" s="235"/>
      <c r="Z596" s="657"/>
      <c r="AA596" s="236"/>
      <c r="AB596" s="660"/>
      <c r="AC596" s="732"/>
      <c r="AD596" s="603"/>
      <c r="AE596" s="603"/>
      <c r="AF596" s="603"/>
    </row>
    <row r="597" spans="1:33" s="597" customFormat="1" ht="18" customHeight="1" x14ac:dyDescent="0.2">
      <c r="A597" s="1408"/>
      <c r="B597" s="88"/>
      <c r="C597" s="88"/>
      <c r="D597" s="88"/>
      <c r="E597" s="88"/>
      <c r="F597" s="88"/>
      <c r="G597" s="88"/>
      <c r="H597" s="120"/>
      <c r="I597" s="181"/>
      <c r="J597" s="181"/>
      <c r="K597" s="181"/>
      <c r="L597" s="88"/>
      <c r="M597" s="237"/>
      <c r="N597" s="88"/>
      <c r="O597" s="88"/>
      <c r="P597" s="188"/>
      <c r="Q597" s="129"/>
      <c r="R597" s="445"/>
      <c r="S597" s="181"/>
      <c r="T597" s="75"/>
      <c r="U597" s="181"/>
      <c r="V597" s="181"/>
      <c r="W597" s="181"/>
      <c r="X597" s="472"/>
      <c r="Y597" s="192"/>
      <c r="Z597" s="659"/>
      <c r="AA597" s="193"/>
      <c r="AB597" s="660"/>
      <c r="AC597" s="732"/>
      <c r="AD597" s="603"/>
      <c r="AE597" s="603"/>
      <c r="AF597" s="603"/>
    </row>
    <row r="598" spans="1:33" s="597" customFormat="1" ht="18" customHeight="1" x14ac:dyDescent="0.2">
      <c r="A598" s="2070"/>
      <c r="B598" s="2070"/>
      <c r="C598" s="2070"/>
      <c r="D598" s="2070"/>
      <c r="E598" s="231"/>
      <c r="F598" s="231"/>
      <c r="G598" s="231"/>
      <c r="H598" s="152"/>
      <c r="I598" s="232"/>
      <c r="J598" s="232"/>
      <c r="K598" s="232"/>
      <c r="L598" s="231"/>
      <c r="M598" s="233"/>
      <c r="N598" s="231"/>
      <c r="O598" s="231"/>
      <c r="P598" s="654"/>
      <c r="Q598" s="234"/>
      <c r="R598" s="655"/>
      <c r="S598" s="232"/>
      <c r="T598" s="65"/>
      <c r="U598" s="232"/>
      <c r="V598" s="232"/>
      <c r="W598" s="232"/>
      <c r="X598" s="656"/>
      <c r="Y598" s="235"/>
      <c r="Z598" s="657"/>
      <c r="AA598" s="236"/>
      <c r="AB598" s="658"/>
      <c r="AC598" s="732"/>
      <c r="AD598" s="603"/>
      <c r="AE598" s="603"/>
      <c r="AF598" s="603"/>
    </row>
    <row r="599" spans="1:33" s="597" customFormat="1" ht="18" customHeight="1" x14ac:dyDescent="0.2">
      <c r="A599" s="2070"/>
      <c r="B599" s="2070"/>
      <c r="C599" s="2070"/>
      <c r="D599" s="88"/>
      <c r="E599" s="239"/>
      <c r="F599" s="88"/>
      <c r="G599" s="88"/>
      <c r="H599" s="120"/>
      <c r="I599" s="181"/>
      <c r="J599" s="181"/>
      <c r="K599" s="181"/>
      <c r="L599" s="88"/>
      <c r="M599" s="237"/>
      <c r="N599" s="88"/>
      <c r="O599" s="88"/>
      <c r="P599" s="188"/>
      <c r="Q599" s="129"/>
      <c r="R599" s="445"/>
      <c r="S599" s="181"/>
      <c r="T599" s="75"/>
      <c r="U599" s="181"/>
      <c r="V599" s="181"/>
      <c r="W599" s="181"/>
      <c r="X599" s="472"/>
      <c r="Y599" s="192"/>
      <c r="Z599" s="659"/>
      <c r="AA599" s="193"/>
      <c r="AB599" s="660"/>
      <c r="AC599" s="732"/>
      <c r="AD599" s="603"/>
      <c r="AE599" s="603"/>
      <c r="AF599" s="603"/>
    </row>
    <row r="600" spans="1:33" s="597" customFormat="1" ht="18" customHeight="1" x14ac:dyDescent="0.2">
      <c r="A600" s="2070"/>
      <c r="B600" s="2070"/>
      <c r="C600" s="2070"/>
      <c r="D600" s="2070"/>
      <c r="E600" s="88"/>
      <c r="F600" s="88"/>
      <c r="G600" s="88"/>
      <c r="H600" s="120"/>
      <c r="I600" s="181"/>
      <c r="J600" s="181"/>
      <c r="K600" s="181"/>
      <c r="L600" s="88"/>
      <c r="M600" s="237"/>
      <c r="N600" s="88"/>
      <c r="O600" s="88"/>
      <c r="P600" s="88"/>
      <c r="Q600" s="129"/>
      <c r="R600" s="445"/>
      <c r="S600" s="181"/>
      <c r="T600" s="88"/>
      <c r="U600" s="181"/>
      <c r="V600" s="181"/>
      <c r="W600" s="181"/>
      <c r="X600" s="472"/>
      <c r="Y600" s="192"/>
      <c r="Z600" s="659"/>
      <c r="AA600" s="193"/>
      <c r="AB600" s="660"/>
      <c r="AC600" s="732"/>
      <c r="AD600" s="603"/>
      <c r="AE600" s="603"/>
      <c r="AF600" s="603"/>
    </row>
    <row r="601" spans="1:33" s="597" customFormat="1" ht="18" customHeight="1" x14ac:dyDescent="0.2">
      <c r="A601" s="2070"/>
      <c r="B601" s="177"/>
      <c r="C601" s="177"/>
      <c r="D601" s="2070"/>
      <c r="E601" s="2070"/>
      <c r="F601" s="2070"/>
      <c r="G601" s="2070"/>
      <c r="H601" s="2076"/>
      <c r="I601" s="2072"/>
      <c r="J601" s="178"/>
      <c r="K601" s="2072"/>
      <c r="L601" s="2070"/>
      <c r="M601" s="2070"/>
      <c r="N601" s="2070"/>
      <c r="O601" s="2070"/>
      <c r="P601" s="2076"/>
      <c r="Q601" s="2071"/>
      <c r="R601" s="437"/>
      <c r="S601" s="2072"/>
      <c r="T601" s="179"/>
      <c r="U601" s="178"/>
      <c r="V601" s="2072"/>
      <c r="W601" s="2072"/>
      <c r="X601" s="470"/>
      <c r="Y601" s="470"/>
      <c r="Z601" s="471"/>
      <c r="AA601" s="764"/>
      <c r="AB601" s="466"/>
      <c r="AC601" s="350"/>
      <c r="AD601" s="350"/>
      <c r="AE601" s="350"/>
      <c r="AF601" s="350"/>
    </row>
    <row r="602" spans="1:33" s="597" customFormat="1" ht="18" customHeight="1" x14ac:dyDescent="0.2">
      <c r="A602" s="2070"/>
      <c r="B602" s="177"/>
      <c r="C602" s="177"/>
      <c r="D602" s="2070"/>
      <c r="E602" s="2070"/>
      <c r="F602" s="2070"/>
      <c r="G602" s="2070"/>
      <c r="H602" s="2076"/>
      <c r="I602" s="2072"/>
      <c r="J602" s="178"/>
      <c r="K602" s="2072"/>
      <c r="L602" s="2070"/>
      <c r="M602" s="2070"/>
      <c r="N602" s="2070"/>
      <c r="O602" s="2070"/>
      <c r="P602" s="2076"/>
      <c r="Q602" s="2071"/>
      <c r="R602" s="437"/>
      <c r="S602" s="2072"/>
      <c r="T602" s="179"/>
      <c r="U602" s="178"/>
      <c r="V602" s="2072"/>
      <c r="W602" s="2072"/>
      <c r="X602" s="470"/>
      <c r="Y602" s="470"/>
      <c r="Z602" s="471"/>
      <c r="AA602" s="764"/>
      <c r="AB602" s="466"/>
      <c r="AC602" s="350"/>
      <c r="AD602" s="350"/>
      <c r="AE602" s="350"/>
      <c r="AF602" s="350"/>
    </row>
    <row r="603" spans="1:33" s="597" customFormat="1" ht="18" customHeight="1" x14ac:dyDescent="0.2">
      <c r="A603" s="2070"/>
      <c r="B603" s="177"/>
      <c r="C603" s="177"/>
      <c r="D603" s="2070"/>
      <c r="E603" s="2070"/>
      <c r="F603" s="2070"/>
      <c r="G603" s="2070"/>
      <c r="H603" s="2076"/>
      <c r="I603" s="2072"/>
      <c r="J603" s="178"/>
      <c r="K603" s="2072"/>
      <c r="L603" s="2070"/>
      <c r="M603" s="2070"/>
      <c r="N603" s="2070"/>
      <c r="O603" s="2070"/>
      <c r="P603" s="2076"/>
      <c r="Q603" s="2071"/>
      <c r="R603" s="437"/>
      <c r="S603" s="2072"/>
      <c r="T603" s="179"/>
      <c r="U603" s="178"/>
      <c r="V603" s="2072"/>
      <c r="W603" s="2072"/>
      <c r="X603" s="470"/>
      <c r="Y603" s="470"/>
      <c r="Z603" s="471"/>
      <c r="AA603" s="764"/>
      <c r="AB603" s="466"/>
      <c r="AC603" s="350"/>
      <c r="AD603" s="350"/>
      <c r="AE603" s="350"/>
      <c r="AF603" s="350"/>
    </row>
    <row r="604" spans="1:33" s="597" customFormat="1" ht="18" customHeight="1" x14ac:dyDescent="0.2">
      <c r="A604" s="2070"/>
      <c r="B604" s="177"/>
      <c r="C604" s="177"/>
      <c r="D604" s="2070"/>
      <c r="E604" s="2070"/>
      <c r="F604" s="2070"/>
      <c r="G604" s="2070"/>
      <c r="H604" s="2076"/>
      <c r="I604" s="2072"/>
      <c r="J604" s="178"/>
      <c r="K604" s="2072"/>
      <c r="L604" s="2070"/>
      <c r="M604" s="2070"/>
      <c r="N604" s="2070"/>
      <c r="O604" s="2070"/>
      <c r="P604" s="2076"/>
      <c r="Q604" s="2071"/>
      <c r="R604" s="437"/>
      <c r="S604" s="2072"/>
      <c r="T604" s="179"/>
      <c r="U604" s="178"/>
      <c r="V604" s="2072"/>
      <c r="W604" s="2072"/>
      <c r="X604" s="470"/>
      <c r="Y604" s="470"/>
      <c r="Z604" s="471"/>
      <c r="AA604" s="764"/>
      <c r="AB604" s="466"/>
      <c r="AC604" s="350"/>
      <c r="AD604" s="350"/>
      <c r="AE604" s="350"/>
      <c r="AF604" s="350"/>
    </row>
    <row r="605" spans="1:33" s="597" customFormat="1" ht="18" customHeight="1" x14ac:dyDescent="0.2">
      <c r="A605" s="2070"/>
      <c r="B605" s="177"/>
      <c r="C605" s="177"/>
      <c r="D605" s="2070"/>
      <c r="E605" s="2070"/>
      <c r="F605" s="2070"/>
      <c r="G605" s="2070"/>
      <c r="H605" s="2076"/>
      <c r="I605" s="2072"/>
      <c r="J605" s="178"/>
      <c r="K605" s="2072"/>
      <c r="L605" s="2070"/>
      <c r="M605" s="2070"/>
      <c r="N605" s="2070"/>
      <c r="O605" s="2070"/>
      <c r="P605" s="2076"/>
      <c r="Q605" s="2071"/>
      <c r="R605" s="437"/>
      <c r="S605" s="2072"/>
      <c r="T605" s="179"/>
      <c r="U605" s="178"/>
      <c r="V605" s="2072"/>
      <c r="W605" s="2072"/>
      <c r="X605" s="470"/>
      <c r="Y605" s="470"/>
      <c r="Z605" s="471"/>
      <c r="AA605" s="764"/>
      <c r="AB605" s="466"/>
      <c r="AC605" s="350"/>
      <c r="AD605" s="350"/>
      <c r="AE605" s="350"/>
      <c r="AF605" s="350"/>
    </row>
    <row r="606" spans="1:33" s="597" customFormat="1" ht="18" customHeight="1" x14ac:dyDescent="0.2">
      <c r="A606" s="2070"/>
      <c r="B606" s="177"/>
      <c r="C606" s="177"/>
      <c r="D606" s="2070"/>
      <c r="E606" s="2070"/>
      <c r="F606" s="2070"/>
      <c r="G606" s="2070"/>
      <c r="H606" s="2076"/>
      <c r="I606" s="2072"/>
      <c r="J606" s="178"/>
      <c r="K606" s="2072"/>
      <c r="L606" s="2070"/>
      <c r="M606" s="2070"/>
      <c r="N606" s="2070"/>
      <c r="O606" s="2070"/>
      <c r="P606" s="2076"/>
      <c r="Q606" s="2071"/>
      <c r="R606" s="437"/>
      <c r="S606" s="2072"/>
      <c r="T606" s="179"/>
      <c r="U606" s="178"/>
      <c r="V606" s="2072"/>
      <c r="W606" s="2072"/>
      <c r="X606" s="470"/>
      <c r="Y606" s="470"/>
      <c r="Z606" s="471"/>
      <c r="AA606" s="764"/>
      <c r="AB606" s="466"/>
      <c r="AC606" s="350"/>
      <c r="AD606" s="350"/>
      <c r="AE606" s="350"/>
      <c r="AF606" s="350"/>
    </row>
    <row r="607" spans="1:33" s="597" customFormat="1" ht="18" customHeight="1" x14ac:dyDescent="0.2">
      <c r="A607" s="88"/>
      <c r="B607" s="180"/>
      <c r="C607" s="180"/>
      <c r="D607" s="88"/>
      <c r="E607" s="88"/>
      <c r="F607" s="88"/>
      <c r="G607" s="88"/>
      <c r="H607" s="120"/>
      <c r="I607" s="121"/>
      <c r="J607" s="181"/>
      <c r="K607" s="121"/>
      <c r="L607" s="88"/>
      <c r="M607" s="88"/>
      <c r="N607" s="88"/>
      <c r="O607" s="88"/>
      <c r="P607" s="88"/>
      <c r="Q607" s="129"/>
      <c r="R607" s="445"/>
      <c r="S607" s="121"/>
      <c r="T607" s="182"/>
      <c r="U607" s="181"/>
      <c r="V607" s="121"/>
      <c r="W607" s="121"/>
      <c r="X607" s="472"/>
      <c r="Y607" s="472"/>
      <c r="Z607" s="473"/>
      <c r="AA607" s="780"/>
      <c r="AB607" s="410"/>
      <c r="AC607" s="351"/>
      <c r="AD607" s="351"/>
      <c r="AE607" s="351"/>
      <c r="AF607" s="351"/>
    </row>
    <row r="608" spans="1:33" s="597" customFormat="1" ht="18" customHeight="1" x14ac:dyDescent="0.2">
      <c r="A608" s="1850"/>
      <c r="B608" s="1850"/>
      <c r="C608" s="1850"/>
      <c r="D608" s="1850"/>
      <c r="E608" s="1850"/>
      <c r="F608" s="1850"/>
      <c r="G608" s="1850"/>
      <c r="H608" s="1851"/>
      <c r="I608" s="1852"/>
      <c r="J608" s="1853"/>
      <c r="K608" s="1852"/>
      <c r="L608" s="1852"/>
      <c r="M608" s="1852"/>
      <c r="N608" s="1852"/>
      <c r="O608" s="1852"/>
      <c r="P608" s="1852"/>
      <c r="Q608" s="1852"/>
      <c r="R608" s="1854"/>
      <c r="S608" s="1852"/>
      <c r="T608" s="1855"/>
      <c r="U608" s="1853"/>
      <c r="V608" s="1852"/>
      <c r="W608" s="1852"/>
      <c r="X608" s="1856"/>
      <c r="Y608" s="1856"/>
      <c r="Z608" s="1857"/>
      <c r="AA608" s="2125"/>
      <c r="AB608" s="1847">
        <f>SUM(AB594:AB607)</f>
        <v>336</v>
      </c>
      <c r="AC608" s="1861"/>
      <c r="AD608" s="1861"/>
      <c r="AE608" s="1861"/>
      <c r="AF608" s="1861"/>
    </row>
    <row r="609" spans="1:33" s="597" customFormat="1" ht="14.1" customHeight="1" x14ac:dyDescent="0.2">
      <c r="A609" s="2690" t="s">
        <v>76</v>
      </c>
      <c r="B609" s="2690"/>
      <c r="C609" s="2691" t="s">
        <v>77</v>
      </c>
      <c r="D609" s="2691"/>
      <c r="E609" s="2691"/>
      <c r="F609" s="2691"/>
      <c r="G609" s="2691"/>
      <c r="H609" s="2691"/>
      <c r="I609" s="604" t="s">
        <v>78</v>
      </c>
      <c r="J609" s="604"/>
      <c r="K609" s="604"/>
      <c r="L609" s="604"/>
      <c r="M609" s="604"/>
      <c r="N609" s="604"/>
      <c r="AA609" s="767"/>
      <c r="AB609" s="598"/>
    </row>
    <row r="610" spans="1:33" s="597" customFormat="1" ht="14.1" customHeight="1" x14ac:dyDescent="0.2">
      <c r="A610" s="604"/>
      <c r="B610" s="605"/>
      <c r="C610" s="604"/>
      <c r="D610" s="604"/>
      <c r="E610" s="604"/>
      <c r="F610" s="604"/>
      <c r="G610" s="604"/>
      <c r="H610" s="604"/>
      <c r="I610" s="604" t="s">
        <v>79</v>
      </c>
      <c r="J610" s="604"/>
      <c r="K610" s="604"/>
      <c r="L610" s="604"/>
      <c r="M610" s="604"/>
      <c r="N610" s="604"/>
      <c r="AA610" s="767"/>
      <c r="AB610" s="598"/>
    </row>
    <row r="611" spans="1:33" s="597" customFormat="1" ht="14.1" customHeight="1" x14ac:dyDescent="0.2">
      <c r="A611" s="604"/>
      <c r="B611" s="605"/>
      <c r="C611" s="604"/>
      <c r="D611" s="604"/>
      <c r="E611" s="604"/>
      <c r="F611" s="604"/>
      <c r="G611" s="604"/>
      <c r="H611" s="604"/>
      <c r="I611" s="604" t="s">
        <v>80</v>
      </c>
      <c r="J611" s="604"/>
      <c r="K611" s="604"/>
      <c r="L611" s="604"/>
      <c r="M611" s="604"/>
      <c r="N611" s="604"/>
      <c r="AA611" s="767"/>
      <c r="AB611" s="598"/>
    </row>
    <row r="612" spans="1:33" s="597" customFormat="1" ht="14.1" customHeight="1" x14ac:dyDescent="0.2">
      <c r="A612" s="604"/>
      <c r="B612" s="605"/>
      <c r="C612" s="604"/>
      <c r="D612" s="604"/>
      <c r="E612" s="604"/>
      <c r="F612" s="604"/>
      <c r="G612" s="604"/>
      <c r="H612" s="604"/>
      <c r="I612" s="604" t="s">
        <v>81</v>
      </c>
      <c r="J612" s="604"/>
      <c r="K612" s="604"/>
      <c r="L612" s="604"/>
      <c r="M612" s="604"/>
      <c r="N612" s="604"/>
      <c r="AA612" s="767"/>
      <c r="AB612" s="598"/>
    </row>
    <row r="613" spans="1:33" s="597" customFormat="1" ht="14.1" customHeight="1" x14ac:dyDescent="0.2">
      <c r="A613" s="604"/>
      <c r="B613" s="605"/>
      <c r="C613" s="604"/>
      <c r="D613" s="604"/>
      <c r="E613" s="604"/>
      <c r="F613" s="604"/>
      <c r="G613" s="604"/>
      <c r="H613" s="604"/>
      <c r="I613" s="604" t="s">
        <v>88</v>
      </c>
      <c r="J613" s="604"/>
      <c r="K613" s="604"/>
      <c r="L613" s="604"/>
      <c r="M613" s="604"/>
      <c r="N613" s="604"/>
      <c r="AA613" s="767"/>
      <c r="AB613" s="598"/>
    </row>
    <row r="614" spans="1:33" s="597" customFormat="1" ht="18" customHeight="1" x14ac:dyDescent="0.2">
      <c r="A614" s="339"/>
      <c r="B614" s="339"/>
      <c r="C614" s="339"/>
      <c r="D614" s="339"/>
      <c r="E614" s="339"/>
      <c r="F614" s="339"/>
      <c r="G614" s="339"/>
      <c r="H614" s="339"/>
      <c r="I614" s="339"/>
      <c r="J614" s="339"/>
      <c r="K614" s="339"/>
      <c r="L614" s="339"/>
      <c r="M614" s="339"/>
      <c r="N614" s="339"/>
      <c r="O614" s="339"/>
      <c r="P614" s="339"/>
      <c r="Q614" s="339"/>
      <c r="R614" s="339"/>
      <c r="S614" s="339"/>
      <c r="T614" s="339"/>
      <c r="U614" s="339"/>
      <c r="V614" s="339"/>
      <c r="W614" s="339"/>
      <c r="X614" s="339"/>
      <c r="Y614" s="339"/>
      <c r="Z614" s="339"/>
      <c r="AA614" s="2702" t="s">
        <v>0</v>
      </c>
      <c r="AB614" s="2702"/>
      <c r="AC614" s="339"/>
      <c r="AD614" s="339"/>
      <c r="AE614" s="339"/>
      <c r="AF614" s="339"/>
    </row>
    <row r="615" spans="1:33" s="597" customFormat="1" ht="18" customHeight="1" x14ac:dyDescent="0.2">
      <c r="A615" s="2703" t="s">
        <v>1</v>
      </c>
      <c r="B615" s="2703"/>
      <c r="C615" s="2703"/>
      <c r="D615" s="2703"/>
      <c r="E615" s="2703"/>
      <c r="F615" s="2703"/>
      <c r="G615" s="2703"/>
      <c r="H615" s="2703"/>
      <c r="I615" s="2703"/>
      <c r="J615" s="2703"/>
      <c r="K615" s="2703"/>
      <c r="L615" s="2703"/>
      <c r="M615" s="2703"/>
      <c r="N615" s="2703"/>
      <c r="O615" s="2703"/>
      <c r="P615" s="2703"/>
      <c r="Q615" s="2703"/>
      <c r="R615" s="2703"/>
      <c r="S615" s="2703"/>
      <c r="T615" s="2703"/>
      <c r="U615" s="2703"/>
      <c r="V615" s="2703"/>
      <c r="W615" s="2703"/>
      <c r="X615" s="2703"/>
      <c r="Y615" s="2703"/>
      <c r="Z615" s="2703"/>
      <c r="AA615" s="2703"/>
      <c r="AB615" s="2703"/>
      <c r="AC615" s="344"/>
      <c r="AD615" s="344"/>
      <c r="AE615" s="344"/>
      <c r="AF615" s="344"/>
    </row>
    <row r="616" spans="1:33" s="597" customFormat="1" ht="18" customHeight="1" x14ac:dyDescent="0.2">
      <c r="A616" s="2704" t="s">
        <v>561</v>
      </c>
      <c r="B616" s="2704"/>
      <c r="C616" s="2704"/>
      <c r="D616" s="2704"/>
      <c r="E616" s="2704"/>
      <c r="F616" s="2704"/>
      <c r="G616" s="2704"/>
      <c r="H616" s="2704"/>
      <c r="I616" s="2704"/>
      <c r="J616" s="2704"/>
      <c r="K616" s="2704"/>
      <c r="L616" s="2704"/>
      <c r="M616" s="2704"/>
      <c r="N616" s="2704"/>
      <c r="O616" s="2704"/>
      <c r="P616" s="2704"/>
      <c r="Q616" s="2704"/>
      <c r="R616" s="2704"/>
      <c r="S616" s="2704"/>
      <c r="T616" s="2704"/>
      <c r="U616" s="2704"/>
      <c r="V616" s="2704"/>
      <c r="W616" s="2704"/>
      <c r="X616" s="2704"/>
      <c r="Y616" s="2704"/>
      <c r="Z616" s="2704"/>
      <c r="AA616" s="2704"/>
      <c r="AB616" s="2704"/>
      <c r="AC616" s="599"/>
      <c r="AD616" s="599"/>
      <c r="AE616" s="599"/>
      <c r="AF616" s="599"/>
    </row>
    <row r="617" spans="1:33" s="597" customFormat="1" ht="14.1" customHeight="1" x14ac:dyDescent="0.2">
      <c r="A617" s="2686" t="s">
        <v>2</v>
      </c>
      <c r="B617" s="360"/>
      <c r="C617" s="2686" t="s">
        <v>3</v>
      </c>
      <c r="D617" s="360"/>
      <c r="E617" s="360"/>
      <c r="F617" s="2693" t="s">
        <v>4</v>
      </c>
      <c r="G617" s="2693"/>
      <c r="H617" s="2693"/>
      <c r="I617" s="2694"/>
      <c r="J617" s="2694"/>
      <c r="K617" s="2695"/>
      <c r="L617" s="361"/>
      <c r="M617" s="2679" t="s">
        <v>5</v>
      </c>
      <c r="N617" s="2679"/>
      <c r="O617" s="2679"/>
      <c r="P617" s="2679"/>
      <c r="Q617" s="2696"/>
      <c r="R617" s="2696"/>
      <c r="S617" s="2696"/>
      <c r="T617" s="2696"/>
      <c r="U617" s="2696"/>
      <c r="V617" s="2697"/>
      <c r="W617" s="362" t="s">
        <v>6</v>
      </c>
      <c r="X617" s="363" t="s">
        <v>7</v>
      </c>
      <c r="Y617" s="364"/>
      <c r="Z617" s="364"/>
      <c r="AA617" s="363"/>
      <c r="AB617" s="365"/>
      <c r="AC617" s="516" t="s">
        <v>8</v>
      </c>
      <c r="AD617" s="346"/>
      <c r="AE617" s="346"/>
      <c r="AF617" s="600"/>
    </row>
    <row r="618" spans="1:33" s="597" customFormat="1" ht="14.1" customHeight="1" x14ac:dyDescent="0.2">
      <c r="A618" s="2687"/>
      <c r="B618" s="367"/>
      <c r="C618" s="2687"/>
      <c r="D618" s="2062" t="s">
        <v>9</v>
      </c>
      <c r="E618" s="368" t="s">
        <v>10</v>
      </c>
      <c r="F618" s="2698" t="s">
        <v>11</v>
      </c>
      <c r="G618" s="2694"/>
      <c r="H618" s="2695"/>
      <c r="I618" s="360"/>
      <c r="J618" s="369" t="s">
        <v>12</v>
      </c>
      <c r="K618" s="360"/>
      <c r="L618" s="2679" t="s">
        <v>2</v>
      </c>
      <c r="M618" s="2067"/>
      <c r="N618" s="2067"/>
      <c r="O618" s="2067"/>
      <c r="P618" s="371"/>
      <c r="Q618" s="372" t="s">
        <v>13</v>
      </c>
      <c r="R618" s="373" t="s">
        <v>12</v>
      </c>
      <c r="S618" s="2067" t="s">
        <v>6</v>
      </c>
      <c r="T618" s="2682" t="s">
        <v>14</v>
      </c>
      <c r="U618" s="2683"/>
      <c r="V618" s="375" t="s">
        <v>7</v>
      </c>
      <c r="W618" s="376" t="s">
        <v>15</v>
      </c>
      <c r="X618" s="377" t="s">
        <v>16</v>
      </c>
      <c r="Y618" s="377" t="s">
        <v>17</v>
      </c>
      <c r="Z618" s="377" t="s">
        <v>18</v>
      </c>
      <c r="AA618" s="377"/>
      <c r="AB618" s="378" t="s">
        <v>19</v>
      </c>
      <c r="AC618" s="528" t="s">
        <v>20</v>
      </c>
      <c r="AD618" s="601"/>
      <c r="AE618" s="347" t="s">
        <v>21</v>
      </c>
      <c r="AF618" s="340" t="s">
        <v>22</v>
      </c>
    </row>
    <row r="619" spans="1:33" s="597" customFormat="1" ht="14.1" customHeight="1" x14ac:dyDescent="0.2">
      <c r="A619" s="2687"/>
      <c r="B619" s="2062" t="s">
        <v>23</v>
      </c>
      <c r="C619" s="2687"/>
      <c r="D619" s="2062" t="s">
        <v>24</v>
      </c>
      <c r="E619" s="368" t="s">
        <v>25</v>
      </c>
      <c r="F619" s="2699"/>
      <c r="G619" s="2700"/>
      <c r="H619" s="2701"/>
      <c r="I619" s="2062" t="s">
        <v>26</v>
      </c>
      <c r="J619" s="379" t="s">
        <v>15</v>
      </c>
      <c r="K619" s="2066" t="s">
        <v>6</v>
      </c>
      <c r="L619" s="2680"/>
      <c r="M619" s="2068" t="s">
        <v>27</v>
      </c>
      <c r="N619" s="2068" t="s">
        <v>10</v>
      </c>
      <c r="O619" s="382" t="s">
        <v>10</v>
      </c>
      <c r="P619" s="383" t="s">
        <v>28</v>
      </c>
      <c r="Q619" s="384" t="s">
        <v>29</v>
      </c>
      <c r="R619" s="383" t="s">
        <v>15</v>
      </c>
      <c r="S619" s="385" t="s">
        <v>15</v>
      </c>
      <c r="T619" s="2684"/>
      <c r="U619" s="2685"/>
      <c r="V619" s="375" t="s">
        <v>30</v>
      </c>
      <c r="W619" s="376" t="s">
        <v>31</v>
      </c>
      <c r="X619" s="377" t="s">
        <v>30</v>
      </c>
      <c r="Y619" s="377" t="s">
        <v>32</v>
      </c>
      <c r="Z619" s="377" t="s">
        <v>7</v>
      </c>
      <c r="AA619" s="377" t="s">
        <v>33</v>
      </c>
      <c r="AB619" s="378" t="s">
        <v>34</v>
      </c>
      <c r="AC619" s="528" t="s">
        <v>35</v>
      </c>
      <c r="AD619" s="347" t="s">
        <v>36</v>
      </c>
      <c r="AE619" s="347" t="s">
        <v>37</v>
      </c>
      <c r="AF619" s="340" t="s">
        <v>38</v>
      </c>
    </row>
    <row r="620" spans="1:33" s="597" customFormat="1" ht="14.1" customHeight="1" x14ac:dyDescent="0.2">
      <c r="A620" s="2687"/>
      <c r="B620" s="2062" t="s">
        <v>39</v>
      </c>
      <c r="C620" s="2687"/>
      <c r="D620" s="2062" t="s">
        <v>40</v>
      </c>
      <c r="E620" s="368" t="s">
        <v>41</v>
      </c>
      <c r="F620" s="2686" t="s">
        <v>42</v>
      </c>
      <c r="G620" s="2686" t="s">
        <v>43</v>
      </c>
      <c r="H620" s="2688" t="s">
        <v>44</v>
      </c>
      <c r="I620" s="2062" t="s">
        <v>45</v>
      </c>
      <c r="J620" s="379" t="s">
        <v>46</v>
      </c>
      <c r="K620" s="2066" t="s">
        <v>47</v>
      </c>
      <c r="L620" s="2680"/>
      <c r="M620" s="2068" t="s">
        <v>30</v>
      </c>
      <c r="N620" s="2068" t="s">
        <v>30</v>
      </c>
      <c r="O620" s="382" t="s">
        <v>25</v>
      </c>
      <c r="P620" s="383" t="s">
        <v>30</v>
      </c>
      <c r="Q620" s="384" t="s">
        <v>48</v>
      </c>
      <c r="R620" s="383" t="s">
        <v>49</v>
      </c>
      <c r="S620" s="385" t="s">
        <v>30</v>
      </c>
      <c r="T620" s="386" t="s">
        <v>50</v>
      </c>
      <c r="U620" s="2065" t="s">
        <v>13</v>
      </c>
      <c r="V620" s="375" t="s">
        <v>51</v>
      </c>
      <c r="W620" s="376" t="s">
        <v>52</v>
      </c>
      <c r="X620" s="377" t="s">
        <v>53</v>
      </c>
      <c r="Y620" s="377" t="s">
        <v>54</v>
      </c>
      <c r="Z620" s="377" t="s">
        <v>55</v>
      </c>
      <c r="AA620" s="377" t="s">
        <v>56</v>
      </c>
      <c r="AB620" s="378" t="s">
        <v>57</v>
      </c>
      <c r="AC620" s="347" t="s">
        <v>58</v>
      </c>
      <c r="AD620" s="347" t="s">
        <v>59</v>
      </c>
      <c r="AE620" s="347" t="s">
        <v>59</v>
      </c>
      <c r="AF620" s="340" t="s">
        <v>60</v>
      </c>
    </row>
    <row r="621" spans="1:33" s="597" customFormat="1" ht="14.1" customHeight="1" x14ac:dyDescent="0.2">
      <c r="A621" s="2687"/>
      <c r="B621" s="2062" t="s">
        <v>61</v>
      </c>
      <c r="C621" s="2687"/>
      <c r="D621" s="2062" t="s">
        <v>62</v>
      </c>
      <c r="E621" s="368" t="s">
        <v>63</v>
      </c>
      <c r="F621" s="2687"/>
      <c r="G621" s="2687"/>
      <c r="H621" s="2689"/>
      <c r="I621" s="2062" t="s">
        <v>64</v>
      </c>
      <c r="J621" s="379" t="s">
        <v>59</v>
      </c>
      <c r="K621" s="2066" t="s">
        <v>59</v>
      </c>
      <c r="L621" s="2680"/>
      <c r="M621" s="2068"/>
      <c r="N621" s="2068"/>
      <c r="O621" s="382" t="s">
        <v>41</v>
      </c>
      <c r="P621" s="383" t="s">
        <v>65</v>
      </c>
      <c r="Q621" s="384" t="s">
        <v>66</v>
      </c>
      <c r="R621" s="383" t="s">
        <v>67</v>
      </c>
      <c r="S621" s="385" t="s">
        <v>59</v>
      </c>
      <c r="T621" s="387" t="s">
        <v>68</v>
      </c>
      <c r="U621" s="375" t="s">
        <v>14</v>
      </c>
      <c r="V621" s="375" t="s">
        <v>14</v>
      </c>
      <c r="W621" s="376" t="s">
        <v>30</v>
      </c>
      <c r="X621" s="388" t="s">
        <v>69</v>
      </c>
      <c r="Y621" s="388" t="s">
        <v>70</v>
      </c>
      <c r="Z621" s="377" t="s">
        <v>71</v>
      </c>
      <c r="AA621" s="377" t="s">
        <v>72</v>
      </c>
      <c r="AB621" s="378" t="s">
        <v>59</v>
      </c>
      <c r="AC621" s="347" t="s">
        <v>59</v>
      </c>
      <c r="AD621" s="347"/>
      <c r="AE621" s="347"/>
      <c r="AF621" s="340" t="s">
        <v>59</v>
      </c>
    </row>
    <row r="622" spans="1:33" s="597" customFormat="1" ht="14.1" customHeight="1" x14ac:dyDescent="0.2">
      <c r="A622" s="2692"/>
      <c r="B622" s="390"/>
      <c r="C622" s="2692"/>
      <c r="D622" s="390"/>
      <c r="E622" s="2063"/>
      <c r="F622" s="390"/>
      <c r="G622" s="390"/>
      <c r="H622" s="391"/>
      <c r="I622" s="2063"/>
      <c r="J622" s="392"/>
      <c r="K622" s="393"/>
      <c r="L622" s="2681"/>
      <c r="M622" s="2069"/>
      <c r="N622" s="2069"/>
      <c r="O622" s="2069" t="s">
        <v>63</v>
      </c>
      <c r="P622" s="395"/>
      <c r="Q622" s="396" t="s">
        <v>72</v>
      </c>
      <c r="R622" s="397" t="s">
        <v>59</v>
      </c>
      <c r="S622" s="398"/>
      <c r="T622" s="397" t="s">
        <v>73</v>
      </c>
      <c r="U622" s="398" t="s">
        <v>59</v>
      </c>
      <c r="V622" s="399" t="s">
        <v>59</v>
      </c>
      <c r="W622" s="400" t="s">
        <v>59</v>
      </c>
      <c r="X622" s="401" t="s">
        <v>59</v>
      </c>
      <c r="Y622" s="401" t="s">
        <v>59</v>
      </c>
      <c r="Z622" s="401" t="s">
        <v>59</v>
      </c>
      <c r="AA622" s="402"/>
      <c r="AB622" s="403"/>
      <c r="AC622" s="348"/>
      <c r="AD622" s="348"/>
      <c r="AE622" s="348"/>
      <c r="AF622" s="341"/>
    </row>
    <row r="623" spans="1:33" s="597" customFormat="1" ht="18" customHeight="1" x14ac:dyDescent="0.25">
      <c r="A623" s="53">
        <v>1</v>
      </c>
      <c r="B623" s="333">
        <v>29847</v>
      </c>
      <c r="C623" s="41">
        <v>71</v>
      </c>
      <c r="D623" s="41" t="s">
        <v>83</v>
      </c>
      <c r="E623" s="41">
        <v>4</v>
      </c>
      <c r="F623" s="41">
        <v>0</v>
      </c>
      <c r="G623" s="41">
        <v>1</v>
      </c>
      <c r="H623" s="267">
        <v>0</v>
      </c>
      <c r="I623" s="44">
        <f t="shared" ref="I623:I629" si="28">F623*400+G623*100+H623</f>
        <v>100</v>
      </c>
      <c r="J623" s="42">
        <v>280</v>
      </c>
      <c r="K623" s="46">
        <f t="shared" ref="K623:K629" si="29">SUM(I623*J623)</f>
        <v>28000</v>
      </c>
      <c r="L623" s="41"/>
      <c r="M623" s="41"/>
      <c r="N623" s="41"/>
      <c r="O623" s="41"/>
      <c r="P623" s="41"/>
      <c r="Q623" s="1017"/>
      <c r="R623" s="1157"/>
      <c r="S623" s="42"/>
      <c r="T623" s="1158"/>
      <c r="U623" s="42"/>
      <c r="V623" s="42"/>
      <c r="W623" s="42">
        <f>K623</f>
        <v>28000</v>
      </c>
      <c r="X623" s="42">
        <f>W623</f>
        <v>28000</v>
      </c>
      <c r="Y623" s="42">
        <f>V623</f>
        <v>0</v>
      </c>
      <c r="Z623" s="42">
        <f>+X623</f>
        <v>28000</v>
      </c>
      <c r="AA623" s="852">
        <v>0.6</v>
      </c>
      <c r="AB623" s="465">
        <f>+Z623*AA623/100</f>
        <v>168</v>
      </c>
      <c r="AC623" s="602"/>
      <c r="AD623" s="603">
        <f>AB623-AC623</f>
        <v>168</v>
      </c>
      <c r="AE623" s="603">
        <f>IF(AD623&lt;=0,0,AD623*25/100)</f>
        <v>42</v>
      </c>
      <c r="AF623" s="603">
        <f>IF(AC623+AE623&gt;AB623,AB623,AC623+AE623)</f>
        <v>42</v>
      </c>
      <c r="AG623" s="1750" t="s">
        <v>387</v>
      </c>
    </row>
    <row r="624" spans="1:33" s="597" customFormat="1" ht="18" customHeight="1" x14ac:dyDescent="0.25">
      <c r="A624" s="61">
        <v>2</v>
      </c>
      <c r="B624" s="287">
        <v>51006</v>
      </c>
      <c r="C624" s="15">
        <v>877</v>
      </c>
      <c r="D624" s="15" t="s">
        <v>83</v>
      </c>
      <c r="E624" s="15">
        <v>4</v>
      </c>
      <c r="F624" s="15">
        <v>0</v>
      </c>
      <c r="G624" s="15">
        <v>0</v>
      </c>
      <c r="H624" s="284">
        <v>66</v>
      </c>
      <c r="I624" s="18">
        <f t="shared" si="28"/>
        <v>66</v>
      </c>
      <c r="J624" s="23">
        <v>1000</v>
      </c>
      <c r="K624" s="39">
        <f t="shared" si="29"/>
        <v>66000</v>
      </c>
      <c r="L624" s="50"/>
      <c r="M624" s="50"/>
      <c r="N624" s="50"/>
      <c r="O624" s="50"/>
      <c r="P624" s="19"/>
      <c r="Q624" s="76"/>
      <c r="R624" s="260"/>
      <c r="S624" s="18"/>
      <c r="T624" s="59"/>
      <c r="U624" s="18">
        <f t="shared" ref="U624:U629" si="30">S624*T624/100</f>
        <v>0</v>
      </c>
      <c r="V624" s="18">
        <f t="shared" ref="V624:V629" si="31">SUM(S624-U624)</f>
        <v>0</v>
      </c>
      <c r="W624" s="18">
        <f t="shared" ref="W624:W629" si="32">K624+V624</f>
        <v>66000</v>
      </c>
      <c r="X624" s="18">
        <f t="shared" ref="X624:X629" si="33">W624</f>
        <v>66000</v>
      </c>
      <c r="Y624" s="293">
        <v>0</v>
      </c>
      <c r="Z624" s="18">
        <f>X624-Y624</f>
        <v>66000</v>
      </c>
      <c r="AA624" s="264">
        <v>0.6</v>
      </c>
      <c r="AB624" s="410">
        <f t="shared" ref="AB624:AB629" si="34">+Z624*AA624/100</f>
        <v>396</v>
      </c>
      <c r="AC624" s="603"/>
      <c r="AD624" s="603"/>
      <c r="AE624" s="603"/>
      <c r="AF624" s="603"/>
    </row>
    <row r="625" spans="1:32" s="597" customFormat="1" ht="18" customHeight="1" x14ac:dyDescent="0.25">
      <c r="A625" s="75">
        <v>3</v>
      </c>
      <c r="B625" s="273">
        <v>51008</v>
      </c>
      <c r="C625" s="27">
        <v>2037</v>
      </c>
      <c r="D625" s="27" t="s">
        <v>83</v>
      </c>
      <c r="E625" s="27">
        <v>4</v>
      </c>
      <c r="F625" s="27">
        <v>0</v>
      </c>
      <c r="G625" s="27">
        <v>2</v>
      </c>
      <c r="H625" s="557">
        <v>83</v>
      </c>
      <c r="I625" s="47">
        <f t="shared" si="28"/>
        <v>283</v>
      </c>
      <c r="J625" s="30">
        <v>1700</v>
      </c>
      <c r="K625" s="48">
        <f t="shared" si="29"/>
        <v>481100</v>
      </c>
      <c r="L625" s="45">
        <v>1</v>
      </c>
      <c r="M625" s="45" t="s">
        <v>257</v>
      </c>
      <c r="N625" s="45" t="s">
        <v>258</v>
      </c>
      <c r="O625" s="45">
        <v>2</v>
      </c>
      <c r="P625" s="257">
        <v>144</v>
      </c>
      <c r="Q625" s="62" t="s">
        <v>75</v>
      </c>
      <c r="R625" s="283">
        <v>8800</v>
      </c>
      <c r="S625" s="47">
        <f>R625*P625</f>
        <v>1267200</v>
      </c>
      <c r="T625" s="20">
        <v>14</v>
      </c>
      <c r="U625" s="47">
        <f>S625*18/100</f>
        <v>228096</v>
      </c>
      <c r="V625" s="47">
        <f t="shared" si="31"/>
        <v>1039104</v>
      </c>
      <c r="W625" s="47">
        <f t="shared" si="32"/>
        <v>1520204</v>
      </c>
      <c r="X625" s="47">
        <f t="shared" si="33"/>
        <v>1520204</v>
      </c>
      <c r="Y625" s="779" t="s">
        <v>87</v>
      </c>
      <c r="Z625" s="47">
        <v>0</v>
      </c>
      <c r="AA625" s="292">
        <v>0.02</v>
      </c>
      <c r="AB625" s="416">
        <f t="shared" si="34"/>
        <v>0</v>
      </c>
      <c r="AC625" s="603"/>
      <c r="AD625" s="603"/>
      <c r="AE625" s="603"/>
      <c r="AF625" s="603"/>
    </row>
    <row r="626" spans="1:32" s="597" customFormat="1" ht="18" customHeight="1" x14ac:dyDescent="0.25">
      <c r="A626" s="75">
        <v>4</v>
      </c>
      <c r="B626" s="273">
        <v>52488</v>
      </c>
      <c r="C626" s="27">
        <v>2045</v>
      </c>
      <c r="D626" s="27" t="s">
        <v>83</v>
      </c>
      <c r="E626" s="27">
        <v>4</v>
      </c>
      <c r="F626" s="27">
        <v>0</v>
      </c>
      <c r="G626" s="27">
        <v>0</v>
      </c>
      <c r="H626" s="557">
        <v>71</v>
      </c>
      <c r="I626" s="47">
        <f t="shared" si="28"/>
        <v>71</v>
      </c>
      <c r="J626" s="30">
        <v>280</v>
      </c>
      <c r="K626" s="48">
        <f t="shared" si="29"/>
        <v>19880</v>
      </c>
      <c r="L626" s="45"/>
      <c r="M626" s="45"/>
      <c r="N626" s="45"/>
      <c r="O626" s="45"/>
      <c r="P626" s="257"/>
      <c r="Q626" s="62"/>
      <c r="R626" s="283"/>
      <c r="S626" s="47"/>
      <c r="T626" s="20"/>
      <c r="U626" s="47">
        <f t="shared" si="30"/>
        <v>0</v>
      </c>
      <c r="V626" s="47">
        <f t="shared" si="31"/>
        <v>0</v>
      </c>
      <c r="W626" s="47">
        <f t="shared" si="32"/>
        <v>19880</v>
      </c>
      <c r="X626" s="47">
        <f t="shared" si="33"/>
        <v>19880</v>
      </c>
      <c r="Y626" s="779">
        <v>0</v>
      </c>
      <c r="Z626" s="47">
        <f>X626-Y626</f>
        <v>19880</v>
      </c>
      <c r="AA626" s="292">
        <v>0.6</v>
      </c>
      <c r="AB626" s="410">
        <f t="shared" si="34"/>
        <v>119.28</v>
      </c>
      <c r="AC626" s="350"/>
      <c r="AD626" s="350"/>
      <c r="AE626" s="350"/>
      <c r="AF626" s="350"/>
    </row>
    <row r="627" spans="1:32" s="597" customFormat="1" ht="18" customHeight="1" x14ac:dyDescent="0.25">
      <c r="A627" s="75">
        <v>5</v>
      </c>
      <c r="B627" s="273">
        <v>52489</v>
      </c>
      <c r="C627" s="27">
        <v>2046</v>
      </c>
      <c r="D627" s="27" t="s">
        <v>83</v>
      </c>
      <c r="E627" s="27">
        <v>4</v>
      </c>
      <c r="F627" s="27">
        <v>0</v>
      </c>
      <c r="G627" s="27">
        <v>0</v>
      </c>
      <c r="H627" s="557">
        <v>78</v>
      </c>
      <c r="I627" s="47">
        <f t="shared" si="28"/>
        <v>78</v>
      </c>
      <c r="J627" s="30">
        <v>280</v>
      </c>
      <c r="K627" s="48">
        <f t="shared" si="29"/>
        <v>21840</v>
      </c>
      <c r="L627" s="45"/>
      <c r="M627" s="45"/>
      <c r="N627" s="45"/>
      <c r="O627" s="45"/>
      <c r="P627" s="257"/>
      <c r="Q627" s="62"/>
      <c r="R627" s="283"/>
      <c r="S627" s="47"/>
      <c r="T627" s="20"/>
      <c r="U627" s="47">
        <f t="shared" si="30"/>
        <v>0</v>
      </c>
      <c r="V627" s="47">
        <f t="shared" si="31"/>
        <v>0</v>
      </c>
      <c r="W627" s="47">
        <f t="shared" si="32"/>
        <v>21840</v>
      </c>
      <c r="X627" s="47">
        <f t="shared" si="33"/>
        <v>21840</v>
      </c>
      <c r="Y627" s="779">
        <v>0</v>
      </c>
      <c r="Z627" s="47">
        <f>X627-Y627</f>
        <v>21840</v>
      </c>
      <c r="AA627" s="292">
        <v>0.6</v>
      </c>
      <c r="AB627" s="416">
        <f t="shared" si="34"/>
        <v>131.04</v>
      </c>
      <c r="AC627" s="350"/>
      <c r="AD627" s="350"/>
      <c r="AE627" s="350"/>
      <c r="AF627" s="350"/>
    </row>
    <row r="628" spans="1:32" s="597" customFormat="1" ht="18" customHeight="1" x14ac:dyDescent="0.25">
      <c r="A628" s="75">
        <v>6</v>
      </c>
      <c r="B628" s="273">
        <v>52491</v>
      </c>
      <c r="C628" s="27">
        <v>2048</v>
      </c>
      <c r="D628" s="27" t="s">
        <v>83</v>
      </c>
      <c r="E628" s="27">
        <v>4</v>
      </c>
      <c r="F628" s="27">
        <v>0</v>
      </c>
      <c r="G628" s="27">
        <v>0</v>
      </c>
      <c r="H628" s="557">
        <v>90</v>
      </c>
      <c r="I628" s="30">
        <f t="shared" si="28"/>
        <v>90</v>
      </c>
      <c r="J628" s="30">
        <v>280</v>
      </c>
      <c r="K628" s="48">
        <f t="shared" si="29"/>
        <v>25200</v>
      </c>
      <c r="L628" s="45"/>
      <c r="M628" s="45"/>
      <c r="N628" s="45"/>
      <c r="O628" s="45"/>
      <c r="P628" s="257"/>
      <c r="Q628" s="62"/>
      <c r="R628" s="283"/>
      <c r="S628" s="47"/>
      <c r="T628" s="20"/>
      <c r="U628" s="47">
        <f t="shared" si="30"/>
        <v>0</v>
      </c>
      <c r="V628" s="47">
        <f t="shared" si="31"/>
        <v>0</v>
      </c>
      <c r="W628" s="47">
        <f t="shared" si="32"/>
        <v>25200</v>
      </c>
      <c r="X628" s="47">
        <f t="shared" si="33"/>
        <v>25200</v>
      </c>
      <c r="Y628" s="779">
        <v>0</v>
      </c>
      <c r="Z628" s="47">
        <f>X628-Y628</f>
        <v>25200</v>
      </c>
      <c r="AA628" s="292">
        <v>0.6</v>
      </c>
      <c r="AB628" s="415">
        <f t="shared" si="34"/>
        <v>151.19999999999999</v>
      </c>
      <c r="AC628" s="350"/>
      <c r="AD628" s="350"/>
      <c r="AE628" s="350"/>
      <c r="AF628" s="350"/>
    </row>
    <row r="629" spans="1:32" s="597" customFormat="1" ht="18" customHeight="1" x14ac:dyDescent="0.25">
      <c r="A629" s="65">
        <v>7</v>
      </c>
      <c r="B629" s="289">
        <v>2703</v>
      </c>
      <c r="C629" s="270">
        <v>546</v>
      </c>
      <c r="D629" s="270" t="s">
        <v>83</v>
      </c>
      <c r="E629" s="270">
        <v>1</v>
      </c>
      <c r="F629" s="270">
        <v>14</v>
      </c>
      <c r="G629" s="270">
        <v>1</v>
      </c>
      <c r="H629" s="652">
        <v>40</v>
      </c>
      <c r="I629" s="18">
        <f t="shared" si="28"/>
        <v>5740</v>
      </c>
      <c r="J629" s="23">
        <v>280</v>
      </c>
      <c r="K629" s="39">
        <f t="shared" si="29"/>
        <v>1607200</v>
      </c>
      <c r="L629" s="50"/>
      <c r="M629" s="50"/>
      <c r="N629" s="50"/>
      <c r="O629" s="50">
        <v>1</v>
      </c>
      <c r="P629" s="19"/>
      <c r="Q629" s="62" t="s">
        <v>75</v>
      </c>
      <c r="R629" s="260"/>
      <c r="S629" s="18"/>
      <c r="T629" s="20"/>
      <c r="U629" s="47">
        <f t="shared" si="30"/>
        <v>0</v>
      </c>
      <c r="V629" s="47">
        <f t="shared" si="31"/>
        <v>0</v>
      </c>
      <c r="W629" s="18">
        <f t="shared" si="32"/>
        <v>1607200</v>
      </c>
      <c r="X629" s="47">
        <f t="shared" si="33"/>
        <v>1607200</v>
      </c>
      <c r="Y629" s="293" t="s">
        <v>89</v>
      </c>
      <c r="Z629" s="18">
        <v>0</v>
      </c>
      <c r="AA629" s="264">
        <v>0.01</v>
      </c>
      <c r="AB629" s="410">
        <f t="shared" si="34"/>
        <v>0</v>
      </c>
      <c r="AC629" s="350"/>
      <c r="AD629" s="350"/>
      <c r="AE629" s="350"/>
      <c r="AF629" s="350"/>
    </row>
    <row r="630" spans="1:32" s="597" customFormat="1" ht="18" customHeight="1" x14ac:dyDescent="0.2">
      <c r="A630" s="65"/>
      <c r="B630" s="88"/>
      <c r="C630" s="88"/>
      <c r="D630" s="231"/>
      <c r="E630" s="231"/>
      <c r="F630" s="231"/>
      <c r="G630" s="231"/>
      <c r="H630" s="1075"/>
      <c r="I630" s="77"/>
      <c r="J630" s="2072"/>
      <c r="K630" s="78"/>
      <c r="L630" s="61"/>
      <c r="M630" s="61"/>
      <c r="N630" s="61"/>
      <c r="O630" s="61"/>
      <c r="P630" s="173"/>
      <c r="Q630" s="196"/>
      <c r="R630" s="408"/>
      <c r="S630" s="77"/>
      <c r="T630" s="803"/>
      <c r="U630" s="77"/>
      <c r="V630" s="77"/>
      <c r="W630" s="77"/>
      <c r="X630" s="77"/>
      <c r="Y630" s="676"/>
      <c r="Z630" s="77"/>
      <c r="AA630" s="2074"/>
      <c r="AB630" s="466"/>
      <c r="AC630" s="350"/>
      <c r="AD630" s="350"/>
      <c r="AE630" s="350"/>
      <c r="AF630" s="350"/>
    </row>
    <row r="631" spans="1:32" s="597" customFormat="1" ht="18" customHeight="1" x14ac:dyDescent="0.2">
      <c r="A631" s="2070"/>
      <c r="B631" s="180"/>
      <c r="C631" s="180"/>
      <c r="D631" s="2070"/>
      <c r="E631" s="2070"/>
      <c r="F631" s="2070"/>
      <c r="G631" s="2070"/>
      <c r="H631" s="2076"/>
      <c r="I631" s="2072"/>
      <c r="J631" s="178"/>
      <c r="K631" s="2072"/>
      <c r="L631" s="2070"/>
      <c r="M631" s="2070"/>
      <c r="N631" s="2070"/>
      <c r="O631" s="2070"/>
      <c r="P631" s="2076"/>
      <c r="Q631" s="2071"/>
      <c r="R631" s="437"/>
      <c r="S631" s="2072"/>
      <c r="T631" s="179"/>
      <c r="U631" s="178"/>
      <c r="V631" s="2072"/>
      <c r="W631" s="2072"/>
      <c r="X631" s="470"/>
      <c r="Y631" s="470"/>
      <c r="Z631" s="471"/>
      <c r="AA631" s="764"/>
      <c r="AB631" s="466"/>
      <c r="AC631" s="350"/>
      <c r="AD631" s="350"/>
      <c r="AE631" s="350"/>
      <c r="AF631" s="350"/>
    </row>
    <row r="632" spans="1:32" s="597" customFormat="1" ht="18" customHeight="1" x14ac:dyDescent="0.2">
      <c r="A632" s="2070"/>
      <c r="B632" s="177"/>
      <c r="C632" s="177"/>
      <c r="D632" s="2070"/>
      <c r="E632" s="2070"/>
      <c r="F632" s="2070"/>
      <c r="G632" s="2070"/>
      <c r="H632" s="2076"/>
      <c r="I632" s="2072"/>
      <c r="J632" s="178"/>
      <c r="K632" s="2072"/>
      <c r="L632" s="2070"/>
      <c r="M632" s="2070"/>
      <c r="N632" s="2070"/>
      <c r="O632" s="2070"/>
      <c r="P632" s="2076"/>
      <c r="Q632" s="2071"/>
      <c r="R632" s="437"/>
      <c r="S632" s="2072"/>
      <c r="T632" s="179"/>
      <c r="U632" s="178"/>
      <c r="V632" s="2072"/>
      <c r="W632" s="2072"/>
      <c r="X632" s="470"/>
      <c r="Y632" s="470"/>
      <c r="Z632" s="471"/>
      <c r="AA632" s="764"/>
      <c r="AB632" s="466"/>
      <c r="AC632" s="350"/>
      <c r="AD632" s="350"/>
      <c r="AE632" s="350"/>
      <c r="AF632" s="350"/>
    </row>
    <row r="633" spans="1:32" s="597" customFormat="1" ht="18" customHeight="1" x14ac:dyDescent="0.2">
      <c r="A633" s="2070"/>
      <c r="B633" s="177"/>
      <c r="C633" s="177"/>
      <c r="D633" s="2070"/>
      <c r="E633" s="2070"/>
      <c r="F633" s="2070"/>
      <c r="G633" s="2070"/>
      <c r="H633" s="2076"/>
      <c r="I633" s="2072"/>
      <c r="J633" s="178"/>
      <c r="K633" s="2072"/>
      <c r="L633" s="2070"/>
      <c r="M633" s="2070"/>
      <c r="N633" s="2070"/>
      <c r="O633" s="2070"/>
      <c r="P633" s="2076"/>
      <c r="Q633" s="2071"/>
      <c r="R633" s="437"/>
      <c r="S633" s="2072"/>
      <c r="T633" s="179"/>
      <c r="U633" s="178"/>
      <c r="V633" s="2072"/>
      <c r="W633" s="2072"/>
      <c r="X633" s="470"/>
      <c r="Y633" s="470"/>
      <c r="Z633" s="471"/>
      <c r="AA633" s="764"/>
      <c r="AB633" s="466"/>
      <c r="AC633" s="350"/>
      <c r="AD633" s="350"/>
      <c r="AE633" s="350"/>
      <c r="AF633" s="350"/>
    </row>
    <row r="634" spans="1:32" s="597" customFormat="1" ht="18" customHeight="1" x14ac:dyDescent="0.2">
      <c r="A634" s="2070"/>
      <c r="B634" s="177"/>
      <c r="C634" s="177"/>
      <c r="D634" s="2070"/>
      <c r="E634" s="2070"/>
      <c r="F634" s="2070"/>
      <c r="G634" s="2070"/>
      <c r="H634" s="2076"/>
      <c r="I634" s="2072"/>
      <c r="J634" s="178"/>
      <c r="K634" s="2072"/>
      <c r="L634" s="2070"/>
      <c r="M634" s="2070"/>
      <c r="N634" s="2070"/>
      <c r="O634" s="2070"/>
      <c r="P634" s="2076"/>
      <c r="Q634" s="2071"/>
      <c r="R634" s="437"/>
      <c r="S634" s="2072"/>
      <c r="T634" s="179"/>
      <c r="U634" s="178"/>
      <c r="V634" s="2072"/>
      <c r="W634" s="2072"/>
      <c r="X634" s="470"/>
      <c r="Y634" s="470"/>
      <c r="Z634" s="471"/>
      <c r="AA634" s="764"/>
      <c r="AB634" s="466"/>
      <c r="AC634" s="350"/>
      <c r="AD634" s="350"/>
      <c r="AE634" s="350"/>
      <c r="AF634" s="350"/>
    </row>
    <row r="635" spans="1:32" s="597" customFormat="1" ht="18" customHeight="1" x14ac:dyDescent="0.2">
      <c r="A635" s="2070"/>
      <c r="B635" s="177"/>
      <c r="C635" s="177"/>
      <c r="D635" s="2070"/>
      <c r="E635" s="2070"/>
      <c r="F635" s="2070"/>
      <c r="G635" s="2070"/>
      <c r="H635" s="2076"/>
      <c r="I635" s="2072"/>
      <c r="J635" s="178"/>
      <c r="K635" s="2072"/>
      <c r="L635" s="2070"/>
      <c r="M635" s="2070"/>
      <c r="N635" s="2070"/>
      <c r="O635" s="2070"/>
      <c r="P635" s="2076"/>
      <c r="Q635" s="2071"/>
      <c r="R635" s="437"/>
      <c r="S635" s="2072"/>
      <c r="T635" s="179"/>
      <c r="U635" s="178"/>
      <c r="V635" s="2072"/>
      <c r="W635" s="2072"/>
      <c r="X635" s="470"/>
      <c r="Y635" s="470"/>
      <c r="Z635" s="471"/>
      <c r="AA635" s="764"/>
      <c r="AB635" s="466"/>
      <c r="AC635" s="350"/>
      <c r="AD635" s="350"/>
      <c r="AE635" s="350"/>
      <c r="AF635" s="350"/>
    </row>
    <row r="636" spans="1:32" s="597" customFormat="1" ht="18" customHeight="1" x14ac:dyDescent="0.2">
      <c r="A636" s="88"/>
      <c r="B636" s="180"/>
      <c r="C636" s="180"/>
      <c r="D636" s="88"/>
      <c r="E636" s="88"/>
      <c r="F636" s="88"/>
      <c r="G636" s="88"/>
      <c r="H636" s="120"/>
      <c r="I636" s="121"/>
      <c r="J636" s="181"/>
      <c r="K636" s="121"/>
      <c r="L636" s="88"/>
      <c r="M636" s="88"/>
      <c r="N636" s="88"/>
      <c r="O636" s="88"/>
      <c r="P636" s="88"/>
      <c r="Q636" s="129"/>
      <c r="R636" s="445"/>
      <c r="S636" s="121"/>
      <c r="T636" s="182"/>
      <c r="U636" s="181"/>
      <c r="V636" s="121"/>
      <c r="W636" s="121"/>
      <c r="X636" s="472"/>
      <c r="Y636" s="472"/>
      <c r="Z636" s="473"/>
      <c r="AA636" s="780"/>
      <c r="AB636" s="410"/>
      <c r="AC636" s="351"/>
      <c r="AD636" s="351"/>
      <c r="AE636" s="351"/>
      <c r="AF636" s="351"/>
    </row>
    <row r="637" spans="1:32" s="597" customFormat="1" ht="18" customHeight="1" x14ac:dyDescent="0.2">
      <c r="A637" s="1850"/>
      <c r="B637" s="1850"/>
      <c r="C637" s="1850"/>
      <c r="D637" s="1850"/>
      <c r="E637" s="1850"/>
      <c r="F637" s="1850"/>
      <c r="G637" s="1850"/>
      <c r="H637" s="1851"/>
      <c r="I637" s="1852"/>
      <c r="J637" s="1853"/>
      <c r="K637" s="1852"/>
      <c r="L637" s="1852"/>
      <c r="M637" s="1852"/>
      <c r="N637" s="1852"/>
      <c r="O637" s="1852"/>
      <c r="P637" s="1852"/>
      <c r="Q637" s="1852"/>
      <c r="R637" s="1854"/>
      <c r="S637" s="1852"/>
      <c r="T637" s="1855"/>
      <c r="U637" s="1853"/>
      <c r="V637" s="1852"/>
      <c r="W637" s="1852"/>
      <c r="X637" s="1856"/>
      <c r="Y637" s="1856"/>
      <c r="Z637" s="1857"/>
      <c r="AA637" s="2125"/>
      <c r="AB637" s="1847">
        <f>SUM(AB623:AB636)</f>
        <v>965.52</v>
      </c>
      <c r="AC637" s="1861"/>
      <c r="AD637" s="1861"/>
      <c r="AE637" s="1861"/>
      <c r="AF637" s="1861"/>
    </row>
    <row r="638" spans="1:32" s="597" customFormat="1" ht="14.1" customHeight="1" x14ac:dyDescent="0.2">
      <c r="A638" s="2690" t="s">
        <v>76</v>
      </c>
      <c r="B638" s="2690"/>
      <c r="C638" s="2691" t="s">
        <v>77</v>
      </c>
      <c r="D638" s="2691"/>
      <c r="E638" s="2691"/>
      <c r="F638" s="2691"/>
      <c r="G638" s="2691"/>
      <c r="H638" s="2691"/>
      <c r="I638" s="604" t="s">
        <v>78</v>
      </c>
      <c r="J638" s="604"/>
      <c r="K638" s="604"/>
      <c r="L638" s="604"/>
      <c r="M638" s="604"/>
      <c r="N638" s="604"/>
      <c r="AA638" s="767"/>
      <c r="AB638" s="598"/>
    </row>
    <row r="639" spans="1:32" s="597" customFormat="1" ht="14.1" customHeight="1" x14ac:dyDescent="0.2">
      <c r="A639" s="604"/>
      <c r="B639" s="605"/>
      <c r="C639" s="604"/>
      <c r="D639" s="604"/>
      <c r="E639" s="604"/>
      <c r="F639" s="604"/>
      <c r="G639" s="604"/>
      <c r="H639" s="604"/>
      <c r="I639" s="604" t="s">
        <v>79</v>
      </c>
      <c r="J639" s="604"/>
      <c r="K639" s="604"/>
      <c r="L639" s="604"/>
      <c r="M639" s="604"/>
      <c r="N639" s="604"/>
      <c r="AA639" s="767"/>
      <c r="AB639" s="598"/>
    </row>
    <row r="640" spans="1:32" s="597" customFormat="1" ht="14.1" customHeight="1" x14ac:dyDescent="0.2">
      <c r="A640" s="604"/>
      <c r="B640" s="605"/>
      <c r="C640" s="604"/>
      <c r="D640" s="604"/>
      <c r="E640" s="604"/>
      <c r="F640" s="604"/>
      <c r="G640" s="604"/>
      <c r="H640" s="604"/>
      <c r="I640" s="604" t="s">
        <v>80</v>
      </c>
      <c r="J640" s="604"/>
      <c r="K640" s="604"/>
      <c r="L640" s="604"/>
      <c r="M640" s="604"/>
      <c r="N640" s="604"/>
      <c r="AA640" s="767"/>
      <c r="AB640" s="598"/>
    </row>
    <row r="641" spans="1:33" s="597" customFormat="1" ht="14.1" customHeight="1" x14ac:dyDescent="0.2">
      <c r="A641" s="604"/>
      <c r="B641" s="605"/>
      <c r="C641" s="604"/>
      <c r="D641" s="604"/>
      <c r="E641" s="604"/>
      <c r="F641" s="604"/>
      <c r="G641" s="604"/>
      <c r="H641" s="604"/>
      <c r="I641" s="604" t="s">
        <v>81</v>
      </c>
      <c r="J641" s="604"/>
      <c r="K641" s="604"/>
      <c r="L641" s="604"/>
      <c r="M641" s="604"/>
      <c r="N641" s="604"/>
      <c r="AA641" s="767"/>
      <c r="AB641" s="598"/>
    </row>
    <row r="642" spans="1:33" s="597" customFormat="1" ht="14.1" customHeight="1" x14ac:dyDescent="0.2">
      <c r="A642" s="604"/>
      <c r="B642" s="605"/>
      <c r="C642" s="604"/>
      <c r="D642" s="604"/>
      <c r="E642" s="604"/>
      <c r="F642" s="604"/>
      <c r="G642" s="604"/>
      <c r="H642" s="604"/>
      <c r="I642" s="604" t="s">
        <v>88</v>
      </c>
      <c r="J642" s="604"/>
      <c r="K642" s="604"/>
      <c r="L642" s="604"/>
      <c r="M642" s="604"/>
      <c r="N642" s="604"/>
      <c r="AA642" s="767"/>
      <c r="AB642" s="598"/>
    </row>
    <row r="643" spans="1:33" s="597" customFormat="1" ht="18" customHeight="1" x14ac:dyDescent="0.2">
      <c r="A643" s="339"/>
      <c r="B643" s="339"/>
      <c r="C643" s="339"/>
      <c r="D643" s="339"/>
      <c r="E643" s="339"/>
      <c r="F643" s="339"/>
      <c r="G643" s="339"/>
      <c r="H643" s="339"/>
      <c r="I643" s="339"/>
      <c r="J643" s="339"/>
      <c r="K643" s="339"/>
      <c r="L643" s="339"/>
      <c r="M643" s="339"/>
      <c r="N643" s="339"/>
      <c r="O643" s="339"/>
      <c r="P643" s="339"/>
      <c r="Q643" s="339"/>
      <c r="R643" s="339"/>
      <c r="S643" s="339"/>
      <c r="T643" s="339"/>
      <c r="U643" s="339"/>
      <c r="V643" s="339"/>
      <c r="W643" s="339"/>
      <c r="X643" s="339"/>
      <c r="Y643" s="339"/>
      <c r="Z643" s="339"/>
      <c r="AA643" s="2702" t="s">
        <v>0</v>
      </c>
      <c r="AB643" s="2702"/>
      <c r="AC643" s="339"/>
      <c r="AD643" s="339"/>
      <c r="AE643" s="339"/>
      <c r="AF643" s="339"/>
    </row>
    <row r="644" spans="1:33" s="597" customFormat="1" ht="18" customHeight="1" x14ac:dyDescent="0.2">
      <c r="A644" s="2703" t="s">
        <v>1</v>
      </c>
      <c r="B644" s="2703"/>
      <c r="C644" s="2703"/>
      <c r="D644" s="2703"/>
      <c r="E644" s="2703"/>
      <c r="F644" s="2703"/>
      <c r="G644" s="2703"/>
      <c r="H644" s="2703"/>
      <c r="I644" s="2703"/>
      <c r="J644" s="2703"/>
      <c r="K644" s="2703"/>
      <c r="L644" s="2703"/>
      <c r="M644" s="2703"/>
      <c r="N644" s="2703"/>
      <c r="O644" s="2703"/>
      <c r="P644" s="2703"/>
      <c r="Q644" s="2703"/>
      <c r="R644" s="2703"/>
      <c r="S644" s="2703"/>
      <c r="T644" s="2703"/>
      <c r="U644" s="2703"/>
      <c r="V644" s="2703"/>
      <c r="W644" s="2703"/>
      <c r="X644" s="2703"/>
      <c r="Y644" s="2703"/>
      <c r="Z644" s="2703"/>
      <c r="AA644" s="2703"/>
      <c r="AB644" s="2703"/>
      <c r="AC644" s="344"/>
      <c r="AD644" s="344"/>
      <c r="AE644" s="344"/>
      <c r="AF644" s="344"/>
    </row>
    <row r="645" spans="1:33" s="597" customFormat="1" ht="18" customHeight="1" x14ac:dyDescent="0.2">
      <c r="A645" s="2704" t="s">
        <v>562</v>
      </c>
      <c r="B645" s="2704"/>
      <c r="C645" s="2704"/>
      <c r="D645" s="2704"/>
      <c r="E645" s="2704"/>
      <c r="F645" s="2704"/>
      <c r="G645" s="2704"/>
      <c r="H645" s="2704"/>
      <c r="I645" s="2704"/>
      <c r="J645" s="2704"/>
      <c r="K645" s="2704"/>
      <c r="L645" s="2704"/>
      <c r="M645" s="2704"/>
      <c r="N645" s="2704"/>
      <c r="O645" s="2704"/>
      <c r="P645" s="2704"/>
      <c r="Q645" s="2704"/>
      <c r="R645" s="2704"/>
      <c r="S645" s="2704"/>
      <c r="T645" s="2704"/>
      <c r="U645" s="2704"/>
      <c r="V645" s="2704"/>
      <c r="W645" s="2704"/>
      <c r="X645" s="2704"/>
      <c r="Y645" s="2704"/>
      <c r="Z645" s="2704"/>
      <c r="AA645" s="2704"/>
      <c r="AB645" s="2704"/>
      <c r="AC645" s="599"/>
      <c r="AD645" s="599"/>
      <c r="AE645" s="599"/>
      <c r="AF645" s="599"/>
    </row>
    <row r="646" spans="1:33" s="597" customFormat="1" ht="14.1" customHeight="1" x14ac:dyDescent="0.2">
      <c r="A646" s="2686" t="s">
        <v>2</v>
      </c>
      <c r="B646" s="360"/>
      <c r="C646" s="2686" t="s">
        <v>3</v>
      </c>
      <c r="D646" s="360"/>
      <c r="E646" s="360"/>
      <c r="F646" s="2693" t="s">
        <v>4</v>
      </c>
      <c r="G646" s="2693"/>
      <c r="H646" s="2693"/>
      <c r="I646" s="2694"/>
      <c r="J646" s="2694"/>
      <c r="K646" s="2695"/>
      <c r="L646" s="361"/>
      <c r="M646" s="2679" t="s">
        <v>5</v>
      </c>
      <c r="N646" s="2679"/>
      <c r="O646" s="2679"/>
      <c r="P646" s="2679"/>
      <c r="Q646" s="2696"/>
      <c r="R646" s="2696"/>
      <c r="S646" s="2696"/>
      <c r="T646" s="2696"/>
      <c r="U646" s="2696"/>
      <c r="V646" s="2697"/>
      <c r="W646" s="362" t="s">
        <v>6</v>
      </c>
      <c r="X646" s="363" t="s">
        <v>7</v>
      </c>
      <c r="Y646" s="364"/>
      <c r="Z646" s="364"/>
      <c r="AA646" s="363"/>
      <c r="AB646" s="365"/>
      <c r="AC646" s="516" t="s">
        <v>8</v>
      </c>
      <c r="AD646" s="346"/>
      <c r="AE646" s="346"/>
      <c r="AF646" s="600"/>
    </row>
    <row r="647" spans="1:33" s="597" customFormat="1" ht="14.1" customHeight="1" x14ac:dyDescent="0.2">
      <c r="A647" s="2687"/>
      <c r="B647" s="367"/>
      <c r="C647" s="2687"/>
      <c r="D647" s="2062" t="s">
        <v>9</v>
      </c>
      <c r="E647" s="368" t="s">
        <v>10</v>
      </c>
      <c r="F647" s="2698" t="s">
        <v>11</v>
      </c>
      <c r="G647" s="2694"/>
      <c r="H647" s="2695"/>
      <c r="I647" s="360"/>
      <c r="J647" s="369" t="s">
        <v>12</v>
      </c>
      <c r="K647" s="360"/>
      <c r="L647" s="2679" t="s">
        <v>2</v>
      </c>
      <c r="M647" s="2067"/>
      <c r="N647" s="2067"/>
      <c r="O647" s="2067"/>
      <c r="P647" s="371"/>
      <c r="Q647" s="372" t="s">
        <v>13</v>
      </c>
      <c r="R647" s="373" t="s">
        <v>12</v>
      </c>
      <c r="S647" s="2067" t="s">
        <v>6</v>
      </c>
      <c r="T647" s="2682" t="s">
        <v>14</v>
      </c>
      <c r="U647" s="2683"/>
      <c r="V647" s="375" t="s">
        <v>7</v>
      </c>
      <c r="W647" s="376" t="s">
        <v>15</v>
      </c>
      <c r="X647" s="377" t="s">
        <v>16</v>
      </c>
      <c r="Y647" s="377" t="s">
        <v>17</v>
      </c>
      <c r="Z647" s="377" t="s">
        <v>18</v>
      </c>
      <c r="AA647" s="377"/>
      <c r="AB647" s="378" t="s">
        <v>19</v>
      </c>
      <c r="AC647" s="528" t="s">
        <v>20</v>
      </c>
      <c r="AD647" s="601"/>
      <c r="AE647" s="347" t="s">
        <v>21</v>
      </c>
      <c r="AF647" s="340" t="s">
        <v>22</v>
      </c>
    </row>
    <row r="648" spans="1:33" s="597" customFormat="1" ht="14.1" customHeight="1" x14ac:dyDescent="0.2">
      <c r="A648" s="2687"/>
      <c r="B648" s="2062" t="s">
        <v>23</v>
      </c>
      <c r="C648" s="2687"/>
      <c r="D648" s="2062" t="s">
        <v>24</v>
      </c>
      <c r="E648" s="368" t="s">
        <v>25</v>
      </c>
      <c r="F648" s="2699"/>
      <c r="G648" s="2700"/>
      <c r="H648" s="2701"/>
      <c r="I648" s="2062" t="s">
        <v>26</v>
      </c>
      <c r="J648" s="379" t="s">
        <v>15</v>
      </c>
      <c r="K648" s="2066" t="s">
        <v>6</v>
      </c>
      <c r="L648" s="2680"/>
      <c r="M648" s="2068" t="s">
        <v>27</v>
      </c>
      <c r="N648" s="2068" t="s">
        <v>10</v>
      </c>
      <c r="O648" s="382" t="s">
        <v>10</v>
      </c>
      <c r="P648" s="383" t="s">
        <v>28</v>
      </c>
      <c r="Q648" s="384" t="s">
        <v>29</v>
      </c>
      <c r="R648" s="383" t="s">
        <v>15</v>
      </c>
      <c r="S648" s="385" t="s">
        <v>15</v>
      </c>
      <c r="T648" s="2684"/>
      <c r="U648" s="2685"/>
      <c r="V648" s="375" t="s">
        <v>30</v>
      </c>
      <c r="W648" s="376" t="s">
        <v>31</v>
      </c>
      <c r="X648" s="377" t="s">
        <v>30</v>
      </c>
      <c r="Y648" s="377" t="s">
        <v>32</v>
      </c>
      <c r="Z648" s="377" t="s">
        <v>7</v>
      </c>
      <c r="AA648" s="377" t="s">
        <v>33</v>
      </c>
      <c r="AB648" s="378" t="s">
        <v>34</v>
      </c>
      <c r="AC648" s="528" t="s">
        <v>35</v>
      </c>
      <c r="AD648" s="347" t="s">
        <v>36</v>
      </c>
      <c r="AE648" s="347" t="s">
        <v>37</v>
      </c>
      <c r="AF648" s="340" t="s">
        <v>38</v>
      </c>
    </row>
    <row r="649" spans="1:33" s="597" customFormat="1" ht="14.1" customHeight="1" x14ac:dyDescent="0.2">
      <c r="A649" s="2687"/>
      <c r="B649" s="2062" t="s">
        <v>39</v>
      </c>
      <c r="C649" s="2687"/>
      <c r="D649" s="2062" t="s">
        <v>40</v>
      </c>
      <c r="E649" s="368" t="s">
        <v>41</v>
      </c>
      <c r="F649" s="2686" t="s">
        <v>42</v>
      </c>
      <c r="G649" s="2686" t="s">
        <v>43</v>
      </c>
      <c r="H649" s="2688" t="s">
        <v>44</v>
      </c>
      <c r="I649" s="2062" t="s">
        <v>45</v>
      </c>
      <c r="J649" s="379" t="s">
        <v>46</v>
      </c>
      <c r="K649" s="2066" t="s">
        <v>47</v>
      </c>
      <c r="L649" s="2680"/>
      <c r="M649" s="2068" t="s">
        <v>30</v>
      </c>
      <c r="N649" s="2068" t="s">
        <v>30</v>
      </c>
      <c r="O649" s="382" t="s">
        <v>25</v>
      </c>
      <c r="P649" s="383" t="s">
        <v>30</v>
      </c>
      <c r="Q649" s="384" t="s">
        <v>48</v>
      </c>
      <c r="R649" s="383" t="s">
        <v>49</v>
      </c>
      <c r="S649" s="385" t="s">
        <v>30</v>
      </c>
      <c r="T649" s="386" t="s">
        <v>50</v>
      </c>
      <c r="U649" s="2065" t="s">
        <v>13</v>
      </c>
      <c r="V649" s="375" t="s">
        <v>51</v>
      </c>
      <c r="W649" s="376" t="s">
        <v>52</v>
      </c>
      <c r="X649" s="377" t="s">
        <v>53</v>
      </c>
      <c r="Y649" s="377" t="s">
        <v>54</v>
      </c>
      <c r="Z649" s="377" t="s">
        <v>55</v>
      </c>
      <c r="AA649" s="377" t="s">
        <v>56</v>
      </c>
      <c r="AB649" s="378" t="s">
        <v>57</v>
      </c>
      <c r="AC649" s="347" t="s">
        <v>58</v>
      </c>
      <c r="AD649" s="347" t="s">
        <v>59</v>
      </c>
      <c r="AE649" s="347" t="s">
        <v>59</v>
      </c>
      <c r="AF649" s="340" t="s">
        <v>60</v>
      </c>
    </row>
    <row r="650" spans="1:33" s="597" customFormat="1" ht="14.1" customHeight="1" x14ac:dyDescent="0.2">
      <c r="A650" s="2687"/>
      <c r="B650" s="2062" t="s">
        <v>61</v>
      </c>
      <c r="C650" s="2687"/>
      <c r="D650" s="2062" t="s">
        <v>62</v>
      </c>
      <c r="E650" s="368" t="s">
        <v>63</v>
      </c>
      <c r="F650" s="2687"/>
      <c r="G650" s="2687"/>
      <c r="H650" s="2689"/>
      <c r="I650" s="2062" t="s">
        <v>64</v>
      </c>
      <c r="J650" s="379" t="s">
        <v>59</v>
      </c>
      <c r="K650" s="2066" t="s">
        <v>59</v>
      </c>
      <c r="L650" s="2680"/>
      <c r="M650" s="2068"/>
      <c r="N650" s="2068"/>
      <c r="O650" s="382" t="s">
        <v>41</v>
      </c>
      <c r="P650" s="383" t="s">
        <v>65</v>
      </c>
      <c r="Q650" s="384" t="s">
        <v>66</v>
      </c>
      <c r="R650" s="383" t="s">
        <v>67</v>
      </c>
      <c r="S650" s="385" t="s">
        <v>59</v>
      </c>
      <c r="T650" s="387" t="s">
        <v>68</v>
      </c>
      <c r="U650" s="375" t="s">
        <v>14</v>
      </c>
      <c r="V650" s="375" t="s">
        <v>14</v>
      </c>
      <c r="W650" s="376" t="s">
        <v>30</v>
      </c>
      <c r="X650" s="388" t="s">
        <v>69</v>
      </c>
      <c r="Y650" s="388" t="s">
        <v>70</v>
      </c>
      <c r="Z650" s="377" t="s">
        <v>71</v>
      </c>
      <c r="AA650" s="377" t="s">
        <v>72</v>
      </c>
      <c r="AB650" s="378" t="s">
        <v>59</v>
      </c>
      <c r="AC650" s="347" t="s">
        <v>59</v>
      </c>
      <c r="AD650" s="347"/>
      <c r="AE650" s="347"/>
      <c r="AF650" s="340" t="s">
        <v>59</v>
      </c>
    </row>
    <row r="651" spans="1:33" s="597" customFormat="1" ht="14.1" customHeight="1" x14ac:dyDescent="0.2">
      <c r="A651" s="2692"/>
      <c r="B651" s="390"/>
      <c r="C651" s="2692"/>
      <c r="D651" s="390"/>
      <c r="E651" s="2063"/>
      <c r="F651" s="390"/>
      <c r="G651" s="390"/>
      <c r="H651" s="391"/>
      <c r="I651" s="2063"/>
      <c r="J651" s="392"/>
      <c r="K651" s="393"/>
      <c r="L651" s="2681"/>
      <c r="M651" s="2069"/>
      <c r="N651" s="2069"/>
      <c r="O651" s="2069" t="s">
        <v>63</v>
      </c>
      <c r="P651" s="395"/>
      <c r="Q651" s="396" t="s">
        <v>72</v>
      </c>
      <c r="R651" s="397" t="s">
        <v>59</v>
      </c>
      <c r="S651" s="398"/>
      <c r="T651" s="397" t="s">
        <v>73</v>
      </c>
      <c r="U651" s="398" t="s">
        <v>59</v>
      </c>
      <c r="V651" s="399" t="s">
        <v>59</v>
      </c>
      <c r="W651" s="400" t="s">
        <v>59</v>
      </c>
      <c r="X651" s="401" t="s">
        <v>59</v>
      </c>
      <c r="Y651" s="401" t="s">
        <v>59</v>
      </c>
      <c r="Z651" s="401" t="s">
        <v>59</v>
      </c>
      <c r="AA651" s="402"/>
      <c r="AB651" s="403"/>
      <c r="AC651" s="348"/>
      <c r="AD651" s="348"/>
      <c r="AE651" s="348"/>
      <c r="AF651" s="341"/>
    </row>
    <row r="652" spans="1:33" s="597" customFormat="1" ht="18" customHeight="1" x14ac:dyDescent="0.25">
      <c r="A652" s="53">
        <v>1</v>
      </c>
      <c r="B652" s="333">
        <v>29852</v>
      </c>
      <c r="C652" s="41">
        <v>76</v>
      </c>
      <c r="D652" s="41" t="s">
        <v>83</v>
      </c>
      <c r="E652" s="41">
        <v>4</v>
      </c>
      <c r="F652" s="41">
        <v>0</v>
      </c>
      <c r="G652" s="41">
        <v>1</v>
      </c>
      <c r="H652" s="267">
        <v>0</v>
      </c>
      <c r="I652" s="44">
        <f>F652*400+G652*100+H652</f>
        <v>100</v>
      </c>
      <c r="J652" s="42">
        <v>280</v>
      </c>
      <c r="K652" s="46">
        <f>SUM(I652*J652)</f>
        <v>28000</v>
      </c>
      <c r="L652" s="808"/>
      <c r="M652" s="808"/>
      <c r="N652" s="808"/>
      <c r="O652" s="808"/>
      <c r="P652" s="808"/>
      <c r="Q652" s="996"/>
      <c r="R652" s="771"/>
      <c r="S652" s="67"/>
      <c r="T652" s="997"/>
      <c r="U652" s="67"/>
      <c r="V652" s="67"/>
      <c r="W652" s="67">
        <f>K652+V652</f>
        <v>28000</v>
      </c>
      <c r="X652" s="67">
        <f>W652</f>
        <v>28000</v>
      </c>
      <c r="Y652" s="67">
        <f>V652</f>
        <v>0</v>
      </c>
      <c r="Z652" s="67">
        <f>+X652</f>
        <v>28000</v>
      </c>
      <c r="AA652" s="1023">
        <v>0.6</v>
      </c>
      <c r="AB652" s="465">
        <f>+Z652*AA652/100</f>
        <v>168</v>
      </c>
      <c r="AC652" s="602"/>
      <c r="AD652" s="603">
        <f>AB652-AC652</f>
        <v>168</v>
      </c>
      <c r="AE652" s="603">
        <f>IF(AD652&lt;=0,0,AD652*25/100)</f>
        <v>42</v>
      </c>
      <c r="AF652" s="603">
        <f>IF(AC652+AE652&gt;AB652,AB652,AC652+AE652)</f>
        <v>42</v>
      </c>
      <c r="AG652" s="1750" t="s">
        <v>387</v>
      </c>
    </row>
    <row r="653" spans="1:33" s="597" customFormat="1" ht="18" customHeight="1" x14ac:dyDescent="0.25">
      <c r="A653" s="88">
        <v>2</v>
      </c>
      <c r="B653" s="289">
        <v>29853</v>
      </c>
      <c r="C653" s="270">
        <v>77</v>
      </c>
      <c r="D653" s="270" t="s">
        <v>83</v>
      </c>
      <c r="E653" s="270">
        <v>4</v>
      </c>
      <c r="F653" s="270">
        <v>0</v>
      </c>
      <c r="G653" s="270">
        <v>1</v>
      </c>
      <c r="H653" s="652">
        <v>0</v>
      </c>
      <c r="I653" s="47">
        <f>F653*400+G653*100+H653</f>
        <v>100</v>
      </c>
      <c r="J653" s="30">
        <v>280</v>
      </c>
      <c r="K653" s="48">
        <f>SUM(I653*J653)</f>
        <v>28000</v>
      </c>
      <c r="L653" s="72"/>
      <c r="M653" s="72"/>
      <c r="N653" s="72"/>
      <c r="O653" s="72"/>
      <c r="P653" s="72"/>
      <c r="Q653" s="1024"/>
      <c r="R653" s="446"/>
      <c r="S653" s="73"/>
      <c r="T653" s="1025"/>
      <c r="U653" s="73"/>
      <c r="V653" s="73"/>
      <c r="W653" s="73">
        <f>K653+V653+K654+K655</f>
        <v>28000</v>
      </c>
      <c r="X653" s="73">
        <f>W653</f>
        <v>28000</v>
      </c>
      <c r="Y653" s="73">
        <f>V653</f>
        <v>0</v>
      </c>
      <c r="Z653" s="73">
        <f>+X653</f>
        <v>28000</v>
      </c>
      <c r="AA653" s="1026">
        <v>0.6</v>
      </c>
      <c r="AB653" s="410">
        <f>+Z653*AA653/100</f>
        <v>168</v>
      </c>
      <c r="AC653" s="350"/>
      <c r="AD653" s="350"/>
      <c r="AE653" s="350"/>
      <c r="AF653" s="350"/>
    </row>
    <row r="654" spans="1:33" s="597" customFormat="1" ht="18" customHeight="1" x14ac:dyDescent="0.2">
      <c r="A654" s="2070"/>
      <c r="B654" s="1088"/>
      <c r="C654" s="177"/>
      <c r="D654" s="2070"/>
      <c r="E654" s="2070"/>
      <c r="F654" s="2070"/>
      <c r="G654" s="2070"/>
      <c r="H654" s="2076"/>
      <c r="I654" s="2072"/>
      <c r="J654" s="178"/>
      <c r="K654" s="2072"/>
      <c r="L654" s="2070"/>
      <c r="M654" s="2070"/>
      <c r="N654" s="2070"/>
      <c r="O654" s="2070"/>
      <c r="P654" s="2076"/>
      <c r="Q654" s="2071"/>
      <c r="R654" s="437"/>
      <c r="S654" s="2072"/>
      <c r="T654" s="179"/>
      <c r="U654" s="178"/>
      <c r="V654" s="2072"/>
      <c r="W654" s="2072"/>
      <c r="X654" s="470"/>
      <c r="Y654" s="470"/>
      <c r="Z654" s="471"/>
      <c r="AA654" s="764"/>
      <c r="AB654" s="466"/>
      <c r="AC654" s="350"/>
      <c r="AD654" s="350"/>
      <c r="AE654" s="350"/>
      <c r="AF654" s="350"/>
    </row>
    <row r="655" spans="1:33" s="597" customFormat="1" ht="18" customHeight="1" x14ac:dyDescent="0.2">
      <c r="A655" s="2070"/>
      <c r="B655" s="177"/>
      <c r="C655" s="177"/>
      <c r="D655" s="2070"/>
      <c r="E655" s="2070"/>
      <c r="F655" s="2070"/>
      <c r="G655" s="2070"/>
      <c r="H655" s="2076"/>
      <c r="I655" s="2072"/>
      <c r="J655" s="178"/>
      <c r="K655" s="2072"/>
      <c r="L655" s="2070"/>
      <c r="M655" s="2070"/>
      <c r="N655" s="2070"/>
      <c r="O655" s="2070"/>
      <c r="P655" s="2076"/>
      <c r="Q655" s="2071"/>
      <c r="R655" s="437"/>
      <c r="S655" s="2072"/>
      <c r="T655" s="179"/>
      <c r="U655" s="178"/>
      <c r="V655" s="2072"/>
      <c r="W655" s="2072"/>
      <c r="X655" s="470"/>
      <c r="Y655" s="470"/>
      <c r="Z655" s="471"/>
      <c r="AA655" s="764"/>
      <c r="AB655" s="466"/>
      <c r="AC655" s="350"/>
      <c r="AD655" s="350"/>
      <c r="AE655" s="350"/>
      <c r="AF655" s="350"/>
    </row>
    <row r="656" spans="1:33" s="597" customFormat="1" ht="18" customHeight="1" x14ac:dyDescent="0.2">
      <c r="A656" s="2070"/>
      <c r="B656" s="177"/>
      <c r="C656" s="177"/>
      <c r="D656" s="2070"/>
      <c r="E656" s="2070"/>
      <c r="F656" s="2070"/>
      <c r="G656" s="2070"/>
      <c r="H656" s="2076"/>
      <c r="I656" s="2072"/>
      <c r="J656" s="178"/>
      <c r="K656" s="2072"/>
      <c r="L656" s="2070"/>
      <c r="M656" s="2070"/>
      <c r="N656" s="2070"/>
      <c r="O656" s="2070"/>
      <c r="P656" s="2076"/>
      <c r="Q656" s="2071"/>
      <c r="R656" s="437"/>
      <c r="S656" s="2072"/>
      <c r="T656" s="179"/>
      <c r="U656" s="178"/>
      <c r="V656" s="2072"/>
      <c r="W656" s="2072"/>
      <c r="X656" s="470"/>
      <c r="Y656" s="470"/>
      <c r="Z656" s="471"/>
      <c r="AA656" s="764"/>
      <c r="AB656" s="466"/>
      <c r="AC656" s="350"/>
      <c r="AD656" s="350"/>
      <c r="AE656" s="350"/>
      <c r="AF656" s="350"/>
    </row>
    <row r="657" spans="1:32" s="597" customFormat="1" ht="18" customHeight="1" x14ac:dyDescent="0.2">
      <c r="A657" s="2070"/>
      <c r="B657" s="177"/>
      <c r="C657" s="177"/>
      <c r="D657" s="2070"/>
      <c r="E657" s="2070"/>
      <c r="F657" s="2070"/>
      <c r="G657" s="2070"/>
      <c r="H657" s="2076"/>
      <c r="I657" s="2072"/>
      <c r="J657" s="178"/>
      <c r="K657" s="2072"/>
      <c r="L657" s="2070"/>
      <c r="M657" s="2070"/>
      <c r="N657" s="2070"/>
      <c r="O657" s="2070"/>
      <c r="P657" s="2076"/>
      <c r="Q657" s="2071"/>
      <c r="R657" s="437"/>
      <c r="S657" s="2072"/>
      <c r="T657" s="179"/>
      <c r="U657" s="178"/>
      <c r="V657" s="2072"/>
      <c r="W657" s="2072"/>
      <c r="X657" s="470"/>
      <c r="Y657" s="470"/>
      <c r="Z657" s="471"/>
      <c r="AA657" s="764"/>
      <c r="AB657" s="466"/>
      <c r="AC657" s="350"/>
      <c r="AD657" s="350"/>
      <c r="AE657" s="350"/>
      <c r="AF657" s="350"/>
    </row>
    <row r="658" spans="1:32" s="597" customFormat="1" ht="18" customHeight="1" x14ac:dyDescent="0.2">
      <c r="A658" s="2070"/>
      <c r="B658" s="177"/>
      <c r="C658" s="177"/>
      <c r="D658" s="2070"/>
      <c r="E658" s="2070"/>
      <c r="F658" s="2070"/>
      <c r="G658" s="2070"/>
      <c r="H658" s="2076"/>
      <c r="I658" s="2072"/>
      <c r="J658" s="178"/>
      <c r="K658" s="2072"/>
      <c r="L658" s="2070"/>
      <c r="M658" s="2070"/>
      <c r="N658" s="2070"/>
      <c r="O658" s="2070"/>
      <c r="P658" s="2076"/>
      <c r="Q658" s="2071"/>
      <c r="R658" s="437"/>
      <c r="S658" s="2072"/>
      <c r="T658" s="179"/>
      <c r="U658" s="178"/>
      <c r="V658" s="2072"/>
      <c r="W658" s="2072"/>
      <c r="X658" s="470"/>
      <c r="Y658" s="470"/>
      <c r="Z658" s="471"/>
      <c r="AA658" s="764"/>
      <c r="AB658" s="466"/>
      <c r="AC658" s="350"/>
      <c r="AD658" s="350"/>
      <c r="AE658" s="350"/>
      <c r="AF658" s="350"/>
    </row>
    <row r="659" spans="1:32" s="597" customFormat="1" ht="18" customHeight="1" x14ac:dyDescent="0.2">
      <c r="A659" s="2070"/>
      <c r="B659" s="177"/>
      <c r="C659" s="177"/>
      <c r="D659" s="2070"/>
      <c r="E659" s="2070"/>
      <c r="F659" s="2070"/>
      <c r="G659" s="2070"/>
      <c r="H659" s="2076"/>
      <c r="I659" s="2072"/>
      <c r="J659" s="178"/>
      <c r="K659" s="2072"/>
      <c r="L659" s="2070"/>
      <c r="M659" s="2070"/>
      <c r="N659" s="2070"/>
      <c r="O659" s="2070"/>
      <c r="P659" s="2076"/>
      <c r="Q659" s="2071"/>
      <c r="R659" s="437"/>
      <c r="S659" s="2072"/>
      <c r="T659" s="179"/>
      <c r="U659" s="178"/>
      <c r="V659" s="2072"/>
      <c r="W659" s="2072"/>
      <c r="X659" s="470"/>
      <c r="Y659" s="470"/>
      <c r="Z659" s="471"/>
      <c r="AA659" s="764"/>
      <c r="AB659" s="466"/>
      <c r="AC659" s="350"/>
      <c r="AD659" s="350"/>
      <c r="AE659" s="350"/>
      <c r="AF659" s="350"/>
    </row>
    <row r="660" spans="1:32" s="597" customFormat="1" ht="18" customHeight="1" x14ac:dyDescent="0.2">
      <c r="A660" s="2070"/>
      <c r="B660" s="177"/>
      <c r="C660" s="177"/>
      <c r="D660" s="2070"/>
      <c r="E660" s="2070"/>
      <c r="F660" s="2070"/>
      <c r="G660" s="2070"/>
      <c r="H660" s="2076"/>
      <c r="I660" s="2072"/>
      <c r="J660" s="178"/>
      <c r="K660" s="2072"/>
      <c r="L660" s="2070"/>
      <c r="M660" s="2070"/>
      <c r="N660" s="2070"/>
      <c r="O660" s="2070"/>
      <c r="P660" s="2076"/>
      <c r="Q660" s="2071"/>
      <c r="R660" s="437"/>
      <c r="S660" s="2072"/>
      <c r="T660" s="179"/>
      <c r="U660" s="178"/>
      <c r="V660" s="2072"/>
      <c r="W660" s="2072"/>
      <c r="X660" s="470"/>
      <c r="Y660" s="470"/>
      <c r="Z660" s="471"/>
      <c r="AA660" s="764"/>
      <c r="AB660" s="466"/>
      <c r="AC660" s="350"/>
      <c r="AD660" s="350"/>
      <c r="AE660" s="350"/>
      <c r="AF660" s="350"/>
    </row>
    <row r="661" spans="1:32" s="597" customFormat="1" ht="18" customHeight="1" x14ac:dyDescent="0.2">
      <c r="A661" s="2070"/>
      <c r="B661" s="177"/>
      <c r="C661" s="177"/>
      <c r="D661" s="2070"/>
      <c r="E661" s="2070"/>
      <c r="F661" s="2070"/>
      <c r="G661" s="2070"/>
      <c r="H661" s="2076"/>
      <c r="I661" s="2072"/>
      <c r="J661" s="178"/>
      <c r="K661" s="2072"/>
      <c r="L661" s="2070"/>
      <c r="M661" s="2070"/>
      <c r="N661" s="2070"/>
      <c r="O661" s="2070"/>
      <c r="P661" s="2076"/>
      <c r="Q661" s="2071"/>
      <c r="R661" s="437"/>
      <c r="S661" s="2072"/>
      <c r="T661" s="179"/>
      <c r="U661" s="178"/>
      <c r="V661" s="2072"/>
      <c r="W661" s="2072"/>
      <c r="X661" s="470"/>
      <c r="Y661" s="470"/>
      <c r="Z661" s="471"/>
      <c r="AA661" s="764"/>
      <c r="AB661" s="466"/>
      <c r="AC661" s="350"/>
      <c r="AD661" s="350"/>
      <c r="AE661" s="350"/>
      <c r="AF661" s="350"/>
    </row>
    <row r="662" spans="1:32" s="597" customFormat="1" ht="18" customHeight="1" x14ac:dyDescent="0.2">
      <c r="A662" s="2070"/>
      <c r="B662" s="177"/>
      <c r="C662" s="177"/>
      <c r="D662" s="2070"/>
      <c r="E662" s="2070"/>
      <c r="F662" s="2070"/>
      <c r="G662" s="2070"/>
      <c r="H662" s="2076"/>
      <c r="I662" s="2072"/>
      <c r="J662" s="178"/>
      <c r="K662" s="2072"/>
      <c r="L662" s="2070"/>
      <c r="M662" s="2070"/>
      <c r="N662" s="2070"/>
      <c r="O662" s="2070"/>
      <c r="P662" s="2076"/>
      <c r="Q662" s="2071"/>
      <c r="R662" s="437"/>
      <c r="S662" s="2072"/>
      <c r="T662" s="179"/>
      <c r="U662" s="178"/>
      <c r="V662" s="2072"/>
      <c r="W662" s="2072"/>
      <c r="X662" s="470"/>
      <c r="Y662" s="470"/>
      <c r="Z662" s="471"/>
      <c r="AA662" s="764"/>
      <c r="AB662" s="466"/>
      <c r="AC662" s="350"/>
      <c r="AD662" s="350"/>
      <c r="AE662" s="350"/>
      <c r="AF662" s="350"/>
    </row>
    <row r="663" spans="1:32" s="597" customFormat="1" ht="18" customHeight="1" x14ac:dyDescent="0.2">
      <c r="A663" s="2070"/>
      <c r="B663" s="177"/>
      <c r="C663" s="177"/>
      <c r="D663" s="2070"/>
      <c r="E663" s="2070"/>
      <c r="F663" s="2070"/>
      <c r="G663" s="2070"/>
      <c r="H663" s="2076"/>
      <c r="I663" s="2072"/>
      <c r="J663" s="178"/>
      <c r="K663" s="2072"/>
      <c r="L663" s="2070"/>
      <c r="M663" s="2070"/>
      <c r="N663" s="2070"/>
      <c r="O663" s="2070"/>
      <c r="P663" s="2076"/>
      <c r="Q663" s="2071"/>
      <c r="R663" s="437"/>
      <c r="S663" s="2072"/>
      <c r="T663" s="179"/>
      <c r="U663" s="178"/>
      <c r="V663" s="2072"/>
      <c r="W663" s="2072"/>
      <c r="X663" s="470"/>
      <c r="Y663" s="470"/>
      <c r="Z663" s="471"/>
      <c r="AA663" s="764"/>
      <c r="AB663" s="466"/>
      <c r="AC663" s="350"/>
      <c r="AD663" s="350"/>
      <c r="AE663" s="350"/>
      <c r="AF663" s="350"/>
    </row>
    <row r="664" spans="1:32" s="597" customFormat="1" ht="18" customHeight="1" x14ac:dyDescent="0.2">
      <c r="A664" s="2070"/>
      <c r="B664" s="177"/>
      <c r="C664" s="177"/>
      <c r="D664" s="2070"/>
      <c r="E664" s="2070"/>
      <c r="F664" s="2070"/>
      <c r="G664" s="2070"/>
      <c r="H664" s="2076"/>
      <c r="I664" s="2072"/>
      <c r="J664" s="178"/>
      <c r="K664" s="2072"/>
      <c r="L664" s="2070"/>
      <c r="M664" s="2070"/>
      <c r="N664" s="2070"/>
      <c r="O664" s="2070"/>
      <c r="P664" s="2076"/>
      <c r="Q664" s="2071"/>
      <c r="R664" s="437"/>
      <c r="S664" s="2072"/>
      <c r="T664" s="179"/>
      <c r="U664" s="178"/>
      <c r="V664" s="2072"/>
      <c r="W664" s="2072"/>
      <c r="X664" s="470"/>
      <c r="Y664" s="470"/>
      <c r="Z664" s="471"/>
      <c r="AA664" s="764"/>
      <c r="AB664" s="466"/>
      <c r="AC664" s="350"/>
      <c r="AD664" s="350"/>
      <c r="AE664" s="350"/>
      <c r="AF664" s="350"/>
    </row>
    <row r="665" spans="1:32" s="597" customFormat="1" ht="18" customHeight="1" x14ac:dyDescent="0.2">
      <c r="A665" s="2070"/>
      <c r="B665" s="177"/>
      <c r="C665" s="177"/>
      <c r="D665" s="2070"/>
      <c r="E665" s="2070"/>
      <c r="F665" s="2070"/>
      <c r="G665" s="2070"/>
      <c r="H665" s="2076"/>
      <c r="I665" s="2072"/>
      <c r="J665" s="178"/>
      <c r="K665" s="2072"/>
      <c r="L665" s="2070"/>
      <c r="M665" s="2070"/>
      <c r="N665" s="2070"/>
      <c r="O665" s="2070"/>
      <c r="P665" s="2076"/>
      <c r="Q665" s="2071"/>
      <c r="R665" s="437"/>
      <c r="S665" s="2072"/>
      <c r="T665" s="179"/>
      <c r="U665" s="178"/>
      <c r="V665" s="2072"/>
      <c r="W665" s="2072"/>
      <c r="X665" s="470"/>
      <c r="Y665" s="470"/>
      <c r="Z665" s="471"/>
      <c r="AA665" s="764"/>
      <c r="AB665" s="466"/>
      <c r="AC665" s="350"/>
      <c r="AD665" s="350"/>
      <c r="AE665" s="350"/>
      <c r="AF665" s="350"/>
    </row>
    <row r="666" spans="1:32" s="597" customFormat="1" ht="18" customHeight="1" x14ac:dyDescent="0.2">
      <c r="A666" s="1850"/>
      <c r="B666" s="1850"/>
      <c r="C666" s="1850"/>
      <c r="D666" s="1850"/>
      <c r="E666" s="1850"/>
      <c r="F666" s="1850"/>
      <c r="G666" s="1850"/>
      <c r="H666" s="1851"/>
      <c r="I666" s="1852"/>
      <c r="J666" s="1853"/>
      <c r="K666" s="1852"/>
      <c r="L666" s="1852"/>
      <c r="M666" s="1852"/>
      <c r="N666" s="1852"/>
      <c r="O666" s="1852"/>
      <c r="P666" s="1852"/>
      <c r="Q666" s="1852"/>
      <c r="R666" s="1854"/>
      <c r="S666" s="1852"/>
      <c r="T666" s="1855"/>
      <c r="U666" s="1853"/>
      <c r="V666" s="1852"/>
      <c r="W666" s="1852"/>
      <c r="X666" s="1856"/>
      <c r="Y666" s="1856"/>
      <c r="Z666" s="1857"/>
      <c r="AA666" s="2125"/>
      <c r="AB666" s="1847">
        <f>SUM(AB652:AB665)</f>
        <v>336</v>
      </c>
      <c r="AC666" s="1861"/>
      <c r="AD666" s="1861"/>
      <c r="AE666" s="1861"/>
      <c r="AF666" s="1861"/>
    </row>
    <row r="667" spans="1:32" s="597" customFormat="1" ht="14.1" customHeight="1" x14ac:dyDescent="0.2">
      <c r="A667" s="2690" t="s">
        <v>76</v>
      </c>
      <c r="B667" s="2690"/>
      <c r="C667" s="2691" t="s">
        <v>77</v>
      </c>
      <c r="D667" s="2691"/>
      <c r="E667" s="2691"/>
      <c r="F667" s="2691"/>
      <c r="G667" s="2691"/>
      <c r="H667" s="2691"/>
      <c r="I667" s="604" t="s">
        <v>78</v>
      </c>
      <c r="J667" s="604"/>
      <c r="K667" s="604"/>
      <c r="L667" s="604"/>
      <c r="M667" s="604"/>
      <c r="N667" s="604"/>
      <c r="AA667" s="767"/>
      <c r="AB667" s="598"/>
    </row>
    <row r="668" spans="1:32" s="597" customFormat="1" ht="14.1" customHeight="1" x14ac:dyDescent="0.2">
      <c r="A668" s="604"/>
      <c r="B668" s="605"/>
      <c r="C668" s="604"/>
      <c r="D668" s="604"/>
      <c r="E668" s="604"/>
      <c r="F668" s="604"/>
      <c r="G668" s="604"/>
      <c r="H668" s="604"/>
      <c r="I668" s="604" t="s">
        <v>79</v>
      </c>
      <c r="J668" s="604"/>
      <c r="K668" s="604"/>
      <c r="L668" s="604"/>
      <c r="M668" s="604"/>
      <c r="N668" s="604"/>
      <c r="AA668" s="767"/>
      <c r="AB668" s="598"/>
    </row>
    <row r="669" spans="1:32" s="597" customFormat="1" ht="14.1" customHeight="1" x14ac:dyDescent="0.2">
      <c r="A669" s="604"/>
      <c r="B669" s="605"/>
      <c r="C669" s="604"/>
      <c r="D669" s="604"/>
      <c r="E669" s="604"/>
      <c r="F669" s="604"/>
      <c r="G669" s="604"/>
      <c r="H669" s="604"/>
      <c r="I669" s="604" t="s">
        <v>80</v>
      </c>
      <c r="J669" s="604"/>
      <c r="K669" s="604"/>
      <c r="L669" s="604"/>
      <c r="M669" s="604"/>
      <c r="N669" s="604"/>
      <c r="AA669" s="767"/>
      <c r="AB669" s="598"/>
    </row>
    <row r="670" spans="1:32" s="597" customFormat="1" ht="14.1" customHeight="1" x14ac:dyDescent="0.2">
      <c r="A670" s="604"/>
      <c r="B670" s="605"/>
      <c r="C670" s="604"/>
      <c r="D670" s="604"/>
      <c r="E670" s="604"/>
      <c r="F670" s="604"/>
      <c r="G670" s="604"/>
      <c r="H670" s="604"/>
      <c r="I670" s="604" t="s">
        <v>81</v>
      </c>
      <c r="J670" s="604"/>
      <c r="K670" s="604"/>
      <c r="L670" s="604"/>
      <c r="M670" s="604"/>
      <c r="N670" s="604"/>
      <c r="AA670" s="767"/>
      <c r="AB670" s="598"/>
    </row>
    <row r="671" spans="1:32" s="597" customFormat="1" ht="14.1" customHeight="1" x14ac:dyDescent="0.2">
      <c r="A671" s="604"/>
      <c r="B671" s="605"/>
      <c r="C671" s="604"/>
      <c r="D671" s="604"/>
      <c r="E671" s="604"/>
      <c r="F671" s="604"/>
      <c r="G671" s="604"/>
      <c r="H671" s="604"/>
      <c r="I671" s="604" t="s">
        <v>88</v>
      </c>
      <c r="J671" s="604"/>
      <c r="K671" s="604"/>
      <c r="L671" s="604"/>
      <c r="M671" s="604"/>
      <c r="N671" s="604"/>
      <c r="AA671" s="767"/>
      <c r="AB671" s="598"/>
    </row>
    <row r="672" spans="1:32" s="597" customFormat="1" ht="18" customHeight="1" x14ac:dyDescent="0.2">
      <c r="A672" s="339"/>
      <c r="B672" s="339"/>
      <c r="C672" s="339"/>
      <c r="D672" s="339"/>
      <c r="E672" s="339"/>
      <c r="F672" s="339"/>
      <c r="G672" s="339"/>
      <c r="H672" s="339"/>
      <c r="I672" s="339"/>
      <c r="J672" s="339"/>
      <c r="K672" s="339"/>
      <c r="L672" s="339"/>
      <c r="M672" s="339"/>
      <c r="N672" s="339"/>
      <c r="O672" s="339"/>
      <c r="P672" s="339"/>
      <c r="Q672" s="339"/>
      <c r="R672" s="339"/>
      <c r="S672" s="339"/>
      <c r="T672" s="339"/>
      <c r="U672" s="339"/>
      <c r="V672" s="339"/>
      <c r="W672" s="339"/>
      <c r="X672" s="339"/>
      <c r="Y672" s="339"/>
      <c r="Z672" s="339"/>
      <c r="AA672" s="2702" t="s">
        <v>0</v>
      </c>
      <c r="AB672" s="2702"/>
      <c r="AC672" s="339"/>
      <c r="AD672" s="339"/>
      <c r="AE672" s="339"/>
      <c r="AF672" s="339"/>
    </row>
    <row r="673" spans="1:33" s="597" customFormat="1" ht="18" customHeight="1" x14ac:dyDescent="0.2">
      <c r="A673" s="2703" t="s">
        <v>1</v>
      </c>
      <c r="B673" s="2703"/>
      <c r="C673" s="2703"/>
      <c r="D673" s="2703"/>
      <c r="E673" s="2703"/>
      <c r="F673" s="2703"/>
      <c r="G673" s="2703"/>
      <c r="H673" s="2703"/>
      <c r="I673" s="2703"/>
      <c r="J673" s="2703"/>
      <c r="K673" s="2703"/>
      <c r="L673" s="2703"/>
      <c r="M673" s="2703"/>
      <c r="N673" s="2703"/>
      <c r="O673" s="2703"/>
      <c r="P673" s="2703"/>
      <c r="Q673" s="2703"/>
      <c r="R673" s="2703"/>
      <c r="S673" s="2703"/>
      <c r="T673" s="2703"/>
      <c r="U673" s="2703"/>
      <c r="V673" s="2703"/>
      <c r="W673" s="2703"/>
      <c r="X673" s="2703"/>
      <c r="Y673" s="2703"/>
      <c r="Z673" s="2703"/>
      <c r="AA673" s="2703"/>
      <c r="AB673" s="2703"/>
      <c r="AC673" s="344"/>
      <c r="AD673" s="344"/>
      <c r="AE673" s="344"/>
      <c r="AF673" s="344"/>
    </row>
    <row r="674" spans="1:33" s="597" customFormat="1" ht="18" customHeight="1" x14ac:dyDescent="0.2">
      <c r="A674" s="2704" t="s">
        <v>563</v>
      </c>
      <c r="B674" s="2704"/>
      <c r="C674" s="2704"/>
      <c r="D674" s="2704"/>
      <c r="E674" s="2704"/>
      <c r="F674" s="2704"/>
      <c r="G674" s="2704"/>
      <c r="H674" s="2704"/>
      <c r="I674" s="2704"/>
      <c r="J674" s="2704"/>
      <c r="K674" s="2704"/>
      <c r="L674" s="2704"/>
      <c r="M674" s="2704"/>
      <c r="N674" s="2704"/>
      <c r="O674" s="2704"/>
      <c r="P674" s="2704"/>
      <c r="Q674" s="2704"/>
      <c r="R674" s="2704"/>
      <c r="S674" s="2704"/>
      <c r="T674" s="2704"/>
      <c r="U674" s="2704"/>
      <c r="V674" s="2704"/>
      <c r="W674" s="2704"/>
      <c r="X674" s="2704"/>
      <c r="Y674" s="2704"/>
      <c r="Z674" s="2704"/>
      <c r="AA674" s="2704"/>
      <c r="AB674" s="2704"/>
      <c r="AC674" s="599"/>
      <c r="AD674" s="599"/>
      <c r="AE674" s="599"/>
      <c r="AF674" s="599"/>
    </row>
    <row r="675" spans="1:33" s="597" customFormat="1" ht="14.1" customHeight="1" x14ac:dyDescent="0.2">
      <c r="A675" s="2686" t="s">
        <v>2</v>
      </c>
      <c r="B675" s="360"/>
      <c r="C675" s="2686" t="s">
        <v>3</v>
      </c>
      <c r="D675" s="360"/>
      <c r="E675" s="360"/>
      <c r="F675" s="2693" t="s">
        <v>4</v>
      </c>
      <c r="G675" s="2693"/>
      <c r="H675" s="2693"/>
      <c r="I675" s="2694"/>
      <c r="J675" s="2694"/>
      <c r="K675" s="2695"/>
      <c r="L675" s="361"/>
      <c r="M675" s="2679" t="s">
        <v>5</v>
      </c>
      <c r="N675" s="2679"/>
      <c r="O675" s="2679"/>
      <c r="P675" s="2679"/>
      <c r="Q675" s="2696"/>
      <c r="R675" s="2696"/>
      <c r="S675" s="2696"/>
      <c r="T675" s="2696"/>
      <c r="U675" s="2696"/>
      <c r="V675" s="2697"/>
      <c r="W675" s="362" t="s">
        <v>6</v>
      </c>
      <c r="X675" s="363" t="s">
        <v>7</v>
      </c>
      <c r="Y675" s="364"/>
      <c r="Z675" s="364"/>
      <c r="AA675" s="363"/>
      <c r="AB675" s="365"/>
      <c r="AC675" s="516" t="s">
        <v>8</v>
      </c>
      <c r="AD675" s="346"/>
      <c r="AE675" s="346"/>
      <c r="AF675" s="600"/>
    </row>
    <row r="676" spans="1:33" s="597" customFormat="1" ht="14.1" customHeight="1" x14ac:dyDescent="0.2">
      <c r="A676" s="2687"/>
      <c r="B676" s="367"/>
      <c r="C676" s="2687"/>
      <c r="D676" s="2062" t="s">
        <v>9</v>
      </c>
      <c r="E676" s="368" t="s">
        <v>10</v>
      </c>
      <c r="F676" s="2698" t="s">
        <v>11</v>
      </c>
      <c r="G676" s="2694"/>
      <c r="H676" s="2695"/>
      <c r="I676" s="360"/>
      <c r="J676" s="369" t="s">
        <v>12</v>
      </c>
      <c r="K676" s="360"/>
      <c r="L676" s="2679" t="s">
        <v>2</v>
      </c>
      <c r="M676" s="2067"/>
      <c r="N676" s="2067"/>
      <c r="O676" s="2067"/>
      <c r="P676" s="371"/>
      <c r="Q676" s="372" t="s">
        <v>13</v>
      </c>
      <c r="R676" s="373" t="s">
        <v>12</v>
      </c>
      <c r="S676" s="2067" t="s">
        <v>6</v>
      </c>
      <c r="T676" s="2682" t="s">
        <v>14</v>
      </c>
      <c r="U676" s="2683"/>
      <c r="V676" s="375" t="s">
        <v>7</v>
      </c>
      <c r="W676" s="376" t="s">
        <v>15</v>
      </c>
      <c r="X676" s="377" t="s">
        <v>16</v>
      </c>
      <c r="Y676" s="377" t="s">
        <v>17</v>
      </c>
      <c r="Z676" s="377" t="s">
        <v>18</v>
      </c>
      <c r="AA676" s="377"/>
      <c r="AB676" s="378" t="s">
        <v>19</v>
      </c>
      <c r="AC676" s="528" t="s">
        <v>20</v>
      </c>
      <c r="AD676" s="601"/>
      <c r="AE676" s="347" t="s">
        <v>21</v>
      </c>
      <c r="AF676" s="340" t="s">
        <v>22</v>
      </c>
    </row>
    <row r="677" spans="1:33" s="597" customFormat="1" ht="14.1" customHeight="1" x14ac:dyDescent="0.2">
      <c r="A677" s="2687"/>
      <c r="B677" s="2062" t="s">
        <v>23</v>
      </c>
      <c r="C677" s="2687"/>
      <c r="D677" s="2062" t="s">
        <v>24</v>
      </c>
      <c r="E677" s="368" t="s">
        <v>25</v>
      </c>
      <c r="F677" s="2699"/>
      <c r="G677" s="2700"/>
      <c r="H677" s="2701"/>
      <c r="I677" s="2062" t="s">
        <v>26</v>
      </c>
      <c r="J677" s="379" t="s">
        <v>15</v>
      </c>
      <c r="K677" s="2066" t="s">
        <v>6</v>
      </c>
      <c r="L677" s="2680"/>
      <c r="M677" s="2068" t="s">
        <v>27</v>
      </c>
      <c r="N677" s="2068" t="s">
        <v>10</v>
      </c>
      <c r="O677" s="382" t="s">
        <v>10</v>
      </c>
      <c r="P677" s="383" t="s">
        <v>28</v>
      </c>
      <c r="Q677" s="384" t="s">
        <v>29</v>
      </c>
      <c r="R677" s="383" t="s">
        <v>15</v>
      </c>
      <c r="S677" s="385" t="s">
        <v>15</v>
      </c>
      <c r="T677" s="2684"/>
      <c r="U677" s="2685"/>
      <c r="V677" s="375" t="s">
        <v>30</v>
      </c>
      <c r="W677" s="376" t="s">
        <v>31</v>
      </c>
      <c r="X677" s="377" t="s">
        <v>30</v>
      </c>
      <c r="Y677" s="377" t="s">
        <v>32</v>
      </c>
      <c r="Z677" s="377" t="s">
        <v>7</v>
      </c>
      <c r="AA677" s="377" t="s">
        <v>33</v>
      </c>
      <c r="AB677" s="378" t="s">
        <v>34</v>
      </c>
      <c r="AC677" s="528" t="s">
        <v>35</v>
      </c>
      <c r="AD677" s="347" t="s">
        <v>36</v>
      </c>
      <c r="AE677" s="347" t="s">
        <v>37</v>
      </c>
      <c r="AF677" s="340" t="s">
        <v>38</v>
      </c>
    </row>
    <row r="678" spans="1:33" s="597" customFormat="1" ht="14.1" customHeight="1" x14ac:dyDescent="0.2">
      <c r="A678" s="2687"/>
      <c r="B678" s="2062" t="s">
        <v>39</v>
      </c>
      <c r="C678" s="2687"/>
      <c r="D678" s="2062" t="s">
        <v>40</v>
      </c>
      <c r="E678" s="368" t="s">
        <v>41</v>
      </c>
      <c r="F678" s="2686" t="s">
        <v>42</v>
      </c>
      <c r="G678" s="2686" t="s">
        <v>43</v>
      </c>
      <c r="H678" s="2688" t="s">
        <v>44</v>
      </c>
      <c r="I678" s="2062" t="s">
        <v>45</v>
      </c>
      <c r="J678" s="379" t="s">
        <v>46</v>
      </c>
      <c r="K678" s="2066" t="s">
        <v>47</v>
      </c>
      <c r="L678" s="2680"/>
      <c r="M678" s="2068" t="s">
        <v>30</v>
      </c>
      <c r="N678" s="2068" t="s">
        <v>30</v>
      </c>
      <c r="O678" s="382" t="s">
        <v>25</v>
      </c>
      <c r="P678" s="383" t="s">
        <v>30</v>
      </c>
      <c r="Q678" s="384" t="s">
        <v>48</v>
      </c>
      <c r="R678" s="383" t="s">
        <v>49</v>
      </c>
      <c r="S678" s="385" t="s">
        <v>30</v>
      </c>
      <c r="T678" s="386" t="s">
        <v>50</v>
      </c>
      <c r="U678" s="2065" t="s">
        <v>13</v>
      </c>
      <c r="V678" s="375" t="s">
        <v>51</v>
      </c>
      <c r="W678" s="376" t="s">
        <v>52</v>
      </c>
      <c r="X678" s="377" t="s">
        <v>53</v>
      </c>
      <c r="Y678" s="377" t="s">
        <v>54</v>
      </c>
      <c r="Z678" s="377" t="s">
        <v>55</v>
      </c>
      <c r="AA678" s="377" t="s">
        <v>56</v>
      </c>
      <c r="AB678" s="378" t="s">
        <v>57</v>
      </c>
      <c r="AC678" s="347" t="s">
        <v>58</v>
      </c>
      <c r="AD678" s="347" t="s">
        <v>59</v>
      </c>
      <c r="AE678" s="347" t="s">
        <v>59</v>
      </c>
      <c r="AF678" s="340" t="s">
        <v>60</v>
      </c>
    </row>
    <row r="679" spans="1:33" s="597" customFormat="1" ht="14.1" customHeight="1" x14ac:dyDescent="0.2">
      <c r="A679" s="2687"/>
      <c r="B679" s="2062" t="s">
        <v>61</v>
      </c>
      <c r="C679" s="2687"/>
      <c r="D679" s="2062" t="s">
        <v>62</v>
      </c>
      <c r="E679" s="368" t="s">
        <v>63</v>
      </c>
      <c r="F679" s="2687"/>
      <c r="G679" s="2687"/>
      <c r="H679" s="2689"/>
      <c r="I679" s="2062" t="s">
        <v>64</v>
      </c>
      <c r="J679" s="379" t="s">
        <v>59</v>
      </c>
      <c r="K679" s="2066" t="s">
        <v>59</v>
      </c>
      <c r="L679" s="2680"/>
      <c r="M679" s="2068"/>
      <c r="N679" s="2068"/>
      <c r="O679" s="382" t="s">
        <v>41</v>
      </c>
      <c r="P679" s="383" t="s">
        <v>65</v>
      </c>
      <c r="Q679" s="384" t="s">
        <v>66</v>
      </c>
      <c r="R679" s="383" t="s">
        <v>67</v>
      </c>
      <c r="S679" s="385" t="s">
        <v>59</v>
      </c>
      <c r="T679" s="387" t="s">
        <v>68</v>
      </c>
      <c r="U679" s="375" t="s">
        <v>14</v>
      </c>
      <c r="V679" s="375" t="s">
        <v>14</v>
      </c>
      <c r="W679" s="376" t="s">
        <v>30</v>
      </c>
      <c r="X679" s="388" t="s">
        <v>69</v>
      </c>
      <c r="Y679" s="388" t="s">
        <v>70</v>
      </c>
      <c r="Z679" s="377" t="s">
        <v>71</v>
      </c>
      <c r="AA679" s="377" t="s">
        <v>72</v>
      </c>
      <c r="AB679" s="378" t="s">
        <v>59</v>
      </c>
      <c r="AC679" s="347" t="s">
        <v>59</v>
      </c>
      <c r="AD679" s="347"/>
      <c r="AE679" s="347"/>
      <c r="AF679" s="340" t="s">
        <v>59</v>
      </c>
    </row>
    <row r="680" spans="1:33" s="597" customFormat="1" ht="14.1" customHeight="1" x14ac:dyDescent="0.2">
      <c r="A680" s="2692"/>
      <c r="B680" s="390"/>
      <c r="C680" s="2692"/>
      <c r="D680" s="390"/>
      <c r="E680" s="2063"/>
      <c r="F680" s="390"/>
      <c r="G680" s="390"/>
      <c r="H680" s="391"/>
      <c r="I680" s="2063"/>
      <c r="J680" s="392"/>
      <c r="K680" s="393"/>
      <c r="L680" s="2681"/>
      <c r="M680" s="2069"/>
      <c r="N680" s="2069"/>
      <c r="O680" s="2069" t="s">
        <v>63</v>
      </c>
      <c r="P680" s="395"/>
      <c r="Q680" s="396" t="s">
        <v>72</v>
      </c>
      <c r="R680" s="397" t="s">
        <v>59</v>
      </c>
      <c r="S680" s="398"/>
      <c r="T680" s="397" t="s">
        <v>73</v>
      </c>
      <c r="U680" s="398" t="s">
        <v>59</v>
      </c>
      <c r="V680" s="399" t="s">
        <v>59</v>
      </c>
      <c r="W680" s="400" t="s">
        <v>59</v>
      </c>
      <c r="X680" s="401" t="s">
        <v>59</v>
      </c>
      <c r="Y680" s="401" t="s">
        <v>59</v>
      </c>
      <c r="Z680" s="401" t="s">
        <v>59</v>
      </c>
      <c r="AA680" s="402"/>
      <c r="AB680" s="403"/>
      <c r="AC680" s="348"/>
      <c r="AD680" s="348"/>
      <c r="AE680" s="348"/>
      <c r="AF680" s="341"/>
    </row>
    <row r="681" spans="1:33" s="597" customFormat="1" ht="18" customHeight="1" x14ac:dyDescent="0.25">
      <c r="A681" s="53">
        <v>1</v>
      </c>
      <c r="B681" s="333">
        <v>29858</v>
      </c>
      <c r="C681" s="41">
        <v>82</v>
      </c>
      <c r="D681" s="41" t="s">
        <v>93</v>
      </c>
      <c r="E681" s="41">
        <v>4</v>
      </c>
      <c r="F681" s="41">
        <v>0</v>
      </c>
      <c r="G681" s="41">
        <v>0</v>
      </c>
      <c r="H681" s="267">
        <v>96</v>
      </c>
      <c r="I681" s="18">
        <f>F681*400+G681*100+H681</f>
        <v>96</v>
      </c>
      <c r="J681" s="23">
        <v>280</v>
      </c>
      <c r="K681" s="39">
        <f>SUM(I681*J681)</f>
        <v>26880</v>
      </c>
      <c r="L681" s="45"/>
      <c r="M681" s="61"/>
      <c r="N681" s="50"/>
      <c r="O681" s="50"/>
      <c r="P681" s="19"/>
      <c r="Q681" s="62"/>
      <c r="R681" s="260"/>
      <c r="S681" s="18"/>
      <c r="T681" s="20"/>
      <c r="U681" s="47">
        <f>S681*T681/100</f>
        <v>0</v>
      </c>
      <c r="V681" s="47">
        <f>SUM(S681-U681)</f>
        <v>0</v>
      </c>
      <c r="W681" s="18">
        <f>K681+V681</f>
        <v>26880</v>
      </c>
      <c r="X681" s="47">
        <f>W681</f>
        <v>26880</v>
      </c>
      <c r="Y681" s="293">
        <v>0</v>
      </c>
      <c r="Z681" s="18">
        <f>X681-Y681</f>
        <v>26880</v>
      </c>
      <c r="AA681" s="264">
        <v>0.6</v>
      </c>
      <c r="AB681" s="465">
        <f>+Z681*AA681/100</f>
        <v>161.28</v>
      </c>
      <c r="AC681" s="602"/>
      <c r="AD681" s="603">
        <f>AB681-AC681</f>
        <v>161.28</v>
      </c>
      <c r="AE681" s="603">
        <f>IF(AD681&lt;=0,0,AD681*25/100)</f>
        <v>40.32</v>
      </c>
      <c r="AF681" s="603">
        <f>IF(AC681+AE681&gt;AB681,AB681,AC681+AE681)</f>
        <v>40.32</v>
      </c>
      <c r="AG681" s="1750" t="s">
        <v>387</v>
      </c>
    </row>
    <row r="682" spans="1:33" s="597" customFormat="1" ht="18" customHeight="1" x14ac:dyDescent="0.2">
      <c r="A682" s="2070"/>
      <c r="B682" s="177"/>
      <c r="C682" s="177"/>
      <c r="D682" s="2070"/>
      <c r="E682" s="2070"/>
      <c r="F682" s="2070"/>
      <c r="G682" s="2070"/>
      <c r="H682" s="2076"/>
      <c r="I682" s="2072"/>
      <c r="J682" s="178"/>
      <c r="K682" s="2072"/>
      <c r="L682" s="2070"/>
      <c r="M682" s="2070"/>
      <c r="N682" s="2070"/>
      <c r="O682" s="2070"/>
      <c r="P682" s="2076"/>
      <c r="Q682" s="2071"/>
      <c r="R682" s="437"/>
      <c r="S682" s="2072"/>
      <c r="T682" s="179"/>
      <c r="U682" s="178"/>
      <c r="V682" s="2072"/>
      <c r="W682" s="2072"/>
      <c r="X682" s="470"/>
      <c r="Y682" s="470"/>
      <c r="Z682" s="471"/>
      <c r="AA682" s="764"/>
      <c r="AB682" s="466"/>
      <c r="AC682" s="350"/>
      <c r="AD682" s="350"/>
      <c r="AE682" s="350"/>
      <c r="AF682" s="350"/>
    </row>
    <row r="683" spans="1:33" s="597" customFormat="1" ht="18" customHeight="1" x14ac:dyDescent="0.2">
      <c r="A683" s="2070"/>
      <c r="B683" s="177"/>
      <c r="C683" s="177"/>
      <c r="D683" s="2070"/>
      <c r="E683" s="2070"/>
      <c r="F683" s="2070"/>
      <c r="G683" s="2070"/>
      <c r="H683" s="2076"/>
      <c r="I683" s="2072"/>
      <c r="J683" s="178"/>
      <c r="K683" s="2072"/>
      <c r="L683" s="2070"/>
      <c r="M683" s="2070"/>
      <c r="N683" s="2070"/>
      <c r="O683" s="2070"/>
      <c r="P683" s="2076"/>
      <c r="Q683" s="2071"/>
      <c r="R683" s="437"/>
      <c r="S683" s="2072"/>
      <c r="T683" s="179"/>
      <c r="U683" s="178"/>
      <c r="V683" s="2072"/>
      <c r="W683" s="2072"/>
      <c r="X683" s="470"/>
      <c r="Y683" s="470"/>
      <c r="Z683" s="471"/>
      <c r="AA683" s="764"/>
      <c r="AB683" s="466"/>
      <c r="AC683" s="350"/>
      <c r="AD683" s="350"/>
      <c r="AE683" s="350"/>
      <c r="AF683" s="350"/>
    </row>
    <row r="684" spans="1:33" s="597" customFormat="1" ht="18" customHeight="1" x14ac:dyDescent="0.2">
      <c r="A684" s="2070"/>
      <c r="B684" s="177"/>
      <c r="C684" s="177"/>
      <c r="D684" s="2070"/>
      <c r="E684" s="2070"/>
      <c r="F684" s="2070"/>
      <c r="G684" s="2070"/>
      <c r="H684" s="2076"/>
      <c r="I684" s="2072"/>
      <c r="J684" s="178"/>
      <c r="K684" s="2072"/>
      <c r="L684" s="2070"/>
      <c r="M684" s="2070"/>
      <c r="N684" s="2070"/>
      <c r="O684" s="2070"/>
      <c r="P684" s="2076"/>
      <c r="Q684" s="2071"/>
      <c r="R684" s="437"/>
      <c r="S684" s="2072"/>
      <c r="T684" s="179"/>
      <c r="U684" s="178"/>
      <c r="V684" s="2072"/>
      <c r="W684" s="2072"/>
      <c r="X684" s="470"/>
      <c r="Y684" s="470"/>
      <c r="Z684" s="471"/>
      <c r="AA684" s="764"/>
      <c r="AB684" s="466"/>
      <c r="AC684" s="350"/>
      <c r="AD684" s="350"/>
      <c r="AE684" s="350"/>
      <c r="AF684" s="350"/>
    </row>
    <row r="685" spans="1:33" s="597" customFormat="1" ht="18" customHeight="1" x14ac:dyDescent="0.2">
      <c r="A685" s="2070"/>
      <c r="B685" s="177"/>
      <c r="C685" s="177"/>
      <c r="D685" s="2070"/>
      <c r="E685" s="2070"/>
      <c r="F685" s="2070"/>
      <c r="G685" s="2070"/>
      <c r="H685" s="2076"/>
      <c r="I685" s="2072"/>
      <c r="J685" s="178"/>
      <c r="K685" s="2072"/>
      <c r="L685" s="2070"/>
      <c r="M685" s="2070"/>
      <c r="N685" s="2070"/>
      <c r="O685" s="2070"/>
      <c r="P685" s="2076"/>
      <c r="Q685" s="2071"/>
      <c r="R685" s="437"/>
      <c r="S685" s="2072"/>
      <c r="T685" s="179"/>
      <c r="U685" s="178"/>
      <c r="V685" s="2072"/>
      <c r="W685" s="2072"/>
      <c r="X685" s="470"/>
      <c r="Y685" s="470"/>
      <c r="Z685" s="471"/>
      <c r="AA685" s="764"/>
      <c r="AB685" s="466"/>
      <c r="AC685" s="350"/>
      <c r="AD685" s="350"/>
      <c r="AE685" s="350"/>
      <c r="AF685" s="350"/>
    </row>
    <row r="686" spans="1:33" s="597" customFormat="1" ht="18" customHeight="1" x14ac:dyDescent="0.2">
      <c r="A686" s="2070"/>
      <c r="B686" s="177"/>
      <c r="C686" s="177"/>
      <c r="D686" s="2070"/>
      <c r="E686" s="2070"/>
      <c r="F686" s="2070"/>
      <c r="G686" s="2070"/>
      <c r="H686" s="2076"/>
      <c r="I686" s="2072"/>
      <c r="J686" s="178"/>
      <c r="K686" s="2072"/>
      <c r="L686" s="2070"/>
      <c r="M686" s="2070"/>
      <c r="N686" s="2070"/>
      <c r="O686" s="2070"/>
      <c r="P686" s="2076"/>
      <c r="Q686" s="2071"/>
      <c r="R686" s="437"/>
      <c r="S686" s="2072"/>
      <c r="T686" s="179"/>
      <c r="U686" s="178"/>
      <c r="V686" s="2072"/>
      <c r="W686" s="2072"/>
      <c r="X686" s="470"/>
      <c r="Y686" s="470"/>
      <c r="Z686" s="471"/>
      <c r="AA686" s="764"/>
      <c r="AB686" s="466"/>
      <c r="AC686" s="350"/>
      <c r="AD686" s="350"/>
      <c r="AE686" s="350"/>
      <c r="AF686" s="350"/>
    </row>
    <row r="687" spans="1:33" s="597" customFormat="1" ht="18" customHeight="1" x14ac:dyDescent="0.2">
      <c r="A687" s="2070"/>
      <c r="B687" s="177"/>
      <c r="C687" s="177"/>
      <c r="D687" s="2070"/>
      <c r="E687" s="2070"/>
      <c r="F687" s="2070"/>
      <c r="G687" s="2070"/>
      <c r="H687" s="2076"/>
      <c r="I687" s="2072"/>
      <c r="J687" s="178"/>
      <c r="K687" s="2072"/>
      <c r="L687" s="2070"/>
      <c r="M687" s="2070"/>
      <c r="N687" s="2070"/>
      <c r="O687" s="2070"/>
      <c r="P687" s="2076"/>
      <c r="Q687" s="2071"/>
      <c r="R687" s="437"/>
      <c r="S687" s="2072"/>
      <c r="T687" s="179"/>
      <c r="U687" s="178"/>
      <c r="V687" s="2072"/>
      <c r="W687" s="2072"/>
      <c r="X687" s="470"/>
      <c r="Y687" s="470"/>
      <c r="Z687" s="471"/>
      <c r="AA687" s="764"/>
      <c r="AB687" s="466"/>
      <c r="AC687" s="350"/>
      <c r="AD687" s="350"/>
      <c r="AE687" s="350"/>
      <c r="AF687" s="350"/>
    </row>
    <row r="688" spans="1:33" s="597" customFormat="1" ht="18" customHeight="1" x14ac:dyDescent="0.2">
      <c r="A688" s="2070"/>
      <c r="B688" s="177"/>
      <c r="C688" s="177"/>
      <c r="D688" s="2070"/>
      <c r="E688" s="2070"/>
      <c r="F688" s="2070"/>
      <c r="G688" s="2070"/>
      <c r="H688" s="2076"/>
      <c r="I688" s="2072"/>
      <c r="J688" s="178"/>
      <c r="K688" s="2072"/>
      <c r="L688" s="2070"/>
      <c r="M688" s="2070"/>
      <c r="N688" s="2070"/>
      <c r="O688" s="2070"/>
      <c r="P688" s="2076"/>
      <c r="Q688" s="2071"/>
      <c r="R688" s="437"/>
      <c r="S688" s="2072"/>
      <c r="T688" s="179"/>
      <c r="U688" s="178"/>
      <c r="V688" s="2072"/>
      <c r="W688" s="2072"/>
      <c r="X688" s="470"/>
      <c r="Y688" s="470"/>
      <c r="Z688" s="471"/>
      <c r="AA688" s="764"/>
      <c r="AB688" s="466"/>
      <c r="AC688" s="350"/>
      <c r="AD688" s="350"/>
      <c r="AE688" s="350"/>
      <c r="AF688" s="350"/>
    </row>
    <row r="689" spans="1:32" s="597" customFormat="1" ht="18" customHeight="1" x14ac:dyDescent="0.2">
      <c r="A689" s="2070"/>
      <c r="B689" s="177"/>
      <c r="C689" s="177"/>
      <c r="D689" s="2070"/>
      <c r="E689" s="2070"/>
      <c r="F689" s="2070"/>
      <c r="G689" s="2070"/>
      <c r="H689" s="2076"/>
      <c r="I689" s="2072"/>
      <c r="J689" s="178"/>
      <c r="K689" s="2072"/>
      <c r="L689" s="2070"/>
      <c r="M689" s="2070"/>
      <c r="N689" s="2070"/>
      <c r="O689" s="2070"/>
      <c r="P689" s="2076"/>
      <c r="Q689" s="2071"/>
      <c r="R689" s="437"/>
      <c r="S689" s="2072"/>
      <c r="T689" s="179"/>
      <c r="U689" s="178"/>
      <c r="V689" s="2072"/>
      <c r="W689" s="2072"/>
      <c r="X689" s="470"/>
      <c r="Y689" s="470"/>
      <c r="Z689" s="471"/>
      <c r="AA689" s="764"/>
      <c r="AB689" s="466"/>
      <c r="AC689" s="350"/>
      <c r="AD689" s="350"/>
      <c r="AE689" s="350"/>
      <c r="AF689" s="350"/>
    </row>
    <row r="690" spans="1:32" s="597" customFormat="1" ht="18" customHeight="1" x14ac:dyDescent="0.2">
      <c r="A690" s="2070"/>
      <c r="B690" s="177"/>
      <c r="C690" s="177"/>
      <c r="D690" s="2070"/>
      <c r="E690" s="2070"/>
      <c r="F690" s="2070"/>
      <c r="G690" s="2070"/>
      <c r="H690" s="2076"/>
      <c r="I690" s="2072"/>
      <c r="J690" s="178"/>
      <c r="K690" s="2072"/>
      <c r="L690" s="2070"/>
      <c r="M690" s="2070"/>
      <c r="N690" s="2070"/>
      <c r="O690" s="2070"/>
      <c r="P690" s="2076"/>
      <c r="Q690" s="2071"/>
      <c r="R690" s="437"/>
      <c r="S690" s="2072"/>
      <c r="T690" s="179"/>
      <c r="U690" s="178"/>
      <c r="V690" s="2072"/>
      <c r="W690" s="2072"/>
      <c r="X690" s="470"/>
      <c r="Y690" s="470"/>
      <c r="Z690" s="471"/>
      <c r="AA690" s="764"/>
      <c r="AB690" s="466"/>
      <c r="AC690" s="350"/>
      <c r="AD690" s="350"/>
      <c r="AE690" s="350"/>
      <c r="AF690" s="350"/>
    </row>
    <row r="691" spans="1:32" s="597" customFormat="1" ht="18" customHeight="1" x14ac:dyDescent="0.2">
      <c r="A691" s="2070"/>
      <c r="B691" s="177"/>
      <c r="C691" s="177"/>
      <c r="D691" s="2070"/>
      <c r="E691" s="2070"/>
      <c r="F691" s="2070"/>
      <c r="G691" s="2070"/>
      <c r="H691" s="2076"/>
      <c r="I691" s="2072"/>
      <c r="J691" s="178"/>
      <c r="K691" s="2072"/>
      <c r="L691" s="2070"/>
      <c r="M691" s="2070"/>
      <c r="N691" s="2070"/>
      <c r="O691" s="2070"/>
      <c r="P691" s="2076"/>
      <c r="Q691" s="2071"/>
      <c r="R691" s="437"/>
      <c r="S691" s="2072"/>
      <c r="T691" s="179"/>
      <c r="U691" s="178"/>
      <c r="V691" s="2072"/>
      <c r="W691" s="2072"/>
      <c r="X691" s="470"/>
      <c r="Y691" s="470"/>
      <c r="Z691" s="471"/>
      <c r="AA691" s="764"/>
      <c r="AB691" s="466"/>
      <c r="AC691" s="350"/>
      <c r="AD691" s="350"/>
      <c r="AE691" s="350"/>
      <c r="AF691" s="350"/>
    </row>
    <row r="692" spans="1:32" s="597" customFormat="1" ht="18" customHeight="1" x14ac:dyDescent="0.2">
      <c r="A692" s="2070"/>
      <c r="B692" s="177"/>
      <c r="C692" s="177"/>
      <c r="D692" s="2070"/>
      <c r="E692" s="2070"/>
      <c r="F692" s="2070"/>
      <c r="G692" s="2070"/>
      <c r="H692" s="2076"/>
      <c r="I692" s="2072"/>
      <c r="J692" s="178"/>
      <c r="K692" s="2072"/>
      <c r="L692" s="2070"/>
      <c r="M692" s="2070"/>
      <c r="N692" s="2070"/>
      <c r="O692" s="2070"/>
      <c r="P692" s="2076"/>
      <c r="Q692" s="2071"/>
      <c r="R692" s="437"/>
      <c r="S692" s="2072"/>
      <c r="T692" s="179"/>
      <c r="U692" s="178"/>
      <c r="V692" s="2072"/>
      <c r="W692" s="2072"/>
      <c r="X692" s="470"/>
      <c r="Y692" s="470"/>
      <c r="Z692" s="471"/>
      <c r="AA692" s="764"/>
      <c r="AB692" s="466"/>
      <c r="AC692" s="350"/>
      <c r="AD692" s="350"/>
      <c r="AE692" s="350"/>
      <c r="AF692" s="350"/>
    </row>
    <row r="693" spans="1:32" s="597" customFormat="1" ht="18" customHeight="1" x14ac:dyDescent="0.2">
      <c r="A693" s="2070"/>
      <c r="B693" s="177"/>
      <c r="C693" s="177"/>
      <c r="D693" s="2070"/>
      <c r="E693" s="2070"/>
      <c r="F693" s="2070"/>
      <c r="G693" s="2070"/>
      <c r="H693" s="2076"/>
      <c r="I693" s="2072"/>
      <c r="J693" s="178"/>
      <c r="K693" s="2072"/>
      <c r="L693" s="2070"/>
      <c r="M693" s="2070"/>
      <c r="N693" s="2070"/>
      <c r="O693" s="2070"/>
      <c r="P693" s="2076"/>
      <c r="Q693" s="2071"/>
      <c r="R693" s="437"/>
      <c r="S693" s="2072"/>
      <c r="T693" s="179"/>
      <c r="U693" s="178"/>
      <c r="V693" s="2072"/>
      <c r="W693" s="2072"/>
      <c r="X693" s="470"/>
      <c r="Y693" s="470"/>
      <c r="Z693" s="471"/>
      <c r="AA693" s="764"/>
      <c r="AB693" s="466"/>
      <c r="AC693" s="350"/>
      <c r="AD693" s="350"/>
      <c r="AE693" s="350"/>
      <c r="AF693" s="350"/>
    </row>
    <row r="694" spans="1:32" s="597" customFormat="1" ht="18" customHeight="1" x14ac:dyDescent="0.2">
      <c r="A694" s="88"/>
      <c r="B694" s="180"/>
      <c r="C694" s="180"/>
      <c r="D694" s="88"/>
      <c r="E694" s="88"/>
      <c r="F694" s="88"/>
      <c r="G694" s="88"/>
      <c r="H694" s="120"/>
      <c r="I694" s="121"/>
      <c r="J694" s="181"/>
      <c r="K694" s="121"/>
      <c r="L694" s="88"/>
      <c r="M694" s="88"/>
      <c r="N694" s="88"/>
      <c r="O694" s="88"/>
      <c r="P694" s="88"/>
      <c r="Q694" s="129"/>
      <c r="R694" s="445"/>
      <c r="S694" s="121"/>
      <c r="T694" s="182"/>
      <c r="U694" s="181"/>
      <c r="V694" s="121"/>
      <c r="W694" s="121"/>
      <c r="X694" s="472"/>
      <c r="Y694" s="472"/>
      <c r="Z694" s="473"/>
      <c r="AA694" s="780"/>
      <c r="AB694" s="410"/>
      <c r="AC694" s="351"/>
      <c r="AD694" s="351"/>
      <c r="AE694" s="351"/>
      <c r="AF694" s="351"/>
    </row>
    <row r="695" spans="1:32" s="597" customFormat="1" ht="18" customHeight="1" x14ac:dyDescent="0.2">
      <c r="A695" s="1850"/>
      <c r="B695" s="1850"/>
      <c r="C695" s="1850"/>
      <c r="D695" s="1850"/>
      <c r="E695" s="1850"/>
      <c r="F695" s="1850"/>
      <c r="G695" s="1850"/>
      <c r="H695" s="1851"/>
      <c r="I695" s="1852"/>
      <c r="J695" s="1853"/>
      <c r="K695" s="1852"/>
      <c r="L695" s="1852"/>
      <c r="M695" s="1852"/>
      <c r="N695" s="1852"/>
      <c r="O695" s="1852"/>
      <c r="P695" s="1852"/>
      <c r="Q695" s="1852"/>
      <c r="R695" s="1854"/>
      <c r="S695" s="1852"/>
      <c r="T695" s="1855"/>
      <c r="U695" s="1853"/>
      <c r="V695" s="1852"/>
      <c r="W695" s="1852"/>
      <c r="X695" s="1856"/>
      <c r="Y695" s="1856"/>
      <c r="Z695" s="1857"/>
      <c r="AA695" s="2125"/>
      <c r="AB695" s="1847">
        <f>AB681</f>
        <v>161.28</v>
      </c>
      <c r="AC695" s="1861"/>
      <c r="AD695" s="1861"/>
      <c r="AE695" s="1861"/>
      <c r="AF695" s="1861"/>
    </row>
    <row r="696" spans="1:32" s="597" customFormat="1" ht="14.1" customHeight="1" x14ac:dyDescent="0.2">
      <c r="A696" s="2690" t="s">
        <v>76</v>
      </c>
      <c r="B696" s="2690"/>
      <c r="C696" s="2691" t="s">
        <v>77</v>
      </c>
      <c r="D696" s="2691"/>
      <c r="E696" s="2691"/>
      <c r="F696" s="2691"/>
      <c r="G696" s="2691"/>
      <c r="H696" s="2691"/>
      <c r="I696" s="604" t="s">
        <v>78</v>
      </c>
      <c r="J696" s="604"/>
      <c r="K696" s="604"/>
      <c r="L696" s="604"/>
      <c r="M696" s="604"/>
      <c r="N696" s="604"/>
      <c r="AA696" s="767"/>
      <c r="AB696" s="598"/>
    </row>
    <row r="697" spans="1:32" s="597" customFormat="1" ht="14.1" customHeight="1" x14ac:dyDescent="0.2">
      <c r="A697" s="604"/>
      <c r="B697" s="605"/>
      <c r="C697" s="604"/>
      <c r="D697" s="604"/>
      <c r="E697" s="604"/>
      <c r="F697" s="604"/>
      <c r="G697" s="604"/>
      <c r="H697" s="604"/>
      <c r="I697" s="604" t="s">
        <v>79</v>
      </c>
      <c r="J697" s="604"/>
      <c r="K697" s="604"/>
      <c r="L697" s="604"/>
      <c r="M697" s="604"/>
      <c r="N697" s="604"/>
      <c r="AA697" s="767"/>
      <c r="AB697" s="598"/>
    </row>
    <row r="698" spans="1:32" s="597" customFormat="1" ht="14.1" customHeight="1" x14ac:dyDescent="0.2">
      <c r="A698" s="604"/>
      <c r="B698" s="605"/>
      <c r="C698" s="604"/>
      <c r="D698" s="604"/>
      <c r="E698" s="604"/>
      <c r="F698" s="604"/>
      <c r="G698" s="604"/>
      <c r="H698" s="604"/>
      <c r="I698" s="604" t="s">
        <v>80</v>
      </c>
      <c r="J698" s="604"/>
      <c r="K698" s="604"/>
      <c r="L698" s="604"/>
      <c r="M698" s="604"/>
      <c r="N698" s="604"/>
      <c r="AA698" s="767"/>
      <c r="AB698" s="598"/>
    </row>
    <row r="699" spans="1:32" s="597" customFormat="1" ht="14.1" customHeight="1" x14ac:dyDescent="0.2">
      <c r="A699" s="604"/>
      <c r="B699" s="605"/>
      <c r="C699" s="604"/>
      <c r="D699" s="604"/>
      <c r="E699" s="604"/>
      <c r="F699" s="604"/>
      <c r="G699" s="604"/>
      <c r="H699" s="604"/>
      <c r="I699" s="604" t="s">
        <v>81</v>
      </c>
      <c r="J699" s="604"/>
      <c r="K699" s="604"/>
      <c r="L699" s="604"/>
      <c r="M699" s="604"/>
      <c r="N699" s="604"/>
      <c r="AA699" s="767"/>
      <c r="AB699" s="598"/>
    </row>
    <row r="700" spans="1:32" s="597" customFormat="1" ht="14.1" customHeight="1" x14ac:dyDescent="0.2">
      <c r="A700" s="604"/>
      <c r="B700" s="605"/>
      <c r="C700" s="604"/>
      <c r="D700" s="604"/>
      <c r="E700" s="604"/>
      <c r="F700" s="604"/>
      <c r="G700" s="604"/>
      <c r="H700" s="604"/>
      <c r="I700" s="604" t="s">
        <v>88</v>
      </c>
      <c r="J700" s="604"/>
      <c r="K700" s="604"/>
      <c r="L700" s="604"/>
      <c r="M700" s="604"/>
      <c r="N700" s="604"/>
      <c r="AA700" s="767"/>
      <c r="AB700" s="598"/>
    </row>
    <row r="701" spans="1:32" s="597" customFormat="1" ht="18" customHeight="1" x14ac:dyDescent="0.2">
      <c r="A701" s="339"/>
      <c r="B701" s="339"/>
      <c r="C701" s="339"/>
      <c r="D701" s="339"/>
      <c r="E701" s="339"/>
      <c r="F701" s="339"/>
      <c r="G701" s="339"/>
      <c r="H701" s="339"/>
      <c r="I701" s="339"/>
      <c r="J701" s="339"/>
      <c r="K701" s="339"/>
      <c r="L701" s="339"/>
      <c r="M701" s="339"/>
      <c r="N701" s="339"/>
      <c r="O701" s="339"/>
      <c r="P701" s="339"/>
      <c r="Q701" s="339"/>
      <c r="R701" s="339"/>
      <c r="S701" s="339"/>
      <c r="T701" s="339"/>
      <c r="U701" s="339"/>
      <c r="V701" s="339"/>
      <c r="W701" s="339"/>
      <c r="X701" s="339"/>
      <c r="Y701" s="339"/>
      <c r="Z701" s="339"/>
      <c r="AA701" s="2702" t="s">
        <v>0</v>
      </c>
      <c r="AB701" s="2702"/>
      <c r="AC701" s="339"/>
      <c r="AD701" s="339"/>
      <c r="AE701" s="339"/>
      <c r="AF701" s="339"/>
    </row>
    <row r="702" spans="1:32" s="597" customFormat="1" ht="18" customHeight="1" x14ac:dyDescent="0.2">
      <c r="A702" s="2703" t="s">
        <v>1</v>
      </c>
      <c r="B702" s="2703"/>
      <c r="C702" s="2703"/>
      <c r="D702" s="2703"/>
      <c r="E702" s="2703"/>
      <c r="F702" s="2703"/>
      <c r="G702" s="2703"/>
      <c r="H702" s="2703"/>
      <c r="I702" s="2703"/>
      <c r="J702" s="2703"/>
      <c r="K702" s="2703"/>
      <c r="L702" s="2703"/>
      <c r="M702" s="2703"/>
      <c r="N702" s="2703"/>
      <c r="O702" s="2703"/>
      <c r="P702" s="2703"/>
      <c r="Q702" s="2703"/>
      <c r="R702" s="2703"/>
      <c r="S702" s="2703"/>
      <c r="T702" s="2703"/>
      <c r="U702" s="2703"/>
      <c r="V702" s="2703"/>
      <c r="W702" s="2703"/>
      <c r="X702" s="2703"/>
      <c r="Y702" s="2703"/>
      <c r="Z702" s="2703"/>
      <c r="AA702" s="2703"/>
      <c r="AB702" s="2703"/>
      <c r="AC702" s="344"/>
      <c r="AD702" s="344"/>
      <c r="AE702" s="344"/>
      <c r="AF702" s="344"/>
    </row>
    <row r="703" spans="1:32" s="597" customFormat="1" ht="18" customHeight="1" x14ac:dyDescent="0.2">
      <c r="A703" s="2704" t="s">
        <v>564</v>
      </c>
      <c r="B703" s="2704"/>
      <c r="C703" s="2704"/>
      <c r="D703" s="2704"/>
      <c r="E703" s="2704"/>
      <c r="F703" s="2704"/>
      <c r="G703" s="2704"/>
      <c r="H703" s="2704"/>
      <c r="I703" s="2704"/>
      <c r="J703" s="2704"/>
      <c r="K703" s="2704"/>
      <c r="L703" s="2704"/>
      <c r="M703" s="2704"/>
      <c r="N703" s="2704"/>
      <c r="O703" s="2704"/>
      <c r="P703" s="2704"/>
      <c r="Q703" s="2704"/>
      <c r="R703" s="2704"/>
      <c r="S703" s="2704"/>
      <c r="T703" s="2704"/>
      <c r="U703" s="2704"/>
      <c r="V703" s="2704"/>
      <c r="W703" s="2704"/>
      <c r="X703" s="2704"/>
      <c r="Y703" s="2704"/>
      <c r="Z703" s="2704"/>
      <c r="AA703" s="2704"/>
      <c r="AB703" s="2704"/>
      <c r="AC703" s="599"/>
      <c r="AD703" s="599"/>
      <c r="AE703" s="599"/>
      <c r="AF703" s="599"/>
    </row>
    <row r="704" spans="1:32" s="597" customFormat="1" ht="14.1" customHeight="1" x14ac:dyDescent="0.2">
      <c r="A704" s="2686" t="s">
        <v>2</v>
      </c>
      <c r="B704" s="360"/>
      <c r="C704" s="2686" t="s">
        <v>3</v>
      </c>
      <c r="D704" s="360"/>
      <c r="E704" s="360"/>
      <c r="F704" s="2693" t="s">
        <v>4</v>
      </c>
      <c r="G704" s="2693"/>
      <c r="H704" s="2693"/>
      <c r="I704" s="2694"/>
      <c r="J704" s="2694"/>
      <c r="K704" s="2695"/>
      <c r="L704" s="361"/>
      <c r="M704" s="2679" t="s">
        <v>5</v>
      </c>
      <c r="N704" s="2679"/>
      <c r="O704" s="2679"/>
      <c r="P704" s="2679"/>
      <c r="Q704" s="2696"/>
      <c r="R704" s="2696"/>
      <c r="S704" s="2696"/>
      <c r="T704" s="2696"/>
      <c r="U704" s="2696"/>
      <c r="V704" s="2697"/>
      <c r="W704" s="362" t="s">
        <v>6</v>
      </c>
      <c r="X704" s="363" t="s">
        <v>7</v>
      </c>
      <c r="Y704" s="364"/>
      <c r="Z704" s="364"/>
      <c r="AA704" s="363"/>
      <c r="AB704" s="365"/>
      <c r="AC704" s="516" t="s">
        <v>8</v>
      </c>
      <c r="AD704" s="346"/>
      <c r="AE704" s="346"/>
      <c r="AF704" s="600"/>
    </row>
    <row r="705" spans="1:32" s="597" customFormat="1" ht="14.1" customHeight="1" x14ac:dyDescent="0.2">
      <c r="A705" s="2687"/>
      <c r="B705" s="367"/>
      <c r="C705" s="2687"/>
      <c r="D705" s="2062" t="s">
        <v>9</v>
      </c>
      <c r="E705" s="368" t="s">
        <v>10</v>
      </c>
      <c r="F705" s="2698" t="s">
        <v>11</v>
      </c>
      <c r="G705" s="2694"/>
      <c r="H705" s="2695"/>
      <c r="I705" s="360"/>
      <c r="J705" s="369" t="s">
        <v>12</v>
      </c>
      <c r="K705" s="360"/>
      <c r="L705" s="2679" t="s">
        <v>2</v>
      </c>
      <c r="M705" s="2067"/>
      <c r="N705" s="2067"/>
      <c r="O705" s="2067"/>
      <c r="P705" s="371"/>
      <c r="Q705" s="372" t="s">
        <v>13</v>
      </c>
      <c r="R705" s="373" t="s">
        <v>12</v>
      </c>
      <c r="S705" s="2067" t="s">
        <v>6</v>
      </c>
      <c r="T705" s="2682" t="s">
        <v>14</v>
      </c>
      <c r="U705" s="2683"/>
      <c r="V705" s="375" t="s">
        <v>7</v>
      </c>
      <c r="W705" s="376" t="s">
        <v>15</v>
      </c>
      <c r="X705" s="377" t="s">
        <v>16</v>
      </c>
      <c r="Y705" s="377" t="s">
        <v>17</v>
      </c>
      <c r="Z705" s="377" t="s">
        <v>18</v>
      </c>
      <c r="AA705" s="377"/>
      <c r="AB705" s="378" t="s">
        <v>19</v>
      </c>
      <c r="AC705" s="528" t="s">
        <v>20</v>
      </c>
      <c r="AD705" s="601"/>
      <c r="AE705" s="347" t="s">
        <v>21</v>
      </c>
      <c r="AF705" s="340" t="s">
        <v>22</v>
      </c>
    </row>
    <row r="706" spans="1:32" s="597" customFormat="1" ht="14.1" customHeight="1" x14ac:dyDescent="0.2">
      <c r="A706" s="2687"/>
      <c r="B706" s="2062" t="s">
        <v>23</v>
      </c>
      <c r="C706" s="2687"/>
      <c r="D706" s="2062" t="s">
        <v>24</v>
      </c>
      <c r="E706" s="368" t="s">
        <v>25</v>
      </c>
      <c r="F706" s="2699"/>
      <c r="G706" s="2700"/>
      <c r="H706" s="2701"/>
      <c r="I706" s="2062" t="s">
        <v>26</v>
      </c>
      <c r="J706" s="379" t="s">
        <v>15</v>
      </c>
      <c r="K706" s="2066" t="s">
        <v>6</v>
      </c>
      <c r="L706" s="2680"/>
      <c r="M706" s="2068" t="s">
        <v>27</v>
      </c>
      <c r="N706" s="2068" t="s">
        <v>10</v>
      </c>
      <c r="O706" s="382" t="s">
        <v>10</v>
      </c>
      <c r="P706" s="383" t="s">
        <v>28</v>
      </c>
      <c r="Q706" s="384" t="s">
        <v>29</v>
      </c>
      <c r="R706" s="383" t="s">
        <v>15</v>
      </c>
      <c r="S706" s="385" t="s">
        <v>15</v>
      </c>
      <c r="T706" s="2684"/>
      <c r="U706" s="2685"/>
      <c r="V706" s="375" t="s">
        <v>30</v>
      </c>
      <c r="W706" s="376" t="s">
        <v>31</v>
      </c>
      <c r="X706" s="377" t="s">
        <v>30</v>
      </c>
      <c r="Y706" s="377" t="s">
        <v>32</v>
      </c>
      <c r="Z706" s="377" t="s">
        <v>7</v>
      </c>
      <c r="AA706" s="377" t="s">
        <v>33</v>
      </c>
      <c r="AB706" s="378" t="s">
        <v>34</v>
      </c>
      <c r="AC706" s="528" t="s">
        <v>35</v>
      </c>
      <c r="AD706" s="347" t="s">
        <v>36</v>
      </c>
      <c r="AE706" s="347" t="s">
        <v>37</v>
      </c>
      <c r="AF706" s="340" t="s">
        <v>38</v>
      </c>
    </row>
    <row r="707" spans="1:32" s="597" customFormat="1" ht="14.1" customHeight="1" x14ac:dyDescent="0.2">
      <c r="A707" s="2687"/>
      <c r="B707" s="2062" t="s">
        <v>39</v>
      </c>
      <c r="C707" s="2687"/>
      <c r="D707" s="2062" t="s">
        <v>40</v>
      </c>
      <c r="E707" s="368" t="s">
        <v>41</v>
      </c>
      <c r="F707" s="2686" t="s">
        <v>42</v>
      </c>
      <c r="G707" s="2686" t="s">
        <v>43</v>
      </c>
      <c r="H707" s="2688" t="s">
        <v>44</v>
      </c>
      <c r="I707" s="2062" t="s">
        <v>45</v>
      </c>
      <c r="J707" s="379" t="s">
        <v>46</v>
      </c>
      <c r="K707" s="2066" t="s">
        <v>47</v>
      </c>
      <c r="L707" s="2680"/>
      <c r="M707" s="2068" t="s">
        <v>30</v>
      </c>
      <c r="N707" s="2068" t="s">
        <v>30</v>
      </c>
      <c r="O707" s="382" t="s">
        <v>25</v>
      </c>
      <c r="P707" s="383" t="s">
        <v>30</v>
      </c>
      <c r="Q707" s="384" t="s">
        <v>48</v>
      </c>
      <c r="R707" s="383" t="s">
        <v>49</v>
      </c>
      <c r="S707" s="385" t="s">
        <v>30</v>
      </c>
      <c r="T707" s="386" t="s">
        <v>50</v>
      </c>
      <c r="U707" s="2065" t="s">
        <v>13</v>
      </c>
      <c r="V707" s="375" t="s">
        <v>51</v>
      </c>
      <c r="W707" s="376" t="s">
        <v>52</v>
      </c>
      <c r="X707" s="377" t="s">
        <v>53</v>
      </c>
      <c r="Y707" s="377" t="s">
        <v>54</v>
      </c>
      <c r="Z707" s="377" t="s">
        <v>55</v>
      </c>
      <c r="AA707" s="377" t="s">
        <v>56</v>
      </c>
      <c r="AB707" s="378" t="s">
        <v>57</v>
      </c>
      <c r="AC707" s="347" t="s">
        <v>58</v>
      </c>
      <c r="AD707" s="347" t="s">
        <v>59</v>
      </c>
      <c r="AE707" s="347" t="s">
        <v>59</v>
      </c>
      <c r="AF707" s="340" t="s">
        <v>60</v>
      </c>
    </row>
    <row r="708" spans="1:32" s="597" customFormat="1" ht="14.1" customHeight="1" x14ac:dyDescent="0.2">
      <c r="A708" s="2687"/>
      <c r="B708" s="2062" t="s">
        <v>61</v>
      </c>
      <c r="C708" s="2687"/>
      <c r="D708" s="2062" t="s">
        <v>62</v>
      </c>
      <c r="E708" s="368" t="s">
        <v>63</v>
      </c>
      <c r="F708" s="2687"/>
      <c r="G708" s="2687"/>
      <c r="H708" s="2689"/>
      <c r="I708" s="2062" t="s">
        <v>64</v>
      </c>
      <c r="J708" s="379" t="s">
        <v>59</v>
      </c>
      <c r="K708" s="2066" t="s">
        <v>59</v>
      </c>
      <c r="L708" s="2680"/>
      <c r="M708" s="2068"/>
      <c r="N708" s="2068"/>
      <c r="O708" s="382" t="s">
        <v>41</v>
      </c>
      <c r="P708" s="383" t="s">
        <v>65</v>
      </c>
      <c r="Q708" s="384" t="s">
        <v>66</v>
      </c>
      <c r="R708" s="383" t="s">
        <v>67</v>
      </c>
      <c r="S708" s="385" t="s">
        <v>59</v>
      </c>
      <c r="T708" s="387" t="s">
        <v>68</v>
      </c>
      <c r="U708" s="375" t="s">
        <v>14</v>
      </c>
      <c r="V708" s="375" t="s">
        <v>14</v>
      </c>
      <c r="W708" s="376" t="s">
        <v>30</v>
      </c>
      <c r="X708" s="388" t="s">
        <v>69</v>
      </c>
      <c r="Y708" s="388" t="s">
        <v>70</v>
      </c>
      <c r="Z708" s="377" t="s">
        <v>71</v>
      </c>
      <c r="AA708" s="377" t="s">
        <v>72</v>
      </c>
      <c r="AB708" s="378" t="s">
        <v>59</v>
      </c>
      <c r="AC708" s="347" t="s">
        <v>59</v>
      </c>
      <c r="AD708" s="347"/>
      <c r="AE708" s="347"/>
      <c r="AF708" s="340" t="s">
        <v>59</v>
      </c>
    </row>
    <row r="709" spans="1:32" s="597" customFormat="1" ht="14.1" customHeight="1" x14ac:dyDescent="0.2">
      <c r="A709" s="2692"/>
      <c r="B709" s="390"/>
      <c r="C709" s="2692"/>
      <c r="D709" s="390"/>
      <c r="E709" s="2063"/>
      <c r="F709" s="390"/>
      <c r="G709" s="390"/>
      <c r="H709" s="391"/>
      <c r="I709" s="2063"/>
      <c r="J709" s="392"/>
      <c r="K709" s="393"/>
      <c r="L709" s="2681"/>
      <c r="M709" s="2069"/>
      <c r="N709" s="2069"/>
      <c r="O709" s="2069" t="s">
        <v>63</v>
      </c>
      <c r="P709" s="395"/>
      <c r="Q709" s="396" t="s">
        <v>72</v>
      </c>
      <c r="R709" s="397" t="s">
        <v>59</v>
      </c>
      <c r="S709" s="398"/>
      <c r="T709" s="397" t="s">
        <v>73</v>
      </c>
      <c r="U709" s="398" t="s">
        <v>59</v>
      </c>
      <c r="V709" s="399" t="s">
        <v>59</v>
      </c>
      <c r="W709" s="400" t="s">
        <v>59</v>
      </c>
      <c r="X709" s="401" t="s">
        <v>59</v>
      </c>
      <c r="Y709" s="401" t="s">
        <v>59</v>
      </c>
      <c r="Z709" s="401" t="s">
        <v>59</v>
      </c>
      <c r="AA709" s="402"/>
      <c r="AB709" s="403"/>
      <c r="AC709" s="348"/>
      <c r="AD709" s="348"/>
      <c r="AE709" s="348"/>
      <c r="AF709" s="341"/>
    </row>
    <row r="710" spans="1:32" s="597" customFormat="1" ht="18" customHeight="1" x14ac:dyDescent="0.25">
      <c r="A710" s="53">
        <v>1</v>
      </c>
      <c r="B710" s="333">
        <v>29859</v>
      </c>
      <c r="C710" s="41">
        <v>83</v>
      </c>
      <c r="D710" s="41" t="s">
        <v>93</v>
      </c>
      <c r="E710" s="41">
        <v>4</v>
      </c>
      <c r="F710" s="41">
        <v>0</v>
      </c>
      <c r="G710" s="41">
        <v>0</v>
      </c>
      <c r="H710" s="267">
        <v>99</v>
      </c>
      <c r="I710" s="18">
        <f>F710*400+G710*100+H710</f>
        <v>99</v>
      </c>
      <c r="J710" s="23">
        <v>280</v>
      </c>
      <c r="K710" s="39">
        <f>SUM(I710*J710)</f>
        <v>27720</v>
      </c>
      <c r="L710" s="45"/>
      <c r="M710" s="61"/>
      <c r="N710" s="50"/>
      <c r="O710" s="50"/>
      <c r="P710" s="19"/>
      <c r="Q710" s="62"/>
      <c r="R710" s="260"/>
      <c r="S710" s="18"/>
      <c r="T710" s="20"/>
      <c r="U710" s="47">
        <f>S710*T710/100</f>
        <v>0</v>
      </c>
      <c r="V710" s="47">
        <f>SUM(S710-U710)</f>
        <v>0</v>
      </c>
      <c r="W710" s="18">
        <f>K710+V710</f>
        <v>27720</v>
      </c>
      <c r="X710" s="47">
        <f>W710</f>
        <v>27720</v>
      </c>
      <c r="Y710" s="293">
        <v>0</v>
      </c>
      <c r="Z710" s="18">
        <f>X710-Y710</f>
        <v>27720</v>
      </c>
      <c r="AA710" s="264">
        <v>0.6</v>
      </c>
      <c r="AB710" s="465">
        <f>+Z710*AA710/100</f>
        <v>166.32</v>
      </c>
      <c r="AC710" s="602"/>
      <c r="AD710" s="603">
        <f>AB710-AC710</f>
        <v>166.32</v>
      </c>
      <c r="AE710" s="603">
        <f>IF(AD710&lt;=0,0,AD710*25/100)</f>
        <v>41.58</v>
      </c>
      <c r="AF710" s="603">
        <f>IF(AC710+AE710&gt;AB710,AB710,AC710+AE710)</f>
        <v>41.58</v>
      </c>
    </row>
    <row r="711" spans="1:32" s="597" customFormat="1" ht="18" customHeight="1" x14ac:dyDescent="0.2">
      <c r="A711" s="2070"/>
      <c r="B711" s="196"/>
      <c r="C711" s="196"/>
      <c r="D711" s="2070"/>
      <c r="E711" s="2070"/>
      <c r="F711" s="467"/>
      <c r="G711" s="61"/>
      <c r="H711" s="173"/>
      <c r="I711" s="244"/>
      <c r="J711" s="437"/>
      <c r="K711" s="178"/>
      <c r="L711" s="2070"/>
      <c r="M711" s="178"/>
      <c r="N711" s="178"/>
      <c r="O711" s="178"/>
      <c r="P711" s="178"/>
      <c r="Q711" s="2071"/>
      <c r="R711" s="178"/>
      <c r="S711" s="178"/>
      <c r="T711" s="178"/>
      <c r="U711" s="178"/>
      <c r="V711" s="178"/>
      <c r="W711" s="178"/>
      <c r="X711" s="470"/>
      <c r="Y711" s="245"/>
      <c r="Z711" s="748"/>
      <c r="AA711" s="246"/>
      <c r="AB711" s="744"/>
      <c r="AC711" s="603"/>
      <c r="AD711" s="603"/>
      <c r="AE711" s="603"/>
      <c r="AF711" s="603"/>
    </row>
    <row r="712" spans="1:32" s="597" customFormat="1" ht="18" customHeight="1" x14ac:dyDescent="0.2">
      <c r="A712" s="2070"/>
      <c r="B712" s="177"/>
      <c r="C712" s="177"/>
      <c r="D712" s="2070"/>
      <c r="E712" s="2070"/>
      <c r="F712" s="2070"/>
      <c r="G712" s="2070"/>
      <c r="H712" s="2076"/>
      <c r="I712" s="2072"/>
      <c r="J712" s="178"/>
      <c r="K712" s="2072"/>
      <c r="L712" s="2070"/>
      <c r="M712" s="2070"/>
      <c r="N712" s="2070"/>
      <c r="O712" s="2070"/>
      <c r="P712" s="2076"/>
      <c r="Q712" s="2071"/>
      <c r="R712" s="437"/>
      <c r="S712" s="2072"/>
      <c r="T712" s="179"/>
      <c r="U712" s="178"/>
      <c r="V712" s="2072"/>
      <c r="W712" s="2072"/>
      <c r="X712" s="470"/>
      <c r="Y712" s="470"/>
      <c r="Z712" s="471"/>
      <c r="AA712" s="764"/>
      <c r="AB712" s="466"/>
      <c r="AC712" s="350"/>
      <c r="AD712" s="350"/>
      <c r="AE712" s="350"/>
      <c r="AF712" s="350"/>
    </row>
    <row r="713" spans="1:32" s="597" customFormat="1" ht="18" customHeight="1" x14ac:dyDescent="0.2">
      <c r="A713" s="2070"/>
      <c r="B713" s="177"/>
      <c r="C713" s="177"/>
      <c r="D713" s="2070"/>
      <c r="E713" s="2070"/>
      <c r="F713" s="2070"/>
      <c r="G713" s="2070"/>
      <c r="H713" s="2076"/>
      <c r="I713" s="2072"/>
      <c r="J713" s="178"/>
      <c r="K713" s="2072"/>
      <c r="L713" s="2070"/>
      <c r="M713" s="2070"/>
      <c r="N713" s="2070"/>
      <c r="O713" s="2070"/>
      <c r="P713" s="2076"/>
      <c r="Q713" s="2071"/>
      <c r="R713" s="437"/>
      <c r="S713" s="2072"/>
      <c r="T713" s="179"/>
      <c r="U713" s="178"/>
      <c r="V713" s="2072"/>
      <c r="W713" s="2072"/>
      <c r="X713" s="470"/>
      <c r="Y713" s="470"/>
      <c r="Z713" s="471"/>
      <c r="AA713" s="764"/>
      <c r="AB713" s="466"/>
      <c r="AC713" s="350"/>
      <c r="AD713" s="350"/>
      <c r="AE713" s="350"/>
      <c r="AF713" s="350"/>
    </row>
    <row r="714" spans="1:32" s="597" customFormat="1" ht="18" customHeight="1" x14ac:dyDescent="0.2">
      <c r="A714" s="2070"/>
      <c r="B714" s="177"/>
      <c r="C714" s="177"/>
      <c r="D714" s="2070"/>
      <c r="E714" s="2070"/>
      <c r="F714" s="2070"/>
      <c r="G714" s="2070"/>
      <c r="H714" s="2076"/>
      <c r="I714" s="2072"/>
      <c r="J714" s="178"/>
      <c r="K714" s="2072"/>
      <c r="L714" s="2070"/>
      <c r="M714" s="2070"/>
      <c r="N714" s="2070"/>
      <c r="O714" s="2070"/>
      <c r="P714" s="2076"/>
      <c r="Q714" s="2071"/>
      <c r="R714" s="437"/>
      <c r="S714" s="2072"/>
      <c r="T714" s="179"/>
      <c r="U714" s="178"/>
      <c r="V714" s="2072"/>
      <c r="W714" s="2072"/>
      <c r="X714" s="470"/>
      <c r="Y714" s="470"/>
      <c r="Z714" s="471"/>
      <c r="AA714" s="764"/>
      <c r="AB714" s="466"/>
      <c r="AC714" s="350"/>
      <c r="AD714" s="350"/>
      <c r="AE714" s="350"/>
      <c r="AF714" s="350"/>
    </row>
    <row r="715" spans="1:32" s="597" customFormat="1" ht="18" customHeight="1" x14ac:dyDescent="0.2">
      <c r="A715" s="2070"/>
      <c r="B715" s="177"/>
      <c r="C715" s="177"/>
      <c r="D715" s="2070"/>
      <c r="E715" s="2070"/>
      <c r="F715" s="2070"/>
      <c r="G715" s="2070"/>
      <c r="H715" s="2076"/>
      <c r="I715" s="2072"/>
      <c r="J715" s="178"/>
      <c r="K715" s="2072"/>
      <c r="L715" s="2070"/>
      <c r="M715" s="2070"/>
      <c r="N715" s="2070"/>
      <c r="O715" s="2070"/>
      <c r="P715" s="2076"/>
      <c r="Q715" s="2071"/>
      <c r="R715" s="437"/>
      <c r="S715" s="2072"/>
      <c r="T715" s="179"/>
      <c r="U715" s="178"/>
      <c r="V715" s="2072"/>
      <c r="W715" s="2072"/>
      <c r="X715" s="470"/>
      <c r="Y715" s="470"/>
      <c r="Z715" s="471"/>
      <c r="AA715" s="764"/>
      <c r="AB715" s="466"/>
      <c r="AC715" s="350"/>
      <c r="AD715" s="350"/>
      <c r="AE715" s="350"/>
      <c r="AF715" s="350"/>
    </row>
    <row r="716" spans="1:32" s="597" customFormat="1" ht="18" customHeight="1" x14ac:dyDescent="0.2">
      <c r="A716" s="2070"/>
      <c r="B716" s="177"/>
      <c r="C716" s="177"/>
      <c r="D716" s="2070"/>
      <c r="E716" s="2070"/>
      <c r="F716" s="2070"/>
      <c r="G716" s="2070"/>
      <c r="H716" s="2076"/>
      <c r="I716" s="2072"/>
      <c r="J716" s="178"/>
      <c r="K716" s="2072"/>
      <c r="L716" s="2070"/>
      <c r="M716" s="2070"/>
      <c r="N716" s="2070"/>
      <c r="O716" s="2070"/>
      <c r="P716" s="2076"/>
      <c r="Q716" s="2071"/>
      <c r="R716" s="437"/>
      <c r="S716" s="2072"/>
      <c r="T716" s="179"/>
      <c r="U716" s="178"/>
      <c r="V716" s="2072"/>
      <c r="W716" s="2072"/>
      <c r="X716" s="470"/>
      <c r="Y716" s="470"/>
      <c r="Z716" s="471"/>
      <c r="AA716" s="764"/>
      <c r="AB716" s="466"/>
      <c r="AC716" s="350"/>
      <c r="AD716" s="350"/>
      <c r="AE716" s="350"/>
      <c r="AF716" s="350"/>
    </row>
    <row r="717" spans="1:32" s="597" customFormat="1" ht="18" customHeight="1" x14ac:dyDescent="0.2">
      <c r="A717" s="2070"/>
      <c r="B717" s="177"/>
      <c r="C717" s="177"/>
      <c r="D717" s="2070"/>
      <c r="E717" s="2070"/>
      <c r="F717" s="2070"/>
      <c r="G717" s="2070"/>
      <c r="H717" s="2076"/>
      <c r="I717" s="2072"/>
      <c r="J717" s="178"/>
      <c r="K717" s="2072"/>
      <c r="L717" s="2070"/>
      <c r="M717" s="2070"/>
      <c r="N717" s="2070"/>
      <c r="O717" s="2070"/>
      <c r="P717" s="2076"/>
      <c r="Q717" s="2071"/>
      <c r="R717" s="437"/>
      <c r="S717" s="2072"/>
      <c r="T717" s="179"/>
      <c r="U717" s="178"/>
      <c r="V717" s="2072"/>
      <c r="W717" s="2072"/>
      <c r="X717" s="470"/>
      <c r="Y717" s="470"/>
      <c r="Z717" s="471"/>
      <c r="AA717" s="764"/>
      <c r="AB717" s="466"/>
      <c r="AC717" s="350"/>
      <c r="AD717" s="350"/>
      <c r="AE717" s="350"/>
      <c r="AF717" s="350"/>
    </row>
    <row r="718" spans="1:32" s="597" customFormat="1" ht="18" customHeight="1" x14ac:dyDescent="0.2">
      <c r="A718" s="2070"/>
      <c r="B718" s="177"/>
      <c r="C718" s="177"/>
      <c r="D718" s="2070"/>
      <c r="E718" s="2070"/>
      <c r="F718" s="2070"/>
      <c r="G718" s="2070"/>
      <c r="H718" s="2076"/>
      <c r="I718" s="2072"/>
      <c r="J718" s="178"/>
      <c r="K718" s="2072"/>
      <c r="L718" s="2070"/>
      <c r="M718" s="2070"/>
      <c r="N718" s="2070"/>
      <c r="O718" s="2070"/>
      <c r="P718" s="2076"/>
      <c r="Q718" s="2071"/>
      <c r="R718" s="437"/>
      <c r="S718" s="2072"/>
      <c r="T718" s="179"/>
      <c r="U718" s="178"/>
      <c r="V718" s="2072"/>
      <c r="W718" s="2072"/>
      <c r="X718" s="470"/>
      <c r="Y718" s="470"/>
      <c r="Z718" s="471"/>
      <c r="AA718" s="764"/>
      <c r="AB718" s="466"/>
      <c r="AC718" s="350"/>
      <c r="AD718" s="350"/>
      <c r="AE718" s="350"/>
      <c r="AF718" s="350"/>
    </row>
    <row r="719" spans="1:32" s="597" customFormat="1" ht="18" customHeight="1" x14ac:dyDescent="0.2">
      <c r="A719" s="2070"/>
      <c r="B719" s="177"/>
      <c r="C719" s="177"/>
      <c r="D719" s="2070"/>
      <c r="E719" s="2070"/>
      <c r="F719" s="2070"/>
      <c r="G719" s="2070"/>
      <c r="H719" s="2076"/>
      <c r="I719" s="2072"/>
      <c r="J719" s="178"/>
      <c r="K719" s="2072"/>
      <c r="L719" s="2070"/>
      <c r="M719" s="2070"/>
      <c r="N719" s="2070"/>
      <c r="O719" s="2070"/>
      <c r="P719" s="2076"/>
      <c r="Q719" s="2071"/>
      <c r="R719" s="437"/>
      <c r="S719" s="2072"/>
      <c r="T719" s="179"/>
      <c r="U719" s="178"/>
      <c r="V719" s="2072"/>
      <c r="W719" s="2072"/>
      <c r="X719" s="470"/>
      <c r="Y719" s="470"/>
      <c r="Z719" s="471"/>
      <c r="AA719" s="764"/>
      <c r="AB719" s="466"/>
      <c r="AC719" s="350"/>
      <c r="AD719" s="350"/>
      <c r="AE719" s="350"/>
      <c r="AF719" s="350"/>
    </row>
    <row r="720" spans="1:32" s="597" customFormat="1" ht="18" customHeight="1" x14ac:dyDescent="0.2">
      <c r="A720" s="2070"/>
      <c r="B720" s="177"/>
      <c r="C720" s="177"/>
      <c r="D720" s="2070"/>
      <c r="E720" s="2070"/>
      <c r="F720" s="2070"/>
      <c r="G720" s="2070"/>
      <c r="H720" s="2076"/>
      <c r="I720" s="2072"/>
      <c r="J720" s="178"/>
      <c r="K720" s="2072"/>
      <c r="L720" s="2070"/>
      <c r="M720" s="2070"/>
      <c r="N720" s="2070"/>
      <c r="O720" s="2070"/>
      <c r="P720" s="2076"/>
      <c r="Q720" s="2071"/>
      <c r="R720" s="437"/>
      <c r="S720" s="2072"/>
      <c r="T720" s="179"/>
      <c r="U720" s="178"/>
      <c r="V720" s="2072"/>
      <c r="W720" s="2072"/>
      <c r="X720" s="470"/>
      <c r="Y720" s="470"/>
      <c r="Z720" s="471"/>
      <c r="AA720" s="764"/>
      <c r="AB720" s="466"/>
      <c r="AC720" s="350"/>
      <c r="AD720" s="350"/>
      <c r="AE720" s="350"/>
      <c r="AF720" s="350"/>
    </row>
    <row r="721" spans="1:32" s="597" customFormat="1" ht="18" customHeight="1" x14ac:dyDescent="0.2">
      <c r="A721" s="2070"/>
      <c r="B721" s="177"/>
      <c r="C721" s="177"/>
      <c r="D721" s="2070"/>
      <c r="E721" s="2070"/>
      <c r="F721" s="2070"/>
      <c r="G721" s="2070"/>
      <c r="H721" s="2076"/>
      <c r="I721" s="2072"/>
      <c r="J721" s="178"/>
      <c r="K721" s="2072"/>
      <c r="L721" s="2070"/>
      <c r="M721" s="2070"/>
      <c r="N721" s="2070"/>
      <c r="O721" s="2070"/>
      <c r="P721" s="2076"/>
      <c r="Q721" s="2071"/>
      <c r="R721" s="437"/>
      <c r="S721" s="2072"/>
      <c r="T721" s="179"/>
      <c r="U721" s="178"/>
      <c r="V721" s="2072"/>
      <c r="W721" s="2072"/>
      <c r="X721" s="470"/>
      <c r="Y721" s="470"/>
      <c r="Z721" s="471"/>
      <c r="AA721" s="764"/>
      <c r="AB721" s="466"/>
      <c r="AC721" s="350"/>
      <c r="AD721" s="350"/>
      <c r="AE721" s="350"/>
      <c r="AF721" s="350"/>
    </row>
    <row r="722" spans="1:32" s="597" customFormat="1" ht="18" customHeight="1" x14ac:dyDescent="0.2">
      <c r="A722" s="2070"/>
      <c r="B722" s="177"/>
      <c r="C722" s="177"/>
      <c r="D722" s="2070"/>
      <c r="E722" s="2070"/>
      <c r="F722" s="2070"/>
      <c r="G722" s="2070"/>
      <c r="H722" s="2076"/>
      <c r="I722" s="2072"/>
      <c r="J722" s="178"/>
      <c r="K722" s="2072"/>
      <c r="L722" s="2070"/>
      <c r="M722" s="2070"/>
      <c r="N722" s="2070"/>
      <c r="O722" s="2070"/>
      <c r="P722" s="2076"/>
      <c r="Q722" s="2071"/>
      <c r="R722" s="437"/>
      <c r="S722" s="2072"/>
      <c r="T722" s="179"/>
      <c r="U722" s="178"/>
      <c r="V722" s="2072"/>
      <c r="W722" s="2072"/>
      <c r="X722" s="470"/>
      <c r="Y722" s="470"/>
      <c r="Z722" s="471"/>
      <c r="AA722" s="764"/>
      <c r="AB722" s="466"/>
      <c r="AC722" s="350"/>
      <c r="AD722" s="350"/>
      <c r="AE722" s="350"/>
      <c r="AF722" s="350"/>
    </row>
    <row r="723" spans="1:32" s="597" customFormat="1" ht="18" customHeight="1" x14ac:dyDescent="0.2">
      <c r="A723" s="88"/>
      <c r="B723" s="180"/>
      <c r="C723" s="180"/>
      <c r="D723" s="88"/>
      <c r="E723" s="88"/>
      <c r="F723" s="88"/>
      <c r="G723" s="88"/>
      <c r="H723" s="120"/>
      <c r="I723" s="121"/>
      <c r="J723" s="181"/>
      <c r="K723" s="121"/>
      <c r="L723" s="88"/>
      <c r="M723" s="88"/>
      <c r="N723" s="88"/>
      <c r="O723" s="88"/>
      <c r="P723" s="88"/>
      <c r="Q723" s="129"/>
      <c r="R723" s="445"/>
      <c r="S723" s="121"/>
      <c r="T723" s="182"/>
      <c r="U723" s="181"/>
      <c r="V723" s="121"/>
      <c r="W723" s="121"/>
      <c r="X723" s="472"/>
      <c r="Y723" s="472"/>
      <c r="Z723" s="473"/>
      <c r="AA723" s="780"/>
      <c r="AB723" s="410"/>
      <c r="AC723" s="351"/>
      <c r="AD723" s="351"/>
      <c r="AE723" s="351"/>
      <c r="AF723" s="351"/>
    </row>
    <row r="724" spans="1:32" s="597" customFormat="1" ht="18" customHeight="1" x14ac:dyDescent="0.2">
      <c r="A724" s="1850"/>
      <c r="B724" s="1850"/>
      <c r="C724" s="1850"/>
      <c r="D724" s="1850"/>
      <c r="E724" s="1850"/>
      <c r="F724" s="1850"/>
      <c r="G724" s="1850"/>
      <c r="H724" s="1851"/>
      <c r="I724" s="1852"/>
      <c r="J724" s="1853"/>
      <c r="K724" s="1852"/>
      <c r="L724" s="1852"/>
      <c r="M724" s="1852"/>
      <c r="N724" s="1852"/>
      <c r="O724" s="1852"/>
      <c r="P724" s="1852"/>
      <c r="Q724" s="1852"/>
      <c r="R724" s="1854"/>
      <c r="S724" s="1852"/>
      <c r="T724" s="1855"/>
      <c r="U724" s="1853"/>
      <c r="V724" s="1852"/>
      <c r="W724" s="1852"/>
      <c r="X724" s="1856"/>
      <c r="Y724" s="1856"/>
      <c r="Z724" s="1857"/>
      <c r="AA724" s="2125"/>
      <c r="AB724" s="1847">
        <f>SUM(AB710:AB723)</f>
        <v>166.32</v>
      </c>
      <c r="AC724" s="1861"/>
      <c r="AD724" s="1861"/>
      <c r="AE724" s="1861"/>
      <c r="AF724" s="1861"/>
    </row>
    <row r="725" spans="1:32" s="597" customFormat="1" ht="14.1" customHeight="1" x14ac:dyDescent="0.2">
      <c r="A725" s="2690" t="s">
        <v>76</v>
      </c>
      <c r="B725" s="2690"/>
      <c r="C725" s="2691" t="s">
        <v>77</v>
      </c>
      <c r="D725" s="2691"/>
      <c r="E725" s="2691"/>
      <c r="F725" s="2691"/>
      <c r="G725" s="2691"/>
      <c r="H725" s="2691"/>
      <c r="I725" s="604" t="s">
        <v>78</v>
      </c>
      <c r="J725" s="604"/>
      <c r="K725" s="604"/>
      <c r="L725" s="604"/>
      <c r="M725" s="604"/>
      <c r="N725" s="604"/>
      <c r="AA725" s="767"/>
      <c r="AB725" s="598"/>
    </row>
    <row r="726" spans="1:32" s="597" customFormat="1" ht="14.1" customHeight="1" x14ac:dyDescent="0.2">
      <c r="A726" s="604"/>
      <c r="B726" s="605"/>
      <c r="C726" s="604"/>
      <c r="D726" s="604"/>
      <c r="E726" s="604"/>
      <c r="F726" s="604"/>
      <c r="G726" s="604"/>
      <c r="H726" s="604"/>
      <c r="I726" s="604" t="s">
        <v>79</v>
      </c>
      <c r="J726" s="604"/>
      <c r="K726" s="604"/>
      <c r="L726" s="604"/>
      <c r="M726" s="604"/>
      <c r="N726" s="604"/>
      <c r="AA726" s="767"/>
      <c r="AB726" s="598"/>
    </row>
    <row r="727" spans="1:32" s="597" customFormat="1" ht="14.1" customHeight="1" x14ac:dyDescent="0.2">
      <c r="A727" s="604"/>
      <c r="B727" s="605"/>
      <c r="C727" s="604"/>
      <c r="D727" s="604"/>
      <c r="E727" s="604"/>
      <c r="F727" s="604"/>
      <c r="G727" s="604"/>
      <c r="H727" s="604"/>
      <c r="I727" s="604" t="s">
        <v>80</v>
      </c>
      <c r="J727" s="604"/>
      <c r="K727" s="604"/>
      <c r="L727" s="604"/>
      <c r="M727" s="604"/>
      <c r="N727" s="604"/>
      <c r="AA727" s="767"/>
      <c r="AB727" s="598"/>
    </row>
    <row r="728" spans="1:32" s="597" customFormat="1" ht="14.1" customHeight="1" x14ac:dyDescent="0.2">
      <c r="A728" s="604"/>
      <c r="B728" s="605"/>
      <c r="C728" s="604"/>
      <c r="D728" s="604"/>
      <c r="E728" s="604"/>
      <c r="F728" s="604"/>
      <c r="G728" s="604"/>
      <c r="H728" s="604"/>
      <c r="I728" s="604" t="s">
        <v>81</v>
      </c>
      <c r="J728" s="604"/>
      <c r="K728" s="604"/>
      <c r="L728" s="604"/>
      <c r="M728" s="604"/>
      <c r="N728" s="604"/>
      <c r="AA728" s="767"/>
      <c r="AB728" s="598"/>
    </row>
    <row r="729" spans="1:32" s="597" customFormat="1" ht="14.1" customHeight="1" x14ac:dyDescent="0.2">
      <c r="A729" s="604"/>
      <c r="B729" s="605"/>
      <c r="C729" s="604"/>
      <c r="D729" s="604"/>
      <c r="E729" s="604"/>
      <c r="F729" s="604"/>
      <c r="G729" s="604"/>
      <c r="H729" s="604"/>
      <c r="I729" s="604" t="s">
        <v>88</v>
      </c>
      <c r="J729" s="604"/>
      <c r="K729" s="604"/>
      <c r="L729" s="604"/>
      <c r="M729" s="604"/>
      <c r="N729" s="604"/>
      <c r="AA729" s="767"/>
      <c r="AB729" s="598"/>
    </row>
    <row r="730" spans="1:32" s="597" customFormat="1" ht="18" customHeight="1" x14ac:dyDescent="0.2">
      <c r="A730" s="339"/>
      <c r="B730" s="339"/>
      <c r="C730" s="339"/>
      <c r="D730" s="339"/>
      <c r="E730" s="339"/>
      <c r="F730" s="339"/>
      <c r="G730" s="339"/>
      <c r="H730" s="339"/>
      <c r="I730" s="339"/>
      <c r="J730" s="339"/>
      <c r="K730" s="339"/>
      <c r="L730" s="339"/>
      <c r="M730" s="339"/>
      <c r="N730" s="339"/>
      <c r="O730" s="339"/>
      <c r="P730" s="339"/>
      <c r="Q730" s="339"/>
      <c r="R730" s="339"/>
      <c r="S730" s="339"/>
      <c r="T730" s="339"/>
      <c r="U730" s="339"/>
      <c r="V730" s="339"/>
      <c r="W730" s="339"/>
      <c r="X730" s="339"/>
      <c r="Y730" s="339"/>
      <c r="Z730" s="339"/>
      <c r="AA730" s="2702" t="s">
        <v>0</v>
      </c>
      <c r="AB730" s="2702"/>
      <c r="AC730" s="339"/>
      <c r="AD730" s="339"/>
      <c r="AE730" s="339"/>
      <c r="AF730" s="339"/>
    </row>
    <row r="731" spans="1:32" s="597" customFormat="1" ht="18" customHeight="1" x14ac:dyDescent="0.2">
      <c r="A731" s="2703" t="s">
        <v>1</v>
      </c>
      <c r="B731" s="2703"/>
      <c r="C731" s="2703"/>
      <c r="D731" s="2703"/>
      <c r="E731" s="2703"/>
      <c r="F731" s="2703"/>
      <c r="G731" s="2703"/>
      <c r="H731" s="2703"/>
      <c r="I731" s="2703"/>
      <c r="J731" s="2703"/>
      <c r="K731" s="2703"/>
      <c r="L731" s="2703"/>
      <c r="M731" s="2703"/>
      <c r="N731" s="2703"/>
      <c r="O731" s="2703"/>
      <c r="P731" s="2703"/>
      <c r="Q731" s="2703"/>
      <c r="R731" s="2703"/>
      <c r="S731" s="2703"/>
      <c r="T731" s="2703"/>
      <c r="U731" s="2703"/>
      <c r="V731" s="2703"/>
      <c r="W731" s="2703"/>
      <c r="X731" s="2703"/>
      <c r="Y731" s="2703"/>
      <c r="Z731" s="2703"/>
      <c r="AA731" s="2703"/>
      <c r="AB731" s="2703"/>
      <c r="AC731" s="344"/>
      <c r="AD731" s="344"/>
      <c r="AE731" s="344"/>
      <c r="AF731" s="344"/>
    </row>
    <row r="732" spans="1:32" s="597" customFormat="1" ht="18" customHeight="1" x14ac:dyDescent="0.2">
      <c r="A732" s="2704" t="s">
        <v>565</v>
      </c>
      <c r="B732" s="2704"/>
      <c r="C732" s="2704"/>
      <c r="D732" s="2704"/>
      <c r="E732" s="2704"/>
      <c r="F732" s="2704"/>
      <c r="G732" s="2704"/>
      <c r="H732" s="2704"/>
      <c r="I732" s="2704"/>
      <c r="J732" s="2704"/>
      <c r="K732" s="2704"/>
      <c r="L732" s="2704"/>
      <c r="M732" s="2704"/>
      <c r="N732" s="2704"/>
      <c r="O732" s="2704"/>
      <c r="P732" s="2704"/>
      <c r="Q732" s="2704"/>
      <c r="R732" s="2704"/>
      <c r="S732" s="2704"/>
      <c r="T732" s="2704"/>
      <c r="U732" s="2704"/>
      <c r="V732" s="2704"/>
      <c r="W732" s="2704"/>
      <c r="X732" s="2704"/>
      <c r="Y732" s="2704"/>
      <c r="Z732" s="2704"/>
      <c r="AA732" s="2704"/>
      <c r="AB732" s="2704"/>
      <c r="AC732" s="599"/>
      <c r="AD732" s="599"/>
      <c r="AE732" s="599"/>
      <c r="AF732" s="599"/>
    </row>
    <row r="733" spans="1:32" s="597" customFormat="1" ht="14.1" customHeight="1" x14ac:dyDescent="0.2">
      <c r="A733" s="2686" t="s">
        <v>2</v>
      </c>
      <c r="B733" s="360"/>
      <c r="C733" s="2686" t="s">
        <v>3</v>
      </c>
      <c r="D733" s="360"/>
      <c r="E733" s="360"/>
      <c r="F733" s="2693" t="s">
        <v>4</v>
      </c>
      <c r="G733" s="2693"/>
      <c r="H733" s="2693"/>
      <c r="I733" s="2694"/>
      <c r="J733" s="2694"/>
      <c r="K733" s="2695"/>
      <c r="L733" s="361"/>
      <c r="M733" s="2679" t="s">
        <v>5</v>
      </c>
      <c r="N733" s="2679"/>
      <c r="O733" s="2679"/>
      <c r="P733" s="2679"/>
      <c r="Q733" s="2696"/>
      <c r="R733" s="2696"/>
      <c r="S733" s="2696"/>
      <c r="T733" s="2696"/>
      <c r="U733" s="2696"/>
      <c r="V733" s="2697"/>
      <c r="W733" s="362" t="s">
        <v>6</v>
      </c>
      <c r="X733" s="363" t="s">
        <v>7</v>
      </c>
      <c r="Y733" s="364"/>
      <c r="Z733" s="364"/>
      <c r="AA733" s="363"/>
      <c r="AB733" s="365"/>
      <c r="AC733" s="516" t="s">
        <v>8</v>
      </c>
      <c r="AD733" s="346"/>
      <c r="AE733" s="346"/>
      <c r="AF733" s="600"/>
    </row>
    <row r="734" spans="1:32" s="597" customFormat="1" ht="14.1" customHeight="1" x14ac:dyDescent="0.2">
      <c r="A734" s="2687"/>
      <c r="B734" s="367"/>
      <c r="C734" s="2687"/>
      <c r="D734" s="2062" t="s">
        <v>9</v>
      </c>
      <c r="E734" s="368" t="s">
        <v>10</v>
      </c>
      <c r="F734" s="2698" t="s">
        <v>11</v>
      </c>
      <c r="G734" s="2694"/>
      <c r="H734" s="2695"/>
      <c r="I734" s="360"/>
      <c r="J734" s="369" t="s">
        <v>12</v>
      </c>
      <c r="K734" s="360"/>
      <c r="L734" s="2679" t="s">
        <v>2</v>
      </c>
      <c r="M734" s="2067"/>
      <c r="N734" s="2067"/>
      <c r="O734" s="2067"/>
      <c r="P734" s="371"/>
      <c r="Q734" s="372" t="s">
        <v>13</v>
      </c>
      <c r="R734" s="373" t="s">
        <v>12</v>
      </c>
      <c r="S734" s="2067" t="s">
        <v>6</v>
      </c>
      <c r="T734" s="2682" t="s">
        <v>14</v>
      </c>
      <c r="U734" s="2683"/>
      <c r="V734" s="375" t="s">
        <v>7</v>
      </c>
      <c r="W734" s="376" t="s">
        <v>15</v>
      </c>
      <c r="X734" s="377" t="s">
        <v>16</v>
      </c>
      <c r="Y734" s="377" t="s">
        <v>17</v>
      </c>
      <c r="Z734" s="377" t="s">
        <v>18</v>
      </c>
      <c r="AA734" s="377"/>
      <c r="AB734" s="378" t="s">
        <v>19</v>
      </c>
      <c r="AC734" s="528" t="s">
        <v>20</v>
      </c>
      <c r="AD734" s="601"/>
      <c r="AE734" s="347" t="s">
        <v>21</v>
      </c>
      <c r="AF734" s="340" t="s">
        <v>22</v>
      </c>
    </row>
    <row r="735" spans="1:32" s="597" customFormat="1" ht="14.1" customHeight="1" x14ac:dyDescent="0.2">
      <c r="A735" s="2687"/>
      <c r="B735" s="2062" t="s">
        <v>23</v>
      </c>
      <c r="C735" s="2687"/>
      <c r="D735" s="2062" t="s">
        <v>24</v>
      </c>
      <c r="E735" s="368" t="s">
        <v>25</v>
      </c>
      <c r="F735" s="2699"/>
      <c r="G735" s="2700"/>
      <c r="H735" s="2701"/>
      <c r="I735" s="2062" t="s">
        <v>26</v>
      </c>
      <c r="J735" s="379" t="s">
        <v>15</v>
      </c>
      <c r="K735" s="2066" t="s">
        <v>6</v>
      </c>
      <c r="L735" s="2680"/>
      <c r="M735" s="2068" t="s">
        <v>27</v>
      </c>
      <c r="N735" s="2068" t="s">
        <v>10</v>
      </c>
      <c r="O735" s="382" t="s">
        <v>10</v>
      </c>
      <c r="P735" s="383" t="s">
        <v>28</v>
      </c>
      <c r="Q735" s="384" t="s">
        <v>29</v>
      </c>
      <c r="R735" s="383" t="s">
        <v>15</v>
      </c>
      <c r="S735" s="385" t="s">
        <v>15</v>
      </c>
      <c r="T735" s="2684"/>
      <c r="U735" s="2685"/>
      <c r="V735" s="375" t="s">
        <v>30</v>
      </c>
      <c r="W735" s="376" t="s">
        <v>31</v>
      </c>
      <c r="X735" s="377" t="s">
        <v>30</v>
      </c>
      <c r="Y735" s="377" t="s">
        <v>32</v>
      </c>
      <c r="Z735" s="377" t="s">
        <v>7</v>
      </c>
      <c r="AA735" s="377" t="s">
        <v>33</v>
      </c>
      <c r="AB735" s="378" t="s">
        <v>34</v>
      </c>
      <c r="AC735" s="528" t="s">
        <v>35</v>
      </c>
      <c r="AD735" s="347" t="s">
        <v>36</v>
      </c>
      <c r="AE735" s="347" t="s">
        <v>37</v>
      </c>
      <c r="AF735" s="340" t="s">
        <v>38</v>
      </c>
    </row>
    <row r="736" spans="1:32" s="597" customFormat="1" ht="14.1" customHeight="1" x14ac:dyDescent="0.2">
      <c r="A736" s="2687"/>
      <c r="B736" s="2062" t="s">
        <v>39</v>
      </c>
      <c r="C736" s="2687"/>
      <c r="D736" s="2062" t="s">
        <v>40</v>
      </c>
      <c r="E736" s="368" t="s">
        <v>41</v>
      </c>
      <c r="F736" s="2686" t="s">
        <v>42</v>
      </c>
      <c r="G736" s="2686" t="s">
        <v>43</v>
      </c>
      <c r="H736" s="2688" t="s">
        <v>44</v>
      </c>
      <c r="I736" s="2062" t="s">
        <v>45</v>
      </c>
      <c r="J736" s="379" t="s">
        <v>46</v>
      </c>
      <c r="K736" s="2066" t="s">
        <v>47</v>
      </c>
      <c r="L736" s="2680"/>
      <c r="M736" s="2068" t="s">
        <v>30</v>
      </c>
      <c r="N736" s="2068" t="s">
        <v>30</v>
      </c>
      <c r="O736" s="382" t="s">
        <v>25</v>
      </c>
      <c r="P736" s="383" t="s">
        <v>30</v>
      </c>
      <c r="Q736" s="384" t="s">
        <v>48</v>
      </c>
      <c r="R736" s="383" t="s">
        <v>49</v>
      </c>
      <c r="S736" s="385" t="s">
        <v>30</v>
      </c>
      <c r="T736" s="386" t="s">
        <v>50</v>
      </c>
      <c r="U736" s="2065" t="s">
        <v>13</v>
      </c>
      <c r="V736" s="375" t="s">
        <v>51</v>
      </c>
      <c r="W736" s="376" t="s">
        <v>52</v>
      </c>
      <c r="X736" s="377" t="s">
        <v>53</v>
      </c>
      <c r="Y736" s="377" t="s">
        <v>54</v>
      </c>
      <c r="Z736" s="377" t="s">
        <v>55</v>
      </c>
      <c r="AA736" s="377" t="s">
        <v>56</v>
      </c>
      <c r="AB736" s="378" t="s">
        <v>57</v>
      </c>
      <c r="AC736" s="347" t="s">
        <v>58</v>
      </c>
      <c r="AD736" s="347" t="s">
        <v>59</v>
      </c>
      <c r="AE736" s="347" t="s">
        <v>59</v>
      </c>
      <c r="AF736" s="340" t="s">
        <v>60</v>
      </c>
    </row>
    <row r="737" spans="1:33" s="597" customFormat="1" ht="14.1" customHeight="1" x14ac:dyDescent="0.2">
      <c r="A737" s="2687"/>
      <c r="B737" s="2062" t="s">
        <v>61</v>
      </c>
      <c r="C737" s="2687"/>
      <c r="D737" s="2062" t="s">
        <v>62</v>
      </c>
      <c r="E737" s="368" t="s">
        <v>63</v>
      </c>
      <c r="F737" s="2687"/>
      <c r="G737" s="2687"/>
      <c r="H737" s="2689"/>
      <c r="I737" s="2062" t="s">
        <v>64</v>
      </c>
      <c r="J737" s="379" t="s">
        <v>59</v>
      </c>
      <c r="K737" s="2066" t="s">
        <v>59</v>
      </c>
      <c r="L737" s="2680"/>
      <c r="M737" s="2068"/>
      <c r="N737" s="2068"/>
      <c r="O737" s="382" t="s">
        <v>41</v>
      </c>
      <c r="P737" s="383" t="s">
        <v>65</v>
      </c>
      <c r="Q737" s="384" t="s">
        <v>66</v>
      </c>
      <c r="R737" s="383" t="s">
        <v>67</v>
      </c>
      <c r="S737" s="385" t="s">
        <v>59</v>
      </c>
      <c r="T737" s="387" t="s">
        <v>68</v>
      </c>
      <c r="U737" s="375" t="s">
        <v>14</v>
      </c>
      <c r="V737" s="375" t="s">
        <v>14</v>
      </c>
      <c r="W737" s="376" t="s">
        <v>30</v>
      </c>
      <c r="X737" s="388" t="s">
        <v>69</v>
      </c>
      <c r="Y737" s="388" t="s">
        <v>70</v>
      </c>
      <c r="Z737" s="377" t="s">
        <v>71</v>
      </c>
      <c r="AA737" s="377" t="s">
        <v>72</v>
      </c>
      <c r="AB737" s="378" t="s">
        <v>59</v>
      </c>
      <c r="AC737" s="347" t="s">
        <v>59</v>
      </c>
      <c r="AD737" s="347"/>
      <c r="AE737" s="347"/>
      <c r="AF737" s="340" t="s">
        <v>59</v>
      </c>
    </row>
    <row r="738" spans="1:33" s="597" customFormat="1" ht="14.1" customHeight="1" x14ac:dyDescent="0.2">
      <c r="A738" s="2692"/>
      <c r="B738" s="390"/>
      <c r="C738" s="2692"/>
      <c r="D738" s="390"/>
      <c r="E738" s="2063"/>
      <c r="F738" s="390"/>
      <c r="G738" s="390"/>
      <c r="H738" s="391"/>
      <c r="I738" s="2063"/>
      <c r="J738" s="392"/>
      <c r="K738" s="393"/>
      <c r="L738" s="2681"/>
      <c r="M738" s="2069"/>
      <c r="N738" s="2069"/>
      <c r="O738" s="2069" t="s">
        <v>63</v>
      </c>
      <c r="P738" s="395"/>
      <c r="Q738" s="396" t="s">
        <v>72</v>
      </c>
      <c r="R738" s="397" t="s">
        <v>59</v>
      </c>
      <c r="S738" s="398"/>
      <c r="T738" s="397" t="s">
        <v>73</v>
      </c>
      <c r="U738" s="398" t="s">
        <v>59</v>
      </c>
      <c r="V738" s="399" t="s">
        <v>59</v>
      </c>
      <c r="W738" s="400" t="s">
        <v>59</v>
      </c>
      <c r="X738" s="401" t="s">
        <v>59</v>
      </c>
      <c r="Y738" s="401" t="s">
        <v>59</v>
      </c>
      <c r="Z738" s="401" t="s">
        <v>59</v>
      </c>
      <c r="AA738" s="402"/>
      <c r="AB738" s="403"/>
      <c r="AC738" s="348"/>
      <c r="AD738" s="348"/>
      <c r="AE738" s="348"/>
      <c r="AF738" s="341"/>
    </row>
    <row r="739" spans="1:33" s="597" customFormat="1" ht="18" customHeight="1" x14ac:dyDescent="0.25">
      <c r="A739" s="53">
        <v>1</v>
      </c>
      <c r="B739" s="333">
        <v>50623</v>
      </c>
      <c r="C739" s="41">
        <v>1940</v>
      </c>
      <c r="D739" s="41" t="s">
        <v>83</v>
      </c>
      <c r="E739" s="41">
        <v>4</v>
      </c>
      <c r="F739" s="41">
        <v>0</v>
      </c>
      <c r="G739" s="41">
        <v>2</v>
      </c>
      <c r="H739" s="267">
        <v>34.5</v>
      </c>
      <c r="I739" s="18">
        <f t="shared" ref="I739:I742" si="35">F739*400+G739*100+H739</f>
        <v>234.5</v>
      </c>
      <c r="J739" s="23">
        <v>430</v>
      </c>
      <c r="K739" s="39">
        <f t="shared" ref="K739:K742" si="36">SUM(I739*J739)</f>
        <v>100835</v>
      </c>
      <c r="L739" s="45"/>
      <c r="M739" s="61"/>
      <c r="N739" s="50"/>
      <c r="O739" s="50"/>
      <c r="P739" s="19"/>
      <c r="Q739" s="62"/>
      <c r="R739" s="260"/>
      <c r="S739" s="18"/>
      <c r="T739" s="20"/>
      <c r="U739" s="47">
        <f>S739*T739/100</f>
        <v>0</v>
      </c>
      <c r="V739" s="47">
        <f>SUM(S739-U739)</f>
        <v>0</v>
      </c>
      <c r="W739" s="18">
        <f t="shared" ref="W739:W742" si="37">K739+V739</f>
        <v>100835</v>
      </c>
      <c r="X739" s="47">
        <f t="shared" ref="X739:X742" si="38">W739</f>
        <v>100835</v>
      </c>
      <c r="Y739" s="293">
        <v>0</v>
      </c>
      <c r="Z739" s="18">
        <f t="shared" ref="Z739:Z742" si="39">X739-Y739</f>
        <v>100835</v>
      </c>
      <c r="AA739" s="264">
        <v>0.6</v>
      </c>
      <c r="AB739" s="406">
        <f>+Z739*AA739/100</f>
        <v>605.01</v>
      </c>
      <c r="AC739" s="602"/>
      <c r="AD739" s="603">
        <f>AB739-AC739</f>
        <v>605.01</v>
      </c>
      <c r="AE739" s="603">
        <f>IF(AD739&lt;=0,0,AD739*25/100)</f>
        <v>151.2525</v>
      </c>
      <c r="AF739" s="603">
        <f>IF(AC739+AE739&gt;AB739,AB739,AC739+AE739)</f>
        <v>151.2525</v>
      </c>
      <c r="AG739" s="1386">
        <f>Z739*0.6/100</f>
        <v>605.01</v>
      </c>
    </row>
    <row r="740" spans="1:33" s="597" customFormat="1" ht="18" customHeight="1" x14ac:dyDescent="0.25">
      <c r="A740" s="75">
        <v>2</v>
      </c>
      <c r="B740" s="287">
        <v>72905</v>
      </c>
      <c r="C740" s="796">
        <v>1598</v>
      </c>
      <c r="D740" s="27" t="s">
        <v>83</v>
      </c>
      <c r="E740" s="15">
        <v>4</v>
      </c>
      <c r="F740" s="15">
        <v>0</v>
      </c>
      <c r="G740" s="15">
        <v>3</v>
      </c>
      <c r="H740" s="284">
        <v>98.3</v>
      </c>
      <c r="I740" s="18">
        <f t="shared" si="35"/>
        <v>398.3</v>
      </c>
      <c r="J740" s="23">
        <v>430</v>
      </c>
      <c r="K740" s="39">
        <f t="shared" si="36"/>
        <v>171269</v>
      </c>
      <c r="L740" s="45"/>
      <c r="M740" s="61"/>
      <c r="N740" s="50"/>
      <c r="O740" s="50"/>
      <c r="P740" s="19"/>
      <c r="Q740" s="62"/>
      <c r="R740" s="260"/>
      <c r="S740" s="18"/>
      <c r="T740" s="20"/>
      <c r="U740" s="47"/>
      <c r="V740" s="47"/>
      <c r="W740" s="18">
        <f t="shared" si="37"/>
        <v>171269</v>
      </c>
      <c r="X740" s="47">
        <f t="shared" si="38"/>
        <v>171269</v>
      </c>
      <c r="Y740" s="293">
        <v>0</v>
      </c>
      <c r="Z740" s="18">
        <f t="shared" si="39"/>
        <v>171269</v>
      </c>
      <c r="AA740" s="264">
        <v>0.3</v>
      </c>
      <c r="AB740" s="415">
        <f t="shared" ref="AB740:AB742" si="40">+Z740*AA740/100</f>
        <v>513.80700000000002</v>
      </c>
      <c r="AC740" s="350"/>
      <c r="AD740" s="350"/>
      <c r="AE740" s="350"/>
      <c r="AF740" s="350"/>
    </row>
    <row r="741" spans="1:33" s="597" customFormat="1" ht="18" customHeight="1" x14ac:dyDescent="0.25">
      <c r="A741" s="88">
        <v>3</v>
      </c>
      <c r="B741" s="273">
        <v>72902</v>
      </c>
      <c r="C741" s="1084" t="s">
        <v>259</v>
      </c>
      <c r="D741" s="27" t="s">
        <v>83</v>
      </c>
      <c r="E741" s="273">
        <v>4</v>
      </c>
      <c r="F741" s="268">
        <v>1</v>
      </c>
      <c r="G741" s="269">
        <v>0</v>
      </c>
      <c r="H741" s="266">
        <v>33.5</v>
      </c>
      <c r="I741" s="18">
        <f t="shared" si="35"/>
        <v>433.5</v>
      </c>
      <c r="J741" s="23">
        <v>430</v>
      </c>
      <c r="K741" s="262">
        <f t="shared" si="36"/>
        <v>186405</v>
      </c>
      <c r="L741" s="269"/>
      <c r="M741" s="242"/>
      <c r="N741" s="269"/>
      <c r="O741" s="269"/>
      <c r="P741" s="266"/>
      <c r="Q741" s="285"/>
      <c r="R741" s="436"/>
      <c r="S741" s="282"/>
      <c r="T741" s="286"/>
      <c r="U741" s="282"/>
      <c r="V741" s="282"/>
      <c r="W741" s="18">
        <f t="shared" si="37"/>
        <v>186405</v>
      </c>
      <c r="X741" s="47">
        <f t="shared" si="38"/>
        <v>186405</v>
      </c>
      <c r="Y741" s="293">
        <v>0</v>
      </c>
      <c r="Z741" s="18">
        <f t="shared" si="39"/>
        <v>186405</v>
      </c>
      <c r="AA741" s="264">
        <v>0.3</v>
      </c>
      <c r="AB741" s="415">
        <f t="shared" si="40"/>
        <v>559.21500000000003</v>
      </c>
      <c r="AC741" s="350"/>
      <c r="AD741" s="350"/>
      <c r="AE741" s="350"/>
      <c r="AF741" s="350"/>
    </row>
    <row r="742" spans="1:33" s="597" customFormat="1" ht="18" customHeight="1" x14ac:dyDescent="0.25">
      <c r="A742" s="61">
        <v>4</v>
      </c>
      <c r="B742" s="273">
        <v>72903</v>
      </c>
      <c r="C742" s="804">
        <v>1596</v>
      </c>
      <c r="D742" s="27" t="s">
        <v>83</v>
      </c>
      <c r="E742" s="273">
        <v>4</v>
      </c>
      <c r="F742" s="268">
        <v>1</v>
      </c>
      <c r="G742" s="269">
        <v>0</v>
      </c>
      <c r="H742" s="266">
        <v>36.1</v>
      </c>
      <c r="I742" s="18">
        <f t="shared" si="35"/>
        <v>436.1</v>
      </c>
      <c r="J742" s="23">
        <v>430</v>
      </c>
      <c r="K742" s="262">
        <f t="shared" si="36"/>
        <v>187523</v>
      </c>
      <c r="L742" s="269"/>
      <c r="M742" s="242"/>
      <c r="N742" s="269"/>
      <c r="O742" s="269"/>
      <c r="P742" s="266"/>
      <c r="Q742" s="285"/>
      <c r="R742" s="436"/>
      <c r="S742" s="282"/>
      <c r="T742" s="286"/>
      <c r="U742" s="282"/>
      <c r="V742" s="282"/>
      <c r="W742" s="18">
        <f t="shared" si="37"/>
        <v>187523</v>
      </c>
      <c r="X742" s="47">
        <f t="shared" si="38"/>
        <v>187523</v>
      </c>
      <c r="Y742" s="293">
        <v>0</v>
      </c>
      <c r="Z742" s="18">
        <f t="shared" si="39"/>
        <v>187523</v>
      </c>
      <c r="AA742" s="264">
        <v>0.3</v>
      </c>
      <c r="AB742" s="415">
        <f t="shared" si="40"/>
        <v>562.56899999999996</v>
      </c>
      <c r="AC742" s="350"/>
      <c r="AD742" s="350"/>
      <c r="AE742" s="350"/>
      <c r="AF742" s="350"/>
    </row>
    <row r="743" spans="1:33" s="597" customFormat="1" ht="18" customHeight="1" x14ac:dyDescent="0.25">
      <c r="A743" s="61"/>
      <c r="B743" s="273"/>
      <c r="C743" s="804"/>
      <c r="D743" s="27"/>
      <c r="E743" s="15"/>
      <c r="F743" s="15"/>
      <c r="G743" s="15"/>
      <c r="H743" s="284"/>
      <c r="I743" s="18"/>
      <c r="J743" s="23"/>
      <c r="K743" s="39"/>
      <c r="L743" s="45"/>
      <c r="M743" s="61"/>
      <c r="N743" s="50"/>
      <c r="O743" s="50"/>
      <c r="P743" s="19"/>
      <c r="Q743" s="62"/>
      <c r="R743" s="260"/>
      <c r="S743" s="18"/>
      <c r="T743" s="20"/>
      <c r="U743" s="47"/>
      <c r="V743" s="47"/>
      <c r="W743" s="18"/>
      <c r="X743" s="47"/>
      <c r="Y743" s="293"/>
      <c r="Z743" s="18"/>
      <c r="AA743" s="264"/>
      <c r="AB743" s="415"/>
      <c r="AC743" s="350"/>
      <c r="AD743" s="350"/>
      <c r="AE743" s="350"/>
      <c r="AF743" s="350"/>
    </row>
    <row r="744" spans="1:33" s="597" customFormat="1" ht="18" customHeight="1" x14ac:dyDescent="0.25">
      <c r="A744" s="2070"/>
      <c r="B744" s="270"/>
      <c r="C744" s="285"/>
      <c r="D744" s="27"/>
      <c r="E744" s="273"/>
      <c r="F744" s="268"/>
      <c r="G744" s="269"/>
      <c r="H744" s="266"/>
      <c r="I744" s="18"/>
      <c r="J744" s="23"/>
      <c r="K744" s="262"/>
      <c r="L744" s="269"/>
      <c r="M744" s="242"/>
      <c r="N744" s="269"/>
      <c r="O744" s="269"/>
      <c r="P744" s="266"/>
      <c r="Q744" s="285"/>
      <c r="R744" s="436"/>
      <c r="S744" s="282"/>
      <c r="T744" s="286"/>
      <c r="U744" s="282"/>
      <c r="V744" s="282"/>
      <c r="W744" s="18"/>
      <c r="X744" s="47"/>
      <c r="Y744" s="293"/>
      <c r="Z744" s="18"/>
      <c r="AA744" s="264"/>
      <c r="AB744" s="415"/>
      <c r="AC744" s="350"/>
      <c r="AD744" s="350"/>
      <c r="AE744" s="350"/>
      <c r="AF744" s="350"/>
    </row>
    <row r="745" spans="1:33" s="597" customFormat="1" ht="18" customHeight="1" x14ac:dyDescent="0.25">
      <c r="A745" s="2070"/>
      <c r="B745" s="270"/>
      <c r="C745" s="796"/>
      <c r="D745" s="27"/>
      <c r="E745" s="273"/>
      <c r="F745" s="268"/>
      <c r="G745" s="269"/>
      <c r="H745" s="266"/>
      <c r="I745" s="18"/>
      <c r="J745" s="23"/>
      <c r="K745" s="262"/>
      <c r="L745" s="269"/>
      <c r="M745" s="242"/>
      <c r="N745" s="269"/>
      <c r="O745" s="269"/>
      <c r="P745" s="266"/>
      <c r="Q745" s="285"/>
      <c r="R745" s="436"/>
      <c r="S745" s="282"/>
      <c r="T745" s="286"/>
      <c r="U745" s="282"/>
      <c r="V745" s="282"/>
      <c r="W745" s="18"/>
      <c r="X745" s="47"/>
      <c r="Y745" s="293"/>
      <c r="Z745" s="18"/>
      <c r="AA745" s="264"/>
      <c r="AB745" s="415"/>
      <c r="AC745" s="350"/>
      <c r="AD745" s="350"/>
      <c r="AE745" s="350"/>
      <c r="AF745" s="350"/>
    </row>
    <row r="746" spans="1:33" s="597" customFormat="1" ht="18" customHeight="1" x14ac:dyDescent="0.25">
      <c r="A746" s="2070"/>
      <c r="B746" s="269"/>
      <c r="C746" s="285"/>
      <c r="D746" s="27"/>
      <c r="E746" s="273"/>
      <c r="F746" s="268"/>
      <c r="G746" s="269"/>
      <c r="H746" s="266"/>
      <c r="I746" s="18"/>
      <c r="J746" s="23"/>
      <c r="K746" s="262"/>
      <c r="L746" s="269"/>
      <c r="M746" s="242"/>
      <c r="N746" s="269"/>
      <c r="O746" s="269"/>
      <c r="P746" s="266"/>
      <c r="Q746" s="285"/>
      <c r="R746" s="436"/>
      <c r="S746" s="282"/>
      <c r="T746" s="286"/>
      <c r="U746" s="282"/>
      <c r="V746" s="282"/>
      <c r="W746" s="18"/>
      <c r="X746" s="47"/>
      <c r="Y746" s="293"/>
      <c r="Z746" s="18"/>
      <c r="AA746" s="264"/>
      <c r="AB746" s="415"/>
      <c r="AC746" s="350"/>
      <c r="AD746" s="350"/>
      <c r="AE746" s="350"/>
      <c r="AF746" s="350"/>
    </row>
    <row r="747" spans="1:33" s="597" customFormat="1" ht="18" customHeight="1" x14ac:dyDescent="0.2">
      <c r="A747" s="2070"/>
      <c r="B747" s="177"/>
      <c r="C747" s="177"/>
      <c r="D747" s="2070"/>
      <c r="E747" s="2070"/>
      <c r="F747" s="2070"/>
      <c r="G747" s="2070"/>
      <c r="H747" s="2076"/>
      <c r="I747" s="2072"/>
      <c r="J747" s="178"/>
      <c r="K747" s="2072"/>
      <c r="L747" s="2070"/>
      <c r="M747" s="2070"/>
      <c r="N747" s="2070"/>
      <c r="O747" s="2070"/>
      <c r="P747" s="2076"/>
      <c r="Q747" s="2071"/>
      <c r="R747" s="437"/>
      <c r="S747" s="2072"/>
      <c r="T747" s="179"/>
      <c r="U747" s="178"/>
      <c r="V747" s="2072"/>
      <c r="W747" s="2072"/>
      <c r="X747" s="470"/>
      <c r="Y747" s="470"/>
      <c r="Z747" s="471"/>
      <c r="AA747" s="764"/>
      <c r="AB747" s="466"/>
      <c r="AC747" s="350"/>
      <c r="AD747" s="350"/>
      <c r="AE747" s="350"/>
      <c r="AF747" s="350"/>
    </row>
    <row r="748" spans="1:33" s="597" customFormat="1" ht="18" customHeight="1" x14ac:dyDescent="0.2">
      <c r="A748" s="2070"/>
      <c r="B748" s="177"/>
      <c r="C748" s="177"/>
      <c r="D748" s="2070"/>
      <c r="E748" s="2070"/>
      <c r="F748" s="2070"/>
      <c r="G748" s="2070"/>
      <c r="H748" s="2076"/>
      <c r="I748" s="2072"/>
      <c r="J748" s="178"/>
      <c r="K748" s="2072"/>
      <c r="L748" s="2070"/>
      <c r="M748" s="2070"/>
      <c r="N748" s="2070"/>
      <c r="O748" s="2070"/>
      <c r="P748" s="2076"/>
      <c r="Q748" s="2071"/>
      <c r="R748" s="437"/>
      <c r="S748" s="2072"/>
      <c r="T748" s="179"/>
      <c r="U748" s="178"/>
      <c r="V748" s="2072"/>
      <c r="W748" s="2072"/>
      <c r="X748" s="470"/>
      <c r="Y748" s="470"/>
      <c r="Z748" s="471"/>
      <c r="AA748" s="764"/>
      <c r="AB748" s="466"/>
      <c r="AC748" s="350"/>
      <c r="AD748" s="350"/>
      <c r="AE748" s="350"/>
      <c r="AF748" s="350"/>
    </row>
    <row r="749" spans="1:33" s="597" customFormat="1" ht="18" customHeight="1" x14ac:dyDescent="0.2">
      <c r="A749" s="2070"/>
      <c r="B749" s="177"/>
      <c r="C749" s="177"/>
      <c r="D749" s="2070"/>
      <c r="E749" s="2070"/>
      <c r="F749" s="2070"/>
      <c r="G749" s="2070"/>
      <c r="H749" s="2076"/>
      <c r="I749" s="2072"/>
      <c r="J749" s="178"/>
      <c r="K749" s="2072"/>
      <c r="L749" s="2070"/>
      <c r="M749" s="2070"/>
      <c r="N749" s="2070"/>
      <c r="O749" s="2070"/>
      <c r="P749" s="2076"/>
      <c r="Q749" s="2071"/>
      <c r="R749" s="437"/>
      <c r="S749" s="2072"/>
      <c r="T749" s="179"/>
      <c r="U749" s="178"/>
      <c r="V749" s="2072"/>
      <c r="W749" s="2072"/>
      <c r="X749" s="470"/>
      <c r="Y749" s="470"/>
      <c r="Z749" s="471"/>
      <c r="AA749" s="764"/>
      <c r="AB749" s="466"/>
      <c r="AC749" s="350"/>
      <c r="AD749" s="350"/>
      <c r="AE749" s="350"/>
      <c r="AF749" s="350"/>
    </row>
    <row r="750" spans="1:33" s="597" customFormat="1" ht="18" customHeight="1" x14ac:dyDescent="0.2">
      <c r="A750" s="2070"/>
      <c r="B750" s="177"/>
      <c r="C750" s="177"/>
      <c r="D750" s="2070"/>
      <c r="E750" s="2070"/>
      <c r="F750" s="2070"/>
      <c r="G750" s="2070"/>
      <c r="H750" s="2076"/>
      <c r="I750" s="2072"/>
      <c r="J750" s="178"/>
      <c r="K750" s="2072"/>
      <c r="L750" s="2070"/>
      <c r="M750" s="2070"/>
      <c r="N750" s="2070"/>
      <c r="O750" s="2070"/>
      <c r="P750" s="2076"/>
      <c r="Q750" s="2071"/>
      <c r="R750" s="437"/>
      <c r="S750" s="2072"/>
      <c r="T750" s="179"/>
      <c r="U750" s="178"/>
      <c r="V750" s="2072"/>
      <c r="W750" s="2072"/>
      <c r="X750" s="470"/>
      <c r="Y750" s="470"/>
      <c r="Z750" s="471"/>
      <c r="AA750" s="764"/>
      <c r="AB750" s="466"/>
      <c r="AC750" s="350"/>
      <c r="AD750" s="350"/>
      <c r="AE750" s="350"/>
      <c r="AF750" s="350"/>
    </row>
    <row r="751" spans="1:33" s="597" customFormat="1" ht="18" customHeight="1" x14ac:dyDescent="0.2">
      <c r="A751" s="2070"/>
      <c r="B751" s="177"/>
      <c r="C751" s="177"/>
      <c r="D751" s="2070"/>
      <c r="E751" s="2070"/>
      <c r="F751" s="2070"/>
      <c r="G751" s="2070"/>
      <c r="H751" s="2076"/>
      <c r="I751" s="2072"/>
      <c r="J751" s="178"/>
      <c r="K751" s="2072"/>
      <c r="L751" s="2070"/>
      <c r="M751" s="2070"/>
      <c r="N751" s="2070"/>
      <c r="O751" s="2070"/>
      <c r="P751" s="2076"/>
      <c r="Q751" s="2071"/>
      <c r="R751" s="437"/>
      <c r="S751" s="2072"/>
      <c r="T751" s="179"/>
      <c r="U751" s="178"/>
      <c r="V751" s="2072"/>
      <c r="W751" s="2072"/>
      <c r="X751" s="470"/>
      <c r="Y751" s="470"/>
      <c r="Z751" s="471"/>
      <c r="AA751" s="764"/>
      <c r="AB751" s="466"/>
      <c r="AC751" s="350"/>
      <c r="AD751" s="350"/>
      <c r="AE751" s="350"/>
      <c r="AF751" s="350"/>
    </row>
    <row r="752" spans="1:33" s="597" customFormat="1" ht="18" customHeight="1" x14ac:dyDescent="0.2">
      <c r="A752" s="88"/>
      <c r="B752" s="180"/>
      <c r="C752" s="180"/>
      <c r="D752" s="88"/>
      <c r="E752" s="88"/>
      <c r="F752" s="88"/>
      <c r="G752" s="88"/>
      <c r="H752" s="120"/>
      <c r="I752" s="121"/>
      <c r="J752" s="181"/>
      <c r="K752" s="121"/>
      <c r="L752" s="88"/>
      <c r="M752" s="88"/>
      <c r="N752" s="88"/>
      <c r="O752" s="88"/>
      <c r="P752" s="88"/>
      <c r="Q752" s="129"/>
      <c r="R752" s="445"/>
      <c r="S752" s="121"/>
      <c r="T752" s="182"/>
      <c r="U752" s="181"/>
      <c r="V752" s="121"/>
      <c r="W752" s="121"/>
      <c r="X752" s="472"/>
      <c r="Y752" s="472"/>
      <c r="Z752" s="473"/>
      <c r="AA752" s="780"/>
      <c r="AB752" s="410"/>
      <c r="AC752" s="351"/>
      <c r="AD752" s="351"/>
      <c r="AE752" s="351"/>
      <c r="AF752" s="351"/>
    </row>
    <row r="753" spans="1:32" s="597" customFormat="1" ht="18" customHeight="1" x14ac:dyDescent="0.2">
      <c r="A753" s="1850"/>
      <c r="B753" s="1850"/>
      <c r="C753" s="1850"/>
      <c r="D753" s="1850"/>
      <c r="E753" s="1850"/>
      <c r="F753" s="1850"/>
      <c r="G753" s="1850"/>
      <c r="H753" s="1851"/>
      <c r="I753" s="1852"/>
      <c r="J753" s="1853"/>
      <c r="K753" s="1852"/>
      <c r="L753" s="1852"/>
      <c r="M753" s="1852"/>
      <c r="N753" s="1852"/>
      <c r="O753" s="1852"/>
      <c r="P753" s="1852"/>
      <c r="Q753" s="1852"/>
      <c r="R753" s="1854"/>
      <c r="S753" s="1852"/>
      <c r="T753" s="1855"/>
      <c r="U753" s="1853"/>
      <c r="V753" s="1852"/>
      <c r="W753" s="1852"/>
      <c r="X753" s="1856"/>
      <c r="Y753" s="1856"/>
      <c r="Z753" s="1857"/>
      <c r="AA753" s="2125"/>
      <c r="AB753" s="1847">
        <f>SUM(AB739:AB752)</f>
        <v>2240.6010000000001</v>
      </c>
      <c r="AC753" s="1861"/>
      <c r="AD753" s="1861"/>
      <c r="AE753" s="1861"/>
      <c r="AF753" s="1861"/>
    </row>
    <row r="754" spans="1:32" s="597" customFormat="1" ht="14.1" customHeight="1" x14ac:dyDescent="0.2">
      <c r="A754" s="2690" t="s">
        <v>76</v>
      </c>
      <c r="B754" s="2690"/>
      <c r="C754" s="2691" t="s">
        <v>77</v>
      </c>
      <c r="D754" s="2691"/>
      <c r="E754" s="2691"/>
      <c r="F754" s="2691"/>
      <c r="G754" s="2691"/>
      <c r="H754" s="2691"/>
      <c r="I754" s="604" t="s">
        <v>78</v>
      </c>
      <c r="J754" s="604"/>
      <c r="K754" s="604"/>
      <c r="L754" s="604"/>
      <c r="M754" s="604"/>
      <c r="N754" s="604"/>
      <c r="AA754" s="767"/>
      <c r="AB754" s="598"/>
    </row>
    <row r="755" spans="1:32" s="597" customFormat="1" ht="14.1" customHeight="1" x14ac:dyDescent="0.2">
      <c r="A755" s="604"/>
      <c r="B755" s="605"/>
      <c r="C755" s="604"/>
      <c r="D755" s="604"/>
      <c r="E755" s="604"/>
      <c r="F755" s="604"/>
      <c r="G755" s="604"/>
      <c r="H755" s="604"/>
      <c r="I755" s="604" t="s">
        <v>79</v>
      </c>
      <c r="J755" s="604"/>
      <c r="K755" s="604"/>
      <c r="L755" s="604"/>
      <c r="M755" s="604"/>
      <c r="N755" s="604"/>
      <c r="AA755" s="767"/>
      <c r="AB755" s="598"/>
    </row>
    <row r="756" spans="1:32" s="597" customFormat="1" ht="14.1" customHeight="1" x14ac:dyDescent="0.2">
      <c r="A756" s="604"/>
      <c r="B756" s="605"/>
      <c r="C756" s="604"/>
      <c r="D756" s="604"/>
      <c r="E756" s="604"/>
      <c r="F756" s="604"/>
      <c r="G756" s="604"/>
      <c r="H756" s="604"/>
      <c r="I756" s="604" t="s">
        <v>80</v>
      </c>
      <c r="J756" s="604"/>
      <c r="K756" s="604"/>
      <c r="L756" s="604"/>
      <c r="M756" s="604"/>
      <c r="N756" s="604"/>
      <c r="AA756" s="767"/>
      <c r="AB756" s="598"/>
    </row>
    <row r="757" spans="1:32" s="597" customFormat="1" ht="14.1" customHeight="1" x14ac:dyDescent="0.2">
      <c r="A757" s="604"/>
      <c r="B757" s="605"/>
      <c r="C757" s="604"/>
      <c r="D757" s="604"/>
      <c r="E757" s="604"/>
      <c r="F757" s="604"/>
      <c r="G757" s="604"/>
      <c r="H757" s="604"/>
      <c r="I757" s="604" t="s">
        <v>81</v>
      </c>
      <c r="J757" s="604"/>
      <c r="K757" s="604"/>
      <c r="L757" s="604"/>
      <c r="M757" s="604"/>
      <c r="N757" s="604"/>
      <c r="AA757" s="767"/>
      <c r="AB757" s="598"/>
    </row>
    <row r="758" spans="1:32" s="597" customFormat="1" ht="14.1" customHeight="1" x14ac:dyDescent="0.2">
      <c r="A758" s="604"/>
      <c r="B758" s="605"/>
      <c r="C758" s="604"/>
      <c r="D758" s="604"/>
      <c r="E758" s="604"/>
      <c r="F758" s="604"/>
      <c r="G758" s="604"/>
      <c r="H758" s="604"/>
      <c r="I758" s="604" t="s">
        <v>88</v>
      </c>
      <c r="J758" s="604"/>
      <c r="K758" s="604"/>
      <c r="L758" s="604"/>
      <c r="M758" s="604"/>
      <c r="N758" s="604"/>
      <c r="AA758" s="767"/>
      <c r="AB758" s="598"/>
    </row>
    <row r="759" spans="1:32" s="597" customFormat="1" ht="18" customHeight="1" x14ac:dyDescent="0.2">
      <c r="A759" s="339"/>
      <c r="B759" s="339"/>
      <c r="C759" s="339"/>
      <c r="D759" s="339"/>
      <c r="E759" s="339"/>
      <c r="F759" s="339"/>
      <c r="G759" s="339"/>
      <c r="H759" s="339"/>
      <c r="I759" s="339"/>
      <c r="J759" s="339"/>
      <c r="K759" s="339"/>
      <c r="L759" s="339"/>
      <c r="M759" s="339"/>
      <c r="N759" s="339"/>
      <c r="O759" s="339"/>
      <c r="P759" s="339"/>
      <c r="Q759" s="339"/>
      <c r="R759" s="339"/>
      <c r="S759" s="339"/>
      <c r="T759" s="339"/>
      <c r="U759" s="339"/>
      <c r="V759" s="339"/>
      <c r="W759" s="339"/>
      <c r="X759" s="339"/>
      <c r="Y759" s="339"/>
      <c r="Z759" s="339"/>
      <c r="AA759" s="2702" t="s">
        <v>0</v>
      </c>
      <c r="AB759" s="2702"/>
      <c r="AC759" s="339"/>
      <c r="AD759" s="339"/>
      <c r="AE759" s="339"/>
      <c r="AF759" s="339"/>
    </row>
    <row r="760" spans="1:32" s="597" customFormat="1" ht="18" customHeight="1" x14ac:dyDescent="0.2">
      <c r="A760" s="2703" t="s">
        <v>1</v>
      </c>
      <c r="B760" s="2703"/>
      <c r="C760" s="2703"/>
      <c r="D760" s="2703"/>
      <c r="E760" s="2703"/>
      <c r="F760" s="2703"/>
      <c r="G760" s="2703"/>
      <c r="H760" s="2703"/>
      <c r="I760" s="2703"/>
      <c r="J760" s="2703"/>
      <c r="K760" s="2703"/>
      <c r="L760" s="2703"/>
      <c r="M760" s="2703"/>
      <c r="N760" s="2703"/>
      <c r="O760" s="2703"/>
      <c r="P760" s="2703"/>
      <c r="Q760" s="2703"/>
      <c r="R760" s="2703"/>
      <c r="S760" s="2703"/>
      <c r="T760" s="2703"/>
      <c r="U760" s="2703"/>
      <c r="V760" s="2703"/>
      <c r="W760" s="2703"/>
      <c r="X760" s="2703"/>
      <c r="Y760" s="2703"/>
      <c r="Z760" s="2703"/>
      <c r="AA760" s="2703"/>
      <c r="AB760" s="2703"/>
      <c r="AC760" s="344"/>
      <c r="AD760" s="344"/>
      <c r="AE760" s="344"/>
      <c r="AF760" s="344"/>
    </row>
    <row r="761" spans="1:32" s="597" customFormat="1" ht="18" customHeight="1" x14ac:dyDescent="0.2">
      <c r="A761" s="2704" t="s">
        <v>566</v>
      </c>
      <c r="B761" s="2704"/>
      <c r="C761" s="2704"/>
      <c r="D761" s="2704"/>
      <c r="E761" s="2704"/>
      <c r="F761" s="2704"/>
      <c r="G761" s="2704"/>
      <c r="H761" s="2704"/>
      <c r="I761" s="2704"/>
      <c r="J761" s="2704"/>
      <c r="K761" s="2704"/>
      <c r="L761" s="2704"/>
      <c r="M761" s="2704"/>
      <c r="N761" s="2704"/>
      <c r="O761" s="2704"/>
      <c r="P761" s="2704"/>
      <c r="Q761" s="2704"/>
      <c r="R761" s="2704"/>
      <c r="S761" s="2704"/>
      <c r="T761" s="2704"/>
      <c r="U761" s="2704"/>
      <c r="V761" s="2704"/>
      <c r="W761" s="2704"/>
      <c r="X761" s="2704"/>
      <c r="Y761" s="2704"/>
      <c r="Z761" s="2704"/>
      <c r="AA761" s="2704"/>
      <c r="AB761" s="2704"/>
      <c r="AC761" s="599"/>
      <c r="AD761" s="599"/>
      <c r="AE761" s="599"/>
      <c r="AF761" s="599"/>
    </row>
    <row r="762" spans="1:32" s="597" customFormat="1" ht="14.1" customHeight="1" x14ac:dyDescent="0.2">
      <c r="A762" s="2686" t="s">
        <v>2</v>
      </c>
      <c r="B762" s="360"/>
      <c r="C762" s="2686" t="s">
        <v>3</v>
      </c>
      <c r="D762" s="360"/>
      <c r="E762" s="360"/>
      <c r="F762" s="2693" t="s">
        <v>4</v>
      </c>
      <c r="G762" s="2693"/>
      <c r="H762" s="2693"/>
      <c r="I762" s="2694"/>
      <c r="J762" s="2694"/>
      <c r="K762" s="2695"/>
      <c r="L762" s="361"/>
      <c r="M762" s="2679" t="s">
        <v>5</v>
      </c>
      <c r="N762" s="2679"/>
      <c r="O762" s="2679"/>
      <c r="P762" s="2679"/>
      <c r="Q762" s="2696"/>
      <c r="R762" s="2696"/>
      <c r="S762" s="2696"/>
      <c r="T762" s="2696"/>
      <c r="U762" s="2696"/>
      <c r="V762" s="2697"/>
      <c r="W762" s="362" t="s">
        <v>6</v>
      </c>
      <c r="X762" s="363" t="s">
        <v>7</v>
      </c>
      <c r="Y762" s="364"/>
      <c r="Z762" s="364"/>
      <c r="AA762" s="363"/>
      <c r="AB762" s="365"/>
      <c r="AC762" s="516" t="s">
        <v>8</v>
      </c>
      <c r="AD762" s="346"/>
      <c r="AE762" s="346"/>
      <c r="AF762" s="600"/>
    </row>
    <row r="763" spans="1:32" s="597" customFormat="1" ht="14.1" customHeight="1" x14ac:dyDescent="0.2">
      <c r="A763" s="2687"/>
      <c r="B763" s="367"/>
      <c r="C763" s="2687"/>
      <c r="D763" s="2062" t="s">
        <v>9</v>
      </c>
      <c r="E763" s="368" t="s">
        <v>10</v>
      </c>
      <c r="F763" s="2698" t="s">
        <v>11</v>
      </c>
      <c r="G763" s="2694"/>
      <c r="H763" s="2695"/>
      <c r="I763" s="360"/>
      <c r="J763" s="369" t="s">
        <v>12</v>
      </c>
      <c r="K763" s="360"/>
      <c r="L763" s="2679" t="s">
        <v>2</v>
      </c>
      <c r="M763" s="2067"/>
      <c r="N763" s="2067"/>
      <c r="O763" s="2067"/>
      <c r="P763" s="371"/>
      <c r="Q763" s="372" t="s">
        <v>13</v>
      </c>
      <c r="R763" s="373" t="s">
        <v>12</v>
      </c>
      <c r="S763" s="2067" t="s">
        <v>6</v>
      </c>
      <c r="T763" s="2682" t="s">
        <v>14</v>
      </c>
      <c r="U763" s="2683"/>
      <c r="V763" s="375" t="s">
        <v>7</v>
      </c>
      <c r="W763" s="376" t="s">
        <v>15</v>
      </c>
      <c r="X763" s="377" t="s">
        <v>16</v>
      </c>
      <c r="Y763" s="377" t="s">
        <v>17</v>
      </c>
      <c r="Z763" s="377" t="s">
        <v>18</v>
      </c>
      <c r="AA763" s="377"/>
      <c r="AB763" s="378" t="s">
        <v>19</v>
      </c>
      <c r="AC763" s="528" t="s">
        <v>20</v>
      </c>
      <c r="AD763" s="601"/>
      <c r="AE763" s="347" t="s">
        <v>21</v>
      </c>
      <c r="AF763" s="340" t="s">
        <v>22</v>
      </c>
    </row>
    <row r="764" spans="1:32" s="597" customFormat="1" ht="14.1" customHeight="1" x14ac:dyDescent="0.2">
      <c r="A764" s="2687"/>
      <c r="B764" s="2062" t="s">
        <v>23</v>
      </c>
      <c r="C764" s="2687"/>
      <c r="D764" s="2062" t="s">
        <v>24</v>
      </c>
      <c r="E764" s="368" t="s">
        <v>25</v>
      </c>
      <c r="F764" s="2699"/>
      <c r="G764" s="2700"/>
      <c r="H764" s="2701"/>
      <c r="I764" s="2062" t="s">
        <v>26</v>
      </c>
      <c r="J764" s="379" t="s">
        <v>15</v>
      </c>
      <c r="K764" s="2066" t="s">
        <v>6</v>
      </c>
      <c r="L764" s="2680"/>
      <c r="M764" s="2068" t="s">
        <v>27</v>
      </c>
      <c r="N764" s="2068" t="s">
        <v>10</v>
      </c>
      <c r="O764" s="382" t="s">
        <v>10</v>
      </c>
      <c r="P764" s="383" t="s">
        <v>28</v>
      </c>
      <c r="Q764" s="384" t="s">
        <v>29</v>
      </c>
      <c r="R764" s="383" t="s">
        <v>15</v>
      </c>
      <c r="S764" s="385" t="s">
        <v>15</v>
      </c>
      <c r="T764" s="2684"/>
      <c r="U764" s="2685"/>
      <c r="V764" s="375" t="s">
        <v>30</v>
      </c>
      <c r="W764" s="376" t="s">
        <v>31</v>
      </c>
      <c r="X764" s="377" t="s">
        <v>30</v>
      </c>
      <c r="Y764" s="377" t="s">
        <v>32</v>
      </c>
      <c r="Z764" s="377" t="s">
        <v>7</v>
      </c>
      <c r="AA764" s="377" t="s">
        <v>33</v>
      </c>
      <c r="AB764" s="378" t="s">
        <v>34</v>
      </c>
      <c r="AC764" s="528" t="s">
        <v>35</v>
      </c>
      <c r="AD764" s="347" t="s">
        <v>36</v>
      </c>
      <c r="AE764" s="347" t="s">
        <v>37</v>
      </c>
      <c r="AF764" s="340" t="s">
        <v>38</v>
      </c>
    </row>
    <row r="765" spans="1:32" s="597" customFormat="1" ht="14.1" customHeight="1" x14ac:dyDescent="0.2">
      <c r="A765" s="2687"/>
      <c r="B765" s="2062" t="s">
        <v>39</v>
      </c>
      <c r="C765" s="2687"/>
      <c r="D765" s="2062" t="s">
        <v>40</v>
      </c>
      <c r="E765" s="368" t="s">
        <v>41</v>
      </c>
      <c r="F765" s="2686" t="s">
        <v>42</v>
      </c>
      <c r="G765" s="2686" t="s">
        <v>43</v>
      </c>
      <c r="H765" s="2688" t="s">
        <v>44</v>
      </c>
      <c r="I765" s="2062" t="s">
        <v>45</v>
      </c>
      <c r="J765" s="379" t="s">
        <v>46</v>
      </c>
      <c r="K765" s="2066" t="s">
        <v>47</v>
      </c>
      <c r="L765" s="2680"/>
      <c r="M765" s="2068" t="s">
        <v>30</v>
      </c>
      <c r="N765" s="2068" t="s">
        <v>30</v>
      </c>
      <c r="O765" s="382" t="s">
        <v>25</v>
      </c>
      <c r="P765" s="383" t="s">
        <v>30</v>
      </c>
      <c r="Q765" s="384" t="s">
        <v>48</v>
      </c>
      <c r="R765" s="383" t="s">
        <v>49</v>
      </c>
      <c r="S765" s="385" t="s">
        <v>30</v>
      </c>
      <c r="T765" s="386" t="s">
        <v>50</v>
      </c>
      <c r="U765" s="2065" t="s">
        <v>13</v>
      </c>
      <c r="V765" s="375" t="s">
        <v>51</v>
      </c>
      <c r="W765" s="376" t="s">
        <v>52</v>
      </c>
      <c r="X765" s="377" t="s">
        <v>53</v>
      </c>
      <c r="Y765" s="377" t="s">
        <v>54</v>
      </c>
      <c r="Z765" s="377" t="s">
        <v>55</v>
      </c>
      <c r="AA765" s="377" t="s">
        <v>56</v>
      </c>
      <c r="AB765" s="378" t="s">
        <v>57</v>
      </c>
      <c r="AC765" s="347" t="s">
        <v>58</v>
      </c>
      <c r="AD765" s="347" t="s">
        <v>59</v>
      </c>
      <c r="AE765" s="347" t="s">
        <v>59</v>
      </c>
      <c r="AF765" s="340" t="s">
        <v>60</v>
      </c>
    </row>
    <row r="766" spans="1:32" s="597" customFormat="1" ht="14.1" customHeight="1" x14ac:dyDescent="0.2">
      <c r="A766" s="2687"/>
      <c r="B766" s="2062" t="s">
        <v>61</v>
      </c>
      <c r="C766" s="2687"/>
      <c r="D766" s="2062" t="s">
        <v>62</v>
      </c>
      <c r="E766" s="368" t="s">
        <v>63</v>
      </c>
      <c r="F766" s="2687"/>
      <c r="G766" s="2687"/>
      <c r="H766" s="2689"/>
      <c r="I766" s="2062" t="s">
        <v>64</v>
      </c>
      <c r="J766" s="379" t="s">
        <v>59</v>
      </c>
      <c r="K766" s="2066" t="s">
        <v>59</v>
      </c>
      <c r="L766" s="2680"/>
      <c r="M766" s="2068"/>
      <c r="N766" s="2068"/>
      <c r="O766" s="382" t="s">
        <v>41</v>
      </c>
      <c r="P766" s="383" t="s">
        <v>65</v>
      </c>
      <c r="Q766" s="384" t="s">
        <v>66</v>
      </c>
      <c r="R766" s="383" t="s">
        <v>67</v>
      </c>
      <c r="S766" s="385" t="s">
        <v>59</v>
      </c>
      <c r="T766" s="387" t="s">
        <v>68</v>
      </c>
      <c r="U766" s="375" t="s">
        <v>14</v>
      </c>
      <c r="V766" s="375" t="s">
        <v>14</v>
      </c>
      <c r="W766" s="376" t="s">
        <v>30</v>
      </c>
      <c r="X766" s="388" t="s">
        <v>69</v>
      </c>
      <c r="Y766" s="388" t="s">
        <v>70</v>
      </c>
      <c r="Z766" s="377" t="s">
        <v>71</v>
      </c>
      <c r="AA766" s="377" t="s">
        <v>72</v>
      </c>
      <c r="AB766" s="378" t="s">
        <v>59</v>
      </c>
      <c r="AC766" s="347" t="s">
        <v>59</v>
      </c>
      <c r="AD766" s="347"/>
      <c r="AE766" s="347"/>
      <c r="AF766" s="340" t="s">
        <v>59</v>
      </c>
    </row>
    <row r="767" spans="1:32" s="597" customFormat="1" ht="14.1" customHeight="1" x14ac:dyDescent="0.2">
      <c r="A767" s="2692"/>
      <c r="B767" s="390"/>
      <c r="C767" s="2692"/>
      <c r="D767" s="390"/>
      <c r="E767" s="2063"/>
      <c r="F767" s="390"/>
      <c r="G767" s="390"/>
      <c r="H767" s="391"/>
      <c r="I767" s="2063"/>
      <c r="J767" s="392"/>
      <c r="K767" s="393"/>
      <c r="L767" s="2681"/>
      <c r="M767" s="2069"/>
      <c r="N767" s="2069"/>
      <c r="O767" s="2069" t="s">
        <v>63</v>
      </c>
      <c r="P767" s="395"/>
      <c r="Q767" s="396" t="s">
        <v>72</v>
      </c>
      <c r="R767" s="397" t="s">
        <v>59</v>
      </c>
      <c r="S767" s="398"/>
      <c r="T767" s="397" t="s">
        <v>73</v>
      </c>
      <c r="U767" s="398" t="s">
        <v>59</v>
      </c>
      <c r="V767" s="399" t="s">
        <v>59</v>
      </c>
      <c r="W767" s="400" t="s">
        <v>59</v>
      </c>
      <c r="X767" s="401" t="s">
        <v>59</v>
      </c>
      <c r="Y767" s="401" t="s">
        <v>59</v>
      </c>
      <c r="Z767" s="401" t="s">
        <v>59</v>
      </c>
      <c r="AA767" s="402"/>
      <c r="AB767" s="403"/>
      <c r="AC767" s="348"/>
      <c r="AD767" s="348"/>
      <c r="AE767" s="348"/>
      <c r="AF767" s="341"/>
    </row>
    <row r="768" spans="1:32" s="597" customFormat="1" ht="18" customHeight="1" x14ac:dyDescent="0.25">
      <c r="A768" s="1018">
        <v>1</v>
      </c>
      <c r="B768" s="981">
        <v>50625</v>
      </c>
      <c r="C768" s="41">
        <v>1094</v>
      </c>
      <c r="D768" s="41" t="s">
        <v>83</v>
      </c>
      <c r="E768" s="41">
        <v>4</v>
      </c>
      <c r="F768" s="41">
        <v>0</v>
      </c>
      <c r="G768" s="41">
        <v>1</v>
      </c>
      <c r="H768" s="267">
        <v>0</v>
      </c>
      <c r="I768" s="44">
        <f>F768*400+G768*100+H768</f>
        <v>100</v>
      </c>
      <c r="J768" s="42">
        <v>430</v>
      </c>
      <c r="K768" s="46">
        <f>SUM(I768*J768)</f>
        <v>43000</v>
      </c>
      <c r="L768" s="16"/>
      <c r="M768" s="53"/>
      <c r="N768" s="16"/>
      <c r="O768" s="16"/>
      <c r="P768" s="17"/>
      <c r="Q768" s="14"/>
      <c r="R768" s="553"/>
      <c r="S768" s="44"/>
      <c r="T768" s="57"/>
      <c r="U768" s="42"/>
      <c r="V768" s="44"/>
      <c r="W768" s="44">
        <f>K768+V768</f>
        <v>43000</v>
      </c>
      <c r="X768" s="44">
        <f>W768</f>
        <v>43000</v>
      </c>
      <c r="Y768" s="1407">
        <v>0</v>
      </c>
      <c r="Z768" s="44">
        <f>X768-Y768</f>
        <v>43000</v>
      </c>
      <c r="AA768" s="852">
        <v>0.6</v>
      </c>
      <c r="AB768" s="406">
        <f>+Z768*AA768/100</f>
        <v>258</v>
      </c>
      <c r="AC768" s="602"/>
      <c r="AD768" s="603">
        <f>AB768-AC768</f>
        <v>258</v>
      </c>
      <c r="AE768" s="603">
        <f>IF(AD768&lt;=0,0,AD768*25/100)</f>
        <v>64.5</v>
      </c>
      <c r="AF768" s="603">
        <f>IF(AC768+AE768&gt;AB768,AB768,AC768+AE768)</f>
        <v>64.5</v>
      </c>
    </row>
    <row r="769" spans="1:32" s="597" customFormat="1" ht="18" customHeight="1" x14ac:dyDescent="0.25">
      <c r="A769" s="1408">
        <v>2</v>
      </c>
      <c r="B769" s="2153">
        <v>50626</v>
      </c>
      <c r="C769" s="270">
        <v>1093</v>
      </c>
      <c r="D769" s="270" t="s">
        <v>83</v>
      </c>
      <c r="E769" s="270">
        <v>4</v>
      </c>
      <c r="F769" s="270">
        <v>0</v>
      </c>
      <c r="G769" s="270">
        <v>1</v>
      </c>
      <c r="H769" s="652">
        <v>0</v>
      </c>
      <c r="I769" s="47">
        <f>F769*400+G769*100+H769</f>
        <v>100</v>
      </c>
      <c r="J769" s="30">
        <v>750</v>
      </c>
      <c r="K769" s="49">
        <f>SUM(I769*J769)</f>
        <v>75000</v>
      </c>
      <c r="L769" s="58"/>
      <c r="M769" s="65"/>
      <c r="N769" s="58"/>
      <c r="O769" s="58"/>
      <c r="P769" s="897"/>
      <c r="Q769" s="1129"/>
      <c r="R769" s="887"/>
      <c r="S769" s="47"/>
      <c r="T769" s="1409"/>
      <c r="U769" s="256"/>
      <c r="V769" s="256"/>
      <c r="W769" s="256">
        <f>K769+V769</f>
        <v>75000</v>
      </c>
      <c r="X769" s="256">
        <f>W769</f>
        <v>75000</v>
      </c>
      <c r="Y769" s="1410">
        <v>0</v>
      </c>
      <c r="Z769" s="256">
        <f>X769-Y769</f>
        <v>75000</v>
      </c>
      <c r="AA769" s="1411">
        <v>0.6</v>
      </c>
      <c r="AB769" s="410">
        <f>+Z769*AA769/100</f>
        <v>450</v>
      </c>
      <c r="AC769" s="650"/>
      <c r="AD769" s="350"/>
      <c r="AE769" s="350"/>
      <c r="AF769" s="350"/>
    </row>
    <row r="770" spans="1:32" s="597" customFormat="1" ht="18" customHeight="1" x14ac:dyDescent="0.2">
      <c r="A770" s="2070"/>
      <c r="B770" s="177"/>
      <c r="C770" s="177"/>
      <c r="D770" s="2070"/>
      <c r="E770" s="2070"/>
      <c r="F770" s="2070"/>
      <c r="G770" s="2070"/>
      <c r="H770" s="2076"/>
      <c r="I770" s="2072"/>
      <c r="J770" s="178"/>
      <c r="K770" s="2072"/>
      <c r="L770" s="2070"/>
      <c r="M770" s="2070"/>
      <c r="N770" s="2070"/>
      <c r="O770" s="2070"/>
      <c r="P770" s="2076"/>
      <c r="Q770" s="2071"/>
      <c r="R770" s="437"/>
      <c r="S770" s="2072"/>
      <c r="T770" s="179"/>
      <c r="U770" s="178"/>
      <c r="V770" s="2072"/>
      <c r="W770" s="2072"/>
      <c r="X770" s="470"/>
      <c r="Y770" s="470"/>
      <c r="Z770" s="471"/>
      <c r="AA770" s="764"/>
      <c r="AB770" s="466"/>
      <c r="AC770" s="350"/>
      <c r="AD770" s="350"/>
      <c r="AE770" s="350"/>
      <c r="AF770" s="350"/>
    </row>
    <row r="771" spans="1:32" s="597" customFormat="1" ht="18" customHeight="1" x14ac:dyDescent="0.2">
      <c r="A771" s="2070"/>
      <c r="B771" s="177"/>
      <c r="C771" s="177"/>
      <c r="D771" s="2070"/>
      <c r="E771" s="2070"/>
      <c r="F771" s="2070"/>
      <c r="G771" s="2070"/>
      <c r="H771" s="2076"/>
      <c r="I771" s="2072"/>
      <c r="J771" s="178"/>
      <c r="K771" s="2072"/>
      <c r="L771" s="2070"/>
      <c r="M771" s="2070"/>
      <c r="N771" s="2070"/>
      <c r="O771" s="2070"/>
      <c r="P771" s="2076"/>
      <c r="Q771" s="2071"/>
      <c r="R771" s="437"/>
      <c r="S771" s="2072"/>
      <c r="T771" s="179"/>
      <c r="U771" s="178"/>
      <c r="V771" s="2072"/>
      <c r="W771" s="2072"/>
      <c r="X771" s="470"/>
      <c r="Y771" s="470"/>
      <c r="Z771" s="471"/>
      <c r="AA771" s="764"/>
      <c r="AB771" s="466"/>
      <c r="AC771" s="350"/>
      <c r="AD771" s="350"/>
      <c r="AE771" s="350"/>
      <c r="AF771" s="350"/>
    </row>
    <row r="772" spans="1:32" s="597" customFormat="1" ht="18" customHeight="1" x14ac:dyDescent="0.2">
      <c r="A772" s="2070"/>
      <c r="B772" s="177"/>
      <c r="C772" s="177"/>
      <c r="D772" s="2070"/>
      <c r="E772" s="2070"/>
      <c r="F772" s="2070"/>
      <c r="G772" s="2070"/>
      <c r="H772" s="2076"/>
      <c r="I772" s="2072"/>
      <c r="J772" s="178"/>
      <c r="K772" s="2072"/>
      <c r="L772" s="2070"/>
      <c r="M772" s="2070"/>
      <c r="N772" s="2070"/>
      <c r="O772" s="2070"/>
      <c r="P772" s="2076"/>
      <c r="Q772" s="2071"/>
      <c r="R772" s="437"/>
      <c r="S772" s="2072"/>
      <c r="T772" s="179"/>
      <c r="U772" s="178"/>
      <c r="V772" s="2072"/>
      <c r="W772" s="2072"/>
      <c r="X772" s="470"/>
      <c r="Y772" s="470"/>
      <c r="Z772" s="471"/>
      <c r="AA772" s="764"/>
      <c r="AB772" s="466"/>
      <c r="AC772" s="350"/>
      <c r="AD772" s="350"/>
      <c r="AE772" s="350"/>
      <c r="AF772" s="350"/>
    </row>
    <row r="773" spans="1:32" s="597" customFormat="1" ht="18" customHeight="1" x14ac:dyDescent="0.2">
      <c r="A773" s="2070"/>
      <c r="B773" s="177"/>
      <c r="C773" s="177"/>
      <c r="D773" s="2070"/>
      <c r="E773" s="2070"/>
      <c r="F773" s="2070"/>
      <c r="G773" s="2070"/>
      <c r="H773" s="2076"/>
      <c r="I773" s="2072"/>
      <c r="J773" s="178"/>
      <c r="K773" s="2072"/>
      <c r="L773" s="2070"/>
      <c r="M773" s="2070"/>
      <c r="N773" s="2070"/>
      <c r="O773" s="2070"/>
      <c r="P773" s="2076"/>
      <c r="Q773" s="2071"/>
      <c r="R773" s="437"/>
      <c r="S773" s="2072"/>
      <c r="T773" s="179"/>
      <c r="U773" s="178"/>
      <c r="V773" s="2072"/>
      <c r="W773" s="2072"/>
      <c r="X773" s="470"/>
      <c r="Y773" s="470"/>
      <c r="Z773" s="471"/>
      <c r="AA773" s="764"/>
      <c r="AB773" s="466"/>
      <c r="AC773" s="350"/>
      <c r="AD773" s="350"/>
      <c r="AE773" s="350"/>
      <c r="AF773" s="350"/>
    </row>
    <row r="774" spans="1:32" s="597" customFormat="1" ht="18" customHeight="1" x14ac:dyDescent="0.2">
      <c r="A774" s="2070"/>
      <c r="B774" s="177"/>
      <c r="C774" s="177"/>
      <c r="D774" s="2070"/>
      <c r="E774" s="2070"/>
      <c r="F774" s="2070"/>
      <c r="G774" s="2070"/>
      <c r="H774" s="2076"/>
      <c r="I774" s="2072"/>
      <c r="J774" s="178"/>
      <c r="K774" s="2072"/>
      <c r="L774" s="2070"/>
      <c r="M774" s="2070"/>
      <c r="N774" s="2070"/>
      <c r="O774" s="2070"/>
      <c r="P774" s="2076"/>
      <c r="Q774" s="2071"/>
      <c r="R774" s="437"/>
      <c r="S774" s="2072"/>
      <c r="T774" s="179"/>
      <c r="U774" s="178"/>
      <c r="V774" s="2072"/>
      <c r="W774" s="2072"/>
      <c r="X774" s="470"/>
      <c r="Y774" s="470"/>
      <c r="Z774" s="471"/>
      <c r="AA774" s="764"/>
      <c r="AB774" s="466"/>
      <c r="AC774" s="350"/>
      <c r="AD774" s="350"/>
      <c r="AE774" s="350"/>
      <c r="AF774" s="350"/>
    </row>
    <row r="775" spans="1:32" s="597" customFormat="1" ht="18" customHeight="1" x14ac:dyDescent="0.2">
      <c r="A775" s="2070"/>
      <c r="B775" s="177"/>
      <c r="C775" s="177"/>
      <c r="D775" s="2070"/>
      <c r="E775" s="2070"/>
      <c r="F775" s="2070"/>
      <c r="G775" s="2070"/>
      <c r="H775" s="2076"/>
      <c r="I775" s="2072"/>
      <c r="J775" s="178"/>
      <c r="K775" s="2072"/>
      <c r="L775" s="2070"/>
      <c r="M775" s="2070"/>
      <c r="N775" s="2070"/>
      <c r="O775" s="2070"/>
      <c r="P775" s="2076"/>
      <c r="Q775" s="2071"/>
      <c r="R775" s="437"/>
      <c r="S775" s="2072"/>
      <c r="T775" s="179"/>
      <c r="U775" s="178"/>
      <c r="V775" s="2072"/>
      <c r="W775" s="2072"/>
      <c r="X775" s="470"/>
      <c r="Y775" s="470"/>
      <c r="Z775" s="471"/>
      <c r="AA775" s="764"/>
      <c r="AB775" s="466"/>
      <c r="AC775" s="350"/>
      <c r="AD775" s="350"/>
      <c r="AE775" s="350"/>
      <c r="AF775" s="350"/>
    </row>
    <row r="776" spans="1:32" s="597" customFormat="1" ht="18" customHeight="1" x14ac:dyDescent="0.2">
      <c r="A776" s="2070"/>
      <c r="B776" s="177"/>
      <c r="C776" s="177"/>
      <c r="D776" s="2070"/>
      <c r="E776" s="2070"/>
      <c r="F776" s="2070"/>
      <c r="G776" s="2070"/>
      <c r="H776" s="2076"/>
      <c r="I776" s="2072"/>
      <c r="J776" s="178"/>
      <c r="K776" s="2072"/>
      <c r="L776" s="2070"/>
      <c r="M776" s="2070"/>
      <c r="N776" s="2070"/>
      <c r="O776" s="2070"/>
      <c r="P776" s="2076"/>
      <c r="Q776" s="2071"/>
      <c r="R776" s="437"/>
      <c r="S776" s="2072"/>
      <c r="T776" s="179"/>
      <c r="U776" s="178"/>
      <c r="V776" s="2072"/>
      <c r="W776" s="2072"/>
      <c r="X776" s="470"/>
      <c r="Y776" s="470"/>
      <c r="Z776" s="471"/>
      <c r="AA776" s="764"/>
      <c r="AB776" s="466"/>
      <c r="AC776" s="350"/>
      <c r="AD776" s="350"/>
      <c r="AE776" s="350"/>
      <c r="AF776" s="350"/>
    </row>
    <row r="777" spans="1:32" s="597" customFormat="1" ht="18" customHeight="1" x14ac:dyDescent="0.2">
      <c r="A777" s="2070"/>
      <c r="B777" s="177"/>
      <c r="C777" s="177"/>
      <c r="D777" s="2070"/>
      <c r="E777" s="2070"/>
      <c r="F777" s="2070"/>
      <c r="G777" s="2070"/>
      <c r="H777" s="2076"/>
      <c r="I777" s="2072"/>
      <c r="J777" s="178"/>
      <c r="K777" s="2072"/>
      <c r="L777" s="2070"/>
      <c r="M777" s="2070"/>
      <c r="N777" s="2070"/>
      <c r="O777" s="2070"/>
      <c r="P777" s="2076"/>
      <c r="Q777" s="2071"/>
      <c r="R777" s="437"/>
      <c r="S777" s="2072"/>
      <c r="T777" s="179"/>
      <c r="U777" s="178"/>
      <c r="V777" s="2072"/>
      <c r="W777" s="2072"/>
      <c r="X777" s="470"/>
      <c r="Y777" s="470"/>
      <c r="Z777" s="471"/>
      <c r="AA777" s="764"/>
      <c r="AB777" s="466"/>
      <c r="AC777" s="350"/>
      <c r="AD777" s="350"/>
      <c r="AE777" s="350"/>
      <c r="AF777" s="350"/>
    </row>
    <row r="778" spans="1:32" s="597" customFormat="1" ht="18" customHeight="1" x14ac:dyDescent="0.2">
      <c r="A778" s="2070"/>
      <c r="B778" s="177"/>
      <c r="C778" s="177"/>
      <c r="D778" s="2070"/>
      <c r="E778" s="2070"/>
      <c r="F778" s="2070"/>
      <c r="G778" s="2070"/>
      <c r="H778" s="2076"/>
      <c r="I778" s="2072"/>
      <c r="J778" s="178"/>
      <c r="K778" s="2072"/>
      <c r="L778" s="2070"/>
      <c r="M778" s="2070"/>
      <c r="N778" s="2070"/>
      <c r="O778" s="2070"/>
      <c r="P778" s="2076"/>
      <c r="Q778" s="2071"/>
      <c r="R778" s="437"/>
      <c r="S778" s="2072"/>
      <c r="T778" s="179"/>
      <c r="U778" s="178"/>
      <c r="V778" s="2072"/>
      <c r="W778" s="2072"/>
      <c r="X778" s="470"/>
      <c r="Y778" s="470"/>
      <c r="Z778" s="471"/>
      <c r="AA778" s="764"/>
      <c r="AB778" s="466"/>
      <c r="AC778" s="350"/>
      <c r="AD778" s="350"/>
      <c r="AE778" s="350"/>
      <c r="AF778" s="350"/>
    </row>
    <row r="779" spans="1:32" s="597" customFormat="1" ht="18" customHeight="1" x14ac:dyDescent="0.2">
      <c r="A779" s="2070"/>
      <c r="B779" s="177"/>
      <c r="C779" s="177"/>
      <c r="D779" s="2070"/>
      <c r="E779" s="2070"/>
      <c r="F779" s="2070"/>
      <c r="G779" s="2070"/>
      <c r="H779" s="2076"/>
      <c r="I779" s="2072"/>
      <c r="J779" s="178"/>
      <c r="K779" s="2072"/>
      <c r="L779" s="2070"/>
      <c r="M779" s="2070"/>
      <c r="N779" s="2070"/>
      <c r="O779" s="2070"/>
      <c r="P779" s="2076"/>
      <c r="Q779" s="2071"/>
      <c r="R779" s="437"/>
      <c r="S779" s="2072"/>
      <c r="T779" s="179"/>
      <c r="U779" s="178"/>
      <c r="V779" s="2072"/>
      <c r="W779" s="2072"/>
      <c r="X779" s="470"/>
      <c r="Y779" s="470"/>
      <c r="Z779" s="471"/>
      <c r="AA779" s="764"/>
      <c r="AB779" s="466"/>
      <c r="AC779" s="350"/>
      <c r="AD779" s="350"/>
      <c r="AE779" s="350"/>
      <c r="AF779" s="350"/>
    </row>
    <row r="780" spans="1:32" s="597" customFormat="1" ht="18" customHeight="1" x14ac:dyDescent="0.2">
      <c r="A780" s="2070"/>
      <c r="B780" s="177"/>
      <c r="C780" s="177"/>
      <c r="D780" s="2070"/>
      <c r="E780" s="2070"/>
      <c r="F780" s="2070"/>
      <c r="G780" s="2070"/>
      <c r="H780" s="2076"/>
      <c r="I780" s="2072"/>
      <c r="J780" s="178"/>
      <c r="K780" s="2072"/>
      <c r="L780" s="2070"/>
      <c r="M780" s="2070"/>
      <c r="N780" s="2070"/>
      <c r="O780" s="2070"/>
      <c r="P780" s="2076"/>
      <c r="Q780" s="2071"/>
      <c r="R780" s="437"/>
      <c r="S780" s="2072"/>
      <c r="T780" s="179"/>
      <c r="U780" s="178"/>
      <c r="V780" s="2072"/>
      <c r="W780" s="2072"/>
      <c r="X780" s="470"/>
      <c r="Y780" s="470"/>
      <c r="Z780" s="471"/>
      <c r="AA780" s="764"/>
      <c r="AB780" s="466"/>
      <c r="AC780" s="350"/>
      <c r="AD780" s="350"/>
      <c r="AE780" s="350"/>
      <c r="AF780" s="350"/>
    </row>
    <row r="781" spans="1:32" s="597" customFormat="1" ht="18" customHeight="1" x14ac:dyDescent="0.2">
      <c r="A781" s="88"/>
      <c r="B781" s="180"/>
      <c r="C781" s="180"/>
      <c r="D781" s="88"/>
      <c r="E781" s="88"/>
      <c r="F781" s="88"/>
      <c r="G781" s="88"/>
      <c r="H781" s="120"/>
      <c r="I781" s="121"/>
      <c r="J781" s="181"/>
      <c r="K781" s="121"/>
      <c r="L781" s="88"/>
      <c r="M781" s="88"/>
      <c r="N781" s="88"/>
      <c r="O781" s="88"/>
      <c r="P781" s="88"/>
      <c r="Q781" s="129"/>
      <c r="R781" s="445"/>
      <c r="S781" s="121"/>
      <c r="T781" s="182"/>
      <c r="U781" s="181"/>
      <c r="V781" s="121"/>
      <c r="W781" s="121"/>
      <c r="X781" s="472"/>
      <c r="Y781" s="472"/>
      <c r="Z781" s="473"/>
      <c r="AA781" s="780"/>
      <c r="AB781" s="410"/>
      <c r="AC781" s="351"/>
      <c r="AD781" s="351"/>
      <c r="AE781" s="351"/>
      <c r="AF781" s="351"/>
    </row>
    <row r="782" spans="1:32" s="597" customFormat="1" ht="18" customHeight="1" x14ac:dyDescent="0.2">
      <c r="A782" s="1850"/>
      <c r="B782" s="1850"/>
      <c r="C782" s="1850"/>
      <c r="D782" s="1850"/>
      <c r="E782" s="1850"/>
      <c r="F782" s="1850"/>
      <c r="G782" s="1850"/>
      <c r="H782" s="1851"/>
      <c r="I782" s="1852"/>
      <c r="J782" s="1853"/>
      <c r="K782" s="1852"/>
      <c r="L782" s="1852"/>
      <c r="M782" s="1852"/>
      <c r="N782" s="1852"/>
      <c r="O782" s="1852"/>
      <c r="P782" s="1852"/>
      <c r="Q782" s="1852"/>
      <c r="R782" s="1854"/>
      <c r="S782" s="1852"/>
      <c r="T782" s="1855"/>
      <c r="U782" s="1853"/>
      <c r="V782" s="1852"/>
      <c r="W782" s="1852"/>
      <c r="X782" s="1856"/>
      <c r="Y782" s="1856"/>
      <c r="Z782" s="1857"/>
      <c r="AA782" s="2125"/>
      <c r="AB782" s="1847">
        <f>SUM(AB768:AB781)</f>
        <v>708</v>
      </c>
      <c r="AC782" s="1861"/>
      <c r="AD782" s="1861"/>
      <c r="AE782" s="1861"/>
      <c r="AF782" s="1861"/>
    </row>
    <row r="783" spans="1:32" s="597" customFormat="1" ht="14.1" customHeight="1" x14ac:dyDescent="0.2">
      <c r="A783" s="2690" t="s">
        <v>76</v>
      </c>
      <c r="B783" s="2690"/>
      <c r="C783" s="2691" t="s">
        <v>77</v>
      </c>
      <c r="D783" s="2691"/>
      <c r="E783" s="2691"/>
      <c r="F783" s="2691"/>
      <c r="G783" s="2691"/>
      <c r="H783" s="2691"/>
      <c r="I783" s="604" t="s">
        <v>78</v>
      </c>
      <c r="J783" s="604"/>
      <c r="K783" s="604"/>
      <c r="L783" s="604"/>
      <c r="M783" s="604"/>
      <c r="N783" s="604"/>
      <c r="AA783" s="767"/>
      <c r="AB783" s="598"/>
    </row>
    <row r="784" spans="1:32" s="597" customFormat="1" ht="14.1" customHeight="1" x14ac:dyDescent="0.2">
      <c r="A784" s="604"/>
      <c r="B784" s="605"/>
      <c r="C784" s="604"/>
      <c r="D784" s="604"/>
      <c r="E784" s="604"/>
      <c r="F784" s="604"/>
      <c r="G784" s="604"/>
      <c r="H784" s="604"/>
      <c r="I784" s="604" t="s">
        <v>79</v>
      </c>
      <c r="J784" s="604"/>
      <c r="K784" s="604"/>
      <c r="L784" s="604"/>
      <c r="M784" s="604"/>
      <c r="N784" s="604"/>
      <c r="AA784" s="767"/>
      <c r="AB784" s="598"/>
    </row>
    <row r="785" spans="1:32" s="597" customFormat="1" ht="14.1" customHeight="1" x14ac:dyDescent="0.2">
      <c r="A785" s="604"/>
      <c r="B785" s="605"/>
      <c r="C785" s="604"/>
      <c r="D785" s="604"/>
      <c r="E785" s="604"/>
      <c r="F785" s="604"/>
      <c r="G785" s="604"/>
      <c r="H785" s="604"/>
      <c r="I785" s="604" t="s">
        <v>80</v>
      </c>
      <c r="J785" s="604"/>
      <c r="K785" s="604"/>
      <c r="L785" s="604"/>
      <c r="M785" s="604"/>
      <c r="N785" s="604"/>
      <c r="AA785" s="767"/>
      <c r="AB785" s="598"/>
    </row>
    <row r="786" spans="1:32" s="597" customFormat="1" ht="14.1" customHeight="1" x14ac:dyDescent="0.2">
      <c r="A786" s="604"/>
      <c r="B786" s="605"/>
      <c r="C786" s="604"/>
      <c r="D786" s="604"/>
      <c r="E786" s="604"/>
      <c r="F786" s="604"/>
      <c r="G786" s="604"/>
      <c r="H786" s="604"/>
      <c r="I786" s="604" t="s">
        <v>81</v>
      </c>
      <c r="J786" s="604"/>
      <c r="K786" s="604"/>
      <c r="L786" s="604"/>
      <c r="M786" s="604"/>
      <c r="N786" s="604"/>
      <c r="AA786" s="767"/>
      <c r="AB786" s="598"/>
    </row>
    <row r="787" spans="1:32" s="597" customFormat="1" ht="14.1" customHeight="1" x14ac:dyDescent="0.2">
      <c r="A787" s="604"/>
      <c r="B787" s="605"/>
      <c r="C787" s="604"/>
      <c r="D787" s="604"/>
      <c r="E787" s="604"/>
      <c r="F787" s="604"/>
      <c r="G787" s="604"/>
      <c r="H787" s="604"/>
      <c r="I787" s="604" t="s">
        <v>88</v>
      </c>
      <c r="J787" s="604"/>
      <c r="K787" s="604"/>
      <c r="L787" s="604"/>
      <c r="M787" s="604"/>
      <c r="N787" s="604"/>
      <c r="AA787" s="767"/>
      <c r="AB787" s="598"/>
    </row>
    <row r="788" spans="1:32" s="597" customFormat="1" ht="18" customHeight="1" x14ac:dyDescent="0.2">
      <c r="A788" s="339"/>
      <c r="B788" s="339"/>
      <c r="C788" s="339"/>
      <c r="D788" s="339"/>
      <c r="E788" s="339"/>
      <c r="F788" s="339"/>
      <c r="G788" s="339"/>
      <c r="H788" s="339"/>
      <c r="I788" s="339"/>
      <c r="J788" s="339"/>
      <c r="K788" s="339"/>
      <c r="L788" s="339"/>
      <c r="M788" s="339"/>
      <c r="N788" s="339"/>
      <c r="O788" s="339"/>
      <c r="P788" s="339"/>
      <c r="Q788" s="339"/>
      <c r="R788" s="339"/>
      <c r="S788" s="339"/>
      <c r="T788" s="339"/>
      <c r="U788" s="339"/>
      <c r="V788" s="339"/>
      <c r="W788" s="339"/>
      <c r="X788" s="339"/>
      <c r="Y788" s="339"/>
      <c r="Z788" s="339"/>
      <c r="AA788" s="2702" t="s">
        <v>0</v>
      </c>
      <c r="AB788" s="2702"/>
      <c r="AC788" s="339"/>
      <c r="AD788" s="339"/>
      <c r="AE788" s="339"/>
      <c r="AF788" s="339"/>
    </row>
    <row r="789" spans="1:32" s="597" customFormat="1" ht="18" customHeight="1" x14ac:dyDescent="0.2">
      <c r="A789" s="2703" t="s">
        <v>1</v>
      </c>
      <c r="B789" s="2703"/>
      <c r="C789" s="2703"/>
      <c r="D789" s="2703"/>
      <c r="E789" s="2703"/>
      <c r="F789" s="2703"/>
      <c r="G789" s="2703"/>
      <c r="H789" s="2703"/>
      <c r="I789" s="2703"/>
      <c r="J789" s="2703"/>
      <c r="K789" s="2703"/>
      <c r="L789" s="2703"/>
      <c r="M789" s="2703"/>
      <c r="N789" s="2703"/>
      <c r="O789" s="2703"/>
      <c r="P789" s="2703"/>
      <c r="Q789" s="2703"/>
      <c r="R789" s="2703"/>
      <c r="S789" s="2703"/>
      <c r="T789" s="2703"/>
      <c r="U789" s="2703"/>
      <c r="V789" s="2703"/>
      <c r="W789" s="2703"/>
      <c r="X789" s="2703"/>
      <c r="Y789" s="2703"/>
      <c r="Z789" s="2703"/>
      <c r="AA789" s="2703"/>
      <c r="AB789" s="2703"/>
      <c r="AC789" s="344"/>
      <c r="AD789" s="344"/>
      <c r="AE789" s="344"/>
      <c r="AF789" s="344"/>
    </row>
    <row r="790" spans="1:32" s="597" customFormat="1" ht="18" customHeight="1" x14ac:dyDescent="0.2">
      <c r="A790" s="2704" t="s">
        <v>567</v>
      </c>
      <c r="B790" s="2704"/>
      <c r="C790" s="2704"/>
      <c r="D790" s="2704"/>
      <c r="E790" s="2704"/>
      <c r="F790" s="2704"/>
      <c r="G790" s="2704"/>
      <c r="H790" s="2704"/>
      <c r="I790" s="2704"/>
      <c r="J790" s="2704"/>
      <c r="K790" s="2704"/>
      <c r="L790" s="2704"/>
      <c r="M790" s="2704"/>
      <c r="N790" s="2704"/>
      <c r="O790" s="2704"/>
      <c r="P790" s="2704"/>
      <c r="Q790" s="2704"/>
      <c r="R790" s="2704"/>
      <c r="S790" s="2704"/>
      <c r="T790" s="2704"/>
      <c r="U790" s="2704"/>
      <c r="V790" s="2704"/>
      <c r="W790" s="2704"/>
      <c r="X790" s="2704"/>
      <c r="Y790" s="2704"/>
      <c r="Z790" s="2704"/>
      <c r="AA790" s="2704"/>
      <c r="AB790" s="2704"/>
      <c r="AC790" s="599"/>
      <c r="AD790" s="599"/>
      <c r="AE790" s="599"/>
      <c r="AF790" s="599"/>
    </row>
    <row r="791" spans="1:32" s="597" customFormat="1" ht="14.1" customHeight="1" x14ac:dyDescent="0.2">
      <c r="A791" s="2686" t="s">
        <v>2</v>
      </c>
      <c r="B791" s="360"/>
      <c r="C791" s="2686" t="s">
        <v>3</v>
      </c>
      <c r="D791" s="360"/>
      <c r="E791" s="360"/>
      <c r="F791" s="2693" t="s">
        <v>4</v>
      </c>
      <c r="G791" s="2693"/>
      <c r="H791" s="2693"/>
      <c r="I791" s="2694"/>
      <c r="J791" s="2694"/>
      <c r="K791" s="2695"/>
      <c r="L791" s="361"/>
      <c r="M791" s="2679" t="s">
        <v>5</v>
      </c>
      <c r="N791" s="2679"/>
      <c r="O791" s="2679"/>
      <c r="P791" s="2679"/>
      <c r="Q791" s="2696"/>
      <c r="R791" s="2696"/>
      <c r="S791" s="2696"/>
      <c r="T791" s="2696"/>
      <c r="U791" s="2696"/>
      <c r="V791" s="2697"/>
      <c r="W791" s="362" t="s">
        <v>6</v>
      </c>
      <c r="X791" s="363" t="s">
        <v>7</v>
      </c>
      <c r="Y791" s="364"/>
      <c r="Z791" s="364"/>
      <c r="AA791" s="363"/>
      <c r="AB791" s="365"/>
      <c r="AC791" s="516" t="s">
        <v>8</v>
      </c>
      <c r="AD791" s="346"/>
      <c r="AE791" s="346"/>
      <c r="AF791" s="600"/>
    </row>
    <row r="792" spans="1:32" s="597" customFormat="1" ht="14.1" customHeight="1" x14ac:dyDescent="0.2">
      <c r="A792" s="2687"/>
      <c r="B792" s="367"/>
      <c r="C792" s="2687"/>
      <c r="D792" s="2062" t="s">
        <v>9</v>
      </c>
      <c r="E792" s="368" t="s">
        <v>10</v>
      </c>
      <c r="F792" s="2698" t="s">
        <v>11</v>
      </c>
      <c r="G792" s="2694"/>
      <c r="H792" s="2695"/>
      <c r="I792" s="360"/>
      <c r="J792" s="369" t="s">
        <v>12</v>
      </c>
      <c r="K792" s="360"/>
      <c r="L792" s="2679" t="s">
        <v>2</v>
      </c>
      <c r="M792" s="2067"/>
      <c r="N792" s="2067"/>
      <c r="O792" s="2067"/>
      <c r="P792" s="371"/>
      <c r="Q792" s="372" t="s">
        <v>13</v>
      </c>
      <c r="R792" s="373" t="s">
        <v>12</v>
      </c>
      <c r="S792" s="2067" t="s">
        <v>6</v>
      </c>
      <c r="T792" s="2682" t="s">
        <v>14</v>
      </c>
      <c r="U792" s="2683"/>
      <c r="V792" s="375" t="s">
        <v>7</v>
      </c>
      <c r="W792" s="376" t="s">
        <v>15</v>
      </c>
      <c r="X792" s="377" t="s">
        <v>16</v>
      </c>
      <c r="Y792" s="377" t="s">
        <v>17</v>
      </c>
      <c r="Z792" s="377" t="s">
        <v>18</v>
      </c>
      <c r="AA792" s="377"/>
      <c r="AB792" s="378" t="s">
        <v>19</v>
      </c>
      <c r="AC792" s="528" t="s">
        <v>20</v>
      </c>
      <c r="AD792" s="601"/>
      <c r="AE792" s="347" t="s">
        <v>21</v>
      </c>
      <c r="AF792" s="340" t="s">
        <v>22</v>
      </c>
    </row>
    <row r="793" spans="1:32" s="597" customFormat="1" ht="14.1" customHeight="1" x14ac:dyDescent="0.2">
      <c r="A793" s="2687"/>
      <c r="B793" s="2062" t="s">
        <v>23</v>
      </c>
      <c r="C793" s="2687"/>
      <c r="D793" s="2062" t="s">
        <v>24</v>
      </c>
      <c r="E793" s="368" t="s">
        <v>25</v>
      </c>
      <c r="F793" s="2699"/>
      <c r="G793" s="2700"/>
      <c r="H793" s="2701"/>
      <c r="I793" s="2062" t="s">
        <v>26</v>
      </c>
      <c r="J793" s="379" t="s">
        <v>15</v>
      </c>
      <c r="K793" s="2066" t="s">
        <v>6</v>
      </c>
      <c r="L793" s="2680"/>
      <c r="M793" s="2068" t="s">
        <v>27</v>
      </c>
      <c r="N793" s="2068" t="s">
        <v>10</v>
      </c>
      <c r="O793" s="382" t="s">
        <v>10</v>
      </c>
      <c r="P793" s="383" t="s">
        <v>28</v>
      </c>
      <c r="Q793" s="384" t="s">
        <v>29</v>
      </c>
      <c r="R793" s="383" t="s">
        <v>15</v>
      </c>
      <c r="S793" s="385" t="s">
        <v>15</v>
      </c>
      <c r="T793" s="2684"/>
      <c r="U793" s="2685"/>
      <c r="V793" s="375" t="s">
        <v>30</v>
      </c>
      <c r="W793" s="376" t="s">
        <v>31</v>
      </c>
      <c r="X793" s="377" t="s">
        <v>30</v>
      </c>
      <c r="Y793" s="377" t="s">
        <v>32</v>
      </c>
      <c r="Z793" s="377" t="s">
        <v>7</v>
      </c>
      <c r="AA793" s="377" t="s">
        <v>33</v>
      </c>
      <c r="AB793" s="378" t="s">
        <v>34</v>
      </c>
      <c r="AC793" s="528" t="s">
        <v>35</v>
      </c>
      <c r="AD793" s="347" t="s">
        <v>36</v>
      </c>
      <c r="AE793" s="347" t="s">
        <v>37</v>
      </c>
      <c r="AF793" s="340" t="s">
        <v>38</v>
      </c>
    </row>
    <row r="794" spans="1:32" s="597" customFormat="1" ht="14.1" customHeight="1" x14ac:dyDescent="0.2">
      <c r="A794" s="2687"/>
      <c r="B794" s="2062" t="s">
        <v>39</v>
      </c>
      <c r="C794" s="2687"/>
      <c r="D794" s="2062" t="s">
        <v>40</v>
      </c>
      <c r="E794" s="368" t="s">
        <v>41</v>
      </c>
      <c r="F794" s="2686" t="s">
        <v>42</v>
      </c>
      <c r="G794" s="2686" t="s">
        <v>43</v>
      </c>
      <c r="H794" s="2688" t="s">
        <v>44</v>
      </c>
      <c r="I794" s="2062" t="s">
        <v>45</v>
      </c>
      <c r="J794" s="379" t="s">
        <v>46</v>
      </c>
      <c r="K794" s="2066" t="s">
        <v>47</v>
      </c>
      <c r="L794" s="2680"/>
      <c r="M794" s="2068" t="s">
        <v>30</v>
      </c>
      <c r="N794" s="2068" t="s">
        <v>30</v>
      </c>
      <c r="O794" s="382" t="s">
        <v>25</v>
      </c>
      <c r="P794" s="383" t="s">
        <v>30</v>
      </c>
      <c r="Q794" s="384" t="s">
        <v>48</v>
      </c>
      <c r="R794" s="383" t="s">
        <v>49</v>
      </c>
      <c r="S794" s="385" t="s">
        <v>30</v>
      </c>
      <c r="T794" s="386" t="s">
        <v>50</v>
      </c>
      <c r="U794" s="2065" t="s">
        <v>13</v>
      </c>
      <c r="V794" s="375" t="s">
        <v>51</v>
      </c>
      <c r="W794" s="376" t="s">
        <v>52</v>
      </c>
      <c r="X794" s="377" t="s">
        <v>53</v>
      </c>
      <c r="Y794" s="377" t="s">
        <v>54</v>
      </c>
      <c r="Z794" s="377" t="s">
        <v>55</v>
      </c>
      <c r="AA794" s="377" t="s">
        <v>56</v>
      </c>
      <c r="AB794" s="378" t="s">
        <v>57</v>
      </c>
      <c r="AC794" s="347" t="s">
        <v>58</v>
      </c>
      <c r="AD794" s="347" t="s">
        <v>59</v>
      </c>
      <c r="AE794" s="347" t="s">
        <v>59</v>
      </c>
      <c r="AF794" s="340" t="s">
        <v>60</v>
      </c>
    </row>
    <row r="795" spans="1:32" s="597" customFormat="1" ht="14.1" customHeight="1" x14ac:dyDescent="0.2">
      <c r="A795" s="2687"/>
      <c r="B795" s="2062" t="s">
        <v>61</v>
      </c>
      <c r="C795" s="2687"/>
      <c r="D795" s="2062" t="s">
        <v>62</v>
      </c>
      <c r="E795" s="368" t="s">
        <v>63</v>
      </c>
      <c r="F795" s="2687"/>
      <c r="G795" s="2687"/>
      <c r="H795" s="2689"/>
      <c r="I795" s="2062" t="s">
        <v>64</v>
      </c>
      <c r="J795" s="379" t="s">
        <v>59</v>
      </c>
      <c r="K795" s="2066" t="s">
        <v>59</v>
      </c>
      <c r="L795" s="2680"/>
      <c r="M795" s="2068"/>
      <c r="N795" s="2068"/>
      <c r="O795" s="382" t="s">
        <v>41</v>
      </c>
      <c r="P795" s="383" t="s">
        <v>65</v>
      </c>
      <c r="Q795" s="384" t="s">
        <v>66</v>
      </c>
      <c r="R795" s="383" t="s">
        <v>67</v>
      </c>
      <c r="S795" s="385" t="s">
        <v>59</v>
      </c>
      <c r="T795" s="387" t="s">
        <v>68</v>
      </c>
      <c r="U795" s="375" t="s">
        <v>14</v>
      </c>
      <c r="V795" s="375" t="s">
        <v>14</v>
      </c>
      <c r="W795" s="376" t="s">
        <v>30</v>
      </c>
      <c r="X795" s="388" t="s">
        <v>69</v>
      </c>
      <c r="Y795" s="388" t="s">
        <v>70</v>
      </c>
      <c r="Z795" s="377" t="s">
        <v>71</v>
      </c>
      <c r="AA795" s="377" t="s">
        <v>72</v>
      </c>
      <c r="AB795" s="378" t="s">
        <v>59</v>
      </c>
      <c r="AC795" s="347" t="s">
        <v>59</v>
      </c>
      <c r="AD795" s="347"/>
      <c r="AE795" s="347"/>
      <c r="AF795" s="340" t="s">
        <v>59</v>
      </c>
    </row>
    <row r="796" spans="1:32" s="597" customFormat="1" ht="14.1" customHeight="1" x14ac:dyDescent="0.2">
      <c r="A796" s="2692"/>
      <c r="B796" s="390"/>
      <c r="C796" s="2692"/>
      <c r="D796" s="390"/>
      <c r="E796" s="2063"/>
      <c r="F796" s="390"/>
      <c r="G796" s="390"/>
      <c r="H796" s="391"/>
      <c r="I796" s="2063"/>
      <c r="J796" s="392"/>
      <c r="K796" s="393"/>
      <c r="L796" s="2681"/>
      <c r="M796" s="2069"/>
      <c r="N796" s="2069"/>
      <c r="O796" s="2069" t="s">
        <v>63</v>
      </c>
      <c r="P796" s="395"/>
      <c r="Q796" s="396" t="s">
        <v>72</v>
      </c>
      <c r="R796" s="397" t="s">
        <v>59</v>
      </c>
      <c r="S796" s="398"/>
      <c r="T796" s="397" t="s">
        <v>73</v>
      </c>
      <c r="U796" s="398" t="s">
        <v>59</v>
      </c>
      <c r="V796" s="399" t="s">
        <v>59</v>
      </c>
      <c r="W796" s="400" t="s">
        <v>59</v>
      </c>
      <c r="X796" s="401" t="s">
        <v>59</v>
      </c>
      <c r="Y796" s="401" t="s">
        <v>59</v>
      </c>
      <c r="Z796" s="401" t="s">
        <v>59</v>
      </c>
      <c r="AA796" s="402"/>
      <c r="AB796" s="403"/>
      <c r="AC796" s="348"/>
      <c r="AD796" s="348"/>
      <c r="AE796" s="348"/>
      <c r="AF796" s="341"/>
    </row>
    <row r="797" spans="1:32" s="597" customFormat="1" ht="18" customHeight="1" x14ac:dyDescent="0.25">
      <c r="A797" s="53">
        <v>1</v>
      </c>
      <c r="B797" s="333">
        <v>3734</v>
      </c>
      <c r="C797" s="41">
        <v>72</v>
      </c>
      <c r="D797" s="41" t="s">
        <v>83</v>
      </c>
      <c r="E797" s="15">
        <v>1</v>
      </c>
      <c r="F797" s="41">
        <v>17</v>
      </c>
      <c r="G797" s="41">
        <v>1</v>
      </c>
      <c r="H797" s="267">
        <v>68</v>
      </c>
      <c r="I797" s="18">
        <f>F797*400+G797*100+H797</f>
        <v>6968</v>
      </c>
      <c r="J797" s="23">
        <v>300</v>
      </c>
      <c r="K797" s="39">
        <f>SUM(I797*J797)</f>
        <v>2090400</v>
      </c>
      <c r="L797" s="45"/>
      <c r="M797" s="82"/>
      <c r="N797" s="41"/>
      <c r="O797" s="16">
        <v>1</v>
      </c>
      <c r="P797" s="847"/>
      <c r="Q797" s="14"/>
      <c r="R797" s="553"/>
      <c r="S797" s="44"/>
      <c r="T797" s="41"/>
      <c r="U797" s="44"/>
      <c r="V797" s="44"/>
      <c r="W797" s="44">
        <f>K797+V797</f>
        <v>2090400</v>
      </c>
      <c r="X797" s="44">
        <f>W797</f>
        <v>2090400</v>
      </c>
      <c r="Y797" s="1159" t="s">
        <v>87</v>
      </c>
      <c r="Z797" s="42">
        <v>0</v>
      </c>
      <c r="AA797" s="264">
        <v>0.01</v>
      </c>
      <c r="AB797" s="465">
        <f>(Z797*AA797)</f>
        <v>0</v>
      </c>
      <c r="AC797" s="602"/>
      <c r="AD797" s="603">
        <f>AB797-AC797</f>
        <v>0</v>
      </c>
      <c r="AE797" s="603">
        <f>IF(AD797&lt;=0,0,AD797*25/100)</f>
        <v>0</v>
      </c>
      <c r="AF797" s="603">
        <f>IF(AC797+AE797&gt;AB797,AB797,AC797+AE797)</f>
        <v>0</v>
      </c>
    </row>
    <row r="798" spans="1:32" s="597" customFormat="1" ht="18" customHeight="1" x14ac:dyDescent="0.25">
      <c r="A798" s="242">
        <v>2</v>
      </c>
      <c r="B798" s="269" t="s">
        <v>135</v>
      </c>
      <c r="C798" s="285" t="s">
        <v>136</v>
      </c>
      <c r="D798" s="273" t="s">
        <v>83</v>
      </c>
      <c r="E798" s="15">
        <v>1</v>
      </c>
      <c r="F798" s="268">
        <v>2</v>
      </c>
      <c r="G798" s="269">
        <v>3</v>
      </c>
      <c r="H798" s="266">
        <v>0</v>
      </c>
      <c r="I798" s="18">
        <f>F798*400+G798*100+H798</f>
        <v>1100</v>
      </c>
      <c r="J798" s="23">
        <v>1100</v>
      </c>
      <c r="K798" s="39">
        <f>SUM(I798*J798)</f>
        <v>1210000</v>
      </c>
      <c r="L798" s="45"/>
      <c r="M798" s="2070"/>
      <c r="N798" s="15"/>
      <c r="O798" s="50">
        <v>1</v>
      </c>
      <c r="P798" s="21"/>
      <c r="Q798" s="76"/>
      <c r="R798" s="260"/>
      <c r="S798" s="18"/>
      <c r="T798" s="15"/>
      <c r="U798" s="18"/>
      <c r="V798" s="18"/>
      <c r="W798" s="18">
        <f>K798+V798</f>
        <v>1210000</v>
      </c>
      <c r="X798" s="18">
        <f>W798</f>
        <v>1210000</v>
      </c>
      <c r="Y798" s="42"/>
      <c r="Z798" s="18">
        <f>X798</f>
        <v>1210000</v>
      </c>
      <c r="AA798" s="264">
        <v>0.01</v>
      </c>
      <c r="AB798" s="416">
        <f>+Z798*AA798/100</f>
        <v>121</v>
      </c>
      <c r="AC798" s="602"/>
      <c r="AD798" s="603">
        <f>AB798-AC798</f>
        <v>121</v>
      </c>
      <c r="AE798" s="603">
        <f>IF(AD798&lt;=0,0,AD798*25/100)</f>
        <v>30.25</v>
      </c>
      <c r="AF798" s="603">
        <f>IF(AC798+AE798&gt;AB798,AB798,AC798+AE798)</f>
        <v>30.25</v>
      </c>
    </row>
    <row r="799" spans="1:32" s="597" customFormat="1" ht="18" customHeight="1" x14ac:dyDescent="0.2">
      <c r="A799" s="2070"/>
      <c r="B799" s="177"/>
      <c r="C799" s="177"/>
      <c r="D799" s="2070"/>
      <c r="E799" s="2070"/>
      <c r="F799" s="2070"/>
      <c r="G799" s="2070"/>
      <c r="H799" s="2076"/>
      <c r="I799" s="77"/>
      <c r="J799" s="178"/>
      <c r="K799" s="78"/>
      <c r="L799" s="2070"/>
      <c r="M799" s="2070"/>
      <c r="N799" s="2070"/>
      <c r="O799" s="2070"/>
      <c r="P799" s="2076"/>
      <c r="Q799" s="2071"/>
      <c r="R799" s="437"/>
      <c r="S799" s="2072"/>
      <c r="T799" s="179"/>
      <c r="U799" s="178"/>
      <c r="V799" s="2072"/>
      <c r="W799" s="2072"/>
      <c r="X799" s="470"/>
      <c r="Y799" s="472"/>
      <c r="Z799" s="473"/>
      <c r="AA799" s="764"/>
      <c r="AB799" s="410"/>
      <c r="AC799" s="350"/>
      <c r="AD799" s="719"/>
      <c r="AE799" s="719"/>
      <c r="AF799" s="719"/>
    </row>
    <row r="800" spans="1:32" s="597" customFormat="1" ht="18" customHeight="1" x14ac:dyDescent="0.2">
      <c r="A800" s="2070"/>
      <c r="B800" s="177"/>
      <c r="C800" s="177"/>
      <c r="D800" s="2070"/>
      <c r="E800" s="2070"/>
      <c r="F800" s="2070"/>
      <c r="G800" s="2070"/>
      <c r="H800" s="2076"/>
      <c r="I800" s="2072"/>
      <c r="J800" s="178"/>
      <c r="K800" s="2072"/>
      <c r="L800" s="2070"/>
      <c r="M800" s="2070"/>
      <c r="N800" s="2070"/>
      <c r="O800" s="2070"/>
      <c r="P800" s="2076"/>
      <c r="Q800" s="2071"/>
      <c r="R800" s="437"/>
      <c r="S800" s="2072"/>
      <c r="T800" s="179"/>
      <c r="U800" s="178"/>
      <c r="V800" s="2072"/>
      <c r="W800" s="2072"/>
      <c r="X800" s="470"/>
      <c r="Y800" s="470"/>
      <c r="Z800" s="471"/>
      <c r="AA800" s="764"/>
      <c r="AB800" s="466"/>
      <c r="AC800" s="350"/>
      <c r="AD800" s="350"/>
      <c r="AE800" s="350"/>
      <c r="AF800" s="350"/>
    </row>
    <row r="801" spans="1:32" s="597" customFormat="1" ht="18" customHeight="1" x14ac:dyDescent="0.2">
      <c r="A801" s="2070"/>
      <c r="B801" s="177"/>
      <c r="C801" s="177"/>
      <c r="D801" s="2070"/>
      <c r="E801" s="2070"/>
      <c r="F801" s="2070"/>
      <c r="G801" s="2070"/>
      <c r="H801" s="2076"/>
      <c r="I801" s="2072"/>
      <c r="J801" s="178"/>
      <c r="K801" s="2072"/>
      <c r="L801" s="2070"/>
      <c r="M801" s="2070"/>
      <c r="N801" s="2070"/>
      <c r="O801" s="2070"/>
      <c r="P801" s="2076"/>
      <c r="Q801" s="2071"/>
      <c r="R801" s="437"/>
      <c r="S801" s="2072"/>
      <c r="T801" s="179"/>
      <c r="U801" s="178"/>
      <c r="V801" s="2072"/>
      <c r="W801" s="2072"/>
      <c r="X801" s="470"/>
      <c r="Y801" s="470"/>
      <c r="Z801" s="471"/>
      <c r="AA801" s="764"/>
      <c r="AB801" s="466"/>
      <c r="AC801" s="350"/>
      <c r="AD801" s="350"/>
      <c r="AE801" s="350"/>
      <c r="AF801" s="350"/>
    </row>
    <row r="802" spans="1:32" s="597" customFormat="1" ht="18" customHeight="1" x14ac:dyDescent="0.2">
      <c r="A802" s="2070"/>
      <c r="B802" s="177"/>
      <c r="C802" s="177"/>
      <c r="D802" s="2070"/>
      <c r="E802" s="2070"/>
      <c r="F802" s="2070"/>
      <c r="G802" s="2070"/>
      <c r="H802" s="2076"/>
      <c r="I802" s="2072"/>
      <c r="J802" s="178"/>
      <c r="K802" s="2072"/>
      <c r="L802" s="2070"/>
      <c r="M802" s="2070"/>
      <c r="N802" s="2070"/>
      <c r="O802" s="2070"/>
      <c r="P802" s="2076"/>
      <c r="Q802" s="2071"/>
      <c r="R802" s="437"/>
      <c r="S802" s="2072"/>
      <c r="T802" s="179"/>
      <c r="U802" s="178"/>
      <c r="V802" s="2072"/>
      <c r="W802" s="2072"/>
      <c r="X802" s="470"/>
      <c r="Y802" s="470"/>
      <c r="Z802" s="471"/>
      <c r="AA802" s="764"/>
      <c r="AB802" s="466"/>
      <c r="AC802" s="350"/>
      <c r="AD802" s="350"/>
      <c r="AE802" s="350"/>
      <c r="AF802" s="350"/>
    </row>
    <row r="803" spans="1:32" s="597" customFormat="1" ht="18" customHeight="1" x14ac:dyDescent="0.2">
      <c r="A803" s="2070"/>
      <c r="B803" s="177"/>
      <c r="C803" s="177"/>
      <c r="D803" s="2070"/>
      <c r="E803" s="2070"/>
      <c r="F803" s="2070"/>
      <c r="G803" s="2070"/>
      <c r="H803" s="2076"/>
      <c r="I803" s="2072"/>
      <c r="J803" s="178"/>
      <c r="K803" s="2072"/>
      <c r="L803" s="2070"/>
      <c r="M803" s="2070"/>
      <c r="N803" s="2070"/>
      <c r="O803" s="2070"/>
      <c r="P803" s="2076"/>
      <c r="Q803" s="2071"/>
      <c r="R803" s="437"/>
      <c r="S803" s="2072"/>
      <c r="T803" s="179"/>
      <c r="U803" s="178"/>
      <c r="V803" s="2072"/>
      <c r="W803" s="2072"/>
      <c r="X803" s="470"/>
      <c r="Y803" s="470"/>
      <c r="Z803" s="471"/>
      <c r="AA803" s="764"/>
      <c r="AB803" s="466"/>
      <c r="AC803" s="350"/>
      <c r="AD803" s="350"/>
      <c r="AE803" s="350"/>
      <c r="AF803" s="350"/>
    </row>
    <row r="804" spans="1:32" s="597" customFormat="1" ht="18" customHeight="1" x14ac:dyDescent="0.2">
      <c r="A804" s="2070"/>
      <c r="B804" s="177"/>
      <c r="C804" s="177"/>
      <c r="D804" s="2070"/>
      <c r="E804" s="2070"/>
      <c r="F804" s="2070"/>
      <c r="G804" s="2070"/>
      <c r="H804" s="2076"/>
      <c r="I804" s="2072"/>
      <c r="J804" s="178"/>
      <c r="K804" s="2072"/>
      <c r="L804" s="2070"/>
      <c r="M804" s="2070"/>
      <c r="N804" s="2070"/>
      <c r="O804" s="2070"/>
      <c r="P804" s="2076"/>
      <c r="Q804" s="2071"/>
      <c r="R804" s="437"/>
      <c r="S804" s="2072"/>
      <c r="T804" s="179"/>
      <c r="U804" s="178"/>
      <c r="V804" s="2072"/>
      <c r="W804" s="2072"/>
      <c r="X804" s="470"/>
      <c r="Y804" s="470"/>
      <c r="Z804" s="471"/>
      <c r="AA804" s="764"/>
      <c r="AB804" s="466"/>
      <c r="AC804" s="350"/>
      <c r="AD804" s="350"/>
      <c r="AE804" s="350"/>
      <c r="AF804" s="350"/>
    </row>
    <row r="805" spans="1:32" s="597" customFormat="1" ht="18" customHeight="1" x14ac:dyDescent="0.2">
      <c r="A805" s="2070"/>
      <c r="B805" s="177"/>
      <c r="C805" s="177"/>
      <c r="D805" s="2070"/>
      <c r="E805" s="2070"/>
      <c r="F805" s="2070"/>
      <c r="G805" s="2070"/>
      <c r="H805" s="2076"/>
      <c r="I805" s="2072"/>
      <c r="J805" s="178"/>
      <c r="K805" s="2072"/>
      <c r="L805" s="2070"/>
      <c r="M805" s="2070"/>
      <c r="N805" s="2070"/>
      <c r="O805" s="2070"/>
      <c r="P805" s="2076"/>
      <c r="Q805" s="2071"/>
      <c r="R805" s="437"/>
      <c r="S805" s="2072"/>
      <c r="T805" s="179"/>
      <c r="U805" s="178"/>
      <c r="V805" s="2072"/>
      <c r="W805" s="2072"/>
      <c r="X805" s="470"/>
      <c r="Y805" s="470"/>
      <c r="Z805" s="471"/>
      <c r="AA805" s="764"/>
      <c r="AB805" s="466"/>
      <c r="AC805" s="350"/>
      <c r="AD805" s="350"/>
      <c r="AE805" s="350"/>
      <c r="AF805" s="350"/>
    </row>
    <row r="806" spans="1:32" s="597" customFormat="1" ht="18" customHeight="1" x14ac:dyDescent="0.2">
      <c r="A806" s="2070"/>
      <c r="B806" s="177"/>
      <c r="C806" s="177"/>
      <c r="D806" s="2070"/>
      <c r="E806" s="2070"/>
      <c r="F806" s="2070"/>
      <c r="G806" s="2070"/>
      <c r="H806" s="2076"/>
      <c r="I806" s="2072"/>
      <c r="J806" s="178"/>
      <c r="K806" s="2072"/>
      <c r="L806" s="2070"/>
      <c r="M806" s="2070"/>
      <c r="N806" s="2070"/>
      <c r="O806" s="2070"/>
      <c r="P806" s="2076"/>
      <c r="Q806" s="2071"/>
      <c r="R806" s="437"/>
      <c r="S806" s="2072"/>
      <c r="T806" s="179"/>
      <c r="U806" s="178"/>
      <c r="V806" s="2072"/>
      <c r="W806" s="2072"/>
      <c r="X806" s="470"/>
      <c r="Y806" s="470"/>
      <c r="Z806" s="471"/>
      <c r="AA806" s="764"/>
      <c r="AB806" s="466"/>
      <c r="AC806" s="350"/>
      <c r="AD806" s="350"/>
      <c r="AE806" s="350"/>
      <c r="AF806" s="350"/>
    </row>
    <row r="807" spans="1:32" s="597" customFormat="1" ht="18" customHeight="1" x14ac:dyDescent="0.2">
      <c r="A807" s="2070"/>
      <c r="B807" s="177"/>
      <c r="C807" s="177"/>
      <c r="D807" s="2070"/>
      <c r="E807" s="2070"/>
      <c r="F807" s="2070"/>
      <c r="G807" s="2070"/>
      <c r="H807" s="2076"/>
      <c r="I807" s="2072"/>
      <c r="J807" s="178"/>
      <c r="K807" s="2072"/>
      <c r="L807" s="2070"/>
      <c r="M807" s="2070"/>
      <c r="N807" s="2070"/>
      <c r="O807" s="2070"/>
      <c r="P807" s="2076"/>
      <c r="Q807" s="2071"/>
      <c r="R807" s="437"/>
      <c r="S807" s="2072"/>
      <c r="T807" s="179"/>
      <c r="U807" s="178"/>
      <c r="V807" s="2072"/>
      <c r="W807" s="2072"/>
      <c r="X807" s="470"/>
      <c r="Y807" s="470"/>
      <c r="Z807" s="471"/>
      <c r="AA807" s="764"/>
      <c r="AB807" s="466"/>
      <c r="AC807" s="350"/>
      <c r="AD807" s="350"/>
      <c r="AE807" s="350"/>
      <c r="AF807" s="350"/>
    </row>
    <row r="808" spans="1:32" s="597" customFormat="1" ht="18" customHeight="1" x14ac:dyDescent="0.2">
      <c r="A808" s="2070"/>
      <c r="B808" s="177"/>
      <c r="C808" s="177"/>
      <c r="D808" s="2070"/>
      <c r="E808" s="2070"/>
      <c r="F808" s="2070"/>
      <c r="G808" s="2070"/>
      <c r="H808" s="2076"/>
      <c r="I808" s="2072"/>
      <c r="J808" s="178"/>
      <c r="K808" s="2072"/>
      <c r="L808" s="2070"/>
      <c r="M808" s="2070"/>
      <c r="N808" s="2070"/>
      <c r="O808" s="2070"/>
      <c r="P808" s="2076"/>
      <c r="Q808" s="2071"/>
      <c r="R808" s="437"/>
      <c r="S808" s="2072"/>
      <c r="T808" s="179"/>
      <c r="U808" s="178"/>
      <c r="V808" s="2072"/>
      <c r="W808" s="2072"/>
      <c r="X808" s="470"/>
      <c r="Y808" s="470"/>
      <c r="Z808" s="471"/>
      <c r="AA808" s="764"/>
      <c r="AB808" s="466"/>
      <c r="AC808" s="350"/>
      <c r="AD808" s="350"/>
      <c r="AE808" s="350"/>
      <c r="AF808" s="350"/>
    </row>
    <row r="809" spans="1:32" s="597" customFormat="1" ht="18" customHeight="1" x14ac:dyDescent="0.2">
      <c r="A809" s="2070"/>
      <c r="B809" s="177"/>
      <c r="C809" s="177"/>
      <c r="D809" s="2070"/>
      <c r="E809" s="2070"/>
      <c r="F809" s="2070"/>
      <c r="G809" s="2070"/>
      <c r="H809" s="2076"/>
      <c r="I809" s="2072"/>
      <c r="J809" s="178"/>
      <c r="K809" s="2072"/>
      <c r="L809" s="2070"/>
      <c r="M809" s="2070"/>
      <c r="N809" s="2070"/>
      <c r="O809" s="2070"/>
      <c r="P809" s="2076"/>
      <c r="Q809" s="2071"/>
      <c r="R809" s="437"/>
      <c r="S809" s="2072"/>
      <c r="T809" s="179"/>
      <c r="U809" s="178"/>
      <c r="V809" s="2072"/>
      <c r="W809" s="2072"/>
      <c r="X809" s="470"/>
      <c r="Y809" s="470"/>
      <c r="Z809" s="471"/>
      <c r="AA809" s="764"/>
      <c r="AB809" s="466"/>
      <c r="AC809" s="350"/>
      <c r="AD809" s="350"/>
      <c r="AE809" s="350"/>
      <c r="AF809" s="350"/>
    </row>
    <row r="810" spans="1:32" s="597" customFormat="1" ht="18" customHeight="1" x14ac:dyDescent="0.2">
      <c r="A810" s="88"/>
      <c r="B810" s="180"/>
      <c r="C810" s="180"/>
      <c r="D810" s="88"/>
      <c r="E810" s="88"/>
      <c r="F810" s="88"/>
      <c r="G810" s="88"/>
      <c r="H810" s="120"/>
      <c r="I810" s="121"/>
      <c r="J810" s="181"/>
      <c r="K810" s="121"/>
      <c r="L810" s="88"/>
      <c r="M810" s="88"/>
      <c r="N810" s="88"/>
      <c r="O810" s="88"/>
      <c r="P810" s="88"/>
      <c r="Q810" s="129"/>
      <c r="R810" s="445"/>
      <c r="S810" s="121"/>
      <c r="T810" s="182"/>
      <c r="U810" s="181"/>
      <c r="V810" s="121"/>
      <c r="W810" s="121"/>
      <c r="X810" s="472"/>
      <c r="Y810" s="472"/>
      <c r="Z810" s="473"/>
      <c r="AA810" s="780"/>
      <c r="AB810" s="410"/>
      <c r="AC810" s="351"/>
      <c r="AD810" s="351"/>
      <c r="AE810" s="351"/>
      <c r="AF810" s="351"/>
    </row>
    <row r="811" spans="1:32" s="597" customFormat="1" ht="18" customHeight="1" x14ac:dyDescent="0.2">
      <c r="A811" s="1850"/>
      <c r="B811" s="1850"/>
      <c r="C811" s="1850"/>
      <c r="D811" s="1850"/>
      <c r="E811" s="1850"/>
      <c r="F811" s="1850"/>
      <c r="G811" s="1850"/>
      <c r="H811" s="1851"/>
      <c r="I811" s="1852"/>
      <c r="J811" s="1853"/>
      <c r="K811" s="1852"/>
      <c r="L811" s="1852"/>
      <c r="M811" s="1852"/>
      <c r="N811" s="1852"/>
      <c r="O811" s="1852"/>
      <c r="P811" s="1852"/>
      <c r="Q811" s="1852"/>
      <c r="R811" s="1854"/>
      <c r="S811" s="1852"/>
      <c r="T811" s="1855"/>
      <c r="U811" s="1853"/>
      <c r="V811" s="1852"/>
      <c r="W811" s="1852"/>
      <c r="X811" s="1856"/>
      <c r="Y811" s="1856"/>
      <c r="Z811" s="1857"/>
      <c r="AA811" s="2125"/>
      <c r="AB811" s="1847">
        <f>SUM(AB797:AB810)</f>
        <v>121</v>
      </c>
      <c r="AC811" s="1861"/>
      <c r="AD811" s="1861"/>
      <c r="AE811" s="1861"/>
      <c r="AF811" s="1861"/>
    </row>
    <row r="812" spans="1:32" s="597" customFormat="1" ht="14.1" customHeight="1" x14ac:dyDescent="0.2">
      <c r="A812" s="2690" t="s">
        <v>76</v>
      </c>
      <c r="B812" s="2690"/>
      <c r="C812" s="2691" t="s">
        <v>77</v>
      </c>
      <c r="D812" s="2691"/>
      <c r="E812" s="2691"/>
      <c r="F812" s="2691"/>
      <c r="G812" s="2691"/>
      <c r="H812" s="2691"/>
      <c r="I812" s="604" t="s">
        <v>78</v>
      </c>
      <c r="J812" s="604"/>
      <c r="K812" s="604"/>
      <c r="L812" s="604"/>
      <c r="M812" s="604"/>
      <c r="N812" s="604"/>
      <c r="AA812" s="767"/>
      <c r="AB812" s="598"/>
    </row>
    <row r="813" spans="1:32" s="597" customFormat="1" ht="14.1" customHeight="1" x14ac:dyDescent="0.2">
      <c r="A813" s="604"/>
      <c r="B813" s="605"/>
      <c r="C813" s="604"/>
      <c r="D813" s="604"/>
      <c r="E813" s="604"/>
      <c r="F813" s="604"/>
      <c r="G813" s="604"/>
      <c r="H813" s="604"/>
      <c r="I813" s="604" t="s">
        <v>79</v>
      </c>
      <c r="J813" s="604"/>
      <c r="K813" s="604"/>
      <c r="L813" s="604"/>
      <c r="M813" s="604"/>
      <c r="N813" s="604"/>
      <c r="AA813" s="767"/>
      <c r="AB813" s="598"/>
    </row>
    <row r="814" spans="1:32" s="597" customFormat="1" ht="14.1" customHeight="1" x14ac:dyDescent="0.2">
      <c r="A814" s="604"/>
      <c r="B814" s="605"/>
      <c r="C814" s="604"/>
      <c r="D814" s="604"/>
      <c r="E814" s="604"/>
      <c r="F814" s="604"/>
      <c r="G814" s="604"/>
      <c r="H814" s="604"/>
      <c r="I814" s="604" t="s">
        <v>80</v>
      </c>
      <c r="J814" s="604"/>
      <c r="K814" s="604"/>
      <c r="L814" s="604"/>
      <c r="M814" s="604"/>
      <c r="N814" s="604"/>
      <c r="AA814" s="767"/>
      <c r="AB814" s="598"/>
    </row>
    <row r="815" spans="1:32" s="597" customFormat="1" ht="14.1" customHeight="1" x14ac:dyDescent="0.2">
      <c r="A815" s="604"/>
      <c r="B815" s="605"/>
      <c r="C815" s="604"/>
      <c r="D815" s="604"/>
      <c r="E815" s="604"/>
      <c r="F815" s="604"/>
      <c r="G815" s="604"/>
      <c r="H815" s="604"/>
      <c r="I815" s="604" t="s">
        <v>81</v>
      </c>
      <c r="J815" s="604"/>
      <c r="K815" s="604"/>
      <c r="L815" s="604"/>
      <c r="M815" s="604"/>
      <c r="N815" s="604"/>
      <c r="AA815" s="767"/>
      <c r="AB815" s="598"/>
    </row>
    <row r="816" spans="1:32" s="597" customFormat="1" ht="14.1" customHeight="1" x14ac:dyDescent="0.2">
      <c r="A816" s="604"/>
      <c r="B816" s="605"/>
      <c r="C816" s="604"/>
      <c r="D816" s="604"/>
      <c r="E816" s="604"/>
      <c r="F816" s="604"/>
      <c r="G816" s="604"/>
      <c r="H816" s="604"/>
      <c r="I816" s="604" t="s">
        <v>88</v>
      </c>
      <c r="J816" s="604"/>
      <c r="K816" s="604"/>
      <c r="L816" s="604"/>
      <c r="M816" s="604"/>
      <c r="N816" s="604"/>
      <c r="AA816" s="767"/>
      <c r="AB816" s="598"/>
    </row>
    <row r="817" spans="1:32" s="665" customFormat="1" ht="18" customHeight="1" x14ac:dyDescent="0.2">
      <c r="A817" s="339"/>
      <c r="B817" s="339"/>
      <c r="C817" s="339"/>
      <c r="D817" s="339"/>
      <c r="E817" s="339"/>
      <c r="F817" s="339"/>
      <c r="G817" s="339"/>
      <c r="H817" s="339"/>
      <c r="I817" s="339"/>
      <c r="J817" s="339"/>
      <c r="K817" s="339"/>
      <c r="L817" s="339"/>
      <c r="M817" s="339"/>
      <c r="N817" s="339"/>
      <c r="O817" s="339"/>
      <c r="P817" s="339"/>
      <c r="Q817" s="339"/>
      <c r="R817" s="339"/>
      <c r="S817" s="339"/>
      <c r="T817" s="339"/>
      <c r="U817" s="339"/>
      <c r="V817" s="339"/>
      <c r="W817" s="339"/>
      <c r="X817" s="339"/>
      <c r="Y817" s="339"/>
      <c r="Z817" s="339"/>
      <c r="AA817" s="2702" t="s">
        <v>0</v>
      </c>
      <c r="AB817" s="2702"/>
      <c r="AC817" s="339"/>
      <c r="AD817" s="339"/>
      <c r="AE817" s="339"/>
      <c r="AF817" s="339"/>
    </row>
    <row r="818" spans="1:32" s="597" customFormat="1" ht="18" customHeight="1" x14ac:dyDescent="0.2">
      <c r="A818" s="2703" t="s">
        <v>1</v>
      </c>
      <c r="B818" s="2703"/>
      <c r="C818" s="2703"/>
      <c r="D818" s="2703"/>
      <c r="E818" s="2703"/>
      <c r="F818" s="2703"/>
      <c r="G818" s="2703"/>
      <c r="H818" s="2703"/>
      <c r="I818" s="2703"/>
      <c r="J818" s="2703"/>
      <c r="K818" s="2703"/>
      <c r="L818" s="2703"/>
      <c r="M818" s="2703"/>
      <c r="N818" s="2703"/>
      <c r="O818" s="2703"/>
      <c r="P818" s="2703"/>
      <c r="Q818" s="2703"/>
      <c r="R818" s="2703"/>
      <c r="S818" s="2703"/>
      <c r="T818" s="2703"/>
      <c r="U818" s="2703"/>
      <c r="V818" s="2703"/>
      <c r="W818" s="2703"/>
      <c r="X818" s="2703"/>
      <c r="Y818" s="2703"/>
      <c r="Z818" s="2703"/>
      <c r="AA818" s="2703"/>
      <c r="AB818" s="2703"/>
      <c r="AC818" s="344"/>
      <c r="AD818" s="344"/>
      <c r="AE818" s="344"/>
      <c r="AF818" s="344"/>
    </row>
    <row r="819" spans="1:32" s="597" customFormat="1" ht="18" customHeight="1" x14ac:dyDescent="0.2">
      <c r="A819" s="2704" t="s">
        <v>569</v>
      </c>
      <c r="B819" s="2704"/>
      <c r="C819" s="2704"/>
      <c r="D819" s="2704"/>
      <c r="E819" s="2704"/>
      <c r="F819" s="2704"/>
      <c r="G819" s="2704"/>
      <c r="H819" s="2704"/>
      <c r="I819" s="2704"/>
      <c r="J819" s="2704"/>
      <c r="K819" s="2704"/>
      <c r="L819" s="2704"/>
      <c r="M819" s="2704"/>
      <c r="N819" s="2704"/>
      <c r="O819" s="2704"/>
      <c r="P819" s="2704"/>
      <c r="Q819" s="2704"/>
      <c r="R819" s="2704"/>
      <c r="S819" s="2704"/>
      <c r="T819" s="2704"/>
      <c r="U819" s="2704"/>
      <c r="V819" s="2704"/>
      <c r="W819" s="2704"/>
      <c r="X819" s="2704"/>
      <c r="Y819" s="2704"/>
      <c r="Z819" s="2704"/>
      <c r="AA819" s="2704"/>
      <c r="AB819" s="2704"/>
      <c r="AC819" s="599"/>
      <c r="AD819" s="599"/>
      <c r="AE819" s="599"/>
      <c r="AF819" s="599"/>
    </row>
    <row r="820" spans="1:32" s="597" customFormat="1" ht="14.1" customHeight="1" x14ac:dyDescent="0.2">
      <c r="A820" s="2686" t="s">
        <v>2</v>
      </c>
      <c r="B820" s="360"/>
      <c r="C820" s="2686" t="s">
        <v>3</v>
      </c>
      <c r="D820" s="360"/>
      <c r="E820" s="360"/>
      <c r="F820" s="2693" t="s">
        <v>4</v>
      </c>
      <c r="G820" s="2693"/>
      <c r="H820" s="2693"/>
      <c r="I820" s="2694"/>
      <c r="J820" s="2694"/>
      <c r="K820" s="2695"/>
      <c r="L820" s="361"/>
      <c r="M820" s="2679" t="s">
        <v>5</v>
      </c>
      <c r="N820" s="2679"/>
      <c r="O820" s="2679"/>
      <c r="P820" s="2679"/>
      <c r="Q820" s="2696"/>
      <c r="R820" s="2696"/>
      <c r="S820" s="2696"/>
      <c r="T820" s="2696"/>
      <c r="U820" s="2696"/>
      <c r="V820" s="2697"/>
      <c r="W820" s="362" t="s">
        <v>6</v>
      </c>
      <c r="X820" s="363" t="s">
        <v>7</v>
      </c>
      <c r="Y820" s="364"/>
      <c r="Z820" s="364"/>
      <c r="AA820" s="363"/>
      <c r="AB820" s="365"/>
      <c r="AC820" s="516" t="s">
        <v>8</v>
      </c>
      <c r="AD820" s="346"/>
      <c r="AE820" s="346"/>
      <c r="AF820" s="600"/>
    </row>
    <row r="821" spans="1:32" s="597" customFormat="1" ht="14.1" customHeight="1" x14ac:dyDescent="0.2">
      <c r="A821" s="2687"/>
      <c r="B821" s="367"/>
      <c r="C821" s="2687"/>
      <c r="D821" s="2062" t="s">
        <v>9</v>
      </c>
      <c r="E821" s="368" t="s">
        <v>10</v>
      </c>
      <c r="F821" s="2698" t="s">
        <v>11</v>
      </c>
      <c r="G821" s="2694"/>
      <c r="H821" s="2695"/>
      <c r="I821" s="360"/>
      <c r="J821" s="369" t="s">
        <v>12</v>
      </c>
      <c r="K821" s="360"/>
      <c r="L821" s="2679" t="s">
        <v>2</v>
      </c>
      <c r="M821" s="2067"/>
      <c r="N821" s="2067"/>
      <c r="O821" s="2067"/>
      <c r="P821" s="371"/>
      <c r="Q821" s="372" t="s">
        <v>13</v>
      </c>
      <c r="R821" s="373" t="s">
        <v>12</v>
      </c>
      <c r="S821" s="2067" t="s">
        <v>6</v>
      </c>
      <c r="T821" s="2682" t="s">
        <v>14</v>
      </c>
      <c r="U821" s="2683"/>
      <c r="V821" s="375" t="s">
        <v>7</v>
      </c>
      <c r="W821" s="376" t="s">
        <v>15</v>
      </c>
      <c r="X821" s="377" t="s">
        <v>16</v>
      </c>
      <c r="Y821" s="377" t="s">
        <v>17</v>
      </c>
      <c r="Z821" s="377" t="s">
        <v>18</v>
      </c>
      <c r="AA821" s="377"/>
      <c r="AB821" s="378" t="s">
        <v>19</v>
      </c>
      <c r="AC821" s="528" t="s">
        <v>20</v>
      </c>
      <c r="AD821" s="601"/>
      <c r="AE821" s="347" t="s">
        <v>21</v>
      </c>
      <c r="AF821" s="340" t="s">
        <v>22</v>
      </c>
    </row>
    <row r="822" spans="1:32" s="597" customFormat="1" ht="14.1" customHeight="1" x14ac:dyDescent="0.2">
      <c r="A822" s="2687"/>
      <c r="B822" s="2062" t="s">
        <v>23</v>
      </c>
      <c r="C822" s="2687"/>
      <c r="D822" s="2062" t="s">
        <v>24</v>
      </c>
      <c r="E822" s="368" t="s">
        <v>25</v>
      </c>
      <c r="F822" s="2699"/>
      <c r="G822" s="2700"/>
      <c r="H822" s="2701"/>
      <c r="I822" s="2062" t="s">
        <v>26</v>
      </c>
      <c r="J822" s="379" t="s">
        <v>15</v>
      </c>
      <c r="K822" s="2066" t="s">
        <v>6</v>
      </c>
      <c r="L822" s="2680"/>
      <c r="M822" s="2068" t="s">
        <v>27</v>
      </c>
      <c r="N822" s="2068" t="s">
        <v>10</v>
      </c>
      <c r="O822" s="382" t="s">
        <v>10</v>
      </c>
      <c r="P822" s="383" t="s">
        <v>28</v>
      </c>
      <c r="Q822" s="384" t="s">
        <v>29</v>
      </c>
      <c r="R822" s="383" t="s">
        <v>15</v>
      </c>
      <c r="S822" s="385" t="s">
        <v>15</v>
      </c>
      <c r="T822" s="2684"/>
      <c r="U822" s="2685"/>
      <c r="V822" s="375" t="s">
        <v>30</v>
      </c>
      <c r="W822" s="376" t="s">
        <v>31</v>
      </c>
      <c r="X822" s="377" t="s">
        <v>30</v>
      </c>
      <c r="Y822" s="377" t="s">
        <v>32</v>
      </c>
      <c r="Z822" s="377" t="s">
        <v>7</v>
      </c>
      <c r="AA822" s="377" t="s">
        <v>33</v>
      </c>
      <c r="AB822" s="378" t="s">
        <v>34</v>
      </c>
      <c r="AC822" s="528" t="s">
        <v>35</v>
      </c>
      <c r="AD822" s="347" t="s">
        <v>36</v>
      </c>
      <c r="AE822" s="347" t="s">
        <v>37</v>
      </c>
      <c r="AF822" s="340" t="s">
        <v>38</v>
      </c>
    </row>
    <row r="823" spans="1:32" s="597" customFormat="1" ht="14.1" customHeight="1" x14ac:dyDescent="0.2">
      <c r="A823" s="2687"/>
      <c r="B823" s="2062" t="s">
        <v>39</v>
      </c>
      <c r="C823" s="2687"/>
      <c r="D823" s="2062" t="s">
        <v>40</v>
      </c>
      <c r="E823" s="368" t="s">
        <v>41</v>
      </c>
      <c r="F823" s="2686" t="s">
        <v>42</v>
      </c>
      <c r="G823" s="2686" t="s">
        <v>43</v>
      </c>
      <c r="H823" s="2688" t="s">
        <v>44</v>
      </c>
      <c r="I823" s="2062" t="s">
        <v>45</v>
      </c>
      <c r="J823" s="379" t="s">
        <v>46</v>
      </c>
      <c r="K823" s="2066" t="s">
        <v>47</v>
      </c>
      <c r="L823" s="2680"/>
      <c r="M823" s="2068" t="s">
        <v>30</v>
      </c>
      <c r="N823" s="2068" t="s">
        <v>30</v>
      </c>
      <c r="O823" s="382" t="s">
        <v>25</v>
      </c>
      <c r="P823" s="383" t="s">
        <v>30</v>
      </c>
      <c r="Q823" s="384" t="s">
        <v>48</v>
      </c>
      <c r="R823" s="383" t="s">
        <v>49</v>
      </c>
      <c r="S823" s="385" t="s">
        <v>30</v>
      </c>
      <c r="T823" s="386" t="s">
        <v>50</v>
      </c>
      <c r="U823" s="2065" t="s">
        <v>13</v>
      </c>
      <c r="V823" s="375" t="s">
        <v>51</v>
      </c>
      <c r="W823" s="376" t="s">
        <v>52</v>
      </c>
      <c r="X823" s="377" t="s">
        <v>53</v>
      </c>
      <c r="Y823" s="377" t="s">
        <v>54</v>
      </c>
      <c r="Z823" s="377" t="s">
        <v>55</v>
      </c>
      <c r="AA823" s="377" t="s">
        <v>56</v>
      </c>
      <c r="AB823" s="378" t="s">
        <v>57</v>
      </c>
      <c r="AC823" s="347" t="s">
        <v>58</v>
      </c>
      <c r="AD823" s="347" t="s">
        <v>59</v>
      </c>
      <c r="AE823" s="347" t="s">
        <v>59</v>
      </c>
      <c r="AF823" s="340" t="s">
        <v>60</v>
      </c>
    </row>
    <row r="824" spans="1:32" s="597" customFormat="1" ht="14.1" customHeight="1" x14ac:dyDescent="0.2">
      <c r="A824" s="2687"/>
      <c r="B824" s="2062" t="s">
        <v>61</v>
      </c>
      <c r="C824" s="2687"/>
      <c r="D824" s="2062" t="s">
        <v>62</v>
      </c>
      <c r="E824" s="368" t="s">
        <v>63</v>
      </c>
      <c r="F824" s="2687"/>
      <c r="G824" s="2687"/>
      <c r="H824" s="2689"/>
      <c r="I824" s="2062" t="s">
        <v>64</v>
      </c>
      <c r="J824" s="379" t="s">
        <v>59</v>
      </c>
      <c r="K824" s="2066" t="s">
        <v>59</v>
      </c>
      <c r="L824" s="2680"/>
      <c r="M824" s="2068"/>
      <c r="N824" s="2068"/>
      <c r="O824" s="382" t="s">
        <v>41</v>
      </c>
      <c r="P824" s="383" t="s">
        <v>65</v>
      </c>
      <c r="Q824" s="384" t="s">
        <v>66</v>
      </c>
      <c r="R824" s="383" t="s">
        <v>67</v>
      </c>
      <c r="S824" s="385" t="s">
        <v>59</v>
      </c>
      <c r="T824" s="387" t="s">
        <v>68</v>
      </c>
      <c r="U824" s="375" t="s">
        <v>14</v>
      </c>
      <c r="V824" s="375" t="s">
        <v>14</v>
      </c>
      <c r="W824" s="376" t="s">
        <v>30</v>
      </c>
      <c r="X824" s="388" t="s">
        <v>69</v>
      </c>
      <c r="Y824" s="388" t="s">
        <v>70</v>
      </c>
      <c r="Z824" s="377" t="s">
        <v>71</v>
      </c>
      <c r="AA824" s="377" t="s">
        <v>72</v>
      </c>
      <c r="AB824" s="378" t="s">
        <v>59</v>
      </c>
      <c r="AC824" s="347" t="s">
        <v>59</v>
      </c>
      <c r="AD824" s="347"/>
      <c r="AE824" s="347"/>
      <c r="AF824" s="340" t="s">
        <v>59</v>
      </c>
    </row>
    <row r="825" spans="1:32" s="597" customFormat="1" ht="14.1" customHeight="1" x14ac:dyDescent="0.2">
      <c r="A825" s="2692"/>
      <c r="B825" s="390"/>
      <c r="C825" s="2692"/>
      <c r="D825" s="390"/>
      <c r="E825" s="2063"/>
      <c r="F825" s="390"/>
      <c r="G825" s="390"/>
      <c r="H825" s="391"/>
      <c r="I825" s="2063"/>
      <c r="J825" s="392"/>
      <c r="K825" s="393"/>
      <c r="L825" s="2681"/>
      <c r="M825" s="2069"/>
      <c r="N825" s="2069"/>
      <c r="O825" s="2069" t="s">
        <v>63</v>
      </c>
      <c r="P825" s="395"/>
      <c r="Q825" s="396" t="s">
        <v>72</v>
      </c>
      <c r="R825" s="397" t="s">
        <v>59</v>
      </c>
      <c r="S825" s="398"/>
      <c r="T825" s="397" t="s">
        <v>73</v>
      </c>
      <c r="U825" s="398" t="s">
        <v>59</v>
      </c>
      <c r="V825" s="399" t="s">
        <v>59</v>
      </c>
      <c r="W825" s="400" t="s">
        <v>59</v>
      </c>
      <c r="X825" s="401" t="s">
        <v>59</v>
      </c>
      <c r="Y825" s="401" t="s">
        <v>59</v>
      </c>
      <c r="Z825" s="401" t="s">
        <v>59</v>
      </c>
      <c r="AA825" s="402"/>
      <c r="AB825" s="403"/>
      <c r="AC825" s="348"/>
      <c r="AD825" s="348"/>
      <c r="AE825" s="348"/>
      <c r="AF825" s="341"/>
    </row>
    <row r="826" spans="1:32" s="597" customFormat="1" ht="18" customHeight="1" x14ac:dyDescent="0.25">
      <c r="A826" s="242">
        <v>3</v>
      </c>
      <c r="B826" s="325">
        <v>42694</v>
      </c>
      <c r="C826" s="21">
        <v>783</v>
      </c>
      <c r="D826" s="15" t="s">
        <v>83</v>
      </c>
      <c r="E826" s="15">
        <v>3</v>
      </c>
      <c r="F826" s="15">
        <v>0</v>
      </c>
      <c r="G826" s="807">
        <v>2</v>
      </c>
      <c r="H826" s="22">
        <v>32</v>
      </c>
      <c r="I826" s="30">
        <f>F826*400+G826*100+H826</f>
        <v>232</v>
      </c>
      <c r="J826" s="31">
        <v>280</v>
      </c>
      <c r="K826" s="39">
        <f>+I826*J826</f>
        <v>64960</v>
      </c>
      <c r="L826" s="15"/>
      <c r="M826" s="15"/>
      <c r="N826" s="15"/>
      <c r="O826" s="15"/>
      <c r="P826" s="22"/>
      <c r="Q826" s="25"/>
      <c r="R826" s="563">
        <v>0</v>
      </c>
      <c r="S826" s="23">
        <f>+P826*R826</f>
        <v>0</v>
      </c>
      <c r="T826" s="26"/>
      <c r="U826" s="24">
        <f>+S826*3/100</f>
        <v>0</v>
      </c>
      <c r="V826" s="23">
        <f>+S826-U826</f>
        <v>0</v>
      </c>
      <c r="W826" s="18">
        <f>+K826+V826</f>
        <v>64960</v>
      </c>
      <c r="X826" s="18">
        <f>W826</f>
        <v>64960</v>
      </c>
      <c r="Y826" s="564"/>
      <c r="Z826" s="18">
        <f>X826</f>
        <v>64960</v>
      </c>
      <c r="AA826" s="292">
        <v>0.3</v>
      </c>
      <c r="AB826" s="660">
        <f>+Z826*AA826/100</f>
        <v>194.88</v>
      </c>
      <c r="AC826" s="350"/>
      <c r="AD826" s="719"/>
      <c r="AE826" s="719"/>
      <c r="AF826" s="719"/>
    </row>
    <row r="827" spans="1:32" s="597" customFormat="1" ht="18" customHeight="1" x14ac:dyDescent="0.2">
      <c r="A827" s="2070"/>
      <c r="B827" s="2070"/>
      <c r="C827" s="2070"/>
      <c r="D827" s="2070"/>
      <c r="E827" s="2070"/>
      <c r="F827" s="2070"/>
      <c r="G827" s="2070"/>
      <c r="H827" s="2076"/>
      <c r="I827" s="178"/>
      <c r="J827" s="178"/>
      <c r="K827" s="178"/>
      <c r="L827" s="2070"/>
      <c r="M827" s="2070"/>
      <c r="N827" s="2070"/>
      <c r="O827" s="2070"/>
      <c r="P827" s="2076"/>
      <c r="Q827" s="2071"/>
      <c r="R827" s="437"/>
      <c r="S827" s="178"/>
      <c r="T827" s="179"/>
      <c r="U827" s="178"/>
      <c r="V827" s="178"/>
      <c r="W827" s="178"/>
      <c r="X827" s="470"/>
      <c r="Y827" s="470"/>
      <c r="Z827" s="748"/>
      <c r="AA827" s="876"/>
      <c r="AB827" s="744"/>
      <c r="AC827" s="350"/>
      <c r="AD827" s="350"/>
      <c r="AE827" s="350"/>
      <c r="AF827" s="350"/>
    </row>
    <row r="828" spans="1:32" s="597" customFormat="1" ht="18" customHeight="1" x14ac:dyDescent="0.2">
      <c r="A828" s="2070"/>
      <c r="B828" s="2070"/>
      <c r="C828" s="2070"/>
      <c r="D828" s="2070"/>
      <c r="E828" s="2070"/>
      <c r="F828" s="2070"/>
      <c r="G828" s="2070"/>
      <c r="H828" s="2076"/>
      <c r="I828" s="178"/>
      <c r="J828" s="178"/>
      <c r="K828" s="178"/>
      <c r="L828" s="2070"/>
      <c r="M828" s="2070"/>
      <c r="N828" s="2070"/>
      <c r="O828" s="2070"/>
      <c r="P828" s="2076"/>
      <c r="Q828" s="2071"/>
      <c r="R828" s="437"/>
      <c r="S828" s="178"/>
      <c r="T828" s="179"/>
      <c r="U828" s="178"/>
      <c r="V828" s="178"/>
      <c r="W828" s="178"/>
      <c r="X828" s="470"/>
      <c r="Y828" s="470"/>
      <c r="Z828" s="748"/>
      <c r="AA828" s="876"/>
      <c r="AB828" s="744"/>
      <c r="AC828" s="350"/>
      <c r="AD828" s="350"/>
      <c r="AE828" s="350"/>
      <c r="AF828" s="350"/>
    </row>
    <row r="829" spans="1:32" s="597" customFormat="1" ht="18" customHeight="1" x14ac:dyDescent="0.2">
      <c r="A829" s="2070"/>
      <c r="B829" s="2070"/>
      <c r="C829" s="2070"/>
      <c r="D829" s="2070"/>
      <c r="E829" s="2070"/>
      <c r="F829" s="2070"/>
      <c r="G829" s="2070"/>
      <c r="H829" s="2076"/>
      <c r="I829" s="178"/>
      <c r="J829" s="178"/>
      <c r="K829" s="178"/>
      <c r="L829" s="2070"/>
      <c r="M829" s="2070"/>
      <c r="N829" s="2070"/>
      <c r="O829" s="2070"/>
      <c r="P829" s="2076"/>
      <c r="Q829" s="2071"/>
      <c r="R829" s="437"/>
      <c r="S829" s="178"/>
      <c r="T829" s="179"/>
      <c r="U829" s="178"/>
      <c r="V829" s="178"/>
      <c r="W829" s="178"/>
      <c r="X829" s="470"/>
      <c r="Y829" s="470"/>
      <c r="Z829" s="748"/>
      <c r="AA829" s="876"/>
      <c r="AB829" s="744"/>
      <c r="AC829" s="350"/>
      <c r="AD829" s="350"/>
      <c r="AE829" s="350"/>
      <c r="AF829" s="350"/>
    </row>
    <row r="830" spans="1:32" s="597" customFormat="1" ht="18" customHeight="1" x14ac:dyDescent="0.2">
      <c r="A830" s="2070"/>
      <c r="B830" s="2070"/>
      <c r="C830" s="2070"/>
      <c r="D830" s="2070"/>
      <c r="E830" s="2070"/>
      <c r="F830" s="2070"/>
      <c r="G830" s="2070"/>
      <c r="H830" s="2076"/>
      <c r="I830" s="178"/>
      <c r="J830" s="178"/>
      <c r="K830" s="178"/>
      <c r="L830" s="2070"/>
      <c r="M830" s="2070"/>
      <c r="N830" s="2070"/>
      <c r="O830" s="2070"/>
      <c r="P830" s="2076"/>
      <c r="Q830" s="2071"/>
      <c r="R830" s="437"/>
      <c r="S830" s="178"/>
      <c r="T830" s="179"/>
      <c r="U830" s="178"/>
      <c r="V830" s="178"/>
      <c r="W830" s="178"/>
      <c r="X830" s="470"/>
      <c r="Y830" s="470"/>
      <c r="Z830" s="748"/>
      <c r="AA830" s="876"/>
      <c r="AB830" s="744"/>
      <c r="AC830" s="350"/>
      <c r="AD830" s="350"/>
      <c r="AE830" s="350"/>
      <c r="AF830" s="350"/>
    </row>
    <row r="831" spans="1:32" s="597" customFormat="1" ht="18" customHeight="1" x14ac:dyDescent="0.2">
      <c r="A831" s="2070"/>
      <c r="B831" s="2070"/>
      <c r="C831" s="2070"/>
      <c r="D831" s="2070"/>
      <c r="E831" s="2070"/>
      <c r="F831" s="2070"/>
      <c r="G831" s="2070"/>
      <c r="H831" s="2076"/>
      <c r="I831" s="178"/>
      <c r="J831" s="178"/>
      <c r="K831" s="178"/>
      <c r="L831" s="2070"/>
      <c r="M831" s="2070"/>
      <c r="N831" s="2070"/>
      <c r="O831" s="2070"/>
      <c r="P831" s="2076"/>
      <c r="Q831" s="2071"/>
      <c r="R831" s="437"/>
      <c r="S831" s="178"/>
      <c r="T831" s="179"/>
      <c r="U831" s="178"/>
      <c r="V831" s="178"/>
      <c r="W831" s="178"/>
      <c r="X831" s="470"/>
      <c r="Y831" s="470"/>
      <c r="Z831" s="748"/>
      <c r="AA831" s="876"/>
      <c r="AB831" s="744"/>
      <c r="AC831" s="350"/>
      <c r="AD831" s="350"/>
      <c r="AE831" s="350"/>
      <c r="AF831" s="350"/>
    </row>
    <row r="832" spans="1:32" s="597" customFormat="1" ht="18" customHeight="1" x14ac:dyDescent="0.2">
      <c r="A832" s="2070"/>
      <c r="B832" s="2070"/>
      <c r="C832" s="2070"/>
      <c r="D832" s="2070"/>
      <c r="E832" s="2070"/>
      <c r="F832" s="2070"/>
      <c r="G832" s="2070"/>
      <c r="H832" s="2076"/>
      <c r="I832" s="178"/>
      <c r="J832" s="178"/>
      <c r="K832" s="178"/>
      <c r="L832" s="2070"/>
      <c r="M832" s="2070"/>
      <c r="N832" s="2070"/>
      <c r="O832" s="2070"/>
      <c r="P832" s="2076"/>
      <c r="Q832" s="2071"/>
      <c r="R832" s="437"/>
      <c r="S832" s="178"/>
      <c r="T832" s="179"/>
      <c r="U832" s="178"/>
      <c r="V832" s="178"/>
      <c r="W832" s="178"/>
      <c r="X832" s="470"/>
      <c r="Y832" s="470"/>
      <c r="Z832" s="748"/>
      <c r="AA832" s="876"/>
      <c r="AB832" s="744"/>
      <c r="AC832" s="350"/>
      <c r="AD832" s="350"/>
      <c r="AE832" s="350"/>
      <c r="AF832" s="350"/>
    </row>
    <row r="833" spans="1:32" s="597" customFormat="1" ht="18" customHeight="1" x14ac:dyDescent="0.2">
      <c r="A833" s="2070"/>
      <c r="B833" s="2070"/>
      <c r="C833" s="2070"/>
      <c r="D833" s="2070"/>
      <c r="E833" s="2070"/>
      <c r="F833" s="2070"/>
      <c r="G833" s="2070"/>
      <c r="H833" s="2076"/>
      <c r="I833" s="178"/>
      <c r="J833" s="178"/>
      <c r="K833" s="178"/>
      <c r="L833" s="2070"/>
      <c r="M833" s="2070"/>
      <c r="N833" s="2070"/>
      <c r="O833" s="2070"/>
      <c r="P833" s="2076"/>
      <c r="Q833" s="2071"/>
      <c r="R833" s="437"/>
      <c r="S833" s="178"/>
      <c r="T833" s="179"/>
      <c r="U833" s="178"/>
      <c r="V833" s="178"/>
      <c r="W833" s="178"/>
      <c r="X833" s="470"/>
      <c r="Y833" s="470"/>
      <c r="Z833" s="748"/>
      <c r="AA833" s="876"/>
      <c r="AB833" s="744"/>
      <c r="AC833" s="350"/>
      <c r="AD833" s="350"/>
      <c r="AE833" s="350"/>
      <c r="AF833" s="350"/>
    </row>
    <row r="834" spans="1:32" s="597" customFormat="1" ht="18" customHeight="1" x14ac:dyDescent="0.2">
      <c r="A834" s="2070"/>
      <c r="B834" s="2070"/>
      <c r="C834" s="2070"/>
      <c r="D834" s="2070"/>
      <c r="E834" s="2070"/>
      <c r="F834" s="2070"/>
      <c r="G834" s="2070"/>
      <c r="H834" s="2076"/>
      <c r="I834" s="178"/>
      <c r="J834" s="178"/>
      <c r="K834" s="178"/>
      <c r="L834" s="2070"/>
      <c r="M834" s="2070"/>
      <c r="N834" s="2070"/>
      <c r="O834" s="2070"/>
      <c r="P834" s="2076"/>
      <c r="Q834" s="2071"/>
      <c r="R834" s="437"/>
      <c r="S834" s="178"/>
      <c r="T834" s="179"/>
      <c r="U834" s="178"/>
      <c r="V834" s="178"/>
      <c r="W834" s="178"/>
      <c r="X834" s="470"/>
      <c r="Y834" s="470"/>
      <c r="Z834" s="748"/>
      <c r="AA834" s="876"/>
      <c r="AB834" s="744"/>
      <c r="AC834" s="350"/>
      <c r="AD834" s="350"/>
      <c r="AE834" s="350"/>
      <c r="AF834" s="350"/>
    </row>
    <row r="835" spans="1:32" s="597" customFormat="1" ht="18" customHeight="1" x14ac:dyDescent="0.2">
      <c r="A835" s="2070"/>
      <c r="B835" s="2070"/>
      <c r="C835" s="2070"/>
      <c r="D835" s="2070"/>
      <c r="E835" s="2070"/>
      <c r="F835" s="2070"/>
      <c r="G835" s="2070"/>
      <c r="H835" s="2076"/>
      <c r="I835" s="178"/>
      <c r="J835" s="178"/>
      <c r="K835" s="178"/>
      <c r="L835" s="2070"/>
      <c r="M835" s="2070"/>
      <c r="N835" s="2070"/>
      <c r="O835" s="2070"/>
      <c r="P835" s="2076"/>
      <c r="Q835" s="2071"/>
      <c r="R835" s="437"/>
      <c r="S835" s="178"/>
      <c r="T835" s="179"/>
      <c r="U835" s="178"/>
      <c r="V835" s="178"/>
      <c r="W835" s="178"/>
      <c r="X835" s="470"/>
      <c r="Y835" s="470"/>
      <c r="Z835" s="748"/>
      <c r="AA835" s="876"/>
      <c r="AB835" s="744"/>
      <c r="AC835" s="350"/>
      <c r="AD835" s="350"/>
      <c r="AE835" s="350"/>
      <c r="AF835" s="350"/>
    </row>
    <row r="836" spans="1:32" s="597" customFormat="1" ht="18" customHeight="1" x14ac:dyDescent="0.2">
      <c r="A836" s="2091"/>
      <c r="B836" s="2091"/>
      <c r="C836" s="2091"/>
      <c r="D836" s="2091"/>
      <c r="E836" s="2091"/>
      <c r="F836" s="2091"/>
      <c r="G836" s="2091"/>
      <c r="H836" s="2094"/>
      <c r="I836" s="178"/>
      <c r="J836" s="178"/>
      <c r="K836" s="178"/>
      <c r="L836" s="2091"/>
      <c r="M836" s="2091"/>
      <c r="N836" s="2091"/>
      <c r="O836" s="2091"/>
      <c r="P836" s="2094"/>
      <c r="Q836" s="2093"/>
      <c r="R836" s="437"/>
      <c r="S836" s="178"/>
      <c r="T836" s="179"/>
      <c r="U836" s="178"/>
      <c r="V836" s="178"/>
      <c r="W836" s="178"/>
      <c r="X836" s="470"/>
      <c r="Y836" s="470"/>
      <c r="Z836" s="748"/>
      <c r="AA836" s="876"/>
      <c r="AB836" s="744"/>
      <c r="AC836" s="350"/>
      <c r="AD836" s="350"/>
      <c r="AE836" s="350"/>
      <c r="AF836" s="350"/>
    </row>
    <row r="837" spans="1:32" s="597" customFormat="1" ht="18" customHeight="1" x14ac:dyDescent="0.2">
      <c r="A837" s="2070"/>
      <c r="B837" s="2070"/>
      <c r="C837" s="2070"/>
      <c r="D837" s="2070"/>
      <c r="E837" s="2070"/>
      <c r="F837" s="2070"/>
      <c r="G837" s="2070"/>
      <c r="H837" s="2076"/>
      <c r="I837" s="178"/>
      <c r="J837" s="178"/>
      <c r="K837" s="178"/>
      <c r="L837" s="2070"/>
      <c r="M837" s="2070"/>
      <c r="N837" s="2070"/>
      <c r="O837" s="2070"/>
      <c r="P837" s="2076"/>
      <c r="Q837" s="2071"/>
      <c r="R837" s="437"/>
      <c r="S837" s="178"/>
      <c r="T837" s="179"/>
      <c r="U837" s="178"/>
      <c r="V837" s="178"/>
      <c r="W837" s="178"/>
      <c r="X837" s="470"/>
      <c r="Y837" s="470"/>
      <c r="Z837" s="748"/>
      <c r="AA837" s="876"/>
      <c r="AB837" s="744"/>
      <c r="AC837" s="350"/>
      <c r="AD837" s="350"/>
      <c r="AE837" s="350"/>
      <c r="AF837" s="350"/>
    </row>
    <row r="838" spans="1:32" s="597" customFormat="1" ht="18" customHeight="1" x14ac:dyDescent="0.2">
      <c r="A838" s="2070"/>
      <c r="B838" s="2070"/>
      <c r="C838" s="2070"/>
      <c r="D838" s="2070"/>
      <c r="E838" s="2070"/>
      <c r="F838" s="2070"/>
      <c r="G838" s="2070"/>
      <c r="H838" s="2076"/>
      <c r="I838" s="178"/>
      <c r="J838" s="178"/>
      <c r="K838" s="178"/>
      <c r="L838" s="2070"/>
      <c r="M838" s="2070"/>
      <c r="N838" s="2070"/>
      <c r="O838" s="2070"/>
      <c r="P838" s="2076"/>
      <c r="Q838" s="2071"/>
      <c r="R838" s="437"/>
      <c r="S838" s="178"/>
      <c r="T838" s="179"/>
      <c r="U838" s="178"/>
      <c r="V838" s="178"/>
      <c r="W838" s="178"/>
      <c r="X838" s="470"/>
      <c r="Y838" s="470"/>
      <c r="Z838" s="748"/>
      <c r="AA838" s="876"/>
      <c r="AB838" s="744"/>
      <c r="AC838" s="350"/>
      <c r="AD838" s="350"/>
      <c r="AE838" s="350"/>
      <c r="AF838" s="350"/>
    </row>
    <row r="839" spans="1:32" s="597" customFormat="1" ht="18" customHeight="1" x14ac:dyDescent="0.2">
      <c r="A839" s="88"/>
      <c r="B839" s="88"/>
      <c r="C839" s="88"/>
      <c r="D839" s="88"/>
      <c r="E839" s="88"/>
      <c r="F839" s="88"/>
      <c r="G839" s="88"/>
      <c r="H839" s="120"/>
      <c r="I839" s="181"/>
      <c r="J839" s="181"/>
      <c r="K839" s="181"/>
      <c r="L839" s="88"/>
      <c r="M839" s="88"/>
      <c r="N839" s="88"/>
      <c r="O839" s="88"/>
      <c r="P839" s="88"/>
      <c r="Q839" s="129"/>
      <c r="R839" s="445"/>
      <c r="S839" s="181"/>
      <c r="T839" s="182"/>
      <c r="U839" s="181"/>
      <c r="V839" s="181"/>
      <c r="W839" s="181"/>
      <c r="X839" s="472"/>
      <c r="Y839" s="472"/>
      <c r="Z839" s="659"/>
      <c r="AA839" s="877"/>
      <c r="AB839" s="660"/>
      <c r="AC839" s="351"/>
      <c r="AD839" s="351"/>
      <c r="AE839" s="351"/>
      <c r="AF839" s="351"/>
    </row>
    <row r="840" spans="1:32" s="597" customFormat="1" ht="18" customHeight="1" x14ac:dyDescent="0.2">
      <c r="A840" s="1850"/>
      <c r="B840" s="1850"/>
      <c r="C840" s="1850"/>
      <c r="D840" s="1850"/>
      <c r="E840" s="1850"/>
      <c r="F840" s="1850"/>
      <c r="G840" s="1850"/>
      <c r="H840" s="1851"/>
      <c r="I840" s="1853"/>
      <c r="J840" s="1853"/>
      <c r="K840" s="1853"/>
      <c r="L840" s="1853"/>
      <c r="M840" s="1853"/>
      <c r="N840" s="1853"/>
      <c r="O840" s="1853"/>
      <c r="P840" s="1853"/>
      <c r="Q840" s="1853"/>
      <c r="R840" s="1854"/>
      <c r="S840" s="1853"/>
      <c r="T840" s="1855"/>
      <c r="U840" s="1853"/>
      <c r="V840" s="1853"/>
      <c r="W840" s="1853"/>
      <c r="X840" s="1856"/>
      <c r="Y840" s="1856"/>
      <c r="Z840" s="1858"/>
      <c r="AA840" s="2151"/>
      <c r="AB840" s="1848">
        <f>SUM(AB826:AB839)</f>
        <v>194.88</v>
      </c>
      <c r="AC840" s="1861"/>
      <c r="AD840" s="1861"/>
      <c r="AE840" s="1861"/>
      <c r="AF840" s="1861"/>
    </row>
    <row r="841" spans="1:32" s="597" customFormat="1" ht="14.1" customHeight="1" x14ac:dyDescent="0.2">
      <c r="A841" s="2690" t="s">
        <v>76</v>
      </c>
      <c r="B841" s="2690"/>
      <c r="C841" s="2691" t="s">
        <v>77</v>
      </c>
      <c r="D841" s="2691"/>
      <c r="E841" s="2691"/>
      <c r="F841" s="2691"/>
      <c r="G841" s="2691"/>
      <c r="H841" s="2691"/>
      <c r="I841" s="604" t="s">
        <v>78</v>
      </c>
      <c r="J841" s="604"/>
      <c r="K841" s="604"/>
      <c r="L841" s="604"/>
      <c r="M841" s="604"/>
      <c r="N841" s="604"/>
      <c r="AA841" s="767"/>
      <c r="AB841" s="878"/>
    </row>
    <row r="842" spans="1:32" s="597" customFormat="1" ht="14.1" customHeight="1" x14ac:dyDescent="0.2">
      <c r="A842" s="604"/>
      <c r="B842" s="605"/>
      <c r="C842" s="604"/>
      <c r="D842" s="604"/>
      <c r="E842" s="604"/>
      <c r="F842" s="604"/>
      <c r="G842" s="604"/>
      <c r="H842" s="604"/>
      <c r="I842" s="604" t="s">
        <v>79</v>
      </c>
      <c r="J842" s="604"/>
      <c r="K842" s="604"/>
      <c r="L842" s="604"/>
      <c r="M842" s="604"/>
      <c r="N842" s="604"/>
      <c r="AA842" s="767"/>
      <c r="AB842" s="878"/>
    </row>
    <row r="843" spans="1:32" s="597" customFormat="1" ht="14.1" customHeight="1" x14ac:dyDescent="0.2">
      <c r="A843" s="604"/>
      <c r="B843" s="605"/>
      <c r="C843" s="604"/>
      <c r="D843" s="604"/>
      <c r="E843" s="604"/>
      <c r="F843" s="604"/>
      <c r="G843" s="604"/>
      <c r="H843" s="604"/>
      <c r="I843" s="604" t="s">
        <v>80</v>
      </c>
      <c r="J843" s="604"/>
      <c r="K843" s="604"/>
      <c r="L843" s="604"/>
      <c r="M843" s="604"/>
      <c r="N843" s="604"/>
      <c r="AA843" s="767"/>
      <c r="AB843" s="878"/>
    </row>
    <row r="844" spans="1:32" s="597" customFormat="1" ht="14.1" customHeight="1" x14ac:dyDescent="0.2">
      <c r="A844" s="604"/>
      <c r="B844" s="605"/>
      <c r="C844" s="604"/>
      <c r="D844" s="604"/>
      <c r="E844" s="604"/>
      <c r="F844" s="604"/>
      <c r="G844" s="604"/>
      <c r="H844" s="604"/>
      <c r="I844" s="604" t="s">
        <v>81</v>
      </c>
      <c r="J844" s="604"/>
      <c r="K844" s="604"/>
      <c r="L844" s="604"/>
      <c r="M844" s="604"/>
      <c r="N844" s="604"/>
      <c r="AA844" s="767"/>
      <c r="AB844" s="878"/>
    </row>
    <row r="845" spans="1:32" s="597" customFormat="1" ht="14.1" customHeight="1" x14ac:dyDescent="0.2">
      <c r="A845" s="604"/>
      <c r="B845" s="605"/>
      <c r="C845" s="604"/>
      <c r="D845" s="604"/>
      <c r="E845" s="604"/>
      <c r="F845" s="604"/>
      <c r="G845" s="604"/>
      <c r="H845" s="604"/>
      <c r="I845" s="604" t="s">
        <v>88</v>
      </c>
      <c r="J845" s="604"/>
      <c r="K845" s="604"/>
      <c r="L845" s="604"/>
      <c r="M845" s="604"/>
      <c r="N845" s="604"/>
      <c r="AA845" s="767"/>
      <c r="AB845" s="878"/>
    </row>
    <row r="846" spans="1:32" s="597" customFormat="1" ht="18" customHeight="1" x14ac:dyDescent="0.2">
      <c r="A846" s="339"/>
      <c r="B846" s="339"/>
      <c r="C846" s="339"/>
      <c r="D846" s="339"/>
      <c r="E846" s="339"/>
      <c r="F846" s="339"/>
      <c r="G846" s="339"/>
      <c r="H846" s="339"/>
      <c r="I846" s="339"/>
      <c r="J846" s="339"/>
      <c r="K846" s="339"/>
      <c r="L846" s="339"/>
      <c r="M846" s="339"/>
      <c r="N846" s="339"/>
      <c r="O846" s="339"/>
      <c r="P846" s="339"/>
      <c r="Q846" s="339"/>
      <c r="R846" s="339"/>
      <c r="S846" s="339"/>
      <c r="T846" s="339"/>
      <c r="U846" s="339"/>
      <c r="V846" s="339"/>
      <c r="W846" s="339"/>
      <c r="X846" s="339"/>
      <c r="Y846" s="339"/>
      <c r="Z846" s="339"/>
      <c r="AA846" s="2702" t="s">
        <v>0</v>
      </c>
      <c r="AB846" s="2702"/>
      <c r="AC846" s="339"/>
      <c r="AD846" s="339"/>
      <c r="AE846" s="339"/>
      <c r="AF846" s="339"/>
    </row>
    <row r="847" spans="1:32" s="597" customFormat="1" ht="18" customHeight="1" x14ac:dyDescent="0.2">
      <c r="A847" s="2703" t="s">
        <v>1</v>
      </c>
      <c r="B847" s="2703"/>
      <c r="C847" s="2703"/>
      <c r="D847" s="2703"/>
      <c r="E847" s="2703"/>
      <c r="F847" s="2703"/>
      <c r="G847" s="2703"/>
      <c r="H847" s="2703"/>
      <c r="I847" s="2703"/>
      <c r="J847" s="2703"/>
      <c r="K847" s="2703"/>
      <c r="L847" s="2703"/>
      <c r="M847" s="2703"/>
      <c r="N847" s="2703"/>
      <c r="O847" s="2703"/>
      <c r="P847" s="2703"/>
      <c r="Q847" s="2703"/>
      <c r="R847" s="2703"/>
      <c r="S847" s="2703"/>
      <c r="T847" s="2703"/>
      <c r="U847" s="2703"/>
      <c r="V847" s="2703"/>
      <c r="W847" s="2703"/>
      <c r="X847" s="2703"/>
      <c r="Y847" s="2703"/>
      <c r="Z847" s="2703"/>
      <c r="AA847" s="2703"/>
      <c r="AB847" s="2703"/>
      <c r="AC847" s="344"/>
      <c r="AD847" s="344"/>
      <c r="AE847" s="344"/>
      <c r="AF847" s="344"/>
    </row>
    <row r="848" spans="1:32" s="597" customFormat="1" ht="18" customHeight="1" x14ac:dyDescent="0.2">
      <c r="A848" s="2704" t="s">
        <v>570</v>
      </c>
      <c r="B848" s="2704"/>
      <c r="C848" s="2704"/>
      <c r="D848" s="2704"/>
      <c r="E848" s="2704"/>
      <c r="F848" s="2704"/>
      <c r="G848" s="2704"/>
      <c r="H848" s="2704"/>
      <c r="I848" s="2704"/>
      <c r="J848" s="2704"/>
      <c r="K848" s="2704"/>
      <c r="L848" s="2704"/>
      <c r="M848" s="2704"/>
      <c r="N848" s="2704"/>
      <c r="O848" s="2704"/>
      <c r="P848" s="2704"/>
      <c r="Q848" s="2704"/>
      <c r="R848" s="2704"/>
      <c r="S848" s="2704"/>
      <c r="T848" s="2704"/>
      <c r="U848" s="2704"/>
      <c r="V848" s="2704"/>
      <c r="W848" s="2704"/>
      <c r="X848" s="2704"/>
      <c r="Y848" s="2704"/>
      <c r="Z848" s="2704"/>
      <c r="AA848" s="2704"/>
      <c r="AB848" s="2704"/>
      <c r="AC848" s="599"/>
      <c r="AD848" s="599"/>
      <c r="AE848" s="599"/>
      <c r="AF848" s="599"/>
    </row>
    <row r="849" spans="1:32" s="597" customFormat="1" ht="14.1" customHeight="1" x14ac:dyDescent="0.2">
      <c r="A849" s="2686" t="s">
        <v>2</v>
      </c>
      <c r="B849" s="360"/>
      <c r="C849" s="2686" t="s">
        <v>3</v>
      </c>
      <c r="D849" s="360"/>
      <c r="E849" s="360"/>
      <c r="F849" s="2693" t="s">
        <v>4</v>
      </c>
      <c r="G849" s="2693"/>
      <c r="H849" s="2693"/>
      <c r="I849" s="2694"/>
      <c r="J849" s="2694"/>
      <c r="K849" s="2695"/>
      <c r="L849" s="361"/>
      <c r="M849" s="2679" t="s">
        <v>5</v>
      </c>
      <c r="N849" s="2679"/>
      <c r="O849" s="2679"/>
      <c r="P849" s="2679"/>
      <c r="Q849" s="2696"/>
      <c r="R849" s="2696"/>
      <c r="S849" s="2696"/>
      <c r="T849" s="2696"/>
      <c r="U849" s="2696"/>
      <c r="V849" s="2697"/>
      <c r="W849" s="362" t="s">
        <v>6</v>
      </c>
      <c r="X849" s="363" t="s">
        <v>7</v>
      </c>
      <c r="Y849" s="364"/>
      <c r="Z849" s="364"/>
      <c r="AA849" s="363"/>
      <c r="AB849" s="365"/>
      <c r="AC849" s="516" t="s">
        <v>8</v>
      </c>
      <c r="AD849" s="346"/>
      <c r="AE849" s="346"/>
      <c r="AF849" s="600"/>
    </row>
    <row r="850" spans="1:32" s="597" customFormat="1" ht="14.1" customHeight="1" x14ac:dyDescent="0.2">
      <c r="A850" s="2687"/>
      <c r="B850" s="367"/>
      <c r="C850" s="2687"/>
      <c r="D850" s="2062" t="s">
        <v>9</v>
      </c>
      <c r="E850" s="368" t="s">
        <v>10</v>
      </c>
      <c r="F850" s="2698" t="s">
        <v>11</v>
      </c>
      <c r="G850" s="2694"/>
      <c r="H850" s="2695"/>
      <c r="I850" s="360"/>
      <c r="J850" s="369" t="s">
        <v>12</v>
      </c>
      <c r="K850" s="360"/>
      <c r="L850" s="2679" t="s">
        <v>2</v>
      </c>
      <c r="M850" s="2067"/>
      <c r="N850" s="2067"/>
      <c r="O850" s="2067"/>
      <c r="P850" s="371"/>
      <c r="Q850" s="372" t="s">
        <v>13</v>
      </c>
      <c r="R850" s="373" t="s">
        <v>12</v>
      </c>
      <c r="S850" s="2067" t="s">
        <v>6</v>
      </c>
      <c r="T850" s="2682" t="s">
        <v>14</v>
      </c>
      <c r="U850" s="2683"/>
      <c r="V850" s="375" t="s">
        <v>7</v>
      </c>
      <c r="W850" s="376" t="s">
        <v>15</v>
      </c>
      <c r="X850" s="377" t="s">
        <v>16</v>
      </c>
      <c r="Y850" s="377" t="s">
        <v>17</v>
      </c>
      <c r="Z850" s="377" t="s">
        <v>18</v>
      </c>
      <c r="AA850" s="377"/>
      <c r="AB850" s="378" t="s">
        <v>19</v>
      </c>
      <c r="AC850" s="528" t="s">
        <v>20</v>
      </c>
      <c r="AD850" s="601"/>
      <c r="AE850" s="347" t="s">
        <v>21</v>
      </c>
      <c r="AF850" s="340" t="s">
        <v>22</v>
      </c>
    </row>
    <row r="851" spans="1:32" s="597" customFormat="1" ht="14.1" customHeight="1" x14ac:dyDescent="0.2">
      <c r="A851" s="2687"/>
      <c r="B851" s="2062" t="s">
        <v>23</v>
      </c>
      <c r="C851" s="2687"/>
      <c r="D851" s="2062" t="s">
        <v>24</v>
      </c>
      <c r="E851" s="368" t="s">
        <v>25</v>
      </c>
      <c r="F851" s="2699"/>
      <c r="G851" s="2700"/>
      <c r="H851" s="2701"/>
      <c r="I851" s="2062" t="s">
        <v>26</v>
      </c>
      <c r="J851" s="379" t="s">
        <v>15</v>
      </c>
      <c r="K851" s="2066" t="s">
        <v>6</v>
      </c>
      <c r="L851" s="2680"/>
      <c r="M851" s="2068" t="s">
        <v>27</v>
      </c>
      <c r="N851" s="2068" t="s">
        <v>10</v>
      </c>
      <c r="O851" s="382" t="s">
        <v>10</v>
      </c>
      <c r="P851" s="383" t="s">
        <v>28</v>
      </c>
      <c r="Q851" s="384" t="s">
        <v>29</v>
      </c>
      <c r="R851" s="383" t="s">
        <v>15</v>
      </c>
      <c r="S851" s="385" t="s">
        <v>15</v>
      </c>
      <c r="T851" s="2684"/>
      <c r="U851" s="2685"/>
      <c r="V851" s="375" t="s">
        <v>30</v>
      </c>
      <c r="W851" s="376" t="s">
        <v>31</v>
      </c>
      <c r="X851" s="377" t="s">
        <v>30</v>
      </c>
      <c r="Y851" s="377" t="s">
        <v>32</v>
      </c>
      <c r="Z851" s="377" t="s">
        <v>7</v>
      </c>
      <c r="AA851" s="377" t="s">
        <v>33</v>
      </c>
      <c r="AB851" s="378" t="s">
        <v>34</v>
      </c>
      <c r="AC851" s="528" t="s">
        <v>35</v>
      </c>
      <c r="AD851" s="347" t="s">
        <v>36</v>
      </c>
      <c r="AE851" s="347" t="s">
        <v>37</v>
      </c>
      <c r="AF851" s="340" t="s">
        <v>38</v>
      </c>
    </row>
    <row r="852" spans="1:32" s="597" customFormat="1" ht="14.1" customHeight="1" x14ac:dyDescent="0.2">
      <c r="A852" s="2687"/>
      <c r="B852" s="2062" t="s">
        <v>39</v>
      </c>
      <c r="C852" s="2687"/>
      <c r="D852" s="2062" t="s">
        <v>40</v>
      </c>
      <c r="E852" s="368" t="s">
        <v>41</v>
      </c>
      <c r="F852" s="2686" t="s">
        <v>42</v>
      </c>
      <c r="G852" s="2686" t="s">
        <v>43</v>
      </c>
      <c r="H852" s="2688" t="s">
        <v>44</v>
      </c>
      <c r="I852" s="2062" t="s">
        <v>45</v>
      </c>
      <c r="J852" s="379" t="s">
        <v>46</v>
      </c>
      <c r="K852" s="2066" t="s">
        <v>47</v>
      </c>
      <c r="L852" s="2680"/>
      <c r="M852" s="2068" t="s">
        <v>30</v>
      </c>
      <c r="N852" s="2068" t="s">
        <v>30</v>
      </c>
      <c r="O852" s="382" t="s">
        <v>25</v>
      </c>
      <c r="P852" s="383" t="s">
        <v>30</v>
      </c>
      <c r="Q852" s="384" t="s">
        <v>48</v>
      </c>
      <c r="R852" s="383" t="s">
        <v>49</v>
      </c>
      <c r="S852" s="385" t="s">
        <v>30</v>
      </c>
      <c r="T852" s="386" t="s">
        <v>50</v>
      </c>
      <c r="U852" s="2065" t="s">
        <v>13</v>
      </c>
      <c r="V852" s="375" t="s">
        <v>51</v>
      </c>
      <c r="W852" s="376" t="s">
        <v>52</v>
      </c>
      <c r="X852" s="377" t="s">
        <v>53</v>
      </c>
      <c r="Y852" s="377" t="s">
        <v>54</v>
      </c>
      <c r="Z852" s="377" t="s">
        <v>55</v>
      </c>
      <c r="AA852" s="377" t="s">
        <v>56</v>
      </c>
      <c r="AB852" s="378" t="s">
        <v>57</v>
      </c>
      <c r="AC852" s="347" t="s">
        <v>58</v>
      </c>
      <c r="AD852" s="347" t="s">
        <v>59</v>
      </c>
      <c r="AE852" s="347" t="s">
        <v>59</v>
      </c>
      <c r="AF852" s="340" t="s">
        <v>60</v>
      </c>
    </row>
    <row r="853" spans="1:32" s="597" customFormat="1" ht="14.1" customHeight="1" x14ac:dyDescent="0.2">
      <c r="A853" s="2687"/>
      <c r="B853" s="2062" t="s">
        <v>61</v>
      </c>
      <c r="C853" s="2687"/>
      <c r="D853" s="2062" t="s">
        <v>62</v>
      </c>
      <c r="E853" s="368" t="s">
        <v>63</v>
      </c>
      <c r="F853" s="2687"/>
      <c r="G853" s="2687"/>
      <c r="H853" s="2689"/>
      <c r="I853" s="2062" t="s">
        <v>64</v>
      </c>
      <c r="J853" s="379" t="s">
        <v>59</v>
      </c>
      <c r="K853" s="2066" t="s">
        <v>59</v>
      </c>
      <c r="L853" s="2680"/>
      <c r="M853" s="2068"/>
      <c r="N853" s="2068"/>
      <c r="O853" s="382" t="s">
        <v>41</v>
      </c>
      <c r="P853" s="383" t="s">
        <v>65</v>
      </c>
      <c r="Q853" s="384" t="s">
        <v>66</v>
      </c>
      <c r="R853" s="383" t="s">
        <v>67</v>
      </c>
      <c r="S853" s="385" t="s">
        <v>59</v>
      </c>
      <c r="T853" s="387" t="s">
        <v>68</v>
      </c>
      <c r="U853" s="375" t="s">
        <v>14</v>
      </c>
      <c r="V853" s="375" t="s">
        <v>14</v>
      </c>
      <c r="W853" s="376" t="s">
        <v>30</v>
      </c>
      <c r="X853" s="388" t="s">
        <v>69</v>
      </c>
      <c r="Y853" s="388" t="s">
        <v>70</v>
      </c>
      <c r="Z853" s="377" t="s">
        <v>71</v>
      </c>
      <c r="AA853" s="377" t="s">
        <v>72</v>
      </c>
      <c r="AB853" s="378" t="s">
        <v>59</v>
      </c>
      <c r="AC853" s="347" t="s">
        <v>59</v>
      </c>
      <c r="AD853" s="347"/>
      <c r="AE853" s="347"/>
      <c r="AF853" s="340" t="s">
        <v>59</v>
      </c>
    </row>
    <row r="854" spans="1:32" s="597" customFormat="1" ht="14.1" customHeight="1" x14ac:dyDescent="0.2">
      <c r="A854" s="2692"/>
      <c r="B854" s="390"/>
      <c r="C854" s="2692"/>
      <c r="D854" s="390"/>
      <c r="E854" s="2063"/>
      <c r="F854" s="390"/>
      <c r="G854" s="390"/>
      <c r="H854" s="391"/>
      <c r="I854" s="2063"/>
      <c r="J854" s="392"/>
      <c r="K854" s="393"/>
      <c r="L854" s="2681"/>
      <c r="M854" s="2069"/>
      <c r="N854" s="2069"/>
      <c r="O854" s="2069" t="s">
        <v>63</v>
      </c>
      <c r="P854" s="395"/>
      <c r="Q854" s="396" t="s">
        <v>72</v>
      </c>
      <c r="R854" s="397" t="s">
        <v>59</v>
      </c>
      <c r="S854" s="398"/>
      <c r="T854" s="397" t="s">
        <v>73</v>
      </c>
      <c r="U854" s="398" t="s">
        <v>59</v>
      </c>
      <c r="V854" s="399" t="s">
        <v>59</v>
      </c>
      <c r="W854" s="400" t="s">
        <v>59</v>
      </c>
      <c r="X854" s="401" t="s">
        <v>59</v>
      </c>
      <c r="Y854" s="401" t="s">
        <v>59</v>
      </c>
      <c r="Z854" s="401" t="s">
        <v>59</v>
      </c>
      <c r="AA854" s="402"/>
      <c r="AB854" s="403"/>
      <c r="AC854" s="348"/>
      <c r="AD854" s="348"/>
      <c r="AE854" s="348"/>
      <c r="AF854" s="341"/>
    </row>
    <row r="855" spans="1:32" s="597" customFormat="1" ht="18" customHeight="1" x14ac:dyDescent="0.25">
      <c r="A855" s="53">
        <v>1</v>
      </c>
      <c r="B855" s="1387">
        <v>64724</v>
      </c>
      <c r="C855" s="259">
        <v>1201</v>
      </c>
      <c r="D855" s="41" t="s">
        <v>83</v>
      </c>
      <c r="E855" s="259">
        <v>4</v>
      </c>
      <c r="F855" s="41">
        <v>0</v>
      </c>
      <c r="G855" s="41">
        <v>1</v>
      </c>
      <c r="H855" s="41">
        <v>0</v>
      </c>
      <c r="I855" s="44">
        <f>F855*400+G855*100+H855</f>
        <v>100</v>
      </c>
      <c r="J855" s="42">
        <v>1000</v>
      </c>
      <c r="K855" s="39">
        <f>SUM(I855*J855)</f>
        <v>100000</v>
      </c>
      <c r="L855" s="45"/>
      <c r="M855" s="82"/>
      <c r="N855" s="41"/>
      <c r="O855" s="16">
        <v>4</v>
      </c>
      <c r="P855" s="847"/>
      <c r="Q855" s="14"/>
      <c r="R855" s="553"/>
      <c r="S855" s="66"/>
      <c r="T855" s="41"/>
      <c r="U855" s="66"/>
      <c r="V855" s="44"/>
      <c r="W855" s="42">
        <f>K855+V855</f>
        <v>100000</v>
      </c>
      <c r="X855" s="44">
        <f>W855</f>
        <v>100000</v>
      </c>
      <c r="Y855" s="42"/>
      <c r="Z855" s="42">
        <f>+X855</f>
        <v>100000</v>
      </c>
      <c r="AA855" s="264">
        <v>0.3</v>
      </c>
      <c r="AB855" s="406">
        <f>+Z855*AA855/100</f>
        <v>300</v>
      </c>
      <c r="AC855" s="602"/>
      <c r="AD855" s="603">
        <f>AB855-AC855</f>
        <v>300</v>
      </c>
      <c r="AE855" s="603">
        <f>IF(AD855&lt;=0,0,AD855*25/100)</f>
        <v>75</v>
      </c>
      <c r="AF855" s="603">
        <f>IF(AC855+AE855&gt;AB855,AB855,AC855+AE855)</f>
        <v>75</v>
      </c>
    </row>
    <row r="856" spans="1:32" s="597" customFormat="1" ht="18" customHeight="1" x14ac:dyDescent="0.2">
      <c r="A856" s="242"/>
      <c r="B856" s="88"/>
      <c r="C856" s="418"/>
      <c r="D856" s="88"/>
      <c r="E856" s="88"/>
      <c r="F856" s="88"/>
      <c r="G856" s="418"/>
      <c r="H856" s="88"/>
      <c r="I856" s="121"/>
      <c r="J856" s="2072"/>
      <c r="K856" s="78"/>
      <c r="L856" s="75"/>
      <c r="M856" s="2070"/>
      <c r="N856" s="2070"/>
      <c r="O856" s="61"/>
      <c r="P856" s="177"/>
      <c r="Q856" s="196"/>
      <c r="R856" s="408"/>
      <c r="S856" s="2072"/>
      <c r="T856" s="2070"/>
      <c r="U856" s="121"/>
      <c r="V856" s="77"/>
      <c r="W856" s="121"/>
      <c r="X856" s="74"/>
      <c r="Y856" s="121"/>
      <c r="Z856" s="121"/>
      <c r="AA856" s="2074"/>
      <c r="AB856" s="410"/>
      <c r="AC856" s="602"/>
      <c r="AD856" s="603"/>
      <c r="AE856" s="603"/>
      <c r="AF856" s="603"/>
    </row>
    <row r="857" spans="1:32" s="597" customFormat="1" ht="18" customHeight="1" x14ac:dyDescent="0.2">
      <c r="A857" s="242"/>
      <c r="B857" s="88"/>
      <c r="C857" s="239"/>
      <c r="D857" s="2070"/>
      <c r="E857" s="88"/>
      <c r="F857" s="88"/>
      <c r="G857" s="75"/>
      <c r="H857" s="88"/>
      <c r="I857" s="77"/>
      <c r="J857" s="2072"/>
      <c r="K857" s="78"/>
      <c r="L857" s="242"/>
      <c r="M857" s="242"/>
      <c r="N857" s="242"/>
      <c r="O857" s="242"/>
      <c r="P857" s="497"/>
      <c r="Q857" s="496"/>
      <c r="R857" s="503"/>
      <c r="S857" s="504"/>
      <c r="T857" s="505"/>
      <c r="U857" s="504"/>
      <c r="V857" s="504"/>
      <c r="W857" s="2072"/>
      <c r="X857" s="121"/>
      <c r="Y857" s="2072"/>
      <c r="Z857" s="2072"/>
      <c r="AA857" s="2074"/>
      <c r="AB857" s="466"/>
      <c r="AC857" s="350"/>
      <c r="AD857" s="719"/>
      <c r="AE857" s="719"/>
      <c r="AF857" s="719"/>
    </row>
    <row r="858" spans="1:32" s="597" customFormat="1" ht="18" customHeight="1" x14ac:dyDescent="0.2">
      <c r="A858" s="2070"/>
      <c r="B858" s="177"/>
      <c r="C858" s="177"/>
      <c r="D858" s="2070"/>
      <c r="E858" s="2070"/>
      <c r="F858" s="2070"/>
      <c r="G858" s="2070"/>
      <c r="H858" s="2076"/>
      <c r="I858" s="2072"/>
      <c r="J858" s="178"/>
      <c r="K858" s="2072"/>
      <c r="L858" s="2070"/>
      <c r="M858" s="2070"/>
      <c r="N858" s="2070"/>
      <c r="O858" s="2070"/>
      <c r="P858" s="2076"/>
      <c r="Q858" s="2071"/>
      <c r="R858" s="437"/>
      <c r="S858" s="2072"/>
      <c r="T858" s="179"/>
      <c r="U858" s="178"/>
      <c r="V858" s="2072"/>
      <c r="W858" s="2072"/>
      <c r="X858" s="470"/>
      <c r="Y858" s="470"/>
      <c r="Z858" s="471"/>
      <c r="AA858" s="764"/>
      <c r="AB858" s="466"/>
      <c r="AC858" s="350"/>
      <c r="AD858" s="350"/>
      <c r="AE858" s="350"/>
      <c r="AF858" s="350"/>
    </row>
    <row r="859" spans="1:32" s="597" customFormat="1" ht="18" customHeight="1" x14ac:dyDescent="0.2">
      <c r="A859" s="2070"/>
      <c r="B859" s="177"/>
      <c r="C859" s="177"/>
      <c r="D859" s="2070"/>
      <c r="E859" s="2070"/>
      <c r="F859" s="2070"/>
      <c r="G859" s="2070"/>
      <c r="H859" s="2076"/>
      <c r="I859" s="2072"/>
      <c r="J859" s="178"/>
      <c r="K859" s="2072"/>
      <c r="L859" s="2070"/>
      <c r="M859" s="2070"/>
      <c r="N859" s="2070"/>
      <c r="O859" s="2070"/>
      <c r="P859" s="2076"/>
      <c r="Q859" s="2071"/>
      <c r="R859" s="437"/>
      <c r="S859" s="2072"/>
      <c r="T859" s="179"/>
      <c r="U859" s="178"/>
      <c r="V859" s="2072"/>
      <c r="W859" s="2072"/>
      <c r="X859" s="470"/>
      <c r="Y859" s="470"/>
      <c r="Z859" s="471"/>
      <c r="AA859" s="764"/>
      <c r="AB859" s="466"/>
      <c r="AC859" s="350"/>
      <c r="AD859" s="350"/>
      <c r="AE859" s="350"/>
      <c r="AF859" s="350"/>
    </row>
    <row r="860" spans="1:32" s="597" customFormat="1" ht="18" customHeight="1" x14ac:dyDescent="0.2">
      <c r="A860" s="2070"/>
      <c r="B860" s="177"/>
      <c r="C860" s="177"/>
      <c r="D860" s="2070"/>
      <c r="E860" s="2070"/>
      <c r="F860" s="2070"/>
      <c r="G860" s="2070"/>
      <c r="H860" s="2076"/>
      <c r="I860" s="2072"/>
      <c r="J860" s="178"/>
      <c r="K860" s="2072"/>
      <c r="L860" s="2070"/>
      <c r="M860" s="2070"/>
      <c r="N860" s="2070"/>
      <c r="O860" s="2070"/>
      <c r="P860" s="2076"/>
      <c r="Q860" s="2071"/>
      <c r="R860" s="437"/>
      <c r="S860" s="2072"/>
      <c r="T860" s="179"/>
      <c r="U860" s="178"/>
      <c r="V860" s="2072"/>
      <c r="W860" s="2072"/>
      <c r="X860" s="470"/>
      <c r="Y860" s="470"/>
      <c r="Z860" s="471"/>
      <c r="AA860" s="764"/>
      <c r="AB860" s="466"/>
      <c r="AC860" s="350"/>
      <c r="AD860" s="350"/>
      <c r="AE860" s="350"/>
      <c r="AF860" s="350"/>
    </row>
    <row r="861" spans="1:32" s="597" customFormat="1" ht="18" customHeight="1" x14ac:dyDescent="0.2">
      <c r="A861" s="2070"/>
      <c r="B861" s="177"/>
      <c r="C861" s="177"/>
      <c r="D861" s="2070"/>
      <c r="E861" s="2070"/>
      <c r="F861" s="2070"/>
      <c r="G861" s="2070"/>
      <c r="H861" s="2076"/>
      <c r="I861" s="2072"/>
      <c r="J861" s="178"/>
      <c r="K861" s="2072"/>
      <c r="L861" s="2070"/>
      <c r="M861" s="2070"/>
      <c r="N861" s="2070"/>
      <c r="O861" s="2070"/>
      <c r="P861" s="2076"/>
      <c r="Q861" s="2071"/>
      <c r="R861" s="437"/>
      <c r="S861" s="2072"/>
      <c r="T861" s="179"/>
      <c r="U861" s="178"/>
      <c r="V861" s="2072"/>
      <c r="W861" s="2072"/>
      <c r="X861" s="470"/>
      <c r="Y861" s="470"/>
      <c r="Z861" s="471"/>
      <c r="AA861" s="764"/>
      <c r="AB861" s="466"/>
      <c r="AC861" s="350"/>
      <c r="AD861" s="350"/>
      <c r="AE861" s="350"/>
      <c r="AF861" s="350"/>
    </row>
    <row r="862" spans="1:32" s="597" customFormat="1" ht="18" customHeight="1" x14ac:dyDescent="0.2">
      <c r="A862" s="2070"/>
      <c r="B862" s="177"/>
      <c r="C862" s="177"/>
      <c r="D862" s="2070"/>
      <c r="E862" s="2070"/>
      <c r="F862" s="2070"/>
      <c r="G862" s="2070"/>
      <c r="H862" s="2076"/>
      <c r="I862" s="2072"/>
      <c r="J862" s="178"/>
      <c r="K862" s="2072"/>
      <c r="L862" s="2070"/>
      <c r="M862" s="2070"/>
      <c r="N862" s="2070"/>
      <c r="O862" s="2070"/>
      <c r="P862" s="2076"/>
      <c r="Q862" s="2071"/>
      <c r="R862" s="437"/>
      <c r="S862" s="2072"/>
      <c r="T862" s="179"/>
      <c r="U862" s="178"/>
      <c r="V862" s="2072"/>
      <c r="W862" s="2072"/>
      <c r="X862" s="470"/>
      <c r="Y862" s="470"/>
      <c r="Z862" s="471"/>
      <c r="AA862" s="764"/>
      <c r="AB862" s="466"/>
      <c r="AC862" s="350"/>
      <c r="AD862" s="350"/>
      <c r="AE862" s="350"/>
      <c r="AF862" s="350"/>
    </row>
    <row r="863" spans="1:32" s="597" customFormat="1" ht="18" customHeight="1" x14ac:dyDescent="0.2">
      <c r="A863" s="2070"/>
      <c r="B863" s="177"/>
      <c r="C863" s="177"/>
      <c r="D863" s="2070"/>
      <c r="E863" s="2070"/>
      <c r="F863" s="2070"/>
      <c r="G863" s="2070"/>
      <c r="H863" s="2076"/>
      <c r="I863" s="2072"/>
      <c r="J863" s="178"/>
      <c r="K863" s="2072"/>
      <c r="L863" s="2070"/>
      <c r="M863" s="2070"/>
      <c r="N863" s="2070"/>
      <c r="O863" s="2070"/>
      <c r="P863" s="2076"/>
      <c r="Q863" s="2071"/>
      <c r="R863" s="437"/>
      <c r="S863" s="2072"/>
      <c r="T863" s="179"/>
      <c r="U863" s="178"/>
      <c r="V863" s="2072"/>
      <c r="W863" s="2072"/>
      <c r="X863" s="470"/>
      <c r="Y863" s="470"/>
      <c r="Z863" s="471"/>
      <c r="AA863" s="764"/>
      <c r="AB863" s="466"/>
      <c r="AC863" s="350"/>
      <c r="AD863" s="350"/>
      <c r="AE863" s="350"/>
      <c r="AF863" s="350"/>
    </row>
    <row r="864" spans="1:32" s="597" customFormat="1" ht="18" customHeight="1" x14ac:dyDescent="0.2">
      <c r="A864" s="2070"/>
      <c r="B864" s="177"/>
      <c r="C864" s="177"/>
      <c r="D864" s="2070"/>
      <c r="E864" s="2070"/>
      <c r="F864" s="2070"/>
      <c r="G864" s="2070"/>
      <c r="H864" s="2076"/>
      <c r="I864" s="2072"/>
      <c r="J864" s="178"/>
      <c r="K864" s="2072"/>
      <c r="L864" s="2070"/>
      <c r="M864" s="2070"/>
      <c r="N864" s="2070"/>
      <c r="O864" s="2070"/>
      <c r="P864" s="2076"/>
      <c r="Q864" s="2071"/>
      <c r="R864" s="437"/>
      <c r="S864" s="2072"/>
      <c r="T864" s="179"/>
      <c r="U864" s="178"/>
      <c r="V864" s="2072"/>
      <c r="W864" s="2072"/>
      <c r="X864" s="470"/>
      <c r="Y864" s="470"/>
      <c r="Z864" s="471"/>
      <c r="AA864" s="764"/>
      <c r="AB864" s="466"/>
      <c r="AC864" s="350"/>
      <c r="AD864" s="350"/>
      <c r="AE864" s="350"/>
      <c r="AF864" s="350"/>
    </row>
    <row r="865" spans="1:32" s="597" customFormat="1" ht="18" customHeight="1" x14ac:dyDescent="0.2">
      <c r="A865" s="2070"/>
      <c r="B865" s="177"/>
      <c r="C865" s="177"/>
      <c r="D865" s="2070"/>
      <c r="E865" s="2070"/>
      <c r="F865" s="2070"/>
      <c r="G865" s="2070"/>
      <c r="H865" s="2076"/>
      <c r="I865" s="2072"/>
      <c r="J865" s="178"/>
      <c r="K865" s="2072"/>
      <c r="L865" s="2070"/>
      <c r="M865" s="2070"/>
      <c r="N865" s="2070"/>
      <c r="O865" s="2070"/>
      <c r="P865" s="2076"/>
      <c r="Q865" s="2071"/>
      <c r="R865" s="437"/>
      <c r="S865" s="2072"/>
      <c r="T865" s="179"/>
      <c r="U865" s="178"/>
      <c r="V865" s="2072"/>
      <c r="W865" s="2072"/>
      <c r="X865" s="470"/>
      <c r="Y865" s="470"/>
      <c r="Z865" s="471"/>
      <c r="AA865" s="764"/>
      <c r="AB865" s="466"/>
      <c r="AC865" s="350"/>
      <c r="AD865" s="350"/>
      <c r="AE865" s="350"/>
      <c r="AF865" s="350"/>
    </row>
    <row r="866" spans="1:32" s="597" customFormat="1" ht="18" customHeight="1" x14ac:dyDescent="0.2">
      <c r="A866" s="2070"/>
      <c r="B866" s="177"/>
      <c r="C866" s="177"/>
      <c r="D866" s="2070"/>
      <c r="E866" s="2070"/>
      <c r="F866" s="2070"/>
      <c r="G866" s="2070"/>
      <c r="H866" s="2076"/>
      <c r="I866" s="2072"/>
      <c r="J866" s="178"/>
      <c r="K866" s="2072"/>
      <c r="L866" s="2070"/>
      <c r="M866" s="2070"/>
      <c r="N866" s="2070"/>
      <c r="O866" s="2070"/>
      <c r="P866" s="2076"/>
      <c r="Q866" s="2071"/>
      <c r="R866" s="437"/>
      <c r="S866" s="2072"/>
      <c r="T866" s="179"/>
      <c r="U866" s="178"/>
      <c r="V866" s="2072"/>
      <c r="W866" s="2072"/>
      <c r="X866" s="470"/>
      <c r="Y866" s="470"/>
      <c r="Z866" s="471"/>
      <c r="AA866" s="764"/>
      <c r="AB866" s="466"/>
      <c r="AC866" s="350"/>
      <c r="AD866" s="350"/>
      <c r="AE866" s="350"/>
      <c r="AF866" s="350"/>
    </row>
    <row r="867" spans="1:32" s="597" customFormat="1" ht="18" customHeight="1" x14ac:dyDescent="0.2">
      <c r="A867" s="2070"/>
      <c r="B867" s="177"/>
      <c r="C867" s="177"/>
      <c r="D867" s="2070"/>
      <c r="E867" s="2070"/>
      <c r="F867" s="2070"/>
      <c r="G867" s="2070"/>
      <c r="H867" s="2076"/>
      <c r="I867" s="2072"/>
      <c r="J867" s="178"/>
      <c r="K867" s="2072"/>
      <c r="L867" s="2070"/>
      <c r="M867" s="2070"/>
      <c r="N867" s="2070"/>
      <c r="O867" s="2070"/>
      <c r="P867" s="2076"/>
      <c r="Q867" s="2071"/>
      <c r="R867" s="437"/>
      <c r="S867" s="2072"/>
      <c r="T867" s="179"/>
      <c r="U867" s="178"/>
      <c r="V867" s="2072"/>
      <c r="W867" s="2072"/>
      <c r="X867" s="470"/>
      <c r="Y867" s="470"/>
      <c r="Z867" s="471"/>
      <c r="AA867" s="764"/>
      <c r="AB867" s="466"/>
      <c r="AC867" s="350"/>
      <c r="AD867" s="350"/>
      <c r="AE867" s="350"/>
      <c r="AF867" s="350"/>
    </row>
    <row r="868" spans="1:32" s="597" customFormat="1" ht="18" customHeight="1" x14ac:dyDescent="0.2">
      <c r="A868" s="88"/>
      <c r="B868" s="180"/>
      <c r="C868" s="180"/>
      <c r="D868" s="88"/>
      <c r="E868" s="88"/>
      <c r="F868" s="88"/>
      <c r="G868" s="88"/>
      <c r="H868" s="120"/>
      <c r="I868" s="121"/>
      <c r="J868" s="181"/>
      <c r="K868" s="121"/>
      <c r="L868" s="88"/>
      <c r="M868" s="88"/>
      <c r="N868" s="88"/>
      <c r="O868" s="88"/>
      <c r="P868" s="88"/>
      <c r="Q868" s="129"/>
      <c r="R868" s="445"/>
      <c r="S868" s="121"/>
      <c r="T868" s="182"/>
      <c r="U868" s="181"/>
      <c r="V868" s="121"/>
      <c r="W868" s="121"/>
      <c r="X868" s="472"/>
      <c r="Y868" s="472"/>
      <c r="Z868" s="473"/>
      <c r="AA868" s="780"/>
      <c r="AB868" s="410"/>
      <c r="AC868" s="351"/>
      <c r="AD868" s="351"/>
      <c r="AE868" s="351"/>
      <c r="AF868" s="351"/>
    </row>
    <row r="869" spans="1:32" s="597" customFormat="1" ht="18" customHeight="1" x14ac:dyDescent="0.2">
      <c r="A869" s="1850"/>
      <c r="B869" s="1850"/>
      <c r="C869" s="1850"/>
      <c r="D869" s="1850"/>
      <c r="E869" s="1850"/>
      <c r="F869" s="1850"/>
      <c r="G869" s="1850"/>
      <c r="H869" s="1851"/>
      <c r="I869" s="1852"/>
      <c r="J869" s="1853"/>
      <c r="K869" s="1852"/>
      <c r="L869" s="1852"/>
      <c r="M869" s="1852"/>
      <c r="N869" s="1852"/>
      <c r="O869" s="1852"/>
      <c r="P869" s="1852"/>
      <c r="Q869" s="1852"/>
      <c r="R869" s="1854"/>
      <c r="S869" s="1852"/>
      <c r="T869" s="1855"/>
      <c r="U869" s="1853"/>
      <c r="V869" s="1852"/>
      <c r="W869" s="1852"/>
      <c r="X869" s="1856"/>
      <c r="Y869" s="1856"/>
      <c r="Z869" s="1857"/>
      <c r="AA869" s="2125"/>
      <c r="AB869" s="1847">
        <f>SUM(AB855:AB868)</f>
        <v>300</v>
      </c>
      <c r="AC869" s="1861"/>
      <c r="AD869" s="1861"/>
      <c r="AE869" s="1861"/>
      <c r="AF869" s="1861"/>
    </row>
    <row r="870" spans="1:32" s="597" customFormat="1" ht="14.1" customHeight="1" x14ac:dyDescent="0.2">
      <c r="A870" s="2690" t="s">
        <v>76</v>
      </c>
      <c r="B870" s="2690"/>
      <c r="C870" s="2691" t="s">
        <v>77</v>
      </c>
      <c r="D870" s="2691"/>
      <c r="E870" s="2691"/>
      <c r="F870" s="2691"/>
      <c r="G870" s="2691"/>
      <c r="H870" s="2691"/>
      <c r="I870" s="604" t="s">
        <v>78</v>
      </c>
      <c r="J870" s="604"/>
      <c r="K870" s="604"/>
      <c r="L870" s="604"/>
      <c r="M870" s="604"/>
      <c r="N870" s="604"/>
      <c r="AA870" s="767"/>
      <c r="AB870" s="598"/>
    </row>
    <row r="871" spans="1:32" s="597" customFormat="1" ht="14.1" customHeight="1" x14ac:dyDescent="0.2">
      <c r="A871" s="604"/>
      <c r="B871" s="605"/>
      <c r="C871" s="604"/>
      <c r="D871" s="604"/>
      <c r="E871" s="604"/>
      <c r="F871" s="604"/>
      <c r="G871" s="604"/>
      <c r="H871" s="604"/>
      <c r="I871" s="604" t="s">
        <v>79</v>
      </c>
      <c r="J871" s="604"/>
      <c r="K871" s="604"/>
      <c r="L871" s="604"/>
      <c r="M871" s="604"/>
      <c r="N871" s="604"/>
      <c r="AA871" s="767"/>
      <c r="AB871" s="598"/>
    </row>
    <row r="872" spans="1:32" s="597" customFormat="1" ht="14.1" customHeight="1" x14ac:dyDescent="0.2">
      <c r="A872" s="604"/>
      <c r="B872" s="605"/>
      <c r="C872" s="604"/>
      <c r="D872" s="604"/>
      <c r="E872" s="604"/>
      <c r="F872" s="604"/>
      <c r="G872" s="604"/>
      <c r="H872" s="604"/>
      <c r="I872" s="604" t="s">
        <v>80</v>
      </c>
      <c r="J872" s="604"/>
      <c r="K872" s="604"/>
      <c r="L872" s="604"/>
      <c r="M872" s="604"/>
      <c r="N872" s="604"/>
      <c r="AA872" s="767"/>
      <c r="AB872" s="598"/>
    </row>
    <row r="873" spans="1:32" s="597" customFormat="1" ht="14.1" customHeight="1" x14ac:dyDescent="0.2">
      <c r="A873" s="604"/>
      <c r="B873" s="605"/>
      <c r="C873" s="604"/>
      <c r="D873" s="604"/>
      <c r="E873" s="604"/>
      <c r="F873" s="604"/>
      <c r="G873" s="604"/>
      <c r="H873" s="604"/>
      <c r="I873" s="604" t="s">
        <v>81</v>
      </c>
      <c r="J873" s="604"/>
      <c r="K873" s="604"/>
      <c r="L873" s="604"/>
      <c r="M873" s="604"/>
      <c r="N873" s="604"/>
      <c r="AA873" s="767"/>
      <c r="AB873" s="598"/>
    </row>
    <row r="874" spans="1:32" s="597" customFormat="1" ht="14.1" customHeight="1" x14ac:dyDescent="0.2">
      <c r="A874" s="604"/>
      <c r="B874" s="605"/>
      <c r="C874" s="604"/>
      <c r="D874" s="604"/>
      <c r="E874" s="604"/>
      <c r="F874" s="604"/>
      <c r="G874" s="604"/>
      <c r="H874" s="604"/>
      <c r="I874" s="604" t="s">
        <v>88</v>
      </c>
      <c r="J874" s="604"/>
      <c r="K874" s="604"/>
      <c r="L874" s="604"/>
      <c r="M874" s="604"/>
      <c r="N874" s="604"/>
      <c r="AA874" s="767"/>
      <c r="AB874" s="598"/>
    </row>
    <row r="875" spans="1:32" s="597" customFormat="1" ht="18.75" x14ac:dyDescent="0.2">
      <c r="A875" s="339"/>
      <c r="B875" s="339"/>
      <c r="C875" s="339"/>
      <c r="D875" s="339"/>
      <c r="E875" s="339"/>
      <c r="F875" s="339"/>
      <c r="G875" s="339"/>
      <c r="H875" s="339"/>
      <c r="I875" s="339"/>
      <c r="J875" s="339"/>
      <c r="K875" s="339"/>
      <c r="L875" s="339"/>
      <c r="M875" s="339"/>
      <c r="N875" s="339"/>
      <c r="O875" s="339"/>
      <c r="P875" s="339"/>
      <c r="Q875" s="339"/>
      <c r="R875" s="339"/>
      <c r="S875" s="339"/>
      <c r="T875" s="339"/>
      <c r="U875" s="339"/>
      <c r="V875" s="339"/>
      <c r="W875" s="339"/>
      <c r="X875" s="339"/>
      <c r="Y875" s="339"/>
      <c r="Z875" s="339"/>
      <c r="AA875" s="2702" t="s">
        <v>0</v>
      </c>
      <c r="AB875" s="2702"/>
    </row>
    <row r="876" spans="1:32" s="597" customFormat="1" ht="18.75" x14ac:dyDescent="0.2">
      <c r="A876" s="2703" t="s">
        <v>1</v>
      </c>
      <c r="B876" s="2703"/>
      <c r="C876" s="2703"/>
      <c r="D876" s="2703"/>
      <c r="E876" s="2703"/>
      <c r="F876" s="2703"/>
      <c r="G876" s="2703"/>
      <c r="H876" s="2703"/>
      <c r="I876" s="2703"/>
      <c r="J876" s="2703"/>
      <c r="K876" s="2703"/>
      <c r="L876" s="2703"/>
      <c r="M876" s="2703"/>
      <c r="N876" s="2703"/>
      <c r="O876" s="2703"/>
      <c r="P876" s="2703"/>
      <c r="Q876" s="2703"/>
      <c r="R876" s="2703"/>
      <c r="S876" s="2703"/>
      <c r="T876" s="2703"/>
      <c r="U876" s="2703"/>
      <c r="V876" s="2703"/>
      <c r="W876" s="2703"/>
      <c r="X876" s="2703"/>
      <c r="Y876" s="2703"/>
      <c r="Z876" s="2703"/>
      <c r="AA876" s="2703"/>
      <c r="AB876" s="2703"/>
    </row>
    <row r="877" spans="1:32" s="597" customFormat="1" ht="18.75" x14ac:dyDescent="0.2">
      <c r="A877" s="2704" t="s">
        <v>572</v>
      </c>
      <c r="B877" s="2704"/>
      <c r="C877" s="2704"/>
      <c r="D877" s="2704"/>
      <c r="E877" s="2704"/>
      <c r="F877" s="2704"/>
      <c r="G877" s="2704"/>
      <c r="H877" s="2704"/>
      <c r="I877" s="2704"/>
      <c r="J877" s="2704"/>
      <c r="K877" s="2704"/>
      <c r="L877" s="2704"/>
      <c r="M877" s="2704"/>
      <c r="N877" s="2704"/>
      <c r="O877" s="2704"/>
      <c r="P877" s="2704"/>
      <c r="Q877" s="2704"/>
      <c r="R877" s="2704"/>
      <c r="S877" s="2704"/>
      <c r="T877" s="2704"/>
      <c r="U877" s="2704"/>
      <c r="V877" s="2704"/>
      <c r="W877" s="2704"/>
      <c r="X877" s="2704"/>
      <c r="Y877" s="2704"/>
      <c r="Z877" s="2704"/>
      <c r="AA877" s="2704"/>
      <c r="AB877" s="2704"/>
    </row>
    <row r="878" spans="1:32" s="597" customFormat="1" x14ac:dyDescent="0.2">
      <c r="A878" s="2686" t="s">
        <v>2</v>
      </c>
      <c r="B878" s="360"/>
      <c r="C878" s="2686" t="s">
        <v>3</v>
      </c>
      <c r="D878" s="360"/>
      <c r="E878" s="360"/>
      <c r="F878" s="2693" t="s">
        <v>4</v>
      </c>
      <c r="G878" s="2693"/>
      <c r="H878" s="2693"/>
      <c r="I878" s="2694"/>
      <c r="J878" s="2694"/>
      <c r="K878" s="2695"/>
      <c r="L878" s="361"/>
      <c r="M878" s="2679" t="s">
        <v>5</v>
      </c>
      <c r="N878" s="2679"/>
      <c r="O878" s="2679"/>
      <c r="P878" s="2679"/>
      <c r="Q878" s="2696"/>
      <c r="R878" s="2696"/>
      <c r="S878" s="2696"/>
      <c r="T878" s="2696"/>
      <c r="U878" s="2696"/>
      <c r="V878" s="2697"/>
      <c r="W878" s="362" t="s">
        <v>6</v>
      </c>
      <c r="X878" s="363" t="s">
        <v>7</v>
      </c>
      <c r="Y878" s="364"/>
      <c r="Z878" s="364"/>
      <c r="AA878" s="363"/>
      <c r="AB878" s="365"/>
    </row>
    <row r="879" spans="1:32" s="597" customFormat="1" x14ac:dyDescent="0.2">
      <c r="A879" s="2687"/>
      <c r="B879" s="367"/>
      <c r="C879" s="2687"/>
      <c r="D879" s="2062" t="s">
        <v>9</v>
      </c>
      <c r="E879" s="368" t="s">
        <v>10</v>
      </c>
      <c r="F879" s="2698" t="s">
        <v>11</v>
      </c>
      <c r="G879" s="2694"/>
      <c r="H879" s="2695"/>
      <c r="I879" s="360"/>
      <c r="J879" s="369" t="s">
        <v>12</v>
      </c>
      <c r="K879" s="360"/>
      <c r="L879" s="2679" t="s">
        <v>2</v>
      </c>
      <c r="M879" s="2067"/>
      <c r="N879" s="2067"/>
      <c r="O879" s="2067"/>
      <c r="P879" s="371"/>
      <c r="Q879" s="372" t="s">
        <v>13</v>
      </c>
      <c r="R879" s="373" t="s">
        <v>12</v>
      </c>
      <c r="S879" s="2067" t="s">
        <v>6</v>
      </c>
      <c r="T879" s="2682" t="s">
        <v>14</v>
      </c>
      <c r="U879" s="2683"/>
      <c r="V879" s="375" t="s">
        <v>7</v>
      </c>
      <c r="W879" s="376" t="s">
        <v>15</v>
      </c>
      <c r="X879" s="377" t="s">
        <v>16</v>
      </c>
      <c r="Y879" s="377" t="s">
        <v>17</v>
      </c>
      <c r="Z879" s="377" t="s">
        <v>18</v>
      </c>
      <c r="AA879" s="377"/>
      <c r="AB879" s="378" t="s">
        <v>19</v>
      </c>
    </row>
    <row r="880" spans="1:32" s="597" customFormat="1" x14ac:dyDescent="0.2">
      <c r="A880" s="2687"/>
      <c r="B880" s="2062" t="s">
        <v>23</v>
      </c>
      <c r="C880" s="2687"/>
      <c r="D880" s="2062" t="s">
        <v>24</v>
      </c>
      <c r="E880" s="368" t="s">
        <v>25</v>
      </c>
      <c r="F880" s="2699"/>
      <c r="G880" s="2700"/>
      <c r="H880" s="2701"/>
      <c r="I880" s="2062" t="s">
        <v>26</v>
      </c>
      <c r="J880" s="379" t="s">
        <v>15</v>
      </c>
      <c r="K880" s="2066" t="s">
        <v>6</v>
      </c>
      <c r="L880" s="2680"/>
      <c r="M880" s="2068" t="s">
        <v>27</v>
      </c>
      <c r="N880" s="2068" t="s">
        <v>10</v>
      </c>
      <c r="O880" s="382" t="s">
        <v>10</v>
      </c>
      <c r="P880" s="383" t="s">
        <v>28</v>
      </c>
      <c r="Q880" s="384" t="s">
        <v>29</v>
      </c>
      <c r="R880" s="383" t="s">
        <v>15</v>
      </c>
      <c r="S880" s="385" t="s">
        <v>15</v>
      </c>
      <c r="T880" s="2684"/>
      <c r="U880" s="2685"/>
      <c r="V880" s="375" t="s">
        <v>30</v>
      </c>
      <c r="W880" s="376" t="s">
        <v>31</v>
      </c>
      <c r="X880" s="377" t="s">
        <v>30</v>
      </c>
      <c r="Y880" s="377" t="s">
        <v>32</v>
      </c>
      <c r="Z880" s="377" t="s">
        <v>7</v>
      </c>
      <c r="AA880" s="377" t="s">
        <v>33</v>
      </c>
      <c r="AB880" s="378" t="s">
        <v>34</v>
      </c>
    </row>
    <row r="881" spans="1:28" s="597" customFormat="1" x14ac:dyDescent="0.2">
      <c r="A881" s="2687"/>
      <c r="B881" s="2062" t="s">
        <v>39</v>
      </c>
      <c r="C881" s="2687"/>
      <c r="D881" s="2062" t="s">
        <v>40</v>
      </c>
      <c r="E881" s="368" t="s">
        <v>41</v>
      </c>
      <c r="F881" s="2686" t="s">
        <v>42</v>
      </c>
      <c r="G881" s="2686" t="s">
        <v>43</v>
      </c>
      <c r="H881" s="2688" t="s">
        <v>44</v>
      </c>
      <c r="I881" s="2062" t="s">
        <v>45</v>
      </c>
      <c r="J881" s="379" t="s">
        <v>46</v>
      </c>
      <c r="K881" s="2066" t="s">
        <v>47</v>
      </c>
      <c r="L881" s="2680"/>
      <c r="M881" s="2068" t="s">
        <v>30</v>
      </c>
      <c r="N881" s="2068" t="s">
        <v>30</v>
      </c>
      <c r="O881" s="382" t="s">
        <v>25</v>
      </c>
      <c r="P881" s="383" t="s">
        <v>30</v>
      </c>
      <c r="Q881" s="384" t="s">
        <v>48</v>
      </c>
      <c r="R881" s="383" t="s">
        <v>49</v>
      </c>
      <c r="S881" s="385" t="s">
        <v>30</v>
      </c>
      <c r="T881" s="386" t="s">
        <v>50</v>
      </c>
      <c r="U881" s="2065" t="s">
        <v>13</v>
      </c>
      <c r="V881" s="375" t="s">
        <v>51</v>
      </c>
      <c r="W881" s="376" t="s">
        <v>52</v>
      </c>
      <c r="X881" s="377" t="s">
        <v>53</v>
      </c>
      <c r="Y881" s="377" t="s">
        <v>54</v>
      </c>
      <c r="Z881" s="377" t="s">
        <v>55</v>
      </c>
      <c r="AA881" s="377" t="s">
        <v>56</v>
      </c>
      <c r="AB881" s="378" t="s">
        <v>57</v>
      </c>
    </row>
    <row r="882" spans="1:28" s="597" customFormat="1" x14ac:dyDescent="0.2">
      <c r="A882" s="2687"/>
      <c r="B882" s="2062" t="s">
        <v>61</v>
      </c>
      <c r="C882" s="2687"/>
      <c r="D882" s="2062" t="s">
        <v>62</v>
      </c>
      <c r="E882" s="368" t="s">
        <v>63</v>
      </c>
      <c r="F882" s="2687"/>
      <c r="G882" s="2687"/>
      <c r="H882" s="2689"/>
      <c r="I882" s="2062" t="s">
        <v>64</v>
      </c>
      <c r="J882" s="379" t="s">
        <v>59</v>
      </c>
      <c r="K882" s="2066" t="s">
        <v>59</v>
      </c>
      <c r="L882" s="2680"/>
      <c r="M882" s="2068"/>
      <c r="N882" s="2068"/>
      <c r="O882" s="382" t="s">
        <v>41</v>
      </c>
      <c r="P882" s="383" t="s">
        <v>65</v>
      </c>
      <c r="Q882" s="384" t="s">
        <v>66</v>
      </c>
      <c r="R882" s="383" t="s">
        <v>67</v>
      </c>
      <c r="S882" s="385" t="s">
        <v>59</v>
      </c>
      <c r="T882" s="387" t="s">
        <v>68</v>
      </c>
      <c r="U882" s="375" t="s">
        <v>14</v>
      </c>
      <c r="V882" s="375" t="s">
        <v>14</v>
      </c>
      <c r="W882" s="376" t="s">
        <v>30</v>
      </c>
      <c r="X882" s="388" t="s">
        <v>69</v>
      </c>
      <c r="Y882" s="388" t="s">
        <v>70</v>
      </c>
      <c r="Z882" s="377" t="s">
        <v>71</v>
      </c>
      <c r="AA882" s="377" t="s">
        <v>72</v>
      </c>
      <c r="AB882" s="378" t="s">
        <v>59</v>
      </c>
    </row>
    <row r="883" spans="1:28" s="597" customFormat="1" x14ac:dyDescent="0.2">
      <c r="A883" s="2692"/>
      <c r="B883" s="390"/>
      <c r="C883" s="2692"/>
      <c r="D883" s="390"/>
      <c r="E883" s="2063"/>
      <c r="F883" s="390"/>
      <c r="G883" s="390"/>
      <c r="H883" s="391"/>
      <c r="I883" s="2063"/>
      <c r="J883" s="392"/>
      <c r="K883" s="393"/>
      <c r="L883" s="2681"/>
      <c r="M883" s="2069"/>
      <c r="N883" s="2069"/>
      <c r="O883" s="2069" t="s">
        <v>63</v>
      </c>
      <c r="P883" s="395"/>
      <c r="Q883" s="396" t="s">
        <v>72</v>
      </c>
      <c r="R883" s="397" t="s">
        <v>59</v>
      </c>
      <c r="S883" s="398"/>
      <c r="T883" s="397" t="s">
        <v>73</v>
      </c>
      <c r="U883" s="398" t="s">
        <v>59</v>
      </c>
      <c r="V883" s="399" t="s">
        <v>59</v>
      </c>
      <c r="W883" s="400" t="s">
        <v>59</v>
      </c>
      <c r="X883" s="401" t="s">
        <v>59</v>
      </c>
      <c r="Y883" s="401" t="s">
        <v>59</v>
      </c>
      <c r="Z883" s="401" t="s">
        <v>59</v>
      </c>
      <c r="AA883" s="402"/>
      <c r="AB883" s="403"/>
    </row>
    <row r="884" spans="1:28" s="597" customFormat="1" x14ac:dyDescent="0.25">
      <c r="A884" s="53">
        <v>1</v>
      </c>
      <c r="B884" s="333">
        <v>61279</v>
      </c>
      <c r="C884" s="41">
        <v>1044</v>
      </c>
      <c r="D884" s="41" t="s">
        <v>83</v>
      </c>
      <c r="E884" s="15">
        <v>2</v>
      </c>
      <c r="F884" s="41">
        <v>0</v>
      </c>
      <c r="G884" s="41">
        <v>0</v>
      </c>
      <c r="H884" s="267">
        <v>70</v>
      </c>
      <c r="I884" s="18">
        <f>F884*400+G884*100+H884</f>
        <v>70</v>
      </c>
      <c r="J884" s="23">
        <v>880</v>
      </c>
      <c r="K884" s="39">
        <f>SUM(I884*J884)</f>
        <v>61600</v>
      </c>
      <c r="L884" s="45">
        <v>1</v>
      </c>
      <c r="M884" s="82">
        <v>103</v>
      </c>
      <c r="N884" s="41" t="s">
        <v>74</v>
      </c>
      <c r="O884" s="16">
        <v>2</v>
      </c>
      <c r="P884" s="847">
        <f>15*18</f>
        <v>270</v>
      </c>
      <c r="Q884" s="14" t="s">
        <v>75</v>
      </c>
      <c r="R884" s="1413">
        <v>9050</v>
      </c>
      <c r="S884" s="278">
        <f>+P884*R884</f>
        <v>2443500</v>
      </c>
      <c r="T884" s="41">
        <v>8</v>
      </c>
      <c r="U884" s="66">
        <f>+S884*0.08</f>
        <v>195480</v>
      </c>
      <c r="V884" s="44">
        <f>+S884-U884</f>
        <v>2248020</v>
      </c>
      <c r="W884" s="42">
        <f>K884+V884</f>
        <v>2309620</v>
      </c>
      <c r="X884" s="66">
        <f>W884</f>
        <v>2309620</v>
      </c>
      <c r="Y884" s="42" t="s">
        <v>87</v>
      </c>
      <c r="Z884" s="42">
        <v>0</v>
      </c>
      <c r="AA884" s="264">
        <v>0.02</v>
      </c>
      <c r="AB884" s="406">
        <f>+Z884*AA884/100</f>
        <v>0</v>
      </c>
    </row>
    <row r="885" spans="1:28" s="597" customFormat="1" x14ac:dyDescent="0.25">
      <c r="A885" s="242"/>
      <c r="B885" s="269"/>
      <c r="C885" s="285"/>
      <c r="D885" s="273"/>
      <c r="E885" s="273"/>
      <c r="F885" s="268">
        <v>0</v>
      </c>
      <c r="G885" s="269">
        <v>0</v>
      </c>
      <c r="H885" s="266">
        <v>30</v>
      </c>
      <c r="I885" s="18">
        <f>F885*400+G885*100+H885</f>
        <v>30</v>
      </c>
      <c r="J885" s="23">
        <v>880</v>
      </c>
      <c r="K885" s="39">
        <f>SUM(I885*J885)</f>
        <v>26400</v>
      </c>
      <c r="L885" s="45"/>
      <c r="M885" s="2070">
        <v>103</v>
      </c>
      <c r="N885" s="15" t="s">
        <v>74</v>
      </c>
      <c r="O885" s="50">
        <v>3</v>
      </c>
      <c r="P885" s="21">
        <v>75</v>
      </c>
      <c r="Q885" s="76" t="s">
        <v>75</v>
      </c>
      <c r="R885" s="260">
        <v>9050</v>
      </c>
      <c r="S885" s="23">
        <f>+P885*R885</f>
        <v>678750</v>
      </c>
      <c r="T885" s="15">
        <v>4</v>
      </c>
      <c r="U885" s="30">
        <f>+S885*0.04</f>
        <v>27150</v>
      </c>
      <c r="V885" s="18">
        <f>+S885-U885</f>
        <v>651600</v>
      </c>
      <c r="W885" s="18">
        <f>K885+V885</f>
        <v>678000</v>
      </c>
      <c r="X885" s="30">
        <f>W885</f>
        <v>678000</v>
      </c>
      <c r="Y885" s="18"/>
      <c r="Z885" s="18">
        <f>+X885</f>
        <v>678000</v>
      </c>
      <c r="AA885" s="264">
        <v>0.3</v>
      </c>
      <c r="AB885" s="410">
        <f>+Z885*AA885/100</f>
        <v>2034</v>
      </c>
    </row>
    <row r="886" spans="1:28" s="597" customFormat="1" x14ac:dyDescent="0.2">
      <c r="A886" s="242"/>
      <c r="B886" s="88"/>
      <c r="C886" s="239"/>
      <c r="D886" s="2070"/>
      <c r="E886" s="88"/>
      <c r="F886" s="88"/>
      <c r="G886" s="75"/>
      <c r="H886" s="88"/>
      <c r="I886" s="77"/>
      <c r="J886" s="2072"/>
      <c r="K886" s="78"/>
      <c r="L886" s="242"/>
      <c r="M886" s="242"/>
      <c r="N886" s="242"/>
      <c r="O886" s="242"/>
      <c r="P886" s="497"/>
      <c r="Q886" s="496"/>
      <c r="R886" s="503"/>
      <c r="S886" s="504"/>
      <c r="T886" s="505"/>
      <c r="U886" s="504"/>
      <c r="V886" s="504"/>
      <c r="W886" s="2072"/>
      <c r="X886" s="121"/>
      <c r="Y886" s="2072"/>
      <c r="Z886" s="2072"/>
      <c r="AA886" s="2074"/>
      <c r="AB886" s="466"/>
    </row>
    <row r="887" spans="1:28" s="597" customFormat="1" x14ac:dyDescent="0.2">
      <c r="A887" s="2070"/>
      <c r="B887" s="177"/>
      <c r="C887" s="177"/>
      <c r="D887" s="2070"/>
      <c r="E887" s="2070"/>
      <c r="F887" s="2070"/>
      <c r="G887" s="2070"/>
      <c r="H887" s="2076"/>
      <c r="I887" s="2072"/>
      <c r="J887" s="178"/>
      <c r="K887" s="2072"/>
      <c r="L887" s="2070"/>
      <c r="M887" s="2070"/>
      <c r="N887" s="2070"/>
      <c r="O887" s="2070"/>
      <c r="P887" s="2076"/>
      <c r="Q887" s="2071"/>
      <c r="R887" s="437"/>
      <c r="S887" s="2072"/>
      <c r="T887" s="179"/>
      <c r="U887" s="178"/>
      <c r="V887" s="2072"/>
      <c r="W887" s="2072"/>
      <c r="X887" s="470"/>
      <c r="Y887" s="470"/>
      <c r="Z887" s="471"/>
      <c r="AA887" s="764"/>
      <c r="AB887" s="466"/>
    </row>
    <row r="888" spans="1:28" s="597" customFormat="1" x14ac:dyDescent="0.2">
      <c r="A888" s="2070"/>
      <c r="B888" s="177"/>
      <c r="C888" s="177"/>
      <c r="D888" s="2070"/>
      <c r="E888" s="2070"/>
      <c r="F888" s="2070"/>
      <c r="G888" s="2070"/>
      <c r="H888" s="2076"/>
      <c r="I888" s="2072"/>
      <c r="J888" s="178"/>
      <c r="K888" s="2072"/>
      <c r="L888" s="2070"/>
      <c r="M888" s="2070"/>
      <c r="N888" s="2070"/>
      <c r="O888" s="2070"/>
      <c r="P888" s="2076"/>
      <c r="Q888" s="2071"/>
      <c r="R888" s="437"/>
      <c r="S888" s="2072"/>
      <c r="T888" s="179"/>
      <c r="U888" s="178"/>
      <c r="V888" s="2072"/>
      <c r="W888" s="2072"/>
      <c r="X888" s="470"/>
      <c r="Y888" s="470"/>
      <c r="Z888" s="471"/>
      <c r="AA888" s="764"/>
      <c r="AB888" s="466"/>
    </row>
    <row r="889" spans="1:28" s="597" customFormat="1" x14ac:dyDescent="0.2">
      <c r="A889" s="2070"/>
      <c r="B889" s="177"/>
      <c r="C889" s="177"/>
      <c r="D889" s="2070"/>
      <c r="E889" s="2070"/>
      <c r="F889" s="2070"/>
      <c r="G889" s="2070"/>
      <c r="H889" s="2076"/>
      <c r="I889" s="2072"/>
      <c r="J889" s="178"/>
      <c r="K889" s="2072"/>
      <c r="L889" s="2070"/>
      <c r="M889" s="2070"/>
      <c r="N889" s="2070"/>
      <c r="O889" s="2070"/>
      <c r="P889" s="2076"/>
      <c r="Q889" s="2071"/>
      <c r="R889" s="437"/>
      <c r="S889" s="2072"/>
      <c r="T889" s="179"/>
      <c r="U889" s="178"/>
      <c r="V889" s="2072"/>
      <c r="W889" s="2072"/>
      <c r="X889" s="470"/>
      <c r="Y889" s="470"/>
      <c r="Z889" s="471"/>
      <c r="AA889" s="764"/>
      <c r="AB889" s="466"/>
    </row>
    <row r="890" spans="1:28" s="597" customFormat="1" x14ac:dyDescent="0.2">
      <c r="A890" s="2070"/>
      <c r="B890" s="177"/>
      <c r="C890" s="177"/>
      <c r="D890" s="2070"/>
      <c r="E890" s="2070"/>
      <c r="F890" s="2070"/>
      <c r="G890" s="2070"/>
      <c r="H890" s="2076"/>
      <c r="I890" s="2072"/>
      <c r="J890" s="178"/>
      <c r="K890" s="2072"/>
      <c r="L890" s="2070"/>
      <c r="M890" s="2070"/>
      <c r="N890" s="2070"/>
      <c r="O890" s="2070"/>
      <c r="P890" s="2076"/>
      <c r="Q890" s="2071"/>
      <c r="R890" s="437"/>
      <c r="S890" s="2072"/>
      <c r="T890" s="179"/>
      <c r="U890" s="178"/>
      <c r="V890" s="2072"/>
      <c r="W890" s="2072"/>
      <c r="X890" s="470"/>
      <c r="Y890" s="470"/>
      <c r="Z890" s="471"/>
      <c r="AA890" s="764"/>
      <c r="AB890" s="466"/>
    </row>
    <row r="891" spans="1:28" s="597" customFormat="1" x14ac:dyDescent="0.2">
      <c r="A891" s="2070"/>
      <c r="B891" s="177"/>
      <c r="C891" s="177"/>
      <c r="D891" s="2070"/>
      <c r="E891" s="2070"/>
      <c r="F891" s="2070"/>
      <c r="G891" s="2070"/>
      <c r="H891" s="2076"/>
      <c r="I891" s="2072"/>
      <c r="J891" s="178"/>
      <c r="K891" s="2072"/>
      <c r="L891" s="2070"/>
      <c r="M891" s="2070"/>
      <c r="N891" s="2070"/>
      <c r="O891" s="2070"/>
      <c r="P891" s="2076"/>
      <c r="Q891" s="2071"/>
      <c r="R891" s="437"/>
      <c r="S891" s="2072"/>
      <c r="T891" s="179"/>
      <c r="U891" s="178"/>
      <c r="V891" s="2072"/>
      <c r="W891" s="2072"/>
      <c r="X891" s="470"/>
      <c r="Y891" s="470"/>
      <c r="Z891" s="471"/>
      <c r="AA891" s="764"/>
      <c r="AB891" s="466"/>
    </row>
    <row r="892" spans="1:28" s="597" customFormat="1" x14ac:dyDescent="0.2">
      <c r="A892" s="2070"/>
      <c r="B892" s="177"/>
      <c r="C892" s="177"/>
      <c r="D892" s="2070"/>
      <c r="E892" s="2070"/>
      <c r="F892" s="2070"/>
      <c r="G892" s="2070"/>
      <c r="H892" s="2076"/>
      <c r="I892" s="2072"/>
      <c r="J892" s="178"/>
      <c r="K892" s="2072"/>
      <c r="L892" s="2070"/>
      <c r="M892" s="2070"/>
      <c r="N892" s="2070"/>
      <c r="O892" s="2070"/>
      <c r="P892" s="2076"/>
      <c r="Q892" s="2071"/>
      <c r="R892" s="437"/>
      <c r="S892" s="2072"/>
      <c r="T892" s="179"/>
      <c r="U892" s="178"/>
      <c r="V892" s="2072"/>
      <c r="W892" s="2072"/>
      <c r="X892" s="470"/>
      <c r="Y892" s="470"/>
      <c r="Z892" s="471"/>
      <c r="AA892" s="764"/>
      <c r="AB892" s="466"/>
    </row>
    <row r="893" spans="1:28" s="597" customFormat="1" x14ac:dyDescent="0.2">
      <c r="A893" s="2070"/>
      <c r="B893" s="177"/>
      <c r="C893" s="177"/>
      <c r="D893" s="2070"/>
      <c r="E893" s="2070"/>
      <c r="F893" s="2070"/>
      <c r="G893" s="2070"/>
      <c r="H893" s="2076"/>
      <c r="I893" s="2072"/>
      <c r="J893" s="178"/>
      <c r="K893" s="2072"/>
      <c r="L893" s="2070"/>
      <c r="M893" s="2070"/>
      <c r="N893" s="2070"/>
      <c r="O893" s="2070"/>
      <c r="P893" s="2076"/>
      <c r="Q893" s="2071"/>
      <c r="R893" s="437"/>
      <c r="S893" s="2072"/>
      <c r="T893" s="179"/>
      <c r="U893" s="178"/>
      <c r="V893" s="2072"/>
      <c r="W893" s="2072"/>
      <c r="X893" s="470"/>
      <c r="Y893" s="470"/>
      <c r="Z893" s="471"/>
      <c r="AA893" s="764"/>
      <c r="AB893" s="466"/>
    </row>
    <row r="894" spans="1:28" s="597" customFormat="1" x14ac:dyDescent="0.2">
      <c r="A894" s="2070"/>
      <c r="B894" s="177"/>
      <c r="C894" s="177"/>
      <c r="D894" s="2070"/>
      <c r="E894" s="2070"/>
      <c r="F894" s="2070"/>
      <c r="G894" s="2070"/>
      <c r="H894" s="2076"/>
      <c r="I894" s="2072"/>
      <c r="J894" s="178"/>
      <c r="K894" s="2072"/>
      <c r="L894" s="2070"/>
      <c r="M894" s="2070"/>
      <c r="N894" s="2070"/>
      <c r="O894" s="2070"/>
      <c r="P894" s="2076"/>
      <c r="Q894" s="2071"/>
      <c r="R894" s="437"/>
      <c r="S894" s="2072"/>
      <c r="T894" s="179"/>
      <c r="U894" s="178"/>
      <c r="V894" s="2072"/>
      <c r="W894" s="2072"/>
      <c r="X894" s="470"/>
      <c r="Y894" s="470"/>
      <c r="Z894" s="471"/>
      <c r="AA894" s="764"/>
      <c r="AB894" s="466"/>
    </row>
    <row r="895" spans="1:28" s="597" customFormat="1" x14ac:dyDescent="0.2">
      <c r="A895" s="2070"/>
      <c r="B895" s="177"/>
      <c r="C895" s="177"/>
      <c r="D895" s="2070"/>
      <c r="E895" s="2070"/>
      <c r="F895" s="2070"/>
      <c r="G895" s="2070"/>
      <c r="H895" s="2076"/>
      <c r="I895" s="2072"/>
      <c r="J895" s="178"/>
      <c r="K895" s="2072"/>
      <c r="L895" s="2070"/>
      <c r="M895" s="2070"/>
      <c r="N895" s="2070"/>
      <c r="O895" s="2070"/>
      <c r="P895" s="2076"/>
      <c r="Q895" s="2071"/>
      <c r="R895" s="437"/>
      <c r="S895" s="2072"/>
      <c r="T895" s="179"/>
      <c r="U895" s="178"/>
      <c r="V895" s="2072"/>
      <c r="W895" s="2072"/>
      <c r="X895" s="470"/>
      <c r="Y895" s="470"/>
      <c r="Z895" s="471"/>
      <c r="AA895" s="764"/>
      <c r="AB895" s="466"/>
    </row>
    <row r="896" spans="1:28" s="597" customFormat="1" x14ac:dyDescent="0.2">
      <c r="A896" s="2070"/>
      <c r="B896" s="177"/>
      <c r="C896" s="177"/>
      <c r="D896" s="2070"/>
      <c r="E896" s="2070"/>
      <c r="F896" s="2070"/>
      <c r="G896" s="2070"/>
      <c r="H896" s="2076"/>
      <c r="I896" s="2072"/>
      <c r="J896" s="178"/>
      <c r="K896" s="2072"/>
      <c r="L896" s="2070"/>
      <c r="M896" s="2070"/>
      <c r="N896" s="2070"/>
      <c r="O896" s="2070"/>
      <c r="P896" s="2076"/>
      <c r="Q896" s="2071"/>
      <c r="R896" s="437"/>
      <c r="S896" s="2072"/>
      <c r="T896" s="179"/>
      <c r="U896" s="178"/>
      <c r="V896" s="2072"/>
      <c r="W896" s="2072"/>
      <c r="X896" s="470"/>
      <c r="Y896" s="470"/>
      <c r="Z896" s="471"/>
      <c r="AA896" s="764"/>
      <c r="AB896" s="466"/>
    </row>
    <row r="897" spans="1:28" s="597" customFormat="1" x14ac:dyDescent="0.2">
      <c r="A897" s="2070"/>
      <c r="B897" s="177"/>
      <c r="C897" s="177"/>
      <c r="D897" s="2070"/>
      <c r="E897" s="2070"/>
      <c r="F897" s="2070"/>
      <c r="G897" s="2070"/>
      <c r="H897" s="2076"/>
      <c r="I897" s="2072"/>
      <c r="J897" s="178"/>
      <c r="K897" s="2072"/>
      <c r="L897" s="2070"/>
      <c r="M897" s="2070"/>
      <c r="N897" s="2070"/>
      <c r="O897" s="2070"/>
      <c r="P897" s="2076"/>
      <c r="Q897" s="2071"/>
      <c r="R897" s="437"/>
      <c r="S897" s="2072"/>
      <c r="T897" s="179"/>
      <c r="U897" s="178"/>
      <c r="V897" s="2072"/>
      <c r="W897" s="2072"/>
      <c r="X897" s="470"/>
      <c r="Y897" s="470"/>
      <c r="Z897" s="471"/>
      <c r="AA897" s="764"/>
      <c r="AB897" s="466"/>
    </row>
    <row r="898" spans="1:28" s="597" customFormat="1" x14ac:dyDescent="0.2">
      <c r="A898" s="2070"/>
      <c r="B898" s="177"/>
      <c r="C898" s="177"/>
      <c r="D898" s="2070"/>
      <c r="E898" s="2070"/>
      <c r="F898" s="2070"/>
      <c r="G898" s="2070"/>
      <c r="H898" s="2076"/>
      <c r="I898" s="2072"/>
      <c r="J898" s="178"/>
      <c r="K898" s="2072"/>
      <c r="L898" s="2070"/>
      <c r="M898" s="2070"/>
      <c r="N898" s="2070"/>
      <c r="O898" s="2070"/>
      <c r="P898" s="2076"/>
      <c r="Q898" s="2071"/>
      <c r="R898" s="437"/>
      <c r="S898" s="2072"/>
      <c r="T898" s="179"/>
      <c r="U898" s="178"/>
      <c r="V898" s="2072"/>
      <c r="W898" s="2072"/>
      <c r="X898" s="470"/>
      <c r="Y898" s="470"/>
      <c r="Z898" s="471"/>
      <c r="AA898" s="764"/>
      <c r="AB898" s="466"/>
    </row>
    <row r="899" spans="1:28" s="597" customFormat="1" x14ac:dyDescent="0.2">
      <c r="A899" s="88"/>
      <c r="B899" s="180"/>
      <c r="C899" s="180"/>
      <c r="D899" s="88"/>
      <c r="E899" s="88"/>
      <c r="F899" s="88"/>
      <c r="G899" s="88"/>
      <c r="H899" s="120"/>
      <c r="I899" s="121"/>
      <c r="J899" s="181"/>
      <c r="K899" s="121"/>
      <c r="L899" s="88"/>
      <c r="M899" s="88"/>
      <c r="N899" s="88"/>
      <c r="O899" s="88"/>
      <c r="P899" s="88"/>
      <c r="Q899" s="129"/>
      <c r="R899" s="445"/>
      <c r="S899" s="121"/>
      <c r="T899" s="182"/>
      <c r="U899" s="181"/>
      <c r="V899" s="121"/>
      <c r="W899" s="121"/>
      <c r="X899" s="472"/>
      <c r="Y899" s="472"/>
      <c r="Z899" s="473"/>
      <c r="AA899" s="780"/>
      <c r="AB899" s="410"/>
    </row>
    <row r="900" spans="1:28" s="597" customFormat="1" x14ac:dyDescent="0.2">
      <c r="A900" s="1850"/>
      <c r="B900" s="1850"/>
      <c r="C900" s="1850"/>
      <c r="D900" s="1850"/>
      <c r="E900" s="1850"/>
      <c r="F900" s="1850"/>
      <c r="G900" s="1850"/>
      <c r="H900" s="1851"/>
      <c r="I900" s="1852"/>
      <c r="J900" s="1853"/>
      <c r="K900" s="1852"/>
      <c r="L900" s="1852"/>
      <c r="M900" s="1852"/>
      <c r="N900" s="1852"/>
      <c r="O900" s="1852"/>
      <c r="P900" s="1852"/>
      <c r="Q900" s="1852"/>
      <c r="R900" s="1854"/>
      <c r="S900" s="1852"/>
      <c r="T900" s="1855"/>
      <c r="U900" s="1853"/>
      <c r="V900" s="1852"/>
      <c r="W900" s="1852"/>
      <c r="X900" s="1856"/>
      <c r="Y900" s="1856"/>
      <c r="Z900" s="1857"/>
      <c r="AA900" s="2125"/>
      <c r="AB900" s="1847">
        <f>SUM(AB884:AB899)</f>
        <v>2034</v>
      </c>
    </row>
    <row r="901" spans="1:28" s="597" customFormat="1" ht="15.75" x14ac:dyDescent="0.2">
      <c r="A901" s="2690" t="s">
        <v>76</v>
      </c>
      <c r="B901" s="2690"/>
      <c r="C901" s="2691" t="s">
        <v>77</v>
      </c>
      <c r="D901" s="2691"/>
      <c r="E901" s="2691"/>
      <c r="F901" s="2691"/>
      <c r="G901" s="2691"/>
      <c r="H901" s="2691"/>
      <c r="I901" s="604" t="s">
        <v>78</v>
      </c>
      <c r="J901" s="604"/>
      <c r="K901" s="604"/>
      <c r="L901" s="604"/>
      <c r="M901" s="604"/>
      <c r="N901" s="604"/>
      <c r="AA901" s="767"/>
      <c r="AB901" s="598"/>
    </row>
    <row r="902" spans="1:28" s="597" customFormat="1" ht="15.75" x14ac:dyDescent="0.2">
      <c r="A902" s="604"/>
      <c r="B902" s="605"/>
      <c r="C902" s="604"/>
      <c r="D902" s="604"/>
      <c r="E902" s="604"/>
      <c r="F902" s="604"/>
      <c r="G902" s="604"/>
      <c r="H902" s="604"/>
      <c r="I902" s="604" t="s">
        <v>79</v>
      </c>
      <c r="J902" s="604"/>
      <c r="K902" s="604"/>
      <c r="L902" s="604"/>
      <c r="M902" s="604"/>
      <c r="N902" s="604"/>
      <c r="AA902" s="767"/>
      <c r="AB902" s="598"/>
    </row>
    <row r="903" spans="1:28" s="597" customFormat="1" ht="15.75" x14ac:dyDescent="0.2">
      <c r="A903" s="604"/>
      <c r="B903" s="605"/>
      <c r="C903" s="604"/>
      <c r="D903" s="604"/>
      <c r="E903" s="604"/>
      <c r="F903" s="604"/>
      <c r="G903" s="604"/>
      <c r="H903" s="604"/>
      <c r="I903" s="604" t="s">
        <v>80</v>
      </c>
      <c r="J903" s="604"/>
      <c r="K903" s="604"/>
      <c r="L903" s="604"/>
      <c r="M903" s="604"/>
      <c r="N903" s="604"/>
      <c r="AA903" s="767"/>
      <c r="AB903" s="598"/>
    </row>
    <row r="904" spans="1:28" s="597" customFormat="1" ht="15.75" x14ac:dyDescent="0.2">
      <c r="A904" s="604"/>
      <c r="B904" s="605"/>
      <c r="C904" s="604"/>
      <c r="D904" s="604"/>
      <c r="E904" s="604"/>
      <c r="F904" s="604"/>
      <c r="G904" s="604"/>
      <c r="H904" s="604"/>
      <c r="I904" s="604" t="s">
        <v>81</v>
      </c>
      <c r="J904" s="604"/>
      <c r="K904" s="604"/>
      <c r="L904" s="604"/>
      <c r="M904" s="604"/>
      <c r="N904" s="604"/>
      <c r="AA904" s="767"/>
      <c r="AB904" s="598"/>
    </row>
    <row r="905" spans="1:28" s="597" customFormat="1" ht="15.75" x14ac:dyDescent="0.2">
      <c r="A905" s="604"/>
      <c r="B905" s="605"/>
      <c r="C905" s="604"/>
      <c r="D905" s="604"/>
      <c r="E905" s="604"/>
      <c r="F905" s="604"/>
      <c r="G905" s="604"/>
      <c r="H905" s="604"/>
      <c r="I905" s="604" t="s">
        <v>88</v>
      </c>
      <c r="J905" s="604"/>
      <c r="K905" s="604"/>
      <c r="L905" s="604"/>
      <c r="M905" s="604"/>
      <c r="N905" s="604"/>
    </row>
    <row r="906" spans="1:28" s="597" customFormat="1" x14ac:dyDescent="0.2">
      <c r="AA906" s="767"/>
      <c r="AB906" s="598"/>
    </row>
    <row r="907" spans="1:28" s="597" customFormat="1" ht="18.75" x14ac:dyDescent="0.2">
      <c r="A907" s="339"/>
      <c r="B907" s="339"/>
      <c r="C907" s="339"/>
      <c r="D907" s="339"/>
      <c r="E907" s="339"/>
      <c r="F907" s="339"/>
      <c r="G907" s="339"/>
      <c r="H907" s="339"/>
      <c r="I907" s="339"/>
      <c r="J907" s="339"/>
      <c r="K907" s="339"/>
      <c r="L907" s="339"/>
      <c r="M907" s="339"/>
      <c r="N907" s="339"/>
      <c r="O907" s="339"/>
      <c r="P907" s="339"/>
      <c r="Q907" s="339"/>
      <c r="R907" s="339"/>
      <c r="S907" s="339"/>
      <c r="T907" s="339"/>
      <c r="U907" s="339"/>
      <c r="V907" s="339"/>
      <c r="W907" s="339"/>
      <c r="X907" s="339"/>
      <c r="Y907" s="339"/>
      <c r="Z907" s="339"/>
      <c r="AA907" s="2702" t="s">
        <v>0</v>
      </c>
      <c r="AB907" s="2702"/>
    </row>
    <row r="908" spans="1:28" s="597" customFormat="1" ht="18.75" x14ac:dyDescent="0.2">
      <c r="A908" s="2703" t="s">
        <v>1</v>
      </c>
      <c r="B908" s="2703"/>
      <c r="C908" s="2703"/>
      <c r="D908" s="2703"/>
      <c r="E908" s="2703"/>
      <c r="F908" s="2703"/>
      <c r="G908" s="2703"/>
      <c r="H908" s="2703"/>
      <c r="I908" s="2703"/>
      <c r="J908" s="2703"/>
      <c r="K908" s="2703"/>
      <c r="L908" s="2703"/>
      <c r="M908" s="2703"/>
      <c r="N908" s="2703"/>
      <c r="O908" s="2703"/>
      <c r="P908" s="2703"/>
      <c r="Q908" s="2703"/>
      <c r="R908" s="2703"/>
      <c r="S908" s="2703"/>
      <c r="T908" s="2703"/>
      <c r="U908" s="2703"/>
      <c r="V908" s="2703"/>
      <c r="W908" s="2703"/>
      <c r="X908" s="2703"/>
      <c r="Y908" s="2703"/>
      <c r="Z908" s="2703"/>
      <c r="AA908" s="2703"/>
      <c r="AB908" s="2703"/>
    </row>
    <row r="909" spans="1:28" s="597" customFormat="1" ht="18.75" x14ac:dyDescent="0.2">
      <c r="A909" s="2704" t="s">
        <v>573</v>
      </c>
      <c r="B909" s="2704"/>
      <c r="C909" s="2704"/>
      <c r="D909" s="2704"/>
      <c r="E909" s="2704"/>
      <c r="F909" s="2704"/>
      <c r="G909" s="2704"/>
      <c r="H909" s="2704"/>
      <c r="I909" s="2704"/>
      <c r="J909" s="2704"/>
      <c r="K909" s="2704"/>
      <c r="L909" s="2704"/>
      <c r="M909" s="2704"/>
      <c r="N909" s="2704"/>
      <c r="O909" s="2704"/>
      <c r="P909" s="2704"/>
      <c r="Q909" s="2704"/>
      <c r="R909" s="2704"/>
      <c r="S909" s="2704"/>
      <c r="T909" s="2704"/>
      <c r="U909" s="2704"/>
      <c r="V909" s="2704"/>
      <c r="W909" s="2704"/>
      <c r="X909" s="2704"/>
      <c r="Y909" s="2704"/>
      <c r="Z909" s="2704"/>
      <c r="AA909" s="2704"/>
      <c r="AB909" s="2704"/>
    </row>
    <row r="910" spans="1:28" s="597" customFormat="1" x14ac:dyDescent="0.2">
      <c r="A910" s="2686" t="s">
        <v>2</v>
      </c>
      <c r="B910" s="360"/>
      <c r="C910" s="2686" t="s">
        <v>3</v>
      </c>
      <c r="D910" s="360"/>
      <c r="E910" s="360"/>
      <c r="F910" s="2693" t="s">
        <v>4</v>
      </c>
      <c r="G910" s="2693"/>
      <c r="H910" s="2693"/>
      <c r="I910" s="2694"/>
      <c r="J910" s="2694"/>
      <c r="K910" s="2695"/>
      <c r="L910" s="361"/>
      <c r="M910" s="2679" t="s">
        <v>5</v>
      </c>
      <c r="N910" s="2679"/>
      <c r="O910" s="2679"/>
      <c r="P910" s="2679"/>
      <c r="Q910" s="2696"/>
      <c r="R910" s="2696"/>
      <c r="S910" s="2696"/>
      <c r="T910" s="2696"/>
      <c r="U910" s="2696"/>
      <c r="V910" s="2697"/>
      <c r="W910" s="362" t="s">
        <v>6</v>
      </c>
      <c r="X910" s="363" t="s">
        <v>7</v>
      </c>
      <c r="Y910" s="364"/>
      <c r="Z910" s="364"/>
      <c r="AA910" s="363"/>
      <c r="AB910" s="365"/>
    </row>
    <row r="911" spans="1:28" s="597" customFormat="1" x14ac:dyDescent="0.2">
      <c r="A911" s="2687"/>
      <c r="B911" s="367"/>
      <c r="C911" s="2687"/>
      <c r="D911" s="2062" t="s">
        <v>9</v>
      </c>
      <c r="E911" s="368" t="s">
        <v>10</v>
      </c>
      <c r="F911" s="2698" t="s">
        <v>11</v>
      </c>
      <c r="G911" s="2694"/>
      <c r="H911" s="2695"/>
      <c r="I911" s="360"/>
      <c r="J911" s="369" t="s">
        <v>12</v>
      </c>
      <c r="K911" s="360"/>
      <c r="L911" s="2679" t="s">
        <v>2</v>
      </c>
      <c r="M911" s="2067"/>
      <c r="N911" s="2067"/>
      <c r="O911" s="2067"/>
      <c r="P911" s="371"/>
      <c r="Q911" s="372" t="s">
        <v>13</v>
      </c>
      <c r="R911" s="373" t="s">
        <v>12</v>
      </c>
      <c r="S911" s="2067" t="s">
        <v>6</v>
      </c>
      <c r="T911" s="2682" t="s">
        <v>14</v>
      </c>
      <c r="U911" s="2683"/>
      <c r="V911" s="375" t="s">
        <v>7</v>
      </c>
      <c r="W911" s="376" t="s">
        <v>15</v>
      </c>
      <c r="X911" s="377" t="s">
        <v>16</v>
      </c>
      <c r="Y911" s="377" t="s">
        <v>17</v>
      </c>
      <c r="Z911" s="377" t="s">
        <v>18</v>
      </c>
      <c r="AA911" s="377"/>
      <c r="AB911" s="378" t="s">
        <v>19</v>
      </c>
    </row>
    <row r="912" spans="1:28" s="597" customFormat="1" x14ac:dyDescent="0.2">
      <c r="A912" s="2687"/>
      <c r="B912" s="2062" t="s">
        <v>23</v>
      </c>
      <c r="C912" s="2687"/>
      <c r="D912" s="2062" t="s">
        <v>24</v>
      </c>
      <c r="E912" s="368" t="s">
        <v>25</v>
      </c>
      <c r="F912" s="2699"/>
      <c r="G912" s="2700"/>
      <c r="H912" s="2701"/>
      <c r="I912" s="2062" t="s">
        <v>26</v>
      </c>
      <c r="J912" s="379" t="s">
        <v>15</v>
      </c>
      <c r="K912" s="2066" t="s">
        <v>6</v>
      </c>
      <c r="L912" s="2680"/>
      <c r="M912" s="2068" t="s">
        <v>27</v>
      </c>
      <c r="N912" s="2068" t="s">
        <v>10</v>
      </c>
      <c r="O912" s="382" t="s">
        <v>10</v>
      </c>
      <c r="P912" s="383" t="s">
        <v>28</v>
      </c>
      <c r="Q912" s="384" t="s">
        <v>29</v>
      </c>
      <c r="R912" s="383" t="s">
        <v>15</v>
      </c>
      <c r="S912" s="385" t="s">
        <v>15</v>
      </c>
      <c r="T912" s="2684"/>
      <c r="U912" s="2685"/>
      <c r="V912" s="375" t="s">
        <v>30</v>
      </c>
      <c r="W912" s="376" t="s">
        <v>31</v>
      </c>
      <c r="X912" s="377" t="s">
        <v>30</v>
      </c>
      <c r="Y912" s="377" t="s">
        <v>32</v>
      </c>
      <c r="Z912" s="377" t="s">
        <v>7</v>
      </c>
      <c r="AA912" s="377" t="s">
        <v>33</v>
      </c>
      <c r="AB912" s="378" t="s">
        <v>34</v>
      </c>
    </row>
    <row r="913" spans="1:33" s="597" customFormat="1" x14ac:dyDescent="0.2">
      <c r="A913" s="2687"/>
      <c r="B913" s="2062" t="s">
        <v>39</v>
      </c>
      <c r="C913" s="2687"/>
      <c r="D913" s="2062" t="s">
        <v>40</v>
      </c>
      <c r="E913" s="368" t="s">
        <v>41</v>
      </c>
      <c r="F913" s="2686" t="s">
        <v>42</v>
      </c>
      <c r="G913" s="2686" t="s">
        <v>43</v>
      </c>
      <c r="H913" s="2688" t="s">
        <v>44</v>
      </c>
      <c r="I913" s="2062" t="s">
        <v>45</v>
      </c>
      <c r="J913" s="379" t="s">
        <v>46</v>
      </c>
      <c r="K913" s="2066" t="s">
        <v>47</v>
      </c>
      <c r="L913" s="2680"/>
      <c r="M913" s="2068" t="s">
        <v>30</v>
      </c>
      <c r="N913" s="2068" t="s">
        <v>30</v>
      </c>
      <c r="O913" s="382" t="s">
        <v>25</v>
      </c>
      <c r="P913" s="383" t="s">
        <v>30</v>
      </c>
      <c r="Q913" s="384" t="s">
        <v>48</v>
      </c>
      <c r="R913" s="383" t="s">
        <v>49</v>
      </c>
      <c r="S913" s="385" t="s">
        <v>30</v>
      </c>
      <c r="T913" s="386" t="s">
        <v>50</v>
      </c>
      <c r="U913" s="2065" t="s">
        <v>13</v>
      </c>
      <c r="V913" s="375" t="s">
        <v>51</v>
      </c>
      <c r="W913" s="376" t="s">
        <v>52</v>
      </c>
      <c r="X913" s="377" t="s">
        <v>53</v>
      </c>
      <c r="Y913" s="377" t="s">
        <v>54</v>
      </c>
      <c r="Z913" s="377" t="s">
        <v>55</v>
      </c>
      <c r="AA913" s="377" t="s">
        <v>56</v>
      </c>
      <c r="AB913" s="378" t="s">
        <v>57</v>
      </c>
    </row>
    <row r="914" spans="1:33" s="597" customFormat="1" x14ac:dyDescent="0.2">
      <c r="A914" s="2687"/>
      <c r="B914" s="2062" t="s">
        <v>61</v>
      </c>
      <c r="C914" s="2687"/>
      <c r="D914" s="2062" t="s">
        <v>62</v>
      </c>
      <c r="E914" s="368" t="s">
        <v>63</v>
      </c>
      <c r="F914" s="2687"/>
      <c r="G914" s="2687"/>
      <c r="H914" s="2689"/>
      <c r="I914" s="2062" t="s">
        <v>64</v>
      </c>
      <c r="J914" s="379" t="s">
        <v>59</v>
      </c>
      <c r="K914" s="2066" t="s">
        <v>59</v>
      </c>
      <c r="L914" s="2680"/>
      <c r="M914" s="2068"/>
      <c r="N914" s="2068"/>
      <c r="O914" s="382" t="s">
        <v>41</v>
      </c>
      <c r="P914" s="383" t="s">
        <v>65</v>
      </c>
      <c r="Q914" s="384" t="s">
        <v>66</v>
      </c>
      <c r="R914" s="383" t="s">
        <v>67</v>
      </c>
      <c r="S914" s="385" t="s">
        <v>59</v>
      </c>
      <c r="T914" s="387" t="s">
        <v>68</v>
      </c>
      <c r="U914" s="375" t="s">
        <v>14</v>
      </c>
      <c r="V914" s="375" t="s">
        <v>14</v>
      </c>
      <c r="W914" s="376" t="s">
        <v>30</v>
      </c>
      <c r="X914" s="388" t="s">
        <v>69</v>
      </c>
      <c r="Y914" s="388" t="s">
        <v>70</v>
      </c>
      <c r="Z914" s="377" t="s">
        <v>71</v>
      </c>
      <c r="AA914" s="377" t="s">
        <v>72</v>
      </c>
      <c r="AB914" s="378" t="s">
        <v>59</v>
      </c>
    </row>
    <row r="915" spans="1:33" s="597" customFormat="1" x14ac:dyDescent="0.2">
      <c r="A915" s="2692"/>
      <c r="B915" s="390"/>
      <c r="C915" s="2692"/>
      <c r="D915" s="390"/>
      <c r="E915" s="2063"/>
      <c r="F915" s="390"/>
      <c r="G915" s="390"/>
      <c r="H915" s="391"/>
      <c r="I915" s="2063"/>
      <c r="J915" s="392"/>
      <c r="K915" s="393"/>
      <c r="L915" s="2681"/>
      <c r="M915" s="2069"/>
      <c r="N915" s="2069"/>
      <c r="O915" s="2069" t="s">
        <v>63</v>
      </c>
      <c r="P915" s="395"/>
      <c r="Q915" s="396" t="s">
        <v>72</v>
      </c>
      <c r="R915" s="397" t="s">
        <v>59</v>
      </c>
      <c r="S915" s="398"/>
      <c r="T915" s="397" t="s">
        <v>73</v>
      </c>
      <c r="U915" s="398" t="s">
        <v>59</v>
      </c>
      <c r="V915" s="399" t="s">
        <v>59</v>
      </c>
      <c r="W915" s="400" t="s">
        <v>59</v>
      </c>
      <c r="X915" s="401" t="s">
        <v>59</v>
      </c>
      <c r="Y915" s="401" t="s">
        <v>59</v>
      </c>
      <c r="Z915" s="401" t="s">
        <v>59</v>
      </c>
      <c r="AA915" s="402"/>
      <c r="AB915" s="403"/>
    </row>
    <row r="916" spans="1:33" s="597" customFormat="1" x14ac:dyDescent="0.2">
      <c r="A916" s="53">
        <v>1</v>
      </c>
      <c r="B916" s="95">
        <v>38295</v>
      </c>
      <c r="C916" s="82">
        <v>1030</v>
      </c>
      <c r="D916" s="82" t="s">
        <v>83</v>
      </c>
      <c r="E916" s="2070">
        <v>4</v>
      </c>
      <c r="F916" s="82">
        <v>2</v>
      </c>
      <c r="G916" s="82">
        <v>3</v>
      </c>
      <c r="H916" s="463">
        <v>28.5</v>
      </c>
      <c r="I916" s="77">
        <f>F916*400+G916*100+H916</f>
        <v>1128.5</v>
      </c>
      <c r="J916" s="2072">
        <v>880</v>
      </c>
      <c r="K916" s="78">
        <f>SUM(I916*J916)</f>
        <v>993080</v>
      </c>
      <c r="L916" s="75"/>
      <c r="M916" s="82"/>
      <c r="N916" s="82"/>
      <c r="O916" s="53"/>
      <c r="P916" s="358"/>
      <c r="Q916" s="197"/>
      <c r="R916" s="444"/>
      <c r="S916" s="1000"/>
      <c r="T916" s="82"/>
      <c r="U916" s="1000"/>
      <c r="V916" s="70"/>
      <c r="W916" s="123">
        <f>+K916</f>
        <v>993080</v>
      </c>
      <c r="X916" s="1000">
        <f>+W916</f>
        <v>993080</v>
      </c>
      <c r="Y916" s="123"/>
      <c r="Z916" s="123">
        <f>+X916</f>
        <v>993080</v>
      </c>
      <c r="AA916" s="2074">
        <v>0.3</v>
      </c>
      <c r="AB916" s="406">
        <f>+Z916*AA916/100</f>
        <v>2979.24</v>
      </c>
      <c r="AG916" s="597" t="s">
        <v>574</v>
      </c>
    </row>
    <row r="917" spans="1:33" s="665" customFormat="1" x14ac:dyDescent="0.2">
      <c r="A917" s="689"/>
      <c r="B917" s="689"/>
      <c r="C917" s="1301"/>
      <c r="D917" s="1087"/>
      <c r="E917" s="1087"/>
      <c r="F917" s="928"/>
      <c r="G917" s="689"/>
      <c r="H917" s="1302"/>
      <c r="I917" s="243"/>
      <c r="J917" s="275"/>
      <c r="K917" s="279"/>
      <c r="L917" s="281"/>
      <c r="M917" s="177"/>
      <c r="N917" s="177"/>
      <c r="O917" s="271"/>
      <c r="P917" s="177"/>
      <c r="Q917" s="684"/>
      <c r="R917" s="685"/>
      <c r="S917" s="275"/>
      <c r="T917" s="177"/>
      <c r="U917" s="280"/>
      <c r="V917" s="243"/>
      <c r="W917" s="243"/>
      <c r="X917" s="280"/>
      <c r="Y917" s="243"/>
      <c r="Z917" s="243"/>
      <c r="AA917" s="686"/>
      <c r="AB917" s="688"/>
    </row>
    <row r="918" spans="1:33" s="597" customFormat="1" x14ac:dyDescent="0.2">
      <c r="A918" s="242"/>
      <c r="B918" s="88"/>
      <c r="C918" s="239"/>
      <c r="D918" s="2070"/>
      <c r="E918" s="88"/>
      <c r="F918" s="88"/>
      <c r="G918" s="75"/>
      <c r="H918" s="88"/>
      <c r="I918" s="77"/>
      <c r="J918" s="2072"/>
      <c r="K918" s="78"/>
      <c r="L918" s="242"/>
      <c r="M918" s="242"/>
      <c r="N918" s="242"/>
      <c r="O918" s="242"/>
      <c r="P918" s="497"/>
      <c r="Q918" s="496"/>
      <c r="R918" s="503"/>
      <c r="S918" s="504"/>
      <c r="T918" s="505"/>
      <c r="U918" s="504"/>
      <c r="V918" s="504"/>
      <c r="W918" s="2072"/>
      <c r="X918" s="121"/>
      <c r="Y918" s="2072"/>
      <c r="Z918" s="2072"/>
      <c r="AA918" s="2074"/>
      <c r="AB918" s="466"/>
    </row>
    <row r="919" spans="1:33" s="597" customFormat="1" x14ac:dyDescent="0.2">
      <c r="A919" s="2070"/>
      <c r="B919" s="177"/>
      <c r="C919" s="177"/>
      <c r="D919" s="2070"/>
      <c r="E919" s="2070"/>
      <c r="F919" s="2070"/>
      <c r="G919" s="2070"/>
      <c r="H919" s="2076"/>
      <c r="I919" s="2072"/>
      <c r="J919" s="178"/>
      <c r="K919" s="2072"/>
      <c r="L919" s="2070"/>
      <c r="M919" s="2070"/>
      <c r="N919" s="2070"/>
      <c r="O919" s="2070"/>
      <c r="P919" s="2076"/>
      <c r="Q919" s="2071"/>
      <c r="R919" s="437"/>
      <c r="S919" s="2072"/>
      <c r="T919" s="179"/>
      <c r="U919" s="178"/>
      <c r="V919" s="2072"/>
      <c r="W919" s="2072"/>
      <c r="X919" s="470"/>
      <c r="Y919" s="470"/>
      <c r="Z919" s="471"/>
      <c r="AA919" s="764"/>
      <c r="AB919" s="466"/>
    </row>
    <row r="920" spans="1:33" s="597" customFormat="1" x14ac:dyDescent="0.2">
      <c r="A920" s="2070"/>
      <c r="B920" s="177"/>
      <c r="C920" s="177"/>
      <c r="D920" s="2070"/>
      <c r="E920" s="2070"/>
      <c r="F920" s="2070"/>
      <c r="G920" s="2070"/>
      <c r="H920" s="2076"/>
      <c r="I920" s="2072"/>
      <c r="J920" s="178"/>
      <c r="K920" s="2072"/>
      <c r="L920" s="2070"/>
      <c r="M920" s="2070"/>
      <c r="N920" s="2070"/>
      <c r="O920" s="2070"/>
      <c r="P920" s="2076"/>
      <c r="Q920" s="2071"/>
      <c r="R920" s="437"/>
      <c r="S920" s="2072"/>
      <c r="T920" s="179"/>
      <c r="U920" s="178"/>
      <c r="V920" s="2072"/>
      <c r="W920" s="2072"/>
      <c r="X920" s="470"/>
      <c r="Y920" s="470"/>
      <c r="Z920" s="471"/>
      <c r="AA920" s="764"/>
      <c r="AB920" s="466"/>
    </row>
    <row r="921" spans="1:33" s="597" customFormat="1" x14ac:dyDescent="0.2">
      <c r="A921" s="2070"/>
      <c r="B921" s="177"/>
      <c r="C921" s="177"/>
      <c r="D921" s="2070"/>
      <c r="E921" s="2070"/>
      <c r="F921" s="2070"/>
      <c r="G921" s="2070"/>
      <c r="H921" s="2076"/>
      <c r="I921" s="2072"/>
      <c r="J921" s="178"/>
      <c r="K921" s="2072"/>
      <c r="L921" s="2070"/>
      <c r="M921" s="2070"/>
      <c r="N921" s="2070"/>
      <c r="O921" s="2070"/>
      <c r="P921" s="2076"/>
      <c r="Q921" s="2071"/>
      <c r="R921" s="437"/>
      <c r="S921" s="2072"/>
      <c r="T921" s="179"/>
      <c r="U921" s="178"/>
      <c r="V921" s="2072"/>
      <c r="W921" s="2072"/>
      <c r="X921" s="470"/>
      <c r="Y921" s="470"/>
      <c r="Z921" s="471"/>
      <c r="AA921" s="764"/>
      <c r="AB921" s="466"/>
    </row>
    <row r="922" spans="1:33" s="665" customFormat="1" x14ac:dyDescent="0.2">
      <c r="A922" s="177"/>
      <c r="B922" s="177"/>
      <c r="C922" s="177"/>
      <c r="D922" s="177"/>
      <c r="E922" s="177"/>
      <c r="F922" s="177"/>
      <c r="G922" s="177"/>
      <c r="H922" s="274"/>
      <c r="I922" s="275"/>
      <c r="J922" s="275"/>
      <c r="K922" s="275"/>
      <c r="L922" s="177"/>
      <c r="M922" s="177"/>
      <c r="N922" s="177"/>
      <c r="O922" s="177"/>
      <c r="P922" s="274"/>
      <c r="Q922" s="276"/>
      <c r="R922" s="661"/>
      <c r="S922" s="275"/>
      <c r="T922" s="277"/>
      <c r="U922" s="275"/>
      <c r="V922" s="275"/>
      <c r="W922" s="275"/>
      <c r="X922" s="662"/>
      <c r="Y922" s="662"/>
      <c r="Z922" s="663"/>
      <c r="AA922" s="1303"/>
      <c r="AB922" s="664"/>
    </row>
    <row r="923" spans="1:33" s="597" customFormat="1" x14ac:dyDescent="0.2">
      <c r="A923" s="2070"/>
      <c r="B923" s="177"/>
      <c r="C923" s="177"/>
      <c r="D923" s="2070"/>
      <c r="E923" s="2070"/>
      <c r="F923" s="2070"/>
      <c r="G923" s="2070"/>
      <c r="H923" s="2076"/>
      <c r="I923" s="2072"/>
      <c r="J923" s="178"/>
      <c r="K923" s="2072"/>
      <c r="L923" s="2070"/>
      <c r="M923" s="2070"/>
      <c r="N923" s="2070"/>
      <c r="O923" s="2070"/>
      <c r="P923" s="2076"/>
      <c r="Q923" s="2071"/>
      <c r="R923" s="437"/>
      <c r="S923" s="2072"/>
      <c r="T923" s="179"/>
      <c r="U923" s="178"/>
      <c r="V923" s="2072"/>
      <c r="W923" s="2072"/>
      <c r="X923" s="470"/>
      <c r="Y923" s="470"/>
      <c r="Z923" s="471"/>
      <c r="AA923" s="764"/>
      <c r="AB923" s="466"/>
    </row>
    <row r="924" spans="1:33" s="597" customFormat="1" x14ac:dyDescent="0.2">
      <c r="A924" s="2070"/>
      <c r="B924" s="177"/>
      <c r="C924" s="177"/>
      <c r="D924" s="2070"/>
      <c r="E924" s="2070"/>
      <c r="F924" s="2070"/>
      <c r="G924" s="2070"/>
      <c r="H924" s="2076"/>
      <c r="I924" s="2072"/>
      <c r="J924" s="178"/>
      <c r="K924" s="2072"/>
      <c r="L924" s="2070"/>
      <c r="M924" s="2070"/>
      <c r="N924" s="2070"/>
      <c r="O924" s="2070"/>
      <c r="P924" s="2076"/>
      <c r="Q924" s="2071"/>
      <c r="R924" s="437"/>
      <c r="S924" s="2072"/>
      <c r="T924" s="179"/>
      <c r="U924" s="178"/>
      <c r="V924" s="2072"/>
      <c r="W924" s="2072"/>
      <c r="X924" s="470"/>
      <c r="Y924" s="470"/>
      <c r="Z924" s="471"/>
      <c r="AA924" s="764"/>
      <c r="AB924" s="466"/>
    </row>
    <row r="925" spans="1:33" s="597" customFormat="1" x14ac:dyDescent="0.2">
      <c r="A925" s="2070"/>
      <c r="B925" s="177"/>
      <c r="C925" s="177"/>
      <c r="D925" s="2070"/>
      <c r="E925" s="2070"/>
      <c r="F925" s="2070"/>
      <c r="G925" s="2070"/>
      <c r="H925" s="2076"/>
      <c r="I925" s="2072"/>
      <c r="J925" s="178"/>
      <c r="K925" s="2072"/>
      <c r="L925" s="2070"/>
      <c r="M925" s="2070"/>
      <c r="N925" s="2070"/>
      <c r="O925" s="2070"/>
      <c r="P925" s="2076"/>
      <c r="Q925" s="2071"/>
      <c r="R925" s="437"/>
      <c r="S925" s="2072"/>
      <c r="T925" s="179"/>
      <c r="U925" s="178"/>
      <c r="V925" s="2072"/>
      <c r="W925" s="2072"/>
      <c r="X925" s="470"/>
      <c r="Y925" s="470"/>
      <c r="Z925" s="471"/>
      <c r="AA925" s="764"/>
      <c r="AB925" s="466"/>
    </row>
    <row r="926" spans="1:33" s="597" customFormat="1" x14ac:dyDescent="0.2">
      <c r="A926" s="2070"/>
      <c r="B926" s="177"/>
      <c r="C926" s="177"/>
      <c r="D926" s="2070"/>
      <c r="E926" s="2070"/>
      <c r="F926" s="2070"/>
      <c r="G926" s="2070"/>
      <c r="H926" s="2076"/>
      <c r="I926" s="2072"/>
      <c r="J926" s="178"/>
      <c r="K926" s="2072"/>
      <c r="L926" s="2070"/>
      <c r="M926" s="2070"/>
      <c r="N926" s="2070"/>
      <c r="O926" s="2070"/>
      <c r="P926" s="2076"/>
      <c r="Q926" s="2071"/>
      <c r="R926" s="437"/>
      <c r="S926" s="2072"/>
      <c r="T926" s="179"/>
      <c r="U926" s="178"/>
      <c r="V926" s="2072"/>
      <c r="W926" s="2072"/>
      <c r="X926" s="470"/>
      <c r="Y926" s="470"/>
      <c r="Z926" s="471"/>
      <c r="AA926" s="764"/>
      <c r="AB926" s="466"/>
    </row>
    <row r="927" spans="1:33" s="597" customFormat="1" x14ac:dyDescent="0.2">
      <c r="A927" s="2070"/>
      <c r="B927" s="177"/>
      <c r="C927" s="177"/>
      <c r="D927" s="2070"/>
      <c r="E927" s="2070"/>
      <c r="F927" s="2070"/>
      <c r="G927" s="2070"/>
      <c r="H927" s="2076"/>
      <c r="I927" s="2072"/>
      <c r="J927" s="178"/>
      <c r="K927" s="2072"/>
      <c r="L927" s="2070"/>
      <c r="M927" s="2070"/>
      <c r="N927" s="2070"/>
      <c r="O927" s="2070"/>
      <c r="P927" s="2076"/>
      <c r="Q927" s="2071"/>
      <c r="R927" s="437"/>
      <c r="S927" s="2072"/>
      <c r="T927" s="179"/>
      <c r="U927" s="178"/>
      <c r="V927" s="2072"/>
      <c r="W927" s="2072"/>
      <c r="X927" s="470"/>
      <c r="Y927" s="470"/>
      <c r="Z927" s="471"/>
      <c r="AA927" s="764"/>
      <c r="AB927" s="466"/>
    </row>
    <row r="928" spans="1:33" s="597" customFormat="1" x14ac:dyDescent="0.2">
      <c r="A928" s="2070"/>
      <c r="B928" s="177"/>
      <c r="C928" s="177"/>
      <c r="D928" s="2070"/>
      <c r="E928" s="2070"/>
      <c r="F928" s="2070"/>
      <c r="G928" s="2070"/>
      <c r="H928" s="2076"/>
      <c r="I928" s="2072"/>
      <c r="J928" s="178"/>
      <c r="K928" s="2072"/>
      <c r="L928" s="2070"/>
      <c r="M928" s="2070"/>
      <c r="N928" s="2070"/>
      <c r="O928" s="2070"/>
      <c r="P928" s="2076"/>
      <c r="Q928" s="2071"/>
      <c r="R928" s="437"/>
      <c r="S928" s="2072"/>
      <c r="T928" s="179"/>
      <c r="U928" s="178"/>
      <c r="V928" s="2072"/>
      <c r="W928" s="2072"/>
      <c r="X928" s="470"/>
      <c r="Y928" s="470"/>
      <c r="Z928" s="471"/>
      <c r="AA928" s="764"/>
      <c r="AB928" s="466"/>
    </row>
    <row r="929" spans="1:28" s="597" customFormat="1" x14ac:dyDescent="0.2">
      <c r="A929" s="2070"/>
      <c r="B929" s="177"/>
      <c r="C929" s="177"/>
      <c r="D929" s="2070"/>
      <c r="E929" s="2070"/>
      <c r="F929" s="2070"/>
      <c r="G929" s="2070"/>
      <c r="H929" s="2076"/>
      <c r="I929" s="2072"/>
      <c r="J929" s="178"/>
      <c r="K929" s="2072"/>
      <c r="L929" s="2070"/>
      <c r="M929" s="2070"/>
      <c r="N929" s="2070"/>
      <c r="O929" s="2070"/>
      <c r="P929" s="2076"/>
      <c r="Q929" s="2071"/>
      <c r="R929" s="437"/>
      <c r="S929" s="2072"/>
      <c r="T929" s="179"/>
      <c r="U929" s="178"/>
      <c r="V929" s="2072"/>
      <c r="W929" s="2072"/>
      <c r="X929" s="470"/>
      <c r="Y929" s="470"/>
      <c r="Z929" s="471"/>
      <c r="AA929" s="764"/>
      <c r="AB929" s="466"/>
    </row>
    <row r="930" spans="1:28" s="597" customFormat="1" x14ac:dyDescent="0.2">
      <c r="A930" s="88"/>
      <c r="B930" s="180"/>
      <c r="C930" s="180"/>
      <c r="D930" s="88"/>
      <c r="E930" s="88"/>
      <c r="F930" s="88"/>
      <c r="G930" s="88"/>
      <c r="H930" s="120"/>
      <c r="I930" s="121"/>
      <c r="J930" s="181"/>
      <c r="K930" s="121"/>
      <c r="L930" s="88"/>
      <c r="M930" s="88"/>
      <c r="N930" s="88"/>
      <c r="O930" s="88"/>
      <c r="P930" s="88"/>
      <c r="Q930" s="129"/>
      <c r="R930" s="445"/>
      <c r="S930" s="121"/>
      <c r="T930" s="182"/>
      <c r="U930" s="181"/>
      <c r="V930" s="121"/>
      <c r="W930" s="121"/>
      <c r="X930" s="472"/>
      <c r="Y930" s="472"/>
      <c r="Z930" s="473"/>
      <c r="AA930" s="780"/>
      <c r="AB930" s="410"/>
    </row>
    <row r="931" spans="1:28" s="597" customFormat="1" x14ac:dyDescent="0.2">
      <c r="A931" s="1850"/>
      <c r="B931" s="1850"/>
      <c r="C931" s="1850"/>
      <c r="D931" s="1850"/>
      <c r="E931" s="1850"/>
      <c r="F931" s="1850"/>
      <c r="G931" s="1850"/>
      <c r="H931" s="1851"/>
      <c r="I931" s="1852"/>
      <c r="J931" s="1853"/>
      <c r="K931" s="1852"/>
      <c r="L931" s="1852"/>
      <c r="M931" s="1852"/>
      <c r="N931" s="1852"/>
      <c r="O931" s="1852"/>
      <c r="P931" s="1852"/>
      <c r="Q931" s="1852"/>
      <c r="R931" s="1854"/>
      <c r="S931" s="1852"/>
      <c r="T931" s="1855"/>
      <c r="U931" s="1853"/>
      <c r="V931" s="1852"/>
      <c r="W931" s="1852"/>
      <c r="X931" s="1856"/>
      <c r="Y931" s="1856"/>
      <c r="Z931" s="1857"/>
      <c r="AA931" s="2125"/>
      <c r="AB931" s="1847">
        <f>SUM(AB916:AB930)</f>
        <v>2979.24</v>
      </c>
    </row>
    <row r="932" spans="1:28" s="597" customFormat="1" ht="15.75" x14ac:dyDescent="0.2">
      <c r="A932" s="2690" t="s">
        <v>76</v>
      </c>
      <c r="B932" s="2690"/>
      <c r="C932" s="2691" t="s">
        <v>77</v>
      </c>
      <c r="D932" s="2691"/>
      <c r="E932" s="2691"/>
      <c r="F932" s="2691"/>
      <c r="G932" s="2691"/>
      <c r="H932" s="2691"/>
      <c r="I932" s="604" t="s">
        <v>78</v>
      </c>
      <c r="J932" s="604"/>
      <c r="K932" s="604"/>
      <c r="L932" s="604"/>
      <c r="M932" s="604"/>
      <c r="N932" s="604"/>
      <c r="AA932" s="767"/>
      <c r="AB932" s="598"/>
    </row>
    <row r="933" spans="1:28" s="597" customFormat="1" ht="15.75" x14ac:dyDescent="0.2">
      <c r="A933" s="604"/>
      <c r="B933" s="605"/>
      <c r="C933" s="604"/>
      <c r="D933" s="604"/>
      <c r="E933" s="604"/>
      <c r="F933" s="604"/>
      <c r="G933" s="604"/>
      <c r="H933" s="604"/>
      <c r="I933" s="604" t="s">
        <v>79</v>
      </c>
      <c r="J933" s="604"/>
      <c r="K933" s="604"/>
      <c r="L933" s="604"/>
      <c r="M933" s="604"/>
      <c r="N933" s="604"/>
      <c r="AA933" s="767"/>
      <c r="AB933" s="598"/>
    </row>
    <row r="934" spans="1:28" s="597" customFormat="1" ht="15.75" x14ac:dyDescent="0.2">
      <c r="A934" s="604"/>
      <c r="B934" s="605"/>
      <c r="C934" s="604"/>
      <c r="D934" s="604"/>
      <c r="E934" s="604"/>
      <c r="F934" s="604"/>
      <c r="G934" s="604"/>
      <c r="H934" s="604"/>
      <c r="I934" s="604" t="s">
        <v>80</v>
      </c>
      <c r="J934" s="604"/>
      <c r="K934" s="604"/>
      <c r="L934" s="604"/>
      <c r="M934" s="604"/>
      <c r="N934" s="604"/>
      <c r="AA934" s="767"/>
      <c r="AB934" s="598"/>
    </row>
    <row r="935" spans="1:28" s="597" customFormat="1" ht="15.75" x14ac:dyDescent="0.2">
      <c r="A935" s="604"/>
      <c r="B935" s="605"/>
      <c r="C935" s="604"/>
      <c r="D935" s="604"/>
      <c r="E935" s="604"/>
      <c r="F935" s="604"/>
      <c r="G935" s="604"/>
      <c r="H935" s="604"/>
      <c r="I935" s="604" t="s">
        <v>81</v>
      </c>
      <c r="J935" s="604"/>
      <c r="K935" s="604"/>
      <c r="L935" s="604"/>
      <c r="M935" s="604"/>
      <c r="N935" s="604"/>
      <c r="AA935" s="767"/>
      <c r="AB935" s="598"/>
    </row>
    <row r="936" spans="1:28" s="597" customFormat="1" ht="15.75" x14ac:dyDescent="0.2">
      <c r="A936" s="604"/>
      <c r="B936" s="605"/>
      <c r="C936" s="604"/>
      <c r="D936" s="604"/>
      <c r="E936" s="604"/>
      <c r="F936" s="604"/>
      <c r="G936" s="604"/>
      <c r="H936" s="604"/>
      <c r="I936" s="604" t="s">
        <v>88</v>
      </c>
      <c r="J936" s="604"/>
      <c r="K936" s="604"/>
      <c r="L936" s="604"/>
      <c r="M936" s="604"/>
      <c r="N936" s="604"/>
    </row>
    <row r="937" spans="1:28" s="597" customFormat="1" ht="18" customHeight="1" x14ac:dyDescent="0.2">
      <c r="A937" s="455"/>
      <c r="B937" s="455"/>
      <c r="C937" s="455"/>
      <c r="D937" s="455"/>
      <c r="E937" s="455"/>
      <c r="F937" s="455"/>
      <c r="G937" s="455"/>
      <c r="H937" s="455"/>
      <c r="I937" s="455"/>
      <c r="J937" s="455"/>
      <c r="K937" s="455"/>
      <c r="L937" s="455"/>
      <c r="M937" s="455"/>
      <c r="N937" s="455"/>
      <c r="O937" s="455"/>
      <c r="P937" s="455"/>
      <c r="Q937" s="455"/>
      <c r="R937" s="455"/>
      <c r="S937" s="455"/>
      <c r="T937" s="455"/>
      <c r="U937" s="609"/>
      <c r="V937" s="455"/>
      <c r="W937" s="455"/>
      <c r="X937" s="455"/>
      <c r="Y937" s="455"/>
      <c r="Z937" s="455"/>
      <c r="AA937" s="2705" t="s">
        <v>0</v>
      </c>
      <c r="AB937" s="2705"/>
    </row>
    <row r="938" spans="1:28" s="597" customFormat="1" ht="18" customHeight="1" x14ac:dyDescent="0.2">
      <c r="A938" s="2706" t="s">
        <v>1</v>
      </c>
      <c r="B938" s="2706"/>
      <c r="C938" s="2706"/>
      <c r="D938" s="2706"/>
      <c r="E938" s="2706"/>
      <c r="F938" s="2706"/>
      <c r="G938" s="2706"/>
      <c r="H938" s="2706"/>
      <c r="I938" s="2706"/>
      <c r="J938" s="2706"/>
      <c r="K938" s="2706"/>
      <c r="L938" s="2706"/>
      <c r="M938" s="2706"/>
      <c r="N938" s="2706"/>
      <c r="O938" s="2706"/>
      <c r="P938" s="2706"/>
      <c r="Q938" s="2706"/>
      <c r="R938" s="2706"/>
      <c r="S938" s="2706"/>
      <c r="T938" s="2706"/>
      <c r="U938" s="2706"/>
      <c r="V938" s="2706"/>
      <c r="W938" s="2706"/>
      <c r="X938" s="2706"/>
      <c r="Y938" s="2706"/>
      <c r="Z938" s="2706"/>
      <c r="AA938" s="2706"/>
      <c r="AB938" s="2706"/>
    </row>
    <row r="939" spans="1:28" s="597" customFormat="1" ht="18" customHeight="1" x14ac:dyDescent="0.2">
      <c r="A939" s="2704" t="s">
        <v>575</v>
      </c>
      <c r="B939" s="2704"/>
      <c r="C939" s="2704"/>
      <c r="D939" s="2704"/>
      <c r="E939" s="2704"/>
      <c r="F939" s="2704"/>
      <c r="G939" s="2704"/>
      <c r="H939" s="2704"/>
      <c r="I939" s="2704"/>
      <c r="J939" s="2704"/>
      <c r="K939" s="2704"/>
      <c r="L939" s="2704"/>
      <c r="M939" s="2704"/>
      <c r="N939" s="2704"/>
      <c r="O939" s="2704"/>
      <c r="P939" s="2704"/>
      <c r="Q939" s="2704"/>
      <c r="R939" s="2704"/>
      <c r="S939" s="2704"/>
      <c r="T939" s="2704"/>
      <c r="U939" s="2704"/>
      <c r="V939" s="2704"/>
      <c r="W939" s="2704"/>
      <c r="X939" s="2704"/>
      <c r="Y939" s="2704"/>
      <c r="Z939" s="2704"/>
      <c r="AA939" s="2704"/>
      <c r="AB939" s="2704"/>
    </row>
    <row r="940" spans="1:28" s="597" customFormat="1" ht="18" customHeight="1" x14ac:dyDescent="0.2">
      <c r="A940" s="2686" t="s">
        <v>2</v>
      </c>
      <c r="B940" s="360"/>
      <c r="C940" s="2686" t="s">
        <v>3</v>
      </c>
      <c r="D940" s="360"/>
      <c r="E940" s="360"/>
      <c r="F940" s="2693" t="s">
        <v>4</v>
      </c>
      <c r="G940" s="2693"/>
      <c r="H940" s="2693"/>
      <c r="I940" s="2694"/>
      <c r="J940" s="2694"/>
      <c r="K940" s="2695"/>
      <c r="L940" s="361"/>
      <c r="M940" s="2679" t="s">
        <v>5</v>
      </c>
      <c r="N940" s="2679"/>
      <c r="O940" s="2679"/>
      <c r="P940" s="2679"/>
      <c r="Q940" s="2696"/>
      <c r="R940" s="2696"/>
      <c r="S940" s="2696"/>
      <c r="T940" s="2696"/>
      <c r="U940" s="2696"/>
      <c r="V940" s="2697"/>
      <c r="W940" s="362" t="s">
        <v>6</v>
      </c>
      <c r="X940" s="363" t="s">
        <v>7</v>
      </c>
      <c r="Y940" s="364"/>
      <c r="Z940" s="364"/>
      <c r="AA940" s="363"/>
      <c r="AB940" s="458"/>
    </row>
    <row r="941" spans="1:28" s="597" customFormat="1" ht="18" customHeight="1" x14ac:dyDescent="0.2">
      <c r="A941" s="2687"/>
      <c r="B941" s="367"/>
      <c r="C941" s="2687"/>
      <c r="D941" s="2062" t="s">
        <v>9</v>
      </c>
      <c r="E941" s="2062" t="s">
        <v>10</v>
      </c>
      <c r="F941" s="2698" t="s">
        <v>11</v>
      </c>
      <c r="G941" s="2694"/>
      <c r="H941" s="2695"/>
      <c r="I941" s="360"/>
      <c r="J941" s="2061" t="s">
        <v>12</v>
      </c>
      <c r="K941" s="360"/>
      <c r="L941" s="2734" t="s">
        <v>2</v>
      </c>
      <c r="M941" s="2067"/>
      <c r="N941" s="2067"/>
      <c r="O941" s="2067"/>
      <c r="P941" s="371"/>
      <c r="Q941" s="459" t="s">
        <v>13</v>
      </c>
      <c r="R941" s="2067" t="s">
        <v>12</v>
      </c>
      <c r="S941" s="2067" t="s">
        <v>6</v>
      </c>
      <c r="T941" s="2682" t="s">
        <v>14</v>
      </c>
      <c r="U941" s="2683"/>
      <c r="V941" s="375" t="s">
        <v>7</v>
      </c>
      <c r="W941" s="376" t="s">
        <v>15</v>
      </c>
      <c r="X941" s="377" t="s">
        <v>16</v>
      </c>
      <c r="Y941" s="377" t="s">
        <v>17</v>
      </c>
      <c r="Z941" s="377" t="s">
        <v>18</v>
      </c>
      <c r="AA941" s="377"/>
      <c r="AB941" s="460" t="s">
        <v>19</v>
      </c>
    </row>
    <row r="942" spans="1:28" s="597" customFormat="1" ht="18" customHeight="1" x14ac:dyDescent="0.2">
      <c r="A942" s="2687"/>
      <c r="B942" s="2062" t="s">
        <v>23</v>
      </c>
      <c r="C942" s="2687"/>
      <c r="D942" s="2062" t="s">
        <v>24</v>
      </c>
      <c r="E942" s="2062" t="s">
        <v>25</v>
      </c>
      <c r="F942" s="2699"/>
      <c r="G942" s="2700"/>
      <c r="H942" s="2701"/>
      <c r="I942" s="2062" t="s">
        <v>26</v>
      </c>
      <c r="J942" s="2066" t="s">
        <v>15</v>
      </c>
      <c r="K942" s="2066" t="s">
        <v>6</v>
      </c>
      <c r="L942" s="2735"/>
      <c r="M942" s="2068" t="s">
        <v>27</v>
      </c>
      <c r="N942" s="2068" t="s">
        <v>10</v>
      </c>
      <c r="O942" s="2068" t="s">
        <v>10</v>
      </c>
      <c r="P942" s="385" t="s">
        <v>28</v>
      </c>
      <c r="Q942" s="461" t="s">
        <v>29</v>
      </c>
      <c r="R942" s="385" t="s">
        <v>15</v>
      </c>
      <c r="S942" s="385" t="s">
        <v>15</v>
      </c>
      <c r="T942" s="2684"/>
      <c r="U942" s="2685"/>
      <c r="V942" s="375" t="s">
        <v>30</v>
      </c>
      <c r="W942" s="376" t="s">
        <v>31</v>
      </c>
      <c r="X942" s="377" t="s">
        <v>30</v>
      </c>
      <c r="Y942" s="377" t="s">
        <v>32</v>
      </c>
      <c r="Z942" s="377" t="s">
        <v>7</v>
      </c>
      <c r="AA942" s="377" t="s">
        <v>33</v>
      </c>
      <c r="AB942" s="460" t="s">
        <v>34</v>
      </c>
    </row>
    <row r="943" spans="1:28" s="597" customFormat="1" ht="18" customHeight="1" x14ac:dyDescent="0.2">
      <c r="A943" s="2687"/>
      <c r="B943" s="2062" t="s">
        <v>39</v>
      </c>
      <c r="C943" s="2687"/>
      <c r="D943" s="2062" t="s">
        <v>40</v>
      </c>
      <c r="E943" s="2062" t="s">
        <v>41</v>
      </c>
      <c r="F943" s="2686" t="s">
        <v>42</v>
      </c>
      <c r="G943" s="2686" t="s">
        <v>43</v>
      </c>
      <c r="H943" s="2688" t="s">
        <v>44</v>
      </c>
      <c r="I943" s="2062" t="s">
        <v>45</v>
      </c>
      <c r="J943" s="2066" t="s">
        <v>46</v>
      </c>
      <c r="K943" s="2066" t="s">
        <v>47</v>
      </c>
      <c r="L943" s="2735"/>
      <c r="M943" s="2068" t="s">
        <v>30</v>
      </c>
      <c r="N943" s="2068" t="s">
        <v>30</v>
      </c>
      <c r="O943" s="2068" t="s">
        <v>25</v>
      </c>
      <c r="P943" s="385" t="s">
        <v>30</v>
      </c>
      <c r="Q943" s="461" t="s">
        <v>48</v>
      </c>
      <c r="R943" s="385" t="s">
        <v>49</v>
      </c>
      <c r="S943" s="385" t="s">
        <v>30</v>
      </c>
      <c r="T943" s="2065" t="s">
        <v>50</v>
      </c>
      <c r="U943" s="620" t="s">
        <v>13</v>
      </c>
      <c r="V943" s="375" t="s">
        <v>51</v>
      </c>
      <c r="W943" s="376" t="s">
        <v>52</v>
      </c>
      <c r="X943" s="377" t="s">
        <v>53</v>
      </c>
      <c r="Y943" s="377" t="s">
        <v>54</v>
      </c>
      <c r="Z943" s="377" t="s">
        <v>55</v>
      </c>
      <c r="AA943" s="377" t="s">
        <v>56</v>
      </c>
      <c r="AB943" s="460" t="s">
        <v>57</v>
      </c>
    </row>
    <row r="944" spans="1:28" s="597" customFormat="1" ht="18" customHeight="1" x14ac:dyDescent="0.2">
      <c r="A944" s="2687"/>
      <c r="B944" s="2062" t="s">
        <v>61</v>
      </c>
      <c r="C944" s="2687"/>
      <c r="D944" s="2062" t="s">
        <v>62</v>
      </c>
      <c r="E944" s="2062" t="s">
        <v>63</v>
      </c>
      <c r="F944" s="2687"/>
      <c r="G944" s="2687"/>
      <c r="H944" s="2689"/>
      <c r="I944" s="2062" t="s">
        <v>64</v>
      </c>
      <c r="J944" s="2066" t="s">
        <v>59</v>
      </c>
      <c r="K944" s="2066" t="s">
        <v>59</v>
      </c>
      <c r="L944" s="2735"/>
      <c r="M944" s="2068"/>
      <c r="N944" s="2068"/>
      <c r="O944" s="2068" t="s">
        <v>41</v>
      </c>
      <c r="P944" s="385" t="s">
        <v>65</v>
      </c>
      <c r="Q944" s="461" t="s">
        <v>66</v>
      </c>
      <c r="R944" s="385" t="s">
        <v>67</v>
      </c>
      <c r="S944" s="385" t="s">
        <v>59</v>
      </c>
      <c r="T944" s="375" t="s">
        <v>68</v>
      </c>
      <c r="U944" s="622" t="s">
        <v>14</v>
      </c>
      <c r="V944" s="375" t="s">
        <v>14</v>
      </c>
      <c r="W944" s="376" t="s">
        <v>30</v>
      </c>
      <c r="X944" s="388" t="s">
        <v>69</v>
      </c>
      <c r="Y944" s="388" t="s">
        <v>70</v>
      </c>
      <c r="Z944" s="377" t="s">
        <v>71</v>
      </c>
      <c r="AA944" s="377" t="s">
        <v>72</v>
      </c>
      <c r="AB944" s="460" t="s">
        <v>59</v>
      </c>
    </row>
    <row r="945" spans="1:33" s="597" customFormat="1" ht="18" customHeight="1" x14ac:dyDescent="0.2">
      <c r="A945" s="2692"/>
      <c r="B945" s="390"/>
      <c r="C945" s="2692"/>
      <c r="D945" s="390"/>
      <c r="E945" s="2063"/>
      <c r="F945" s="390"/>
      <c r="G945" s="390"/>
      <c r="H945" s="391"/>
      <c r="I945" s="2063"/>
      <c r="J945" s="393"/>
      <c r="K945" s="393"/>
      <c r="L945" s="2736"/>
      <c r="M945" s="2069"/>
      <c r="N945" s="2069"/>
      <c r="O945" s="2069" t="s">
        <v>63</v>
      </c>
      <c r="P945" s="2069"/>
      <c r="Q945" s="2064" t="s">
        <v>72</v>
      </c>
      <c r="R945" s="398" t="s">
        <v>59</v>
      </c>
      <c r="S945" s="398"/>
      <c r="T945" s="398" t="s">
        <v>73</v>
      </c>
      <c r="U945" s="624" t="s">
        <v>59</v>
      </c>
      <c r="V945" s="399" t="s">
        <v>59</v>
      </c>
      <c r="W945" s="400" t="s">
        <v>59</v>
      </c>
      <c r="X945" s="401" t="s">
        <v>59</v>
      </c>
      <c r="Y945" s="401" t="s">
        <v>59</v>
      </c>
      <c r="Z945" s="401" t="s">
        <v>59</v>
      </c>
      <c r="AA945" s="402"/>
      <c r="AB945" s="462"/>
    </row>
    <row r="946" spans="1:33" s="597" customFormat="1" ht="18" customHeight="1" x14ac:dyDescent="0.25">
      <c r="A946" s="88">
        <v>1</v>
      </c>
      <c r="B946" s="988">
        <v>64722</v>
      </c>
      <c r="C946" s="27">
        <v>1199</v>
      </c>
      <c r="D946" s="27" t="s">
        <v>83</v>
      </c>
      <c r="E946" s="27">
        <v>4</v>
      </c>
      <c r="F946" s="27">
        <v>0</v>
      </c>
      <c r="G946" s="804">
        <v>2</v>
      </c>
      <c r="H946" s="291">
        <v>0</v>
      </c>
      <c r="I946" s="30">
        <f>F946*400+G946*100+H946</f>
        <v>200</v>
      </c>
      <c r="J946" s="31">
        <v>1000</v>
      </c>
      <c r="K946" s="39">
        <f>SUM(I946*J946)</f>
        <v>200000</v>
      </c>
      <c r="L946" s="15"/>
      <c r="M946" s="15"/>
      <c r="N946" s="15"/>
      <c r="O946" s="15">
        <v>4</v>
      </c>
      <c r="P946" s="22"/>
      <c r="Q946" s="25"/>
      <c r="R946" s="563"/>
      <c r="S946" s="23"/>
      <c r="T946" s="26"/>
      <c r="U946" s="24"/>
      <c r="V946" s="23"/>
      <c r="W946" s="18">
        <f>+K946+V946</f>
        <v>200000</v>
      </c>
      <c r="X946" s="18">
        <f>W946</f>
        <v>200000</v>
      </c>
      <c r="Y946" s="564"/>
      <c r="Z946" s="18">
        <f>+X946</f>
        <v>200000</v>
      </c>
      <c r="AA946" s="292">
        <v>0.3</v>
      </c>
      <c r="AB946" s="410">
        <f>+Z946*AA946/100</f>
        <v>600</v>
      </c>
      <c r="AG946" s="597" t="s">
        <v>574</v>
      </c>
    </row>
    <row r="947" spans="1:33" s="597" customFormat="1" ht="18" customHeight="1" x14ac:dyDescent="0.2">
      <c r="A947" s="2070"/>
      <c r="B947" s="957"/>
      <c r="C947" s="177"/>
      <c r="D947" s="2070"/>
      <c r="E947" s="2070"/>
      <c r="F947" s="2070"/>
      <c r="G947" s="238"/>
      <c r="H947" s="2076"/>
      <c r="I947" s="2072"/>
      <c r="J947" s="178"/>
      <c r="K947" s="2072"/>
      <c r="L947" s="2070"/>
      <c r="M947" s="2070"/>
      <c r="N947" s="2070"/>
      <c r="O947" s="2070"/>
      <c r="P947" s="2076"/>
      <c r="Q947" s="2071"/>
      <c r="R947" s="437"/>
      <c r="S947" s="2072"/>
      <c r="T947" s="179"/>
      <c r="U947" s="178"/>
      <c r="V947" s="2072"/>
      <c r="W947" s="2072"/>
      <c r="X947" s="470"/>
      <c r="Y947" s="470"/>
      <c r="Z947" s="471"/>
      <c r="AA947" s="471"/>
      <c r="AB947" s="466"/>
    </row>
    <row r="948" spans="1:33" s="597" customFormat="1" ht="18" customHeight="1" x14ac:dyDescent="0.2">
      <c r="A948" s="2070"/>
      <c r="B948" s="177"/>
      <c r="C948" s="177"/>
      <c r="D948" s="2070"/>
      <c r="E948" s="2070"/>
      <c r="F948" s="2070"/>
      <c r="G948" s="238"/>
      <c r="H948" s="2076"/>
      <c r="I948" s="2072"/>
      <c r="J948" s="178"/>
      <c r="K948" s="2072"/>
      <c r="L948" s="2070"/>
      <c r="M948" s="2070"/>
      <c r="N948" s="2070"/>
      <c r="O948" s="2070"/>
      <c r="P948" s="2076"/>
      <c r="Q948" s="2071"/>
      <c r="R948" s="437"/>
      <c r="S948" s="2072"/>
      <c r="T948" s="179"/>
      <c r="U948" s="178"/>
      <c r="V948" s="2072"/>
      <c r="W948" s="2072"/>
      <c r="X948" s="470"/>
      <c r="Y948" s="470"/>
      <c r="Z948" s="471"/>
      <c r="AA948" s="471"/>
      <c r="AB948" s="466"/>
    </row>
    <row r="949" spans="1:33" s="597" customFormat="1" ht="18" customHeight="1" x14ac:dyDescent="0.2">
      <c r="A949" s="2070"/>
      <c r="B949" s="177"/>
      <c r="C949" s="177"/>
      <c r="D949" s="2070"/>
      <c r="E949" s="2070"/>
      <c r="F949" s="2070"/>
      <c r="G949" s="2070"/>
      <c r="H949" s="2076"/>
      <c r="I949" s="2072"/>
      <c r="J949" s="178"/>
      <c r="K949" s="2072"/>
      <c r="L949" s="2070"/>
      <c r="M949" s="2070"/>
      <c r="N949" s="2070"/>
      <c r="O949" s="2070"/>
      <c r="P949" s="2076"/>
      <c r="Q949" s="2071"/>
      <c r="R949" s="437"/>
      <c r="S949" s="2072"/>
      <c r="T949" s="179"/>
      <c r="U949" s="178"/>
      <c r="V949" s="2072"/>
      <c r="W949" s="2072"/>
      <c r="X949" s="470"/>
      <c r="Y949" s="470"/>
      <c r="Z949" s="471"/>
      <c r="AA949" s="471"/>
      <c r="AB949" s="466"/>
    </row>
    <row r="950" spans="1:33" s="597" customFormat="1" ht="18" customHeight="1" x14ac:dyDescent="0.2">
      <c r="A950" s="2070"/>
      <c r="B950" s="177"/>
      <c r="C950" s="177"/>
      <c r="D950" s="2070"/>
      <c r="E950" s="2070"/>
      <c r="F950" s="2070"/>
      <c r="G950" s="2070"/>
      <c r="H950" s="2076"/>
      <c r="I950" s="2072"/>
      <c r="J950" s="178"/>
      <c r="K950" s="2072"/>
      <c r="L950" s="2070"/>
      <c r="M950" s="2070"/>
      <c r="N950" s="2070"/>
      <c r="O950" s="2070"/>
      <c r="P950" s="2076"/>
      <c r="Q950" s="2071"/>
      <c r="R950" s="437"/>
      <c r="S950" s="2072"/>
      <c r="T950" s="179"/>
      <c r="U950" s="178"/>
      <c r="V950" s="2072"/>
      <c r="W950" s="2072"/>
      <c r="X950" s="470"/>
      <c r="Y950" s="470"/>
      <c r="Z950" s="471"/>
      <c r="AA950" s="471"/>
      <c r="AB950" s="466"/>
    </row>
    <row r="951" spans="1:33" s="597" customFormat="1" ht="18" customHeight="1" x14ac:dyDescent="0.2">
      <c r="A951" s="2070"/>
      <c r="B951" s="177"/>
      <c r="C951" s="177"/>
      <c r="D951" s="2070"/>
      <c r="E951" s="2070"/>
      <c r="F951" s="2070"/>
      <c r="G951" s="2070"/>
      <c r="H951" s="2076"/>
      <c r="I951" s="2072"/>
      <c r="J951" s="178"/>
      <c r="K951" s="2072"/>
      <c r="L951" s="2070"/>
      <c r="M951" s="2070"/>
      <c r="N951" s="2070"/>
      <c r="O951" s="2070"/>
      <c r="P951" s="2076"/>
      <c r="Q951" s="2071"/>
      <c r="R951" s="437"/>
      <c r="S951" s="2072"/>
      <c r="T951" s="179"/>
      <c r="U951" s="178"/>
      <c r="V951" s="2072"/>
      <c r="W951" s="2072"/>
      <c r="X951" s="470"/>
      <c r="Y951" s="470"/>
      <c r="Z951" s="471"/>
      <c r="AA951" s="471"/>
      <c r="AB951" s="466"/>
    </row>
    <row r="952" spans="1:33" s="597" customFormat="1" ht="18" customHeight="1" x14ac:dyDescent="0.2">
      <c r="A952" s="2070"/>
      <c r="B952" s="177"/>
      <c r="C952" s="177"/>
      <c r="D952" s="2070"/>
      <c r="E952" s="2070"/>
      <c r="F952" s="2070"/>
      <c r="G952" s="2070"/>
      <c r="H952" s="2076"/>
      <c r="I952" s="2072"/>
      <c r="J952" s="178"/>
      <c r="K952" s="2072"/>
      <c r="L952" s="2070"/>
      <c r="M952" s="2070"/>
      <c r="N952" s="2070"/>
      <c r="O952" s="2070"/>
      <c r="P952" s="2076"/>
      <c r="Q952" s="2071"/>
      <c r="R952" s="437"/>
      <c r="S952" s="2072"/>
      <c r="T952" s="179"/>
      <c r="U952" s="178"/>
      <c r="V952" s="2072"/>
      <c r="W952" s="2072"/>
      <c r="X952" s="470"/>
      <c r="Y952" s="470"/>
      <c r="Z952" s="471"/>
      <c r="AA952" s="471"/>
      <c r="AB952" s="466"/>
    </row>
    <row r="953" spans="1:33" s="597" customFormat="1" ht="18" customHeight="1" x14ac:dyDescent="0.2">
      <c r="A953" s="2070"/>
      <c r="B953" s="177"/>
      <c r="C953" s="177"/>
      <c r="D953" s="2070"/>
      <c r="E953" s="2070"/>
      <c r="F953" s="2070"/>
      <c r="G953" s="2070"/>
      <c r="H953" s="2076"/>
      <c r="I953" s="2072"/>
      <c r="J953" s="178"/>
      <c r="K953" s="2072"/>
      <c r="L953" s="2070"/>
      <c r="M953" s="2070"/>
      <c r="N953" s="2070"/>
      <c r="O953" s="2070"/>
      <c r="P953" s="2076"/>
      <c r="Q953" s="2071"/>
      <c r="R953" s="437"/>
      <c r="S953" s="2072"/>
      <c r="T953" s="179"/>
      <c r="U953" s="178"/>
      <c r="V953" s="2072"/>
      <c r="W953" s="2072"/>
      <c r="X953" s="470"/>
      <c r="Y953" s="470"/>
      <c r="Z953" s="471"/>
      <c r="AA953" s="471"/>
      <c r="AB953" s="466"/>
    </row>
    <row r="954" spans="1:33" s="597" customFormat="1" ht="18" customHeight="1" x14ac:dyDescent="0.2">
      <c r="A954" s="2070"/>
      <c r="B954" s="177"/>
      <c r="C954" s="177"/>
      <c r="D954" s="2070"/>
      <c r="E954" s="2070"/>
      <c r="F954" s="2070"/>
      <c r="G954" s="2070"/>
      <c r="H954" s="2076"/>
      <c r="I954" s="2072"/>
      <c r="J954" s="178"/>
      <c r="K954" s="2072"/>
      <c r="L954" s="2070"/>
      <c r="M954" s="2070"/>
      <c r="N954" s="2070"/>
      <c r="O954" s="2070"/>
      <c r="P954" s="2076"/>
      <c r="Q954" s="2071"/>
      <c r="R954" s="437"/>
      <c r="S954" s="2072"/>
      <c r="T954" s="179"/>
      <c r="U954" s="178"/>
      <c r="V954" s="2072"/>
      <c r="W954" s="2072"/>
      <c r="X954" s="470"/>
      <c r="Y954" s="470"/>
      <c r="Z954" s="471"/>
      <c r="AA954" s="471"/>
      <c r="AB954" s="466"/>
    </row>
    <row r="955" spans="1:33" s="597" customFormat="1" ht="18" customHeight="1" x14ac:dyDescent="0.2">
      <c r="A955" s="2070"/>
      <c r="B955" s="177"/>
      <c r="C955" s="177"/>
      <c r="D955" s="2070"/>
      <c r="E955" s="2070"/>
      <c r="F955" s="2070"/>
      <c r="G955" s="2070"/>
      <c r="H955" s="2076"/>
      <c r="I955" s="2072"/>
      <c r="J955" s="178"/>
      <c r="K955" s="2072"/>
      <c r="L955" s="2070"/>
      <c r="M955" s="2070"/>
      <c r="N955" s="2070"/>
      <c r="O955" s="2070"/>
      <c r="P955" s="2076"/>
      <c r="Q955" s="2071"/>
      <c r="R955" s="437"/>
      <c r="S955" s="2072"/>
      <c r="T955" s="179"/>
      <c r="U955" s="178"/>
      <c r="V955" s="2072"/>
      <c r="W955" s="2072"/>
      <c r="X955" s="470"/>
      <c r="Y955" s="470"/>
      <c r="Z955" s="471"/>
      <c r="AA955" s="471"/>
      <c r="AB955" s="466"/>
    </row>
    <row r="956" spans="1:33" s="597" customFormat="1" ht="18" customHeight="1" x14ac:dyDescent="0.2">
      <c r="A956" s="2070"/>
      <c r="B956" s="177"/>
      <c r="C956" s="177"/>
      <c r="D956" s="2070"/>
      <c r="E956" s="2070"/>
      <c r="F956" s="2070"/>
      <c r="G956" s="2070"/>
      <c r="H956" s="2076"/>
      <c r="I956" s="2072"/>
      <c r="J956" s="178"/>
      <c r="K956" s="2072"/>
      <c r="L956" s="2070"/>
      <c r="M956" s="2070"/>
      <c r="N956" s="2070"/>
      <c r="O956" s="2070"/>
      <c r="P956" s="2076"/>
      <c r="Q956" s="2071"/>
      <c r="R956" s="437"/>
      <c r="S956" s="2072"/>
      <c r="T956" s="179"/>
      <c r="U956" s="178"/>
      <c r="V956" s="2072"/>
      <c r="W956" s="2072"/>
      <c r="X956" s="470"/>
      <c r="Y956" s="470"/>
      <c r="Z956" s="471"/>
      <c r="AA956" s="471"/>
      <c r="AB956" s="466"/>
    </row>
    <row r="957" spans="1:33" s="597" customFormat="1" ht="18" customHeight="1" x14ac:dyDescent="0.2">
      <c r="A957" s="2070"/>
      <c r="B957" s="177"/>
      <c r="C957" s="177"/>
      <c r="D957" s="2070"/>
      <c r="E957" s="2070"/>
      <c r="F957" s="2070"/>
      <c r="G957" s="2070"/>
      <c r="H957" s="2076"/>
      <c r="I957" s="2072"/>
      <c r="J957" s="178"/>
      <c r="K957" s="2072"/>
      <c r="L957" s="2070"/>
      <c r="M957" s="2070"/>
      <c r="N957" s="2070"/>
      <c r="O957" s="2070"/>
      <c r="P957" s="2076"/>
      <c r="Q957" s="2071"/>
      <c r="R957" s="437"/>
      <c r="S957" s="2072"/>
      <c r="T957" s="179"/>
      <c r="U957" s="178"/>
      <c r="V957" s="2072"/>
      <c r="W957" s="2072"/>
      <c r="X957" s="470"/>
      <c r="Y957" s="470"/>
      <c r="Z957" s="471"/>
      <c r="AA957" s="471"/>
      <c r="AB957" s="466"/>
    </row>
    <row r="958" spans="1:33" s="597" customFormat="1" ht="18" customHeight="1" x14ac:dyDescent="0.2">
      <c r="A958" s="1850"/>
      <c r="B958" s="1850"/>
      <c r="C958" s="1850"/>
      <c r="D958" s="1850"/>
      <c r="E958" s="1850"/>
      <c r="F958" s="1850"/>
      <c r="G958" s="1850"/>
      <c r="H958" s="1851"/>
      <c r="I958" s="1852"/>
      <c r="J958" s="1853"/>
      <c r="K958" s="1852"/>
      <c r="L958" s="1852"/>
      <c r="M958" s="1852"/>
      <c r="N958" s="1852"/>
      <c r="O958" s="1852"/>
      <c r="P958" s="1852"/>
      <c r="Q958" s="1852"/>
      <c r="R958" s="1854"/>
      <c r="S958" s="1852"/>
      <c r="T958" s="1855"/>
      <c r="U958" s="1853"/>
      <c r="V958" s="1852"/>
      <c r="W958" s="1852"/>
      <c r="X958" s="1856"/>
      <c r="Y958" s="1856"/>
      <c r="Z958" s="1857"/>
      <c r="AA958" s="1857"/>
      <c r="AB958" s="1847">
        <f>SUM(AB946:AB957)</f>
        <v>600</v>
      </c>
    </row>
    <row r="959" spans="1:33" s="597" customFormat="1" ht="18" customHeight="1" x14ac:dyDescent="0.2">
      <c r="A959" s="2737" t="s">
        <v>76</v>
      </c>
      <c r="B959" s="2737"/>
      <c r="C959" s="2738" t="s">
        <v>77</v>
      </c>
      <c r="D959" s="2738"/>
      <c r="E959" s="2738"/>
      <c r="F959" s="2738"/>
      <c r="G959" s="2738"/>
      <c r="H959" s="2738"/>
      <c r="I959" s="457" t="s">
        <v>78</v>
      </c>
      <c r="J959" s="457"/>
      <c r="K959" s="457"/>
      <c r="L959" s="457"/>
      <c r="M959" s="457"/>
      <c r="N959" s="457"/>
      <c r="O959" s="457"/>
      <c r="P959" s="457"/>
      <c r="Q959" s="457"/>
      <c r="R959" s="457"/>
      <c r="S959" s="457"/>
      <c r="T959" s="457"/>
      <c r="U959" s="478"/>
      <c r="V959" s="457"/>
      <c r="W959" s="457"/>
      <c r="X959" s="457"/>
      <c r="Y959" s="457"/>
      <c r="Z959" s="457"/>
      <c r="AA959" s="457"/>
      <c r="AB959" s="478"/>
    </row>
    <row r="960" spans="1:33" s="597" customFormat="1" ht="18" customHeight="1" x14ac:dyDescent="0.2">
      <c r="A960" s="457"/>
      <c r="B960" s="479"/>
      <c r="C960" s="457"/>
      <c r="D960" s="457"/>
      <c r="E960" s="457"/>
      <c r="F960" s="457"/>
      <c r="G960" s="457"/>
      <c r="H960" s="457"/>
      <c r="I960" s="457" t="s">
        <v>79</v>
      </c>
      <c r="J960" s="457"/>
      <c r="K960" s="457"/>
      <c r="L960" s="457"/>
      <c r="M960" s="457"/>
      <c r="N960" s="457"/>
      <c r="O960" s="457"/>
      <c r="P960" s="457"/>
      <c r="Q960" s="457"/>
      <c r="R960" s="457"/>
      <c r="S960" s="457"/>
      <c r="T960" s="457"/>
      <c r="U960" s="478"/>
      <c r="V960" s="457"/>
      <c r="W960" s="457"/>
      <c r="X960" s="457"/>
      <c r="Y960" s="457"/>
      <c r="Z960" s="457"/>
      <c r="AA960" s="457"/>
      <c r="AB960" s="478"/>
    </row>
    <row r="961" spans="1:33" s="597" customFormat="1" ht="18" customHeight="1" x14ac:dyDescent="0.2">
      <c r="A961" s="457"/>
      <c r="B961" s="479"/>
      <c r="C961" s="457"/>
      <c r="D961" s="457"/>
      <c r="E961" s="457"/>
      <c r="F961" s="457"/>
      <c r="G961" s="457"/>
      <c r="H961" s="457"/>
      <c r="I961" s="457" t="s">
        <v>80</v>
      </c>
      <c r="J961" s="457"/>
      <c r="K961" s="457"/>
      <c r="L961" s="457"/>
      <c r="M961" s="457"/>
      <c r="N961" s="457"/>
      <c r="O961" s="457"/>
      <c r="P961" s="457"/>
      <c r="Q961" s="457"/>
      <c r="R961" s="457"/>
      <c r="S961" s="457"/>
      <c r="T961" s="457"/>
      <c r="U961" s="478"/>
      <c r="V961" s="457"/>
      <c r="W961" s="457"/>
      <c r="X961" s="457"/>
      <c r="Y961" s="457"/>
      <c r="Z961" s="457"/>
      <c r="AA961" s="457"/>
      <c r="AB961" s="598"/>
    </row>
    <row r="962" spans="1:33" s="597" customFormat="1" ht="18" customHeight="1" x14ac:dyDescent="0.2">
      <c r="A962" s="457"/>
      <c r="B962" s="479"/>
      <c r="C962" s="457"/>
      <c r="D962" s="457"/>
      <c r="E962" s="457"/>
      <c r="F962" s="457"/>
      <c r="G962" s="457"/>
      <c r="H962" s="457"/>
      <c r="I962" s="457" t="s">
        <v>81</v>
      </c>
      <c r="J962" s="457"/>
      <c r="K962" s="457"/>
      <c r="L962" s="457"/>
      <c r="M962" s="457"/>
      <c r="N962" s="457"/>
      <c r="O962" s="457"/>
      <c r="P962" s="457"/>
      <c r="Q962" s="457"/>
      <c r="R962" s="457"/>
      <c r="S962" s="457"/>
      <c r="T962" s="457"/>
      <c r="U962" s="478"/>
      <c r="V962" s="457"/>
      <c r="W962" s="457"/>
      <c r="X962" s="457"/>
      <c r="Y962" s="457"/>
      <c r="Z962" s="457"/>
      <c r="AA962" s="457"/>
      <c r="AB962" s="478"/>
    </row>
    <row r="963" spans="1:33" s="597" customFormat="1" ht="18" customHeight="1" x14ac:dyDescent="0.2">
      <c r="A963" s="457"/>
      <c r="B963" s="479"/>
      <c r="C963" s="457"/>
      <c r="D963" s="457"/>
      <c r="E963" s="457"/>
      <c r="F963" s="457"/>
      <c r="G963" s="457"/>
      <c r="H963" s="457"/>
      <c r="I963" s="457" t="s">
        <v>88</v>
      </c>
      <c r="J963" s="457"/>
      <c r="K963" s="457"/>
      <c r="L963" s="457"/>
      <c r="M963" s="457"/>
      <c r="N963" s="457"/>
      <c r="O963" s="457"/>
      <c r="P963" s="457"/>
      <c r="Q963" s="457"/>
      <c r="R963" s="457"/>
      <c r="S963" s="457"/>
      <c r="T963" s="457"/>
      <c r="U963" s="478"/>
      <c r="V963" s="457"/>
      <c r="W963" s="457"/>
      <c r="X963" s="457"/>
      <c r="Y963" s="457"/>
      <c r="Z963" s="457"/>
      <c r="AA963" s="457"/>
      <c r="AB963" s="478"/>
    </row>
    <row r="964" spans="1:33" s="597" customFormat="1" x14ac:dyDescent="0.2">
      <c r="A964" s="455"/>
      <c r="B964" s="455"/>
      <c r="C964" s="455"/>
      <c r="D964" s="455"/>
      <c r="E964" s="455"/>
      <c r="F964" s="455"/>
      <c r="G964" s="455"/>
      <c r="H964" s="455"/>
      <c r="I964" s="455"/>
      <c r="J964" s="455"/>
      <c r="K964" s="455"/>
      <c r="L964" s="455"/>
      <c r="M964" s="455"/>
      <c r="N964" s="455"/>
      <c r="O964" s="455"/>
      <c r="P964" s="455"/>
      <c r="Q964" s="455"/>
      <c r="R964" s="455"/>
      <c r="S964" s="455"/>
      <c r="T964" s="455"/>
      <c r="U964" s="609"/>
      <c r="V964" s="455"/>
      <c r="W964" s="455"/>
      <c r="X964" s="455"/>
      <c r="Y964" s="455"/>
      <c r="Z964" s="455"/>
      <c r="AA964" s="2705" t="s">
        <v>0</v>
      </c>
      <c r="AB964" s="2705"/>
    </row>
    <row r="965" spans="1:33" s="597" customFormat="1" x14ac:dyDescent="0.2">
      <c r="A965" s="2706" t="s">
        <v>1</v>
      </c>
      <c r="B965" s="2706"/>
      <c r="C965" s="2706"/>
      <c r="D965" s="2706"/>
      <c r="E965" s="2706"/>
      <c r="F965" s="2706"/>
      <c r="G965" s="2706"/>
      <c r="H965" s="2706"/>
      <c r="I965" s="2706"/>
      <c r="J965" s="2706"/>
      <c r="K965" s="2706"/>
      <c r="L965" s="2706"/>
      <c r="M965" s="2706"/>
      <c r="N965" s="2706"/>
      <c r="O965" s="2706"/>
      <c r="P965" s="2706"/>
      <c r="Q965" s="2706"/>
      <c r="R965" s="2706"/>
      <c r="S965" s="2706"/>
      <c r="T965" s="2706"/>
      <c r="U965" s="2706"/>
      <c r="V965" s="2706"/>
      <c r="W965" s="2706"/>
      <c r="X965" s="2706"/>
      <c r="Y965" s="2706"/>
      <c r="Z965" s="2706"/>
      <c r="AA965" s="2706"/>
      <c r="AB965" s="2706"/>
    </row>
    <row r="966" spans="1:33" s="597" customFormat="1" ht="18.75" x14ac:dyDescent="0.2">
      <c r="A966" s="2704" t="s">
        <v>576</v>
      </c>
      <c r="B966" s="2704"/>
      <c r="C966" s="2704"/>
      <c r="D966" s="2704"/>
      <c r="E966" s="2704"/>
      <c r="F966" s="2704"/>
      <c r="G966" s="2704"/>
      <c r="H966" s="2704"/>
      <c r="I966" s="2704"/>
      <c r="J966" s="2704"/>
      <c r="K966" s="2704"/>
      <c r="L966" s="2704"/>
      <c r="M966" s="2704"/>
      <c r="N966" s="2704"/>
      <c r="O966" s="2704"/>
      <c r="P966" s="2704"/>
      <c r="Q966" s="2704"/>
      <c r="R966" s="2704"/>
      <c r="S966" s="2704"/>
      <c r="T966" s="2704"/>
      <c r="U966" s="2704"/>
      <c r="V966" s="2704"/>
      <c r="W966" s="2704"/>
      <c r="X966" s="2704"/>
      <c r="Y966" s="2704"/>
      <c r="Z966" s="2704"/>
      <c r="AA966" s="2704"/>
      <c r="AB966" s="2704"/>
    </row>
    <row r="967" spans="1:33" s="597" customFormat="1" x14ac:dyDescent="0.2">
      <c r="A967" s="2686" t="s">
        <v>2</v>
      </c>
      <c r="B967" s="360"/>
      <c r="C967" s="2686" t="s">
        <v>3</v>
      </c>
      <c r="D967" s="360"/>
      <c r="E967" s="360"/>
      <c r="F967" s="2693" t="s">
        <v>4</v>
      </c>
      <c r="G967" s="2693"/>
      <c r="H967" s="2693"/>
      <c r="I967" s="2694"/>
      <c r="J967" s="2694"/>
      <c r="K967" s="2695"/>
      <c r="L967" s="361"/>
      <c r="M967" s="2679" t="s">
        <v>5</v>
      </c>
      <c r="N967" s="2679"/>
      <c r="O967" s="2679"/>
      <c r="P967" s="2679"/>
      <c r="Q967" s="2696"/>
      <c r="R967" s="2696"/>
      <c r="S967" s="2696"/>
      <c r="T967" s="2696"/>
      <c r="U967" s="2696"/>
      <c r="V967" s="2697"/>
      <c r="W967" s="362" t="s">
        <v>6</v>
      </c>
      <c r="X967" s="363" t="s">
        <v>7</v>
      </c>
      <c r="Y967" s="364"/>
      <c r="Z967" s="364"/>
      <c r="AA967" s="363"/>
      <c r="AB967" s="458"/>
    </row>
    <row r="968" spans="1:33" s="597" customFormat="1" x14ac:dyDescent="0.2">
      <c r="A968" s="2687"/>
      <c r="B968" s="367"/>
      <c r="C968" s="2687"/>
      <c r="D968" s="2062" t="s">
        <v>9</v>
      </c>
      <c r="E968" s="2062" t="s">
        <v>10</v>
      </c>
      <c r="F968" s="2698" t="s">
        <v>11</v>
      </c>
      <c r="G968" s="2694"/>
      <c r="H968" s="2695"/>
      <c r="I968" s="360"/>
      <c r="J968" s="2061" t="s">
        <v>12</v>
      </c>
      <c r="K968" s="360"/>
      <c r="L968" s="2734" t="s">
        <v>2</v>
      </c>
      <c r="M968" s="2067"/>
      <c r="N968" s="2067"/>
      <c r="O968" s="2067"/>
      <c r="P968" s="371"/>
      <c r="Q968" s="459" t="s">
        <v>13</v>
      </c>
      <c r="R968" s="2067" t="s">
        <v>12</v>
      </c>
      <c r="S968" s="2067" t="s">
        <v>6</v>
      </c>
      <c r="T968" s="2682" t="s">
        <v>14</v>
      </c>
      <c r="U968" s="2683"/>
      <c r="V968" s="375" t="s">
        <v>7</v>
      </c>
      <c r="W968" s="376" t="s">
        <v>15</v>
      </c>
      <c r="X968" s="377" t="s">
        <v>16</v>
      </c>
      <c r="Y968" s="377" t="s">
        <v>17</v>
      </c>
      <c r="Z968" s="377" t="s">
        <v>18</v>
      </c>
      <c r="AA968" s="377"/>
      <c r="AB968" s="460" t="s">
        <v>19</v>
      </c>
    </row>
    <row r="969" spans="1:33" s="597" customFormat="1" x14ac:dyDescent="0.2">
      <c r="A969" s="2687"/>
      <c r="B969" s="2062" t="s">
        <v>23</v>
      </c>
      <c r="C969" s="2687"/>
      <c r="D969" s="2062" t="s">
        <v>24</v>
      </c>
      <c r="E969" s="2062" t="s">
        <v>25</v>
      </c>
      <c r="F969" s="2699"/>
      <c r="G969" s="2700"/>
      <c r="H969" s="2701"/>
      <c r="I969" s="2062" t="s">
        <v>26</v>
      </c>
      <c r="J969" s="2066" t="s">
        <v>15</v>
      </c>
      <c r="K969" s="2066" t="s">
        <v>6</v>
      </c>
      <c r="L969" s="2735"/>
      <c r="M969" s="2068" t="s">
        <v>27</v>
      </c>
      <c r="N969" s="2068" t="s">
        <v>10</v>
      </c>
      <c r="O969" s="2068" t="s">
        <v>10</v>
      </c>
      <c r="P969" s="385" t="s">
        <v>28</v>
      </c>
      <c r="Q969" s="461" t="s">
        <v>29</v>
      </c>
      <c r="R969" s="385" t="s">
        <v>15</v>
      </c>
      <c r="S969" s="385" t="s">
        <v>15</v>
      </c>
      <c r="T969" s="2684"/>
      <c r="U969" s="2685"/>
      <c r="V969" s="375" t="s">
        <v>30</v>
      </c>
      <c r="W969" s="376" t="s">
        <v>31</v>
      </c>
      <c r="X969" s="377" t="s">
        <v>30</v>
      </c>
      <c r="Y969" s="377" t="s">
        <v>32</v>
      </c>
      <c r="Z969" s="377" t="s">
        <v>7</v>
      </c>
      <c r="AA969" s="377" t="s">
        <v>33</v>
      </c>
      <c r="AB969" s="460" t="s">
        <v>34</v>
      </c>
    </row>
    <row r="970" spans="1:33" s="597" customFormat="1" x14ac:dyDescent="0.2">
      <c r="A970" s="2687"/>
      <c r="B970" s="2062" t="s">
        <v>39</v>
      </c>
      <c r="C970" s="2687"/>
      <c r="D970" s="2062" t="s">
        <v>40</v>
      </c>
      <c r="E970" s="2062" t="s">
        <v>41</v>
      </c>
      <c r="F970" s="2686" t="s">
        <v>42</v>
      </c>
      <c r="G970" s="2686" t="s">
        <v>43</v>
      </c>
      <c r="H970" s="2688" t="s">
        <v>44</v>
      </c>
      <c r="I970" s="2062" t="s">
        <v>45</v>
      </c>
      <c r="J970" s="2066" t="s">
        <v>46</v>
      </c>
      <c r="K970" s="2066" t="s">
        <v>47</v>
      </c>
      <c r="L970" s="2735"/>
      <c r="M970" s="2068" t="s">
        <v>30</v>
      </c>
      <c r="N970" s="2068" t="s">
        <v>30</v>
      </c>
      <c r="O970" s="2068" t="s">
        <v>25</v>
      </c>
      <c r="P970" s="385" t="s">
        <v>30</v>
      </c>
      <c r="Q970" s="461" t="s">
        <v>48</v>
      </c>
      <c r="R970" s="385" t="s">
        <v>49</v>
      </c>
      <c r="S970" s="385" t="s">
        <v>30</v>
      </c>
      <c r="T970" s="2065" t="s">
        <v>50</v>
      </c>
      <c r="U970" s="620" t="s">
        <v>13</v>
      </c>
      <c r="V970" s="375" t="s">
        <v>51</v>
      </c>
      <c r="W970" s="376" t="s">
        <v>52</v>
      </c>
      <c r="X970" s="377" t="s">
        <v>53</v>
      </c>
      <c r="Y970" s="377" t="s">
        <v>54</v>
      </c>
      <c r="Z970" s="377" t="s">
        <v>55</v>
      </c>
      <c r="AA970" s="377" t="s">
        <v>56</v>
      </c>
      <c r="AB970" s="460" t="s">
        <v>57</v>
      </c>
    </row>
    <row r="971" spans="1:33" s="597" customFormat="1" x14ac:dyDescent="0.2">
      <c r="A971" s="2687"/>
      <c r="B971" s="2062" t="s">
        <v>61</v>
      </c>
      <c r="C971" s="2687"/>
      <c r="D971" s="2062" t="s">
        <v>62</v>
      </c>
      <c r="E971" s="2062" t="s">
        <v>63</v>
      </c>
      <c r="F971" s="2687"/>
      <c r="G971" s="2687"/>
      <c r="H971" s="2689"/>
      <c r="I971" s="2062" t="s">
        <v>64</v>
      </c>
      <c r="J971" s="2066" t="s">
        <v>59</v>
      </c>
      <c r="K971" s="2066" t="s">
        <v>59</v>
      </c>
      <c r="L971" s="2735"/>
      <c r="M971" s="2068"/>
      <c r="N971" s="2068"/>
      <c r="O971" s="2068" t="s">
        <v>41</v>
      </c>
      <c r="P971" s="385" t="s">
        <v>65</v>
      </c>
      <c r="Q971" s="461" t="s">
        <v>66</v>
      </c>
      <c r="R971" s="385" t="s">
        <v>67</v>
      </c>
      <c r="S971" s="385" t="s">
        <v>59</v>
      </c>
      <c r="T971" s="375" t="s">
        <v>68</v>
      </c>
      <c r="U971" s="622" t="s">
        <v>14</v>
      </c>
      <c r="V971" s="375" t="s">
        <v>14</v>
      </c>
      <c r="W971" s="376" t="s">
        <v>30</v>
      </c>
      <c r="X971" s="388" t="s">
        <v>69</v>
      </c>
      <c r="Y971" s="388" t="s">
        <v>70</v>
      </c>
      <c r="Z971" s="377" t="s">
        <v>71</v>
      </c>
      <c r="AA971" s="377" t="s">
        <v>72</v>
      </c>
      <c r="AB971" s="460" t="s">
        <v>59</v>
      </c>
    </row>
    <row r="972" spans="1:33" s="597" customFormat="1" x14ac:dyDescent="0.2">
      <c r="A972" s="2692"/>
      <c r="B972" s="390"/>
      <c r="C972" s="2692"/>
      <c r="D972" s="390"/>
      <c r="E972" s="2063"/>
      <c r="F972" s="390"/>
      <c r="G972" s="390"/>
      <c r="H972" s="391"/>
      <c r="I972" s="2063"/>
      <c r="J972" s="393"/>
      <c r="K972" s="393"/>
      <c r="L972" s="2736"/>
      <c r="M972" s="2069"/>
      <c r="N972" s="2069"/>
      <c r="O972" s="2069" t="s">
        <v>63</v>
      </c>
      <c r="P972" s="2069"/>
      <c r="Q972" s="2064" t="s">
        <v>72</v>
      </c>
      <c r="R972" s="398" t="s">
        <v>59</v>
      </c>
      <c r="S972" s="398"/>
      <c r="T972" s="398" t="s">
        <v>73</v>
      </c>
      <c r="U972" s="624" t="s">
        <v>59</v>
      </c>
      <c r="V972" s="399" t="s">
        <v>59</v>
      </c>
      <c r="W972" s="400" t="s">
        <v>59</v>
      </c>
      <c r="X972" s="401" t="s">
        <v>59</v>
      </c>
      <c r="Y972" s="401" t="s">
        <v>59</v>
      </c>
      <c r="Z972" s="401" t="s">
        <v>59</v>
      </c>
      <c r="AA972" s="402"/>
      <c r="AB972" s="462"/>
    </row>
    <row r="973" spans="1:33" s="597" customFormat="1" x14ac:dyDescent="0.25">
      <c r="A973" s="88">
        <v>1</v>
      </c>
      <c r="B973" s="988">
        <v>37954</v>
      </c>
      <c r="C973" s="27">
        <v>728</v>
      </c>
      <c r="D973" s="27" t="s">
        <v>83</v>
      </c>
      <c r="E973" s="27">
        <v>1</v>
      </c>
      <c r="F973" s="27">
        <v>1</v>
      </c>
      <c r="G973" s="804">
        <v>0</v>
      </c>
      <c r="H973" s="291">
        <v>37</v>
      </c>
      <c r="I973" s="30">
        <f>F973*400+G973*100+H973</f>
        <v>437</v>
      </c>
      <c r="J973" s="31">
        <v>1000</v>
      </c>
      <c r="K973" s="39">
        <f>+I973*J973</f>
        <v>437000</v>
      </c>
      <c r="L973" s="15">
        <v>1</v>
      </c>
      <c r="M973" s="805">
        <v>103</v>
      </c>
      <c r="N973" s="15" t="s">
        <v>74</v>
      </c>
      <c r="O973" s="15">
        <v>2</v>
      </c>
      <c r="P973" s="22">
        <v>225</v>
      </c>
      <c r="Q973" s="25" t="s">
        <v>75</v>
      </c>
      <c r="R973" s="563">
        <v>9050</v>
      </c>
      <c r="S973" s="23">
        <f>R973*P973</f>
        <v>2036250</v>
      </c>
      <c r="T973" s="26">
        <v>3</v>
      </c>
      <c r="U973" s="24">
        <f>S973*3/100</f>
        <v>61087.5</v>
      </c>
      <c r="V973" s="23">
        <f>S973-U973</f>
        <v>1975162.5</v>
      </c>
      <c r="W973" s="18">
        <f>+K973+V973</f>
        <v>2412162.5</v>
      </c>
      <c r="X973" s="18">
        <f>W973</f>
        <v>2412162.5</v>
      </c>
      <c r="Y973" s="564" t="s">
        <v>87</v>
      </c>
      <c r="Z973" s="18">
        <v>0</v>
      </c>
      <c r="AA973" s="292">
        <v>0.02</v>
      </c>
      <c r="AB973" s="410">
        <f>+Z973*AA973/100</f>
        <v>0</v>
      </c>
    </row>
    <row r="974" spans="1:33" s="597" customFormat="1" x14ac:dyDescent="0.2">
      <c r="A974" s="2070"/>
      <c r="B974" s="806"/>
      <c r="C974" s="21"/>
      <c r="D974" s="27"/>
      <c r="E974" s="27"/>
      <c r="F974" s="27"/>
      <c r="G974" s="804"/>
      <c r="H974" s="291"/>
      <c r="I974" s="30"/>
      <c r="J974" s="31"/>
      <c r="K974" s="39"/>
      <c r="L974" s="15">
        <v>2</v>
      </c>
      <c r="M974" s="15">
        <v>103</v>
      </c>
      <c r="N974" s="15" t="s">
        <v>74</v>
      </c>
      <c r="O974" s="15">
        <v>2</v>
      </c>
      <c r="P974" s="22">
        <v>180</v>
      </c>
      <c r="Q974" s="25" t="s">
        <v>75</v>
      </c>
      <c r="R974" s="563">
        <v>9050</v>
      </c>
      <c r="S974" s="23">
        <f>R974*P974</f>
        <v>1629000</v>
      </c>
      <c r="T974" s="26">
        <v>21</v>
      </c>
      <c r="U974" s="24">
        <f>S974*32/100</f>
        <v>521280</v>
      </c>
      <c r="V974" s="23">
        <f>S974-U974</f>
        <v>1107720</v>
      </c>
      <c r="W974" s="18">
        <f>+K974+V974</f>
        <v>1107720</v>
      </c>
      <c r="X974" s="18">
        <f>W974</f>
        <v>1107720</v>
      </c>
      <c r="Y974" s="564" t="s">
        <v>125</v>
      </c>
      <c r="Z974" s="18">
        <v>0</v>
      </c>
      <c r="AA974" s="292">
        <v>0.02</v>
      </c>
      <c r="AB974" s="410">
        <f>+Z974*AA974/100</f>
        <v>0</v>
      </c>
    </row>
    <row r="975" spans="1:33" s="597" customFormat="1" x14ac:dyDescent="0.2">
      <c r="A975" s="177"/>
      <c r="B975" s="21"/>
      <c r="C975" s="21"/>
      <c r="D975" s="15"/>
      <c r="E975" s="15"/>
      <c r="F975" s="15"/>
      <c r="G975" s="807"/>
      <c r="H975" s="22"/>
      <c r="I975" s="30"/>
      <c r="J975" s="31"/>
      <c r="K975" s="39"/>
      <c r="L975" s="15">
        <v>3</v>
      </c>
      <c r="M975" s="15">
        <v>504</v>
      </c>
      <c r="N975" s="15" t="s">
        <v>74</v>
      </c>
      <c r="O975" s="15">
        <v>3</v>
      </c>
      <c r="P975" s="22">
        <v>200</v>
      </c>
      <c r="Q975" s="25" t="s">
        <v>75</v>
      </c>
      <c r="R975" s="563">
        <v>3100</v>
      </c>
      <c r="S975" s="23">
        <f>R975*P975</f>
        <v>620000</v>
      </c>
      <c r="T975" s="26">
        <v>3</v>
      </c>
      <c r="U975" s="24">
        <f>S975*3/100</f>
        <v>18600</v>
      </c>
      <c r="V975" s="23">
        <f>S975-U975</f>
        <v>601400</v>
      </c>
      <c r="W975" s="18">
        <f>+K975+V975</f>
        <v>601400</v>
      </c>
      <c r="X975" s="18">
        <f>W975</f>
        <v>601400</v>
      </c>
      <c r="Y975" s="564"/>
      <c r="Z975" s="18">
        <f>X975</f>
        <v>601400</v>
      </c>
      <c r="AA975" s="292">
        <v>0.3</v>
      </c>
      <c r="AB975" s="664">
        <f>Z975*AA975/100</f>
        <v>1804.2</v>
      </c>
      <c r="AC975" s="665"/>
      <c r="AD975" s="665"/>
      <c r="AE975" s="665"/>
      <c r="AF975" s="665"/>
      <c r="AG975" s="597" t="s">
        <v>577</v>
      </c>
    </row>
    <row r="976" spans="1:33" s="597" customFormat="1" x14ac:dyDescent="0.2">
      <c r="A976" s="2070"/>
      <c r="B976" s="177"/>
      <c r="C976" s="177"/>
      <c r="D976" s="2070"/>
      <c r="E976" s="2070"/>
      <c r="F976" s="2070"/>
      <c r="G976" s="2070"/>
      <c r="H976" s="2076"/>
      <c r="I976" s="2072"/>
      <c r="J976" s="178"/>
      <c r="K976" s="2072"/>
      <c r="L976" s="2070"/>
      <c r="M976" s="2070"/>
      <c r="N976" s="2070"/>
      <c r="O976" s="2070"/>
      <c r="P976" s="2076"/>
      <c r="Q976" s="2071"/>
      <c r="R976" s="437"/>
      <c r="S976" s="2072"/>
      <c r="T976" s="179"/>
      <c r="U976" s="178"/>
      <c r="V976" s="2072"/>
      <c r="W976" s="2072"/>
      <c r="X976" s="470"/>
      <c r="Y976" s="470"/>
      <c r="Z976" s="471"/>
      <c r="AA976" s="471"/>
      <c r="AB976" s="466"/>
    </row>
    <row r="977" spans="1:28" s="597" customFormat="1" x14ac:dyDescent="0.2">
      <c r="A977" s="2070"/>
      <c r="B977" s="177"/>
      <c r="C977" s="177"/>
      <c r="D977" s="2070"/>
      <c r="E977" s="2070"/>
      <c r="F977" s="2070"/>
      <c r="G977" s="2070"/>
      <c r="H977" s="2076"/>
      <c r="I977" s="2072"/>
      <c r="J977" s="178"/>
      <c r="K977" s="2072"/>
      <c r="L977" s="2070"/>
      <c r="M977" s="2070"/>
      <c r="N977" s="2070"/>
      <c r="O977" s="2070"/>
      <c r="P977" s="2076"/>
      <c r="Q977" s="2071"/>
      <c r="R977" s="437"/>
      <c r="S977" s="2072"/>
      <c r="T977" s="179"/>
      <c r="U977" s="178"/>
      <c r="V977" s="2072"/>
      <c r="W977" s="2072"/>
      <c r="X977" s="470"/>
      <c r="Y977" s="470"/>
      <c r="Z977" s="471"/>
      <c r="AA977" s="471"/>
      <c r="AB977" s="466"/>
    </row>
    <row r="978" spans="1:28" s="597" customFormat="1" x14ac:dyDescent="0.2">
      <c r="A978" s="2070"/>
      <c r="B978" s="177"/>
      <c r="C978" s="177"/>
      <c r="D978" s="2070"/>
      <c r="E978" s="2070"/>
      <c r="F978" s="2070"/>
      <c r="G978" s="2070"/>
      <c r="H978" s="2076"/>
      <c r="I978" s="2072"/>
      <c r="J978" s="178"/>
      <c r="K978" s="2072"/>
      <c r="L978" s="2070"/>
      <c r="M978" s="2070"/>
      <c r="N978" s="2070"/>
      <c r="O978" s="2070"/>
      <c r="P978" s="2076"/>
      <c r="Q978" s="2071"/>
      <c r="R978" s="437"/>
      <c r="S978" s="2072"/>
      <c r="T978" s="179"/>
      <c r="U978" s="178"/>
      <c r="V978" s="2072"/>
      <c r="W978" s="2072"/>
      <c r="X978" s="470"/>
      <c r="Y978" s="470"/>
      <c r="Z978" s="471"/>
      <c r="AA978" s="471"/>
      <c r="AB978" s="466"/>
    </row>
    <row r="979" spans="1:28" s="597" customFormat="1" x14ac:dyDescent="0.2">
      <c r="A979" s="2070"/>
      <c r="B979" s="177"/>
      <c r="C979" s="177"/>
      <c r="D979" s="2070"/>
      <c r="E979" s="2070"/>
      <c r="F979" s="2070"/>
      <c r="G979" s="2070"/>
      <c r="H979" s="2076"/>
      <c r="I979" s="2072"/>
      <c r="J979" s="178"/>
      <c r="K979" s="2072"/>
      <c r="L979" s="2070"/>
      <c r="M979" s="2070"/>
      <c r="N979" s="2070"/>
      <c r="O979" s="2070"/>
      <c r="P979" s="2076"/>
      <c r="Q979" s="2071"/>
      <c r="R979" s="437"/>
      <c r="S979" s="2072"/>
      <c r="T979" s="179"/>
      <c r="U979" s="178"/>
      <c r="V979" s="2072"/>
      <c r="W979" s="2072"/>
      <c r="X979" s="470"/>
      <c r="Y979" s="470"/>
      <c r="Z979" s="471"/>
      <c r="AA979" s="471"/>
      <c r="AB979" s="466"/>
    </row>
    <row r="980" spans="1:28" s="597" customFormat="1" x14ac:dyDescent="0.2">
      <c r="A980" s="2070"/>
      <c r="B980" s="177"/>
      <c r="C980" s="177"/>
      <c r="D980" s="2070"/>
      <c r="E980" s="2070"/>
      <c r="F980" s="2070"/>
      <c r="G980" s="2070"/>
      <c r="H980" s="2076"/>
      <c r="I980" s="2072"/>
      <c r="J980" s="178"/>
      <c r="K980" s="2072"/>
      <c r="L980" s="2070"/>
      <c r="M980" s="2070"/>
      <c r="N980" s="2070"/>
      <c r="O980" s="2070"/>
      <c r="P980" s="2076"/>
      <c r="Q980" s="2071"/>
      <c r="R980" s="437"/>
      <c r="S980" s="2072"/>
      <c r="T980" s="179"/>
      <c r="U980" s="178"/>
      <c r="V980" s="2072"/>
      <c r="W980" s="2072"/>
      <c r="X980" s="470"/>
      <c r="Y980" s="470"/>
      <c r="Z980" s="471"/>
      <c r="AA980" s="471"/>
      <c r="AB980" s="466"/>
    </row>
    <row r="981" spans="1:28" s="597" customFormat="1" x14ac:dyDescent="0.2">
      <c r="A981" s="2070"/>
      <c r="B981" s="177"/>
      <c r="C981" s="177"/>
      <c r="D981" s="2070"/>
      <c r="E981" s="2070"/>
      <c r="F981" s="2070"/>
      <c r="G981" s="2070"/>
      <c r="H981" s="2076"/>
      <c r="I981" s="2072"/>
      <c r="J981" s="178"/>
      <c r="K981" s="2072"/>
      <c r="L981" s="2070"/>
      <c r="M981" s="2070"/>
      <c r="N981" s="2070"/>
      <c r="O981" s="2070"/>
      <c r="P981" s="2076"/>
      <c r="Q981" s="2071"/>
      <c r="R981" s="437"/>
      <c r="S981" s="2072"/>
      <c r="T981" s="179"/>
      <c r="U981" s="178"/>
      <c r="V981" s="2072"/>
      <c r="W981" s="2072"/>
      <c r="X981" s="470"/>
      <c r="Y981" s="470"/>
      <c r="Z981" s="471"/>
      <c r="AA981" s="471"/>
      <c r="AB981" s="466"/>
    </row>
    <row r="982" spans="1:28" s="597" customFormat="1" x14ac:dyDescent="0.2">
      <c r="A982" s="2070"/>
      <c r="B982" s="177"/>
      <c r="C982" s="177"/>
      <c r="D982" s="2070"/>
      <c r="E982" s="2070"/>
      <c r="F982" s="2070"/>
      <c r="G982" s="2070"/>
      <c r="H982" s="2076"/>
      <c r="I982" s="2072"/>
      <c r="J982" s="178"/>
      <c r="K982" s="2072"/>
      <c r="L982" s="2070"/>
      <c r="M982" s="2070"/>
      <c r="N982" s="2070"/>
      <c r="O982" s="2070"/>
      <c r="P982" s="2076"/>
      <c r="Q982" s="2071"/>
      <c r="R982" s="437"/>
      <c r="S982" s="2072"/>
      <c r="T982" s="179"/>
      <c r="U982" s="178"/>
      <c r="V982" s="2072"/>
      <c r="W982" s="2072"/>
      <c r="X982" s="470"/>
      <c r="Y982" s="470"/>
      <c r="Z982" s="471"/>
      <c r="AA982" s="471"/>
      <c r="AB982" s="466"/>
    </row>
    <row r="983" spans="1:28" s="597" customFormat="1" x14ac:dyDescent="0.2">
      <c r="A983" s="2070"/>
      <c r="B983" s="177"/>
      <c r="C983" s="177"/>
      <c r="D983" s="2070"/>
      <c r="E983" s="2070"/>
      <c r="F983" s="2070"/>
      <c r="G983" s="2070"/>
      <c r="H983" s="2076"/>
      <c r="I983" s="2072"/>
      <c r="J983" s="178"/>
      <c r="K983" s="2072"/>
      <c r="L983" s="2070"/>
      <c r="M983" s="2070"/>
      <c r="N983" s="2070"/>
      <c r="O983" s="2070"/>
      <c r="P983" s="2076"/>
      <c r="Q983" s="2071"/>
      <c r="R983" s="437"/>
      <c r="S983" s="2072"/>
      <c r="T983" s="179"/>
      <c r="U983" s="178"/>
      <c r="V983" s="2072"/>
      <c r="W983" s="2072"/>
      <c r="X983" s="470"/>
      <c r="Y983" s="470"/>
      <c r="Z983" s="471"/>
      <c r="AA983" s="471"/>
      <c r="AB983" s="466"/>
    </row>
    <row r="984" spans="1:28" s="597" customFormat="1" x14ac:dyDescent="0.2">
      <c r="A984" s="2070"/>
      <c r="B984" s="177"/>
      <c r="C984" s="177"/>
      <c r="D984" s="2070"/>
      <c r="E984" s="2070"/>
      <c r="F984" s="2070"/>
      <c r="G984" s="2070"/>
      <c r="H984" s="2076"/>
      <c r="I984" s="2072"/>
      <c r="J984" s="178"/>
      <c r="K984" s="2072"/>
      <c r="L984" s="2070"/>
      <c r="M984" s="2070"/>
      <c r="N984" s="2070"/>
      <c r="O984" s="2070"/>
      <c r="P984" s="2076"/>
      <c r="Q984" s="2071"/>
      <c r="R984" s="437"/>
      <c r="S984" s="2072"/>
      <c r="T984" s="179"/>
      <c r="U984" s="178"/>
      <c r="V984" s="2072"/>
      <c r="W984" s="2072"/>
      <c r="X984" s="470"/>
      <c r="Y984" s="470"/>
      <c r="Z984" s="471"/>
      <c r="AA984" s="471"/>
      <c r="AB984" s="466"/>
    </row>
    <row r="985" spans="1:28" s="597" customFormat="1" x14ac:dyDescent="0.2">
      <c r="A985" s="2091"/>
      <c r="B985" s="177"/>
      <c r="C985" s="177"/>
      <c r="D985" s="2091"/>
      <c r="E985" s="2091"/>
      <c r="F985" s="2091"/>
      <c r="G985" s="2091"/>
      <c r="H985" s="2094"/>
      <c r="I985" s="2092"/>
      <c r="J985" s="178"/>
      <c r="K985" s="2092"/>
      <c r="L985" s="2091"/>
      <c r="M985" s="2091"/>
      <c r="N985" s="2091"/>
      <c r="O985" s="2091"/>
      <c r="P985" s="2094"/>
      <c r="Q985" s="2093"/>
      <c r="R985" s="437"/>
      <c r="S985" s="2092"/>
      <c r="T985" s="179"/>
      <c r="U985" s="178"/>
      <c r="V985" s="2092"/>
      <c r="W985" s="2092"/>
      <c r="X985" s="470"/>
      <c r="Y985" s="470"/>
      <c r="Z985" s="471"/>
      <c r="AA985" s="471"/>
      <c r="AB985" s="466"/>
    </row>
    <row r="986" spans="1:28" s="597" customFormat="1" x14ac:dyDescent="0.2">
      <c r="A986" s="2091"/>
      <c r="B986" s="177"/>
      <c r="C986" s="177"/>
      <c r="D986" s="2091"/>
      <c r="E986" s="2091"/>
      <c r="F986" s="2091"/>
      <c r="G986" s="2091"/>
      <c r="H986" s="2094"/>
      <c r="I986" s="2092"/>
      <c r="J986" s="178"/>
      <c r="K986" s="2092"/>
      <c r="L986" s="2091"/>
      <c r="M986" s="2091"/>
      <c r="N986" s="2091"/>
      <c r="O986" s="2091"/>
      <c r="P986" s="2094"/>
      <c r="Q986" s="2093"/>
      <c r="R986" s="437"/>
      <c r="S986" s="2092"/>
      <c r="T986" s="179"/>
      <c r="U986" s="178"/>
      <c r="V986" s="2092"/>
      <c r="W986" s="2092"/>
      <c r="X986" s="470"/>
      <c r="Y986" s="470"/>
      <c r="Z986" s="471"/>
      <c r="AA986" s="471"/>
      <c r="AB986" s="466"/>
    </row>
    <row r="987" spans="1:28" s="597" customFormat="1" x14ac:dyDescent="0.2">
      <c r="A987" s="2070"/>
      <c r="B987" s="177"/>
      <c r="C987" s="177"/>
      <c r="D987" s="2070"/>
      <c r="E987" s="2070"/>
      <c r="F987" s="2070"/>
      <c r="G987" s="2070"/>
      <c r="H987" s="2076"/>
      <c r="I987" s="2072"/>
      <c r="J987" s="178"/>
      <c r="K987" s="2072"/>
      <c r="L987" s="2070"/>
      <c r="M987" s="2070"/>
      <c r="N987" s="2070"/>
      <c r="O987" s="2070"/>
      <c r="P987" s="2076"/>
      <c r="Q987" s="2071"/>
      <c r="R987" s="437"/>
      <c r="S987" s="2072"/>
      <c r="T987" s="179"/>
      <c r="U987" s="178"/>
      <c r="V987" s="2072"/>
      <c r="W987" s="2072"/>
      <c r="X987" s="470"/>
      <c r="Y987" s="470"/>
      <c r="Z987" s="471"/>
      <c r="AA987" s="471"/>
      <c r="AB987" s="466"/>
    </row>
    <row r="988" spans="1:28" s="597" customFormat="1" x14ac:dyDescent="0.2">
      <c r="A988" s="2070"/>
      <c r="B988" s="177"/>
      <c r="C988" s="177"/>
      <c r="D988" s="2070"/>
      <c r="E988" s="2070"/>
      <c r="F988" s="2070"/>
      <c r="G988" s="2070"/>
      <c r="H988" s="2076"/>
      <c r="I988" s="2072"/>
      <c r="J988" s="178"/>
      <c r="K988" s="2072"/>
      <c r="L988" s="2070"/>
      <c r="M988" s="2070"/>
      <c r="N988" s="2070"/>
      <c r="O988" s="2070"/>
      <c r="P988" s="2076"/>
      <c r="Q988" s="2071"/>
      <c r="R988" s="437"/>
      <c r="S988" s="2072"/>
      <c r="T988" s="179"/>
      <c r="U988" s="178"/>
      <c r="V988" s="2072"/>
      <c r="W988" s="2072"/>
      <c r="X988" s="470"/>
      <c r="Y988" s="470"/>
      <c r="Z988" s="471"/>
      <c r="AA988" s="471"/>
      <c r="AB988" s="466"/>
    </row>
    <row r="989" spans="1:28" s="597" customFormat="1" x14ac:dyDescent="0.2">
      <c r="A989" s="2070"/>
      <c r="B989" s="177"/>
      <c r="C989" s="177"/>
      <c r="D989" s="2070"/>
      <c r="E989" s="2070"/>
      <c r="F989" s="2070"/>
      <c r="G989" s="2070"/>
      <c r="H989" s="2076"/>
      <c r="I989" s="2072"/>
      <c r="J989" s="178"/>
      <c r="K989" s="2072"/>
      <c r="L989" s="2070"/>
      <c r="M989" s="2070"/>
      <c r="N989" s="2070"/>
      <c r="O989" s="2070"/>
      <c r="P989" s="2076"/>
      <c r="Q989" s="2071"/>
      <c r="R989" s="437"/>
      <c r="S989" s="2072"/>
      <c r="T989" s="179"/>
      <c r="U989" s="178"/>
      <c r="V989" s="2072"/>
      <c r="W989" s="2072"/>
      <c r="X989" s="470"/>
      <c r="Y989" s="470"/>
      <c r="Z989" s="471"/>
      <c r="AA989" s="471"/>
      <c r="AB989" s="466"/>
    </row>
    <row r="990" spans="1:28" s="597" customFormat="1" x14ac:dyDescent="0.2">
      <c r="A990" s="1850"/>
      <c r="B990" s="1850"/>
      <c r="C990" s="1850"/>
      <c r="D990" s="1850"/>
      <c r="E990" s="1850"/>
      <c r="F990" s="1850"/>
      <c r="G990" s="1850"/>
      <c r="H990" s="1851"/>
      <c r="I990" s="1852"/>
      <c r="J990" s="1853"/>
      <c r="K990" s="1852"/>
      <c r="L990" s="1852"/>
      <c r="M990" s="1852"/>
      <c r="N990" s="1852"/>
      <c r="O990" s="1852"/>
      <c r="P990" s="1852"/>
      <c r="Q990" s="1852"/>
      <c r="R990" s="1854"/>
      <c r="S990" s="1852"/>
      <c r="T990" s="1855"/>
      <c r="U990" s="1853"/>
      <c r="V990" s="1852"/>
      <c r="W990" s="1852"/>
      <c r="X990" s="1856"/>
      <c r="Y990" s="1856"/>
      <c r="Z990" s="1857"/>
      <c r="AA990" s="1857"/>
      <c r="AB990" s="1847">
        <f>SUM(AB973:AB989)</f>
        <v>1804.2</v>
      </c>
    </row>
    <row r="991" spans="1:28" s="597" customFormat="1" x14ac:dyDescent="0.2">
      <c r="A991" s="2737" t="s">
        <v>76</v>
      </c>
      <c r="B991" s="2737"/>
      <c r="C991" s="2738" t="s">
        <v>77</v>
      </c>
      <c r="D991" s="2738"/>
      <c r="E991" s="2738"/>
      <c r="F991" s="2738"/>
      <c r="G991" s="2738"/>
      <c r="H991" s="2738"/>
      <c r="I991" s="457" t="s">
        <v>78</v>
      </c>
      <c r="J991" s="457"/>
      <c r="K991" s="457"/>
      <c r="L991" s="457"/>
      <c r="M991" s="457"/>
      <c r="N991" s="457"/>
      <c r="O991" s="457"/>
      <c r="P991" s="457"/>
      <c r="Q991" s="457"/>
      <c r="R991" s="457"/>
      <c r="S991" s="457"/>
      <c r="T991" s="457"/>
      <c r="U991" s="478"/>
      <c r="V991" s="457"/>
      <c r="W991" s="457"/>
      <c r="X991" s="457"/>
      <c r="Y991" s="457"/>
      <c r="Z991" s="457"/>
      <c r="AA991" s="457"/>
      <c r="AB991" s="478"/>
    </row>
    <row r="992" spans="1:28" s="597" customFormat="1" x14ac:dyDescent="0.2">
      <c r="A992" s="457"/>
      <c r="B992" s="479"/>
      <c r="C992" s="457"/>
      <c r="D992" s="457"/>
      <c r="E992" s="457"/>
      <c r="F992" s="457"/>
      <c r="G992" s="457"/>
      <c r="H992" s="457"/>
      <c r="I992" s="457" t="s">
        <v>79</v>
      </c>
      <c r="J992" s="457"/>
      <c r="K992" s="457"/>
      <c r="L992" s="457"/>
      <c r="M992" s="457"/>
      <c r="N992" s="457"/>
      <c r="O992" s="457"/>
      <c r="P992" s="457"/>
      <c r="Q992" s="457"/>
      <c r="R992" s="457"/>
      <c r="S992" s="457"/>
      <c r="T992" s="457"/>
      <c r="U992" s="478"/>
      <c r="V992" s="457"/>
      <c r="W992" s="457"/>
      <c r="X992" s="457"/>
      <c r="Y992" s="457"/>
      <c r="Z992" s="457"/>
      <c r="AA992" s="457"/>
      <c r="AB992" s="478"/>
    </row>
    <row r="993" spans="1:32" s="597" customFormat="1" x14ac:dyDescent="0.2">
      <c r="A993" s="457"/>
      <c r="B993" s="479"/>
      <c r="C993" s="457"/>
      <c r="D993" s="457"/>
      <c r="E993" s="457"/>
      <c r="F993" s="457"/>
      <c r="G993" s="457"/>
      <c r="H993" s="457"/>
      <c r="I993" s="457" t="s">
        <v>80</v>
      </c>
      <c r="J993" s="457"/>
      <c r="K993" s="457"/>
      <c r="L993" s="457"/>
      <c r="M993" s="457"/>
      <c r="N993" s="457"/>
      <c r="O993" s="457"/>
      <c r="P993" s="457"/>
      <c r="Q993" s="457"/>
      <c r="R993" s="457"/>
      <c r="S993" s="457"/>
      <c r="T993" s="457"/>
      <c r="U993" s="478"/>
      <c r="V993" s="457"/>
      <c r="W993" s="457"/>
      <c r="X993" s="457"/>
      <c r="Y993" s="457"/>
      <c r="Z993" s="457"/>
      <c r="AA993" s="457"/>
      <c r="AB993" s="478"/>
    </row>
    <row r="994" spans="1:32" s="597" customFormat="1" x14ac:dyDescent="0.2">
      <c r="A994" s="457"/>
      <c r="B994" s="479"/>
      <c r="C994" s="457"/>
      <c r="D994" s="457"/>
      <c r="E994" s="457"/>
      <c r="F994" s="457"/>
      <c r="G994" s="457"/>
      <c r="H994" s="457"/>
      <c r="I994" s="457" t="s">
        <v>81</v>
      </c>
      <c r="J994" s="457"/>
      <c r="K994" s="457"/>
      <c r="L994" s="457"/>
      <c r="M994" s="457"/>
      <c r="N994" s="457"/>
      <c r="O994" s="457"/>
      <c r="P994" s="457"/>
      <c r="Q994" s="457"/>
      <c r="R994" s="457"/>
      <c r="S994" s="457"/>
      <c r="T994" s="457"/>
      <c r="U994" s="478"/>
      <c r="V994" s="457"/>
      <c r="W994" s="457"/>
      <c r="X994" s="457"/>
      <c r="Y994" s="457"/>
      <c r="Z994" s="457"/>
      <c r="AA994" s="457"/>
      <c r="AB994" s="478"/>
    </row>
    <row r="995" spans="1:32" s="597" customFormat="1" x14ac:dyDescent="0.2">
      <c r="A995" s="457"/>
      <c r="B995" s="479"/>
      <c r="C995" s="457"/>
      <c r="D995" s="457"/>
      <c r="E995" s="457"/>
      <c r="F995" s="457"/>
      <c r="G995" s="457"/>
      <c r="H995" s="457"/>
      <c r="I995" s="457" t="s">
        <v>88</v>
      </c>
      <c r="J995" s="457"/>
      <c r="K995" s="457"/>
      <c r="L995" s="457"/>
      <c r="M995" s="457"/>
      <c r="N995" s="457"/>
      <c r="O995" s="457"/>
      <c r="P995" s="457"/>
      <c r="Q995" s="457"/>
      <c r="R995" s="457"/>
      <c r="S995" s="457"/>
      <c r="T995" s="457"/>
      <c r="U995" s="478"/>
      <c r="V995" s="457"/>
      <c r="W995" s="457"/>
      <c r="X995" s="457"/>
      <c r="Y995" s="457"/>
      <c r="Z995" s="457"/>
      <c r="AA995" s="457"/>
      <c r="AB995" s="478"/>
    </row>
    <row r="996" spans="1:32" s="597" customFormat="1" x14ac:dyDescent="0.2">
      <c r="A996" s="455"/>
      <c r="B996" s="455"/>
      <c r="C996" s="455"/>
      <c r="D996" s="455"/>
      <c r="E996" s="455"/>
      <c r="F996" s="455"/>
      <c r="G996" s="455"/>
      <c r="H996" s="455"/>
      <c r="I996" s="455"/>
      <c r="J996" s="455"/>
      <c r="K996" s="455"/>
      <c r="L996" s="455"/>
      <c r="M996" s="455"/>
      <c r="N996" s="455"/>
      <c r="O996" s="455"/>
      <c r="P996" s="455"/>
      <c r="Q996" s="455"/>
      <c r="R996" s="455"/>
      <c r="S996" s="455"/>
      <c r="T996" s="455"/>
      <c r="U996" s="609"/>
      <c r="V996" s="455"/>
      <c r="W996" s="455"/>
      <c r="X996" s="455"/>
      <c r="Y996" s="455"/>
      <c r="Z996" s="455"/>
      <c r="AA996" s="2705" t="s">
        <v>0</v>
      </c>
      <c r="AB996" s="2705"/>
    </row>
    <row r="997" spans="1:32" s="597" customFormat="1" x14ac:dyDescent="0.2">
      <c r="A997" s="2706" t="s">
        <v>1</v>
      </c>
      <c r="B997" s="2706"/>
      <c r="C997" s="2706"/>
      <c r="D997" s="2706"/>
      <c r="E997" s="2706"/>
      <c r="F997" s="2706"/>
      <c r="G997" s="2706"/>
      <c r="H997" s="2706"/>
      <c r="I997" s="2706"/>
      <c r="J997" s="2706"/>
      <c r="K997" s="2706"/>
      <c r="L997" s="2706"/>
      <c r="M997" s="2706"/>
      <c r="N997" s="2706"/>
      <c r="O997" s="2706"/>
      <c r="P997" s="2706"/>
      <c r="Q997" s="2706"/>
      <c r="R997" s="2706"/>
      <c r="S997" s="2706"/>
      <c r="T997" s="2706"/>
      <c r="U997" s="2706"/>
      <c r="V997" s="2706"/>
      <c r="W997" s="2706"/>
      <c r="X997" s="2706"/>
      <c r="Y997" s="2706"/>
      <c r="Z997" s="2706"/>
      <c r="AA997" s="2706"/>
      <c r="AB997" s="2706"/>
    </row>
    <row r="998" spans="1:32" s="597" customFormat="1" ht="18.75" x14ac:dyDescent="0.2">
      <c r="A998" s="2704" t="s">
        <v>342</v>
      </c>
      <c r="B998" s="2704"/>
      <c r="C998" s="2704"/>
      <c r="D998" s="2704"/>
      <c r="E998" s="2704"/>
      <c r="F998" s="2704"/>
      <c r="G998" s="2704"/>
      <c r="H998" s="2704"/>
      <c r="I998" s="2704"/>
      <c r="J998" s="2704"/>
      <c r="K998" s="2704"/>
      <c r="L998" s="2704"/>
      <c r="M998" s="2704"/>
      <c r="N998" s="2704"/>
      <c r="O998" s="2704"/>
      <c r="P998" s="2704"/>
      <c r="Q998" s="2704"/>
      <c r="R998" s="2704"/>
      <c r="S998" s="2704"/>
      <c r="T998" s="2704"/>
      <c r="U998" s="2704"/>
      <c r="V998" s="2704"/>
      <c r="W998" s="2704"/>
      <c r="X998" s="2704"/>
      <c r="Y998" s="2704"/>
      <c r="Z998" s="2704"/>
      <c r="AA998" s="2704"/>
      <c r="AB998" s="2704"/>
    </row>
    <row r="999" spans="1:32" s="597" customFormat="1" x14ac:dyDescent="0.2">
      <c r="A999" s="2686" t="s">
        <v>2</v>
      </c>
      <c r="B999" s="360"/>
      <c r="C999" s="2686" t="s">
        <v>3</v>
      </c>
      <c r="D999" s="360"/>
      <c r="E999" s="360"/>
      <c r="F999" s="2693" t="s">
        <v>4</v>
      </c>
      <c r="G999" s="2693"/>
      <c r="H999" s="2693"/>
      <c r="I999" s="2694"/>
      <c r="J999" s="2694"/>
      <c r="K999" s="2695"/>
      <c r="L999" s="361"/>
      <c r="M999" s="2679" t="s">
        <v>5</v>
      </c>
      <c r="N999" s="2679"/>
      <c r="O999" s="2679"/>
      <c r="P999" s="2679"/>
      <c r="Q999" s="2696"/>
      <c r="R999" s="2696"/>
      <c r="S999" s="2696"/>
      <c r="T999" s="2696"/>
      <c r="U999" s="2696"/>
      <c r="V999" s="2697"/>
      <c r="W999" s="362" t="s">
        <v>6</v>
      </c>
      <c r="X999" s="363" t="s">
        <v>7</v>
      </c>
      <c r="Y999" s="364"/>
      <c r="Z999" s="364"/>
      <c r="AA999" s="363"/>
      <c r="AB999" s="458"/>
    </row>
    <row r="1000" spans="1:32" s="597" customFormat="1" x14ac:dyDescent="0.2">
      <c r="A1000" s="2687"/>
      <c r="B1000" s="367"/>
      <c r="C1000" s="2687"/>
      <c r="D1000" s="2062" t="s">
        <v>9</v>
      </c>
      <c r="E1000" s="2062" t="s">
        <v>10</v>
      </c>
      <c r="F1000" s="2698" t="s">
        <v>11</v>
      </c>
      <c r="G1000" s="2694"/>
      <c r="H1000" s="2695"/>
      <c r="I1000" s="360"/>
      <c r="J1000" s="2061" t="s">
        <v>12</v>
      </c>
      <c r="K1000" s="360"/>
      <c r="L1000" s="2734" t="s">
        <v>2</v>
      </c>
      <c r="M1000" s="2067"/>
      <c r="N1000" s="2067"/>
      <c r="O1000" s="2067"/>
      <c r="P1000" s="371"/>
      <c r="Q1000" s="459" t="s">
        <v>13</v>
      </c>
      <c r="R1000" s="2067" t="s">
        <v>12</v>
      </c>
      <c r="S1000" s="2067" t="s">
        <v>6</v>
      </c>
      <c r="T1000" s="2682" t="s">
        <v>14</v>
      </c>
      <c r="U1000" s="2683"/>
      <c r="V1000" s="375" t="s">
        <v>7</v>
      </c>
      <c r="W1000" s="376" t="s">
        <v>15</v>
      </c>
      <c r="X1000" s="377" t="s">
        <v>16</v>
      </c>
      <c r="Y1000" s="377" t="s">
        <v>17</v>
      </c>
      <c r="Z1000" s="377" t="s">
        <v>18</v>
      </c>
      <c r="AA1000" s="377"/>
      <c r="AB1000" s="460" t="s">
        <v>19</v>
      </c>
    </row>
    <row r="1001" spans="1:32" s="597" customFormat="1" x14ac:dyDescent="0.2">
      <c r="A1001" s="2687"/>
      <c r="B1001" s="2062" t="s">
        <v>23</v>
      </c>
      <c r="C1001" s="2687"/>
      <c r="D1001" s="2062" t="s">
        <v>24</v>
      </c>
      <c r="E1001" s="2062" t="s">
        <v>25</v>
      </c>
      <c r="F1001" s="2699"/>
      <c r="G1001" s="2700"/>
      <c r="H1001" s="2701"/>
      <c r="I1001" s="2062" t="s">
        <v>26</v>
      </c>
      <c r="J1001" s="2066" t="s">
        <v>15</v>
      </c>
      <c r="K1001" s="2066" t="s">
        <v>6</v>
      </c>
      <c r="L1001" s="2735"/>
      <c r="M1001" s="2068" t="s">
        <v>27</v>
      </c>
      <c r="N1001" s="2068" t="s">
        <v>10</v>
      </c>
      <c r="O1001" s="2068" t="s">
        <v>10</v>
      </c>
      <c r="P1001" s="385" t="s">
        <v>28</v>
      </c>
      <c r="Q1001" s="461" t="s">
        <v>29</v>
      </c>
      <c r="R1001" s="385" t="s">
        <v>15</v>
      </c>
      <c r="S1001" s="385" t="s">
        <v>15</v>
      </c>
      <c r="T1001" s="2684"/>
      <c r="U1001" s="2685"/>
      <c r="V1001" s="375" t="s">
        <v>30</v>
      </c>
      <c r="W1001" s="376" t="s">
        <v>31</v>
      </c>
      <c r="X1001" s="377" t="s">
        <v>30</v>
      </c>
      <c r="Y1001" s="377" t="s">
        <v>32</v>
      </c>
      <c r="Z1001" s="377" t="s">
        <v>7</v>
      </c>
      <c r="AA1001" s="377" t="s">
        <v>33</v>
      </c>
      <c r="AB1001" s="460" t="s">
        <v>34</v>
      </c>
    </row>
    <row r="1002" spans="1:32" s="597" customFormat="1" x14ac:dyDescent="0.2">
      <c r="A1002" s="2687"/>
      <c r="B1002" s="2062" t="s">
        <v>39</v>
      </c>
      <c r="C1002" s="2687"/>
      <c r="D1002" s="2062" t="s">
        <v>40</v>
      </c>
      <c r="E1002" s="2062" t="s">
        <v>41</v>
      </c>
      <c r="F1002" s="2686" t="s">
        <v>42</v>
      </c>
      <c r="G1002" s="2686" t="s">
        <v>43</v>
      </c>
      <c r="H1002" s="2688" t="s">
        <v>44</v>
      </c>
      <c r="I1002" s="2062" t="s">
        <v>45</v>
      </c>
      <c r="J1002" s="2066" t="s">
        <v>46</v>
      </c>
      <c r="K1002" s="2066" t="s">
        <v>47</v>
      </c>
      <c r="L1002" s="2735"/>
      <c r="M1002" s="2068" t="s">
        <v>30</v>
      </c>
      <c r="N1002" s="2068" t="s">
        <v>30</v>
      </c>
      <c r="O1002" s="2068" t="s">
        <v>25</v>
      </c>
      <c r="P1002" s="385" t="s">
        <v>30</v>
      </c>
      <c r="Q1002" s="461" t="s">
        <v>48</v>
      </c>
      <c r="R1002" s="385" t="s">
        <v>49</v>
      </c>
      <c r="S1002" s="385" t="s">
        <v>30</v>
      </c>
      <c r="T1002" s="2065" t="s">
        <v>50</v>
      </c>
      <c r="U1002" s="620" t="s">
        <v>13</v>
      </c>
      <c r="V1002" s="375" t="s">
        <v>51</v>
      </c>
      <c r="W1002" s="376" t="s">
        <v>52</v>
      </c>
      <c r="X1002" s="377" t="s">
        <v>53</v>
      </c>
      <c r="Y1002" s="377" t="s">
        <v>54</v>
      </c>
      <c r="Z1002" s="377" t="s">
        <v>55</v>
      </c>
      <c r="AA1002" s="377" t="s">
        <v>56</v>
      </c>
      <c r="AB1002" s="460" t="s">
        <v>57</v>
      </c>
    </row>
    <row r="1003" spans="1:32" s="597" customFormat="1" x14ac:dyDescent="0.2">
      <c r="A1003" s="2687"/>
      <c r="B1003" s="2062" t="s">
        <v>61</v>
      </c>
      <c r="C1003" s="2687"/>
      <c r="D1003" s="2062" t="s">
        <v>62</v>
      </c>
      <c r="E1003" s="2062" t="s">
        <v>63</v>
      </c>
      <c r="F1003" s="2687"/>
      <c r="G1003" s="2687"/>
      <c r="H1003" s="2689"/>
      <c r="I1003" s="2062" t="s">
        <v>64</v>
      </c>
      <c r="J1003" s="2066" t="s">
        <v>59</v>
      </c>
      <c r="K1003" s="2066" t="s">
        <v>59</v>
      </c>
      <c r="L1003" s="2735"/>
      <c r="M1003" s="2068"/>
      <c r="N1003" s="2068"/>
      <c r="O1003" s="2068" t="s">
        <v>41</v>
      </c>
      <c r="P1003" s="385" t="s">
        <v>65</v>
      </c>
      <c r="Q1003" s="461" t="s">
        <v>66</v>
      </c>
      <c r="R1003" s="385" t="s">
        <v>67</v>
      </c>
      <c r="S1003" s="385" t="s">
        <v>59</v>
      </c>
      <c r="T1003" s="375" t="s">
        <v>68</v>
      </c>
      <c r="U1003" s="622" t="s">
        <v>14</v>
      </c>
      <c r="V1003" s="375" t="s">
        <v>14</v>
      </c>
      <c r="W1003" s="376" t="s">
        <v>30</v>
      </c>
      <c r="X1003" s="388" t="s">
        <v>69</v>
      </c>
      <c r="Y1003" s="388" t="s">
        <v>70</v>
      </c>
      <c r="Z1003" s="377" t="s">
        <v>71</v>
      </c>
      <c r="AA1003" s="377" t="s">
        <v>72</v>
      </c>
      <c r="AB1003" s="460" t="s">
        <v>59</v>
      </c>
    </row>
    <row r="1004" spans="1:32" s="597" customFormat="1" x14ac:dyDescent="0.2">
      <c r="A1004" s="2692"/>
      <c r="B1004" s="390"/>
      <c r="C1004" s="2692"/>
      <c r="D1004" s="390"/>
      <c r="E1004" s="2063"/>
      <c r="F1004" s="390"/>
      <c r="G1004" s="390"/>
      <c r="H1004" s="391"/>
      <c r="I1004" s="2063"/>
      <c r="J1004" s="393"/>
      <c r="K1004" s="393"/>
      <c r="L1004" s="2736"/>
      <c r="M1004" s="2069"/>
      <c r="N1004" s="2069"/>
      <c r="O1004" s="2069" t="s">
        <v>63</v>
      </c>
      <c r="P1004" s="2069"/>
      <c r="Q1004" s="2064" t="s">
        <v>72</v>
      </c>
      <c r="R1004" s="398" t="s">
        <v>59</v>
      </c>
      <c r="S1004" s="398"/>
      <c r="T1004" s="398" t="s">
        <v>73</v>
      </c>
      <c r="U1004" s="624" t="s">
        <v>59</v>
      </c>
      <c r="V1004" s="399" t="s">
        <v>59</v>
      </c>
      <c r="W1004" s="400" t="s">
        <v>59</v>
      </c>
      <c r="X1004" s="401" t="s">
        <v>59</v>
      </c>
      <c r="Y1004" s="401" t="s">
        <v>59</v>
      </c>
      <c r="Z1004" s="401" t="s">
        <v>59</v>
      </c>
      <c r="AA1004" s="402"/>
      <c r="AB1004" s="462"/>
    </row>
    <row r="1005" spans="1:32" s="597" customFormat="1" x14ac:dyDescent="0.2">
      <c r="A1005" s="88">
        <v>1</v>
      </c>
      <c r="B1005" s="95">
        <v>29862</v>
      </c>
      <c r="C1005" s="82">
        <v>86</v>
      </c>
      <c r="D1005" s="27" t="s">
        <v>83</v>
      </c>
      <c r="E1005" s="27">
        <v>4</v>
      </c>
      <c r="F1005" s="1649">
        <v>0</v>
      </c>
      <c r="G1005" s="1680">
        <v>0</v>
      </c>
      <c r="H1005" s="1535">
        <v>74</v>
      </c>
      <c r="I1005" s="30">
        <f>F1005*400+G1005*100+H1005</f>
        <v>74</v>
      </c>
      <c r="J1005" s="1656">
        <v>280</v>
      </c>
      <c r="K1005" s="39">
        <f>+I1005*J1005</f>
        <v>20720</v>
      </c>
      <c r="L1005" s="1508">
        <v>62</v>
      </c>
      <c r="M1005" s="1681">
        <v>103</v>
      </c>
      <c r="N1005" s="1508" t="s">
        <v>74</v>
      </c>
      <c r="O1005" s="1508">
        <v>5</v>
      </c>
      <c r="P1005" s="1682">
        <v>32</v>
      </c>
      <c r="Q1005" s="1683" t="s">
        <v>75</v>
      </c>
      <c r="R1005" s="1665">
        <v>9050</v>
      </c>
      <c r="S1005" s="1664">
        <f t="shared" ref="S1005" si="41">+P1005*R1005</f>
        <v>289600</v>
      </c>
      <c r="T1005" s="1469">
        <v>6</v>
      </c>
      <c r="U1005" s="1670">
        <f>+S1005*0.6</f>
        <v>173760</v>
      </c>
      <c r="V1005" s="1663">
        <f t="shared" ref="V1005" si="42">+S1005-U1005</f>
        <v>115840</v>
      </c>
      <c r="W1005" s="1663">
        <f t="shared" ref="W1005" si="43">K1005+V1005</f>
        <v>136560</v>
      </c>
      <c r="X1005" s="1664">
        <f t="shared" ref="X1005" si="44">W1005</f>
        <v>136560</v>
      </c>
      <c r="Y1005" s="1663">
        <v>0</v>
      </c>
      <c r="Z1005" s="1663">
        <f>+X1005</f>
        <v>136560</v>
      </c>
      <c r="AA1005" s="1678">
        <v>0.02</v>
      </c>
      <c r="AB1005" s="1591">
        <f t="shared" ref="AB1005" si="45">+Z1005*AA1005/100</f>
        <v>27.312000000000001</v>
      </c>
      <c r="AC1005" s="1684"/>
      <c r="AD1005" s="1685"/>
      <c r="AE1005" s="1685"/>
      <c r="AF1005" s="1685"/>
    </row>
    <row r="1006" spans="1:32" s="597" customFormat="1" x14ac:dyDescent="0.2">
      <c r="A1006" s="2070"/>
      <c r="B1006" s="806"/>
      <c r="C1006" s="21"/>
      <c r="D1006" s="27"/>
      <c r="E1006" s="27"/>
      <c r="F1006" s="27"/>
      <c r="G1006" s="804"/>
      <c r="H1006" s="291"/>
      <c r="I1006" s="30"/>
      <c r="J1006" s="31"/>
      <c r="K1006" s="39"/>
      <c r="L1006" s="15"/>
      <c r="M1006" s="15"/>
      <c r="N1006" s="15"/>
      <c r="O1006" s="15"/>
      <c r="P1006" s="22"/>
      <c r="Q1006" s="25"/>
      <c r="R1006" s="563"/>
      <c r="S1006" s="23"/>
      <c r="T1006" s="26"/>
      <c r="U1006" s="24"/>
      <c r="V1006" s="23"/>
      <c r="W1006" s="18"/>
      <c r="X1006" s="18"/>
      <c r="Y1006" s="564"/>
      <c r="Z1006" s="18"/>
      <c r="AA1006" s="292"/>
      <c r="AB1006" s="410"/>
    </row>
    <row r="1007" spans="1:32" s="597" customFormat="1" x14ac:dyDescent="0.2">
      <c r="A1007" s="177"/>
      <c r="B1007" s="21"/>
      <c r="C1007" s="1036"/>
      <c r="D1007" s="27"/>
      <c r="E1007" s="15"/>
      <c r="F1007" s="15"/>
      <c r="G1007" s="807"/>
      <c r="H1007" s="22"/>
      <c r="I1007" s="30"/>
      <c r="J1007" s="31"/>
      <c r="K1007" s="39"/>
      <c r="L1007" s="15"/>
      <c r="M1007" s="15"/>
      <c r="N1007" s="15"/>
      <c r="O1007" s="15"/>
      <c r="P1007" s="22"/>
      <c r="Q1007" s="25"/>
      <c r="R1007" s="563"/>
      <c r="S1007" s="23"/>
      <c r="T1007" s="26"/>
      <c r="U1007" s="24"/>
      <c r="V1007" s="23"/>
      <c r="W1007" s="18"/>
      <c r="X1007" s="18"/>
      <c r="Y1007" s="564"/>
      <c r="Z1007" s="18"/>
      <c r="AA1007" s="292"/>
      <c r="AB1007" s="410"/>
      <c r="AC1007" s="665"/>
      <c r="AD1007" s="665"/>
      <c r="AE1007" s="665"/>
      <c r="AF1007" s="665"/>
    </row>
    <row r="1008" spans="1:32" s="597" customFormat="1" x14ac:dyDescent="0.2">
      <c r="A1008" s="2070"/>
      <c r="B1008" s="177"/>
      <c r="C1008" s="177"/>
      <c r="D1008" s="2070"/>
      <c r="E1008" s="2070"/>
      <c r="F1008" s="2070"/>
      <c r="G1008" s="2070"/>
      <c r="H1008" s="2076"/>
      <c r="I1008" s="2072"/>
      <c r="J1008" s="178"/>
      <c r="K1008" s="2072"/>
      <c r="L1008" s="2070"/>
      <c r="M1008" s="2070"/>
      <c r="N1008" s="2070"/>
      <c r="O1008" s="2070"/>
      <c r="P1008" s="2076"/>
      <c r="Q1008" s="2071"/>
      <c r="R1008" s="437"/>
      <c r="S1008" s="2072"/>
      <c r="T1008" s="179"/>
      <c r="U1008" s="178"/>
      <c r="V1008" s="2072"/>
      <c r="W1008" s="2072"/>
      <c r="X1008" s="470"/>
      <c r="Y1008" s="470"/>
      <c r="Z1008" s="471"/>
      <c r="AA1008" s="471"/>
      <c r="AB1008" s="466"/>
    </row>
    <row r="1009" spans="1:28" s="597" customFormat="1" x14ac:dyDescent="0.2">
      <c r="A1009" s="2070"/>
      <c r="B1009" s="177"/>
      <c r="C1009" s="177"/>
      <c r="D1009" s="2070"/>
      <c r="E1009" s="2070"/>
      <c r="F1009" s="2070"/>
      <c r="G1009" s="2070"/>
      <c r="H1009" s="2076"/>
      <c r="I1009" s="2072"/>
      <c r="J1009" s="178"/>
      <c r="K1009" s="2072"/>
      <c r="L1009" s="2070"/>
      <c r="M1009" s="2070"/>
      <c r="N1009" s="2070"/>
      <c r="O1009" s="2070"/>
      <c r="P1009" s="2076"/>
      <c r="Q1009" s="2071"/>
      <c r="R1009" s="437"/>
      <c r="S1009" s="2072"/>
      <c r="T1009" s="179"/>
      <c r="U1009" s="178"/>
      <c r="V1009" s="2072"/>
      <c r="W1009" s="2072"/>
      <c r="X1009" s="470"/>
      <c r="Y1009" s="470"/>
      <c r="Z1009" s="471"/>
      <c r="AA1009" s="471"/>
      <c r="AB1009" s="466"/>
    </row>
    <row r="1010" spans="1:28" s="597" customFormat="1" x14ac:dyDescent="0.2">
      <c r="A1010" s="2070"/>
      <c r="B1010" s="177"/>
      <c r="C1010" s="177"/>
      <c r="D1010" s="2070"/>
      <c r="E1010" s="2070"/>
      <c r="F1010" s="2070"/>
      <c r="G1010" s="2070"/>
      <c r="H1010" s="2076"/>
      <c r="I1010" s="2072"/>
      <c r="J1010" s="178"/>
      <c r="K1010" s="2072"/>
      <c r="L1010" s="2070"/>
      <c r="M1010" s="2070"/>
      <c r="N1010" s="2070"/>
      <c r="O1010" s="2070"/>
      <c r="P1010" s="2076"/>
      <c r="Q1010" s="2071"/>
      <c r="R1010" s="437"/>
      <c r="S1010" s="2072"/>
      <c r="T1010" s="179"/>
      <c r="U1010" s="178"/>
      <c r="V1010" s="2072"/>
      <c r="W1010" s="2072"/>
      <c r="X1010" s="470"/>
      <c r="Y1010" s="470"/>
      <c r="Z1010" s="471"/>
      <c r="AA1010" s="471"/>
      <c r="AB1010" s="466"/>
    </row>
    <row r="1011" spans="1:28" s="597" customFormat="1" x14ac:dyDescent="0.2">
      <c r="A1011" s="2070"/>
      <c r="B1011" s="177"/>
      <c r="C1011" s="177"/>
      <c r="D1011" s="2070"/>
      <c r="E1011" s="2070"/>
      <c r="F1011" s="2070"/>
      <c r="G1011" s="2070"/>
      <c r="H1011" s="2076"/>
      <c r="I1011" s="2072"/>
      <c r="J1011" s="178"/>
      <c r="K1011" s="2072"/>
      <c r="L1011" s="2070"/>
      <c r="M1011" s="2070"/>
      <c r="N1011" s="2070"/>
      <c r="O1011" s="2070"/>
      <c r="P1011" s="2076"/>
      <c r="Q1011" s="2071"/>
      <c r="R1011" s="437"/>
      <c r="S1011" s="2072"/>
      <c r="T1011" s="179"/>
      <c r="U1011" s="178"/>
      <c r="V1011" s="2072"/>
      <c r="W1011" s="2072"/>
      <c r="X1011" s="470"/>
      <c r="Y1011" s="470"/>
      <c r="Z1011" s="471"/>
      <c r="AA1011" s="471"/>
      <c r="AB1011" s="466"/>
    </row>
    <row r="1012" spans="1:28" s="597" customFormat="1" x14ac:dyDescent="0.2">
      <c r="A1012" s="2070"/>
      <c r="B1012" s="177"/>
      <c r="C1012" s="177"/>
      <c r="D1012" s="2070"/>
      <c r="E1012" s="2070"/>
      <c r="F1012" s="2070"/>
      <c r="G1012" s="2070"/>
      <c r="H1012" s="2076"/>
      <c r="I1012" s="2072"/>
      <c r="J1012" s="178"/>
      <c r="K1012" s="2072"/>
      <c r="L1012" s="2070"/>
      <c r="M1012" s="2070"/>
      <c r="N1012" s="2070"/>
      <c r="O1012" s="2070"/>
      <c r="P1012" s="2076"/>
      <c r="Q1012" s="2071"/>
      <c r="R1012" s="437"/>
      <c r="S1012" s="2072"/>
      <c r="T1012" s="179"/>
      <c r="U1012" s="178"/>
      <c r="V1012" s="2072"/>
      <c r="W1012" s="2072"/>
      <c r="X1012" s="470"/>
      <c r="Y1012" s="470"/>
      <c r="Z1012" s="471"/>
      <c r="AA1012" s="471"/>
      <c r="AB1012" s="466"/>
    </row>
    <row r="1013" spans="1:28" s="597" customFormat="1" x14ac:dyDescent="0.2">
      <c r="A1013" s="2070"/>
      <c r="B1013" s="177"/>
      <c r="C1013" s="177"/>
      <c r="D1013" s="2070"/>
      <c r="E1013" s="2070"/>
      <c r="F1013" s="2070"/>
      <c r="G1013" s="2070"/>
      <c r="H1013" s="2076"/>
      <c r="I1013" s="2072"/>
      <c r="J1013" s="178"/>
      <c r="K1013" s="2072"/>
      <c r="L1013" s="2070"/>
      <c r="M1013" s="2070"/>
      <c r="N1013" s="2070"/>
      <c r="O1013" s="2070"/>
      <c r="P1013" s="2076"/>
      <c r="Q1013" s="2071"/>
      <c r="R1013" s="437"/>
      <c r="S1013" s="2072"/>
      <c r="T1013" s="179"/>
      <c r="U1013" s="178"/>
      <c r="V1013" s="2072"/>
      <c r="W1013" s="2072"/>
      <c r="X1013" s="470"/>
      <c r="Y1013" s="470"/>
      <c r="Z1013" s="471"/>
      <c r="AA1013" s="471"/>
      <c r="AB1013" s="466"/>
    </row>
    <row r="1014" spans="1:28" s="597" customFormat="1" x14ac:dyDescent="0.2">
      <c r="A1014" s="2070"/>
      <c r="B1014" s="177"/>
      <c r="C1014" s="177"/>
      <c r="D1014" s="2070"/>
      <c r="E1014" s="2070"/>
      <c r="F1014" s="2070"/>
      <c r="G1014" s="2070"/>
      <c r="H1014" s="2076"/>
      <c r="I1014" s="2072"/>
      <c r="J1014" s="178"/>
      <c r="K1014" s="2072"/>
      <c r="L1014" s="2070"/>
      <c r="M1014" s="2070"/>
      <c r="N1014" s="2070"/>
      <c r="O1014" s="2070"/>
      <c r="P1014" s="2076"/>
      <c r="Q1014" s="2071"/>
      <c r="R1014" s="437"/>
      <c r="S1014" s="2072"/>
      <c r="T1014" s="179"/>
      <c r="U1014" s="178"/>
      <c r="V1014" s="2072"/>
      <c r="W1014" s="2072"/>
      <c r="X1014" s="470"/>
      <c r="Y1014" s="470"/>
      <c r="Z1014" s="471"/>
      <c r="AA1014" s="471"/>
      <c r="AB1014" s="466"/>
    </row>
    <row r="1015" spans="1:28" s="597" customFormat="1" x14ac:dyDescent="0.2">
      <c r="A1015" s="2070"/>
      <c r="B1015" s="177"/>
      <c r="C1015" s="177"/>
      <c r="D1015" s="2070"/>
      <c r="E1015" s="2070"/>
      <c r="F1015" s="2070"/>
      <c r="G1015" s="2070"/>
      <c r="H1015" s="2076"/>
      <c r="I1015" s="2072"/>
      <c r="J1015" s="178"/>
      <c r="K1015" s="2072"/>
      <c r="L1015" s="2070"/>
      <c r="M1015" s="2070"/>
      <c r="N1015" s="2070"/>
      <c r="O1015" s="2070"/>
      <c r="P1015" s="2076"/>
      <c r="Q1015" s="2071"/>
      <c r="R1015" s="437"/>
      <c r="S1015" s="2072"/>
      <c r="T1015" s="179"/>
      <c r="U1015" s="178"/>
      <c r="V1015" s="2072"/>
      <c r="W1015" s="2072"/>
      <c r="X1015" s="470"/>
      <c r="Y1015" s="470"/>
      <c r="Z1015" s="471"/>
      <c r="AA1015" s="471"/>
      <c r="AB1015" s="466"/>
    </row>
    <row r="1016" spans="1:28" s="597" customFormat="1" x14ac:dyDescent="0.2">
      <c r="A1016" s="2070"/>
      <c r="B1016" s="177"/>
      <c r="C1016" s="177"/>
      <c r="D1016" s="2070"/>
      <c r="E1016" s="2070"/>
      <c r="F1016" s="2070"/>
      <c r="G1016" s="2070"/>
      <c r="H1016" s="2076"/>
      <c r="I1016" s="2072"/>
      <c r="J1016" s="178"/>
      <c r="K1016" s="2072"/>
      <c r="L1016" s="2070"/>
      <c r="M1016" s="2070"/>
      <c r="N1016" s="2070"/>
      <c r="O1016" s="2070"/>
      <c r="P1016" s="2076"/>
      <c r="Q1016" s="2071"/>
      <c r="R1016" s="437"/>
      <c r="S1016" s="2072"/>
      <c r="T1016" s="179"/>
      <c r="U1016" s="178"/>
      <c r="V1016" s="2072"/>
      <c r="W1016" s="2072"/>
      <c r="X1016" s="470"/>
      <c r="Y1016" s="470"/>
      <c r="Z1016" s="471"/>
      <c r="AA1016" s="471"/>
      <c r="AB1016" s="466"/>
    </row>
    <row r="1017" spans="1:28" s="597" customFormat="1" x14ac:dyDescent="0.2">
      <c r="A1017" s="2070"/>
      <c r="B1017" s="177"/>
      <c r="C1017" s="177"/>
      <c r="D1017" s="2070"/>
      <c r="E1017" s="2070"/>
      <c r="F1017" s="2070"/>
      <c r="G1017" s="2070"/>
      <c r="H1017" s="2076"/>
      <c r="I1017" s="2072"/>
      <c r="J1017" s="178"/>
      <c r="K1017" s="2072"/>
      <c r="L1017" s="2070"/>
      <c r="M1017" s="2070"/>
      <c r="N1017" s="2070"/>
      <c r="O1017" s="2070"/>
      <c r="P1017" s="2076"/>
      <c r="Q1017" s="2071"/>
      <c r="R1017" s="437"/>
      <c r="S1017" s="2072"/>
      <c r="T1017" s="179"/>
      <c r="U1017" s="178"/>
      <c r="V1017" s="2072"/>
      <c r="W1017" s="2072"/>
      <c r="X1017" s="470"/>
      <c r="Y1017" s="470"/>
      <c r="Z1017" s="471"/>
      <c r="AA1017" s="471"/>
      <c r="AB1017" s="466"/>
    </row>
    <row r="1018" spans="1:28" s="597" customFormat="1" x14ac:dyDescent="0.2">
      <c r="A1018" s="2091"/>
      <c r="B1018" s="177"/>
      <c r="C1018" s="177"/>
      <c r="D1018" s="2091"/>
      <c r="E1018" s="2091"/>
      <c r="F1018" s="2091"/>
      <c r="G1018" s="2091"/>
      <c r="H1018" s="2094"/>
      <c r="I1018" s="2092"/>
      <c r="J1018" s="178"/>
      <c r="K1018" s="2092"/>
      <c r="L1018" s="2091"/>
      <c r="M1018" s="2091"/>
      <c r="N1018" s="2091"/>
      <c r="O1018" s="2091"/>
      <c r="P1018" s="2094"/>
      <c r="Q1018" s="2093"/>
      <c r="R1018" s="437"/>
      <c r="S1018" s="2092"/>
      <c r="T1018" s="179"/>
      <c r="U1018" s="178"/>
      <c r="V1018" s="2092"/>
      <c r="W1018" s="2092"/>
      <c r="X1018" s="470"/>
      <c r="Y1018" s="470"/>
      <c r="Z1018" s="471"/>
      <c r="AA1018" s="471"/>
      <c r="AB1018" s="466"/>
    </row>
    <row r="1019" spans="1:28" s="597" customFormat="1" x14ac:dyDescent="0.2">
      <c r="A1019" s="2070"/>
      <c r="B1019" s="177"/>
      <c r="C1019" s="177"/>
      <c r="D1019" s="2070"/>
      <c r="E1019" s="2070"/>
      <c r="F1019" s="2070"/>
      <c r="G1019" s="2070"/>
      <c r="H1019" s="2076"/>
      <c r="I1019" s="2072"/>
      <c r="J1019" s="178"/>
      <c r="K1019" s="2072"/>
      <c r="L1019" s="2070"/>
      <c r="M1019" s="2070"/>
      <c r="N1019" s="2070"/>
      <c r="O1019" s="2070"/>
      <c r="P1019" s="2076"/>
      <c r="Q1019" s="2071"/>
      <c r="R1019" s="437"/>
      <c r="S1019" s="2072"/>
      <c r="T1019" s="179"/>
      <c r="U1019" s="178"/>
      <c r="V1019" s="2072"/>
      <c r="W1019" s="2072"/>
      <c r="X1019" s="470"/>
      <c r="Y1019" s="470"/>
      <c r="Z1019" s="471"/>
      <c r="AA1019" s="471"/>
      <c r="AB1019" s="466"/>
    </row>
    <row r="1020" spans="1:28" s="597" customFormat="1" x14ac:dyDescent="0.2">
      <c r="A1020" s="2070"/>
      <c r="B1020" s="177"/>
      <c r="C1020" s="177"/>
      <c r="D1020" s="2070"/>
      <c r="E1020" s="2070"/>
      <c r="F1020" s="2070"/>
      <c r="G1020" s="2070"/>
      <c r="H1020" s="2076"/>
      <c r="I1020" s="2072"/>
      <c r="J1020" s="178"/>
      <c r="K1020" s="2072"/>
      <c r="L1020" s="2070"/>
      <c r="M1020" s="2070"/>
      <c r="N1020" s="2070"/>
      <c r="O1020" s="2070"/>
      <c r="P1020" s="2076"/>
      <c r="Q1020" s="2071"/>
      <c r="R1020" s="437"/>
      <c r="S1020" s="2072"/>
      <c r="T1020" s="179"/>
      <c r="U1020" s="178"/>
      <c r="V1020" s="2072"/>
      <c r="W1020" s="2072"/>
      <c r="X1020" s="470"/>
      <c r="Y1020" s="470"/>
      <c r="Z1020" s="471"/>
      <c r="AA1020" s="471"/>
      <c r="AB1020" s="466"/>
    </row>
    <row r="1021" spans="1:28" s="597" customFormat="1" x14ac:dyDescent="0.2">
      <c r="A1021" s="1850"/>
      <c r="B1021" s="1850"/>
      <c r="C1021" s="1850"/>
      <c r="D1021" s="1850"/>
      <c r="E1021" s="1850"/>
      <c r="F1021" s="1850"/>
      <c r="G1021" s="1850"/>
      <c r="H1021" s="1851"/>
      <c r="I1021" s="1852"/>
      <c r="J1021" s="1853"/>
      <c r="K1021" s="1852"/>
      <c r="L1021" s="1852"/>
      <c r="M1021" s="1852"/>
      <c r="N1021" s="1852"/>
      <c r="O1021" s="1852"/>
      <c r="P1021" s="1852"/>
      <c r="Q1021" s="1852"/>
      <c r="R1021" s="1854"/>
      <c r="S1021" s="1852"/>
      <c r="T1021" s="1855"/>
      <c r="U1021" s="1853"/>
      <c r="V1021" s="1852"/>
      <c r="W1021" s="1852"/>
      <c r="X1021" s="1856"/>
      <c r="Y1021" s="1856"/>
      <c r="Z1021" s="1857"/>
      <c r="AA1021" s="1857"/>
      <c r="AB1021" s="1847">
        <f>SUM(AB1005:AB1020)</f>
        <v>27.312000000000001</v>
      </c>
    </row>
    <row r="1022" spans="1:28" s="597" customFormat="1" x14ac:dyDescent="0.2">
      <c r="A1022" s="2737" t="s">
        <v>76</v>
      </c>
      <c r="B1022" s="2737"/>
      <c r="C1022" s="2738" t="s">
        <v>77</v>
      </c>
      <c r="D1022" s="2738"/>
      <c r="E1022" s="2738"/>
      <c r="F1022" s="2738"/>
      <c r="G1022" s="2738"/>
      <c r="H1022" s="2738"/>
      <c r="I1022" s="457" t="s">
        <v>78</v>
      </c>
      <c r="J1022" s="457"/>
      <c r="K1022" s="457"/>
      <c r="L1022" s="457"/>
      <c r="M1022" s="457"/>
      <c r="N1022" s="457"/>
      <c r="O1022" s="457"/>
      <c r="P1022" s="457"/>
      <c r="Q1022" s="457"/>
      <c r="R1022" s="457"/>
      <c r="S1022" s="457"/>
      <c r="T1022" s="457"/>
      <c r="U1022" s="478"/>
      <c r="V1022" s="457"/>
      <c r="W1022" s="457"/>
      <c r="X1022" s="457"/>
      <c r="Y1022" s="457"/>
      <c r="Z1022" s="457"/>
      <c r="AA1022" s="457"/>
      <c r="AB1022" s="478"/>
    </row>
    <row r="1023" spans="1:28" s="597" customFormat="1" x14ac:dyDescent="0.2">
      <c r="A1023" s="457"/>
      <c r="B1023" s="479"/>
      <c r="C1023" s="457"/>
      <c r="D1023" s="457"/>
      <c r="E1023" s="457"/>
      <c r="F1023" s="457"/>
      <c r="G1023" s="457"/>
      <c r="H1023" s="457"/>
      <c r="I1023" s="457" t="s">
        <v>79</v>
      </c>
      <c r="J1023" s="457"/>
      <c r="K1023" s="457"/>
      <c r="L1023" s="457"/>
      <c r="M1023" s="457"/>
      <c r="N1023" s="457"/>
      <c r="O1023" s="457"/>
      <c r="P1023" s="457"/>
      <c r="Q1023" s="457"/>
      <c r="R1023" s="457"/>
      <c r="S1023" s="457"/>
      <c r="T1023" s="457"/>
      <c r="U1023" s="478"/>
      <c r="V1023" s="457"/>
      <c r="W1023" s="457"/>
      <c r="X1023" s="457"/>
      <c r="Y1023" s="457"/>
      <c r="Z1023" s="457"/>
      <c r="AA1023" s="457"/>
      <c r="AB1023" s="478"/>
    </row>
    <row r="1024" spans="1:28" s="597" customFormat="1" x14ac:dyDescent="0.2">
      <c r="A1024" s="457"/>
      <c r="B1024" s="479"/>
      <c r="C1024" s="457"/>
      <c r="D1024" s="457"/>
      <c r="E1024" s="457"/>
      <c r="F1024" s="457"/>
      <c r="G1024" s="457"/>
      <c r="H1024" s="457"/>
      <c r="I1024" s="457" t="s">
        <v>80</v>
      </c>
      <c r="J1024" s="457"/>
      <c r="K1024" s="457"/>
      <c r="L1024" s="457"/>
      <c r="M1024" s="457"/>
      <c r="N1024" s="457"/>
      <c r="O1024" s="457"/>
      <c r="P1024" s="457"/>
      <c r="Q1024" s="457"/>
      <c r="R1024" s="457"/>
      <c r="S1024" s="457"/>
      <c r="T1024" s="457"/>
      <c r="U1024" s="478"/>
      <c r="V1024" s="457"/>
      <c r="W1024" s="457"/>
      <c r="X1024" s="457"/>
      <c r="Y1024" s="457"/>
      <c r="Z1024" s="457"/>
      <c r="AA1024" s="457"/>
      <c r="AB1024" s="478"/>
    </row>
    <row r="1025" spans="1:32" s="597" customFormat="1" x14ac:dyDescent="0.2">
      <c r="A1025" s="457"/>
      <c r="B1025" s="479"/>
      <c r="C1025" s="457"/>
      <c r="D1025" s="457"/>
      <c r="E1025" s="457"/>
      <c r="F1025" s="457"/>
      <c r="G1025" s="457"/>
      <c r="H1025" s="457"/>
      <c r="I1025" s="457" t="s">
        <v>81</v>
      </c>
      <c r="J1025" s="457"/>
      <c r="K1025" s="457"/>
      <c r="L1025" s="457"/>
      <c r="M1025" s="457"/>
      <c r="N1025" s="457"/>
      <c r="O1025" s="457"/>
      <c r="P1025" s="457"/>
      <c r="Q1025" s="457"/>
      <c r="R1025" s="457"/>
      <c r="S1025" s="457"/>
      <c r="T1025" s="457"/>
      <c r="U1025" s="478"/>
      <c r="V1025" s="457"/>
      <c r="W1025" s="457"/>
      <c r="X1025" s="457"/>
      <c r="Y1025" s="457"/>
      <c r="Z1025" s="457"/>
      <c r="AA1025" s="457"/>
      <c r="AB1025" s="478"/>
    </row>
    <row r="1026" spans="1:32" s="597" customFormat="1" x14ac:dyDescent="0.2">
      <c r="A1026" s="457"/>
      <c r="B1026" s="479"/>
      <c r="C1026" s="457"/>
      <c r="D1026" s="457"/>
      <c r="E1026" s="457"/>
      <c r="F1026" s="457"/>
      <c r="G1026" s="457"/>
      <c r="H1026" s="457"/>
      <c r="I1026" s="457" t="s">
        <v>88</v>
      </c>
      <c r="J1026" s="457"/>
      <c r="K1026" s="457"/>
      <c r="L1026" s="457"/>
      <c r="M1026" s="457"/>
      <c r="N1026" s="457"/>
      <c r="O1026" s="457"/>
      <c r="P1026" s="457"/>
      <c r="Q1026" s="457"/>
      <c r="R1026" s="457"/>
      <c r="S1026" s="457"/>
      <c r="T1026" s="457"/>
      <c r="U1026" s="478"/>
      <c r="V1026" s="457"/>
      <c r="W1026" s="457"/>
      <c r="X1026" s="457"/>
      <c r="Y1026" s="457"/>
      <c r="Z1026" s="457"/>
      <c r="AA1026" s="457"/>
      <c r="AB1026" s="478"/>
    </row>
    <row r="1027" spans="1:32" s="597" customFormat="1" ht="18" customHeight="1" x14ac:dyDescent="0.2">
      <c r="A1027" s="339"/>
      <c r="B1027" s="339"/>
      <c r="C1027" s="339"/>
      <c r="D1027" s="339"/>
      <c r="E1027" s="339"/>
      <c r="F1027" s="339"/>
      <c r="G1027" s="339"/>
      <c r="H1027" s="339"/>
      <c r="I1027" s="339"/>
      <c r="J1027" s="339"/>
      <c r="K1027" s="339"/>
      <c r="L1027" s="339"/>
      <c r="M1027" s="339"/>
      <c r="N1027" s="339"/>
      <c r="O1027" s="339"/>
      <c r="P1027" s="339"/>
      <c r="Q1027" s="339"/>
      <c r="R1027" s="339"/>
      <c r="S1027" s="339"/>
      <c r="T1027" s="339"/>
      <c r="U1027" s="339"/>
      <c r="V1027" s="339"/>
      <c r="W1027" s="339"/>
      <c r="X1027" s="339"/>
      <c r="Y1027" s="339"/>
      <c r="Z1027" s="339"/>
      <c r="AA1027" s="2702" t="s">
        <v>0</v>
      </c>
      <c r="AB1027" s="2702"/>
      <c r="AC1027" s="339"/>
      <c r="AD1027" s="339"/>
      <c r="AE1027" s="339"/>
      <c r="AF1027" s="339"/>
    </row>
    <row r="1028" spans="1:32" s="597" customFormat="1" ht="18" customHeight="1" x14ac:dyDescent="0.2">
      <c r="A1028" s="2703" t="s">
        <v>1</v>
      </c>
      <c r="B1028" s="2703"/>
      <c r="C1028" s="2703"/>
      <c r="D1028" s="2703"/>
      <c r="E1028" s="2703"/>
      <c r="F1028" s="2703"/>
      <c r="G1028" s="2703"/>
      <c r="H1028" s="2703"/>
      <c r="I1028" s="2703"/>
      <c r="J1028" s="2703"/>
      <c r="K1028" s="2703"/>
      <c r="L1028" s="2703"/>
      <c r="M1028" s="2703"/>
      <c r="N1028" s="2703"/>
      <c r="O1028" s="2703"/>
      <c r="P1028" s="2703"/>
      <c r="Q1028" s="2703"/>
      <c r="R1028" s="2703"/>
      <c r="S1028" s="2703"/>
      <c r="T1028" s="2703"/>
      <c r="U1028" s="2703"/>
      <c r="V1028" s="2703"/>
      <c r="W1028" s="2703"/>
      <c r="X1028" s="2703"/>
      <c r="Y1028" s="2703"/>
      <c r="Z1028" s="2703"/>
      <c r="AA1028" s="2703"/>
      <c r="AB1028" s="2703"/>
      <c r="AC1028" s="344"/>
      <c r="AD1028" s="344"/>
      <c r="AE1028" s="344"/>
      <c r="AF1028" s="344"/>
    </row>
    <row r="1029" spans="1:32" s="597" customFormat="1" ht="18" customHeight="1" x14ac:dyDescent="0.2">
      <c r="A1029" s="2704" t="s">
        <v>578</v>
      </c>
      <c r="B1029" s="2704"/>
      <c r="C1029" s="2704"/>
      <c r="D1029" s="2704"/>
      <c r="E1029" s="2704"/>
      <c r="F1029" s="2704"/>
      <c r="G1029" s="2704"/>
      <c r="H1029" s="2704"/>
      <c r="I1029" s="2704"/>
      <c r="J1029" s="2704"/>
      <c r="K1029" s="2704"/>
      <c r="L1029" s="2704"/>
      <c r="M1029" s="2704"/>
      <c r="N1029" s="2704"/>
      <c r="O1029" s="2704"/>
      <c r="P1029" s="2704"/>
      <c r="Q1029" s="2704"/>
      <c r="R1029" s="2704"/>
      <c r="S1029" s="2704"/>
      <c r="T1029" s="2704"/>
      <c r="U1029" s="2704"/>
      <c r="V1029" s="2704"/>
      <c r="W1029" s="2704"/>
      <c r="X1029" s="2704"/>
      <c r="Y1029" s="2704"/>
      <c r="Z1029" s="2704"/>
      <c r="AA1029" s="2704"/>
      <c r="AB1029" s="2704"/>
      <c r="AC1029" s="599"/>
      <c r="AD1029" s="599"/>
      <c r="AE1029" s="599"/>
      <c r="AF1029" s="599"/>
    </row>
    <row r="1030" spans="1:32" s="597" customFormat="1" ht="14.1" customHeight="1" x14ac:dyDescent="0.2">
      <c r="A1030" s="2686" t="s">
        <v>2</v>
      </c>
      <c r="B1030" s="360"/>
      <c r="C1030" s="2686" t="s">
        <v>3</v>
      </c>
      <c r="D1030" s="360"/>
      <c r="E1030" s="360"/>
      <c r="F1030" s="2693" t="s">
        <v>4</v>
      </c>
      <c r="G1030" s="2693"/>
      <c r="H1030" s="2693"/>
      <c r="I1030" s="2694"/>
      <c r="J1030" s="2694"/>
      <c r="K1030" s="2695"/>
      <c r="L1030" s="361"/>
      <c r="M1030" s="2679" t="s">
        <v>5</v>
      </c>
      <c r="N1030" s="2679"/>
      <c r="O1030" s="2679"/>
      <c r="P1030" s="2679"/>
      <c r="Q1030" s="2696"/>
      <c r="R1030" s="2696"/>
      <c r="S1030" s="2696"/>
      <c r="T1030" s="2696"/>
      <c r="U1030" s="2696"/>
      <c r="V1030" s="2697"/>
      <c r="W1030" s="362" t="s">
        <v>6</v>
      </c>
      <c r="X1030" s="363" t="s">
        <v>7</v>
      </c>
      <c r="Y1030" s="364"/>
      <c r="Z1030" s="364"/>
      <c r="AA1030" s="363"/>
      <c r="AB1030" s="365"/>
      <c r="AC1030" s="516" t="s">
        <v>8</v>
      </c>
      <c r="AD1030" s="346"/>
      <c r="AE1030" s="346"/>
      <c r="AF1030" s="600"/>
    </row>
    <row r="1031" spans="1:32" s="597" customFormat="1" ht="14.1" customHeight="1" x14ac:dyDescent="0.2">
      <c r="A1031" s="2687"/>
      <c r="B1031" s="367"/>
      <c r="C1031" s="2687"/>
      <c r="D1031" s="2062" t="s">
        <v>9</v>
      </c>
      <c r="E1031" s="368" t="s">
        <v>10</v>
      </c>
      <c r="F1031" s="2698" t="s">
        <v>11</v>
      </c>
      <c r="G1031" s="2694"/>
      <c r="H1031" s="2695"/>
      <c r="I1031" s="360"/>
      <c r="J1031" s="369" t="s">
        <v>12</v>
      </c>
      <c r="K1031" s="360"/>
      <c r="L1031" s="2679" t="s">
        <v>2</v>
      </c>
      <c r="M1031" s="2067"/>
      <c r="N1031" s="2067"/>
      <c r="O1031" s="2067"/>
      <c r="P1031" s="371"/>
      <c r="Q1031" s="372" t="s">
        <v>13</v>
      </c>
      <c r="R1031" s="373" t="s">
        <v>12</v>
      </c>
      <c r="S1031" s="2067" t="s">
        <v>6</v>
      </c>
      <c r="T1031" s="2682" t="s">
        <v>14</v>
      </c>
      <c r="U1031" s="2683"/>
      <c r="V1031" s="375" t="s">
        <v>7</v>
      </c>
      <c r="W1031" s="376" t="s">
        <v>15</v>
      </c>
      <c r="X1031" s="377" t="s">
        <v>16</v>
      </c>
      <c r="Y1031" s="377" t="s">
        <v>17</v>
      </c>
      <c r="Z1031" s="377" t="s">
        <v>18</v>
      </c>
      <c r="AA1031" s="377"/>
      <c r="AB1031" s="378" t="s">
        <v>19</v>
      </c>
      <c r="AC1031" s="528" t="s">
        <v>20</v>
      </c>
      <c r="AD1031" s="601"/>
      <c r="AE1031" s="347" t="s">
        <v>21</v>
      </c>
      <c r="AF1031" s="340" t="s">
        <v>22</v>
      </c>
    </row>
    <row r="1032" spans="1:32" s="597" customFormat="1" ht="14.1" customHeight="1" x14ac:dyDescent="0.2">
      <c r="A1032" s="2687"/>
      <c r="B1032" s="2062" t="s">
        <v>23</v>
      </c>
      <c r="C1032" s="2687"/>
      <c r="D1032" s="2062" t="s">
        <v>24</v>
      </c>
      <c r="E1032" s="368" t="s">
        <v>25</v>
      </c>
      <c r="F1032" s="2699"/>
      <c r="G1032" s="2700"/>
      <c r="H1032" s="2701"/>
      <c r="I1032" s="2062" t="s">
        <v>26</v>
      </c>
      <c r="J1032" s="379" t="s">
        <v>15</v>
      </c>
      <c r="K1032" s="2066" t="s">
        <v>6</v>
      </c>
      <c r="L1032" s="2680"/>
      <c r="M1032" s="2068" t="s">
        <v>27</v>
      </c>
      <c r="N1032" s="2068" t="s">
        <v>10</v>
      </c>
      <c r="O1032" s="382" t="s">
        <v>10</v>
      </c>
      <c r="P1032" s="383" t="s">
        <v>28</v>
      </c>
      <c r="Q1032" s="384" t="s">
        <v>29</v>
      </c>
      <c r="R1032" s="383" t="s">
        <v>15</v>
      </c>
      <c r="S1032" s="385" t="s">
        <v>15</v>
      </c>
      <c r="T1032" s="2684"/>
      <c r="U1032" s="2685"/>
      <c r="V1032" s="375" t="s">
        <v>30</v>
      </c>
      <c r="W1032" s="376" t="s">
        <v>31</v>
      </c>
      <c r="X1032" s="377" t="s">
        <v>30</v>
      </c>
      <c r="Y1032" s="377" t="s">
        <v>32</v>
      </c>
      <c r="Z1032" s="377" t="s">
        <v>7</v>
      </c>
      <c r="AA1032" s="377" t="s">
        <v>33</v>
      </c>
      <c r="AB1032" s="378" t="s">
        <v>34</v>
      </c>
      <c r="AC1032" s="528" t="s">
        <v>35</v>
      </c>
      <c r="AD1032" s="347" t="s">
        <v>36</v>
      </c>
      <c r="AE1032" s="347" t="s">
        <v>37</v>
      </c>
      <c r="AF1032" s="340" t="s">
        <v>38</v>
      </c>
    </row>
    <row r="1033" spans="1:32" s="597" customFormat="1" ht="14.1" customHeight="1" x14ac:dyDescent="0.2">
      <c r="A1033" s="2687"/>
      <c r="B1033" s="2062" t="s">
        <v>39</v>
      </c>
      <c r="C1033" s="2687"/>
      <c r="D1033" s="2062" t="s">
        <v>40</v>
      </c>
      <c r="E1033" s="368" t="s">
        <v>41</v>
      </c>
      <c r="F1033" s="2686" t="s">
        <v>42</v>
      </c>
      <c r="G1033" s="2686" t="s">
        <v>43</v>
      </c>
      <c r="H1033" s="2688" t="s">
        <v>44</v>
      </c>
      <c r="I1033" s="2062" t="s">
        <v>45</v>
      </c>
      <c r="J1033" s="379" t="s">
        <v>46</v>
      </c>
      <c r="K1033" s="2066" t="s">
        <v>47</v>
      </c>
      <c r="L1033" s="2680"/>
      <c r="M1033" s="2068" t="s">
        <v>30</v>
      </c>
      <c r="N1033" s="2068" t="s">
        <v>30</v>
      </c>
      <c r="O1033" s="382" t="s">
        <v>25</v>
      </c>
      <c r="P1033" s="383" t="s">
        <v>30</v>
      </c>
      <c r="Q1033" s="384" t="s">
        <v>48</v>
      </c>
      <c r="R1033" s="383" t="s">
        <v>49</v>
      </c>
      <c r="S1033" s="385" t="s">
        <v>30</v>
      </c>
      <c r="T1033" s="386" t="s">
        <v>50</v>
      </c>
      <c r="U1033" s="2065" t="s">
        <v>13</v>
      </c>
      <c r="V1033" s="375" t="s">
        <v>51</v>
      </c>
      <c r="W1033" s="376" t="s">
        <v>52</v>
      </c>
      <c r="X1033" s="377" t="s">
        <v>53</v>
      </c>
      <c r="Y1033" s="377" t="s">
        <v>54</v>
      </c>
      <c r="Z1033" s="377" t="s">
        <v>55</v>
      </c>
      <c r="AA1033" s="377" t="s">
        <v>56</v>
      </c>
      <c r="AB1033" s="378" t="s">
        <v>57</v>
      </c>
      <c r="AC1033" s="347" t="s">
        <v>58</v>
      </c>
      <c r="AD1033" s="347" t="s">
        <v>59</v>
      </c>
      <c r="AE1033" s="347" t="s">
        <v>59</v>
      </c>
      <c r="AF1033" s="340" t="s">
        <v>60</v>
      </c>
    </row>
    <row r="1034" spans="1:32" s="597" customFormat="1" ht="14.1" customHeight="1" x14ac:dyDescent="0.2">
      <c r="A1034" s="2687"/>
      <c r="B1034" s="2062" t="s">
        <v>61</v>
      </c>
      <c r="C1034" s="2687"/>
      <c r="D1034" s="2062" t="s">
        <v>62</v>
      </c>
      <c r="E1034" s="368" t="s">
        <v>63</v>
      </c>
      <c r="F1034" s="2687"/>
      <c r="G1034" s="2687"/>
      <c r="H1034" s="2689"/>
      <c r="I1034" s="2062" t="s">
        <v>64</v>
      </c>
      <c r="J1034" s="379" t="s">
        <v>59</v>
      </c>
      <c r="K1034" s="2066" t="s">
        <v>59</v>
      </c>
      <c r="L1034" s="2680"/>
      <c r="M1034" s="2068"/>
      <c r="N1034" s="2068"/>
      <c r="O1034" s="382" t="s">
        <v>41</v>
      </c>
      <c r="P1034" s="383" t="s">
        <v>65</v>
      </c>
      <c r="Q1034" s="384" t="s">
        <v>66</v>
      </c>
      <c r="R1034" s="383" t="s">
        <v>67</v>
      </c>
      <c r="S1034" s="385" t="s">
        <v>59</v>
      </c>
      <c r="T1034" s="387" t="s">
        <v>68</v>
      </c>
      <c r="U1034" s="375" t="s">
        <v>14</v>
      </c>
      <c r="V1034" s="375" t="s">
        <v>14</v>
      </c>
      <c r="W1034" s="376" t="s">
        <v>30</v>
      </c>
      <c r="X1034" s="388" t="s">
        <v>69</v>
      </c>
      <c r="Y1034" s="388" t="s">
        <v>70</v>
      </c>
      <c r="Z1034" s="377" t="s">
        <v>71</v>
      </c>
      <c r="AA1034" s="377" t="s">
        <v>72</v>
      </c>
      <c r="AB1034" s="378" t="s">
        <v>59</v>
      </c>
      <c r="AC1034" s="347" t="s">
        <v>59</v>
      </c>
      <c r="AD1034" s="347"/>
      <c r="AE1034" s="347"/>
      <c r="AF1034" s="340" t="s">
        <v>59</v>
      </c>
    </row>
    <row r="1035" spans="1:32" s="597" customFormat="1" ht="14.1" customHeight="1" x14ac:dyDescent="0.2">
      <c r="A1035" s="2692"/>
      <c r="B1035" s="390"/>
      <c r="C1035" s="2692"/>
      <c r="D1035" s="390"/>
      <c r="E1035" s="2063"/>
      <c r="F1035" s="390"/>
      <c r="G1035" s="390"/>
      <c r="H1035" s="391"/>
      <c r="I1035" s="2063"/>
      <c r="J1035" s="392"/>
      <c r="K1035" s="393"/>
      <c r="L1035" s="2681"/>
      <c r="M1035" s="2069"/>
      <c r="N1035" s="2069"/>
      <c r="O1035" s="2069" t="s">
        <v>63</v>
      </c>
      <c r="P1035" s="395"/>
      <c r="Q1035" s="396" t="s">
        <v>72</v>
      </c>
      <c r="R1035" s="397" t="s">
        <v>59</v>
      </c>
      <c r="S1035" s="398"/>
      <c r="T1035" s="397" t="s">
        <v>73</v>
      </c>
      <c r="U1035" s="398" t="s">
        <v>59</v>
      </c>
      <c r="V1035" s="399" t="s">
        <v>59</v>
      </c>
      <c r="W1035" s="400" t="s">
        <v>59</v>
      </c>
      <c r="X1035" s="401" t="s">
        <v>59</v>
      </c>
      <c r="Y1035" s="401" t="s">
        <v>59</v>
      </c>
      <c r="Z1035" s="401" t="s">
        <v>59</v>
      </c>
      <c r="AA1035" s="402"/>
      <c r="AB1035" s="403"/>
      <c r="AC1035" s="348"/>
      <c r="AD1035" s="348"/>
      <c r="AE1035" s="348"/>
      <c r="AF1035" s="341"/>
    </row>
    <row r="1036" spans="1:32" s="597" customFormat="1" ht="18" customHeight="1" x14ac:dyDescent="0.2">
      <c r="A1036" s="53">
        <v>1</v>
      </c>
      <c r="B1036" s="259">
        <v>29843</v>
      </c>
      <c r="C1036" s="259">
        <v>67</v>
      </c>
      <c r="D1036" s="259" t="s">
        <v>83</v>
      </c>
      <c r="E1036" s="259">
        <v>4</v>
      </c>
      <c r="F1036" s="259">
        <v>0</v>
      </c>
      <c r="G1036" s="259">
        <v>0</v>
      </c>
      <c r="H1036" s="272">
        <v>49.5</v>
      </c>
      <c r="I1036" s="44">
        <f>F1036*400+G1036*100+H1036</f>
        <v>49.5</v>
      </c>
      <c r="J1036" s="42">
        <v>280</v>
      </c>
      <c r="K1036" s="60">
        <f>SUM(I1036*J1036)</f>
        <v>13860</v>
      </c>
      <c r="L1036" s="969"/>
      <c r="M1036" s="969"/>
      <c r="N1036" s="969"/>
      <c r="O1036" s="808"/>
      <c r="P1036" s="969"/>
      <c r="Q1036" s="970"/>
      <c r="R1036" s="971"/>
      <c r="S1036" s="972"/>
      <c r="T1036" s="973"/>
      <c r="U1036" s="972"/>
      <c r="V1036" s="972"/>
      <c r="W1036" s="67">
        <f>K1036+V1036+K1037+K1038</f>
        <v>13860</v>
      </c>
      <c r="X1036" s="972">
        <f>W1036</f>
        <v>13860</v>
      </c>
      <c r="Y1036" s="972">
        <f>V1036</f>
        <v>0</v>
      </c>
      <c r="Z1036" s="972">
        <f>+X1036</f>
        <v>13860</v>
      </c>
      <c r="AA1036" s="974">
        <v>0.6</v>
      </c>
      <c r="AB1036" s="465">
        <f>+Z1036*AA1036/100</f>
        <v>83.16</v>
      </c>
      <c r="AC1036" s="602"/>
      <c r="AD1036" s="603">
        <f>AB1036-AC1036</f>
        <v>83.16</v>
      </c>
      <c r="AE1036" s="603">
        <f>IF(AD1036&lt;=0,0,AD1036*25/100)</f>
        <v>20.79</v>
      </c>
      <c r="AF1036" s="603">
        <f>IF(AC1036+AE1036&gt;AB1036,AB1036,AC1036+AE1036)</f>
        <v>20.79</v>
      </c>
    </row>
    <row r="1037" spans="1:32" s="597" customFormat="1" ht="18" customHeight="1" x14ac:dyDescent="0.2">
      <c r="A1037" s="2070"/>
      <c r="B1037" s="177"/>
      <c r="C1037" s="177"/>
      <c r="D1037" s="2070"/>
      <c r="E1037" s="2070"/>
      <c r="F1037" s="2070"/>
      <c r="G1037" s="2070"/>
      <c r="H1037" s="2076"/>
      <c r="I1037" s="2072"/>
      <c r="J1037" s="178"/>
      <c r="K1037" s="2072"/>
      <c r="L1037" s="2070"/>
      <c r="M1037" s="2070"/>
      <c r="N1037" s="2070"/>
      <c r="O1037" s="2070"/>
      <c r="P1037" s="2076"/>
      <c r="Q1037" s="2071"/>
      <c r="R1037" s="437"/>
      <c r="S1037" s="2072"/>
      <c r="T1037" s="179"/>
      <c r="U1037" s="178"/>
      <c r="V1037" s="2072"/>
      <c r="W1037" s="2072"/>
      <c r="X1037" s="470"/>
      <c r="Y1037" s="470"/>
      <c r="Z1037" s="471"/>
      <c r="AA1037" s="764"/>
      <c r="AB1037" s="466"/>
      <c r="AC1037" s="350"/>
      <c r="AD1037" s="350"/>
      <c r="AE1037" s="350"/>
      <c r="AF1037" s="350"/>
    </row>
    <row r="1038" spans="1:32" s="597" customFormat="1" ht="18" customHeight="1" x14ac:dyDescent="0.2">
      <c r="A1038" s="2070"/>
      <c r="B1038" s="177"/>
      <c r="C1038" s="177"/>
      <c r="D1038" s="2070"/>
      <c r="E1038" s="2070"/>
      <c r="F1038" s="2070"/>
      <c r="G1038" s="2070"/>
      <c r="H1038" s="2076"/>
      <c r="I1038" s="2072"/>
      <c r="J1038" s="178"/>
      <c r="K1038" s="2072"/>
      <c r="L1038" s="2070"/>
      <c r="M1038" s="2070"/>
      <c r="N1038" s="2070"/>
      <c r="O1038" s="2070"/>
      <c r="P1038" s="2076"/>
      <c r="Q1038" s="2071"/>
      <c r="R1038" s="437"/>
      <c r="S1038" s="2072"/>
      <c r="T1038" s="179"/>
      <c r="U1038" s="178"/>
      <c r="V1038" s="2072"/>
      <c r="W1038" s="2072"/>
      <c r="X1038" s="470"/>
      <c r="Y1038" s="470"/>
      <c r="Z1038" s="471"/>
      <c r="AA1038" s="764"/>
      <c r="AB1038" s="466"/>
      <c r="AC1038" s="350"/>
      <c r="AD1038" s="350"/>
      <c r="AE1038" s="350"/>
      <c r="AF1038" s="350"/>
    </row>
    <row r="1039" spans="1:32" s="597" customFormat="1" ht="18" customHeight="1" x14ac:dyDescent="0.2">
      <c r="A1039" s="2070"/>
      <c r="B1039" s="177"/>
      <c r="C1039" s="177"/>
      <c r="D1039" s="2070"/>
      <c r="E1039" s="2070"/>
      <c r="F1039" s="2070"/>
      <c r="G1039" s="2070"/>
      <c r="H1039" s="2076"/>
      <c r="I1039" s="2072"/>
      <c r="J1039" s="178"/>
      <c r="K1039" s="2072"/>
      <c r="L1039" s="2070"/>
      <c r="M1039" s="2070"/>
      <c r="N1039" s="2070"/>
      <c r="O1039" s="2070"/>
      <c r="P1039" s="2076"/>
      <c r="Q1039" s="2071"/>
      <c r="R1039" s="437"/>
      <c r="S1039" s="2072"/>
      <c r="T1039" s="179"/>
      <c r="U1039" s="178"/>
      <c r="V1039" s="2072"/>
      <c r="W1039" s="2072"/>
      <c r="X1039" s="470"/>
      <c r="Y1039" s="470"/>
      <c r="Z1039" s="471"/>
      <c r="AA1039" s="764"/>
      <c r="AB1039" s="466"/>
      <c r="AC1039" s="350"/>
      <c r="AD1039" s="350"/>
      <c r="AE1039" s="350"/>
      <c r="AF1039" s="350"/>
    </row>
    <row r="1040" spans="1:32" s="597" customFormat="1" ht="18" customHeight="1" x14ac:dyDescent="0.2">
      <c r="A1040" s="2070"/>
      <c r="B1040" s="177"/>
      <c r="C1040" s="177"/>
      <c r="D1040" s="2070"/>
      <c r="E1040" s="2070"/>
      <c r="F1040" s="2070"/>
      <c r="G1040" s="2070"/>
      <c r="H1040" s="2076"/>
      <c r="I1040" s="2072"/>
      <c r="J1040" s="178"/>
      <c r="K1040" s="2072"/>
      <c r="L1040" s="2070"/>
      <c r="M1040" s="2070"/>
      <c r="N1040" s="2070"/>
      <c r="O1040" s="2070"/>
      <c r="P1040" s="2076"/>
      <c r="Q1040" s="2071"/>
      <c r="R1040" s="437"/>
      <c r="S1040" s="2072"/>
      <c r="T1040" s="179"/>
      <c r="U1040" s="178"/>
      <c r="V1040" s="2072"/>
      <c r="W1040" s="2072"/>
      <c r="X1040" s="470"/>
      <c r="Y1040" s="470"/>
      <c r="Z1040" s="471"/>
      <c r="AA1040" s="764"/>
      <c r="AB1040" s="466"/>
      <c r="AC1040" s="350"/>
      <c r="AD1040" s="350"/>
      <c r="AE1040" s="350"/>
      <c r="AF1040" s="350"/>
    </row>
    <row r="1041" spans="1:32" s="597" customFormat="1" ht="18" customHeight="1" x14ac:dyDescent="0.2">
      <c r="A1041" s="2070"/>
      <c r="B1041" s="177"/>
      <c r="C1041" s="177"/>
      <c r="D1041" s="2070"/>
      <c r="E1041" s="2070"/>
      <c r="F1041" s="2070"/>
      <c r="G1041" s="2070"/>
      <c r="H1041" s="2076"/>
      <c r="I1041" s="2072"/>
      <c r="J1041" s="178"/>
      <c r="K1041" s="2072"/>
      <c r="L1041" s="2070"/>
      <c r="M1041" s="2070"/>
      <c r="N1041" s="2070"/>
      <c r="O1041" s="2070"/>
      <c r="P1041" s="2076"/>
      <c r="Q1041" s="2071"/>
      <c r="R1041" s="437"/>
      <c r="S1041" s="2072"/>
      <c r="T1041" s="179"/>
      <c r="U1041" s="178"/>
      <c r="V1041" s="2072"/>
      <c r="W1041" s="2072"/>
      <c r="X1041" s="470"/>
      <c r="Y1041" s="470"/>
      <c r="Z1041" s="471"/>
      <c r="AA1041" s="764"/>
      <c r="AB1041" s="466"/>
      <c r="AC1041" s="350"/>
      <c r="AD1041" s="350"/>
      <c r="AE1041" s="350"/>
      <c r="AF1041" s="350"/>
    </row>
    <row r="1042" spans="1:32" s="597" customFormat="1" ht="18" customHeight="1" x14ac:dyDescent="0.2">
      <c r="A1042" s="2070"/>
      <c r="B1042" s="177"/>
      <c r="C1042" s="177"/>
      <c r="D1042" s="2070"/>
      <c r="E1042" s="2070"/>
      <c r="F1042" s="2070"/>
      <c r="G1042" s="2070"/>
      <c r="H1042" s="2076"/>
      <c r="I1042" s="2072"/>
      <c r="J1042" s="178"/>
      <c r="K1042" s="2072"/>
      <c r="L1042" s="2070"/>
      <c r="M1042" s="2070"/>
      <c r="N1042" s="2070"/>
      <c r="O1042" s="2070"/>
      <c r="P1042" s="2076"/>
      <c r="Q1042" s="2071"/>
      <c r="R1042" s="437"/>
      <c r="S1042" s="2072"/>
      <c r="T1042" s="179"/>
      <c r="U1042" s="178"/>
      <c r="V1042" s="2072"/>
      <c r="W1042" s="2072"/>
      <c r="X1042" s="470"/>
      <c r="Y1042" s="470"/>
      <c r="Z1042" s="471"/>
      <c r="AA1042" s="764"/>
      <c r="AB1042" s="466"/>
      <c r="AC1042" s="350"/>
      <c r="AD1042" s="350"/>
      <c r="AE1042" s="350"/>
      <c r="AF1042" s="350"/>
    </row>
    <row r="1043" spans="1:32" s="597" customFormat="1" ht="18" customHeight="1" x14ac:dyDescent="0.2">
      <c r="A1043" s="2070"/>
      <c r="B1043" s="177"/>
      <c r="C1043" s="177"/>
      <c r="D1043" s="2070"/>
      <c r="E1043" s="2070"/>
      <c r="F1043" s="2070"/>
      <c r="G1043" s="2070"/>
      <c r="H1043" s="2076"/>
      <c r="I1043" s="2072"/>
      <c r="J1043" s="178"/>
      <c r="K1043" s="2072"/>
      <c r="L1043" s="2070"/>
      <c r="M1043" s="2070"/>
      <c r="N1043" s="2070"/>
      <c r="O1043" s="2070"/>
      <c r="P1043" s="2076"/>
      <c r="Q1043" s="2071"/>
      <c r="R1043" s="437"/>
      <c r="S1043" s="2072"/>
      <c r="T1043" s="179"/>
      <c r="U1043" s="178"/>
      <c r="V1043" s="2072"/>
      <c r="W1043" s="2072"/>
      <c r="X1043" s="470"/>
      <c r="Y1043" s="470"/>
      <c r="Z1043" s="471"/>
      <c r="AA1043" s="764"/>
      <c r="AB1043" s="466"/>
      <c r="AC1043" s="350"/>
      <c r="AD1043" s="350"/>
      <c r="AE1043" s="350"/>
      <c r="AF1043" s="350"/>
    </row>
    <row r="1044" spans="1:32" s="597" customFormat="1" ht="18" customHeight="1" x14ac:dyDescent="0.2">
      <c r="A1044" s="2070"/>
      <c r="B1044" s="177"/>
      <c r="C1044" s="177"/>
      <c r="D1044" s="2070"/>
      <c r="E1044" s="2070"/>
      <c r="F1044" s="2070"/>
      <c r="G1044" s="2070"/>
      <c r="H1044" s="2076"/>
      <c r="I1044" s="2072"/>
      <c r="J1044" s="178"/>
      <c r="K1044" s="2072"/>
      <c r="L1044" s="2070"/>
      <c r="M1044" s="2070"/>
      <c r="N1044" s="2070"/>
      <c r="O1044" s="2070"/>
      <c r="P1044" s="2076"/>
      <c r="Q1044" s="2071"/>
      <c r="R1044" s="437"/>
      <c r="S1044" s="2072"/>
      <c r="T1044" s="179"/>
      <c r="U1044" s="178"/>
      <c r="V1044" s="2072"/>
      <c r="W1044" s="2072"/>
      <c r="X1044" s="470"/>
      <c r="Y1044" s="470"/>
      <c r="Z1044" s="471"/>
      <c r="AA1044" s="764"/>
      <c r="AB1044" s="466"/>
      <c r="AC1044" s="350"/>
      <c r="AD1044" s="350"/>
      <c r="AE1044" s="350"/>
      <c r="AF1044" s="350"/>
    </row>
    <row r="1045" spans="1:32" s="597" customFormat="1" ht="18" customHeight="1" x14ac:dyDescent="0.2">
      <c r="A1045" s="2070"/>
      <c r="B1045" s="177"/>
      <c r="C1045" s="177"/>
      <c r="D1045" s="2070"/>
      <c r="E1045" s="2070"/>
      <c r="F1045" s="2070"/>
      <c r="G1045" s="2070"/>
      <c r="H1045" s="2076"/>
      <c r="I1045" s="2072"/>
      <c r="J1045" s="178"/>
      <c r="K1045" s="2072"/>
      <c r="L1045" s="2070"/>
      <c r="M1045" s="2070"/>
      <c r="N1045" s="2070"/>
      <c r="O1045" s="2070"/>
      <c r="P1045" s="2076"/>
      <c r="Q1045" s="2071"/>
      <c r="R1045" s="437"/>
      <c r="S1045" s="2072"/>
      <c r="T1045" s="179"/>
      <c r="U1045" s="178"/>
      <c r="V1045" s="2072"/>
      <c r="W1045" s="2072"/>
      <c r="X1045" s="470"/>
      <c r="Y1045" s="470"/>
      <c r="Z1045" s="471"/>
      <c r="AA1045" s="764"/>
      <c r="AB1045" s="466"/>
      <c r="AC1045" s="350"/>
      <c r="AD1045" s="350"/>
      <c r="AE1045" s="350"/>
      <c r="AF1045" s="350"/>
    </row>
    <row r="1046" spans="1:32" s="597" customFormat="1" ht="18" customHeight="1" x14ac:dyDescent="0.2">
      <c r="A1046" s="2070"/>
      <c r="B1046" s="177"/>
      <c r="C1046" s="177"/>
      <c r="D1046" s="2070"/>
      <c r="E1046" s="2070"/>
      <c r="F1046" s="2070"/>
      <c r="G1046" s="2070"/>
      <c r="H1046" s="2076"/>
      <c r="I1046" s="2072"/>
      <c r="J1046" s="178"/>
      <c r="K1046" s="2072"/>
      <c r="L1046" s="2070"/>
      <c r="M1046" s="2070"/>
      <c r="N1046" s="2070"/>
      <c r="O1046" s="2070"/>
      <c r="P1046" s="2076"/>
      <c r="Q1046" s="2071"/>
      <c r="R1046" s="437"/>
      <c r="S1046" s="2072"/>
      <c r="T1046" s="179"/>
      <c r="U1046" s="178"/>
      <c r="V1046" s="2072"/>
      <c r="W1046" s="2072"/>
      <c r="X1046" s="470"/>
      <c r="Y1046" s="470"/>
      <c r="Z1046" s="471"/>
      <c r="AA1046" s="764"/>
      <c r="AB1046" s="466"/>
      <c r="AC1046" s="350"/>
      <c r="AD1046" s="350"/>
      <c r="AE1046" s="350"/>
      <c r="AF1046" s="350"/>
    </row>
    <row r="1047" spans="1:32" s="597" customFormat="1" ht="18" customHeight="1" x14ac:dyDescent="0.2">
      <c r="A1047" s="2070"/>
      <c r="B1047" s="177"/>
      <c r="C1047" s="177"/>
      <c r="D1047" s="2070"/>
      <c r="E1047" s="2070"/>
      <c r="F1047" s="2070"/>
      <c r="G1047" s="2070"/>
      <c r="H1047" s="2076"/>
      <c r="I1047" s="2072"/>
      <c r="J1047" s="178"/>
      <c r="K1047" s="2072"/>
      <c r="L1047" s="2070"/>
      <c r="M1047" s="2070"/>
      <c r="N1047" s="2070"/>
      <c r="O1047" s="2070"/>
      <c r="P1047" s="2076"/>
      <c r="Q1047" s="2071"/>
      <c r="R1047" s="437"/>
      <c r="S1047" s="2072"/>
      <c r="T1047" s="179"/>
      <c r="U1047" s="178"/>
      <c r="V1047" s="2072"/>
      <c r="W1047" s="2072"/>
      <c r="X1047" s="470"/>
      <c r="Y1047" s="470"/>
      <c r="Z1047" s="471"/>
      <c r="AA1047" s="764"/>
      <c r="AB1047" s="466"/>
      <c r="AC1047" s="350"/>
      <c r="AD1047" s="350"/>
      <c r="AE1047" s="350"/>
      <c r="AF1047" s="350"/>
    </row>
    <row r="1048" spans="1:32" s="597" customFormat="1" ht="18" customHeight="1" x14ac:dyDescent="0.2">
      <c r="A1048" s="2070"/>
      <c r="B1048" s="177"/>
      <c r="C1048" s="177"/>
      <c r="D1048" s="2070"/>
      <c r="E1048" s="2070"/>
      <c r="F1048" s="2070"/>
      <c r="G1048" s="2070"/>
      <c r="H1048" s="2076"/>
      <c r="I1048" s="2072"/>
      <c r="J1048" s="178"/>
      <c r="K1048" s="2072"/>
      <c r="L1048" s="2070"/>
      <c r="M1048" s="2070"/>
      <c r="N1048" s="2070"/>
      <c r="O1048" s="2070"/>
      <c r="P1048" s="2076"/>
      <c r="Q1048" s="2071"/>
      <c r="R1048" s="437"/>
      <c r="S1048" s="2072"/>
      <c r="T1048" s="179"/>
      <c r="U1048" s="178"/>
      <c r="V1048" s="2072"/>
      <c r="W1048" s="2072"/>
      <c r="X1048" s="470"/>
      <c r="Y1048" s="470"/>
      <c r="Z1048" s="471"/>
      <c r="AA1048" s="764"/>
      <c r="AB1048" s="466"/>
      <c r="AC1048" s="350"/>
      <c r="AD1048" s="350"/>
      <c r="AE1048" s="350"/>
      <c r="AF1048" s="350"/>
    </row>
    <row r="1049" spans="1:32" s="597" customFormat="1" ht="18" customHeight="1" x14ac:dyDescent="0.2">
      <c r="A1049" s="2091"/>
      <c r="B1049" s="177"/>
      <c r="C1049" s="177"/>
      <c r="D1049" s="2091"/>
      <c r="E1049" s="2091"/>
      <c r="F1049" s="2091"/>
      <c r="G1049" s="2091"/>
      <c r="H1049" s="2094"/>
      <c r="I1049" s="2092"/>
      <c r="J1049" s="178"/>
      <c r="K1049" s="2092"/>
      <c r="L1049" s="2091"/>
      <c r="M1049" s="2091"/>
      <c r="N1049" s="2091"/>
      <c r="O1049" s="2091"/>
      <c r="P1049" s="2094"/>
      <c r="Q1049" s="2093"/>
      <c r="R1049" s="437"/>
      <c r="S1049" s="2092"/>
      <c r="T1049" s="179"/>
      <c r="U1049" s="178"/>
      <c r="V1049" s="2092"/>
      <c r="W1049" s="2092"/>
      <c r="X1049" s="470"/>
      <c r="Y1049" s="470"/>
      <c r="Z1049" s="471"/>
      <c r="AA1049" s="764"/>
      <c r="AB1049" s="466"/>
      <c r="AC1049" s="350"/>
      <c r="AD1049" s="350"/>
      <c r="AE1049" s="350"/>
      <c r="AF1049" s="350"/>
    </row>
    <row r="1050" spans="1:32" s="597" customFormat="1" ht="18" customHeight="1" x14ac:dyDescent="0.2">
      <c r="A1050" s="88"/>
      <c r="B1050" s="180"/>
      <c r="C1050" s="180"/>
      <c r="D1050" s="88"/>
      <c r="E1050" s="88"/>
      <c r="F1050" s="88"/>
      <c r="G1050" s="88"/>
      <c r="H1050" s="120"/>
      <c r="I1050" s="121"/>
      <c r="J1050" s="181"/>
      <c r="K1050" s="121"/>
      <c r="L1050" s="88"/>
      <c r="M1050" s="88"/>
      <c r="N1050" s="88"/>
      <c r="O1050" s="88"/>
      <c r="P1050" s="88"/>
      <c r="Q1050" s="129"/>
      <c r="R1050" s="445"/>
      <c r="S1050" s="121"/>
      <c r="T1050" s="182"/>
      <c r="U1050" s="181"/>
      <c r="V1050" s="121"/>
      <c r="W1050" s="121"/>
      <c r="X1050" s="472"/>
      <c r="Y1050" s="472"/>
      <c r="Z1050" s="473"/>
      <c r="AA1050" s="780"/>
      <c r="AB1050" s="410"/>
      <c r="AC1050" s="351"/>
      <c r="AD1050" s="351"/>
      <c r="AE1050" s="351"/>
      <c r="AF1050" s="351"/>
    </row>
    <row r="1051" spans="1:32" s="597" customFormat="1" ht="18" customHeight="1" x14ac:dyDescent="0.2">
      <c r="A1051" s="1850"/>
      <c r="B1051" s="1850"/>
      <c r="C1051" s="1850"/>
      <c r="D1051" s="1850"/>
      <c r="E1051" s="1850"/>
      <c r="F1051" s="1850"/>
      <c r="G1051" s="1850"/>
      <c r="H1051" s="1851"/>
      <c r="I1051" s="1852"/>
      <c r="J1051" s="1853"/>
      <c r="K1051" s="1852"/>
      <c r="L1051" s="1852"/>
      <c r="M1051" s="1852"/>
      <c r="N1051" s="1852"/>
      <c r="O1051" s="1852"/>
      <c r="P1051" s="1852"/>
      <c r="Q1051" s="1852"/>
      <c r="R1051" s="1854"/>
      <c r="S1051" s="1852"/>
      <c r="T1051" s="1855"/>
      <c r="U1051" s="1853"/>
      <c r="V1051" s="1852"/>
      <c r="W1051" s="1852"/>
      <c r="X1051" s="1856"/>
      <c r="Y1051" s="1856"/>
      <c r="Z1051" s="1857"/>
      <c r="AA1051" s="2125"/>
      <c r="AB1051" s="1847">
        <f>SUM(AB1036:AB1050)</f>
        <v>83.16</v>
      </c>
      <c r="AC1051" s="1861"/>
      <c r="AD1051" s="1861"/>
      <c r="AE1051" s="1861"/>
      <c r="AF1051" s="1861"/>
    </row>
    <row r="1052" spans="1:32" s="597" customFormat="1" ht="14.1" customHeight="1" x14ac:dyDescent="0.2">
      <c r="A1052" s="2690" t="s">
        <v>76</v>
      </c>
      <c r="B1052" s="2690"/>
      <c r="C1052" s="2691" t="s">
        <v>77</v>
      </c>
      <c r="D1052" s="2691"/>
      <c r="E1052" s="2691"/>
      <c r="F1052" s="2691"/>
      <c r="G1052" s="2691"/>
      <c r="H1052" s="2691"/>
      <c r="I1052" s="604" t="s">
        <v>78</v>
      </c>
      <c r="J1052" s="604"/>
      <c r="K1052" s="604"/>
      <c r="L1052" s="604"/>
      <c r="M1052" s="604"/>
      <c r="N1052" s="604"/>
      <c r="AA1052" s="767"/>
      <c r="AB1052" s="598"/>
    </row>
    <row r="1053" spans="1:32" s="597" customFormat="1" ht="14.1" customHeight="1" x14ac:dyDescent="0.2">
      <c r="A1053" s="604"/>
      <c r="B1053" s="605"/>
      <c r="C1053" s="604"/>
      <c r="D1053" s="604"/>
      <c r="E1053" s="604"/>
      <c r="F1053" s="604"/>
      <c r="G1053" s="604"/>
      <c r="H1053" s="604"/>
      <c r="I1053" s="604" t="s">
        <v>79</v>
      </c>
      <c r="J1053" s="604"/>
      <c r="K1053" s="604"/>
      <c r="L1053" s="604"/>
      <c r="M1053" s="604"/>
      <c r="N1053" s="604"/>
      <c r="AA1053" s="767"/>
      <c r="AB1053" s="598"/>
    </row>
    <row r="1054" spans="1:32" s="597" customFormat="1" ht="14.1" customHeight="1" x14ac:dyDescent="0.2">
      <c r="A1054" s="604"/>
      <c r="B1054" s="605"/>
      <c r="C1054" s="604"/>
      <c r="D1054" s="604"/>
      <c r="E1054" s="604"/>
      <c r="F1054" s="604"/>
      <c r="G1054" s="604"/>
      <c r="H1054" s="604"/>
      <c r="I1054" s="604" t="s">
        <v>80</v>
      </c>
      <c r="J1054" s="604"/>
      <c r="K1054" s="604"/>
      <c r="L1054" s="604"/>
      <c r="M1054" s="604"/>
      <c r="N1054" s="604"/>
      <c r="AA1054" s="767"/>
      <c r="AB1054" s="598"/>
    </row>
    <row r="1055" spans="1:32" s="597" customFormat="1" ht="14.1" customHeight="1" x14ac:dyDescent="0.2">
      <c r="A1055" s="604"/>
      <c r="B1055" s="605"/>
      <c r="C1055" s="604"/>
      <c r="D1055" s="604"/>
      <c r="E1055" s="604"/>
      <c r="F1055" s="604"/>
      <c r="G1055" s="604"/>
      <c r="H1055" s="604"/>
      <c r="I1055" s="604" t="s">
        <v>81</v>
      </c>
      <c r="J1055" s="604"/>
      <c r="K1055" s="604"/>
      <c r="L1055" s="604"/>
      <c r="M1055" s="604"/>
      <c r="N1055" s="604"/>
      <c r="AA1055" s="767"/>
      <c r="AB1055" s="598"/>
    </row>
    <row r="1056" spans="1:32" s="597" customFormat="1" ht="14.1" customHeight="1" x14ac:dyDescent="0.2">
      <c r="A1056" s="604"/>
      <c r="B1056" s="605"/>
      <c r="C1056" s="604"/>
      <c r="D1056" s="604"/>
      <c r="E1056" s="604"/>
      <c r="F1056" s="604"/>
      <c r="G1056" s="604"/>
      <c r="H1056" s="604"/>
      <c r="I1056" s="604" t="s">
        <v>88</v>
      </c>
      <c r="J1056" s="604"/>
      <c r="K1056" s="604"/>
      <c r="L1056" s="604"/>
      <c r="M1056" s="604"/>
      <c r="N1056" s="604"/>
      <c r="AA1056" s="767"/>
      <c r="AB1056" s="598"/>
    </row>
    <row r="1057" spans="1:32" s="597" customFormat="1" ht="18" customHeight="1" x14ac:dyDescent="0.2">
      <c r="A1057" s="339"/>
      <c r="B1057" s="339"/>
      <c r="C1057" s="339"/>
      <c r="D1057" s="339"/>
      <c r="E1057" s="339"/>
      <c r="F1057" s="339"/>
      <c r="G1057" s="339"/>
      <c r="H1057" s="339"/>
      <c r="I1057" s="339"/>
      <c r="J1057" s="339"/>
      <c r="K1057" s="339"/>
      <c r="L1057" s="339"/>
      <c r="M1057" s="339"/>
      <c r="N1057" s="339"/>
      <c r="O1057" s="339"/>
      <c r="P1057" s="339"/>
      <c r="Q1057" s="339"/>
      <c r="R1057" s="339"/>
      <c r="S1057" s="339"/>
      <c r="T1057" s="339"/>
      <c r="U1057" s="339"/>
      <c r="V1057" s="339"/>
      <c r="W1057" s="339"/>
      <c r="X1057" s="339"/>
      <c r="Y1057" s="339"/>
      <c r="Z1057" s="339"/>
      <c r="AA1057" s="2702" t="s">
        <v>0</v>
      </c>
      <c r="AB1057" s="2702"/>
      <c r="AC1057" s="339"/>
      <c r="AD1057" s="339"/>
      <c r="AE1057" s="339"/>
      <c r="AF1057" s="339"/>
    </row>
    <row r="1058" spans="1:32" s="597" customFormat="1" ht="18" customHeight="1" x14ac:dyDescent="0.2">
      <c r="A1058" s="2703" t="s">
        <v>1</v>
      </c>
      <c r="B1058" s="2703"/>
      <c r="C1058" s="2703"/>
      <c r="D1058" s="2703"/>
      <c r="E1058" s="2703"/>
      <c r="F1058" s="2703"/>
      <c r="G1058" s="2703"/>
      <c r="H1058" s="2703"/>
      <c r="I1058" s="2703"/>
      <c r="J1058" s="2703"/>
      <c r="K1058" s="2703"/>
      <c r="L1058" s="2703"/>
      <c r="M1058" s="2703"/>
      <c r="N1058" s="2703"/>
      <c r="O1058" s="2703"/>
      <c r="P1058" s="2703"/>
      <c r="Q1058" s="2703"/>
      <c r="R1058" s="2703"/>
      <c r="S1058" s="2703"/>
      <c r="T1058" s="2703"/>
      <c r="U1058" s="2703"/>
      <c r="V1058" s="2703"/>
      <c r="W1058" s="2703"/>
      <c r="X1058" s="2703"/>
      <c r="Y1058" s="2703"/>
      <c r="Z1058" s="2703"/>
      <c r="AA1058" s="2703"/>
      <c r="AB1058" s="2703"/>
      <c r="AC1058" s="344"/>
      <c r="AD1058" s="344"/>
      <c r="AE1058" s="344"/>
      <c r="AF1058" s="344"/>
    </row>
    <row r="1059" spans="1:32" s="597" customFormat="1" ht="18" customHeight="1" x14ac:dyDescent="0.2">
      <c r="A1059" s="2704" t="s">
        <v>579</v>
      </c>
      <c r="B1059" s="2704"/>
      <c r="C1059" s="2704"/>
      <c r="D1059" s="2704"/>
      <c r="E1059" s="2704"/>
      <c r="F1059" s="2704"/>
      <c r="G1059" s="2704"/>
      <c r="H1059" s="2704"/>
      <c r="I1059" s="2704"/>
      <c r="J1059" s="2704"/>
      <c r="K1059" s="2704"/>
      <c r="L1059" s="2704"/>
      <c r="M1059" s="2704"/>
      <c r="N1059" s="2704"/>
      <c r="O1059" s="2704"/>
      <c r="P1059" s="2704"/>
      <c r="Q1059" s="2704"/>
      <c r="R1059" s="2704"/>
      <c r="S1059" s="2704"/>
      <c r="T1059" s="2704"/>
      <c r="U1059" s="2704"/>
      <c r="V1059" s="2704"/>
      <c r="W1059" s="2704"/>
      <c r="X1059" s="2704"/>
      <c r="Y1059" s="2704"/>
      <c r="Z1059" s="2704"/>
      <c r="AA1059" s="2704"/>
      <c r="AB1059" s="2704"/>
      <c r="AC1059" s="599"/>
      <c r="AD1059" s="599"/>
      <c r="AE1059" s="599"/>
      <c r="AF1059" s="599"/>
    </row>
    <row r="1060" spans="1:32" s="597" customFormat="1" ht="14.1" customHeight="1" x14ac:dyDescent="0.2">
      <c r="A1060" s="2686" t="s">
        <v>2</v>
      </c>
      <c r="B1060" s="360"/>
      <c r="C1060" s="2686" t="s">
        <v>3</v>
      </c>
      <c r="D1060" s="360"/>
      <c r="E1060" s="360"/>
      <c r="F1060" s="2693" t="s">
        <v>4</v>
      </c>
      <c r="G1060" s="2693"/>
      <c r="H1060" s="2693"/>
      <c r="I1060" s="2694"/>
      <c r="J1060" s="2694"/>
      <c r="K1060" s="2695"/>
      <c r="L1060" s="361"/>
      <c r="M1060" s="2679" t="s">
        <v>5</v>
      </c>
      <c r="N1060" s="2679"/>
      <c r="O1060" s="2679"/>
      <c r="P1060" s="2679"/>
      <c r="Q1060" s="2696"/>
      <c r="R1060" s="2696"/>
      <c r="S1060" s="2696"/>
      <c r="T1060" s="2696"/>
      <c r="U1060" s="2696"/>
      <c r="V1060" s="2697"/>
      <c r="W1060" s="362" t="s">
        <v>6</v>
      </c>
      <c r="X1060" s="363" t="s">
        <v>7</v>
      </c>
      <c r="Y1060" s="364"/>
      <c r="Z1060" s="364"/>
      <c r="AA1060" s="363"/>
      <c r="AB1060" s="365"/>
      <c r="AC1060" s="516" t="s">
        <v>8</v>
      </c>
      <c r="AD1060" s="346"/>
      <c r="AE1060" s="346"/>
      <c r="AF1060" s="600"/>
    </row>
    <row r="1061" spans="1:32" s="597" customFormat="1" ht="14.1" customHeight="1" x14ac:dyDescent="0.2">
      <c r="A1061" s="2687"/>
      <c r="B1061" s="367"/>
      <c r="C1061" s="2687"/>
      <c r="D1061" s="2062" t="s">
        <v>9</v>
      </c>
      <c r="E1061" s="368" t="s">
        <v>10</v>
      </c>
      <c r="F1061" s="2698" t="s">
        <v>11</v>
      </c>
      <c r="G1061" s="2694"/>
      <c r="H1061" s="2695"/>
      <c r="I1061" s="360"/>
      <c r="J1061" s="369" t="s">
        <v>12</v>
      </c>
      <c r="K1061" s="360"/>
      <c r="L1061" s="2679" t="s">
        <v>2</v>
      </c>
      <c r="M1061" s="2067"/>
      <c r="N1061" s="2067"/>
      <c r="O1061" s="2067"/>
      <c r="P1061" s="371"/>
      <c r="Q1061" s="372" t="s">
        <v>13</v>
      </c>
      <c r="R1061" s="373" t="s">
        <v>12</v>
      </c>
      <c r="S1061" s="2067" t="s">
        <v>6</v>
      </c>
      <c r="T1061" s="2682" t="s">
        <v>14</v>
      </c>
      <c r="U1061" s="2683"/>
      <c r="V1061" s="375" t="s">
        <v>7</v>
      </c>
      <c r="W1061" s="376" t="s">
        <v>15</v>
      </c>
      <c r="X1061" s="377" t="s">
        <v>16</v>
      </c>
      <c r="Y1061" s="377" t="s">
        <v>17</v>
      </c>
      <c r="Z1061" s="377" t="s">
        <v>18</v>
      </c>
      <c r="AA1061" s="377"/>
      <c r="AB1061" s="378" t="s">
        <v>19</v>
      </c>
      <c r="AC1061" s="528" t="s">
        <v>20</v>
      </c>
      <c r="AD1061" s="601"/>
      <c r="AE1061" s="347" t="s">
        <v>21</v>
      </c>
      <c r="AF1061" s="340" t="s">
        <v>22</v>
      </c>
    </row>
    <row r="1062" spans="1:32" s="597" customFormat="1" ht="14.1" customHeight="1" x14ac:dyDescent="0.2">
      <c r="A1062" s="2687"/>
      <c r="B1062" s="2062" t="s">
        <v>23</v>
      </c>
      <c r="C1062" s="2687"/>
      <c r="D1062" s="2062" t="s">
        <v>24</v>
      </c>
      <c r="E1062" s="368" t="s">
        <v>25</v>
      </c>
      <c r="F1062" s="2699"/>
      <c r="G1062" s="2700"/>
      <c r="H1062" s="2701"/>
      <c r="I1062" s="2062" t="s">
        <v>26</v>
      </c>
      <c r="J1062" s="379" t="s">
        <v>15</v>
      </c>
      <c r="K1062" s="2066" t="s">
        <v>6</v>
      </c>
      <c r="L1062" s="2680"/>
      <c r="M1062" s="2068" t="s">
        <v>27</v>
      </c>
      <c r="N1062" s="2068" t="s">
        <v>10</v>
      </c>
      <c r="O1062" s="382" t="s">
        <v>10</v>
      </c>
      <c r="P1062" s="383" t="s">
        <v>28</v>
      </c>
      <c r="Q1062" s="384" t="s">
        <v>29</v>
      </c>
      <c r="R1062" s="383" t="s">
        <v>15</v>
      </c>
      <c r="S1062" s="385" t="s">
        <v>15</v>
      </c>
      <c r="T1062" s="2684"/>
      <c r="U1062" s="2685"/>
      <c r="V1062" s="375" t="s">
        <v>30</v>
      </c>
      <c r="W1062" s="376" t="s">
        <v>31</v>
      </c>
      <c r="X1062" s="377" t="s">
        <v>30</v>
      </c>
      <c r="Y1062" s="377" t="s">
        <v>32</v>
      </c>
      <c r="Z1062" s="377" t="s">
        <v>7</v>
      </c>
      <c r="AA1062" s="377" t="s">
        <v>33</v>
      </c>
      <c r="AB1062" s="378" t="s">
        <v>34</v>
      </c>
      <c r="AC1062" s="528" t="s">
        <v>35</v>
      </c>
      <c r="AD1062" s="347" t="s">
        <v>36</v>
      </c>
      <c r="AE1062" s="347" t="s">
        <v>37</v>
      </c>
      <c r="AF1062" s="340" t="s">
        <v>38</v>
      </c>
    </row>
    <row r="1063" spans="1:32" s="597" customFormat="1" ht="14.1" customHeight="1" x14ac:dyDescent="0.2">
      <c r="A1063" s="2687"/>
      <c r="B1063" s="2062" t="s">
        <v>39</v>
      </c>
      <c r="C1063" s="2687"/>
      <c r="D1063" s="2062" t="s">
        <v>40</v>
      </c>
      <c r="E1063" s="368" t="s">
        <v>41</v>
      </c>
      <c r="F1063" s="2686" t="s">
        <v>42</v>
      </c>
      <c r="G1063" s="2686" t="s">
        <v>43</v>
      </c>
      <c r="H1063" s="2688" t="s">
        <v>44</v>
      </c>
      <c r="I1063" s="2062" t="s">
        <v>45</v>
      </c>
      <c r="J1063" s="379" t="s">
        <v>46</v>
      </c>
      <c r="K1063" s="2066" t="s">
        <v>47</v>
      </c>
      <c r="L1063" s="2680"/>
      <c r="M1063" s="2068" t="s">
        <v>30</v>
      </c>
      <c r="N1063" s="2068" t="s">
        <v>30</v>
      </c>
      <c r="O1063" s="382" t="s">
        <v>25</v>
      </c>
      <c r="P1063" s="383" t="s">
        <v>30</v>
      </c>
      <c r="Q1063" s="384" t="s">
        <v>48</v>
      </c>
      <c r="R1063" s="383" t="s">
        <v>49</v>
      </c>
      <c r="S1063" s="385" t="s">
        <v>30</v>
      </c>
      <c r="T1063" s="386" t="s">
        <v>50</v>
      </c>
      <c r="U1063" s="2065" t="s">
        <v>13</v>
      </c>
      <c r="V1063" s="375" t="s">
        <v>51</v>
      </c>
      <c r="W1063" s="376" t="s">
        <v>52</v>
      </c>
      <c r="X1063" s="377" t="s">
        <v>53</v>
      </c>
      <c r="Y1063" s="377" t="s">
        <v>54</v>
      </c>
      <c r="Z1063" s="377" t="s">
        <v>55</v>
      </c>
      <c r="AA1063" s="377" t="s">
        <v>56</v>
      </c>
      <c r="AB1063" s="378" t="s">
        <v>57</v>
      </c>
      <c r="AC1063" s="347" t="s">
        <v>58</v>
      </c>
      <c r="AD1063" s="347" t="s">
        <v>59</v>
      </c>
      <c r="AE1063" s="347" t="s">
        <v>59</v>
      </c>
      <c r="AF1063" s="340" t="s">
        <v>60</v>
      </c>
    </row>
    <row r="1064" spans="1:32" s="597" customFormat="1" ht="14.1" customHeight="1" x14ac:dyDescent="0.2">
      <c r="A1064" s="2687"/>
      <c r="B1064" s="2062" t="s">
        <v>61</v>
      </c>
      <c r="C1064" s="2687"/>
      <c r="D1064" s="2062" t="s">
        <v>62</v>
      </c>
      <c r="E1064" s="368" t="s">
        <v>63</v>
      </c>
      <c r="F1064" s="2687"/>
      <c r="G1064" s="2687"/>
      <c r="H1064" s="2689"/>
      <c r="I1064" s="2062" t="s">
        <v>64</v>
      </c>
      <c r="J1064" s="379" t="s">
        <v>59</v>
      </c>
      <c r="K1064" s="2066" t="s">
        <v>59</v>
      </c>
      <c r="L1064" s="2680"/>
      <c r="M1064" s="2068"/>
      <c r="N1064" s="2068"/>
      <c r="O1064" s="382" t="s">
        <v>41</v>
      </c>
      <c r="P1064" s="383" t="s">
        <v>65</v>
      </c>
      <c r="Q1064" s="384" t="s">
        <v>66</v>
      </c>
      <c r="R1064" s="383" t="s">
        <v>67</v>
      </c>
      <c r="S1064" s="385" t="s">
        <v>59</v>
      </c>
      <c r="T1064" s="387" t="s">
        <v>68</v>
      </c>
      <c r="U1064" s="375" t="s">
        <v>14</v>
      </c>
      <c r="V1064" s="375" t="s">
        <v>14</v>
      </c>
      <c r="W1064" s="376" t="s">
        <v>30</v>
      </c>
      <c r="X1064" s="388" t="s">
        <v>69</v>
      </c>
      <c r="Y1064" s="388" t="s">
        <v>70</v>
      </c>
      <c r="Z1064" s="377" t="s">
        <v>71</v>
      </c>
      <c r="AA1064" s="377" t="s">
        <v>72</v>
      </c>
      <c r="AB1064" s="378" t="s">
        <v>59</v>
      </c>
      <c r="AC1064" s="347" t="s">
        <v>59</v>
      </c>
      <c r="AD1064" s="347"/>
      <c r="AE1064" s="347"/>
      <c r="AF1064" s="340" t="s">
        <v>59</v>
      </c>
    </row>
    <row r="1065" spans="1:32" s="597" customFormat="1" ht="14.1" customHeight="1" x14ac:dyDescent="0.2">
      <c r="A1065" s="2692"/>
      <c r="B1065" s="390"/>
      <c r="C1065" s="2692"/>
      <c r="D1065" s="390"/>
      <c r="E1065" s="2063"/>
      <c r="F1065" s="390"/>
      <c r="G1065" s="390"/>
      <c r="H1065" s="391"/>
      <c r="I1065" s="2063"/>
      <c r="J1065" s="392"/>
      <c r="K1065" s="393"/>
      <c r="L1065" s="2681"/>
      <c r="M1065" s="2069"/>
      <c r="N1065" s="2069"/>
      <c r="O1065" s="2069" t="s">
        <v>63</v>
      </c>
      <c r="P1065" s="395"/>
      <c r="Q1065" s="396" t="s">
        <v>72</v>
      </c>
      <c r="R1065" s="397" t="s">
        <v>59</v>
      </c>
      <c r="S1065" s="398"/>
      <c r="T1065" s="397" t="s">
        <v>73</v>
      </c>
      <c r="U1065" s="398" t="s">
        <v>59</v>
      </c>
      <c r="V1065" s="399" t="s">
        <v>59</v>
      </c>
      <c r="W1065" s="400" t="s">
        <v>59</v>
      </c>
      <c r="X1065" s="401" t="s">
        <v>59</v>
      </c>
      <c r="Y1065" s="401" t="s">
        <v>59</v>
      </c>
      <c r="Z1065" s="401" t="s">
        <v>59</v>
      </c>
      <c r="AA1065" s="402"/>
      <c r="AB1065" s="403"/>
      <c r="AC1065" s="348"/>
      <c r="AD1065" s="348"/>
      <c r="AE1065" s="348"/>
      <c r="AF1065" s="341"/>
    </row>
    <row r="1066" spans="1:32" s="597" customFormat="1" ht="18" customHeight="1" x14ac:dyDescent="0.25">
      <c r="A1066" s="27">
        <v>1</v>
      </c>
      <c r="B1066" s="988">
        <v>44754</v>
      </c>
      <c r="C1066" s="27">
        <v>792</v>
      </c>
      <c r="D1066" s="27" t="s">
        <v>83</v>
      </c>
      <c r="E1066" s="27">
        <v>5</v>
      </c>
      <c r="F1066" s="27">
        <v>5</v>
      </c>
      <c r="G1066" s="804">
        <v>1</v>
      </c>
      <c r="H1066" s="291">
        <v>51.7</v>
      </c>
      <c r="I1066" s="305">
        <f t="shared" ref="I1066" si="46">F1066*400+G1066*100+H1066</f>
        <v>2151.6999999999998</v>
      </c>
      <c r="J1066" s="1368">
        <v>1300</v>
      </c>
      <c r="K1066" s="297">
        <f>+I1066*J1066</f>
        <v>2797209.9999999995</v>
      </c>
      <c r="L1066" s="15"/>
      <c r="M1066" s="15"/>
      <c r="N1066" s="15"/>
      <c r="O1066" s="15"/>
      <c r="P1066" s="22"/>
      <c r="Q1066" s="25"/>
      <c r="R1066" s="1369"/>
      <c r="S1066" s="306"/>
      <c r="T1066" s="1370"/>
      <c r="U1066" s="813"/>
      <c r="V1066" s="306"/>
      <c r="W1066" s="296"/>
      <c r="X1066" s="296"/>
      <c r="Y1066" s="564"/>
      <c r="Z1066" s="296">
        <v>0</v>
      </c>
      <c r="AA1066" s="670"/>
      <c r="AB1066" s="465">
        <f>+Z1066*AA1066/100</f>
        <v>0</v>
      </c>
      <c r="AC1066" s="602"/>
      <c r="AD1066" s="603">
        <f>AB1066-AC1066</f>
        <v>0</v>
      </c>
      <c r="AE1066" s="603">
        <f>IF(AD1066&lt;=0,0,AD1066*25/100)</f>
        <v>0</v>
      </c>
      <c r="AF1066" s="603">
        <f>IF(AC1066+AE1066&gt;AB1066,AB1066,AC1066+AE1066)</f>
        <v>0</v>
      </c>
    </row>
    <row r="1067" spans="1:32" s="597" customFormat="1" ht="18" customHeight="1" x14ac:dyDescent="0.25">
      <c r="A1067" s="15"/>
      <c r="B1067" s="1392"/>
      <c r="C1067" s="21"/>
      <c r="D1067" s="27"/>
      <c r="E1067" s="27">
        <v>2</v>
      </c>
      <c r="F1067" s="27">
        <v>2</v>
      </c>
      <c r="G1067" s="804">
        <v>0</v>
      </c>
      <c r="H1067" s="291">
        <v>0</v>
      </c>
      <c r="I1067" s="305">
        <f>F1067*400+G1067*100+H1067</f>
        <v>800</v>
      </c>
      <c r="J1067" s="1368">
        <v>1300</v>
      </c>
      <c r="K1067" s="297">
        <f>+I1067*J1067</f>
        <v>1040000</v>
      </c>
      <c r="L1067" s="15">
        <v>1</v>
      </c>
      <c r="M1067" s="15">
        <v>103</v>
      </c>
      <c r="N1067" s="15" t="s">
        <v>74</v>
      </c>
      <c r="O1067" s="15">
        <v>2</v>
      </c>
      <c r="P1067" s="22">
        <v>224</v>
      </c>
      <c r="Q1067" s="25" t="s">
        <v>75</v>
      </c>
      <c r="R1067" s="1369">
        <v>9050</v>
      </c>
      <c r="S1067" s="306">
        <f>+P1067*R1067</f>
        <v>2027200</v>
      </c>
      <c r="T1067" s="1370">
        <v>15</v>
      </c>
      <c r="U1067" s="813">
        <f>+S1067*0.2</f>
        <v>405440</v>
      </c>
      <c r="V1067" s="306">
        <f>+S1067-U1067</f>
        <v>1621760</v>
      </c>
      <c r="W1067" s="296">
        <f>+K1067+V1067+V1068</f>
        <v>2674696</v>
      </c>
      <c r="X1067" s="296">
        <f t="shared" ref="X1067:X1068" si="47">W1067</f>
        <v>2674696</v>
      </c>
      <c r="Y1067" s="564" t="s">
        <v>87</v>
      </c>
      <c r="Z1067" s="296">
        <v>0</v>
      </c>
      <c r="AA1067" s="670">
        <v>0.02</v>
      </c>
      <c r="AB1067" s="466"/>
      <c r="AC1067" s="350"/>
      <c r="AD1067" s="350"/>
      <c r="AE1067" s="350"/>
      <c r="AF1067" s="350"/>
    </row>
    <row r="1068" spans="1:32" s="597" customFormat="1" ht="18" customHeight="1" x14ac:dyDescent="0.25">
      <c r="A1068" s="15"/>
      <c r="B1068" s="325"/>
      <c r="C1068" s="21"/>
      <c r="D1068" s="15"/>
      <c r="E1068" s="27"/>
      <c r="F1068" s="27"/>
      <c r="G1068" s="804"/>
      <c r="H1068" s="291"/>
      <c r="I1068" s="305"/>
      <c r="J1068" s="1368"/>
      <c r="K1068" s="297"/>
      <c r="L1068" s="15">
        <v>2</v>
      </c>
      <c r="M1068" s="15">
        <v>101</v>
      </c>
      <c r="N1068" s="15" t="s">
        <v>82</v>
      </c>
      <c r="O1068" s="15">
        <v>2</v>
      </c>
      <c r="P1068" s="22">
        <v>24</v>
      </c>
      <c r="Q1068" s="25" t="s">
        <v>75</v>
      </c>
      <c r="R1068" s="1369">
        <v>7700</v>
      </c>
      <c r="S1068" s="306">
        <f>+P1068*R1068</f>
        <v>184800</v>
      </c>
      <c r="T1068" s="1370">
        <v>41</v>
      </c>
      <c r="U1068" s="813">
        <f>+S1068*93/100</f>
        <v>171864</v>
      </c>
      <c r="V1068" s="306">
        <f>+S1068-U1068</f>
        <v>12936</v>
      </c>
      <c r="W1068" s="296">
        <f>+K1068+V1068+V1069</f>
        <v>12936</v>
      </c>
      <c r="X1068" s="296">
        <f t="shared" si="47"/>
        <v>12936</v>
      </c>
      <c r="Y1068" s="564"/>
      <c r="Z1068" s="296">
        <f>X1068</f>
        <v>12936</v>
      </c>
      <c r="AA1068" s="670">
        <v>0.02</v>
      </c>
      <c r="AB1068" s="466">
        <f>Z1068*AA1068/100</f>
        <v>2.5872000000000002</v>
      </c>
      <c r="AC1068" s="350"/>
      <c r="AD1068" s="350"/>
      <c r="AE1068" s="350"/>
      <c r="AF1068" s="350"/>
    </row>
    <row r="1069" spans="1:32" s="597" customFormat="1" ht="18" customHeight="1" x14ac:dyDescent="0.25">
      <c r="A1069" s="15"/>
      <c r="B1069" s="325"/>
      <c r="C1069" s="21"/>
      <c r="D1069" s="15"/>
      <c r="E1069" s="15">
        <v>1</v>
      </c>
      <c r="F1069" s="15">
        <v>3</v>
      </c>
      <c r="G1069" s="807">
        <v>1</v>
      </c>
      <c r="H1069" s="22">
        <v>51.7</v>
      </c>
      <c r="I1069" s="305">
        <f t="shared" ref="I1069:I1071" si="48">F1069*400+G1069*100+H1069</f>
        <v>1351.7</v>
      </c>
      <c r="J1069" s="1368">
        <v>1300</v>
      </c>
      <c r="K1069" s="297">
        <f>+I1069*J1069</f>
        <v>1757210</v>
      </c>
      <c r="L1069" s="15"/>
      <c r="M1069" s="15"/>
      <c r="N1069" s="15"/>
      <c r="O1069" s="15">
        <v>1</v>
      </c>
      <c r="P1069" s="22"/>
      <c r="Q1069" s="25"/>
      <c r="R1069" s="1369"/>
      <c r="S1069" s="306"/>
      <c r="T1069" s="1370"/>
      <c r="U1069" s="813"/>
      <c r="V1069" s="306"/>
      <c r="W1069" s="296">
        <f>+K1069</f>
        <v>1757210</v>
      </c>
      <c r="X1069" s="296">
        <f>+W1069</f>
        <v>1757210</v>
      </c>
      <c r="Y1069" s="564" t="s">
        <v>87</v>
      </c>
      <c r="Z1069" s="296">
        <v>0</v>
      </c>
      <c r="AA1069" s="670">
        <v>0.01</v>
      </c>
      <c r="AB1069" s="466"/>
      <c r="AC1069" s="350"/>
      <c r="AD1069" s="350"/>
      <c r="AE1069" s="350"/>
      <c r="AF1069" s="350"/>
    </row>
    <row r="1070" spans="1:32" s="597" customFormat="1" ht="18" customHeight="1" x14ac:dyDescent="0.25">
      <c r="A1070" s="15">
        <v>2</v>
      </c>
      <c r="B1070" s="325">
        <v>2609</v>
      </c>
      <c r="C1070" s="21">
        <v>498</v>
      </c>
      <c r="D1070" s="15" t="s">
        <v>91</v>
      </c>
      <c r="E1070" s="15">
        <v>1</v>
      </c>
      <c r="F1070" s="15">
        <v>6</v>
      </c>
      <c r="G1070" s="15">
        <v>0</v>
      </c>
      <c r="H1070" s="22">
        <v>64</v>
      </c>
      <c r="I1070" s="305">
        <f t="shared" si="48"/>
        <v>2464</v>
      </c>
      <c r="J1070" s="1368">
        <v>600</v>
      </c>
      <c r="K1070" s="297">
        <f>+I1070*J1070</f>
        <v>1478400</v>
      </c>
      <c r="L1070" s="15"/>
      <c r="M1070" s="15"/>
      <c r="N1070" s="15"/>
      <c r="O1070" s="15">
        <v>1</v>
      </c>
      <c r="P1070" s="22"/>
      <c r="Q1070" s="25"/>
      <c r="R1070" s="1369"/>
      <c r="S1070" s="306"/>
      <c r="T1070" s="1370"/>
      <c r="U1070" s="813"/>
      <c r="V1070" s="306"/>
      <c r="W1070" s="296">
        <f>+K1070</f>
        <v>1478400</v>
      </c>
      <c r="X1070" s="296">
        <f>+W1070</f>
        <v>1478400</v>
      </c>
      <c r="Y1070" s="564" t="s">
        <v>87</v>
      </c>
      <c r="Z1070" s="296"/>
      <c r="AA1070" s="670">
        <v>0.01</v>
      </c>
      <c r="AB1070" s="466"/>
      <c r="AC1070" s="350"/>
      <c r="AD1070" s="350"/>
      <c r="AE1070" s="350"/>
      <c r="AF1070" s="350"/>
    </row>
    <row r="1071" spans="1:32" s="597" customFormat="1" ht="18" customHeight="1" x14ac:dyDescent="0.25">
      <c r="A1071" s="15">
        <v>3</v>
      </c>
      <c r="B1071" s="325">
        <v>2652</v>
      </c>
      <c r="C1071" s="21">
        <v>304</v>
      </c>
      <c r="D1071" s="15" t="s">
        <v>86</v>
      </c>
      <c r="E1071" s="15">
        <v>1</v>
      </c>
      <c r="F1071" s="15">
        <v>4</v>
      </c>
      <c r="G1071" s="15">
        <v>0</v>
      </c>
      <c r="H1071" s="22">
        <v>72</v>
      </c>
      <c r="I1071" s="305">
        <f t="shared" si="48"/>
        <v>1672</v>
      </c>
      <c r="J1071" s="1368">
        <v>300</v>
      </c>
      <c r="K1071" s="297">
        <f>+I1071*J1071</f>
        <v>501600</v>
      </c>
      <c r="L1071" s="15"/>
      <c r="M1071" s="15"/>
      <c r="N1071" s="15"/>
      <c r="O1071" s="15">
        <v>1</v>
      </c>
      <c r="P1071" s="22"/>
      <c r="Q1071" s="25"/>
      <c r="R1071" s="1369"/>
      <c r="S1071" s="306"/>
      <c r="T1071" s="1370"/>
      <c r="U1071" s="813"/>
      <c r="V1071" s="306"/>
      <c r="W1071" s="296">
        <f>+K1071</f>
        <v>501600</v>
      </c>
      <c r="X1071" s="296">
        <f>+W1071</f>
        <v>501600</v>
      </c>
      <c r="Y1071" s="564" t="s">
        <v>87</v>
      </c>
      <c r="Z1071" s="296"/>
      <c r="AA1071" s="670">
        <v>0.01</v>
      </c>
      <c r="AB1071" s="466"/>
      <c r="AC1071" s="350"/>
      <c r="AD1071" s="350"/>
      <c r="AE1071" s="350"/>
      <c r="AF1071" s="350"/>
    </row>
    <row r="1072" spans="1:32" s="597" customFormat="1" ht="18" customHeight="1" x14ac:dyDescent="0.2">
      <c r="A1072" s="2070"/>
      <c r="B1072" s="1088"/>
      <c r="C1072" s="177"/>
      <c r="D1072" s="2070"/>
      <c r="E1072" s="2070"/>
      <c r="F1072" s="2070"/>
      <c r="G1072" s="2070"/>
      <c r="H1072" s="2076"/>
      <c r="I1072" s="2072"/>
      <c r="J1072" s="178"/>
      <c r="K1072" s="2072"/>
      <c r="L1072" s="2070"/>
      <c r="M1072" s="2070"/>
      <c r="N1072" s="2070"/>
      <c r="O1072" s="2070"/>
      <c r="P1072" s="2076"/>
      <c r="Q1072" s="2071"/>
      <c r="R1072" s="437"/>
      <c r="S1072" s="2072"/>
      <c r="T1072" s="179"/>
      <c r="U1072" s="178"/>
      <c r="V1072" s="2072"/>
      <c r="W1072" s="2072"/>
      <c r="X1072" s="470"/>
      <c r="Y1072" s="470"/>
      <c r="Z1072" s="471"/>
      <c r="AA1072" s="764"/>
      <c r="AB1072" s="466"/>
      <c r="AC1072" s="350"/>
      <c r="AD1072" s="350"/>
      <c r="AE1072" s="350"/>
      <c r="AF1072" s="350"/>
    </row>
    <row r="1073" spans="1:32" s="597" customFormat="1" ht="18" customHeight="1" x14ac:dyDescent="0.2">
      <c r="A1073" s="2070"/>
      <c r="B1073" s="177"/>
      <c r="C1073" s="177"/>
      <c r="D1073" s="2070"/>
      <c r="E1073" s="2070"/>
      <c r="F1073" s="2070"/>
      <c r="G1073" s="2070"/>
      <c r="H1073" s="2076"/>
      <c r="I1073" s="2072"/>
      <c r="J1073" s="178"/>
      <c r="K1073" s="2072"/>
      <c r="L1073" s="2070"/>
      <c r="M1073" s="2070"/>
      <c r="N1073" s="2070"/>
      <c r="O1073" s="2070"/>
      <c r="P1073" s="2076"/>
      <c r="Q1073" s="2071"/>
      <c r="R1073" s="437"/>
      <c r="S1073" s="2072"/>
      <c r="T1073" s="179"/>
      <c r="U1073" s="178"/>
      <c r="V1073" s="2072"/>
      <c r="W1073" s="2072"/>
      <c r="X1073" s="470"/>
      <c r="Y1073" s="470"/>
      <c r="Z1073" s="471"/>
      <c r="AA1073" s="764"/>
      <c r="AB1073" s="466"/>
      <c r="AC1073" s="350"/>
      <c r="AD1073" s="350"/>
      <c r="AE1073" s="350"/>
      <c r="AF1073" s="350"/>
    </row>
    <row r="1074" spans="1:32" s="597" customFormat="1" ht="18" customHeight="1" x14ac:dyDescent="0.2">
      <c r="A1074" s="2070"/>
      <c r="B1074" s="177"/>
      <c r="C1074" s="177"/>
      <c r="D1074" s="2070"/>
      <c r="E1074" s="2070"/>
      <c r="F1074" s="2070"/>
      <c r="G1074" s="2070"/>
      <c r="H1074" s="2076"/>
      <c r="I1074" s="2072"/>
      <c r="J1074" s="178"/>
      <c r="K1074" s="2072"/>
      <c r="L1074" s="2070"/>
      <c r="M1074" s="2070"/>
      <c r="N1074" s="2070"/>
      <c r="O1074" s="2070"/>
      <c r="P1074" s="2076"/>
      <c r="Q1074" s="2071"/>
      <c r="R1074" s="437"/>
      <c r="S1074" s="2072"/>
      <c r="T1074" s="179"/>
      <c r="U1074" s="178"/>
      <c r="V1074" s="2072"/>
      <c r="W1074" s="2072"/>
      <c r="X1074" s="470"/>
      <c r="Y1074" s="470"/>
      <c r="Z1074" s="471"/>
      <c r="AA1074" s="764"/>
      <c r="AB1074" s="466"/>
      <c r="AC1074" s="350"/>
      <c r="AD1074" s="350"/>
      <c r="AE1074" s="350"/>
      <c r="AF1074" s="350"/>
    </row>
    <row r="1075" spans="1:32" s="597" customFormat="1" ht="18" customHeight="1" x14ac:dyDescent="0.2">
      <c r="A1075" s="2070"/>
      <c r="B1075" s="177"/>
      <c r="C1075" s="177"/>
      <c r="D1075" s="2070"/>
      <c r="E1075" s="2070"/>
      <c r="F1075" s="2070"/>
      <c r="G1075" s="2070"/>
      <c r="H1075" s="2076"/>
      <c r="I1075" s="2072"/>
      <c r="J1075" s="178"/>
      <c r="K1075" s="2072"/>
      <c r="L1075" s="2070"/>
      <c r="M1075" s="2070"/>
      <c r="N1075" s="2070"/>
      <c r="O1075" s="2070"/>
      <c r="P1075" s="2076"/>
      <c r="Q1075" s="2071"/>
      <c r="R1075" s="437"/>
      <c r="S1075" s="2072"/>
      <c r="T1075" s="179"/>
      <c r="U1075" s="178"/>
      <c r="V1075" s="2072"/>
      <c r="W1075" s="2072"/>
      <c r="X1075" s="470"/>
      <c r="Y1075" s="470"/>
      <c r="Z1075" s="471"/>
      <c r="AA1075" s="764"/>
      <c r="AB1075" s="466"/>
      <c r="AC1075" s="350"/>
      <c r="AD1075" s="350"/>
      <c r="AE1075" s="350"/>
      <c r="AF1075" s="350"/>
    </row>
    <row r="1076" spans="1:32" s="597" customFormat="1" ht="18" customHeight="1" x14ac:dyDescent="0.2">
      <c r="A1076" s="2070"/>
      <c r="B1076" s="177"/>
      <c r="C1076" s="177"/>
      <c r="D1076" s="2070"/>
      <c r="E1076" s="2070"/>
      <c r="F1076" s="2070"/>
      <c r="G1076" s="2070"/>
      <c r="H1076" s="2076"/>
      <c r="I1076" s="2072"/>
      <c r="J1076" s="178"/>
      <c r="K1076" s="2072"/>
      <c r="L1076" s="2070"/>
      <c r="M1076" s="2070"/>
      <c r="N1076" s="2070"/>
      <c r="O1076" s="2070"/>
      <c r="P1076" s="2076"/>
      <c r="Q1076" s="2071"/>
      <c r="R1076" s="437"/>
      <c r="S1076" s="2072"/>
      <c r="T1076" s="179"/>
      <c r="U1076" s="178"/>
      <c r="V1076" s="2072"/>
      <c r="W1076" s="2072"/>
      <c r="X1076" s="470"/>
      <c r="Y1076" s="470"/>
      <c r="Z1076" s="471"/>
      <c r="AA1076" s="764"/>
      <c r="AB1076" s="466"/>
      <c r="AC1076" s="350"/>
      <c r="AD1076" s="350"/>
      <c r="AE1076" s="350"/>
      <c r="AF1076" s="350"/>
    </row>
    <row r="1077" spans="1:32" s="597" customFormat="1" ht="18" customHeight="1" x14ac:dyDescent="0.2">
      <c r="A1077" s="2070"/>
      <c r="B1077" s="177"/>
      <c r="C1077" s="177"/>
      <c r="D1077" s="2070"/>
      <c r="E1077" s="2070"/>
      <c r="F1077" s="2070"/>
      <c r="G1077" s="2070"/>
      <c r="H1077" s="2076"/>
      <c r="I1077" s="2072"/>
      <c r="J1077" s="178"/>
      <c r="K1077" s="2072"/>
      <c r="L1077" s="2070"/>
      <c r="M1077" s="2070"/>
      <c r="N1077" s="2070"/>
      <c r="O1077" s="2070"/>
      <c r="P1077" s="2076"/>
      <c r="Q1077" s="2071"/>
      <c r="R1077" s="437"/>
      <c r="S1077" s="2072"/>
      <c r="T1077" s="179"/>
      <c r="U1077" s="178"/>
      <c r="V1077" s="2072"/>
      <c r="W1077" s="2072"/>
      <c r="X1077" s="470"/>
      <c r="Y1077" s="470"/>
      <c r="Z1077" s="471"/>
      <c r="AA1077" s="764"/>
      <c r="AB1077" s="466"/>
      <c r="AC1077" s="350"/>
      <c r="AD1077" s="350"/>
      <c r="AE1077" s="350"/>
      <c r="AF1077" s="350"/>
    </row>
    <row r="1078" spans="1:32" s="597" customFormat="1" ht="18" customHeight="1" x14ac:dyDescent="0.2">
      <c r="A1078" s="2070"/>
      <c r="B1078" s="177"/>
      <c r="C1078" s="177"/>
      <c r="D1078" s="2070"/>
      <c r="E1078" s="2070"/>
      <c r="F1078" s="2070"/>
      <c r="G1078" s="2070"/>
      <c r="H1078" s="2076"/>
      <c r="I1078" s="2072"/>
      <c r="J1078" s="178"/>
      <c r="K1078" s="2072"/>
      <c r="L1078" s="2070"/>
      <c r="M1078" s="2070"/>
      <c r="N1078" s="2070"/>
      <c r="O1078" s="2070"/>
      <c r="P1078" s="2076"/>
      <c r="Q1078" s="2071"/>
      <c r="R1078" s="437"/>
      <c r="S1078" s="2072"/>
      <c r="T1078" s="179"/>
      <c r="U1078" s="178"/>
      <c r="V1078" s="2072"/>
      <c r="W1078" s="2072"/>
      <c r="X1078" s="470"/>
      <c r="Y1078" s="470"/>
      <c r="Z1078" s="471"/>
      <c r="AA1078" s="764"/>
      <c r="AB1078" s="466"/>
      <c r="AC1078" s="350"/>
      <c r="AD1078" s="350"/>
      <c r="AE1078" s="350"/>
      <c r="AF1078" s="350"/>
    </row>
    <row r="1079" spans="1:32" s="597" customFormat="1" ht="18" customHeight="1" x14ac:dyDescent="0.2">
      <c r="A1079" s="2070"/>
      <c r="B1079" s="177"/>
      <c r="C1079" s="177"/>
      <c r="D1079" s="2070"/>
      <c r="E1079" s="2070"/>
      <c r="F1079" s="2070"/>
      <c r="G1079" s="2070"/>
      <c r="H1079" s="2076"/>
      <c r="I1079" s="2072"/>
      <c r="J1079" s="178"/>
      <c r="K1079" s="2072"/>
      <c r="L1079" s="2070"/>
      <c r="M1079" s="2070"/>
      <c r="N1079" s="2070"/>
      <c r="O1079" s="2070"/>
      <c r="P1079" s="2076"/>
      <c r="Q1079" s="2071"/>
      <c r="R1079" s="437"/>
      <c r="S1079" s="2072"/>
      <c r="T1079" s="179"/>
      <c r="U1079" s="178"/>
      <c r="V1079" s="2072"/>
      <c r="W1079" s="2072"/>
      <c r="X1079" s="470"/>
      <c r="Y1079" s="470"/>
      <c r="Z1079" s="471"/>
      <c r="AA1079" s="764"/>
      <c r="AB1079" s="466"/>
      <c r="AC1079" s="350"/>
      <c r="AD1079" s="350"/>
      <c r="AE1079" s="350"/>
      <c r="AF1079" s="350"/>
    </row>
    <row r="1080" spans="1:32" s="597" customFormat="1" ht="18" customHeight="1" x14ac:dyDescent="0.2">
      <c r="A1080" s="2070"/>
      <c r="B1080" s="177"/>
      <c r="C1080" s="177"/>
      <c r="D1080" s="2070"/>
      <c r="E1080" s="2070"/>
      <c r="F1080" s="2070"/>
      <c r="G1080" s="2070"/>
      <c r="H1080" s="2076"/>
      <c r="I1080" s="2072"/>
      <c r="J1080" s="178"/>
      <c r="K1080" s="2072"/>
      <c r="L1080" s="2070"/>
      <c r="M1080" s="2070"/>
      <c r="N1080" s="2070"/>
      <c r="O1080" s="2070"/>
      <c r="P1080" s="2076"/>
      <c r="Q1080" s="2071"/>
      <c r="R1080" s="437"/>
      <c r="S1080" s="2072"/>
      <c r="T1080" s="179"/>
      <c r="U1080" s="178"/>
      <c r="V1080" s="2072"/>
      <c r="W1080" s="2072"/>
      <c r="X1080" s="470"/>
      <c r="Y1080" s="470"/>
      <c r="Z1080" s="471"/>
      <c r="AA1080" s="764"/>
      <c r="AB1080" s="466"/>
      <c r="AC1080" s="350"/>
      <c r="AD1080" s="350"/>
      <c r="AE1080" s="350"/>
      <c r="AF1080" s="350"/>
    </row>
    <row r="1081" spans="1:32" s="597" customFormat="1" ht="18" customHeight="1" x14ac:dyDescent="0.2">
      <c r="A1081" s="2070"/>
      <c r="B1081" s="177"/>
      <c r="C1081" s="177"/>
      <c r="D1081" s="2070"/>
      <c r="E1081" s="2070"/>
      <c r="F1081" s="2070"/>
      <c r="G1081" s="2070"/>
      <c r="H1081" s="2076"/>
      <c r="I1081" s="2072"/>
      <c r="J1081" s="178"/>
      <c r="K1081" s="2072"/>
      <c r="L1081" s="2070"/>
      <c r="M1081" s="2070"/>
      <c r="N1081" s="2070"/>
      <c r="O1081" s="2070"/>
      <c r="P1081" s="2076"/>
      <c r="Q1081" s="2071"/>
      <c r="R1081" s="437"/>
      <c r="S1081" s="2072"/>
      <c r="T1081" s="179"/>
      <c r="U1081" s="178"/>
      <c r="V1081" s="2072"/>
      <c r="W1081" s="2072"/>
      <c r="X1081" s="470"/>
      <c r="Y1081" s="470"/>
      <c r="Z1081" s="471"/>
      <c r="AA1081" s="764"/>
      <c r="AB1081" s="466"/>
      <c r="AC1081" s="350"/>
      <c r="AD1081" s="350"/>
      <c r="AE1081" s="350"/>
      <c r="AF1081" s="350"/>
    </row>
    <row r="1082" spans="1:32" s="597" customFormat="1" ht="18" customHeight="1" x14ac:dyDescent="0.2">
      <c r="A1082" s="2070"/>
      <c r="B1082" s="177"/>
      <c r="C1082" s="177"/>
      <c r="D1082" s="2070"/>
      <c r="E1082" s="2070"/>
      <c r="F1082" s="2070"/>
      <c r="G1082" s="2070"/>
      <c r="H1082" s="2076"/>
      <c r="I1082" s="2072"/>
      <c r="J1082" s="178"/>
      <c r="K1082" s="2072"/>
      <c r="L1082" s="2070"/>
      <c r="M1082" s="2070"/>
      <c r="N1082" s="2070"/>
      <c r="O1082" s="2070"/>
      <c r="P1082" s="2076"/>
      <c r="Q1082" s="2071"/>
      <c r="R1082" s="437"/>
      <c r="S1082" s="2072"/>
      <c r="T1082" s="179"/>
      <c r="U1082" s="178"/>
      <c r="V1082" s="2072"/>
      <c r="W1082" s="2072"/>
      <c r="X1082" s="470"/>
      <c r="Y1082" s="470"/>
      <c r="Z1082" s="471"/>
      <c r="AA1082" s="764"/>
      <c r="AB1082" s="466"/>
      <c r="AC1082" s="350"/>
      <c r="AD1082" s="350"/>
      <c r="AE1082" s="350"/>
      <c r="AF1082" s="350"/>
    </row>
    <row r="1083" spans="1:32" s="597" customFormat="1" ht="18" customHeight="1" x14ac:dyDescent="0.2">
      <c r="A1083" s="88"/>
      <c r="B1083" s="180"/>
      <c r="C1083" s="180"/>
      <c r="D1083" s="88"/>
      <c r="E1083" s="88"/>
      <c r="F1083" s="88"/>
      <c r="G1083" s="88"/>
      <c r="H1083" s="120"/>
      <c r="I1083" s="121"/>
      <c r="J1083" s="181"/>
      <c r="K1083" s="121"/>
      <c r="L1083" s="88"/>
      <c r="M1083" s="88"/>
      <c r="N1083" s="88"/>
      <c r="O1083" s="88"/>
      <c r="P1083" s="88"/>
      <c r="Q1083" s="129"/>
      <c r="R1083" s="445"/>
      <c r="S1083" s="121"/>
      <c r="T1083" s="182"/>
      <c r="U1083" s="181"/>
      <c r="V1083" s="121"/>
      <c r="W1083" s="121"/>
      <c r="X1083" s="472"/>
      <c r="Y1083" s="472"/>
      <c r="Z1083" s="473"/>
      <c r="AA1083" s="780"/>
      <c r="AB1083" s="410"/>
      <c r="AC1083" s="351"/>
      <c r="AD1083" s="351"/>
      <c r="AE1083" s="351"/>
      <c r="AF1083" s="351"/>
    </row>
    <row r="1084" spans="1:32" s="597" customFormat="1" ht="18" customHeight="1" x14ac:dyDescent="0.2">
      <c r="A1084" s="1850"/>
      <c r="B1084" s="1850"/>
      <c r="C1084" s="1850"/>
      <c r="D1084" s="1850"/>
      <c r="E1084" s="1850"/>
      <c r="F1084" s="1850"/>
      <c r="G1084" s="1850"/>
      <c r="H1084" s="1851"/>
      <c r="I1084" s="1852"/>
      <c r="J1084" s="1853"/>
      <c r="K1084" s="1852"/>
      <c r="L1084" s="1852"/>
      <c r="M1084" s="1852"/>
      <c r="N1084" s="1852"/>
      <c r="O1084" s="1852"/>
      <c r="P1084" s="1852"/>
      <c r="Q1084" s="1852"/>
      <c r="R1084" s="1854"/>
      <c r="S1084" s="1852"/>
      <c r="T1084" s="1855"/>
      <c r="U1084" s="1853"/>
      <c r="V1084" s="1852"/>
      <c r="W1084" s="1852"/>
      <c r="X1084" s="1856"/>
      <c r="Y1084" s="1856"/>
      <c r="Z1084" s="1857"/>
      <c r="AA1084" s="2125"/>
      <c r="AB1084" s="1847">
        <f>SUM(AB1066:AB1083)</f>
        <v>2.5872000000000002</v>
      </c>
      <c r="AC1084" s="1861"/>
      <c r="AD1084" s="1861"/>
      <c r="AE1084" s="1861"/>
      <c r="AF1084" s="1861"/>
    </row>
    <row r="1085" spans="1:32" s="597" customFormat="1" ht="14.1" customHeight="1" x14ac:dyDescent="0.2">
      <c r="A1085" s="2690" t="s">
        <v>76</v>
      </c>
      <c r="B1085" s="2690"/>
      <c r="C1085" s="2691" t="s">
        <v>77</v>
      </c>
      <c r="D1085" s="2691"/>
      <c r="E1085" s="2691"/>
      <c r="F1085" s="2691"/>
      <c r="G1085" s="2691"/>
      <c r="H1085" s="2691"/>
      <c r="I1085" s="604" t="s">
        <v>78</v>
      </c>
      <c r="J1085" s="604"/>
      <c r="K1085" s="604"/>
      <c r="L1085" s="604"/>
      <c r="M1085" s="604"/>
      <c r="N1085" s="604"/>
      <c r="AA1085" s="767"/>
      <c r="AB1085" s="598"/>
    </row>
    <row r="1086" spans="1:32" s="597" customFormat="1" ht="14.1" customHeight="1" x14ac:dyDescent="0.2">
      <c r="A1086" s="604"/>
      <c r="B1086" s="605"/>
      <c r="C1086" s="604"/>
      <c r="D1086" s="604"/>
      <c r="E1086" s="604"/>
      <c r="F1086" s="604"/>
      <c r="G1086" s="604"/>
      <c r="H1086" s="604"/>
      <c r="I1086" s="604" t="s">
        <v>79</v>
      </c>
      <c r="J1086" s="604"/>
      <c r="K1086" s="604"/>
      <c r="L1086" s="604"/>
      <c r="M1086" s="604"/>
      <c r="N1086" s="604"/>
      <c r="AA1086" s="767"/>
      <c r="AB1086" s="598"/>
    </row>
    <row r="1087" spans="1:32" s="597" customFormat="1" ht="14.1" customHeight="1" x14ac:dyDescent="0.2">
      <c r="A1087" s="604"/>
      <c r="B1087" s="605"/>
      <c r="C1087" s="604"/>
      <c r="D1087" s="604"/>
      <c r="E1087" s="604"/>
      <c r="F1087" s="604"/>
      <c r="G1087" s="604"/>
      <c r="H1087" s="604"/>
      <c r="I1087" s="604" t="s">
        <v>80</v>
      </c>
      <c r="J1087" s="604"/>
      <c r="K1087" s="604"/>
      <c r="L1087" s="604"/>
      <c r="M1087" s="604"/>
      <c r="N1087" s="604"/>
      <c r="AA1087" s="767"/>
      <c r="AB1087" s="598"/>
    </row>
    <row r="1088" spans="1:32" s="597" customFormat="1" ht="14.1" customHeight="1" x14ac:dyDescent="0.2">
      <c r="A1088" s="604"/>
      <c r="B1088" s="605"/>
      <c r="C1088" s="604"/>
      <c r="D1088" s="604"/>
      <c r="E1088" s="604"/>
      <c r="F1088" s="604"/>
      <c r="G1088" s="604"/>
      <c r="H1088" s="604"/>
      <c r="I1088" s="604" t="s">
        <v>81</v>
      </c>
      <c r="J1088" s="604"/>
      <c r="K1088" s="604"/>
      <c r="L1088" s="604"/>
      <c r="M1088" s="604"/>
      <c r="N1088" s="604"/>
      <c r="AA1088" s="767"/>
      <c r="AB1088" s="598"/>
    </row>
    <row r="1089" spans="1:33" s="597" customFormat="1" ht="14.1" customHeight="1" x14ac:dyDescent="0.2">
      <c r="A1089" s="604"/>
      <c r="B1089" s="605"/>
      <c r="C1089" s="604"/>
      <c r="D1089" s="604"/>
      <c r="E1089" s="604"/>
      <c r="F1089" s="604"/>
      <c r="G1089" s="604"/>
      <c r="H1089" s="604"/>
      <c r="I1089" s="604" t="s">
        <v>88</v>
      </c>
      <c r="J1089" s="604"/>
      <c r="K1089" s="604"/>
      <c r="L1089" s="604"/>
      <c r="M1089" s="604"/>
      <c r="N1089" s="604"/>
      <c r="AA1089" s="767"/>
      <c r="AB1089" s="598"/>
    </row>
    <row r="1090" spans="1:33" s="844" customFormat="1" ht="18.75" x14ac:dyDescent="0.2">
      <c r="A1090" s="822"/>
      <c r="B1090" s="822"/>
      <c r="C1090" s="822"/>
      <c r="D1090" s="822"/>
      <c r="E1090" s="822"/>
      <c r="F1090" s="822"/>
      <c r="G1090" s="822"/>
      <c r="H1090" s="822"/>
      <c r="I1090" s="822"/>
      <c r="J1090" s="822"/>
      <c r="K1090" s="822"/>
      <c r="L1090" s="822"/>
      <c r="M1090" s="822"/>
      <c r="N1090" s="822"/>
      <c r="O1090" s="822"/>
      <c r="P1090" s="822"/>
      <c r="Q1090" s="822"/>
      <c r="R1090" s="822"/>
      <c r="S1090" s="822"/>
      <c r="T1090" s="822"/>
      <c r="U1090" s="822"/>
      <c r="V1090" s="822"/>
      <c r="W1090" s="822"/>
      <c r="X1090" s="822"/>
      <c r="Y1090" s="822"/>
      <c r="Z1090" s="822"/>
      <c r="AA1090" s="2739" t="s">
        <v>0</v>
      </c>
      <c r="AB1090" s="2739"/>
    </row>
    <row r="1091" spans="1:33" s="844" customFormat="1" ht="18.75" x14ac:dyDescent="0.2">
      <c r="A1091" s="2707" t="s">
        <v>1</v>
      </c>
      <c r="B1091" s="2707"/>
      <c r="C1091" s="2707"/>
      <c r="D1091" s="2707"/>
      <c r="E1091" s="2707"/>
      <c r="F1091" s="2707"/>
      <c r="G1091" s="2707"/>
      <c r="H1091" s="2707"/>
      <c r="I1091" s="2707"/>
      <c r="J1091" s="2707"/>
      <c r="K1091" s="2707"/>
      <c r="L1091" s="2707"/>
      <c r="M1091" s="2707"/>
      <c r="N1091" s="2707"/>
      <c r="O1091" s="2707"/>
      <c r="P1091" s="2707"/>
      <c r="Q1091" s="2707"/>
      <c r="R1091" s="2707"/>
      <c r="S1091" s="2707"/>
      <c r="T1091" s="2707"/>
      <c r="U1091" s="2707"/>
      <c r="V1091" s="2707"/>
      <c r="W1091" s="2707"/>
      <c r="X1091" s="2707"/>
      <c r="Y1091" s="2707"/>
      <c r="Z1091" s="2707"/>
      <c r="AA1091" s="2707"/>
      <c r="AB1091" s="2707"/>
    </row>
    <row r="1092" spans="1:33" s="844" customFormat="1" ht="18.75" x14ac:dyDescent="0.2">
      <c r="A1092" s="2708" t="s">
        <v>571</v>
      </c>
      <c r="B1092" s="2708"/>
      <c r="C1092" s="2708"/>
      <c r="D1092" s="2708"/>
      <c r="E1092" s="2708"/>
      <c r="F1092" s="2708"/>
      <c r="G1092" s="2708"/>
      <c r="H1092" s="2708"/>
      <c r="I1092" s="2708"/>
      <c r="J1092" s="2708"/>
      <c r="K1092" s="2708"/>
      <c r="L1092" s="2708"/>
      <c r="M1092" s="2708"/>
      <c r="N1092" s="2708"/>
      <c r="O1092" s="2708"/>
      <c r="P1092" s="2708"/>
      <c r="Q1092" s="2708"/>
      <c r="R1092" s="2708"/>
      <c r="S1092" s="2708"/>
      <c r="T1092" s="2708"/>
      <c r="U1092" s="2708"/>
      <c r="V1092" s="2708"/>
      <c r="W1092" s="2708"/>
      <c r="X1092" s="2708"/>
      <c r="Y1092" s="2708"/>
      <c r="Z1092" s="2708"/>
      <c r="AA1092" s="2708"/>
      <c r="AB1092" s="2708"/>
    </row>
    <row r="1093" spans="1:33" s="844" customFormat="1" x14ac:dyDescent="0.2">
      <c r="A1093" s="2709" t="s">
        <v>2</v>
      </c>
      <c r="B1093" s="160"/>
      <c r="C1093" s="2709" t="s">
        <v>3</v>
      </c>
      <c r="D1093" s="160"/>
      <c r="E1093" s="160"/>
      <c r="F1093" s="2712" t="s">
        <v>4</v>
      </c>
      <c r="G1093" s="2712"/>
      <c r="H1093" s="2712"/>
      <c r="I1093" s="2713"/>
      <c r="J1093" s="2713"/>
      <c r="K1093" s="2714"/>
      <c r="L1093" s="2"/>
      <c r="M1093" s="2715" t="s">
        <v>5</v>
      </c>
      <c r="N1093" s="2715"/>
      <c r="O1093" s="2715"/>
      <c r="P1093" s="2715"/>
      <c r="Q1093" s="2716"/>
      <c r="R1093" s="2716"/>
      <c r="S1093" s="2716"/>
      <c r="T1093" s="2716"/>
      <c r="U1093" s="2716"/>
      <c r="V1093" s="2717"/>
      <c r="W1093" s="161" t="s">
        <v>6</v>
      </c>
      <c r="X1093" s="162" t="s">
        <v>7</v>
      </c>
      <c r="Y1093" s="163"/>
      <c r="Z1093" s="163"/>
      <c r="AA1093" s="162"/>
      <c r="AB1093" s="206"/>
    </row>
    <row r="1094" spans="1:33" s="844" customFormat="1" x14ac:dyDescent="0.2">
      <c r="A1094" s="2710"/>
      <c r="B1094" s="4"/>
      <c r="C1094" s="2710"/>
      <c r="D1094" s="2057" t="s">
        <v>9</v>
      </c>
      <c r="E1094" s="207" t="s">
        <v>10</v>
      </c>
      <c r="F1094" s="2718" t="s">
        <v>11</v>
      </c>
      <c r="G1094" s="2713"/>
      <c r="H1094" s="2714"/>
      <c r="I1094" s="160"/>
      <c r="J1094" s="208" t="s">
        <v>12</v>
      </c>
      <c r="K1094" s="160"/>
      <c r="L1094" s="2715" t="s">
        <v>2</v>
      </c>
      <c r="M1094" s="141"/>
      <c r="N1094" s="141"/>
      <c r="O1094" s="141"/>
      <c r="P1094" s="164"/>
      <c r="Q1094" s="209" t="s">
        <v>13</v>
      </c>
      <c r="R1094" s="210" t="s">
        <v>12</v>
      </c>
      <c r="S1094" s="141" t="s">
        <v>6</v>
      </c>
      <c r="T1094" s="2724" t="s">
        <v>14</v>
      </c>
      <c r="U1094" s="2725"/>
      <c r="V1094" s="165" t="s">
        <v>7</v>
      </c>
      <c r="W1094" s="166" t="s">
        <v>15</v>
      </c>
      <c r="X1094" s="5" t="s">
        <v>16</v>
      </c>
      <c r="Y1094" s="5" t="s">
        <v>17</v>
      </c>
      <c r="Z1094" s="5" t="s">
        <v>18</v>
      </c>
      <c r="AA1094" s="377"/>
      <c r="AB1094" s="378" t="s">
        <v>19</v>
      </c>
      <c r="AC1094" s="597"/>
      <c r="AD1094" s="597"/>
      <c r="AE1094" s="597"/>
      <c r="AF1094" s="597"/>
    </row>
    <row r="1095" spans="1:33" s="844" customFormat="1" x14ac:dyDescent="0.2">
      <c r="A1095" s="2710"/>
      <c r="B1095" s="2057" t="s">
        <v>23</v>
      </c>
      <c r="C1095" s="2710"/>
      <c r="D1095" s="2057" t="s">
        <v>24</v>
      </c>
      <c r="E1095" s="207" t="s">
        <v>25</v>
      </c>
      <c r="F1095" s="2719"/>
      <c r="G1095" s="2720"/>
      <c r="H1095" s="2721"/>
      <c r="I1095" s="2057" t="s">
        <v>26</v>
      </c>
      <c r="J1095" s="211" t="s">
        <v>15</v>
      </c>
      <c r="K1095" s="2060" t="s">
        <v>6</v>
      </c>
      <c r="L1095" s="2722"/>
      <c r="M1095" s="142" t="s">
        <v>27</v>
      </c>
      <c r="N1095" s="142" t="s">
        <v>10</v>
      </c>
      <c r="O1095" s="212" t="s">
        <v>10</v>
      </c>
      <c r="P1095" s="213" t="s">
        <v>28</v>
      </c>
      <c r="Q1095" s="214" t="s">
        <v>29</v>
      </c>
      <c r="R1095" s="213" t="s">
        <v>15</v>
      </c>
      <c r="S1095" s="8" t="s">
        <v>15</v>
      </c>
      <c r="T1095" s="2726"/>
      <c r="U1095" s="2727"/>
      <c r="V1095" s="165" t="s">
        <v>30</v>
      </c>
      <c r="W1095" s="166" t="s">
        <v>31</v>
      </c>
      <c r="X1095" s="5" t="s">
        <v>30</v>
      </c>
      <c r="Y1095" s="5" t="s">
        <v>32</v>
      </c>
      <c r="Z1095" s="5" t="s">
        <v>7</v>
      </c>
      <c r="AA1095" s="377" t="s">
        <v>33</v>
      </c>
      <c r="AB1095" s="378" t="s">
        <v>34</v>
      </c>
      <c r="AC1095" s="597"/>
      <c r="AD1095" s="597"/>
      <c r="AE1095" s="597"/>
      <c r="AF1095" s="597"/>
    </row>
    <row r="1096" spans="1:33" s="844" customFormat="1" x14ac:dyDescent="0.2">
      <c r="A1096" s="2710"/>
      <c r="B1096" s="2057" t="s">
        <v>39</v>
      </c>
      <c r="C1096" s="2710"/>
      <c r="D1096" s="2057" t="s">
        <v>40</v>
      </c>
      <c r="E1096" s="207" t="s">
        <v>41</v>
      </c>
      <c r="F1096" s="2709" t="s">
        <v>42</v>
      </c>
      <c r="G1096" s="2709" t="s">
        <v>43</v>
      </c>
      <c r="H1096" s="2728" t="s">
        <v>44</v>
      </c>
      <c r="I1096" s="2057" t="s">
        <v>45</v>
      </c>
      <c r="J1096" s="211" t="s">
        <v>46</v>
      </c>
      <c r="K1096" s="2060" t="s">
        <v>47</v>
      </c>
      <c r="L1096" s="2722"/>
      <c r="M1096" s="142" t="s">
        <v>30</v>
      </c>
      <c r="N1096" s="142" t="s">
        <v>30</v>
      </c>
      <c r="O1096" s="212" t="s">
        <v>25</v>
      </c>
      <c r="P1096" s="213" t="s">
        <v>30</v>
      </c>
      <c r="Q1096" s="214" t="s">
        <v>48</v>
      </c>
      <c r="R1096" s="213" t="s">
        <v>49</v>
      </c>
      <c r="S1096" s="8" t="s">
        <v>30</v>
      </c>
      <c r="T1096" s="215" t="s">
        <v>50</v>
      </c>
      <c r="U1096" s="2059" t="s">
        <v>13</v>
      </c>
      <c r="V1096" s="165" t="s">
        <v>51</v>
      </c>
      <c r="W1096" s="166" t="s">
        <v>52</v>
      </c>
      <c r="X1096" s="5" t="s">
        <v>53</v>
      </c>
      <c r="Y1096" s="5" t="s">
        <v>54</v>
      </c>
      <c r="Z1096" s="5" t="s">
        <v>55</v>
      </c>
      <c r="AA1096" s="377" t="s">
        <v>56</v>
      </c>
      <c r="AB1096" s="378" t="s">
        <v>57</v>
      </c>
      <c r="AC1096" s="597"/>
      <c r="AD1096" s="597"/>
      <c r="AE1096" s="597"/>
      <c r="AF1096" s="597"/>
    </row>
    <row r="1097" spans="1:33" s="844" customFormat="1" x14ac:dyDescent="0.2">
      <c r="A1097" s="2710"/>
      <c r="B1097" s="2057" t="s">
        <v>61</v>
      </c>
      <c r="C1097" s="2710"/>
      <c r="D1097" s="2057" t="s">
        <v>62</v>
      </c>
      <c r="E1097" s="207" t="s">
        <v>63</v>
      </c>
      <c r="F1097" s="2710"/>
      <c r="G1097" s="2710"/>
      <c r="H1097" s="2729"/>
      <c r="I1097" s="2057" t="s">
        <v>64</v>
      </c>
      <c r="J1097" s="211" t="s">
        <v>59</v>
      </c>
      <c r="K1097" s="2060" t="s">
        <v>59</v>
      </c>
      <c r="L1097" s="2722"/>
      <c r="M1097" s="142"/>
      <c r="N1097" s="142"/>
      <c r="O1097" s="212" t="s">
        <v>41</v>
      </c>
      <c r="P1097" s="213" t="s">
        <v>65</v>
      </c>
      <c r="Q1097" s="214" t="s">
        <v>66</v>
      </c>
      <c r="R1097" s="213" t="s">
        <v>67</v>
      </c>
      <c r="S1097" s="8" t="s">
        <v>59</v>
      </c>
      <c r="T1097" s="216" t="s">
        <v>68</v>
      </c>
      <c r="U1097" s="165" t="s">
        <v>14</v>
      </c>
      <c r="V1097" s="165" t="s">
        <v>14</v>
      </c>
      <c r="W1097" s="166" t="s">
        <v>30</v>
      </c>
      <c r="X1097" s="167" t="s">
        <v>69</v>
      </c>
      <c r="Y1097" s="167" t="s">
        <v>70</v>
      </c>
      <c r="Z1097" s="5" t="s">
        <v>71</v>
      </c>
      <c r="AA1097" s="377" t="s">
        <v>72</v>
      </c>
      <c r="AB1097" s="378" t="s">
        <v>59</v>
      </c>
      <c r="AC1097" s="597"/>
      <c r="AD1097" s="597"/>
      <c r="AE1097" s="597"/>
      <c r="AF1097" s="597"/>
    </row>
    <row r="1098" spans="1:33" s="844" customFormat="1" x14ac:dyDescent="0.2">
      <c r="A1098" s="2711"/>
      <c r="B1098" s="9"/>
      <c r="C1098" s="2711"/>
      <c r="D1098" s="9"/>
      <c r="E1098" s="2058"/>
      <c r="F1098" s="9"/>
      <c r="G1098" s="9"/>
      <c r="H1098" s="10"/>
      <c r="I1098" s="2058"/>
      <c r="J1098" s="217"/>
      <c r="K1098" s="168"/>
      <c r="L1098" s="2723"/>
      <c r="M1098" s="143"/>
      <c r="N1098" s="143"/>
      <c r="O1098" s="143" t="s">
        <v>63</v>
      </c>
      <c r="P1098" s="218"/>
      <c r="Q1098" s="219" t="s">
        <v>72</v>
      </c>
      <c r="R1098" s="220" t="s">
        <v>59</v>
      </c>
      <c r="S1098" s="169"/>
      <c r="T1098" s="220" t="s">
        <v>73</v>
      </c>
      <c r="U1098" s="169" t="s">
        <v>59</v>
      </c>
      <c r="V1098" s="170" t="s">
        <v>59</v>
      </c>
      <c r="W1098" s="171" t="s">
        <v>59</v>
      </c>
      <c r="X1098" s="172" t="s">
        <v>59</v>
      </c>
      <c r="Y1098" s="172" t="s">
        <v>59</v>
      </c>
      <c r="Z1098" s="172" t="s">
        <v>59</v>
      </c>
      <c r="AA1098" s="402"/>
      <c r="AB1098" s="403"/>
      <c r="AC1098" s="597"/>
      <c r="AD1098" s="597"/>
      <c r="AE1098" s="597"/>
      <c r="AF1098" s="597"/>
    </row>
    <row r="1099" spans="1:33" s="844" customFormat="1" ht="18.75" x14ac:dyDescent="0.2">
      <c r="A1099" s="53">
        <v>1</v>
      </c>
      <c r="B1099" s="2172">
        <v>64716</v>
      </c>
      <c r="C1099" s="959">
        <v>1163</v>
      </c>
      <c r="D1099" s="51" t="s">
        <v>83</v>
      </c>
      <c r="E1099" s="154">
        <v>3</v>
      </c>
      <c r="F1099" s="51">
        <v>0</v>
      </c>
      <c r="G1099" s="51">
        <v>1</v>
      </c>
      <c r="H1099" s="51">
        <v>50.2</v>
      </c>
      <c r="I1099" s="70">
        <f>F1099*400+G1099*100+H1099</f>
        <v>150.19999999999999</v>
      </c>
      <c r="J1099" s="71">
        <v>1000</v>
      </c>
      <c r="K1099" s="78">
        <f>SUM(I1099*J1099)</f>
        <v>150200</v>
      </c>
      <c r="L1099" s="75"/>
      <c r="M1099" s="51"/>
      <c r="N1099" s="51"/>
      <c r="O1099" s="155"/>
      <c r="P1099" s="824"/>
      <c r="Q1099" s="156"/>
      <c r="R1099" s="157"/>
      <c r="S1099" s="123"/>
      <c r="T1099" s="51"/>
      <c r="U1099" s="204"/>
      <c r="V1099" s="70"/>
      <c r="W1099" s="123">
        <f>K1099+V1099</f>
        <v>150200</v>
      </c>
      <c r="X1099" s="70">
        <f>W1099</f>
        <v>150200</v>
      </c>
      <c r="Y1099" s="71"/>
      <c r="Z1099" s="123">
        <f>+X1099</f>
        <v>150200</v>
      </c>
      <c r="AA1099" s="2074">
        <v>0.3</v>
      </c>
      <c r="AB1099" s="406">
        <f>+Z1099*AA1099/100</f>
        <v>450.6</v>
      </c>
      <c r="AC1099" s="597"/>
      <c r="AD1099" s="597"/>
      <c r="AE1099" s="597"/>
      <c r="AF1099" s="597"/>
      <c r="AG1099" s="2174" t="s">
        <v>354</v>
      </c>
    </row>
    <row r="1100" spans="1:33" s="844" customFormat="1" x14ac:dyDescent="0.2">
      <c r="A1100" s="52"/>
      <c r="B1100" s="54"/>
      <c r="C1100" s="960"/>
      <c r="D1100" s="54"/>
      <c r="E1100" s="115"/>
      <c r="F1100" s="54"/>
      <c r="G1100" s="960"/>
      <c r="H1100" s="54"/>
      <c r="I1100" s="121"/>
      <c r="J1100" s="108"/>
      <c r="K1100" s="78"/>
      <c r="L1100" s="75"/>
      <c r="M1100" s="105"/>
      <c r="N1100" s="105"/>
      <c r="O1100" s="113"/>
      <c r="P1100" s="131"/>
      <c r="Q1100" s="132"/>
      <c r="R1100" s="133"/>
      <c r="S1100" s="2072"/>
      <c r="T1100" s="105"/>
      <c r="U1100" s="117"/>
      <c r="V1100" s="77"/>
      <c r="W1100" s="121"/>
      <c r="X1100" s="74"/>
      <c r="Y1100" s="117"/>
      <c r="Z1100" s="121"/>
      <c r="AA1100" s="2074"/>
      <c r="AB1100" s="410"/>
      <c r="AC1100" s="597"/>
      <c r="AD1100" s="597"/>
      <c r="AE1100" s="597"/>
      <c r="AF1100" s="597"/>
    </row>
    <row r="1101" spans="1:33" s="844" customFormat="1" x14ac:dyDescent="0.2">
      <c r="A1101" s="52"/>
      <c r="B1101" s="54"/>
      <c r="C1101" s="961"/>
      <c r="D1101" s="105"/>
      <c r="E1101" s="115"/>
      <c r="F1101" s="54"/>
      <c r="G1101" s="81"/>
      <c r="H1101" s="54"/>
      <c r="I1101" s="77"/>
      <c r="J1101" s="108"/>
      <c r="K1101" s="78"/>
      <c r="L1101" s="52"/>
      <c r="M1101" s="52"/>
      <c r="N1101" s="52"/>
      <c r="O1101" s="52"/>
      <c r="P1101" s="962"/>
      <c r="Q1101" s="963"/>
      <c r="R1101" s="964"/>
      <c r="S1101" s="965"/>
      <c r="T1101" s="966"/>
      <c r="U1101" s="965"/>
      <c r="V1101" s="965"/>
      <c r="W1101" s="2072"/>
      <c r="X1101" s="121"/>
      <c r="Y1101" s="108"/>
      <c r="Z1101" s="2072"/>
      <c r="AA1101" s="2074"/>
      <c r="AB1101" s="466"/>
      <c r="AC1101" s="597"/>
      <c r="AD1101" s="597"/>
      <c r="AE1101" s="597"/>
      <c r="AF1101" s="597"/>
    </row>
    <row r="1102" spans="1:33" s="844" customFormat="1" x14ac:dyDescent="0.2">
      <c r="A1102" s="2070"/>
      <c r="B1102" s="177"/>
      <c r="C1102" s="177"/>
      <c r="D1102" s="2070"/>
      <c r="E1102" s="2070"/>
      <c r="F1102" s="2070"/>
      <c r="G1102" s="2070"/>
      <c r="H1102" s="2076"/>
      <c r="I1102" s="2072"/>
      <c r="J1102" s="178"/>
      <c r="K1102" s="826"/>
      <c r="L1102" s="2070"/>
      <c r="M1102" s="2070"/>
      <c r="N1102" s="2070"/>
      <c r="O1102" s="2070"/>
      <c r="P1102" s="2076"/>
      <c r="Q1102" s="2071"/>
      <c r="R1102" s="827"/>
      <c r="S1102" s="826"/>
      <c r="T1102" s="179"/>
      <c r="U1102" s="828"/>
      <c r="V1102" s="826"/>
      <c r="W1102" s="826"/>
      <c r="X1102" s="829"/>
      <c r="Y1102" s="829"/>
      <c r="Z1102" s="830"/>
      <c r="AA1102" s="764"/>
      <c r="AB1102" s="466"/>
      <c r="AC1102" s="597"/>
      <c r="AD1102" s="597"/>
      <c r="AE1102" s="597"/>
      <c r="AF1102" s="597"/>
    </row>
    <row r="1103" spans="1:33" s="844" customFormat="1" x14ac:dyDescent="0.2">
      <c r="A1103" s="2070"/>
      <c r="B1103" s="177"/>
      <c r="C1103" s="177"/>
      <c r="D1103" s="2070"/>
      <c r="E1103" s="2070"/>
      <c r="F1103" s="2070"/>
      <c r="G1103" s="2070"/>
      <c r="H1103" s="2076"/>
      <c r="I1103" s="2072"/>
      <c r="J1103" s="178"/>
      <c r="K1103" s="826"/>
      <c r="L1103" s="2070"/>
      <c r="M1103" s="2070"/>
      <c r="N1103" s="2070"/>
      <c r="O1103" s="2070"/>
      <c r="P1103" s="2076"/>
      <c r="Q1103" s="2071"/>
      <c r="R1103" s="827"/>
      <c r="S1103" s="826"/>
      <c r="T1103" s="179"/>
      <c r="U1103" s="828"/>
      <c r="V1103" s="826"/>
      <c r="W1103" s="826"/>
      <c r="X1103" s="829"/>
      <c r="Y1103" s="829"/>
      <c r="Z1103" s="830"/>
      <c r="AA1103" s="764"/>
      <c r="AB1103" s="466"/>
      <c r="AC1103" s="597"/>
      <c r="AD1103" s="597"/>
      <c r="AE1103" s="597"/>
      <c r="AF1103" s="597"/>
    </row>
    <row r="1104" spans="1:33" s="844" customFormat="1" x14ac:dyDescent="0.2">
      <c r="A1104" s="2070"/>
      <c r="B1104" s="177"/>
      <c r="C1104" s="177"/>
      <c r="D1104" s="2070"/>
      <c r="E1104" s="2070"/>
      <c r="F1104" s="2070"/>
      <c r="G1104" s="2070"/>
      <c r="H1104" s="2076"/>
      <c r="I1104" s="2072"/>
      <c r="J1104" s="178"/>
      <c r="K1104" s="826"/>
      <c r="L1104" s="2070"/>
      <c r="M1104" s="2070"/>
      <c r="N1104" s="2070"/>
      <c r="O1104" s="2070"/>
      <c r="P1104" s="2076"/>
      <c r="Q1104" s="2071"/>
      <c r="R1104" s="827"/>
      <c r="S1104" s="826"/>
      <c r="T1104" s="179"/>
      <c r="U1104" s="828"/>
      <c r="V1104" s="826"/>
      <c r="W1104" s="826"/>
      <c r="X1104" s="829"/>
      <c r="Y1104" s="829"/>
      <c r="Z1104" s="830"/>
      <c r="AA1104" s="764"/>
      <c r="AB1104" s="466"/>
      <c r="AC1104" s="597"/>
      <c r="AD1104" s="597"/>
      <c r="AE1104" s="597"/>
      <c r="AF1104" s="597"/>
    </row>
    <row r="1105" spans="1:34" s="844" customFormat="1" x14ac:dyDescent="0.2">
      <c r="A1105" s="2091"/>
      <c r="B1105" s="177"/>
      <c r="C1105" s="177"/>
      <c r="D1105" s="2091"/>
      <c r="E1105" s="2091"/>
      <c r="F1105" s="2091"/>
      <c r="G1105" s="2091"/>
      <c r="H1105" s="2094"/>
      <c r="I1105" s="2092"/>
      <c r="J1105" s="178"/>
      <c r="K1105" s="826"/>
      <c r="L1105" s="2091"/>
      <c r="M1105" s="2091"/>
      <c r="N1105" s="2091"/>
      <c r="O1105" s="2091"/>
      <c r="P1105" s="2094"/>
      <c r="Q1105" s="2093"/>
      <c r="R1105" s="827"/>
      <c r="S1105" s="826"/>
      <c r="T1105" s="179"/>
      <c r="U1105" s="828"/>
      <c r="V1105" s="826"/>
      <c r="W1105" s="826"/>
      <c r="X1105" s="829"/>
      <c r="Y1105" s="829"/>
      <c r="Z1105" s="830"/>
      <c r="AA1105" s="764"/>
      <c r="AB1105" s="466"/>
      <c r="AC1105" s="597"/>
      <c r="AD1105" s="597"/>
      <c r="AE1105" s="597"/>
      <c r="AF1105" s="597"/>
    </row>
    <row r="1106" spans="1:34" s="844" customFormat="1" x14ac:dyDescent="0.2">
      <c r="A1106" s="2070"/>
      <c r="B1106" s="177"/>
      <c r="C1106" s="177"/>
      <c r="D1106" s="2070"/>
      <c r="E1106" s="2070"/>
      <c r="F1106" s="2070"/>
      <c r="G1106" s="2070"/>
      <c r="H1106" s="2076"/>
      <c r="I1106" s="2072"/>
      <c r="J1106" s="178"/>
      <c r="K1106" s="826"/>
      <c r="L1106" s="2070"/>
      <c r="M1106" s="2070"/>
      <c r="N1106" s="2070"/>
      <c r="O1106" s="2070"/>
      <c r="P1106" s="2076"/>
      <c r="Q1106" s="2071"/>
      <c r="R1106" s="827"/>
      <c r="S1106" s="826"/>
      <c r="T1106" s="179"/>
      <c r="U1106" s="828"/>
      <c r="V1106" s="826"/>
      <c r="W1106" s="826"/>
      <c r="X1106" s="829"/>
      <c r="Y1106" s="829"/>
      <c r="Z1106" s="830"/>
      <c r="AA1106" s="764"/>
      <c r="AB1106" s="466"/>
      <c r="AC1106" s="597"/>
      <c r="AD1106" s="597"/>
      <c r="AE1106" s="597"/>
      <c r="AF1106" s="597"/>
    </row>
    <row r="1107" spans="1:34" s="844" customFormat="1" x14ac:dyDescent="0.2">
      <c r="A1107" s="2070"/>
      <c r="B1107" s="177"/>
      <c r="C1107" s="177"/>
      <c r="D1107" s="2070"/>
      <c r="E1107" s="2070"/>
      <c r="F1107" s="2070"/>
      <c r="G1107" s="2070"/>
      <c r="H1107" s="2076"/>
      <c r="I1107" s="2072"/>
      <c r="J1107" s="178"/>
      <c r="K1107" s="826"/>
      <c r="L1107" s="2070"/>
      <c r="M1107" s="2070"/>
      <c r="N1107" s="2070"/>
      <c r="O1107" s="2070"/>
      <c r="P1107" s="2076"/>
      <c r="Q1107" s="2071"/>
      <c r="R1107" s="827"/>
      <c r="S1107" s="826"/>
      <c r="T1107" s="179"/>
      <c r="U1107" s="828"/>
      <c r="V1107" s="826"/>
      <c r="W1107" s="826"/>
      <c r="X1107" s="829"/>
      <c r="Y1107" s="829"/>
      <c r="Z1107" s="830"/>
      <c r="AA1107" s="764"/>
      <c r="AB1107" s="466"/>
      <c r="AC1107" s="597"/>
      <c r="AD1107" s="597"/>
      <c r="AE1107" s="597"/>
      <c r="AF1107" s="597"/>
    </row>
    <row r="1108" spans="1:34" s="844" customFormat="1" x14ac:dyDescent="0.2">
      <c r="A1108" s="2070"/>
      <c r="B1108" s="177"/>
      <c r="C1108" s="177"/>
      <c r="D1108" s="2070"/>
      <c r="E1108" s="2070"/>
      <c r="F1108" s="2070"/>
      <c r="G1108" s="2070"/>
      <c r="H1108" s="2076"/>
      <c r="I1108" s="2072"/>
      <c r="J1108" s="178"/>
      <c r="K1108" s="826"/>
      <c r="L1108" s="2070"/>
      <c r="M1108" s="2070"/>
      <c r="N1108" s="2070"/>
      <c r="O1108" s="2070"/>
      <c r="P1108" s="2076"/>
      <c r="Q1108" s="2071"/>
      <c r="R1108" s="827"/>
      <c r="S1108" s="826"/>
      <c r="T1108" s="179"/>
      <c r="U1108" s="828"/>
      <c r="V1108" s="826"/>
      <c r="W1108" s="826"/>
      <c r="X1108" s="829"/>
      <c r="Y1108" s="829"/>
      <c r="Z1108" s="830"/>
      <c r="AA1108" s="764"/>
      <c r="AB1108" s="466"/>
      <c r="AC1108" s="597"/>
      <c r="AD1108" s="597"/>
      <c r="AE1108" s="597"/>
      <c r="AF1108" s="597"/>
    </row>
    <row r="1109" spans="1:34" s="844" customFormat="1" x14ac:dyDescent="0.2">
      <c r="A1109" s="88"/>
      <c r="B1109" s="180"/>
      <c r="C1109" s="180"/>
      <c r="D1109" s="88"/>
      <c r="E1109" s="88"/>
      <c r="F1109" s="88"/>
      <c r="G1109" s="88"/>
      <c r="H1109" s="120"/>
      <c r="I1109" s="121"/>
      <c r="J1109" s="181"/>
      <c r="K1109" s="833"/>
      <c r="L1109" s="88"/>
      <c r="M1109" s="88"/>
      <c r="N1109" s="88"/>
      <c r="O1109" s="88"/>
      <c r="P1109" s="88"/>
      <c r="Q1109" s="129"/>
      <c r="R1109" s="834"/>
      <c r="S1109" s="833"/>
      <c r="T1109" s="182"/>
      <c r="U1109" s="835"/>
      <c r="V1109" s="833"/>
      <c r="W1109" s="833"/>
      <c r="X1109" s="836"/>
      <c r="Y1109" s="836"/>
      <c r="Z1109" s="837"/>
      <c r="AA1109" s="780"/>
      <c r="AB1109" s="410"/>
      <c r="AC1109" s="597"/>
      <c r="AD1109" s="597"/>
      <c r="AE1109" s="597"/>
      <c r="AF1109" s="597"/>
    </row>
    <row r="1110" spans="1:34" s="844" customFormat="1" x14ac:dyDescent="0.2">
      <c r="A1110" s="1850"/>
      <c r="B1110" s="1850"/>
      <c r="C1110" s="1850"/>
      <c r="D1110" s="1850"/>
      <c r="E1110" s="1850"/>
      <c r="F1110" s="1850"/>
      <c r="G1110" s="1850"/>
      <c r="H1110" s="1851"/>
      <c r="I1110" s="1852"/>
      <c r="J1110" s="1853"/>
      <c r="K1110" s="1929"/>
      <c r="L1110" s="1929"/>
      <c r="M1110" s="1929"/>
      <c r="N1110" s="1929"/>
      <c r="O1110" s="1929"/>
      <c r="P1110" s="1929"/>
      <c r="Q1110" s="1929"/>
      <c r="R1110" s="1930"/>
      <c r="S1110" s="1929"/>
      <c r="T1110" s="1855"/>
      <c r="U1110" s="1931"/>
      <c r="V1110" s="1929"/>
      <c r="W1110" s="1929"/>
      <c r="X1110" s="1932"/>
      <c r="Y1110" s="1932"/>
      <c r="Z1110" s="1933"/>
      <c r="AA1110" s="2173"/>
      <c r="AB1110" s="1847">
        <f>SUM(AB1099:AB1109)</f>
        <v>450.6</v>
      </c>
      <c r="AC1110" s="597"/>
      <c r="AD1110" s="597"/>
      <c r="AE1110" s="597"/>
      <c r="AF1110" s="597"/>
    </row>
    <row r="1111" spans="1:34" s="844" customFormat="1" ht="15.75" x14ac:dyDescent="0.2">
      <c r="A1111" s="2730" t="s">
        <v>76</v>
      </c>
      <c r="B1111" s="2730"/>
      <c r="C1111" s="2731" t="s">
        <v>77</v>
      </c>
      <c r="D1111" s="2731"/>
      <c r="E1111" s="2731"/>
      <c r="F1111" s="2731"/>
      <c r="G1111" s="2731"/>
      <c r="H1111" s="2731"/>
      <c r="I1111" s="843" t="s">
        <v>78</v>
      </c>
      <c r="J1111" s="843"/>
      <c r="K1111" s="843"/>
      <c r="L1111" s="843"/>
      <c r="M1111" s="843"/>
      <c r="N1111" s="843"/>
      <c r="AA1111" s="968"/>
      <c r="AB1111" s="845"/>
    </row>
    <row r="1112" spans="1:34" s="844" customFormat="1" ht="15.75" x14ac:dyDescent="0.2">
      <c r="A1112" s="843"/>
      <c r="B1112" s="846"/>
      <c r="C1112" s="843"/>
      <c r="D1112" s="843"/>
      <c r="E1112" s="843"/>
      <c r="F1112" s="843"/>
      <c r="G1112" s="843"/>
      <c r="H1112" s="843"/>
      <c r="I1112" s="843" t="s">
        <v>79</v>
      </c>
      <c r="J1112" s="843"/>
      <c r="K1112" s="843"/>
      <c r="L1112" s="843"/>
      <c r="M1112" s="843"/>
      <c r="N1112" s="843"/>
      <c r="AA1112" s="968"/>
      <c r="AB1112" s="845"/>
    </row>
    <row r="1113" spans="1:34" s="844" customFormat="1" ht="15.75" x14ac:dyDescent="0.2">
      <c r="A1113" s="843"/>
      <c r="B1113" s="846"/>
      <c r="C1113" s="843"/>
      <c r="D1113" s="843"/>
      <c r="E1113" s="843"/>
      <c r="F1113" s="843"/>
      <c r="G1113" s="843"/>
      <c r="H1113" s="843"/>
      <c r="I1113" s="843" t="s">
        <v>80</v>
      </c>
      <c r="J1113" s="843"/>
      <c r="K1113" s="843"/>
      <c r="L1113" s="843"/>
      <c r="M1113" s="843"/>
      <c r="N1113" s="843"/>
      <c r="AA1113" s="968"/>
      <c r="AB1113" s="845"/>
    </row>
    <row r="1114" spans="1:34" s="844" customFormat="1" ht="15.75" x14ac:dyDescent="0.2">
      <c r="A1114" s="843"/>
      <c r="B1114" s="846"/>
      <c r="C1114" s="843"/>
      <c r="D1114" s="843"/>
      <c r="E1114" s="843"/>
      <c r="F1114" s="843"/>
      <c r="G1114" s="843"/>
      <c r="H1114" s="843"/>
      <c r="I1114" s="843" t="s">
        <v>81</v>
      </c>
      <c r="J1114" s="843"/>
      <c r="K1114" s="843"/>
      <c r="L1114" s="843"/>
      <c r="M1114" s="843"/>
      <c r="N1114" s="843"/>
      <c r="AA1114" s="968"/>
      <c r="AB1114" s="845"/>
    </row>
    <row r="1115" spans="1:34" s="844" customFormat="1" ht="15.75" x14ac:dyDescent="0.2">
      <c r="A1115" s="843"/>
      <c r="B1115" s="846"/>
      <c r="C1115" s="843"/>
      <c r="D1115" s="843"/>
      <c r="E1115" s="843"/>
      <c r="F1115" s="843"/>
      <c r="G1115" s="843"/>
      <c r="H1115" s="843"/>
      <c r="I1115" s="843" t="s">
        <v>88</v>
      </c>
      <c r="J1115" s="843"/>
      <c r="K1115" s="843"/>
      <c r="L1115" s="843"/>
      <c r="M1115" s="843"/>
      <c r="N1115" s="843"/>
      <c r="AA1115" s="968"/>
      <c r="AB1115" s="845"/>
    </row>
    <row r="1116" spans="1:34" s="597" customFormat="1" ht="18" customHeight="1" x14ac:dyDescent="0.2">
      <c r="A1116" s="339"/>
      <c r="B1116" s="339"/>
      <c r="C1116" s="339"/>
      <c r="D1116" s="339"/>
      <c r="E1116" s="339"/>
      <c r="F1116" s="339"/>
      <c r="G1116" s="339"/>
      <c r="H1116" s="339"/>
      <c r="I1116" s="339"/>
      <c r="J1116" s="339"/>
      <c r="K1116" s="339"/>
      <c r="L1116" s="339"/>
      <c r="M1116" s="339"/>
      <c r="N1116" s="339"/>
      <c r="O1116" s="339"/>
      <c r="P1116" s="339"/>
      <c r="Q1116" s="339"/>
      <c r="R1116" s="339"/>
      <c r="S1116" s="339"/>
      <c r="T1116" s="339"/>
      <c r="U1116" s="339"/>
      <c r="V1116" s="339"/>
      <c r="W1116" s="339"/>
      <c r="X1116" s="339"/>
      <c r="Y1116" s="339"/>
      <c r="Z1116" s="339"/>
      <c r="AA1116" s="2702" t="s">
        <v>0</v>
      </c>
      <c r="AB1116" s="2702"/>
      <c r="AH1116" s="598"/>
    </row>
    <row r="1117" spans="1:34" s="597" customFormat="1" ht="18" customHeight="1" x14ac:dyDescent="0.2">
      <c r="A1117" s="2703" t="s">
        <v>1</v>
      </c>
      <c r="B1117" s="2703"/>
      <c r="C1117" s="2703"/>
      <c r="D1117" s="2703"/>
      <c r="E1117" s="2703"/>
      <c r="F1117" s="2703"/>
      <c r="G1117" s="2703"/>
      <c r="H1117" s="2703"/>
      <c r="I1117" s="2703"/>
      <c r="J1117" s="2703"/>
      <c r="K1117" s="2703"/>
      <c r="L1117" s="2703"/>
      <c r="M1117" s="2703"/>
      <c r="N1117" s="2703"/>
      <c r="O1117" s="2703"/>
      <c r="P1117" s="2703"/>
      <c r="Q1117" s="2703"/>
      <c r="R1117" s="2703"/>
      <c r="S1117" s="2703"/>
      <c r="T1117" s="2703"/>
      <c r="U1117" s="2703"/>
      <c r="V1117" s="2703"/>
      <c r="W1117" s="2703"/>
      <c r="X1117" s="2703"/>
      <c r="Y1117" s="2703"/>
      <c r="Z1117" s="2703"/>
      <c r="AA1117" s="2703"/>
      <c r="AB1117" s="2703"/>
      <c r="AC1117" s="339"/>
      <c r="AD1117" s="339"/>
      <c r="AE1117" s="339"/>
      <c r="AF1117" s="339"/>
      <c r="AH1117" s="598"/>
    </row>
    <row r="1118" spans="1:34" s="597" customFormat="1" ht="18" customHeight="1" x14ac:dyDescent="0.2">
      <c r="A1118" s="2704" t="s">
        <v>580</v>
      </c>
      <c r="B1118" s="2704"/>
      <c r="C1118" s="2704"/>
      <c r="D1118" s="2704"/>
      <c r="E1118" s="2704"/>
      <c r="F1118" s="2704"/>
      <c r="G1118" s="2704"/>
      <c r="H1118" s="2704"/>
      <c r="I1118" s="2704"/>
      <c r="J1118" s="2704"/>
      <c r="K1118" s="2704"/>
      <c r="L1118" s="2704"/>
      <c r="M1118" s="2704"/>
      <c r="N1118" s="2704"/>
      <c r="O1118" s="2704"/>
      <c r="P1118" s="2704"/>
      <c r="Q1118" s="2704"/>
      <c r="R1118" s="2704"/>
      <c r="S1118" s="2704"/>
      <c r="T1118" s="2704"/>
      <c r="U1118" s="2704"/>
      <c r="V1118" s="2704"/>
      <c r="W1118" s="2704"/>
      <c r="X1118" s="2704"/>
      <c r="Y1118" s="2704"/>
      <c r="Z1118" s="2704"/>
      <c r="AA1118" s="2704"/>
      <c r="AB1118" s="2740"/>
      <c r="AC1118" s="344"/>
      <c r="AD1118" s="344"/>
      <c r="AE1118" s="344"/>
      <c r="AF1118" s="344"/>
      <c r="AH1118" s="598"/>
    </row>
    <row r="1119" spans="1:34" s="597" customFormat="1" ht="18" customHeight="1" x14ac:dyDescent="0.2">
      <c r="A1119" s="2686" t="s">
        <v>2</v>
      </c>
      <c r="B1119" s="360"/>
      <c r="C1119" s="2686" t="s">
        <v>3</v>
      </c>
      <c r="D1119" s="360"/>
      <c r="E1119" s="360"/>
      <c r="F1119" s="2693" t="s">
        <v>4</v>
      </c>
      <c r="G1119" s="2693"/>
      <c r="H1119" s="2693"/>
      <c r="I1119" s="2694"/>
      <c r="J1119" s="2694"/>
      <c r="K1119" s="2695"/>
      <c r="L1119" s="361"/>
      <c r="M1119" s="2679" t="s">
        <v>5</v>
      </c>
      <c r="N1119" s="2679"/>
      <c r="O1119" s="2679"/>
      <c r="P1119" s="2679"/>
      <c r="Q1119" s="2696"/>
      <c r="R1119" s="2696"/>
      <c r="S1119" s="2696"/>
      <c r="T1119" s="2696"/>
      <c r="U1119" s="2696"/>
      <c r="V1119" s="2697"/>
      <c r="W1119" s="362" t="s">
        <v>6</v>
      </c>
      <c r="X1119" s="363" t="s">
        <v>7</v>
      </c>
      <c r="Y1119" s="364"/>
      <c r="Z1119" s="364"/>
      <c r="AA1119" s="363"/>
      <c r="AB1119" s="365"/>
      <c r="AC1119" s="599"/>
      <c r="AD1119" s="599"/>
      <c r="AE1119" s="599"/>
      <c r="AF1119" s="599"/>
      <c r="AH1119" s="598"/>
    </row>
    <row r="1120" spans="1:34" s="597" customFormat="1" ht="18" customHeight="1" x14ac:dyDescent="0.2">
      <c r="A1120" s="2687"/>
      <c r="B1120" s="367"/>
      <c r="C1120" s="2687"/>
      <c r="D1120" s="2084" t="s">
        <v>9</v>
      </c>
      <c r="E1120" s="368" t="s">
        <v>10</v>
      </c>
      <c r="F1120" s="2698" t="s">
        <v>11</v>
      </c>
      <c r="G1120" s="2694"/>
      <c r="H1120" s="2695"/>
      <c r="I1120" s="360"/>
      <c r="J1120" s="369" t="s">
        <v>12</v>
      </c>
      <c r="K1120" s="360"/>
      <c r="L1120" s="2679" t="s">
        <v>2</v>
      </c>
      <c r="M1120" s="2088"/>
      <c r="N1120" s="2088"/>
      <c r="O1120" s="2088"/>
      <c r="P1120" s="371"/>
      <c r="Q1120" s="372" t="s">
        <v>13</v>
      </c>
      <c r="R1120" s="373" t="s">
        <v>12</v>
      </c>
      <c r="S1120" s="2088" t="s">
        <v>6</v>
      </c>
      <c r="T1120" s="2682" t="s">
        <v>14</v>
      </c>
      <c r="U1120" s="2683"/>
      <c r="V1120" s="375" t="s">
        <v>7</v>
      </c>
      <c r="W1120" s="376" t="s">
        <v>15</v>
      </c>
      <c r="X1120" s="377" t="s">
        <v>16</v>
      </c>
      <c r="Y1120" s="377" t="s">
        <v>17</v>
      </c>
      <c r="Z1120" s="377" t="s">
        <v>18</v>
      </c>
      <c r="AA1120" s="377"/>
      <c r="AB1120" s="378" t="s">
        <v>19</v>
      </c>
      <c r="AC1120" s="516" t="s">
        <v>8</v>
      </c>
      <c r="AD1120" s="346"/>
      <c r="AE1120" s="346"/>
      <c r="AF1120" s="600"/>
      <c r="AH1120" s="598"/>
    </row>
    <row r="1121" spans="1:34" s="597" customFormat="1" ht="18" customHeight="1" x14ac:dyDescent="0.2">
      <c r="A1121" s="2687"/>
      <c r="B1121" s="2084" t="s">
        <v>23</v>
      </c>
      <c r="C1121" s="2687"/>
      <c r="D1121" s="2084" t="s">
        <v>24</v>
      </c>
      <c r="E1121" s="368" t="s">
        <v>25</v>
      </c>
      <c r="F1121" s="2699"/>
      <c r="G1121" s="2700"/>
      <c r="H1121" s="2701"/>
      <c r="I1121" s="2084" t="s">
        <v>26</v>
      </c>
      <c r="J1121" s="379" t="s">
        <v>15</v>
      </c>
      <c r="K1121" s="2087" t="s">
        <v>6</v>
      </c>
      <c r="L1121" s="2680"/>
      <c r="M1121" s="2089" t="s">
        <v>27</v>
      </c>
      <c r="N1121" s="2089" t="s">
        <v>10</v>
      </c>
      <c r="O1121" s="382" t="s">
        <v>10</v>
      </c>
      <c r="P1121" s="383" t="s">
        <v>28</v>
      </c>
      <c r="Q1121" s="384" t="s">
        <v>29</v>
      </c>
      <c r="R1121" s="383" t="s">
        <v>15</v>
      </c>
      <c r="S1121" s="385" t="s">
        <v>15</v>
      </c>
      <c r="T1121" s="2684"/>
      <c r="U1121" s="2685"/>
      <c r="V1121" s="375" t="s">
        <v>30</v>
      </c>
      <c r="W1121" s="376" t="s">
        <v>31</v>
      </c>
      <c r="X1121" s="377" t="s">
        <v>30</v>
      </c>
      <c r="Y1121" s="377" t="s">
        <v>32</v>
      </c>
      <c r="Z1121" s="377" t="s">
        <v>7</v>
      </c>
      <c r="AA1121" s="377" t="s">
        <v>33</v>
      </c>
      <c r="AB1121" s="378" t="s">
        <v>34</v>
      </c>
      <c r="AC1121" s="528" t="s">
        <v>20</v>
      </c>
      <c r="AD1121" s="601"/>
      <c r="AE1121" s="347" t="s">
        <v>21</v>
      </c>
      <c r="AF1121" s="340" t="s">
        <v>22</v>
      </c>
      <c r="AH1121" s="598"/>
    </row>
    <row r="1122" spans="1:34" s="597" customFormat="1" ht="18" customHeight="1" x14ac:dyDescent="0.2">
      <c r="A1122" s="2687"/>
      <c r="B1122" s="2084" t="s">
        <v>39</v>
      </c>
      <c r="C1122" s="2687"/>
      <c r="D1122" s="2084" t="s">
        <v>40</v>
      </c>
      <c r="E1122" s="368" t="s">
        <v>41</v>
      </c>
      <c r="F1122" s="2686" t="s">
        <v>42</v>
      </c>
      <c r="G1122" s="2686" t="s">
        <v>43</v>
      </c>
      <c r="H1122" s="2688" t="s">
        <v>44</v>
      </c>
      <c r="I1122" s="2084" t="s">
        <v>45</v>
      </c>
      <c r="J1122" s="379" t="s">
        <v>46</v>
      </c>
      <c r="K1122" s="2087" t="s">
        <v>47</v>
      </c>
      <c r="L1122" s="2680"/>
      <c r="M1122" s="2089" t="s">
        <v>30</v>
      </c>
      <c r="N1122" s="2089" t="s">
        <v>30</v>
      </c>
      <c r="O1122" s="382" t="s">
        <v>25</v>
      </c>
      <c r="P1122" s="383" t="s">
        <v>30</v>
      </c>
      <c r="Q1122" s="384" t="s">
        <v>48</v>
      </c>
      <c r="R1122" s="383" t="s">
        <v>49</v>
      </c>
      <c r="S1122" s="385" t="s">
        <v>30</v>
      </c>
      <c r="T1122" s="386" t="s">
        <v>50</v>
      </c>
      <c r="U1122" s="2086" t="s">
        <v>13</v>
      </c>
      <c r="V1122" s="375" t="s">
        <v>51</v>
      </c>
      <c r="W1122" s="376" t="s">
        <v>52</v>
      </c>
      <c r="X1122" s="377" t="s">
        <v>53</v>
      </c>
      <c r="Y1122" s="377" t="s">
        <v>54</v>
      </c>
      <c r="Z1122" s="377" t="s">
        <v>55</v>
      </c>
      <c r="AA1122" s="377" t="s">
        <v>56</v>
      </c>
      <c r="AB1122" s="378" t="s">
        <v>57</v>
      </c>
      <c r="AC1122" s="528" t="s">
        <v>35</v>
      </c>
      <c r="AD1122" s="347" t="s">
        <v>36</v>
      </c>
      <c r="AE1122" s="347" t="s">
        <v>37</v>
      </c>
      <c r="AF1122" s="340" t="s">
        <v>38</v>
      </c>
      <c r="AH1122" s="598"/>
    </row>
    <row r="1123" spans="1:34" s="597" customFormat="1" ht="18" customHeight="1" x14ac:dyDescent="0.2">
      <c r="A1123" s="2687"/>
      <c r="B1123" s="2084" t="s">
        <v>61</v>
      </c>
      <c r="C1123" s="2687"/>
      <c r="D1123" s="2084" t="s">
        <v>62</v>
      </c>
      <c r="E1123" s="368" t="s">
        <v>63</v>
      </c>
      <c r="F1123" s="2687"/>
      <c r="G1123" s="2687"/>
      <c r="H1123" s="2689"/>
      <c r="I1123" s="2084" t="s">
        <v>64</v>
      </c>
      <c r="J1123" s="379" t="s">
        <v>59</v>
      </c>
      <c r="K1123" s="2087" t="s">
        <v>59</v>
      </c>
      <c r="L1123" s="2680"/>
      <c r="M1123" s="2089"/>
      <c r="N1123" s="2089"/>
      <c r="O1123" s="382" t="s">
        <v>41</v>
      </c>
      <c r="P1123" s="383" t="s">
        <v>65</v>
      </c>
      <c r="Q1123" s="384" t="s">
        <v>66</v>
      </c>
      <c r="R1123" s="383" t="s">
        <v>67</v>
      </c>
      <c r="S1123" s="385" t="s">
        <v>59</v>
      </c>
      <c r="T1123" s="387" t="s">
        <v>68</v>
      </c>
      <c r="U1123" s="375" t="s">
        <v>14</v>
      </c>
      <c r="V1123" s="375" t="s">
        <v>14</v>
      </c>
      <c r="W1123" s="376" t="s">
        <v>30</v>
      </c>
      <c r="X1123" s="388" t="s">
        <v>69</v>
      </c>
      <c r="Y1123" s="388" t="s">
        <v>70</v>
      </c>
      <c r="Z1123" s="377" t="s">
        <v>71</v>
      </c>
      <c r="AA1123" s="377" t="s">
        <v>72</v>
      </c>
      <c r="AB1123" s="378" t="s">
        <v>59</v>
      </c>
      <c r="AC1123" s="347" t="s">
        <v>58</v>
      </c>
      <c r="AD1123" s="347" t="s">
        <v>59</v>
      </c>
      <c r="AE1123" s="347" t="s">
        <v>59</v>
      </c>
      <c r="AF1123" s="340" t="s">
        <v>60</v>
      </c>
      <c r="AH1123" s="598"/>
    </row>
    <row r="1124" spans="1:34" s="597" customFormat="1" ht="18" customHeight="1" x14ac:dyDescent="0.2">
      <c r="A1124" s="2692"/>
      <c r="B1124" s="390"/>
      <c r="C1124" s="2692"/>
      <c r="D1124" s="390"/>
      <c r="E1124" s="2085"/>
      <c r="F1124" s="390"/>
      <c r="G1124" s="390"/>
      <c r="H1124" s="391"/>
      <c r="I1124" s="2085"/>
      <c r="J1124" s="392"/>
      <c r="K1124" s="393"/>
      <c r="L1124" s="2681"/>
      <c r="M1124" s="2090"/>
      <c r="N1124" s="2090"/>
      <c r="O1124" s="2090" t="s">
        <v>63</v>
      </c>
      <c r="P1124" s="395"/>
      <c r="Q1124" s="396" t="s">
        <v>72</v>
      </c>
      <c r="R1124" s="397" t="s">
        <v>59</v>
      </c>
      <c r="S1124" s="398"/>
      <c r="T1124" s="397" t="s">
        <v>73</v>
      </c>
      <c r="U1124" s="398" t="s">
        <v>59</v>
      </c>
      <c r="V1124" s="399" t="s">
        <v>59</v>
      </c>
      <c r="W1124" s="400" t="s">
        <v>59</v>
      </c>
      <c r="X1124" s="401" t="s">
        <v>59</v>
      </c>
      <c r="Y1124" s="401" t="s">
        <v>59</v>
      </c>
      <c r="Z1124" s="401" t="s">
        <v>59</v>
      </c>
      <c r="AA1124" s="402"/>
      <c r="AB1124" s="403"/>
      <c r="AC1124" s="347" t="s">
        <v>59</v>
      </c>
      <c r="AD1124" s="347"/>
      <c r="AE1124" s="347"/>
      <c r="AF1124" s="340" t="s">
        <v>59</v>
      </c>
      <c r="AH1124" s="598"/>
    </row>
    <row r="1125" spans="1:34" s="597" customFormat="1" ht="18" customHeight="1" x14ac:dyDescent="0.2">
      <c r="A1125" s="53">
        <v>1</v>
      </c>
      <c r="B1125" s="95">
        <v>29835</v>
      </c>
      <c r="C1125" s="82">
        <v>59</v>
      </c>
      <c r="D1125" s="69" t="s">
        <v>517</v>
      </c>
      <c r="E1125" s="82">
        <v>4</v>
      </c>
      <c r="F1125" s="82">
        <v>0</v>
      </c>
      <c r="G1125" s="82">
        <v>0</v>
      </c>
      <c r="H1125" s="463">
        <v>99</v>
      </c>
      <c r="I1125" s="70">
        <f>F1125*400+G1125*100+H1125</f>
        <v>99</v>
      </c>
      <c r="J1125" s="123">
        <v>280</v>
      </c>
      <c r="K1125" s="124">
        <f>SUM(I1125*J1125)</f>
        <v>27720</v>
      </c>
      <c r="L1125" s="53"/>
      <c r="M1125" s="82"/>
      <c r="N1125" s="82"/>
      <c r="O1125" s="53"/>
      <c r="P1125" s="358"/>
      <c r="Q1125" s="197"/>
      <c r="R1125" s="444"/>
      <c r="S1125" s="70"/>
      <c r="T1125" s="82"/>
      <c r="U1125" s="70"/>
      <c r="V1125" s="70"/>
      <c r="W1125" s="70">
        <f>K1125+V1125</f>
        <v>27720</v>
      </c>
      <c r="X1125" s="70">
        <f>W1125</f>
        <v>27720</v>
      </c>
      <c r="Y1125" s="123"/>
      <c r="Z1125" s="70">
        <f>+X1125</f>
        <v>27720</v>
      </c>
      <c r="AA1125" s="464">
        <v>0.6</v>
      </c>
      <c r="AB1125" s="406">
        <f>+Z1125*AA1125/100</f>
        <v>166.32</v>
      </c>
      <c r="AC1125" s="348"/>
      <c r="AD1125" s="348"/>
      <c r="AE1125" s="348"/>
      <c r="AF1125" s="341"/>
      <c r="AH1125" s="598"/>
    </row>
    <row r="1126" spans="1:34" s="597" customFormat="1" ht="18" customHeight="1" x14ac:dyDescent="0.2">
      <c r="A1126" s="61"/>
      <c r="B1126" s="2091"/>
      <c r="C1126" s="2091"/>
      <c r="D1126" s="2091"/>
      <c r="E1126" s="2091"/>
      <c r="F1126" s="2091"/>
      <c r="G1126" s="2091"/>
      <c r="H1126" s="407"/>
      <c r="I1126" s="77"/>
      <c r="J1126" s="2092"/>
      <c r="K1126" s="78"/>
      <c r="L1126" s="61"/>
      <c r="M1126" s="2091"/>
      <c r="N1126" s="2091"/>
      <c r="O1126" s="61"/>
      <c r="P1126" s="177"/>
      <c r="Q1126" s="196"/>
      <c r="R1126" s="408"/>
      <c r="S1126" s="77"/>
      <c r="T1126" s="2091"/>
      <c r="U1126" s="77"/>
      <c r="V1126" s="77"/>
      <c r="W1126" s="77">
        <f>K1126+V1126</f>
        <v>0</v>
      </c>
      <c r="X1126" s="77">
        <f>W1126</f>
        <v>0</v>
      </c>
      <c r="Y1126" s="2092"/>
      <c r="Z1126" s="77"/>
      <c r="AA1126" s="2095"/>
      <c r="AB1126" s="410">
        <f>+Z1126*AA1126/100</f>
        <v>0</v>
      </c>
      <c r="AC1126" s="602"/>
      <c r="AD1126" s="603" t="e">
        <f>#REF!-AC1126</f>
        <v>#REF!</v>
      </c>
      <c r="AE1126" s="603" t="e">
        <f>IF(AD1126&lt;=0,0,AD1126*25/100)</f>
        <v>#REF!</v>
      </c>
      <c r="AF1126" s="603" t="e">
        <f>IF(AC1126+AE1126&gt;#REF!,#REF!,AC1126+AE1126)</f>
        <v>#REF!</v>
      </c>
      <c r="AH1126" s="598"/>
    </row>
    <row r="1127" spans="1:34" s="665" customFormat="1" ht="18" customHeight="1" x14ac:dyDescent="0.2">
      <c r="A1127" s="177"/>
      <c r="B1127" s="177"/>
      <c r="C1127" s="177"/>
      <c r="D1127" s="177"/>
      <c r="E1127" s="177"/>
      <c r="F1127" s="177"/>
      <c r="G1127" s="177"/>
      <c r="H1127" s="274"/>
      <c r="I1127" s="275"/>
      <c r="J1127" s="275"/>
      <c r="K1127" s="275"/>
      <c r="L1127" s="177"/>
      <c r="M1127" s="177"/>
      <c r="N1127" s="177"/>
      <c r="O1127" s="177"/>
      <c r="P1127" s="274"/>
      <c r="Q1127" s="276"/>
      <c r="R1127" s="661"/>
      <c r="S1127" s="275"/>
      <c r="T1127" s="277"/>
      <c r="U1127" s="275"/>
      <c r="V1127" s="275"/>
      <c r="W1127" s="275"/>
      <c r="X1127" s="662"/>
      <c r="Y1127" s="662"/>
      <c r="Z1127" s="663"/>
      <c r="AA1127" s="663"/>
      <c r="AB1127" s="664"/>
      <c r="AC1127" s="342"/>
      <c r="AD1127" s="342"/>
      <c r="AE1127" s="342"/>
      <c r="AF1127" s="342"/>
      <c r="AH1127" s="666"/>
    </row>
    <row r="1128" spans="1:34" s="665" customFormat="1" ht="18" customHeight="1" x14ac:dyDescent="0.2">
      <c r="A1128" s="177"/>
      <c r="B1128" s="177"/>
      <c r="C1128" s="177"/>
      <c r="D1128" s="177"/>
      <c r="E1128" s="177"/>
      <c r="F1128" s="177"/>
      <c r="G1128" s="177"/>
      <c r="H1128" s="274"/>
      <c r="I1128" s="275"/>
      <c r="J1128" s="275"/>
      <c r="K1128" s="275"/>
      <c r="L1128" s="177"/>
      <c r="M1128" s="177"/>
      <c r="N1128" s="177"/>
      <c r="O1128" s="177"/>
      <c r="P1128" s="274"/>
      <c r="Q1128" s="276"/>
      <c r="R1128" s="661"/>
      <c r="S1128" s="275"/>
      <c r="T1128" s="277"/>
      <c r="U1128" s="275"/>
      <c r="V1128" s="275"/>
      <c r="W1128" s="275"/>
      <c r="X1128" s="662"/>
      <c r="Y1128" s="662"/>
      <c r="Z1128" s="663"/>
      <c r="AA1128" s="663"/>
      <c r="AB1128" s="664"/>
      <c r="AC1128" s="342"/>
      <c r="AD1128" s="342"/>
      <c r="AE1128" s="342"/>
      <c r="AF1128" s="342"/>
      <c r="AH1128" s="666"/>
    </row>
    <row r="1129" spans="1:34" s="665" customFormat="1" ht="18" customHeight="1" x14ac:dyDescent="0.2">
      <c r="A1129" s="177"/>
      <c r="B1129" s="177"/>
      <c r="C1129" s="177"/>
      <c r="D1129" s="177"/>
      <c r="E1129" s="177"/>
      <c r="F1129" s="177"/>
      <c r="G1129" s="177"/>
      <c r="H1129" s="274"/>
      <c r="I1129" s="275"/>
      <c r="J1129" s="275"/>
      <c r="K1129" s="275"/>
      <c r="L1129" s="177"/>
      <c r="M1129" s="177"/>
      <c r="N1129" s="177"/>
      <c r="O1129" s="177"/>
      <c r="P1129" s="274"/>
      <c r="Q1129" s="276"/>
      <c r="R1129" s="661"/>
      <c r="S1129" s="275"/>
      <c r="T1129" s="277"/>
      <c r="U1129" s="275"/>
      <c r="V1129" s="275"/>
      <c r="W1129" s="275"/>
      <c r="X1129" s="662"/>
      <c r="Y1129" s="662"/>
      <c r="Z1129" s="663"/>
      <c r="AA1129" s="663"/>
      <c r="AB1129" s="664"/>
      <c r="AC1129" s="342"/>
      <c r="AD1129" s="342"/>
      <c r="AE1129" s="342"/>
      <c r="AF1129" s="342"/>
      <c r="AH1129" s="666"/>
    </row>
    <row r="1130" spans="1:34" s="665" customFormat="1" ht="18" customHeight="1" x14ac:dyDescent="0.2">
      <c r="A1130" s="177"/>
      <c r="B1130" s="177"/>
      <c r="C1130" s="177"/>
      <c r="D1130" s="177"/>
      <c r="E1130" s="177"/>
      <c r="F1130" s="177"/>
      <c r="G1130" s="177"/>
      <c r="H1130" s="274"/>
      <c r="I1130" s="275"/>
      <c r="J1130" s="275"/>
      <c r="K1130" s="275"/>
      <c r="L1130" s="177"/>
      <c r="M1130" s="177"/>
      <c r="N1130" s="177"/>
      <c r="O1130" s="177"/>
      <c r="P1130" s="274"/>
      <c r="Q1130" s="276"/>
      <c r="R1130" s="661"/>
      <c r="S1130" s="275"/>
      <c r="T1130" s="277"/>
      <c r="U1130" s="275"/>
      <c r="V1130" s="275"/>
      <c r="W1130" s="275"/>
      <c r="X1130" s="662"/>
      <c r="Y1130" s="662"/>
      <c r="Z1130" s="663"/>
      <c r="AA1130" s="663"/>
      <c r="AB1130" s="664"/>
      <c r="AC1130" s="342"/>
      <c r="AD1130" s="342"/>
      <c r="AE1130" s="342"/>
      <c r="AF1130" s="342"/>
      <c r="AH1130" s="666"/>
    </row>
    <row r="1131" spans="1:34" s="665" customFormat="1" ht="18" customHeight="1" x14ac:dyDescent="0.2">
      <c r="A1131" s="177"/>
      <c r="B1131" s="177"/>
      <c r="C1131" s="177"/>
      <c r="D1131" s="177"/>
      <c r="E1131" s="177"/>
      <c r="F1131" s="177"/>
      <c r="G1131" s="177"/>
      <c r="H1131" s="274"/>
      <c r="I1131" s="275"/>
      <c r="J1131" s="275"/>
      <c r="K1131" s="275"/>
      <c r="L1131" s="177"/>
      <c r="M1131" s="177"/>
      <c r="N1131" s="177"/>
      <c r="O1131" s="177"/>
      <c r="P1131" s="274"/>
      <c r="Q1131" s="276"/>
      <c r="R1131" s="661"/>
      <c r="S1131" s="275"/>
      <c r="T1131" s="277"/>
      <c r="U1131" s="275"/>
      <c r="V1131" s="275"/>
      <c r="W1131" s="275"/>
      <c r="X1131" s="662"/>
      <c r="Y1131" s="662"/>
      <c r="Z1131" s="663"/>
      <c r="AA1131" s="663"/>
      <c r="AB1131" s="664"/>
      <c r="AC1131" s="342"/>
      <c r="AD1131" s="342"/>
      <c r="AE1131" s="342"/>
      <c r="AF1131" s="342"/>
      <c r="AH1131" s="666"/>
    </row>
    <row r="1132" spans="1:34" s="597" customFormat="1" ht="18" customHeight="1" x14ac:dyDescent="0.2">
      <c r="A1132" s="2091"/>
      <c r="B1132" s="177"/>
      <c r="C1132" s="177"/>
      <c r="D1132" s="2091"/>
      <c r="E1132" s="2091"/>
      <c r="F1132" s="2091"/>
      <c r="G1132" s="2091"/>
      <c r="H1132" s="2094"/>
      <c r="I1132" s="2092"/>
      <c r="J1132" s="178"/>
      <c r="K1132" s="2092"/>
      <c r="L1132" s="2091"/>
      <c r="M1132" s="2091"/>
      <c r="N1132" s="2091"/>
      <c r="O1132" s="2091"/>
      <c r="P1132" s="2094"/>
      <c r="Q1132" s="2093"/>
      <c r="R1132" s="437"/>
      <c r="S1132" s="2092"/>
      <c r="T1132" s="179"/>
      <c r="U1132" s="178"/>
      <c r="V1132" s="2092"/>
      <c r="W1132" s="2092"/>
      <c r="X1132" s="470"/>
      <c r="Y1132" s="470"/>
      <c r="Z1132" s="471"/>
      <c r="AA1132" s="471"/>
      <c r="AB1132" s="466"/>
      <c r="AC1132" s="350"/>
      <c r="AD1132" s="350"/>
      <c r="AE1132" s="350"/>
      <c r="AF1132" s="350"/>
      <c r="AH1132" s="598"/>
    </row>
    <row r="1133" spans="1:34" s="597" customFormat="1" ht="18" customHeight="1" x14ac:dyDescent="0.2">
      <c r="A1133" s="2091"/>
      <c r="B1133" s="177"/>
      <c r="C1133" s="177"/>
      <c r="D1133" s="2091"/>
      <c r="E1133" s="2091"/>
      <c r="F1133" s="2091"/>
      <c r="G1133" s="2091"/>
      <c r="H1133" s="2094"/>
      <c r="I1133" s="2092"/>
      <c r="J1133" s="178"/>
      <c r="K1133" s="2092"/>
      <c r="L1133" s="2091"/>
      <c r="M1133" s="2091"/>
      <c r="N1133" s="2091"/>
      <c r="O1133" s="2091"/>
      <c r="P1133" s="2094"/>
      <c r="Q1133" s="2093"/>
      <c r="R1133" s="437"/>
      <c r="S1133" s="2092"/>
      <c r="T1133" s="179"/>
      <c r="U1133" s="178"/>
      <c r="V1133" s="2092"/>
      <c r="W1133" s="2092"/>
      <c r="X1133" s="470"/>
      <c r="Y1133" s="470"/>
      <c r="Z1133" s="471"/>
      <c r="AA1133" s="471"/>
      <c r="AB1133" s="466"/>
      <c r="AC1133" s="350"/>
      <c r="AD1133" s="350"/>
      <c r="AE1133" s="350"/>
      <c r="AF1133" s="350"/>
      <c r="AH1133" s="598"/>
    </row>
    <row r="1134" spans="1:34" s="597" customFormat="1" ht="18" customHeight="1" x14ac:dyDescent="0.2">
      <c r="A1134" s="2091"/>
      <c r="B1134" s="177"/>
      <c r="C1134" s="177"/>
      <c r="D1134" s="2091"/>
      <c r="E1134" s="2091"/>
      <c r="F1134" s="2091"/>
      <c r="G1134" s="2091"/>
      <c r="H1134" s="2094"/>
      <c r="I1134" s="2092"/>
      <c r="J1134" s="178"/>
      <c r="K1134" s="2092"/>
      <c r="L1134" s="2091"/>
      <c r="M1134" s="2091"/>
      <c r="N1134" s="2091"/>
      <c r="O1134" s="2091"/>
      <c r="P1134" s="2094"/>
      <c r="Q1134" s="2093"/>
      <c r="R1134" s="437"/>
      <c r="S1134" s="2092"/>
      <c r="T1134" s="179"/>
      <c r="U1134" s="178"/>
      <c r="V1134" s="2092"/>
      <c r="W1134" s="2092"/>
      <c r="X1134" s="470"/>
      <c r="Y1134" s="470"/>
      <c r="Z1134" s="471"/>
      <c r="AA1134" s="471"/>
      <c r="AB1134" s="466"/>
      <c r="AC1134" s="350"/>
      <c r="AD1134" s="350"/>
      <c r="AE1134" s="350"/>
      <c r="AF1134" s="350"/>
      <c r="AH1134" s="598"/>
    </row>
    <row r="1135" spans="1:34" s="597" customFormat="1" ht="18" customHeight="1" x14ac:dyDescent="0.2">
      <c r="A1135" s="2091"/>
      <c r="B1135" s="177"/>
      <c r="C1135" s="177"/>
      <c r="D1135" s="2091"/>
      <c r="E1135" s="2091"/>
      <c r="F1135" s="2091"/>
      <c r="G1135" s="2091"/>
      <c r="H1135" s="2094"/>
      <c r="I1135" s="2092"/>
      <c r="J1135" s="178"/>
      <c r="K1135" s="2092"/>
      <c r="L1135" s="2091"/>
      <c r="M1135" s="2091"/>
      <c r="N1135" s="2091"/>
      <c r="O1135" s="2091"/>
      <c r="P1135" s="2094"/>
      <c r="Q1135" s="2093"/>
      <c r="R1135" s="437"/>
      <c r="S1135" s="2092"/>
      <c r="T1135" s="179"/>
      <c r="U1135" s="178"/>
      <c r="V1135" s="2092"/>
      <c r="W1135" s="2092"/>
      <c r="X1135" s="470"/>
      <c r="Y1135" s="470"/>
      <c r="Z1135" s="471"/>
      <c r="AA1135" s="471"/>
      <c r="AB1135" s="466"/>
      <c r="AC1135" s="350"/>
      <c r="AD1135" s="350"/>
      <c r="AE1135" s="350"/>
      <c r="AF1135" s="350"/>
      <c r="AH1135" s="598"/>
    </row>
    <row r="1136" spans="1:34" s="597" customFormat="1" ht="18" customHeight="1" x14ac:dyDescent="0.2">
      <c r="A1136" s="88"/>
      <c r="B1136" s="180"/>
      <c r="C1136" s="180"/>
      <c r="D1136" s="88"/>
      <c r="E1136" s="88"/>
      <c r="F1136" s="88"/>
      <c r="G1136" s="88"/>
      <c r="H1136" s="120"/>
      <c r="I1136" s="121"/>
      <c r="J1136" s="181"/>
      <c r="K1136" s="121"/>
      <c r="L1136" s="88"/>
      <c r="M1136" s="88"/>
      <c r="N1136" s="88"/>
      <c r="O1136" s="88"/>
      <c r="P1136" s="88"/>
      <c r="Q1136" s="129"/>
      <c r="R1136" s="445"/>
      <c r="S1136" s="121"/>
      <c r="T1136" s="182"/>
      <c r="U1136" s="181"/>
      <c r="V1136" s="121"/>
      <c r="W1136" s="121"/>
      <c r="X1136" s="472"/>
      <c r="Y1136" s="472"/>
      <c r="Z1136" s="473"/>
      <c r="AA1136" s="473"/>
      <c r="AB1136" s="410"/>
      <c r="AC1136" s="350"/>
      <c r="AD1136" s="350"/>
      <c r="AE1136" s="350"/>
      <c r="AF1136" s="350"/>
      <c r="AH1136" s="598"/>
    </row>
    <row r="1137" spans="1:34" s="597" customFormat="1" ht="18" customHeight="1" x14ac:dyDescent="0.2">
      <c r="A1137" s="183"/>
      <c r="B1137" s="183"/>
      <c r="C1137" s="183"/>
      <c r="D1137" s="183"/>
      <c r="E1137" s="183"/>
      <c r="F1137" s="183"/>
      <c r="G1137" s="183"/>
      <c r="H1137" s="184"/>
      <c r="I1137" s="185"/>
      <c r="J1137" s="186"/>
      <c r="K1137" s="185"/>
      <c r="L1137" s="185"/>
      <c r="M1137" s="185"/>
      <c r="N1137" s="185"/>
      <c r="O1137" s="185"/>
      <c r="P1137" s="185"/>
      <c r="Q1137" s="185"/>
      <c r="R1137" s="438"/>
      <c r="S1137" s="185"/>
      <c r="T1137" s="187"/>
      <c r="U1137" s="186"/>
      <c r="V1137" s="185"/>
      <c r="W1137" s="185"/>
      <c r="X1137" s="474"/>
      <c r="Y1137" s="474"/>
      <c r="Z1137" s="475"/>
      <c r="AA1137" s="475"/>
      <c r="AB1137" s="476">
        <f>SUM(AB1125:AB1136)</f>
        <v>166.32</v>
      </c>
      <c r="AC1137" s="351"/>
      <c r="AD1137" s="351"/>
      <c r="AE1137" s="351"/>
      <c r="AF1137" s="351"/>
      <c r="AH1137" s="598"/>
    </row>
    <row r="1138" spans="1:34" s="597" customFormat="1" ht="18" customHeight="1" x14ac:dyDescent="0.2">
      <c r="A1138" s="2690" t="s">
        <v>76</v>
      </c>
      <c r="B1138" s="2690"/>
      <c r="C1138" s="2691" t="s">
        <v>77</v>
      </c>
      <c r="D1138" s="2691"/>
      <c r="E1138" s="2691"/>
      <c r="F1138" s="2691"/>
      <c r="G1138" s="2691"/>
      <c r="H1138" s="2691"/>
      <c r="I1138" s="604" t="s">
        <v>78</v>
      </c>
      <c r="J1138" s="604"/>
      <c r="K1138" s="604"/>
      <c r="L1138" s="604"/>
      <c r="M1138" s="604"/>
      <c r="N1138" s="604"/>
      <c r="AB1138" s="598"/>
      <c r="AC1138" s="349"/>
      <c r="AD1138" s="349"/>
      <c r="AE1138" s="349"/>
      <c r="AF1138" s="349"/>
      <c r="AH1138" s="598"/>
    </row>
    <row r="1139" spans="1:34" s="597" customFormat="1" ht="18" customHeight="1" x14ac:dyDescent="0.2">
      <c r="A1139" s="604"/>
      <c r="B1139" s="605"/>
      <c r="C1139" s="604"/>
      <c r="D1139" s="604"/>
      <c r="E1139" s="604"/>
      <c r="F1139" s="604"/>
      <c r="G1139" s="604"/>
      <c r="H1139" s="604"/>
      <c r="I1139" s="604" t="s">
        <v>79</v>
      </c>
      <c r="J1139" s="604"/>
      <c r="K1139" s="604"/>
      <c r="L1139" s="604"/>
      <c r="M1139" s="604"/>
      <c r="N1139" s="604"/>
      <c r="AB1139" s="598"/>
      <c r="AH1139" s="598"/>
    </row>
    <row r="1140" spans="1:34" s="597" customFormat="1" ht="18" customHeight="1" x14ac:dyDescent="0.2">
      <c r="A1140" s="604"/>
      <c r="B1140" s="605"/>
      <c r="C1140" s="604"/>
      <c r="D1140" s="604"/>
      <c r="E1140" s="604"/>
      <c r="F1140" s="604"/>
      <c r="G1140" s="604"/>
      <c r="H1140" s="604"/>
      <c r="I1140" s="604" t="s">
        <v>80</v>
      </c>
      <c r="J1140" s="604"/>
      <c r="K1140" s="604"/>
      <c r="L1140" s="604"/>
      <c r="M1140" s="604"/>
      <c r="N1140" s="604"/>
      <c r="AB1140" s="598"/>
      <c r="AH1140" s="598"/>
    </row>
    <row r="1141" spans="1:34" s="597" customFormat="1" ht="18" customHeight="1" x14ac:dyDescent="0.2">
      <c r="A1141" s="604"/>
      <c r="B1141" s="605"/>
      <c r="C1141" s="604"/>
      <c r="D1141" s="604"/>
      <c r="E1141" s="604"/>
      <c r="F1141" s="604"/>
      <c r="G1141" s="604"/>
      <c r="H1141" s="604"/>
      <c r="I1141" s="604" t="s">
        <v>81</v>
      </c>
      <c r="J1141" s="604"/>
      <c r="K1141" s="604"/>
      <c r="L1141" s="604"/>
      <c r="M1141" s="604"/>
      <c r="N1141" s="604"/>
      <c r="AB1141" s="598"/>
      <c r="AH1141" s="598"/>
    </row>
    <row r="1142" spans="1:34" s="597" customFormat="1" ht="18" customHeight="1" x14ac:dyDescent="0.2">
      <c r="A1142" s="604"/>
      <c r="B1142" s="605"/>
      <c r="C1142" s="604"/>
      <c r="D1142" s="604"/>
      <c r="E1142" s="604"/>
      <c r="F1142" s="604"/>
      <c r="G1142" s="604"/>
      <c r="H1142" s="604"/>
      <c r="I1142" s="604" t="s">
        <v>88</v>
      </c>
      <c r="J1142" s="604"/>
      <c r="K1142" s="604"/>
      <c r="L1142" s="604"/>
      <c r="M1142" s="604"/>
      <c r="N1142" s="604"/>
      <c r="AB1142" s="598"/>
      <c r="AH1142" s="598"/>
    </row>
    <row r="1144" spans="1:34" ht="18.75" x14ac:dyDescent="0.2">
      <c r="A1144" s="822"/>
      <c r="B1144" s="822"/>
      <c r="C1144" s="822"/>
      <c r="D1144" s="822"/>
      <c r="E1144" s="822"/>
      <c r="F1144" s="822"/>
      <c r="G1144" s="822"/>
      <c r="H1144" s="822"/>
      <c r="I1144" s="822"/>
      <c r="J1144" s="822"/>
      <c r="K1144" s="822"/>
      <c r="L1144" s="822"/>
      <c r="M1144" s="822"/>
      <c r="N1144" s="822"/>
      <c r="O1144" s="822"/>
      <c r="P1144" s="822"/>
      <c r="Q1144" s="822"/>
      <c r="R1144" s="822"/>
      <c r="S1144" s="822"/>
      <c r="T1144" s="822"/>
      <c r="U1144" s="822"/>
      <c r="V1144" s="822"/>
      <c r="W1144" s="822"/>
      <c r="X1144" s="822"/>
      <c r="Y1144" s="822"/>
      <c r="Z1144" s="822"/>
      <c r="AA1144" s="2739" t="s">
        <v>0</v>
      </c>
      <c r="AB1144" s="2739"/>
    </row>
    <row r="1145" spans="1:34" ht="18.75" x14ac:dyDescent="0.2">
      <c r="A1145" s="2707" t="s">
        <v>1</v>
      </c>
      <c r="B1145" s="2707"/>
      <c r="C1145" s="2707"/>
      <c r="D1145" s="2707"/>
      <c r="E1145" s="2707"/>
      <c r="F1145" s="2707"/>
      <c r="G1145" s="2707"/>
      <c r="H1145" s="2707"/>
      <c r="I1145" s="2707"/>
      <c r="J1145" s="2707"/>
      <c r="K1145" s="2707"/>
      <c r="L1145" s="2707"/>
      <c r="M1145" s="2707"/>
      <c r="N1145" s="2707"/>
      <c r="O1145" s="2707"/>
      <c r="P1145" s="2707"/>
      <c r="Q1145" s="2707"/>
      <c r="R1145" s="2707"/>
      <c r="S1145" s="2707"/>
      <c r="T1145" s="2707"/>
      <c r="U1145" s="2707"/>
      <c r="V1145" s="2707"/>
      <c r="W1145" s="2707"/>
      <c r="X1145" s="2707"/>
      <c r="Y1145" s="2707"/>
      <c r="Z1145" s="2707"/>
      <c r="AA1145" s="2707"/>
      <c r="AB1145" s="2707"/>
    </row>
    <row r="1146" spans="1:34" ht="18.75" x14ac:dyDescent="0.2">
      <c r="A1146" s="2708" t="s">
        <v>581</v>
      </c>
      <c r="B1146" s="2708"/>
      <c r="C1146" s="2708"/>
      <c r="D1146" s="2708"/>
      <c r="E1146" s="2708"/>
      <c r="F1146" s="2708"/>
      <c r="G1146" s="2708"/>
      <c r="H1146" s="2708"/>
      <c r="I1146" s="2708"/>
      <c r="J1146" s="2708"/>
      <c r="K1146" s="2708"/>
      <c r="L1146" s="2708"/>
      <c r="M1146" s="2708"/>
      <c r="N1146" s="2708"/>
      <c r="O1146" s="2708"/>
      <c r="P1146" s="2708"/>
      <c r="Q1146" s="2708"/>
      <c r="R1146" s="2708"/>
      <c r="S1146" s="2708"/>
      <c r="T1146" s="2708"/>
      <c r="U1146" s="2708"/>
      <c r="V1146" s="2708"/>
      <c r="W1146" s="2708"/>
      <c r="X1146" s="2708"/>
      <c r="Y1146" s="2708"/>
      <c r="Z1146" s="2708"/>
      <c r="AA1146" s="2708"/>
      <c r="AB1146" s="2708"/>
    </row>
    <row r="1147" spans="1:34" x14ac:dyDescent="0.2">
      <c r="A1147" s="2709" t="s">
        <v>2</v>
      </c>
      <c r="B1147" s="160"/>
      <c r="C1147" s="2709" t="s">
        <v>3</v>
      </c>
      <c r="D1147" s="160"/>
      <c r="E1147" s="160"/>
      <c r="F1147" s="2712" t="s">
        <v>4</v>
      </c>
      <c r="G1147" s="2712"/>
      <c r="H1147" s="2712"/>
      <c r="I1147" s="2713"/>
      <c r="J1147" s="2713"/>
      <c r="K1147" s="2714"/>
      <c r="L1147" s="2"/>
      <c r="M1147" s="2715" t="s">
        <v>5</v>
      </c>
      <c r="N1147" s="2715"/>
      <c r="O1147" s="2715"/>
      <c r="P1147" s="2715"/>
      <c r="Q1147" s="2716"/>
      <c r="R1147" s="2716"/>
      <c r="S1147" s="2716"/>
      <c r="T1147" s="2716"/>
      <c r="U1147" s="2716"/>
      <c r="V1147" s="2717"/>
      <c r="W1147" s="161" t="s">
        <v>6</v>
      </c>
      <c r="X1147" s="162" t="s">
        <v>7</v>
      </c>
      <c r="Y1147" s="163"/>
      <c r="Z1147" s="163"/>
      <c r="AA1147" s="162"/>
      <c r="AB1147" s="206"/>
    </row>
    <row r="1148" spans="1:34" x14ac:dyDescent="0.2">
      <c r="A1148" s="2710"/>
      <c r="B1148" s="4"/>
      <c r="C1148" s="2710"/>
      <c r="D1148" s="2057" t="s">
        <v>9</v>
      </c>
      <c r="E1148" s="207" t="s">
        <v>10</v>
      </c>
      <c r="F1148" s="2718" t="s">
        <v>11</v>
      </c>
      <c r="G1148" s="2713"/>
      <c r="H1148" s="2714"/>
      <c r="I1148" s="160"/>
      <c r="J1148" s="208" t="s">
        <v>12</v>
      </c>
      <c r="K1148" s="160"/>
      <c r="L1148" s="2715" t="s">
        <v>2</v>
      </c>
      <c r="M1148" s="141"/>
      <c r="N1148" s="141"/>
      <c r="O1148" s="141"/>
      <c r="P1148" s="164"/>
      <c r="Q1148" s="209" t="s">
        <v>13</v>
      </c>
      <c r="R1148" s="210" t="s">
        <v>12</v>
      </c>
      <c r="S1148" s="141" t="s">
        <v>6</v>
      </c>
      <c r="T1148" s="2724" t="s">
        <v>14</v>
      </c>
      <c r="U1148" s="2725"/>
      <c r="V1148" s="165" t="s">
        <v>7</v>
      </c>
      <c r="W1148" s="166" t="s">
        <v>15</v>
      </c>
      <c r="X1148" s="5" t="s">
        <v>16</v>
      </c>
      <c r="Y1148" s="5" t="s">
        <v>17</v>
      </c>
      <c r="Z1148" s="5" t="s">
        <v>18</v>
      </c>
      <c r="AA1148" s="377"/>
      <c r="AB1148" s="378" t="s">
        <v>19</v>
      </c>
    </row>
    <row r="1149" spans="1:34" x14ac:dyDescent="0.2">
      <c r="A1149" s="2710"/>
      <c r="B1149" s="2057" t="s">
        <v>23</v>
      </c>
      <c r="C1149" s="2710"/>
      <c r="D1149" s="2057" t="s">
        <v>24</v>
      </c>
      <c r="E1149" s="207" t="s">
        <v>25</v>
      </c>
      <c r="F1149" s="2719"/>
      <c r="G1149" s="2720"/>
      <c r="H1149" s="2721"/>
      <c r="I1149" s="2057" t="s">
        <v>26</v>
      </c>
      <c r="J1149" s="211" t="s">
        <v>15</v>
      </c>
      <c r="K1149" s="2060" t="s">
        <v>6</v>
      </c>
      <c r="L1149" s="2722"/>
      <c r="M1149" s="142" t="s">
        <v>27</v>
      </c>
      <c r="N1149" s="142" t="s">
        <v>10</v>
      </c>
      <c r="O1149" s="212" t="s">
        <v>10</v>
      </c>
      <c r="P1149" s="213" t="s">
        <v>28</v>
      </c>
      <c r="Q1149" s="214" t="s">
        <v>29</v>
      </c>
      <c r="R1149" s="213" t="s">
        <v>15</v>
      </c>
      <c r="S1149" s="8" t="s">
        <v>15</v>
      </c>
      <c r="T1149" s="2726"/>
      <c r="U1149" s="2727"/>
      <c r="V1149" s="165" t="s">
        <v>30</v>
      </c>
      <c r="W1149" s="166" t="s">
        <v>31</v>
      </c>
      <c r="X1149" s="5" t="s">
        <v>30</v>
      </c>
      <c r="Y1149" s="5" t="s">
        <v>32</v>
      </c>
      <c r="Z1149" s="5" t="s">
        <v>7</v>
      </c>
      <c r="AA1149" s="377" t="s">
        <v>33</v>
      </c>
      <c r="AB1149" s="378" t="s">
        <v>34</v>
      </c>
    </row>
    <row r="1150" spans="1:34" x14ac:dyDescent="0.2">
      <c r="A1150" s="2710"/>
      <c r="B1150" s="2057" t="s">
        <v>39</v>
      </c>
      <c r="C1150" s="2710"/>
      <c r="D1150" s="2057" t="s">
        <v>40</v>
      </c>
      <c r="E1150" s="207" t="s">
        <v>41</v>
      </c>
      <c r="F1150" s="2709" t="s">
        <v>42</v>
      </c>
      <c r="G1150" s="2709" t="s">
        <v>43</v>
      </c>
      <c r="H1150" s="2728" t="s">
        <v>44</v>
      </c>
      <c r="I1150" s="2057" t="s">
        <v>45</v>
      </c>
      <c r="J1150" s="211" t="s">
        <v>46</v>
      </c>
      <c r="K1150" s="2060" t="s">
        <v>47</v>
      </c>
      <c r="L1150" s="2722"/>
      <c r="M1150" s="142" t="s">
        <v>30</v>
      </c>
      <c r="N1150" s="142" t="s">
        <v>30</v>
      </c>
      <c r="O1150" s="212" t="s">
        <v>25</v>
      </c>
      <c r="P1150" s="213" t="s">
        <v>30</v>
      </c>
      <c r="Q1150" s="214" t="s">
        <v>48</v>
      </c>
      <c r="R1150" s="213" t="s">
        <v>49</v>
      </c>
      <c r="S1150" s="8" t="s">
        <v>30</v>
      </c>
      <c r="T1150" s="215" t="s">
        <v>50</v>
      </c>
      <c r="U1150" s="2059" t="s">
        <v>13</v>
      </c>
      <c r="V1150" s="165" t="s">
        <v>51</v>
      </c>
      <c r="W1150" s="166" t="s">
        <v>52</v>
      </c>
      <c r="X1150" s="5" t="s">
        <v>53</v>
      </c>
      <c r="Y1150" s="5" t="s">
        <v>54</v>
      </c>
      <c r="Z1150" s="5" t="s">
        <v>55</v>
      </c>
      <c r="AA1150" s="377" t="s">
        <v>56</v>
      </c>
      <c r="AB1150" s="378" t="s">
        <v>57</v>
      </c>
    </row>
    <row r="1151" spans="1:34" x14ac:dyDescent="0.2">
      <c r="A1151" s="2710"/>
      <c r="B1151" s="2057" t="s">
        <v>61</v>
      </c>
      <c r="C1151" s="2710"/>
      <c r="D1151" s="2057" t="s">
        <v>62</v>
      </c>
      <c r="E1151" s="207" t="s">
        <v>63</v>
      </c>
      <c r="F1151" s="2710"/>
      <c r="G1151" s="2710"/>
      <c r="H1151" s="2729"/>
      <c r="I1151" s="2057" t="s">
        <v>64</v>
      </c>
      <c r="J1151" s="211" t="s">
        <v>59</v>
      </c>
      <c r="K1151" s="2060" t="s">
        <v>59</v>
      </c>
      <c r="L1151" s="2722"/>
      <c r="M1151" s="142"/>
      <c r="N1151" s="142"/>
      <c r="O1151" s="212" t="s">
        <v>41</v>
      </c>
      <c r="P1151" s="213" t="s">
        <v>65</v>
      </c>
      <c r="Q1151" s="214" t="s">
        <v>66</v>
      </c>
      <c r="R1151" s="213" t="s">
        <v>67</v>
      </c>
      <c r="S1151" s="8" t="s">
        <v>59</v>
      </c>
      <c r="T1151" s="216" t="s">
        <v>68</v>
      </c>
      <c r="U1151" s="165" t="s">
        <v>14</v>
      </c>
      <c r="V1151" s="165" t="s">
        <v>14</v>
      </c>
      <c r="W1151" s="166" t="s">
        <v>30</v>
      </c>
      <c r="X1151" s="167" t="s">
        <v>69</v>
      </c>
      <c r="Y1151" s="167" t="s">
        <v>70</v>
      </c>
      <c r="Z1151" s="5" t="s">
        <v>71</v>
      </c>
      <c r="AA1151" s="377" t="s">
        <v>72</v>
      </c>
      <c r="AB1151" s="378" t="s">
        <v>59</v>
      </c>
    </row>
    <row r="1152" spans="1:34" x14ac:dyDescent="0.2">
      <c r="A1152" s="2711"/>
      <c r="B1152" s="9"/>
      <c r="C1152" s="2711"/>
      <c r="D1152" s="9"/>
      <c r="E1152" s="2058"/>
      <c r="F1152" s="9"/>
      <c r="G1152" s="9"/>
      <c r="H1152" s="10"/>
      <c r="I1152" s="2058"/>
      <c r="J1152" s="217"/>
      <c r="K1152" s="168"/>
      <c r="L1152" s="2723"/>
      <c r="M1152" s="143"/>
      <c r="N1152" s="143"/>
      <c r="O1152" s="143" t="s">
        <v>63</v>
      </c>
      <c r="P1152" s="218"/>
      <c r="Q1152" s="219" t="s">
        <v>72</v>
      </c>
      <c r="R1152" s="220" t="s">
        <v>59</v>
      </c>
      <c r="S1152" s="169"/>
      <c r="T1152" s="220" t="s">
        <v>73</v>
      </c>
      <c r="U1152" s="169" t="s">
        <v>59</v>
      </c>
      <c r="V1152" s="170" t="s">
        <v>59</v>
      </c>
      <c r="W1152" s="171" t="s">
        <v>59</v>
      </c>
      <c r="X1152" s="172" t="s">
        <v>59</v>
      </c>
      <c r="Y1152" s="172" t="s">
        <v>59</v>
      </c>
      <c r="Z1152" s="172" t="s">
        <v>59</v>
      </c>
      <c r="AA1152" s="402"/>
      <c r="AB1152" s="403"/>
    </row>
    <row r="1153" spans="1:28" x14ac:dyDescent="0.2">
      <c r="A1153" s="53">
        <v>1</v>
      </c>
      <c r="B1153" s="2172">
        <v>28657</v>
      </c>
      <c r="C1153" s="959">
        <v>44</v>
      </c>
      <c r="D1153" s="51" t="s">
        <v>83</v>
      </c>
      <c r="E1153" s="154">
        <v>4</v>
      </c>
      <c r="F1153" s="51">
        <v>0</v>
      </c>
      <c r="G1153" s="51">
        <v>0</v>
      </c>
      <c r="H1153" s="51">
        <v>83</v>
      </c>
      <c r="I1153" s="70">
        <f>F1153*400+G1153*100+H1153</f>
        <v>83</v>
      </c>
      <c r="J1153" s="71">
        <v>280</v>
      </c>
      <c r="K1153" s="78">
        <f>SUM(I1153*J1153)</f>
        <v>23240</v>
      </c>
      <c r="L1153" s="75"/>
      <c r="M1153" s="51"/>
      <c r="N1153" s="51"/>
      <c r="O1153" s="155"/>
      <c r="P1153" s="824"/>
      <c r="Q1153" s="156"/>
      <c r="R1153" s="157"/>
      <c r="S1153" s="123"/>
      <c r="T1153" s="51"/>
      <c r="U1153" s="204"/>
      <c r="V1153" s="70"/>
      <c r="W1153" s="123">
        <f>K1153+V1153</f>
        <v>23240</v>
      </c>
      <c r="X1153" s="70">
        <f>W1153</f>
        <v>23240</v>
      </c>
      <c r="Y1153" s="71"/>
      <c r="Z1153" s="123">
        <f>+X1153</f>
        <v>23240</v>
      </c>
      <c r="AA1153" s="2074">
        <v>0.3</v>
      </c>
      <c r="AB1153" s="406">
        <f>+Z1153*AA1153/100</f>
        <v>69.72</v>
      </c>
    </row>
    <row r="1154" spans="1:28" x14ac:dyDescent="0.2">
      <c r="A1154" s="52"/>
      <c r="B1154" s="54"/>
      <c r="C1154" s="960"/>
      <c r="D1154" s="54"/>
      <c r="E1154" s="115"/>
      <c r="F1154" s="54"/>
      <c r="G1154" s="960"/>
      <c r="H1154" s="54"/>
      <c r="I1154" s="121"/>
      <c r="J1154" s="108"/>
      <c r="K1154" s="78"/>
      <c r="L1154" s="75"/>
      <c r="M1154" s="105"/>
      <c r="N1154" s="105"/>
      <c r="O1154" s="113"/>
      <c r="P1154" s="131"/>
      <c r="Q1154" s="132"/>
      <c r="R1154" s="133"/>
      <c r="S1154" s="2072"/>
      <c r="T1154" s="105"/>
      <c r="U1154" s="117"/>
      <c r="V1154" s="77"/>
      <c r="W1154" s="121"/>
      <c r="X1154" s="74"/>
      <c r="Y1154" s="117"/>
      <c r="Z1154" s="121"/>
      <c r="AA1154" s="2074"/>
      <c r="AB1154" s="410"/>
    </row>
    <row r="1155" spans="1:28" x14ac:dyDescent="0.2">
      <c r="A1155" s="52"/>
      <c r="B1155" s="54"/>
      <c r="C1155" s="961"/>
      <c r="D1155" s="105"/>
      <c r="E1155" s="115"/>
      <c r="F1155" s="54"/>
      <c r="G1155" s="81"/>
      <c r="H1155" s="54"/>
      <c r="I1155" s="77"/>
      <c r="J1155" s="108"/>
      <c r="K1155" s="78"/>
      <c r="L1155" s="52"/>
      <c r="M1155" s="52"/>
      <c r="N1155" s="52"/>
      <c r="O1155" s="52"/>
      <c r="P1155" s="962"/>
      <c r="Q1155" s="963"/>
      <c r="R1155" s="964"/>
      <c r="S1155" s="965"/>
      <c r="T1155" s="966"/>
      <c r="U1155" s="965"/>
      <c r="V1155" s="965"/>
      <c r="W1155" s="2072"/>
      <c r="X1155" s="121"/>
      <c r="Y1155" s="108"/>
      <c r="Z1155" s="2072"/>
      <c r="AA1155" s="2074"/>
      <c r="AB1155" s="466"/>
    </row>
    <row r="1156" spans="1:28" x14ac:dyDescent="0.2">
      <c r="A1156" s="2070"/>
      <c r="B1156" s="177"/>
      <c r="C1156" s="177"/>
      <c r="D1156" s="2070"/>
      <c r="E1156" s="2070"/>
      <c r="F1156" s="2070"/>
      <c r="G1156" s="2070"/>
      <c r="H1156" s="2076"/>
      <c r="I1156" s="2072"/>
      <c r="J1156" s="178"/>
      <c r="K1156" s="826"/>
      <c r="L1156" s="2070"/>
      <c r="M1156" s="2070"/>
      <c r="N1156" s="2070"/>
      <c r="O1156" s="2070"/>
      <c r="P1156" s="2076"/>
      <c r="Q1156" s="2071"/>
      <c r="R1156" s="827"/>
      <c r="S1156" s="826"/>
      <c r="T1156" s="179"/>
      <c r="U1156" s="828"/>
      <c r="V1156" s="826"/>
      <c r="W1156" s="826"/>
      <c r="X1156" s="829"/>
      <c r="Y1156" s="829"/>
      <c r="Z1156" s="830"/>
      <c r="AA1156" s="764"/>
      <c r="AB1156" s="466"/>
    </row>
    <row r="1157" spans="1:28" x14ac:dyDescent="0.2">
      <c r="A1157" s="2070"/>
      <c r="B1157" s="177"/>
      <c r="C1157" s="177"/>
      <c r="D1157" s="2070"/>
      <c r="E1157" s="2070"/>
      <c r="F1157" s="2070"/>
      <c r="G1157" s="2070"/>
      <c r="H1157" s="2076"/>
      <c r="I1157" s="2072"/>
      <c r="J1157" s="178"/>
      <c r="K1157" s="826"/>
      <c r="L1157" s="2070"/>
      <c r="M1157" s="2070"/>
      <c r="N1157" s="2070"/>
      <c r="O1157" s="2070"/>
      <c r="P1157" s="2076"/>
      <c r="Q1157" s="2071"/>
      <c r="R1157" s="827"/>
      <c r="S1157" s="826"/>
      <c r="T1157" s="179"/>
      <c r="U1157" s="828"/>
      <c r="V1157" s="826"/>
      <c r="W1157" s="826"/>
      <c r="X1157" s="829"/>
      <c r="Y1157" s="829"/>
      <c r="Z1157" s="830"/>
      <c r="AA1157" s="764"/>
      <c r="AB1157" s="466"/>
    </row>
    <row r="1158" spans="1:28" x14ac:dyDescent="0.2">
      <c r="A1158" s="2070"/>
      <c r="B1158" s="177"/>
      <c r="C1158" s="177"/>
      <c r="D1158" s="2070"/>
      <c r="E1158" s="2070"/>
      <c r="F1158" s="2070"/>
      <c r="G1158" s="2070"/>
      <c r="H1158" s="2076"/>
      <c r="I1158" s="2072"/>
      <c r="J1158" s="178"/>
      <c r="K1158" s="826"/>
      <c r="L1158" s="2070"/>
      <c r="M1158" s="2070"/>
      <c r="N1158" s="2070"/>
      <c r="O1158" s="2070"/>
      <c r="P1158" s="2076"/>
      <c r="Q1158" s="2071"/>
      <c r="R1158" s="827"/>
      <c r="S1158" s="826"/>
      <c r="T1158" s="179"/>
      <c r="U1158" s="828"/>
      <c r="V1158" s="826"/>
      <c r="W1158" s="826"/>
      <c r="X1158" s="829"/>
      <c r="Y1158" s="829"/>
      <c r="Z1158" s="830"/>
      <c r="AA1158" s="764"/>
      <c r="AB1158" s="466"/>
    </row>
    <row r="1159" spans="1:28" x14ac:dyDescent="0.2">
      <c r="A1159" s="2070"/>
      <c r="B1159" s="177"/>
      <c r="C1159" s="177"/>
      <c r="D1159" s="2070"/>
      <c r="E1159" s="2070"/>
      <c r="F1159" s="2070"/>
      <c r="G1159" s="2070"/>
      <c r="H1159" s="2076"/>
      <c r="I1159" s="2072"/>
      <c r="J1159" s="178"/>
      <c r="K1159" s="826"/>
      <c r="L1159" s="2070"/>
      <c r="M1159" s="2070"/>
      <c r="N1159" s="2070"/>
      <c r="O1159" s="2070"/>
      <c r="P1159" s="2076"/>
      <c r="Q1159" s="2071"/>
      <c r="R1159" s="827"/>
      <c r="S1159" s="826"/>
      <c r="T1159" s="179"/>
      <c r="U1159" s="828"/>
      <c r="V1159" s="826"/>
      <c r="W1159" s="826"/>
      <c r="X1159" s="829"/>
      <c r="Y1159" s="829"/>
      <c r="Z1159" s="830"/>
      <c r="AA1159" s="764"/>
      <c r="AB1159" s="466"/>
    </row>
    <row r="1160" spans="1:28" x14ac:dyDescent="0.2">
      <c r="A1160" s="2070"/>
      <c r="B1160" s="177"/>
      <c r="C1160" s="177"/>
      <c r="D1160" s="2070"/>
      <c r="E1160" s="2070"/>
      <c r="F1160" s="2070"/>
      <c r="G1160" s="2070"/>
      <c r="H1160" s="2076"/>
      <c r="I1160" s="2072"/>
      <c r="J1160" s="178"/>
      <c r="K1160" s="826"/>
      <c r="L1160" s="2070"/>
      <c r="M1160" s="2070"/>
      <c r="N1160" s="2070"/>
      <c r="O1160" s="2070"/>
      <c r="P1160" s="2076"/>
      <c r="Q1160" s="2071"/>
      <c r="R1160" s="827"/>
      <c r="S1160" s="826"/>
      <c r="T1160" s="179"/>
      <c r="U1160" s="828"/>
      <c r="V1160" s="826"/>
      <c r="W1160" s="826"/>
      <c r="X1160" s="829"/>
      <c r="Y1160" s="829"/>
      <c r="Z1160" s="830"/>
      <c r="AA1160" s="764"/>
      <c r="AB1160" s="466"/>
    </row>
    <row r="1161" spans="1:28" x14ac:dyDescent="0.2">
      <c r="A1161" s="2070"/>
      <c r="B1161" s="177"/>
      <c r="C1161" s="177"/>
      <c r="D1161" s="2070"/>
      <c r="E1161" s="2070"/>
      <c r="F1161" s="2070"/>
      <c r="G1161" s="2070"/>
      <c r="H1161" s="2076"/>
      <c r="I1161" s="2072"/>
      <c r="J1161" s="178"/>
      <c r="K1161" s="826"/>
      <c r="L1161" s="2070"/>
      <c r="M1161" s="2070"/>
      <c r="N1161" s="2070"/>
      <c r="O1161" s="2070"/>
      <c r="P1161" s="2076"/>
      <c r="Q1161" s="2071"/>
      <c r="R1161" s="827"/>
      <c r="S1161" s="826"/>
      <c r="T1161" s="179"/>
      <c r="U1161" s="828"/>
      <c r="V1161" s="826"/>
      <c r="W1161" s="826"/>
      <c r="X1161" s="829"/>
      <c r="Y1161" s="829"/>
      <c r="Z1161" s="830"/>
      <c r="AA1161" s="764"/>
      <c r="AB1161" s="466"/>
    </row>
    <row r="1162" spans="1:28" x14ac:dyDescent="0.2">
      <c r="A1162" s="2070"/>
      <c r="B1162" s="177"/>
      <c r="C1162" s="177"/>
      <c r="D1162" s="2070"/>
      <c r="E1162" s="2070"/>
      <c r="F1162" s="2070"/>
      <c r="G1162" s="2070"/>
      <c r="H1162" s="2076"/>
      <c r="I1162" s="2072"/>
      <c r="J1162" s="178"/>
      <c r="K1162" s="826"/>
      <c r="L1162" s="2070"/>
      <c r="M1162" s="2070"/>
      <c r="N1162" s="2070"/>
      <c r="O1162" s="2070"/>
      <c r="P1162" s="2076"/>
      <c r="Q1162" s="2071"/>
      <c r="R1162" s="827"/>
      <c r="S1162" s="826"/>
      <c r="T1162" s="179"/>
      <c r="U1162" s="828"/>
      <c r="V1162" s="826"/>
      <c r="W1162" s="826"/>
      <c r="X1162" s="829"/>
      <c r="Y1162" s="829"/>
      <c r="Z1162" s="830"/>
      <c r="AA1162" s="764"/>
      <c r="AB1162" s="466"/>
    </row>
    <row r="1163" spans="1:28" x14ac:dyDescent="0.2">
      <c r="A1163" s="2070"/>
      <c r="B1163" s="177"/>
      <c r="C1163" s="177"/>
      <c r="D1163" s="2070"/>
      <c r="E1163" s="2070"/>
      <c r="F1163" s="2070"/>
      <c r="G1163" s="2070"/>
      <c r="H1163" s="2076"/>
      <c r="I1163" s="2072"/>
      <c r="J1163" s="178"/>
      <c r="K1163" s="826"/>
      <c r="L1163" s="2070"/>
      <c r="M1163" s="2070"/>
      <c r="N1163" s="2070"/>
      <c r="O1163" s="2070"/>
      <c r="P1163" s="2076"/>
      <c r="Q1163" s="2071"/>
      <c r="R1163" s="827"/>
      <c r="S1163" s="826"/>
      <c r="T1163" s="179"/>
      <c r="U1163" s="828"/>
      <c r="V1163" s="826"/>
      <c r="W1163" s="826"/>
      <c r="X1163" s="829"/>
      <c r="Y1163" s="829"/>
      <c r="Z1163" s="830"/>
      <c r="AA1163" s="764"/>
      <c r="AB1163" s="466"/>
    </row>
    <row r="1164" spans="1:28" x14ac:dyDescent="0.2">
      <c r="A1164" s="2070"/>
      <c r="B1164" s="177"/>
      <c r="C1164" s="177"/>
      <c r="D1164" s="2070"/>
      <c r="E1164" s="2070"/>
      <c r="F1164" s="2070"/>
      <c r="G1164" s="2070"/>
      <c r="H1164" s="2076"/>
      <c r="I1164" s="2072"/>
      <c r="J1164" s="178"/>
      <c r="K1164" s="826"/>
      <c r="L1164" s="2070"/>
      <c r="M1164" s="2070"/>
      <c r="N1164" s="2070"/>
      <c r="O1164" s="2070"/>
      <c r="P1164" s="2076"/>
      <c r="Q1164" s="2071"/>
      <c r="R1164" s="827"/>
      <c r="S1164" s="826"/>
      <c r="T1164" s="179"/>
      <c r="U1164" s="828"/>
      <c r="V1164" s="826"/>
      <c r="W1164" s="826"/>
      <c r="X1164" s="829"/>
      <c r="Y1164" s="829"/>
      <c r="Z1164" s="830"/>
      <c r="AA1164" s="764"/>
      <c r="AB1164" s="466"/>
    </row>
    <row r="1165" spans="1:28" x14ac:dyDescent="0.2">
      <c r="A1165" s="2070"/>
      <c r="B1165" s="177"/>
      <c r="C1165" s="177"/>
      <c r="D1165" s="2070"/>
      <c r="E1165" s="2070"/>
      <c r="F1165" s="2070"/>
      <c r="G1165" s="2070"/>
      <c r="H1165" s="2076"/>
      <c r="I1165" s="2072"/>
      <c r="J1165" s="178"/>
      <c r="K1165" s="826"/>
      <c r="L1165" s="2070"/>
      <c r="M1165" s="2070"/>
      <c r="N1165" s="2070"/>
      <c r="O1165" s="2070"/>
      <c r="P1165" s="2076"/>
      <c r="Q1165" s="2071"/>
      <c r="R1165" s="827"/>
      <c r="S1165" s="826"/>
      <c r="T1165" s="179"/>
      <c r="U1165" s="828"/>
      <c r="V1165" s="826"/>
      <c r="W1165" s="826"/>
      <c r="X1165" s="829"/>
      <c r="Y1165" s="829"/>
      <c r="Z1165" s="830"/>
      <c r="AA1165" s="764"/>
      <c r="AB1165" s="466"/>
    </row>
    <row r="1166" spans="1:28" x14ac:dyDescent="0.2">
      <c r="A1166" s="2070"/>
      <c r="B1166" s="177"/>
      <c r="C1166" s="177"/>
      <c r="D1166" s="2070"/>
      <c r="E1166" s="2070"/>
      <c r="F1166" s="2070"/>
      <c r="G1166" s="2070"/>
      <c r="H1166" s="2076"/>
      <c r="I1166" s="2072"/>
      <c r="J1166" s="178"/>
      <c r="K1166" s="826"/>
      <c r="L1166" s="2070"/>
      <c r="M1166" s="2070"/>
      <c r="N1166" s="2070"/>
      <c r="O1166" s="2070"/>
      <c r="P1166" s="2076"/>
      <c r="Q1166" s="2071"/>
      <c r="R1166" s="827"/>
      <c r="S1166" s="826"/>
      <c r="T1166" s="179"/>
      <c r="U1166" s="828"/>
      <c r="V1166" s="826"/>
      <c r="W1166" s="826"/>
      <c r="X1166" s="829"/>
      <c r="Y1166" s="829"/>
      <c r="Z1166" s="830"/>
      <c r="AA1166" s="764"/>
      <c r="AB1166" s="466"/>
    </row>
    <row r="1167" spans="1:28" x14ac:dyDescent="0.2">
      <c r="A1167" s="88"/>
      <c r="B1167" s="180"/>
      <c r="C1167" s="180"/>
      <c r="D1167" s="88"/>
      <c r="E1167" s="88"/>
      <c r="F1167" s="88"/>
      <c r="G1167" s="88"/>
      <c r="H1167" s="120"/>
      <c r="I1167" s="121"/>
      <c r="J1167" s="181"/>
      <c r="K1167" s="833"/>
      <c r="L1167" s="88"/>
      <c r="M1167" s="88"/>
      <c r="N1167" s="88"/>
      <c r="O1167" s="88"/>
      <c r="P1167" s="88"/>
      <c r="Q1167" s="129"/>
      <c r="R1167" s="834"/>
      <c r="S1167" s="833"/>
      <c r="T1167" s="182"/>
      <c r="U1167" s="835"/>
      <c r="V1167" s="833"/>
      <c r="W1167" s="833"/>
      <c r="X1167" s="836"/>
      <c r="Y1167" s="836"/>
      <c r="Z1167" s="837"/>
      <c r="AA1167" s="780"/>
      <c r="AB1167" s="410"/>
    </row>
    <row r="1168" spans="1:28" x14ac:dyDescent="0.2">
      <c r="A1168" s="183"/>
      <c r="B1168" s="183"/>
      <c r="C1168" s="183"/>
      <c r="D1168" s="183"/>
      <c r="E1168" s="183"/>
      <c r="F1168" s="183"/>
      <c r="G1168" s="183"/>
      <c r="H1168" s="184"/>
      <c r="I1168" s="185"/>
      <c r="J1168" s="186"/>
      <c r="K1168" s="838"/>
      <c r="L1168" s="838"/>
      <c r="M1168" s="838"/>
      <c r="N1168" s="838"/>
      <c r="O1168" s="838"/>
      <c r="P1168" s="838"/>
      <c r="Q1168" s="838"/>
      <c r="R1168" s="839"/>
      <c r="S1168" s="838"/>
      <c r="T1168" s="187"/>
      <c r="U1168" s="840"/>
      <c r="V1168" s="838"/>
      <c r="W1168" s="838"/>
      <c r="X1168" s="841"/>
      <c r="Y1168" s="841"/>
      <c r="Z1168" s="842"/>
      <c r="AA1168" s="967"/>
      <c r="AB1168" s="476">
        <f>SUM(AB1153:AB1167)</f>
        <v>69.72</v>
      </c>
    </row>
    <row r="1169" spans="1:28" ht="15.75" x14ac:dyDescent="0.2">
      <c r="A1169" s="2730" t="s">
        <v>76</v>
      </c>
      <c r="B1169" s="2730"/>
      <c r="C1169" s="2731" t="s">
        <v>77</v>
      </c>
      <c r="D1169" s="2731"/>
      <c r="E1169" s="2731"/>
      <c r="F1169" s="2731"/>
      <c r="G1169" s="2731"/>
      <c r="H1169" s="2731"/>
      <c r="I1169" s="843" t="s">
        <v>78</v>
      </c>
      <c r="J1169" s="843"/>
      <c r="K1169" s="843"/>
      <c r="L1169" s="843"/>
      <c r="M1169" s="843"/>
      <c r="N1169" s="843"/>
      <c r="O1169" s="844"/>
      <c r="P1169" s="844"/>
      <c r="Q1169" s="844"/>
      <c r="R1169" s="844"/>
      <c r="S1169" s="844"/>
      <c r="T1169" s="844"/>
      <c r="U1169" s="844"/>
      <c r="V1169" s="844"/>
      <c r="W1169" s="844"/>
      <c r="X1169" s="844"/>
      <c r="Y1169" s="844"/>
      <c r="Z1169" s="844"/>
      <c r="AA1169" s="968"/>
      <c r="AB1169" s="845"/>
    </row>
    <row r="1170" spans="1:28" ht="15.75" x14ac:dyDescent="0.2">
      <c r="A1170" s="843"/>
      <c r="B1170" s="846"/>
      <c r="C1170" s="843"/>
      <c r="D1170" s="843"/>
      <c r="E1170" s="843"/>
      <c r="F1170" s="843"/>
      <c r="G1170" s="843"/>
      <c r="H1170" s="843"/>
      <c r="I1170" s="843" t="s">
        <v>79</v>
      </c>
      <c r="J1170" s="843"/>
      <c r="K1170" s="843"/>
      <c r="L1170" s="843"/>
      <c r="M1170" s="843"/>
      <c r="N1170" s="843"/>
      <c r="O1170" s="844"/>
      <c r="P1170" s="844"/>
      <c r="Q1170" s="844"/>
      <c r="R1170" s="844"/>
      <c r="S1170" s="844"/>
      <c r="T1170" s="844"/>
      <c r="U1170" s="844"/>
      <c r="V1170" s="844"/>
      <c r="W1170" s="844"/>
      <c r="X1170" s="844"/>
      <c r="Y1170" s="844"/>
      <c r="Z1170" s="844"/>
      <c r="AA1170" s="968"/>
      <c r="AB1170" s="845"/>
    </row>
    <row r="1171" spans="1:28" ht="15.75" x14ac:dyDescent="0.2">
      <c r="A1171" s="843"/>
      <c r="B1171" s="846"/>
      <c r="C1171" s="843"/>
      <c r="D1171" s="843"/>
      <c r="E1171" s="843"/>
      <c r="F1171" s="843"/>
      <c r="G1171" s="843"/>
      <c r="H1171" s="843"/>
      <c r="I1171" s="843" t="s">
        <v>80</v>
      </c>
      <c r="J1171" s="843"/>
      <c r="K1171" s="843"/>
      <c r="L1171" s="843"/>
      <c r="M1171" s="843"/>
      <c r="N1171" s="843"/>
      <c r="O1171" s="844"/>
      <c r="P1171" s="844"/>
      <c r="Q1171" s="844"/>
      <c r="R1171" s="844"/>
      <c r="S1171" s="844"/>
      <c r="T1171" s="844"/>
      <c r="U1171" s="844"/>
      <c r="V1171" s="844"/>
      <c r="W1171" s="844"/>
      <c r="X1171" s="844"/>
      <c r="Y1171" s="844"/>
      <c r="Z1171" s="844"/>
      <c r="AA1171" s="968"/>
      <c r="AB1171" s="845"/>
    </row>
    <row r="1172" spans="1:28" ht="15.75" x14ac:dyDescent="0.2">
      <c r="A1172" s="843"/>
      <c r="B1172" s="846"/>
      <c r="C1172" s="843"/>
      <c r="D1172" s="843"/>
      <c r="E1172" s="843"/>
      <c r="F1172" s="843"/>
      <c r="G1172" s="843"/>
      <c r="H1172" s="843"/>
      <c r="I1172" s="843" t="s">
        <v>81</v>
      </c>
      <c r="J1172" s="843"/>
      <c r="K1172" s="843"/>
      <c r="L1172" s="843"/>
      <c r="M1172" s="843"/>
      <c r="N1172" s="843"/>
      <c r="O1172" s="844"/>
      <c r="P1172" s="844"/>
      <c r="Q1172" s="844"/>
      <c r="R1172" s="844"/>
      <c r="S1172" s="844"/>
      <c r="T1172" s="844"/>
      <c r="U1172" s="844"/>
      <c r="V1172" s="844"/>
      <c r="W1172" s="844"/>
      <c r="X1172" s="844"/>
      <c r="Y1172" s="844"/>
      <c r="Z1172" s="844"/>
      <c r="AA1172" s="968"/>
      <c r="AB1172" s="845"/>
    </row>
    <row r="1173" spans="1:28" ht="15.75" x14ac:dyDescent="0.2">
      <c r="A1173" s="843"/>
      <c r="B1173" s="846"/>
      <c r="C1173" s="843"/>
      <c r="D1173" s="843"/>
      <c r="E1173" s="843"/>
      <c r="F1173" s="843"/>
      <c r="G1173" s="843"/>
      <c r="H1173" s="843"/>
      <c r="I1173" s="843" t="s">
        <v>88</v>
      </c>
      <c r="J1173" s="843"/>
      <c r="K1173" s="843"/>
      <c r="L1173" s="843"/>
      <c r="M1173" s="843"/>
      <c r="N1173" s="843"/>
      <c r="O1173" s="844"/>
      <c r="P1173" s="844"/>
      <c r="Q1173" s="844"/>
      <c r="R1173" s="844"/>
      <c r="S1173" s="844"/>
      <c r="T1173" s="844"/>
      <c r="U1173" s="844"/>
      <c r="V1173" s="844"/>
      <c r="W1173" s="844"/>
      <c r="X1173" s="844"/>
      <c r="Y1173" s="844"/>
      <c r="Z1173" s="844"/>
      <c r="AA1173" s="968"/>
      <c r="AB1173" s="845"/>
    </row>
    <row r="1174" spans="1:28" ht="18.75" x14ac:dyDescent="0.2">
      <c r="A1174" s="822"/>
      <c r="B1174" s="822"/>
      <c r="C1174" s="822"/>
      <c r="D1174" s="822"/>
      <c r="E1174" s="822"/>
      <c r="F1174" s="822"/>
      <c r="G1174" s="822"/>
      <c r="H1174" s="822"/>
      <c r="I1174" s="822"/>
      <c r="J1174" s="822"/>
      <c r="K1174" s="822"/>
      <c r="L1174" s="822"/>
      <c r="M1174" s="822"/>
      <c r="N1174" s="822"/>
      <c r="O1174" s="822"/>
      <c r="P1174" s="822"/>
      <c r="Q1174" s="822"/>
      <c r="R1174" s="822"/>
      <c r="S1174" s="822"/>
      <c r="T1174" s="822"/>
      <c r="U1174" s="822"/>
      <c r="V1174" s="822"/>
      <c r="W1174" s="822"/>
      <c r="X1174" s="822"/>
      <c r="Y1174" s="822"/>
      <c r="Z1174" s="822"/>
      <c r="AA1174" s="2739" t="s">
        <v>0</v>
      </c>
      <c r="AB1174" s="2739"/>
    </row>
    <row r="1175" spans="1:28" ht="18.75" x14ac:dyDescent="0.2">
      <c r="A1175" s="2707" t="s">
        <v>1</v>
      </c>
      <c r="B1175" s="2707"/>
      <c r="C1175" s="2707"/>
      <c r="D1175" s="2707"/>
      <c r="E1175" s="2707"/>
      <c r="F1175" s="2707"/>
      <c r="G1175" s="2707"/>
      <c r="H1175" s="2707"/>
      <c r="I1175" s="2707"/>
      <c r="J1175" s="2707"/>
      <c r="K1175" s="2707"/>
      <c r="L1175" s="2707"/>
      <c r="M1175" s="2707"/>
      <c r="N1175" s="2707"/>
      <c r="O1175" s="2707"/>
      <c r="P1175" s="2707"/>
      <c r="Q1175" s="2707"/>
      <c r="R1175" s="2707"/>
      <c r="S1175" s="2707"/>
      <c r="T1175" s="2707"/>
      <c r="U1175" s="2707"/>
      <c r="V1175" s="2707"/>
      <c r="W1175" s="2707"/>
      <c r="X1175" s="2707"/>
      <c r="Y1175" s="2707"/>
      <c r="Z1175" s="2707"/>
      <c r="AA1175" s="2707"/>
      <c r="AB1175" s="2707"/>
    </row>
    <row r="1176" spans="1:28" ht="18.75" x14ac:dyDescent="0.2">
      <c r="A1176" s="2741" t="s">
        <v>582</v>
      </c>
      <c r="B1176" s="2741"/>
      <c r="C1176" s="2741"/>
      <c r="D1176" s="2741"/>
      <c r="E1176" s="2741"/>
      <c r="F1176" s="2741"/>
      <c r="G1176" s="2741"/>
      <c r="H1176" s="2741"/>
      <c r="I1176" s="2741"/>
      <c r="J1176" s="2741"/>
      <c r="K1176" s="2741"/>
      <c r="L1176" s="2741"/>
      <c r="M1176" s="2741"/>
      <c r="N1176" s="2741"/>
      <c r="O1176" s="2741"/>
      <c r="P1176" s="2741"/>
      <c r="Q1176" s="2741"/>
      <c r="R1176" s="2741"/>
      <c r="S1176" s="2741"/>
      <c r="T1176" s="2741"/>
      <c r="U1176" s="2741"/>
      <c r="V1176" s="2741"/>
      <c r="W1176" s="2741"/>
      <c r="X1176" s="2741"/>
      <c r="Y1176" s="2741"/>
      <c r="Z1176" s="2741"/>
      <c r="AA1176" s="2741"/>
      <c r="AB1176" s="2741"/>
    </row>
    <row r="1177" spans="1:28" x14ac:dyDescent="0.2">
      <c r="A1177" s="2709" t="s">
        <v>2</v>
      </c>
      <c r="B1177" s="160"/>
      <c r="C1177" s="2709" t="s">
        <v>3</v>
      </c>
      <c r="D1177" s="160"/>
      <c r="E1177" s="160"/>
      <c r="F1177" s="2712" t="s">
        <v>4</v>
      </c>
      <c r="G1177" s="2712"/>
      <c r="H1177" s="2712"/>
      <c r="I1177" s="2713"/>
      <c r="J1177" s="2713"/>
      <c r="K1177" s="2714"/>
      <c r="L1177" s="2"/>
      <c r="M1177" s="2715" t="s">
        <v>5</v>
      </c>
      <c r="N1177" s="2715"/>
      <c r="O1177" s="2715"/>
      <c r="P1177" s="2715"/>
      <c r="Q1177" s="2716"/>
      <c r="R1177" s="2716"/>
      <c r="S1177" s="2716"/>
      <c r="T1177" s="2716"/>
      <c r="U1177" s="2716"/>
      <c r="V1177" s="2717"/>
      <c r="W1177" s="161" t="s">
        <v>6</v>
      </c>
      <c r="X1177" s="162" t="s">
        <v>7</v>
      </c>
      <c r="Y1177" s="163"/>
      <c r="Z1177" s="163"/>
      <c r="AA1177" s="162"/>
      <c r="AB1177" s="206"/>
    </row>
    <row r="1178" spans="1:28" x14ac:dyDescent="0.2">
      <c r="A1178" s="2710"/>
      <c r="B1178" s="4"/>
      <c r="C1178" s="2710"/>
      <c r="D1178" s="2057" t="s">
        <v>9</v>
      </c>
      <c r="E1178" s="207" t="s">
        <v>10</v>
      </c>
      <c r="F1178" s="2718" t="s">
        <v>11</v>
      </c>
      <c r="G1178" s="2713"/>
      <c r="H1178" s="2714"/>
      <c r="I1178" s="160"/>
      <c r="J1178" s="208" t="s">
        <v>12</v>
      </c>
      <c r="K1178" s="160"/>
      <c r="L1178" s="2715" t="s">
        <v>2</v>
      </c>
      <c r="M1178" s="141"/>
      <c r="N1178" s="141"/>
      <c r="O1178" s="141"/>
      <c r="P1178" s="164"/>
      <c r="Q1178" s="209" t="s">
        <v>13</v>
      </c>
      <c r="R1178" s="210" t="s">
        <v>12</v>
      </c>
      <c r="S1178" s="141" t="s">
        <v>6</v>
      </c>
      <c r="T1178" s="2724" t="s">
        <v>14</v>
      </c>
      <c r="U1178" s="2725"/>
      <c r="V1178" s="165" t="s">
        <v>7</v>
      </c>
      <c r="W1178" s="166" t="s">
        <v>15</v>
      </c>
      <c r="X1178" s="5" t="s">
        <v>16</v>
      </c>
      <c r="Y1178" s="5" t="s">
        <v>17</v>
      </c>
      <c r="Z1178" s="5" t="s">
        <v>18</v>
      </c>
      <c r="AA1178" s="377"/>
      <c r="AB1178" s="378" t="s">
        <v>19</v>
      </c>
    </row>
    <row r="1179" spans="1:28" x14ac:dyDescent="0.2">
      <c r="A1179" s="2710"/>
      <c r="B1179" s="2057" t="s">
        <v>23</v>
      </c>
      <c r="C1179" s="2710"/>
      <c r="D1179" s="2057" t="s">
        <v>24</v>
      </c>
      <c r="E1179" s="207" t="s">
        <v>25</v>
      </c>
      <c r="F1179" s="2719"/>
      <c r="G1179" s="2720"/>
      <c r="H1179" s="2721"/>
      <c r="I1179" s="2057" t="s">
        <v>26</v>
      </c>
      <c r="J1179" s="211" t="s">
        <v>15</v>
      </c>
      <c r="K1179" s="2060" t="s">
        <v>6</v>
      </c>
      <c r="L1179" s="2722"/>
      <c r="M1179" s="142" t="s">
        <v>27</v>
      </c>
      <c r="N1179" s="142" t="s">
        <v>10</v>
      </c>
      <c r="O1179" s="212" t="s">
        <v>10</v>
      </c>
      <c r="P1179" s="213" t="s">
        <v>28</v>
      </c>
      <c r="Q1179" s="214" t="s">
        <v>29</v>
      </c>
      <c r="R1179" s="213" t="s">
        <v>15</v>
      </c>
      <c r="S1179" s="8" t="s">
        <v>15</v>
      </c>
      <c r="T1179" s="2726"/>
      <c r="U1179" s="2727"/>
      <c r="V1179" s="165" t="s">
        <v>30</v>
      </c>
      <c r="W1179" s="166" t="s">
        <v>31</v>
      </c>
      <c r="X1179" s="5" t="s">
        <v>30</v>
      </c>
      <c r="Y1179" s="5" t="s">
        <v>32</v>
      </c>
      <c r="Z1179" s="5" t="s">
        <v>7</v>
      </c>
      <c r="AA1179" s="377" t="s">
        <v>33</v>
      </c>
      <c r="AB1179" s="378" t="s">
        <v>34</v>
      </c>
    </row>
    <row r="1180" spans="1:28" x14ac:dyDescent="0.2">
      <c r="A1180" s="2710"/>
      <c r="B1180" s="2057" t="s">
        <v>39</v>
      </c>
      <c r="C1180" s="2710"/>
      <c r="D1180" s="2057" t="s">
        <v>40</v>
      </c>
      <c r="E1180" s="207" t="s">
        <v>41</v>
      </c>
      <c r="F1180" s="2709" t="s">
        <v>42</v>
      </c>
      <c r="G1180" s="2709" t="s">
        <v>43</v>
      </c>
      <c r="H1180" s="2728" t="s">
        <v>44</v>
      </c>
      <c r="I1180" s="2057" t="s">
        <v>45</v>
      </c>
      <c r="J1180" s="211" t="s">
        <v>46</v>
      </c>
      <c r="K1180" s="2060" t="s">
        <v>47</v>
      </c>
      <c r="L1180" s="2722"/>
      <c r="M1180" s="142" t="s">
        <v>30</v>
      </c>
      <c r="N1180" s="142" t="s">
        <v>30</v>
      </c>
      <c r="O1180" s="212" t="s">
        <v>25</v>
      </c>
      <c r="P1180" s="213" t="s">
        <v>30</v>
      </c>
      <c r="Q1180" s="214" t="s">
        <v>48</v>
      </c>
      <c r="R1180" s="213" t="s">
        <v>49</v>
      </c>
      <c r="S1180" s="8" t="s">
        <v>30</v>
      </c>
      <c r="T1180" s="215" t="s">
        <v>50</v>
      </c>
      <c r="U1180" s="2059" t="s">
        <v>13</v>
      </c>
      <c r="V1180" s="165" t="s">
        <v>51</v>
      </c>
      <c r="W1180" s="166" t="s">
        <v>52</v>
      </c>
      <c r="X1180" s="5" t="s">
        <v>53</v>
      </c>
      <c r="Y1180" s="5" t="s">
        <v>54</v>
      </c>
      <c r="Z1180" s="5" t="s">
        <v>55</v>
      </c>
      <c r="AA1180" s="377" t="s">
        <v>56</v>
      </c>
      <c r="AB1180" s="378" t="s">
        <v>57</v>
      </c>
    </row>
    <row r="1181" spans="1:28" x14ac:dyDescent="0.2">
      <c r="A1181" s="2710"/>
      <c r="B1181" s="2057" t="s">
        <v>61</v>
      </c>
      <c r="C1181" s="2710"/>
      <c r="D1181" s="2057" t="s">
        <v>62</v>
      </c>
      <c r="E1181" s="207" t="s">
        <v>63</v>
      </c>
      <c r="F1181" s="2710"/>
      <c r="G1181" s="2710"/>
      <c r="H1181" s="2729"/>
      <c r="I1181" s="2057" t="s">
        <v>64</v>
      </c>
      <c r="J1181" s="211" t="s">
        <v>59</v>
      </c>
      <c r="K1181" s="2060" t="s">
        <v>59</v>
      </c>
      <c r="L1181" s="2722"/>
      <c r="M1181" s="142"/>
      <c r="N1181" s="142"/>
      <c r="O1181" s="212" t="s">
        <v>41</v>
      </c>
      <c r="P1181" s="213" t="s">
        <v>65</v>
      </c>
      <c r="Q1181" s="214" t="s">
        <v>66</v>
      </c>
      <c r="R1181" s="213" t="s">
        <v>67</v>
      </c>
      <c r="S1181" s="8" t="s">
        <v>59</v>
      </c>
      <c r="T1181" s="216" t="s">
        <v>68</v>
      </c>
      <c r="U1181" s="165" t="s">
        <v>14</v>
      </c>
      <c r="V1181" s="165" t="s">
        <v>14</v>
      </c>
      <c r="W1181" s="166" t="s">
        <v>30</v>
      </c>
      <c r="X1181" s="167" t="s">
        <v>69</v>
      </c>
      <c r="Y1181" s="167" t="s">
        <v>70</v>
      </c>
      <c r="Z1181" s="5" t="s">
        <v>71</v>
      </c>
      <c r="AA1181" s="377" t="s">
        <v>72</v>
      </c>
      <c r="AB1181" s="378" t="s">
        <v>59</v>
      </c>
    </row>
    <row r="1182" spans="1:28" x14ac:dyDescent="0.2">
      <c r="A1182" s="2711"/>
      <c r="B1182" s="9"/>
      <c r="C1182" s="2711"/>
      <c r="D1182" s="9"/>
      <c r="E1182" s="2058"/>
      <c r="F1182" s="9"/>
      <c r="G1182" s="9"/>
      <c r="H1182" s="10"/>
      <c r="I1182" s="2058"/>
      <c r="J1182" s="217"/>
      <c r="K1182" s="168"/>
      <c r="L1182" s="2723"/>
      <c r="M1182" s="143"/>
      <c r="N1182" s="143"/>
      <c r="O1182" s="143" t="s">
        <v>63</v>
      </c>
      <c r="P1182" s="218"/>
      <c r="Q1182" s="219" t="s">
        <v>72</v>
      </c>
      <c r="R1182" s="220" t="s">
        <v>59</v>
      </c>
      <c r="S1182" s="169"/>
      <c r="T1182" s="220" t="s">
        <v>73</v>
      </c>
      <c r="U1182" s="169" t="s">
        <v>59</v>
      </c>
      <c r="V1182" s="170" t="s">
        <v>59</v>
      </c>
      <c r="W1182" s="171" t="s">
        <v>59</v>
      </c>
      <c r="X1182" s="172" t="s">
        <v>59</v>
      </c>
      <c r="Y1182" s="172" t="s">
        <v>59</v>
      </c>
      <c r="Z1182" s="172" t="s">
        <v>59</v>
      </c>
      <c r="AA1182" s="402"/>
      <c r="AB1182" s="403"/>
    </row>
    <row r="1183" spans="1:28" x14ac:dyDescent="0.2">
      <c r="A1183" s="53">
        <v>1</v>
      </c>
      <c r="B1183" s="2172">
        <v>79471</v>
      </c>
      <c r="C1183" s="959">
        <v>1999</v>
      </c>
      <c r="D1183" s="51" t="s">
        <v>83</v>
      </c>
      <c r="E1183" s="154">
        <v>4</v>
      </c>
      <c r="F1183" s="51">
        <v>0</v>
      </c>
      <c r="G1183" s="51">
        <v>1</v>
      </c>
      <c r="H1183" s="51">
        <v>3.8</v>
      </c>
      <c r="I1183" s="70">
        <f>F1183*400+G1183*100+H1183</f>
        <v>103.8</v>
      </c>
      <c r="J1183" s="71">
        <v>430</v>
      </c>
      <c r="K1183" s="78">
        <f>SUM(I1183*J1183)</f>
        <v>44634</v>
      </c>
      <c r="L1183" s="75"/>
      <c r="M1183" s="51"/>
      <c r="N1183" s="51"/>
      <c r="O1183" s="155"/>
      <c r="P1183" s="824"/>
      <c r="Q1183" s="156"/>
      <c r="R1183" s="157"/>
      <c r="S1183" s="123"/>
      <c r="T1183" s="51"/>
      <c r="U1183" s="204"/>
      <c r="V1183" s="70"/>
      <c r="W1183" s="123">
        <f>K1183+V1183</f>
        <v>44634</v>
      </c>
      <c r="X1183" s="70">
        <f>W1183</f>
        <v>44634</v>
      </c>
      <c r="Y1183" s="71"/>
      <c r="Z1183" s="123">
        <f>+X1183</f>
        <v>44634</v>
      </c>
      <c r="AA1183" s="2074">
        <v>0.3</v>
      </c>
      <c r="AB1183" s="406">
        <f>+Z1183*AA1183/100</f>
        <v>133.90199999999999</v>
      </c>
    </row>
    <row r="1184" spans="1:28" x14ac:dyDescent="0.2">
      <c r="A1184" s="52"/>
      <c r="B1184" s="54"/>
      <c r="C1184" s="960"/>
      <c r="D1184" s="54"/>
      <c r="E1184" s="115"/>
      <c r="F1184" s="54"/>
      <c r="G1184" s="960"/>
      <c r="H1184" s="54"/>
      <c r="I1184" s="121"/>
      <c r="J1184" s="108"/>
      <c r="K1184" s="78"/>
      <c r="L1184" s="75"/>
      <c r="M1184" s="105"/>
      <c r="N1184" s="105"/>
      <c r="O1184" s="113"/>
      <c r="P1184" s="131"/>
      <c r="Q1184" s="132"/>
      <c r="R1184" s="133"/>
      <c r="S1184" s="2072"/>
      <c r="T1184" s="105"/>
      <c r="U1184" s="117"/>
      <c r="V1184" s="77"/>
      <c r="W1184" s="121"/>
      <c r="X1184" s="74"/>
      <c r="Y1184" s="117"/>
      <c r="Z1184" s="121"/>
      <c r="AA1184" s="2074"/>
      <c r="AB1184" s="410"/>
    </row>
    <row r="1185" spans="1:28" x14ac:dyDescent="0.2">
      <c r="A1185" s="52"/>
      <c r="B1185" s="54"/>
      <c r="C1185" s="961"/>
      <c r="D1185" s="105"/>
      <c r="E1185" s="115"/>
      <c r="F1185" s="54"/>
      <c r="G1185" s="81"/>
      <c r="H1185" s="54"/>
      <c r="I1185" s="77"/>
      <c r="J1185" s="108"/>
      <c r="K1185" s="78"/>
      <c r="L1185" s="52"/>
      <c r="M1185" s="52"/>
      <c r="N1185" s="52"/>
      <c r="O1185" s="52"/>
      <c r="P1185" s="962"/>
      <c r="Q1185" s="963"/>
      <c r="R1185" s="964"/>
      <c r="S1185" s="965"/>
      <c r="T1185" s="966"/>
      <c r="U1185" s="965"/>
      <c r="V1185" s="965"/>
      <c r="W1185" s="2072"/>
      <c r="X1185" s="121"/>
      <c r="Y1185" s="108"/>
      <c r="Z1185" s="2072"/>
      <c r="AA1185" s="2074"/>
      <c r="AB1185" s="466"/>
    </row>
    <row r="1186" spans="1:28" x14ac:dyDescent="0.2">
      <c r="A1186" s="2070"/>
      <c r="B1186" s="177"/>
      <c r="C1186" s="177"/>
      <c r="D1186" s="2070"/>
      <c r="E1186" s="2070"/>
      <c r="F1186" s="2070"/>
      <c r="G1186" s="2070"/>
      <c r="H1186" s="2076"/>
      <c r="I1186" s="2072"/>
      <c r="J1186" s="178"/>
      <c r="K1186" s="826"/>
      <c r="L1186" s="2070"/>
      <c r="M1186" s="2070"/>
      <c r="N1186" s="2070"/>
      <c r="O1186" s="2070"/>
      <c r="P1186" s="2076"/>
      <c r="Q1186" s="2071"/>
      <c r="R1186" s="827"/>
      <c r="S1186" s="826"/>
      <c r="T1186" s="179"/>
      <c r="U1186" s="828"/>
      <c r="V1186" s="826"/>
      <c r="W1186" s="826"/>
      <c r="X1186" s="829"/>
      <c r="Y1186" s="829"/>
      <c r="Z1186" s="830"/>
      <c r="AA1186" s="764"/>
      <c r="AB1186" s="466"/>
    </row>
    <row r="1187" spans="1:28" x14ac:dyDescent="0.2">
      <c r="A1187" s="2070"/>
      <c r="B1187" s="177"/>
      <c r="C1187" s="177"/>
      <c r="D1187" s="2070"/>
      <c r="E1187" s="2070"/>
      <c r="F1187" s="2070"/>
      <c r="G1187" s="2070"/>
      <c r="H1187" s="2076"/>
      <c r="I1187" s="2072"/>
      <c r="J1187" s="178"/>
      <c r="K1187" s="826"/>
      <c r="L1187" s="2070"/>
      <c r="M1187" s="2070"/>
      <c r="N1187" s="2070"/>
      <c r="O1187" s="2070"/>
      <c r="P1187" s="2076"/>
      <c r="Q1187" s="2071"/>
      <c r="R1187" s="827"/>
      <c r="S1187" s="826"/>
      <c r="T1187" s="179"/>
      <c r="U1187" s="828"/>
      <c r="V1187" s="826"/>
      <c r="W1187" s="826"/>
      <c r="X1187" s="829"/>
      <c r="Y1187" s="829"/>
      <c r="Z1187" s="830"/>
      <c r="AA1187" s="764"/>
      <c r="AB1187" s="466"/>
    </row>
    <row r="1188" spans="1:28" x14ac:dyDescent="0.2">
      <c r="A1188" s="2070"/>
      <c r="B1188" s="177"/>
      <c r="C1188" s="177"/>
      <c r="D1188" s="2070"/>
      <c r="E1188" s="2070"/>
      <c r="F1188" s="2070"/>
      <c r="G1188" s="2070"/>
      <c r="H1188" s="2076"/>
      <c r="I1188" s="2072"/>
      <c r="J1188" s="178"/>
      <c r="K1188" s="826"/>
      <c r="L1188" s="2070"/>
      <c r="M1188" s="2070"/>
      <c r="N1188" s="2070"/>
      <c r="O1188" s="2070"/>
      <c r="P1188" s="2076"/>
      <c r="Q1188" s="2071"/>
      <c r="R1188" s="827"/>
      <c r="S1188" s="826"/>
      <c r="T1188" s="179"/>
      <c r="U1188" s="828"/>
      <c r="V1188" s="826"/>
      <c r="W1188" s="826"/>
      <c r="X1188" s="829"/>
      <c r="Y1188" s="829"/>
      <c r="Z1188" s="830"/>
      <c r="AA1188" s="764"/>
      <c r="AB1188" s="466"/>
    </row>
    <row r="1189" spans="1:28" x14ac:dyDescent="0.2">
      <c r="A1189" s="2070"/>
      <c r="B1189" s="177"/>
      <c r="C1189" s="177"/>
      <c r="D1189" s="2070"/>
      <c r="E1189" s="2070"/>
      <c r="F1189" s="2070"/>
      <c r="G1189" s="2070"/>
      <c r="H1189" s="2076"/>
      <c r="I1189" s="2072"/>
      <c r="J1189" s="178"/>
      <c r="K1189" s="826"/>
      <c r="L1189" s="2070"/>
      <c r="M1189" s="2070"/>
      <c r="N1189" s="2070"/>
      <c r="O1189" s="2070"/>
      <c r="P1189" s="2076"/>
      <c r="Q1189" s="2071"/>
      <c r="R1189" s="827"/>
      <c r="S1189" s="826"/>
      <c r="T1189" s="179"/>
      <c r="U1189" s="828"/>
      <c r="V1189" s="826"/>
      <c r="W1189" s="826"/>
      <c r="X1189" s="829"/>
      <c r="Y1189" s="829"/>
      <c r="Z1189" s="830"/>
      <c r="AA1189" s="764"/>
      <c r="AB1189" s="466"/>
    </row>
    <row r="1190" spans="1:28" x14ac:dyDescent="0.2">
      <c r="A1190" s="2070"/>
      <c r="B1190" s="177"/>
      <c r="C1190" s="177"/>
      <c r="D1190" s="2070"/>
      <c r="E1190" s="2070"/>
      <c r="F1190" s="2070"/>
      <c r="G1190" s="2070"/>
      <c r="H1190" s="2076"/>
      <c r="I1190" s="2072"/>
      <c r="J1190" s="178"/>
      <c r="K1190" s="826"/>
      <c r="L1190" s="2070"/>
      <c r="M1190" s="2070"/>
      <c r="N1190" s="2070"/>
      <c r="O1190" s="2070"/>
      <c r="P1190" s="2076"/>
      <c r="Q1190" s="2071"/>
      <c r="R1190" s="827"/>
      <c r="S1190" s="826"/>
      <c r="T1190" s="179"/>
      <c r="U1190" s="828"/>
      <c r="V1190" s="826"/>
      <c r="W1190" s="826"/>
      <c r="X1190" s="829"/>
      <c r="Y1190" s="829"/>
      <c r="Z1190" s="830"/>
      <c r="AA1190" s="764"/>
      <c r="AB1190" s="466"/>
    </row>
    <row r="1191" spans="1:28" x14ac:dyDescent="0.2">
      <c r="A1191" s="2070"/>
      <c r="B1191" s="177"/>
      <c r="C1191" s="177"/>
      <c r="D1191" s="2070"/>
      <c r="E1191" s="2070"/>
      <c r="F1191" s="2070"/>
      <c r="G1191" s="2070"/>
      <c r="H1191" s="2076"/>
      <c r="I1191" s="2072"/>
      <c r="J1191" s="178"/>
      <c r="K1191" s="826"/>
      <c r="L1191" s="2070"/>
      <c r="M1191" s="2070"/>
      <c r="N1191" s="2070"/>
      <c r="O1191" s="2070"/>
      <c r="P1191" s="2076"/>
      <c r="Q1191" s="2071"/>
      <c r="R1191" s="827"/>
      <c r="S1191" s="826"/>
      <c r="T1191" s="179"/>
      <c r="U1191" s="828"/>
      <c r="V1191" s="826"/>
      <c r="W1191" s="826"/>
      <c r="X1191" s="829"/>
      <c r="Y1191" s="829"/>
      <c r="Z1191" s="830"/>
      <c r="AA1191" s="764"/>
      <c r="AB1191" s="466"/>
    </row>
    <row r="1192" spans="1:28" x14ac:dyDescent="0.2">
      <c r="A1192" s="2070"/>
      <c r="B1192" s="177"/>
      <c r="C1192" s="177"/>
      <c r="D1192" s="2070"/>
      <c r="E1192" s="2070"/>
      <c r="F1192" s="2070"/>
      <c r="G1192" s="2070"/>
      <c r="H1192" s="2076"/>
      <c r="I1192" s="2072"/>
      <c r="J1192" s="178"/>
      <c r="K1192" s="826"/>
      <c r="L1192" s="2070"/>
      <c r="M1192" s="2070"/>
      <c r="N1192" s="2070"/>
      <c r="O1192" s="2070"/>
      <c r="P1192" s="2076"/>
      <c r="Q1192" s="2071"/>
      <c r="R1192" s="827"/>
      <c r="S1192" s="826"/>
      <c r="T1192" s="179"/>
      <c r="U1192" s="828"/>
      <c r="V1192" s="826"/>
      <c r="W1192" s="826"/>
      <c r="X1192" s="829"/>
      <c r="Y1192" s="829"/>
      <c r="Z1192" s="830"/>
      <c r="AA1192" s="764"/>
      <c r="AB1192" s="466"/>
    </row>
    <row r="1193" spans="1:28" x14ac:dyDescent="0.2">
      <c r="A1193" s="2070"/>
      <c r="B1193" s="177"/>
      <c r="C1193" s="177"/>
      <c r="D1193" s="2070"/>
      <c r="E1193" s="2070"/>
      <c r="F1193" s="2070"/>
      <c r="G1193" s="2070"/>
      <c r="H1193" s="2076"/>
      <c r="I1193" s="2072"/>
      <c r="J1193" s="178"/>
      <c r="K1193" s="826"/>
      <c r="L1193" s="2070"/>
      <c r="M1193" s="2070"/>
      <c r="N1193" s="2070"/>
      <c r="O1193" s="2070"/>
      <c r="P1193" s="2076"/>
      <c r="Q1193" s="2071"/>
      <c r="R1193" s="827"/>
      <c r="S1193" s="826"/>
      <c r="T1193" s="179"/>
      <c r="U1193" s="828"/>
      <c r="V1193" s="826"/>
      <c r="W1193" s="826"/>
      <c r="X1193" s="829"/>
      <c r="Y1193" s="829"/>
      <c r="Z1193" s="830"/>
      <c r="AA1193" s="764"/>
      <c r="AB1193" s="466"/>
    </row>
    <row r="1194" spans="1:28" x14ac:dyDescent="0.2">
      <c r="A1194" s="2070"/>
      <c r="B1194" s="177"/>
      <c r="C1194" s="177"/>
      <c r="D1194" s="2070"/>
      <c r="E1194" s="2070"/>
      <c r="F1194" s="2070"/>
      <c r="G1194" s="2070"/>
      <c r="H1194" s="2076"/>
      <c r="I1194" s="2072"/>
      <c r="J1194" s="178"/>
      <c r="K1194" s="826"/>
      <c r="L1194" s="2070"/>
      <c r="M1194" s="2070"/>
      <c r="N1194" s="2070"/>
      <c r="O1194" s="2070"/>
      <c r="P1194" s="2076"/>
      <c r="Q1194" s="2071"/>
      <c r="R1194" s="827"/>
      <c r="S1194" s="826"/>
      <c r="T1194" s="179"/>
      <c r="U1194" s="828"/>
      <c r="V1194" s="826"/>
      <c r="W1194" s="826"/>
      <c r="X1194" s="829"/>
      <c r="Y1194" s="829"/>
      <c r="Z1194" s="830"/>
      <c r="AA1194" s="764"/>
      <c r="AB1194" s="466"/>
    </row>
    <row r="1195" spans="1:28" x14ac:dyDescent="0.2">
      <c r="A1195" s="2070"/>
      <c r="B1195" s="177"/>
      <c r="C1195" s="177"/>
      <c r="D1195" s="2070"/>
      <c r="E1195" s="2070"/>
      <c r="F1195" s="2070"/>
      <c r="G1195" s="2070"/>
      <c r="H1195" s="2076"/>
      <c r="I1195" s="2072"/>
      <c r="J1195" s="178"/>
      <c r="K1195" s="826"/>
      <c r="L1195" s="2070"/>
      <c r="M1195" s="2070"/>
      <c r="N1195" s="2070"/>
      <c r="O1195" s="2070"/>
      <c r="P1195" s="2076"/>
      <c r="Q1195" s="2071"/>
      <c r="R1195" s="827"/>
      <c r="S1195" s="826"/>
      <c r="T1195" s="179"/>
      <c r="U1195" s="828"/>
      <c r="V1195" s="826"/>
      <c r="W1195" s="826"/>
      <c r="X1195" s="829"/>
      <c r="Y1195" s="829"/>
      <c r="Z1195" s="830"/>
      <c r="AA1195" s="764"/>
      <c r="AB1195" s="466"/>
    </row>
    <row r="1196" spans="1:28" x14ac:dyDescent="0.2">
      <c r="A1196" s="2070"/>
      <c r="B1196" s="177"/>
      <c r="C1196" s="177"/>
      <c r="D1196" s="2070"/>
      <c r="E1196" s="2070"/>
      <c r="F1196" s="2070"/>
      <c r="G1196" s="2070"/>
      <c r="H1196" s="2076"/>
      <c r="I1196" s="2072"/>
      <c r="J1196" s="178"/>
      <c r="K1196" s="826"/>
      <c r="L1196" s="2070"/>
      <c r="M1196" s="2070"/>
      <c r="N1196" s="2070"/>
      <c r="O1196" s="2070"/>
      <c r="P1196" s="2076"/>
      <c r="Q1196" s="2071"/>
      <c r="R1196" s="827"/>
      <c r="S1196" s="826"/>
      <c r="T1196" s="179"/>
      <c r="U1196" s="828"/>
      <c r="V1196" s="826"/>
      <c r="W1196" s="826"/>
      <c r="X1196" s="829"/>
      <c r="Y1196" s="829"/>
      <c r="Z1196" s="830"/>
      <c r="AA1196" s="764"/>
      <c r="AB1196" s="466"/>
    </row>
    <row r="1197" spans="1:28" x14ac:dyDescent="0.2">
      <c r="A1197" s="2070"/>
      <c r="B1197" s="177"/>
      <c r="C1197" s="177"/>
      <c r="D1197" s="2070"/>
      <c r="E1197" s="2070"/>
      <c r="F1197" s="2070"/>
      <c r="G1197" s="2070"/>
      <c r="H1197" s="2076"/>
      <c r="I1197" s="2072"/>
      <c r="J1197" s="178"/>
      <c r="K1197" s="826"/>
      <c r="L1197" s="2070"/>
      <c r="M1197" s="2070"/>
      <c r="N1197" s="2070"/>
      <c r="O1197" s="2070"/>
      <c r="P1197" s="2076"/>
      <c r="Q1197" s="2071"/>
      <c r="R1197" s="827"/>
      <c r="S1197" s="826"/>
      <c r="T1197" s="179"/>
      <c r="U1197" s="828"/>
      <c r="V1197" s="826"/>
      <c r="W1197" s="826"/>
      <c r="X1197" s="829"/>
      <c r="Y1197" s="829"/>
      <c r="Z1197" s="830"/>
      <c r="AA1197" s="764"/>
      <c r="AB1197" s="466"/>
    </row>
    <row r="1198" spans="1:28" x14ac:dyDescent="0.2">
      <c r="A1198" s="88"/>
      <c r="B1198" s="180"/>
      <c r="C1198" s="180"/>
      <c r="D1198" s="88"/>
      <c r="E1198" s="88"/>
      <c r="F1198" s="88"/>
      <c r="G1198" s="88"/>
      <c r="H1198" s="120"/>
      <c r="I1198" s="121"/>
      <c r="J1198" s="181"/>
      <c r="K1198" s="833"/>
      <c r="L1198" s="88"/>
      <c r="M1198" s="88"/>
      <c r="N1198" s="88"/>
      <c r="O1198" s="88"/>
      <c r="P1198" s="88"/>
      <c r="Q1198" s="129"/>
      <c r="R1198" s="834"/>
      <c r="S1198" s="833"/>
      <c r="T1198" s="182"/>
      <c r="U1198" s="835"/>
      <c r="V1198" s="833"/>
      <c r="W1198" s="833"/>
      <c r="X1198" s="836"/>
      <c r="Y1198" s="836"/>
      <c r="Z1198" s="837"/>
      <c r="AA1198" s="780"/>
      <c r="AB1198" s="410"/>
    </row>
    <row r="1199" spans="1:28" x14ac:dyDescent="0.2">
      <c r="A1199" s="183"/>
      <c r="B1199" s="183"/>
      <c r="C1199" s="183"/>
      <c r="D1199" s="183"/>
      <c r="E1199" s="183"/>
      <c r="F1199" s="183"/>
      <c r="G1199" s="183"/>
      <c r="H1199" s="184"/>
      <c r="I1199" s="185"/>
      <c r="J1199" s="186"/>
      <c r="K1199" s="838"/>
      <c r="L1199" s="838"/>
      <c r="M1199" s="838"/>
      <c r="N1199" s="838"/>
      <c r="O1199" s="838"/>
      <c r="P1199" s="838"/>
      <c r="Q1199" s="838"/>
      <c r="R1199" s="839"/>
      <c r="S1199" s="838"/>
      <c r="T1199" s="187"/>
      <c r="U1199" s="840"/>
      <c r="V1199" s="838"/>
      <c r="W1199" s="838"/>
      <c r="X1199" s="841"/>
      <c r="Y1199" s="841"/>
      <c r="Z1199" s="842"/>
      <c r="AA1199" s="967"/>
      <c r="AB1199" s="476">
        <f>SUM(AB1183:AB1198)</f>
        <v>133.90199999999999</v>
      </c>
    </row>
    <row r="1200" spans="1:28" ht="15.75" x14ac:dyDescent="0.2">
      <c r="A1200" s="2730" t="s">
        <v>76</v>
      </c>
      <c r="B1200" s="2730"/>
      <c r="C1200" s="2731" t="s">
        <v>77</v>
      </c>
      <c r="D1200" s="2731"/>
      <c r="E1200" s="2731"/>
      <c r="F1200" s="2731"/>
      <c r="G1200" s="2731"/>
      <c r="H1200" s="2731"/>
      <c r="I1200" s="843" t="s">
        <v>78</v>
      </c>
      <c r="J1200" s="843"/>
      <c r="K1200" s="843"/>
      <c r="L1200" s="843"/>
      <c r="M1200" s="843"/>
      <c r="N1200" s="843"/>
      <c r="O1200" s="844"/>
      <c r="P1200" s="844"/>
      <c r="Q1200" s="844"/>
      <c r="R1200" s="844"/>
      <c r="S1200" s="844"/>
      <c r="T1200" s="844"/>
      <c r="U1200" s="844"/>
      <c r="V1200" s="844"/>
      <c r="W1200" s="844"/>
      <c r="X1200" s="844"/>
      <c r="Y1200" s="844"/>
      <c r="Z1200" s="844"/>
      <c r="AA1200" s="968"/>
      <c r="AB1200" s="845"/>
    </row>
    <row r="1201" spans="1:28" ht="15.75" x14ac:dyDescent="0.2">
      <c r="A1201" s="843"/>
      <c r="B1201" s="846"/>
      <c r="C1201" s="843"/>
      <c r="D1201" s="843"/>
      <c r="E1201" s="843"/>
      <c r="F1201" s="843"/>
      <c r="G1201" s="843"/>
      <c r="H1201" s="843"/>
      <c r="I1201" s="843" t="s">
        <v>79</v>
      </c>
      <c r="J1201" s="843"/>
      <c r="K1201" s="843"/>
      <c r="L1201" s="843"/>
      <c r="M1201" s="843"/>
      <c r="N1201" s="843"/>
      <c r="O1201" s="844"/>
      <c r="P1201" s="844"/>
      <c r="Q1201" s="844"/>
      <c r="R1201" s="844"/>
      <c r="S1201" s="844"/>
      <c r="T1201" s="844"/>
      <c r="U1201" s="844"/>
      <c r="V1201" s="844"/>
      <c r="W1201" s="844"/>
      <c r="X1201" s="844"/>
      <c r="Y1201" s="844"/>
      <c r="Z1201" s="844"/>
      <c r="AA1201" s="968"/>
      <c r="AB1201" s="845"/>
    </row>
    <row r="1202" spans="1:28" ht="15.75" x14ac:dyDescent="0.2">
      <c r="A1202" s="843"/>
      <c r="B1202" s="846"/>
      <c r="C1202" s="843"/>
      <c r="D1202" s="843"/>
      <c r="E1202" s="843"/>
      <c r="F1202" s="843"/>
      <c r="G1202" s="843"/>
      <c r="H1202" s="843"/>
      <c r="I1202" s="843" t="s">
        <v>80</v>
      </c>
      <c r="J1202" s="843"/>
      <c r="K1202" s="843"/>
      <c r="L1202" s="843"/>
      <c r="M1202" s="843"/>
      <c r="N1202" s="843"/>
      <c r="O1202" s="844"/>
      <c r="P1202" s="844"/>
      <c r="Q1202" s="844"/>
      <c r="R1202" s="844"/>
      <c r="S1202" s="844"/>
      <c r="T1202" s="844"/>
      <c r="U1202" s="844"/>
      <c r="V1202" s="844"/>
      <c r="W1202" s="844"/>
      <c r="X1202" s="844"/>
      <c r="Y1202" s="844"/>
      <c r="Z1202" s="844"/>
      <c r="AA1202" s="968"/>
      <c r="AB1202" s="845"/>
    </row>
    <row r="1203" spans="1:28" ht="15.75" x14ac:dyDescent="0.2">
      <c r="A1203" s="843"/>
      <c r="B1203" s="846"/>
      <c r="C1203" s="843"/>
      <c r="D1203" s="843"/>
      <c r="E1203" s="843"/>
      <c r="F1203" s="843"/>
      <c r="G1203" s="843"/>
      <c r="H1203" s="843"/>
      <c r="I1203" s="843" t="s">
        <v>81</v>
      </c>
      <c r="J1203" s="843"/>
      <c r="K1203" s="843"/>
      <c r="L1203" s="843"/>
      <c r="M1203" s="843"/>
      <c r="N1203" s="843"/>
      <c r="O1203" s="844"/>
      <c r="P1203" s="844"/>
      <c r="Q1203" s="844"/>
      <c r="R1203" s="844"/>
      <c r="S1203" s="844"/>
      <c r="T1203" s="844"/>
      <c r="U1203" s="844"/>
      <c r="V1203" s="844"/>
      <c r="W1203" s="844"/>
      <c r="X1203" s="844"/>
      <c r="Y1203" s="844"/>
      <c r="Z1203" s="844"/>
      <c r="AA1203" s="968"/>
      <c r="AB1203" s="845"/>
    </row>
    <row r="1204" spans="1:28" ht="15.75" x14ac:dyDescent="0.2">
      <c r="A1204" s="843"/>
      <c r="B1204" s="846"/>
      <c r="C1204" s="843"/>
      <c r="D1204" s="843"/>
      <c r="E1204" s="843"/>
      <c r="F1204" s="843"/>
      <c r="G1204" s="843"/>
      <c r="H1204" s="843"/>
      <c r="I1204" s="843" t="s">
        <v>88</v>
      </c>
      <c r="J1204" s="843"/>
      <c r="K1204" s="843"/>
      <c r="L1204" s="843"/>
      <c r="M1204" s="843"/>
      <c r="N1204" s="843"/>
      <c r="O1204" s="844"/>
      <c r="P1204" s="844"/>
      <c r="Q1204" s="844"/>
      <c r="R1204" s="844"/>
      <c r="S1204" s="844"/>
      <c r="T1204" s="844"/>
      <c r="U1204" s="844"/>
      <c r="V1204" s="844"/>
      <c r="W1204" s="844"/>
      <c r="X1204" s="844"/>
      <c r="Y1204" s="844"/>
      <c r="Z1204" s="844"/>
      <c r="AA1204" s="968"/>
      <c r="AB1204" s="845"/>
    </row>
    <row r="1206" spans="1:28" ht="18.75" x14ac:dyDescent="0.2">
      <c r="A1206" s="822"/>
      <c r="B1206" s="822"/>
      <c r="C1206" s="822"/>
      <c r="D1206" s="822"/>
      <c r="E1206" s="822"/>
      <c r="F1206" s="822"/>
      <c r="G1206" s="822"/>
      <c r="H1206" s="822"/>
      <c r="I1206" s="822"/>
      <c r="J1206" s="822"/>
      <c r="K1206" s="822"/>
      <c r="L1206" s="822"/>
      <c r="M1206" s="822"/>
      <c r="N1206" s="822"/>
      <c r="O1206" s="822"/>
      <c r="P1206" s="822"/>
      <c r="Q1206" s="822"/>
      <c r="R1206" s="822"/>
      <c r="S1206" s="822"/>
      <c r="T1206" s="822"/>
      <c r="U1206" s="822"/>
      <c r="V1206" s="822"/>
      <c r="W1206" s="822"/>
      <c r="X1206" s="822"/>
      <c r="Y1206" s="822"/>
      <c r="Z1206" s="822"/>
      <c r="AA1206" s="2739" t="s">
        <v>0</v>
      </c>
      <c r="AB1206" s="2739"/>
    </row>
    <row r="1207" spans="1:28" ht="18.75" x14ac:dyDescent="0.2">
      <c r="A1207" s="2707" t="s">
        <v>1</v>
      </c>
      <c r="B1207" s="2707"/>
      <c r="C1207" s="2707"/>
      <c r="D1207" s="2707"/>
      <c r="E1207" s="2707"/>
      <c r="F1207" s="2707"/>
      <c r="G1207" s="2707"/>
      <c r="H1207" s="2707"/>
      <c r="I1207" s="2707"/>
      <c r="J1207" s="2707"/>
      <c r="K1207" s="2707"/>
      <c r="L1207" s="2707"/>
      <c r="M1207" s="2707"/>
      <c r="N1207" s="2707"/>
      <c r="O1207" s="2707"/>
      <c r="P1207" s="2707"/>
      <c r="Q1207" s="2707"/>
      <c r="R1207" s="2707"/>
      <c r="S1207" s="2707"/>
      <c r="T1207" s="2707"/>
      <c r="U1207" s="2707"/>
      <c r="V1207" s="2707"/>
      <c r="W1207" s="2707"/>
      <c r="X1207" s="2707"/>
      <c r="Y1207" s="2707"/>
      <c r="Z1207" s="2707"/>
      <c r="AA1207" s="2707"/>
      <c r="AB1207" s="2707"/>
    </row>
    <row r="1208" spans="1:28" ht="18.75" x14ac:dyDescent="0.2">
      <c r="A1208" s="2708" t="s">
        <v>583</v>
      </c>
      <c r="B1208" s="2708"/>
      <c r="C1208" s="2708"/>
      <c r="D1208" s="2708"/>
      <c r="E1208" s="2708"/>
      <c r="F1208" s="2708"/>
      <c r="G1208" s="2708"/>
      <c r="H1208" s="2708"/>
      <c r="I1208" s="2708"/>
      <c r="J1208" s="2708"/>
      <c r="K1208" s="2708"/>
      <c r="L1208" s="2708"/>
      <c r="M1208" s="2708"/>
      <c r="N1208" s="2708"/>
      <c r="O1208" s="2708"/>
      <c r="P1208" s="2708"/>
      <c r="Q1208" s="2708"/>
      <c r="R1208" s="2708"/>
      <c r="S1208" s="2708"/>
      <c r="T1208" s="2708"/>
      <c r="U1208" s="2708"/>
      <c r="V1208" s="2708"/>
      <c r="W1208" s="2708"/>
      <c r="X1208" s="2708"/>
      <c r="Y1208" s="2708"/>
      <c r="Z1208" s="2708"/>
      <c r="AA1208" s="2708"/>
      <c r="AB1208" s="2708"/>
    </row>
    <row r="1209" spans="1:28" x14ac:dyDescent="0.2">
      <c r="A1209" s="2709" t="s">
        <v>2</v>
      </c>
      <c r="B1209" s="160"/>
      <c r="C1209" s="2709" t="s">
        <v>3</v>
      </c>
      <c r="D1209" s="160"/>
      <c r="E1209" s="160"/>
      <c r="F1209" s="2712" t="s">
        <v>4</v>
      </c>
      <c r="G1209" s="2712"/>
      <c r="H1209" s="2712"/>
      <c r="I1209" s="2713"/>
      <c r="J1209" s="2713"/>
      <c r="K1209" s="2714"/>
      <c r="L1209" s="2"/>
      <c r="M1209" s="2715" t="s">
        <v>5</v>
      </c>
      <c r="N1209" s="2715"/>
      <c r="O1209" s="2715"/>
      <c r="P1209" s="2715"/>
      <c r="Q1209" s="2716"/>
      <c r="R1209" s="2716"/>
      <c r="S1209" s="2716"/>
      <c r="T1209" s="2716"/>
      <c r="U1209" s="2716"/>
      <c r="V1209" s="2717"/>
      <c r="W1209" s="161" t="s">
        <v>6</v>
      </c>
      <c r="X1209" s="162" t="s">
        <v>7</v>
      </c>
      <c r="Y1209" s="163"/>
      <c r="Z1209" s="163"/>
      <c r="AA1209" s="162"/>
      <c r="AB1209" s="206"/>
    </row>
    <row r="1210" spans="1:28" x14ac:dyDescent="0.2">
      <c r="A1210" s="2710"/>
      <c r="B1210" s="4"/>
      <c r="C1210" s="2710"/>
      <c r="D1210" s="2057" t="s">
        <v>9</v>
      </c>
      <c r="E1210" s="207" t="s">
        <v>10</v>
      </c>
      <c r="F1210" s="2718" t="s">
        <v>11</v>
      </c>
      <c r="G1210" s="2713"/>
      <c r="H1210" s="2714"/>
      <c r="I1210" s="160"/>
      <c r="J1210" s="208" t="s">
        <v>12</v>
      </c>
      <c r="K1210" s="160"/>
      <c r="L1210" s="2715" t="s">
        <v>2</v>
      </c>
      <c r="M1210" s="141"/>
      <c r="N1210" s="141"/>
      <c r="O1210" s="141"/>
      <c r="P1210" s="164"/>
      <c r="Q1210" s="209" t="s">
        <v>13</v>
      </c>
      <c r="R1210" s="210" t="s">
        <v>12</v>
      </c>
      <c r="S1210" s="141" t="s">
        <v>6</v>
      </c>
      <c r="T1210" s="2724" t="s">
        <v>14</v>
      </c>
      <c r="U1210" s="2725"/>
      <c r="V1210" s="165" t="s">
        <v>7</v>
      </c>
      <c r="W1210" s="166" t="s">
        <v>15</v>
      </c>
      <c r="X1210" s="5" t="s">
        <v>16</v>
      </c>
      <c r="Y1210" s="5" t="s">
        <v>17</v>
      </c>
      <c r="Z1210" s="5" t="s">
        <v>18</v>
      </c>
      <c r="AA1210" s="377"/>
      <c r="AB1210" s="378" t="s">
        <v>19</v>
      </c>
    </row>
    <row r="1211" spans="1:28" x14ac:dyDescent="0.2">
      <c r="A1211" s="2710"/>
      <c r="B1211" s="2057" t="s">
        <v>23</v>
      </c>
      <c r="C1211" s="2710"/>
      <c r="D1211" s="2057" t="s">
        <v>24</v>
      </c>
      <c r="E1211" s="207" t="s">
        <v>25</v>
      </c>
      <c r="F1211" s="2719"/>
      <c r="G1211" s="2720"/>
      <c r="H1211" s="2721"/>
      <c r="I1211" s="2057" t="s">
        <v>26</v>
      </c>
      <c r="J1211" s="211" t="s">
        <v>15</v>
      </c>
      <c r="K1211" s="2060" t="s">
        <v>6</v>
      </c>
      <c r="L1211" s="2722"/>
      <c r="M1211" s="142" t="s">
        <v>27</v>
      </c>
      <c r="N1211" s="142" t="s">
        <v>10</v>
      </c>
      <c r="O1211" s="212" t="s">
        <v>10</v>
      </c>
      <c r="P1211" s="213" t="s">
        <v>28</v>
      </c>
      <c r="Q1211" s="214" t="s">
        <v>29</v>
      </c>
      <c r="R1211" s="213" t="s">
        <v>15</v>
      </c>
      <c r="S1211" s="8" t="s">
        <v>15</v>
      </c>
      <c r="T1211" s="2726"/>
      <c r="U1211" s="2727"/>
      <c r="V1211" s="165" t="s">
        <v>30</v>
      </c>
      <c r="W1211" s="166" t="s">
        <v>31</v>
      </c>
      <c r="X1211" s="5" t="s">
        <v>30</v>
      </c>
      <c r="Y1211" s="5" t="s">
        <v>32</v>
      </c>
      <c r="Z1211" s="5" t="s">
        <v>7</v>
      </c>
      <c r="AA1211" s="377" t="s">
        <v>33</v>
      </c>
      <c r="AB1211" s="378" t="s">
        <v>34</v>
      </c>
    </row>
    <row r="1212" spans="1:28" x14ac:dyDescent="0.2">
      <c r="A1212" s="2710"/>
      <c r="B1212" s="2057" t="s">
        <v>39</v>
      </c>
      <c r="C1212" s="2710"/>
      <c r="D1212" s="2057" t="s">
        <v>40</v>
      </c>
      <c r="E1212" s="207" t="s">
        <v>41</v>
      </c>
      <c r="F1212" s="2709" t="s">
        <v>42</v>
      </c>
      <c r="G1212" s="2709" t="s">
        <v>43</v>
      </c>
      <c r="H1212" s="2728" t="s">
        <v>44</v>
      </c>
      <c r="I1212" s="2057" t="s">
        <v>45</v>
      </c>
      <c r="J1212" s="211" t="s">
        <v>46</v>
      </c>
      <c r="K1212" s="2060" t="s">
        <v>47</v>
      </c>
      <c r="L1212" s="2722"/>
      <c r="M1212" s="142" t="s">
        <v>30</v>
      </c>
      <c r="N1212" s="142" t="s">
        <v>30</v>
      </c>
      <c r="O1212" s="212" t="s">
        <v>25</v>
      </c>
      <c r="P1212" s="213" t="s">
        <v>30</v>
      </c>
      <c r="Q1212" s="214" t="s">
        <v>48</v>
      </c>
      <c r="R1212" s="213" t="s">
        <v>49</v>
      </c>
      <c r="S1212" s="8" t="s">
        <v>30</v>
      </c>
      <c r="T1212" s="215" t="s">
        <v>50</v>
      </c>
      <c r="U1212" s="2059" t="s">
        <v>13</v>
      </c>
      <c r="V1212" s="165" t="s">
        <v>51</v>
      </c>
      <c r="W1212" s="166" t="s">
        <v>52</v>
      </c>
      <c r="X1212" s="5" t="s">
        <v>53</v>
      </c>
      <c r="Y1212" s="5" t="s">
        <v>54</v>
      </c>
      <c r="Z1212" s="5" t="s">
        <v>55</v>
      </c>
      <c r="AA1212" s="377" t="s">
        <v>56</v>
      </c>
      <c r="AB1212" s="378" t="s">
        <v>57</v>
      </c>
    </row>
    <row r="1213" spans="1:28" x14ac:dyDescent="0.2">
      <c r="A1213" s="2710"/>
      <c r="B1213" s="2057" t="s">
        <v>61</v>
      </c>
      <c r="C1213" s="2710"/>
      <c r="D1213" s="2057" t="s">
        <v>62</v>
      </c>
      <c r="E1213" s="207" t="s">
        <v>63</v>
      </c>
      <c r="F1213" s="2710"/>
      <c r="G1213" s="2710"/>
      <c r="H1213" s="2729"/>
      <c r="I1213" s="2057" t="s">
        <v>64</v>
      </c>
      <c r="J1213" s="211" t="s">
        <v>59</v>
      </c>
      <c r="K1213" s="2060" t="s">
        <v>59</v>
      </c>
      <c r="L1213" s="2722"/>
      <c r="M1213" s="142"/>
      <c r="N1213" s="142"/>
      <c r="O1213" s="212" t="s">
        <v>41</v>
      </c>
      <c r="P1213" s="213" t="s">
        <v>65</v>
      </c>
      <c r="Q1213" s="214" t="s">
        <v>66</v>
      </c>
      <c r="R1213" s="213" t="s">
        <v>67</v>
      </c>
      <c r="S1213" s="8" t="s">
        <v>59</v>
      </c>
      <c r="T1213" s="216" t="s">
        <v>68</v>
      </c>
      <c r="U1213" s="165" t="s">
        <v>14</v>
      </c>
      <c r="V1213" s="165" t="s">
        <v>14</v>
      </c>
      <c r="W1213" s="166" t="s">
        <v>30</v>
      </c>
      <c r="X1213" s="167" t="s">
        <v>69</v>
      </c>
      <c r="Y1213" s="167" t="s">
        <v>70</v>
      </c>
      <c r="Z1213" s="5" t="s">
        <v>71</v>
      </c>
      <c r="AA1213" s="377" t="s">
        <v>72</v>
      </c>
      <c r="AB1213" s="378" t="s">
        <v>59</v>
      </c>
    </row>
    <row r="1214" spans="1:28" x14ac:dyDescent="0.2">
      <c r="A1214" s="2711"/>
      <c r="B1214" s="9"/>
      <c r="C1214" s="2711"/>
      <c r="D1214" s="9"/>
      <c r="E1214" s="2058"/>
      <c r="F1214" s="9"/>
      <c r="G1214" s="9"/>
      <c r="H1214" s="10"/>
      <c r="I1214" s="2058"/>
      <c r="J1214" s="217"/>
      <c r="K1214" s="168"/>
      <c r="L1214" s="2723"/>
      <c r="M1214" s="143"/>
      <c r="N1214" s="143"/>
      <c r="O1214" s="143" t="s">
        <v>63</v>
      </c>
      <c r="P1214" s="218"/>
      <c r="Q1214" s="219" t="s">
        <v>72</v>
      </c>
      <c r="R1214" s="220" t="s">
        <v>59</v>
      </c>
      <c r="S1214" s="169"/>
      <c r="T1214" s="220" t="s">
        <v>73</v>
      </c>
      <c r="U1214" s="169" t="s">
        <v>59</v>
      </c>
      <c r="V1214" s="170" t="s">
        <v>59</v>
      </c>
      <c r="W1214" s="171" t="s">
        <v>59</v>
      </c>
      <c r="X1214" s="172" t="s">
        <v>59</v>
      </c>
      <c r="Y1214" s="172" t="s">
        <v>59</v>
      </c>
      <c r="Z1214" s="172" t="s">
        <v>59</v>
      </c>
      <c r="AA1214" s="402"/>
      <c r="AB1214" s="403"/>
    </row>
    <row r="1215" spans="1:28" x14ac:dyDescent="0.2">
      <c r="A1215" s="53">
        <v>1</v>
      </c>
      <c r="B1215" s="2172">
        <v>79472</v>
      </c>
      <c r="C1215" s="959">
        <v>1999</v>
      </c>
      <c r="D1215" s="51" t="s">
        <v>83</v>
      </c>
      <c r="E1215" s="154">
        <v>4</v>
      </c>
      <c r="F1215" s="51">
        <v>0</v>
      </c>
      <c r="G1215" s="51">
        <v>1</v>
      </c>
      <c r="H1215" s="51">
        <v>12</v>
      </c>
      <c r="I1215" s="70">
        <f>F1215*400+G1215*100+H1215</f>
        <v>112</v>
      </c>
      <c r="J1215" s="71">
        <v>430</v>
      </c>
      <c r="K1215" s="78">
        <f>SUM(I1215*J1215)</f>
        <v>48160</v>
      </c>
      <c r="L1215" s="75"/>
      <c r="M1215" s="51"/>
      <c r="N1215" s="51"/>
      <c r="O1215" s="155"/>
      <c r="P1215" s="824"/>
      <c r="Q1215" s="156"/>
      <c r="R1215" s="157"/>
      <c r="S1215" s="123"/>
      <c r="T1215" s="51"/>
      <c r="U1215" s="204"/>
      <c r="V1215" s="70"/>
      <c r="W1215" s="123">
        <f>K1215+V1215</f>
        <v>48160</v>
      </c>
      <c r="X1215" s="70">
        <f>W1215</f>
        <v>48160</v>
      </c>
      <c r="Y1215" s="71"/>
      <c r="Z1215" s="123">
        <f>+X1215</f>
        <v>48160</v>
      </c>
      <c r="AA1215" s="2074">
        <v>0.3</v>
      </c>
      <c r="AB1215" s="406">
        <f>+Z1215*AA1215/100</f>
        <v>144.47999999999999</v>
      </c>
    </row>
    <row r="1216" spans="1:28" x14ac:dyDescent="0.2">
      <c r="A1216" s="52"/>
      <c r="B1216" s="54"/>
      <c r="C1216" s="960"/>
      <c r="D1216" s="54"/>
      <c r="E1216" s="115"/>
      <c r="F1216" s="54"/>
      <c r="G1216" s="960"/>
      <c r="H1216" s="54"/>
      <c r="I1216" s="121"/>
      <c r="J1216" s="108"/>
      <c r="K1216" s="78"/>
      <c r="L1216" s="75"/>
      <c r="M1216" s="105"/>
      <c r="N1216" s="105"/>
      <c r="O1216" s="113"/>
      <c r="P1216" s="131"/>
      <c r="Q1216" s="132"/>
      <c r="R1216" s="133"/>
      <c r="S1216" s="2072"/>
      <c r="T1216" s="105"/>
      <c r="U1216" s="117"/>
      <c r="V1216" s="77"/>
      <c r="W1216" s="121"/>
      <c r="X1216" s="74"/>
      <c r="Y1216" s="117"/>
      <c r="Z1216" s="121"/>
      <c r="AA1216" s="2074"/>
      <c r="AB1216" s="410"/>
    </row>
    <row r="1217" spans="1:28" x14ac:dyDescent="0.2">
      <c r="A1217" s="52"/>
      <c r="B1217" s="54"/>
      <c r="C1217" s="961"/>
      <c r="D1217" s="105"/>
      <c r="E1217" s="115"/>
      <c r="F1217" s="54"/>
      <c r="G1217" s="81"/>
      <c r="H1217" s="54"/>
      <c r="I1217" s="77"/>
      <c r="J1217" s="108"/>
      <c r="K1217" s="78"/>
      <c r="L1217" s="52"/>
      <c r="M1217" s="52"/>
      <c r="N1217" s="52"/>
      <c r="O1217" s="52"/>
      <c r="P1217" s="962"/>
      <c r="Q1217" s="963"/>
      <c r="R1217" s="964"/>
      <c r="S1217" s="965"/>
      <c r="T1217" s="966"/>
      <c r="U1217" s="965"/>
      <c r="V1217" s="965"/>
      <c r="W1217" s="2072"/>
      <c r="X1217" s="121"/>
      <c r="Y1217" s="108"/>
      <c r="Z1217" s="2072"/>
      <c r="AA1217" s="2074"/>
      <c r="AB1217" s="466"/>
    </row>
    <row r="1218" spans="1:28" x14ac:dyDescent="0.2">
      <c r="A1218" s="2070"/>
      <c r="B1218" s="177"/>
      <c r="C1218" s="177"/>
      <c r="D1218" s="2070"/>
      <c r="E1218" s="2070"/>
      <c r="F1218" s="2070"/>
      <c r="G1218" s="2070"/>
      <c r="H1218" s="2076"/>
      <c r="I1218" s="2072"/>
      <c r="J1218" s="178"/>
      <c r="K1218" s="826"/>
      <c r="L1218" s="2070"/>
      <c r="M1218" s="2070"/>
      <c r="N1218" s="2070"/>
      <c r="O1218" s="2070"/>
      <c r="P1218" s="2076"/>
      <c r="Q1218" s="2071"/>
      <c r="R1218" s="827"/>
      <c r="S1218" s="826"/>
      <c r="T1218" s="179"/>
      <c r="U1218" s="828"/>
      <c r="V1218" s="826"/>
      <c r="W1218" s="826"/>
      <c r="X1218" s="829"/>
      <c r="Y1218" s="829"/>
      <c r="Z1218" s="830"/>
      <c r="AA1218" s="764"/>
      <c r="AB1218" s="466"/>
    </row>
    <row r="1219" spans="1:28" x14ac:dyDescent="0.2">
      <c r="A1219" s="2070"/>
      <c r="B1219" s="177"/>
      <c r="C1219" s="177"/>
      <c r="D1219" s="2070"/>
      <c r="E1219" s="2070"/>
      <c r="F1219" s="2070"/>
      <c r="G1219" s="2070"/>
      <c r="H1219" s="2076"/>
      <c r="I1219" s="2072"/>
      <c r="J1219" s="178"/>
      <c r="K1219" s="826"/>
      <c r="L1219" s="2070"/>
      <c r="M1219" s="2070"/>
      <c r="N1219" s="2070"/>
      <c r="O1219" s="2070"/>
      <c r="P1219" s="2076"/>
      <c r="Q1219" s="2071"/>
      <c r="R1219" s="827"/>
      <c r="S1219" s="826"/>
      <c r="T1219" s="179"/>
      <c r="U1219" s="828"/>
      <c r="V1219" s="826"/>
      <c r="W1219" s="826"/>
      <c r="X1219" s="829"/>
      <c r="Y1219" s="829"/>
      <c r="Z1219" s="830"/>
      <c r="AA1219" s="764"/>
      <c r="AB1219" s="466"/>
    </row>
    <row r="1220" spans="1:28" x14ac:dyDescent="0.2">
      <c r="A1220" s="2070"/>
      <c r="B1220" s="177"/>
      <c r="C1220" s="177"/>
      <c r="D1220" s="2070"/>
      <c r="E1220" s="2070"/>
      <c r="F1220" s="2070"/>
      <c r="G1220" s="2070"/>
      <c r="H1220" s="2076"/>
      <c r="I1220" s="2072"/>
      <c r="J1220" s="178"/>
      <c r="K1220" s="826"/>
      <c r="L1220" s="2070"/>
      <c r="M1220" s="2070"/>
      <c r="N1220" s="2070"/>
      <c r="O1220" s="2070"/>
      <c r="P1220" s="2076"/>
      <c r="Q1220" s="2071"/>
      <c r="R1220" s="827"/>
      <c r="S1220" s="826"/>
      <c r="T1220" s="179"/>
      <c r="U1220" s="828"/>
      <c r="V1220" s="826"/>
      <c r="W1220" s="826"/>
      <c r="X1220" s="829"/>
      <c r="Y1220" s="829"/>
      <c r="Z1220" s="830"/>
      <c r="AA1220" s="764"/>
      <c r="AB1220" s="466"/>
    </row>
    <row r="1221" spans="1:28" x14ac:dyDescent="0.2">
      <c r="A1221" s="2070"/>
      <c r="B1221" s="177"/>
      <c r="C1221" s="177"/>
      <c r="D1221" s="2070"/>
      <c r="E1221" s="2070"/>
      <c r="F1221" s="2070"/>
      <c r="G1221" s="2070"/>
      <c r="H1221" s="2076"/>
      <c r="I1221" s="2072"/>
      <c r="J1221" s="178"/>
      <c r="K1221" s="826"/>
      <c r="L1221" s="2070"/>
      <c r="M1221" s="2070"/>
      <c r="N1221" s="2070"/>
      <c r="O1221" s="2070"/>
      <c r="P1221" s="2076"/>
      <c r="Q1221" s="2071"/>
      <c r="R1221" s="827"/>
      <c r="S1221" s="826"/>
      <c r="T1221" s="179"/>
      <c r="U1221" s="828"/>
      <c r="V1221" s="826"/>
      <c r="W1221" s="826"/>
      <c r="X1221" s="829"/>
      <c r="Y1221" s="829"/>
      <c r="Z1221" s="830"/>
      <c r="AA1221" s="764"/>
      <c r="AB1221" s="466"/>
    </row>
    <row r="1222" spans="1:28" x14ac:dyDescent="0.2">
      <c r="A1222" s="2070"/>
      <c r="B1222" s="177"/>
      <c r="C1222" s="177"/>
      <c r="D1222" s="2070"/>
      <c r="E1222" s="2070"/>
      <c r="F1222" s="2070"/>
      <c r="G1222" s="2070"/>
      <c r="H1222" s="2076"/>
      <c r="I1222" s="2072"/>
      <c r="J1222" s="178"/>
      <c r="K1222" s="826"/>
      <c r="L1222" s="2070"/>
      <c r="M1222" s="2070"/>
      <c r="N1222" s="2070"/>
      <c r="O1222" s="2070"/>
      <c r="P1222" s="2076"/>
      <c r="Q1222" s="2071"/>
      <c r="R1222" s="827"/>
      <c r="S1222" s="826"/>
      <c r="T1222" s="179"/>
      <c r="U1222" s="828"/>
      <c r="V1222" s="826"/>
      <c r="W1222" s="826"/>
      <c r="X1222" s="829"/>
      <c r="Y1222" s="829"/>
      <c r="Z1222" s="830"/>
      <c r="AA1222" s="764"/>
      <c r="AB1222" s="466"/>
    </row>
    <row r="1223" spans="1:28" x14ac:dyDescent="0.2">
      <c r="A1223" s="2070"/>
      <c r="B1223" s="177"/>
      <c r="C1223" s="177"/>
      <c r="D1223" s="2070"/>
      <c r="E1223" s="2070"/>
      <c r="F1223" s="2070"/>
      <c r="G1223" s="2070"/>
      <c r="H1223" s="2076"/>
      <c r="I1223" s="2072"/>
      <c r="J1223" s="178"/>
      <c r="K1223" s="826"/>
      <c r="L1223" s="2070"/>
      <c r="M1223" s="2070"/>
      <c r="N1223" s="2070"/>
      <c r="O1223" s="2070"/>
      <c r="P1223" s="2076"/>
      <c r="Q1223" s="2071"/>
      <c r="R1223" s="827"/>
      <c r="S1223" s="826"/>
      <c r="T1223" s="179"/>
      <c r="U1223" s="828"/>
      <c r="V1223" s="826"/>
      <c r="W1223" s="826"/>
      <c r="X1223" s="829"/>
      <c r="Y1223" s="829"/>
      <c r="Z1223" s="830"/>
      <c r="AA1223" s="764"/>
      <c r="AB1223" s="466"/>
    </row>
    <row r="1224" spans="1:28" x14ac:dyDescent="0.2">
      <c r="A1224" s="2070"/>
      <c r="B1224" s="177"/>
      <c r="C1224" s="177"/>
      <c r="D1224" s="2070"/>
      <c r="E1224" s="2070"/>
      <c r="F1224" s="2070"/>
      <c r="G1224" s="2070"/>
      <c r="H1224" s="2076"/>
      <c r="I1224" s="2072"/>
      <c r="J1224" s="178"/>
      <c r="K1224" s="826"/>
      <c r="L1224" s="2070"/>
      <c r="M1224" s="2070"/>
      <c r="N1224" s="2070"/>
      <c r="O1224" s="2070"/>
      <c r="P1224" s="2076"/>
      <c r="Q1224" s="2071"/>
      <c r="R1224" s="827"/>
      <c r="S1224" s="826"/>
      <c r="T1224" s="179"/>
      <c r="U1224" s="828"/>
      <c r="V1224" s="826"/>
      <c r="W1224" s="826"/>
      <c r="X1224" s="829"/>
      <c r="Y1224" s="829"/>
      <c r="Z1224" s="830"/>
      <c r="AA1224" s="764"/>
      <c r="AB1224" s="466"/>
    </row>
    <row r="1225" spans="1:28" x14ac:dyDescent="0.2">
      <c r="A1225" s="2070"/>
      <c r="B1225" s="177"/>
      <c r="C1225" s="177"/>
      <c r="D1225" s="2070"/>
      <c r="E1225" s="2070"/>
      <c r="F1225" s="2070"/>
      <c r="G1225" s="2070"/>
      <c r="H1225" s="2076"/>
      <c r="I1225" s="2072"/>
      <c r="J1225" s="178"/>
      <c r="K1225" s="826"/>
      <c r="L1225" s="2070"/>
      <c r="M1225" s="2070"/>
      <c r="N1225" s="2070"/>
      <c r="O1225" s="2070"/>
      <c r="P1225" s="2076"/>
      <c r="Q1225" s="2071"/>
      <c r="R1225" s="827"/>
      <c r="S1225" s="826"/>
      <c r="T1225" s="179"/>
      <c r="U1225" s="828"/>
      <c r="V1225" s="826"/>
      <c r="W1225" s="826"/>
      <c r="X1225" s="829"/>
      <c r="Y1225" s="829"/>
      <c r="Z1225" s="830"/>
      <c r="AA1225" s="764"/>
      <c r="AB1225" s="466"/>
    </row>
    <row r="1226" spans="1:28" x14ac:dyDescent="0.2">
      <c r="A1226" s="2070"/>
      <c r="B1226" s="177"/>
      <c r="C1226" s="177"/>
      <c r="D1226" s="2070"/>
      <c r="E1226" s="2070"/>
      <c r="F1226" s="2070"/>
      <c r="G1226" s="2070"/>
      <c r="H1226" s="2076"/>
      <c r="I1226" s="2072"/>
      <c r="J1226" s="178"/>
      <c r="K1226" s="826"/>
      <c r="L1226" s="2070"/>
      <c r="M1226" s="2070"/>
      <c r="N1226" s="2070"/>
      <c r="O1226" s="2070"/>
      <c r="P1226" s="2076"/>
      <c r="Q1226" s="2071"/>
      <c r="R1226" s="827"/>
      <c r="S1226" s="826"/>
      <c r="T1226" s="179"/>
      <c r="U1226" s="828"/>
      <c r="V1226" s="826"/>
      <c r="W1226" s="826"/>
      <c r="X1226" s="829"/>
      <c r="Y1226" s="829"/>
      <c r="Z1226" s="830"/>
      <c r="AA1226" s="764"/>
      <c r="AB1226" s="466"/>
    </row>
    <row r="1227" spans="1:28" x14ac:dyDescent="0.2">
      <c r="A1227" s="2070"/>
      <c r="B1227" s="177"/>
      <c r="C1227" s="177"/>
      <c r="D1227" s="2070"/>
      <c r="E1227" s="2070"/>
      <c r="F1227" s="2070"/>
      <c r="G1227" s="2070"/>
      <c r="H1227" s="2076"/>
      <c r="I1227" s="2072"/>
      <c r="J1227" s="178"/>
      <c r="K1227" s="826"/>
      <c r="L1227" s="2070"/>
      <c r="M1227" s="2070"/>
      <c r="N1227" s="2070"/>
      <c r="O1227" s="2070"/>
      <c r="P1227" s="2076"/>
      <c r="Q1227" s="2071"/>
      <c r="R1227" s="827"/>
      <c r="S1227" s="826"/>
      <c r="T1227" s="179"/>
      <c r="U1227" s="828"/>
      <c r="V1227" s="826"/>
      <c r="W1227" s="826"/>
      <c r="X1227" s="829"/>
      <c r="Y1227" s="829"/>
      <c r="Z1227" s="830"/>
      <c r="AA1227" s="764"/>
      <c r="AB1227" s="466"/>
    </row>
    <row r="1228" spans="1:28" x14ac:dyDescent="0.2">
      <c r="A1228" s="2070"/>
      <c r="B1228" s="177"/>
      <c r="C1228" s="177"/>
      <c r="D1228" s="2070"/>
      <c r="E1228" s="2070"/>
      <c r="F1228" s="2070"/>
      <c r="G1228" s="2070"/>
      <c r="H1228" s="2076"/>
      <c r="I1228" s="2072"/>
      <c r="J1228" s="178"/>
      <c r="K1228" s="826"/>
      <c r="L1228" s="2070"/>
      <c r="M1228" s="2070"/>
      <c r="N1228" s="2070"/>
      <c r="O1228" s="2070"/>
      <c r="P1228" s="2076"/>
      <c r="Q1228" s="2071"/>
      <c r="R1228" s="827"/>
      <c r="S1228" s="826"/>
      <c r="T1228" s="179"/>
      <c r="U1228" s="828"/>
      <c r="V1228" s="826"/>
      <c r="W1228" s="826"/>
      <c r="X1228" s="829"/>
      <c r="Y1228" s="829"/>
      <c r="Z1228" s="830"/>
      <c r="AA1228" s="764"/>
      <c r="AB1228" s="466"/>
    </row>
    <row r="1229" spans="1:28" x14ac:dyDescent="0.2">
      <c r="A1229" s="88"/>
      <c r="B1229" s="180"/>
      <c r="C1229" s="180"/>
      <c r="D1229" s="88"/>
      <c r="E1229" s="88"/>
      <c r="F1229" s="88"/>
      <c r="G1229" s="88"/>
      <c r="H1229" s="120"/>
      <c r="I1229" s="121"/>
      <c r="J1229" s="181"/>
      <c r="K1229" s="833"/>
      <c r="L1229" s="88"/>
      <c r="M1229" s="88"/>
      <c r="N1229" s="88"/>
      <c r="O1229" s="88"/>
      <c r="P1229" s="88"/>
      <c r="Q1229" s="129"/>
      <c r="R1229" s="834"/>
      <c r="S1229" s="833"/>
      <c r="T1229" s="182"/>
      <c r="U1229" s="835"/>
      <c r="V1229" s="833"/>
      <c r="W1229" s="833"/>
      <c r="X1229" s="836"/>
      <c r="Y1229" s="836"/>
      <c r="Z1229" s="837"/>
      <c r="AA1229" s="780"/>
      <c r="AB1229" s="410"/>
    </row>
    <row r="1230" spans="1:28" x14ac:dyDescent="0.2">
      <c r="A1230" s="1850"/>
      <c r="B1230" s="1850"/>
      <c r="C1230" s="1850"/>
      <c r="D1230" s="1850"/>
      <c r="E1230" s="1850"/>
      <c r="F1230" s="1850"/>
      <c r="G1230" s="1850"/>
      <c r="H1230" s="1851"/>
      <c r="I1230" s="1852"/>
      <c r="J1230" s="1853"/>
      <c r="K1230" s="1929"/>
      <c r="L1230" s="1929"/>
      <c r="M1230" s="1929"/>
      <c r="N1230" s="1929"/>
      <c r="O1230" s="1929"/>
      <c r="P1230" s="1929"/>
      <c r="Q1230" s="1929"/>
      <c r="R1230" s="1930"/>
      <c r="S1230" s="1929"/>
      <c r="T1230" s="1855"/>
      <c r="U1230" s="1931"/>
      <c r="V1230" s="1929"/>
      <c r="W1230" s="1929"/>
      <c r="X1230" s="1932"/>
      <c r="Y1230" s="1932"/>
      <c r="Z1230" s="1933"/>
      <c r="AA1230" s="2173"/>
      <c r="AB1230" s="1847">
        <f>SUM(AB1215:AB1229)</f>
        <v>144.47999999999999</v>
      </c>
    </row>
    <row r="1231" spans="1:28" ht="15.75" x14ac:dyDescent="0.2">
      <c r="A1231" s="2730" t="s">
        <v>76</v>
      </c>
      <c r="B1231" s="2730"/>
      <c r="C1231" s="2731" t="s">
        <v>77</v>
      </c>
      <c r="D1231" s="2731"/>
      <c r="E1231" s="2731"/>
      <c r="F1231" s="2731"/>
      <c r="G1231" s="2731"/>
      <c r="H1231" s="2731"/>
      <c r="I1231" s="843" t="s">
        <v>78</v>
      </c>
      <c r="J1231" s="843"/>
      <c r="K1231" s="843"/>
      <c r="L1231" s="843"/>
      <c r="M1231" s="843"/>
      <c r="N1231" s="843"/>
      <c r="O1231" s="844"/>
      <c r="P1231" s="844"/>
      <c r="Q1231" s="844"/>
      <c r="R1231" s="844"/>
      <c r="S1231" s="844"/>
      <c r="T1231" s="844"/>
      <c r="U1231" s="844"/>
      <c r="V1231" s="844"/>
      <c r="W1231" s="844"/>
      <c r="X1231" s="844"/>
      <c r="Y1231" s="844"/>
      <c r="Z1231" s="844"/>
      <c r="AA1231" s="968"/>
      <c r="AB1231" s="845"/>
    </row>
    <row r="1232" spans="1:28" ht="15.75" x14ac:dyDescent="0.2">
      <c r="A1232" s="843"/>
      <c r="B1232" s="846"/>
      <c r="C1232" s="843"/>
      <c r="D1232" s="843"/>
      <c r="E1232" s="843"/>
      <c r="F1232" s="843"/>
      <c r="G1232" s="843"/>
      <c r="H1232" s="843"/>
      <c r="I1232" s="843" t="s">
        <v>79</v>
      </c>
      <c r="J1232" s="843"/>
      <c r="K1232" s="843"/>
      <c r="L1232" s="843"/>
      <c r="M1232" s="843"/>
      <c r="N1232" s="843"/>
      <c r="O1232" s="844"/>
      <c r="P1232" s="844"/>
      <c r="Q1232" s="844"/>
      <c r="R1232" s="844"/>
      <c r="S1232" s="844"/>
      <c r="T1232" s="844"/>
      <c r="U1232" s="844"/>
      <c r="V1232" s="844"/>
      <c r="W1232" s="844"/>
      <c r="X1232" s="844"/>
      <c r="Y1232" s="844"/>
      <c r="Z1232" s="844"/>
      <c r="AA1232" s="968"/>
      <c r="AB1232" s="845"/>
    </row>
    <row r="1233" spans="1:28" ht="15.75" x14ac:dyDescent="0.2">
      <c r="A1233" s="843"/>
      <c r="B1233" s="846"/>
      <c r="C1233" s="843"/>
      <c r="D1233" s="843"/>
      <c r="E1233" s="843"/>
      <c r="F1233" s="843"/>
      <c r="G1233" s="843"/>
      <c r="H1233" s="843"/>
      <c r="I1233" s="843" t="s">
        <v>80</v>
      </c>
      <c r="J1233" s="843"/>
      <c r="K1233" s="843"/>
      <c r="L1233" s="843"/>
      <c r="M1233" s="843"/>
      <c r="N1233" s="843"/>
      <c r="O1233" s="844"/>
      <c r="P1233" s="844"/>
      <c r="Q1233" s="844"/>
      <c r="R1233" s="844"/>
      <c r="S1233" s="844"/>
      <c r="T1233" s="844"/>
      <c r="U1233" s="844"/>
      <c r="V1233" s="844"/>
      <c r="W1233" s="844"/>
      <c r="X1233" s="844"/>
      <c r="Y1233" s="844"/>
      <c r="Z1233" s="844"/>
      <c r="AA1233" s="968"/>
      <c r="AB1233" s="845"/>
    </row>
    <row r="1234" spans="1:28" ht="15.75" x14ac:dyDescent="0.2">
      <c r="A1234" s="843"/>
      <c r="B1234" s="846"/>
      <c r="C1234" s="843"/>
      <c r="D1234" s="843"/>
      <c r="E1234" s="843"/>
      <c r="F1234" s="843"/>
      <c r="G1234" s="843"/>
      <c r="H1234" s="843"/>
      <c r="I1234" s="843" t="s">
        <v>81</v>
      </c>
      <c r="J1234" s="843"/>
      <c r="K1234" s="843"/>
      <c r="L1234" s="843"/>
      <c r="M1234" s="843"/>
      <c r="N1234" s="843"/>
      <c r="O1234" s="844"/>
      <c r="P1234" s="844"/>
      <c r="Q1234" s="844"/>
      <c r="R1234" s="844"/>
      <c r="S1234" s="844"/>
      <c r="T1234" s="844"/>
      <c r="U1234" s="844"/>
      <c r="V1234" s="844"/>
      <c r="W1234" s="844"/>
      <c r="X1234" s="844"/>
      <c r="Y1234" s="844"/>
      <c r="Z1234" s="844"/>
      <c r="AA1234" s="968"/>
      <c r="AB1234" s="845"/>
    </row>
    <row r="1235" spans="1:28" ht="15.75" x14ac:dyDescent="0.2">
      <c r="A1235" s="843"/>
      <c r="B1235" s="846"/>
      <c r="C1235" s="843"/>
      <c r="D1235" s="843"/>
      <c r="E1235" s="843"/>
      <c r="F1235" s="843"/>
      <c r="G1235" s="843"/>
      <c r="H1235" s="843"/>
      <c r="I1235" s="843" t="s">
        <v>88</v>
      </c>
      <c r="J1235" s="843"/>
      <c r="K1235" s="843"/>
      <c r="L1235" s="843"/>
      <c r="M1235" s="843"/>
      <c r="N1235" s="843"/>
      <c r="O1235" s="844"/>
      <c r="P1235" s="844"/>
      <c r="Q1235" s="844"/>
      <c r="R1235" s="844"/>
      <c r="S1235" s="844"/>
      <c r="T1235" s="844"/>
      <c r="U1235" s="844"/>
      <c r="V1235" s="844"/>
      <c r="W1235" s="844"/>
      <c r="X1235" s="844"/>
      <c r="Y1235" s="844"/>
      <c r="Z1235" s="844"/>
      <c r="AA1235" s="968"/>
      <c r="AB1235" s="845"/>
    </row>
    <row r="1237" spans="1:28" ht="18.75" x14ac:dyDescent="0.2">
      <c r="A1237" s="822"/>
      <c r="B1237" s="822"/>
      <c r="C1237" s="822"/>
      <c r="D1237" s="822"/>
      <c r="E1237" s="822"/>
      <c r="F1237" s="822"/>
      <c r="G1237" s="822"/>
      <c r="H1237" s="822"/>
      <c r="I1237" s="822"/>
      <c r="J1237" s="822"/>
      <c r="K1237" s="822"/>
      <c r="L1237" s="822"/>
      <c r="M1237" s="822"/>
      <c r="N1237" s="822"/>
      <c r="O1237" s="822"/>
      <c r="P1237" s="822"/>
      <c r="Q1237" s="822"/>
      <c r="R1237" s="822"/>
      <c r="S1237" s="822"/>
      <c r="T1237" s="822"/>
      <c r="U1237" s="822"/>
      <c r="V1237" s="822"/>
      <c r="W1237" s="822"/>
      <c r="X1237" s="822"/>
      <c r="Y1237" s="822"/>
      <c r="Z1237" s="822"/>
      <c r="AA1237" s="2739" t="s">
        <v>0</v>
      </c>
      <c r="AB1237" s="2739"/>
    </row>
    <row r="1238" spans="1:28" ht="18.75" x14ac:dyDescent="0.2">
      <c r="A1238" s="2707" t="s">
        <v>1</v>
      </c>
      <c r="B1238" s="2707"/>
      <c r="C1238" s="2707"/>
      <c r="D1238" s="2707"/>
      <c r="E1238" s="2707"/>
      <c r="F1238" s="2707"/>
      <c r="G1238" s="2707"/>
      <c r="H1238" s="2707"/>
      <c r="I1238" s="2707"/>
      <c r="J1238" s="2707"/>
      <c r="K1238" s="2707"/>
      <c r="L1238" s="2707"/>
      <c r="M1238" s="2707"/>
      <c r="N1238" s="2707"/>
      <c r="O1238" s="2707"/>
      <c r="P1238" s="2707"/>
      <c r="Q1238" s="2707"/>
      <c r="R1238" s="2707"/>
      <c r="S1238" s="2707"/>
      <c r="T1238" s="2707"/>
      <c r="U1238" s="2707"/>
      <c r="V1238" s="2707"/>
      <c r="W1238" s="2707"/>
      <c r="X1238" s="2707"/>
      <c r="Y1238" s="2707"/>
      <c r="Z1238" s="2707"/>
      <c r="AA1238" s="2707"/>
      <c r="AB1238" s="2707"/>
    </row>
    <row r="1239" spans="1:28" ht="18.75" x14ac:dyDescent="0.2">
      <c r="A1239" s="2708" t="s">
        <v>584</v>
      </c>
      <c r="B1239" s="2708"/>
      <c r="C1239" s="2708"/>
      <c r="D1239" s="2708"/>
      <c r="E1239" s="2708"/>
      <c r="F1239" s="2708"/>
      <c r="G1239" s="2708"/>
      <c r="H1239" s="2708"/>
      <c r="I1239" s="2708"/>
      <c r="J1239" s="2708"/>
      <c r="K1239" s="2708"/>
      <c r="L1239" s="2708"/>
      <c r="M1239" s="2708"/>
      <c r="N1239" s="2708"/>
      <c r="O1239" s="2708"/>
      <c r="P1239" s="2708"/>
      <c r="Q1239" s="2708"/>
      <c r="R1239" s="2708"/>
      <c r="S1239" s="2708"/>
      <c r="T1239" s="2708"/>
      <c r="U1239" s="2708"/>
      <c r="V1239" s="2708"/>
      <c r="W1239" s="2708"/>
      <c r="X1239" s="2708"/>
      <c r="Y1239" s="2708"/>
      <c r="Z1239" s="2708"/>
      <c r="AA1239" s="2708"/>
      <c r="AB1239" s="2708"/>
    </row>
    <row r="1240" spans="1:28" x14ac:dyDescent="0.2">
      <c r="A1240" s="2709" t="s">
        <v>2</v>
      </c>
      <c r="B1240" s="160"/>
      <c r="C1240" s="2709" t="s">
        <v>3</v>
      </c>
      <c r="D1240" s="160"/>
      <c r="E1240" s="160"/>
      <c r="F1240" s="2712" t="s">
        <v>4</v>
      </c>
      <c r="G1240" s="2712"/>
      <c r="H1240" s="2712"/>
      <c r="I1240" s="2713"/>
      <c r="J1240" s="2713"/>
      <c r="K1240" s="2714"/>
      <c r="L1240" s="2"/>
      <c r="M1240" s="2715" t="s">
        <v>5</v>
      </c>
      <c r="N1240" s="2715"/>
      <c r="O1240" s="2715"/>
      <c r="P1240" s="2715"/>
      <c r="Q1240" s="2716"/>
      <c r="R1240" s="2716"/>
      <c r="S1240" s="2716"/>
      <c r="T1240" s="2716"/>
      <c r="U1240" s="2716"/>
      <c r="V1240" s="2717"/>
      <c r="W1240" s="161" t="s">
        <v>6</v>
      </c>
      <c r="X1240" s="162" t="s">
        <v>7</v>
      </c>
      <c r="Y1240" s="163"/>
      <c r="Z1240" s="163"/>
      <c r="AA1240" s="162"/>
      <c r="AB1240" s="206"/>
    </row>
    <row r="1241" spans="1:28" x14ac:dyDescent="0.2">
      <c r="A1241" s="2710"/>
      <c r="B1241" s="4"/>
      <c r="C1241" s="2710"/>
      <c r="D1241" s="2057" t="s">
        <v>9</v>
      </c>
      <c r="E1241" s="207" t="s">
        <v>10</v>
      </c>
      <c r="F1241" s="2718" t="s">
        <v>11</v>
      </c>
      <c r="G1241" s="2713"/>
      <c r="H1241" s="2714"/>
      <c r="I1241" s="160"/>
      <c r="J1241" s="208" t="s">
        <v>12</v>
      </c>
      <c r="K1241" s="160"/>
      <c r="L1241" s="2715" t="s">
        <v>2</v>
      </c>
      <c r="M1241" s="141"/>
      <c r="N1241" s="141"/>
      <c r="O1241" s="141"/>
      <c r="P1241" s="164"/>
      <c r="Q1241" s="209" t="s">
        <v>13</v>
      </c>
      <c r="R1241" s="210" t="s">
        <v>12</v>
      </c>
      <c r="S1241" s="141" t="s">
        <v>6</v>
      </c>
      <c r="T1241" s="2724" t="s">
        <v>14</v>
      </c>
      <c r="U1241" s="2725"/>
      <c r="V1241" s="165" t="s">
        <v>7</v>
      </c>
      <c r="W1241" s="166" t="s">
        <v>15</v>
      </c>
      <c r="X1241" s="5" t="s">
        <v>16</v>
      </c>
      <c r="Y1241" s="5" t="s">
        <v>17</v>
      </c>
      <c r="Z1241" s="5" t="s">
        <v>18</v>
      </c>
      <c r="AA1241" s="377"/>
      <c r="AB1241" s="378" t="s">
        <v>19</v>
      </c>
    </row>
    <row r="1242" spans="1:28" x14ac:dyDescent="0.2">
      <c r="A1242" s="2710"/>
      <c r="B1242" s="2057" t="s">
        <v>23</v>
      </c>
      <c r="C1242" s="2710"/>
      <c r="D1242" s="2057" t="s">
        <v>24</v>
      </c>
      <c r="E1242" s="207" t="s">
        <v>25</v>
      </c>
      <c r="F1242" s="2719"/>
      <c r="G1242" s="2720"/>
      <c r="H1242" s="2721"/>
      <c r="I1242" s="2057" t="s">
        <v>26</v>
      </c>
      <c r="J1242" s="211" t="s">
        <v>15</v>
      </c>
      <c r="K1242" s="2060" t="s">
        <v>6</v>
      </c>
      <c r="L1242" s="2722"/>
      <c r="M1242" s="142" t="s">
        <v>27</v>
      </c>
      <c r="N1242" s="142" t="s">
        <v>10</v>
      </c>
      <c r="O1242" s="212" t="s">
        <v>10</v>
      </c>
      <c r="P1242" s="213" t="s">
        <v>28</v>
      </c>
      <c r="Q1242" s="214" t="s">
        <v>29</v>
      </c>
      <c r="R1242" s="213" t="s">
        <v>15</v>
      </c>
      <c r="S1242" s="8" t="s">
        <v>15</v>
      </c>
      <c r="T1242" s="2726"/>
      <c r="U1242" s="2727"/>
      <c r="V1242" s="165" t="s">
        <v>30</v>
      </c>
      <c r="W1242" s="166" t="s">
        <v>31</v>
      </c>
      <c r="X1242" s="5" t="s">
        <v>30</v>
      </c>
      <c r="Y1242" s="5" t="s">
        <v>32</v>
      </c>
      <c r="Z1242" s="5" t="s">
        <v>7</v>
      </c>
      <c r="AA1242" s="377" t="s">
        <v>33</v>
      </c>
      <c r="AB1242" s="378" t="s">
        <v>34</v>
      </c>
    </row>
    <row r="1243" spans="1:28" x14ac:dyDescent="0.2">
      <c r="A1243" s="2710"/>
      <c r="B1243" s="2057" t="s">
        <v>39</v>
      </c>
      <c r="C1243" s="2710"/>
      <c r="D1243" s="2057" t="s">
        <v>40</v>
      </c>
      <c r="E1243" s="207" t="s">
        <v>41</v>
      </c>
      <c r="F1243" s="2709" t="s">
        <v>42</v>
      </c>
      <c r="G1243" s="2709" t="s">
        <v>43</v>
      </c>
      <c r="H1243" s="2728" t="s">
        <v>44</v>
      </c>
      <c r="I1243" s="2057" t="s">
        <v>45</v>
      </c>
      <c r="J1243" s="211" t="s">
        <v>46</v>
      </c>
      <c r="K1243" s="2060" t="s">
        <v>47</v>
      </c>
      <c r="L1243" s="2722"/>
      <c r="M1243" s="142" t="s">
        <v>30</v>
      </c>
      <c r="N1243" s="142" t="s">
        <v>30</v>
      </c>
      <c r="O1243" s="212" t="s">
        <v>25</v>
      </c>
      <c r="P1243" s="213" t="s">
        <v>30</v>
      </c>
      <c r="Q1243" s="214" t="s">
        <v>48</v>
      </c>
      <c r="R1243" s="213" t="s">
        <v>49</v>
      </c>
      <c r="S1243" s="8" t="s">
        <v>30</v>
      </c>
      <c r="T1243" s="215" t="s">
        <v>50</v>
      </c>
      <c r="U1243" s="2059" t="s">
        <v>13</v>
      </c>
      <c r="V1243" s="165" t="s">
        <v>51</v>
      </c>
      <c r="W1243" s="166" t="s">
        <v>52</v>
      </c>
      <c r="X1243" s="5" t="s">
        <v>53</v>
      </c>
      <c r="Y1243" s="5" t="s">
        <v>54</v>
      </c>
      <c r="Z1243" s="5" t="s">
        <v>55</v>
      </c>
      <c r="AA1243" s="377" t="s">
        <v>56</v>
      </c>
      <c r="AB1243" s="378" t="s">
        <v>57</v>
      </c>
    </row>
    <row r="1244" spans="1:28" x14ac:dyDescent="0.2">
      <c r="A1244" s="2710"/>
      <c r="B1244" s="2057" t="s">
        <v>61</v>
      </c>
      <c r="C1244" s="2710"/>
      <c r="D1244" s="2057" t="s">
        <v>62</v>
      </c>
      <c r="E1244" s="207" t="s">
        <v>63</v>
      </c>
      <c r="F1244" s="2710"/>
      <c r="G1244" s="2710"/>
      <c r="H1244" s="2729"/>
      <c r="I1244" s="2057" t="s">
        <v>64</v>
      </c>
      <c r="J1244" s="211" t="s">
        <v>59</v>
      </c>
      <c r="K1244" s="2060" t="s">
        <v>59</v>
      </c>
      <c r="L1244" s="2722"/>
      <c r="M1244" s="142"/>
      <c r="N1244" s="142"/>
      <c r="O1244" s="212" t="s">
        <v>41</v>
      </c>
      <c r="P1244" s="213" t="s">
        <v>65</v>
      </c>
      <c r="Q1244" s="214" t="s">
        <v>66</v>
      </c>
      <c r="R1244" s="213" t="s">
        <v>67</v>
      </c>
      <c r="S1244" s="8" t="s">
        <v>59</v>
      </c>
      <c r="T1244" s="216" t="s">
        <v>68</v>
      </c>
      <c r="U1244" s="165" t="s">
        <v>14</v>
      </c>
      <c r="V1244" s="165" t="s">
        <v>14</v>
      </c>
      <c r="W1244" s="166" t="s">
        <v>30</v>
      </c>
      <c r="X1244" s="167" t="s">
        <v>69</v>
      </c>
      <c r="Y1244" s="167" t="s">
        <v>70</v>
      </c>
      <c r="Z1244" s="5" t="s">
        <v>71</v>
      </c>
      <c r="AA1244" s="377" t="s">
        <v>72</v>
      </c>
      <c r="AB1244" s="378" t="s">
        <v>59</v>
      </c>
    </row>
    <row r="1245" spans="1:28" x14ac:dyDescent="0.2">
      <c r="A1245" s="2711"/>
      <c r="B1245" s="9"/>
      <c r="C1245" s="2711"/>
      <c r="D1245" s="9"/>
      <c r="E1245" s="2058"/>
      <c r="F1245" s="9"/>
      <c r="G1245" s="9"/>
      <c r="H1245" s="10"/>
      <c r="I1245" s="2058"/>
      <c r="J1245" s="217"/>
      <c r="K1245" s="168"/>
      <c r="L1245" s="2723"/>
      <c r="M1245" s="143"/>
      <c r="N1245" s="143"/>
      <c r="O1245" s="143" t="s">
        <v>63</v>
      </c>
      <c r="P1245" s="218"/>
      <c r="Q1245" s="219" t="s">
        <v>72</v>
      </c>
      <c r="R1245" s="220" t="s">
        <v>59</v>
      </c>
      <c r="S1245" s="169"/>
      <c r="T1245" s="220" t="s">
        <v>73</v>
      </c>
      <c r="U1245" s="169" t="s">
        <v>59</v>
      </c>
      <c r="V1245" s="170" t="s">
        <v>59</v>
      </c>
      <c r="W1245" s="171" t="s">
        <v>59</v>
      </c>
      <c r="X1245" s="172" t="s">
        <v>59</v>
      </c>
      <c r="Y1245" s="172" t="s">
        <v>59</v>
      </c>
      <c r="Z1245" s="172" t="s">
        <v>59</v>
      </c>
      <c r="AA1245" s="402"/>
      <c r="AB1245" s="403"/>
    </row>
    <row r="1246" spans="1:28" x14ac:dyDescent="0.2">
      <c r="A1246" s="53">
        <v>1</v>
      </c>
      <c r="B1246" s="2172">
        <v>79473</v>
      </c>
      <c r="C1246" s="959">
        <v>1994</v>
      </c>
      <c r="D1246" s="51" t="s">
        <v>83</v>
      </c>
      <c r="E1246" s="154">
        <v>4</v>
      </c>
      <c r="F1246" s="51">
        <v>0</v>
      </c>
      <c r="G1246" s="51">
        <v>0</v>
      </c>
      <c r="H1246" s="51">
        <v>56</v>
      </c>
      <c r="I1246" s="70">
        <f>F1246*400+G1246*100+H1246</f>
        <v>56</v>
      </c>
      <c r="J1246" s="71">
        <v>430</v>
      </c>
      <c r="K1246" s="78">
        <f>SUM(I1246*J1246)</f>
        <v>24080</v>
      </c>
      <c r="L1246" s="75"/>
      <c r="M1246" s="51"/>
      <c r="N1246" s="51"/>
      <c r="O1246" s="155"/>
      <c r="P1246" s="824"/>
      <c r="Q1246" s="156"/>
      <c r="R1246" s="157"/>
      <c r="S1246" s="123"/>
      <c r="T1246" s="51"/>
      <c r="U1246" s="204"/>
      <c r="V1246" s="70"/>
      <c r="W1246" s="123">
        <f>K1246+V1246</f>
        <v>24080</v>
      </c>
      <c r="X1246" s="70">
        <f>W1246</f>
        <v>24080</v>
      </c>
      <c r="Y1246" s="71"/>
      <c r="Z1246" s="123">
        <f>+X1246</f>
        <v>24080</v>
      </c>
      <c r="AA1246" s="2074">
        <v>0.3</v>
      </c>
      <c r="AB1246" s="406">
        <f>+Z1246*AA1246/100</f>
        <v>72.239999999999995</v>
      </c>
    </row>
    <row r="1247" spans="1:28" x14ac:dyDescent="0.2">
      <c r="A1247" s="52"/>
      <c r="B1247" s="54"/>
      <c r="C1247" s="960"/>
      <c r="D1247" s="54"/>
      <c r="E1247" s="115"/>
      <c r="F1247" s="54"/>
      <c r="G1247" s="960"/>
      <c r="H1247" s="54"/>
      <c r="I1247" s="121"/>
      <c r="J1247" s="108"/>
      <c r="K1247" s="78"/>
      <c r="L1247" s="75"/>
      <c r="M1247" s="105"/>
      <c r="N1247" s="105"/>
      <c r="O1247" s="113"/>
      <c r="P1247" s="131"/>
      <c r="Q1247" s="132"/>
      <c r="R1247" s="133"/>
      <c r="S1247" s="2072"/>
      <c r="T1247" s="105"/>
      <c r="U1247" s="117"/>
      <c r="V1247" s="77"/>
      <c r="W1247" s="121"/>
      <c r="X1247" s="74"/>
      <c r="Y1247" s="117"/>
      <c r="Z1247" s="121"/>
      <c r="AA1247" s="2074"/>
      <c r="AB1247" s="410"/>
    </row>
    <row r="1248" spans="1:28" x14ac:dyDescent="0.2">
      <c r="A1248" s="52"/>
      <c r="B1248" s="54"/>
      <c r="C1248" s="961"/>
      <c r="D1248" s="105"/>
      <c r="E1248" s="115"/>
      <c r="F1248" s="54"/>
      <c r="G1248" s="81"/>
      <c r="H1248" s="54"/>
      <c r="I1248" s="77"/>
      <c r="J1248" s="108"/>
      <c r="K1248" s="78"/>
      <c r="L1248" s="52"/>
      <c r="M1248" s="52"/>
      <c r="N1248" s="52"/>
      <c r="O1248" s="52"/>
      <c r="P1248" s="962"/>
      <c r="Q1248" s="963"/>
      <c r="R1248" s="964"/>
      <c r="S1248" s="965"/>
      <c r="T1248" s="966"/>
      <c r="U1248" s="965"/>
      <c r="V1248" s="965"/>
      <c r="W1248" s="2072"/>
      <c r="X1248" s="121"/>
      <c r="Y1248" s="108"/>
      <c r="Z1248" s="2072"/>
      <c r="AA1248" s="2074"/>
      <c r="AB1248" s="466"/>
    </row>
    <row r="1249" spans="1:28" x14ac:dyDescent="0.2">
      <c r="A1249" s="2070"/>
      <c r="B1249" s="177"/>
      <c r="C1249" s="177"/>
      <c r="D1249" s="2070"/>
      <c r="E1249" s="2070"/>
      <c r="F1249" s="2070"/>
      <c r="G1249" s="2070"/>
      <c r="H1249" s="2076"/>
      <c r="I1249" s="2072"/>
      <c r="J1249" s="178"/>
      <c r="K1249" s="826"/>
      <c r="L1249" s="2070"/>
      <c r="M1249" s="2070"/>
      <c r="N1249" s="2070"/>
      <c r="O1249" s="2070"/>
      <c r="P1249" s="2076"/>
      <c r="Q1249" s="2071"/>
      <c r="R1249" s="827"/>
      <c r="S1249" s="826"/>
      <c r="T1249" s="179"/>
      <c r="U1249" s="828"/>
      <c r="V1249" s="826"/>
      <c r="W1249" s="826"/>
      <c r="X1249" s="829"/>
      <c r="Y1249" s="829"/>
      <c r="Z1249" s="830"/>
      <c r="AA1249" s="764"/>
      <c r="AB1249" s="466"/>
    </row>
    <row r="1250" spans="1:28" x14ac:dyDescent="0.2">
      <c r="A1250" s="2070"/>
      <c r="B1250" s="177"/>
      <c r="C1250" s="177"/>
      <c r="D1250" s="2070"/>
      <c r="E1250" s="2070"/>
      <c r="F1250" s="2070"/>
      <c r="G1250" s="2070"/>
      <c r="H1250" s="2076"/>
      <c r="I1250" s="2072"/>
      <c r="J1250" s="178"/>
      <c r="K1250" s="826"/>
      <c r="L1250" s="2070"/>
      <c r="M1250" s="2070"/>
      <c r="N1250" s="2070"/>
      <c r="O1250" s="2070"/>
      <c r="P1250" s="2076"/>
      <c r="Q1250" s="2071"/>
      <c r="R1250" s="827"/>
      <c r="S1250" s="826"/>
      <c r="T1250" s="179"/>
      <c r="U1250" s="828"/>
      <c r="V1250" s="826"/>
      <c r="W1250" s="826"/>
      <c r="X1250" s="829"/>
      <c r="Y1250" s="829"/>
      <c r="Z1250" s="830"/>
      <c r="AA1250" s="764"/>
      <c r="AB1250" s="466"/>
    </row>
    <row r="1251" spans="1:28" x14ac:dyDescent="0.2">
      <c r="A1251" s="2070"/>
      <c r="B1251" s="177"/>
      <c r="C1251" s="177"/>
      <c r="D1251" s="2070"/>
      <c r="E1251" s="2070"/>
      <c r="F1251" s="2070"/>
      <c r="G1251" s="2070"/>
      <c r="H1251" s="2076"/>
      <c r="I1251" s="2072"/>
      <c r="J1251" s="178"/>
      <c r="K1251" s="826"/>
      <c r="L1251" s="2070"/>
      <c r="M1251" s="2070"/>
      <c r="N1251" s="2070"/>
      <c r="O1251" s="2070"/>
      <c r="P1251" s="2076"/>
      <c r="Q1251" s="2071"/>
      <c r="R1251" s="827"/>
      <c r="S1251" s="826"/>
      <c r="T1251" s="179"/>
      <c r="U1251" s="828"/>
      <c r="V1251" s="826"/>
      <c r="W1251" s="826"/>
      <c r="X1251" s="829"/>
      <c r="Y1251" s="829"/>
      <c r="Z1251" s="830"/>
      <c r="AA1251" s="764"/>
      <c r="AB1251" s="466"/>
    </row>
    <row r="1252" spans="1:28" x14ac:dyDescent="0.2">
      <c r="A1252" s="2070"/>
      <c r="B1252" s="177"/>
      <c r="C1252" s="177"/>
      <c r="D1252" s="2070"/>
      <c r="E1252" s="2070"/>
      <c r="F1252" s="2070"/>
      <c r="G1252" s="2070"/>
      <c r="H1252" s="2076"/>
      <c r="I1252" s="2072"/>
      <c r="J1252" s="178"/>
      <c r="K1252" s="826"/>
      <c r="L1252" s="2070"/>
      <c r="M1252" s="2070"/>
      <c r="N1252" s="2070"/>
      <c r="O1252" s="2070"/>
      <c r="P1252" s="2076"/>
      <c r="Q1252" s="2071"/>
      <c r="R1252" s="827"/>
      <c r="S1252" s="826"/>
      <c r="T1252" s="179"/>
      <c r="U1252" s="828"/>
      <c r="V1252" s="826"/>
      <c r="W1252" s="826"/>
      <c r="X1252" s="829"/>
      <c r="Y1252" s="829"/>
      <c r="Z1252" s="830"/>
      <c r="AA1252" s="764"/>
      <c r="AB1252" s="466"/>
    </row>
    <row r="1253" spans="1:28" x14ac:dyDescent="0.2">
      <c r="A1253" s="2070"/>
      <c r="B1253" s="177"/>
      <c r="C1253" s="177"/>
      <c r="D1253" s="2070"/>
      <c r="E1253" s="2070"/>
      <c r="F1253" s="2070"/>
      <c r="G1253" s="2070"/>
      <c r="H1253" s="2076"/>
      <c r="I1253" s="2072"/>
      <c r="J1253" s="178"/>
      <c r="K1253" s="826"/>
      <c r="L1253" s="2070"/>
      <c r="M1253" s="2070"/>
      <c r="N1253" s="2070"/>
      <c r="O1253" s="2070"/>
      <c r="P1253" s="2076"/>
      <c r="Q1253" s="2071"/>
      <c r="R1253" s="827"/>
      <c r="S1253" s="826"/>
      <c r="T1253" s="179"/>
      <c r="U1253" s="828"/>
      <c r="V1253" s="826"/>
      <c r="W1253" s="826"/>
      <c r="X1253" s="829"/>
      <c r="Y1253" s="829"/>
      <c r="Z1253" s="830"/>
      <c r="AA1253" s="764"/>
      <c r="AB1253" s="466"/>
    </row>
    <row r="1254" spans="1:28" x14ac:dyDescent="0.2">
      <c r="A1254" s="2070"/>
      <c r="B1254" s="177"/>
      <c r="C1254" s="177"/>
      <c r="D1254" s="2070"/>
      <c r="E1254" s="2070"/>
      <c r="F1254" s="2070"/>
      <c r="G1254" s="2070"/>
      <c r="H1254" s="2076"/>
      <c r="I1254" s="2072"/>
      <c r="J1254" s="178"/>
      <c r="K1254" s="826"/>
      <c r="L1254" s="2070"/>
      <c r="M1254" s="2070"/>
      <c r="N1254" s="2070"/>
      <c r="O1254" s="2070"/>
      <c r="P1254" s="2076"/>
      <c r="Q1254" s="2071"/>
      <c r="R1254" s="827"/>
      <c r="S1254" s="826"/>
      <c r="T1254" s="179"/>
      <c r="U1254" s="828"/>
      <c r="V1254" s="826"/>
      <c r="W1254" s="826"/>
      <c r="X1254" s="829"/>
      <c r="Y1254" s="829"/>
      <c r="Z1254" s="830"/>
      <c r="AA1254" s="764"/>
      <c r="AB1254" s="466"/>
    </row>
    <row r="1255" spans="1:28" x14ac:dyDescent="0.2">
      <c r="A1255" s="2070"/>
      <c r="B1255" s="177"/>
      <c r="C1255" s="177"/>
      <c r="D1255" s="2070"/>
      <c r="E1255" s="2070"/>
      <c r="F1255" s="2070"/>
      <c r="G1255" s="2070"/>
      <c r="H1255" s="2076"/>
      <c r="I1255" s="2072"/>
      <c r="J1255" s="178"/>
      <c r="K1255" s="826"/>
      <c r="L1255" s="2070"/>
      <c r="M1255" s="2070"/>
      <c r="N1255" s="2070"/>
      <c r="O1255" s="2070"/>
      <c r="P1255" s="2076"/>
      <c r="Q1255" s="2071"/>
      <c r="R1255" s="827"/>
      <c r="S1255" s="826"/>
      <c r="T1255" s="179"/>
      <c r="U1255" s="828"/>
      <c r="V1255" s="826"/>
      <c r="W1255" s="826"/>
      <c r="X1255" s="829"/>
      <c r="Y1255" s="829"/>
      <c r="Z1255" s="830"/>
      <c r="AA1255" s="764"/>
      <c r="AB1255" s="466"/>
    </row>
    <row r="1256" spans="1:28" x14ac:dyDescent="0.2">
      <c r="A1256" s="2070"/>
      <c r="B1256" s="177"/>
      <c r="C1256" s="177"/>
      <c r="D1256" s="2070"/>
      <c r="E1256" s="2070"/>
      <c r="F1256" s="2070"/>
      <c r="G1256" s="2070"/>
      <c r="H1256" s="2076"/>
      <c r="I1256" s="2072"/>
      <c r="J1256" s="178"/>
      <c r="K1256" s="826"/>
      <c r="L1256" s="2070"/>
      <c r="M1256" s="2070"/>
      <c r="N1256" s="2070"/>
      <c r="O1256" s="2070"/>
      <c r="P1256" s="2076"/>
      <c r="Q1256" s="2071"/>
      <c r="R1256" s="827"/>
      <c r="S1256" s="826"/>
      <c r="T1256" s="179"/>
      <c r="U1256" s="828"/>
      <c r="V1256" s="826"/>
      <c r="W1256" s="826"/>
      <c r="X1256" s="829"/>
      <c r="Y1256" s="829"/>
      <c r="Z1256" s="830"/>
      <c r="AA1256" s="764"/>
      <c r="AB1256" s="466"/>
    </row>
    <row r="1257" spans="1:28" x14ac:dyDescent="0.2">
      <c r="A1257" s="2070"/>
      <c r="B1257" s="177"/>
      <c r="C1257" s="177"/>
      <c r="D1257" s="2070"/>
      <c r="E1257" s="2070"/>
      <c r="F1257" s="2070"/>
      <c r="G1257" s="2070"/>
      <c r="H1257" s="2076"/>
      <c r="I1257" s="2072"/>
      <c r="J1257" s="178"/>
      <c r="K1257" s="826"/>
      <c r="L1257" s="2070"/>
      <c r="M1257" s="2070"/>
      <c r="N1257" s="2070"/>
      <c r="O1257" s="2070"/>
      <c r="P1257" s="2076"/>
      <c r="Q1257" s="2071"/>
      <c r="R1257" s="827"/>
      <c r="S1257" s="826"/>
      <c r="T1257" s="179"/>
      <c r="U1257" s="828"/>
      <c r="V1257" s="826"/>
      <c r="W1257" s="826"/>
      <c r="X1257" s="829"/>
      <c r="Y1257" s="829"/>
      <c r="Z1257" s="830"/>
      <c r="AA1257" s="764"/>
      <c r="AB1257" s="466"/>
    </row>
    <row r="1258" spans="1:28" x14ac:dyDescent="0.2">
      <c r="A1258" s="2091"/>
      <c r="B1258" s="177"/>
      <c r="C1258" s="177"/>
      <c r="D1258" s="2091"/>
      <c r="E1258" s="2091"/>
      <c r="F1258" s="2091"/>
      <c r="G1258" s="2091"/>
      <c r="H1258" s="2094"/>
      <c r="I1258" s="2092"/>
      <c r="J1258" s="178"/>
      <c r="K1258" s="826"/>
      <c r="L1258" s="2091"/>
      <c r="M1258" s="2091"/>
      <c r="N1258" s="2091"/>
      <c r="O1258" s="2091"/>
      <c r="P1258" s="2094"/>
      <c r="Q1258" s="2093"/>
      <c r="R1258" s="827"/>
      <c r="S1258" s="826"/>
      <c r="T1258" s="179"/>
      <c r="U1258" s="828"/>
      <c r="V1258" s="826"/>
      <c r="W1258" s="826"/>
      <c r="X1258" s="829"/>
      <c r="Y1258" s="829"/>
      <c r="Z1258" s="830"/>
      <c r="AA1258" s="764"/>
      <c r="AB1258" s="466"/>
    </row>
    <row r="1259" spans="1:28" x14ac:dyDescent="0.2">
      <c r="A1259" s="2070"/>
      <c r="B1259" s="177"/>
      <c r="C1259" s="177"/>
      <c r="D1259" s="2070"/>
      <c r="E1259" s="2070"/>
      <c r="F1259" s="2070"/>
      <c r="G1259" s="2070"/>
      <c r="H1259" s="2076"/>
      <c r="I1259" s="2072"/>
      <c r="J1259" s="178"/>
      <c r="K1259" s="826"/>
      <c r="L1259" s="2070"/>
      <c r="M1259" s="2070"/>
      <c r="N1259" s="2070"/>
      <c r="O1259" s="2070"/>
      <c r="P1259" s="2076"/>
      <c r="Q1259" s="2071"/>
      <c r="R1259" s="827"/>
      <c r="S1259" s="826"/>
      <c r="T1259" s="179"/>
      <c r="U1259" s="828"/>
      <c r="V1259" s="826"/>
      <c r="W1259" s="826"/>
      <c r="X1259" s="829"/>
      <c r="Y1259" s="829"/>
      <c r="Z1259" s="830"/>
      <c r="AA1259" s="764"/>
      <c r="AB1259" s="466"/>
    </row>
    <row r="1260" spans="1:28" x14ac:dyDescent="0.2">
      <c r="A1260" s="88"/>
      <c r="B1260" s="180"/>
      <c r="C1260" s="180"/>
      <c r="D1260" s="88"/>
      <c r="E1260" s="88"/>
      <c r="F1260" s="88"/>
      <c r="G1260" s="88"/>
      <c r="H1260" s="120"/>
      <c r="I1260" s="121"/>
      <c r="J1260" s="181"/>
      <c r="K1260" s="833"/>
      <c r="L1260" s="88"/>
      <c r="M1260" s="88"/>
      <c r="N1260" s="88"/>
      <c r="O1260" s="88"/>
      <c r="P1260" s="88"/>
      <c r="Q1260" s="129"/>
      <c r="R1260" s="834"/>
      <c r="S1260" s="833"/>
      <c r="T1260" s="182"/>
      <c r="U1260" s="835"/>
      <c r="V1260" s="833"/>
      <c r="W1260" s="833"/>
      <c r="X1260" s="836"/>
      <c r="Y1260" s="836"/>
      <c r="Z1260" s="837"/>
      <c r="AA1260" s="780"/>
      <c r="AB1260" s="410"/>
    </row>
    <row r="1261" spans="1:28" x14ac:dyDescent="0.2">
      <c r="A1261" s="1850"/>
      <c r="B1261" s="1850"/>
      <c r="C1261" s="1850"/>
      <c r="D1261" s="1850"/>
      <c r="E1261" s="1850"/>
      <c r="F1261" s="1850"/>
      <c r="G1261" s="1850"/>
      <c r="H1261" s="1851"/>
      <c r="I1261" s="1852"/>
      <c r="J1261" s="1853"/>
      <c r="K1261" s="1929"/>
      <c r="L1261" s="1929"/>
      <c r="M1261" s="1929"/>
      <c r="N1261" s="1929"/>
      <c r="O1261" s="1929"/>
      <c r="P1261" s="1929"/>
      <c r="Q1261" s="1929"/>
      <c r="R1261" s="1930"/>
      <c r="S1261" s="1929"/>
      <c r="T1261" s="1855"/>
      <c r="U1261" s="1931"/>
      <c r="V1261" s="1929"/>
      <c r="W1261" s="1929"/>
      <c r="X1261" s="1932"/>
      <c r="Y1261" s="1932"/>
      <c r="Z1261" s="1933"/>
      <c r="AA1261" s="2173"/>
      <c r="AB1261" s="1847">
        <f>SUM(AB1246:AB1260)</f>
        <v>72.239999999999995</v>
      </c>
    </row>
    <row r="1262" spans="1:28" ht="15.75" x14ac:dyDescent="0.2">
      <c r="A1262" s="2730" t="s">
        <v>76</v>
      </c>
      <c r="B1262" s="2730"/>
      <c r="C1262" s="2731" t="s">
        <v>77</v>
      </c>
      <c r="D1262" s="2731"/>
      <c r="E1262" s="2731"/>
      <c r="F1262" s="2731"/>
      <c r="G1262" s="2731"/>
      <c r="H1262" s="2731"/>
      <c r="I1262" s="843" t="s">
        <v>78</v>
      </c>
      <c r="J1262" s="843"/>
      <c r="K1262" s="843"/>
      <c r="L1262" s="843"/>
      <c r="M1262" s="843"/>
      <c r="N1262" s="843"/>
      <c r="O1262" s="844"/>
      <c r="P1262" s="844"/>
      <c r="Q1262" s="844"/>
      <c r="R1262" s="844"/>
      <c r="S1262" s="844"/>
      <c r="T1262" s="844"/>
      <c r="U1262" s="844"/>
      <c r="V1262" s="844"/>
      <c r="W1262" s="844"/>
      <c r="X1262" s="844"/>
      <c r="Y1262" s="844"/>
      <c r="Z1262" s="844"/>
      <c r="AA1262" s="968"/>
      <c r="AB1262" s="845"/>
    </row>
    <row r="1263" spans="1:28" ht="15.75" x14ac:dyDescent="0.2">
      <c r="A1263" s="843"/>
      <c r="B1263" s="846"/>
      <c r="C1263" s="843"/>
      <c r="D1263" s="843"/>
      <c r="E1263" s="843"/>
      <c r="F1263" s="843"/>
      <c r="G1263" s="843"/>
      <c r="H1263" s="843"/>
      <c r="I1263" s="843" t="s">
        <v>79</v>
      </c>
      <c r="J1263" s="843"/>
      <c r="K1263" s="843"/>
      <c r="L1263" s="843"/>
      <c r="M1263" s="843"/>
      <c r="N1263" s="843"/>
      <c r="O1263" s="844"/>
      <c r="P1263" s="844"/>
      <c r="Q1263" s="844"/>
      <c r="R1263" s="844"/>
      <c r="S1263" s="844"/>
      <c r="T1263" s="844"/>
      <c r="U1263" s="844"/>
      <c r="V1263" s="844"/>
      <c r="W1263" s="844"/>
      <c r="X1263" s="844"/>
      <c r="Y1263" s="844"/>
      <c r="Z1263" s="844"/>
      <c r="AA1263" s="968"/>
      <c r="AB1263" s="845"/>
    </row>
    <row r="1264" spans="1:28" ht="15.75" x14ac:dyDescent="0.2">
      <c r="A1264" s="843"/>
      <c r="B1264" s="846"/>
      <c r="C1264" s="843"/>
      <c r="D1264" s="843"/>
      <c r="E1264" s="843"/>
      <c r="F1264" s="843"/>
      <c r="G1264" s="843"/>
      <c r="H1264" s="843"/>
      <c r="I1264" s="843" t="s">
        <v>80</v>
      </c>
      <c r="J1264" s="843"/>
      <c r="K1264" s="843"/>
      <c r="L1264" s="843"/>
      <c r="M1264" s="843"/>
      <c r="N1264" s="843"/>
      <c r="O1264" s="844"/>
      <c r="P1264" s="844"/>
      <c r="Q1264" s="844"/>
      <c r="R1264" s="844"/>
      <c r="S1264" s="844"/>
      <c r="T1264" s="844"/>
      <c r="U1264" s="844"/>
      <c r="V1264" s="844"/>
      <c r="W1264" s="844"/>
      <c r="X1264" s="844"/>
      <c r="Y1264" s="844"/>
      <c r="Z1264" s="844"/>
      <c r="AA1264" s="968"/>
      <c r="AB1264" s="845"/>
    </row>
    <row r="1265" spans="1:28" ht="15.75" x14ac:dyDescent="0.2">
      <c r="A1265" s="843"/>
      <c r="B1265" s="846"/>
      <c r="C1265" s="843"/>
      <c r="D1265" s="843"/>
      <c r="E1265" s="843"/>
      <c r="F1265" s="843"/>
      <c r="G1265" s="843"/>
      <c r="H1265" s="843"/>
      <c r="I1265" s="843" t="s">
        <v>81</v>
      </c>
      <c r="J1265" s="843"/>
      <c r="K1265" s="843"/>
      <c r="L1265" s="843"/>
      <c r="M1265" s="843"/>
      <c r="N1265" s="843"/>
      <c r="O1265" s="844"/>
      <c r="P1265" s="844"/>
      <c r="Q1265" s="844"/>
      <c r="R1265" s="844"/>
      <c r="S1265" s="844"/>
      <c r="T1265" s="844"/>
      <c r="U1265" s="844"/>
      <c r="V1265" s="844"/>
      <c r="W1265" s="844"/>
      <c r="X1265" s="844"/>
      <c r="Y1265" s="844"/>
      <c r="Z1265" s="844"/>
      <c r="AA1265" s="968"/>
      <c r="AB1265" s="845"/>
    </row>
    <row r="1266" spans="1:28" ht="15.75" x14ac:dyDescent="0.2">
      <c r="A1266" s="843"/>
      <c r="B1266" s="846"/>
      <c r="C1266" s="843"/>
      <c r="D1266" s="843"/>
      <c r="E1266" s="843"/>
      <c r="F1266" s="843"/>
      <c r="G1266" s="843"/>
      <c r="H1266" s="843"/>
      <c r="I1266" s="843" t="s">
        <v>88</v>
      </c>
      <c r="J1266" s="843"/>
      <c r="K1266" s="843"/>
      <c r="L1266" s="843"/>
      <c r="M1266" s="843"/>
      <c r="N1266" s="843"/>
      <c r="O1266" s="844"/>
      <c r="P1266" s="844"/>
      <c r="Q1266" s="844"/>
      <c r="R1266" s="844"/>
      <c r="S1266" s="844"/>
      <c r="T1266" s="844"/>
      <c r="U1266" s="844"/>
      <c r="V1266" s="844"/>
      <c r="W1266" s="844"/>
      <c r="X1266" s="844"/>
      <c r="Y1266" s="844"/>
      <c r="Z1266" s="844"/>
      <c r="AA1266" s="968"/>
      <c r="AB1266" s="845"/>
    </row>
    <row r="1268" spans="1:28" ht="18.75" x14ac:dyDescent="0.2">
      <c r="A1268" s="822"/>
      <c r="B1268" s="822"/>
      <c r="C1268" s="822"/>
      <c r="D1268" s="822"/>
      <c r="E1268" s="822"/>
      <c r="F1268" s="822"/>
      <c r="G1268" s="822"/>
      <c r="H1268" s="822"/>
      <c r="I1268" s="822"/>
      <c r="J1268" s="822"/>
      <c r="K1268" s="822"/>
      <c r="L1268" s="822"/>
      <c r="M1268" s="822"/>
      <c r="N1268" s="822"/>
      <c r="O1268" s="822"/>
      <c r="P1268" s="822"/>
      <c r="Q1268" s="822"/>
      <c r="R1268" s="822"/>
      <c r="S1268" s="822"/>
      <c r="T1268" s="822"/>
      <c r="U1268" s="822"/>
      <c r="V1268" s="822"/>
      <c r="W1268" s="822"/>
      <c r="X1268" s="822"/>
      <c r="Y1268" s="822"/>
      <c r="Z1268" s="822"/>
      <c r="AA1268" s="2739" t="s">
        <v>0</v>
      </c>
      <c r="AB1268" s="2739"/>
    </row>
    <row r="1269" spans="1:28" ht="18.75" x14ac:dyDescent="0.2">
      <c r="A1269" s="2707" t="s">
        <v>1</v>
      </c>
      <c r="B1269" s="2707"/>
      <c r="C1269" s="2707"/>
      <c r="D1269" s="2707"/>
      <c r="E1269" s="2707"/>
      <c r="F1269" s="2707"/>
      <c r="G1269" s="2707"/>
      <c r="H1269" s="2707"/>
      <c r="I1269" s="2707"/>
      <c r="J1269" s="2707"/>
      <c r="K1269" s="2707"/>
      <c r="L1269" s="2707"/>
      <c r="M1269" s="2707"/>
      <c r="N1269" s="2707"/>
      <c r="O1269" s="2707"/>
      <c r="P1269" s="2707"/>
      <c r="Q1269" s="2707"/>
      <c r="R1269" s="2707"/>
      <c r="S1269" s="2707"/>
      <c r="T1269" s="2707"/>
      <c r="U1269" s="2707"/>
      <c r="V1269" s="2707"/>
      <c r="W1269" s="2707"/>
      <c r="X1269" s="2707"/>
      <c r="Y1269" s="2707"/>
      <c r="Z1269" s="2707"/>
      <c r="AA1269" s="2707"/>
      <c r="AB1269" s="2707"/>
    </row>
    <row r="1270" spans="1:28" ht="18.75" x14ac:dyDescent="0.2">
      <c r="A1270" s="2708" t="s">
        <v>585</v>
      </c>
      <c r="B1270" s="2708"/>
      <c r="C1270" s="2708"/>
      <c r="D1270" s="2708"/>
      <c r="E1270" s="2708"/>
      <c r="F1270" s="2708"/>
      <c r="G1270" s="2708"/>
      <c r="H1270" s="2708"/>
      <c r="I1270" s="2708"/>
      <c r="J1270" s="2708"/>
      <c r="K1270" s="2708"/>
      <c r="L1270" s="2708"/>
      <c r="M1270" s="2708"/>
      <c r="N1270" s="2708"/>
      <c r="O1270" s="2708"/>
      <c r="P1270" s="2708"/>
      <c r="Q1270" s="2708"/>
      <c r="R1270" s="2708"/>
      <c r="S1270" s="2708"/>
      <c r="T1270" s="2708"/>
      <c r="U1270" s="2708"/>
      <c r="V1270" s="2708"/>
      <c r="W1270" s="2708"/>
      <c r="X1270" s="2708"/>
      <c r="Y1270" s="2708"/>
      <c r="Z1270" s="2708"/>
      <c r="AA1270" s="2708"/>
      <c r="AB1270" s="2708"/>
    </row>
    <row r="1271" spans="1:28" x14ac:dyDescent="0.2">
      <c r="A1271" s="2709" t="s">
        <v>2</v>
      </c>
      <c r="B1271" s="160"/>
      <c r="C1271" s="2709" t="s">
        <v>3</v>
      </c>
      <c r="D1271" s="160"/>
      <c r="E1271" s="160"/>
      <c r="F1271" s="2712" t="s">
        <v>4</v>
      </c>
      <c r="G1271" s="2712"/>
      <c r="H1271" s="2712"/>
      <c r="I1271" s="2713"/>
      <c r="J1271" s="2713"/>
      <c r="K1271" s="2714"/>
      <c r="L1271" s="2"/>
      <c r="M1271" s="2715" t="s">
        <v>5</v>
      </c>
      <c r="N1271" s="2715"/>
      <c r="O1271" s="2715"/>
      <c r="P1271" s="2715"/>
      <c r="Q1271" s="2716"/>
      <c r="R1271" s="2716"/>
      <c r="S1271" s="2716"/>
      <c r="T1271" s="2716"/>
      <c r="U1271" s="2716"/>
      <c r="V1271" s="2717"/>
      <c r="W1271" s="161" t="s">
        <v>6</v>
      </c>
      <c r="X1271" s="162" t="s">
        <v>7</v>
      </c>
      <c r="Y1271" s="163"/>
      <c r="Z1271" s="163"/>
      <c r="AA1271" s="162"/>
      <c r="AB1271" s="206"/>
    </row>
    <row r="1272" spans="1:28" x14ac:dyDescent="0.2">
      <c r="A1272" s="2710"/>
      <c r="B1272" s="4"/>
      <c r="C1272" s="2710"/>
      <c r="D1272" s="2057" t="s">
        <v>9</v>
      </c>
      <c r="E1272" s="207" t="s">
        <v>10</v>
      </c>
      <c r="F1272" s="2718" t="s">
        <v>11</v>
      </c>
      <c r="G1272" s="2713"/>
      <c r="H1272" s="2714"/>
      <c r="I1272" s="160"/>
      <c r="J1272" s="208" t="s">
        <v>12</v>
      </c>
      <c r="K1272" s="160"/>
      <c r="L1272" s="2715" t="s">
        <v>2</v>
      </c>
      <c r="M1272" s="141"/>
      <c r="N1272" s="141"/>
      <c r="O1272" s="141"/>
      <c r="P1272" s="164"/>
      <c r="Q1272" s="209" t="s">
        <v>13</v>
      </c>
      <c r="R1272" s="210" t="s">
        <v>12</v>
      </c>
      <c r="S1272" s="141" t="s">
        <v>6</v>
      </c>
      <c r="T1272" s="2724" t="s">
        <v>14</v>
      </c>
      <c r="U1272" s="2725"/>
      <c r="V1272" s="165" t="s">
        <v>7</v>
      </c>
      <c r="W1272" s="166" t="s">
        <v>15</v>
      </c>
      <c r="X1272" s="5" t="s">
        <v>16</v>
      </c>
      <c r="Y1272" s="5" t="s">
        <v>17</v>
      </c>
      <c r="Z1272" s="5" t="s">
        <v>18</v>
      </c>
      <c r="AA1272" s="377"/>
      <c r="AB1272" s="378" t="s">
        <v>19</v>
      </c>
    </row>
    <row r="1273" spans="1:28" x14ac:dyDescent="0.2">
      <c r="A1273" s="2710"/>
      <c r="B1273" s="2057" t="s">
        <v>23</v>
      </c>
      <c r="C1273" s="2710"/>
      <c r="D1273" s="2057" t="s">
        <v>24</v>
      </c>
      <c r="E1273" s="207" t="s">
        <v>25</v>
      </c>
      <c r="F1273" s="2719"/>
      <c r="G1273" s="2720"/>
      <c r="H1273" s="2721"/>
      <c r="I1273" s="2057" t="s">
        <v>26</v>
      </c>
      <c r="J1273" s="211" t="s">
        <v>15</v>
      </c>
      <c r="K1273" s="2060" t="s">
        <v>6</v>
      </c>
      <c r="L1273" s="2722"/>
      <c r="M1273" s="142" t="s">
        <v>27</v>
      </c>
      <c r="N1273" s="142" t="s">
        <v>10</v>
      </c>
      <c r="O1273" s="212" t="s">
        <v>10</v>
      </c>
      <c r="P1273" s="213" t="s">
        <v>28</v>
      </c>
      <c r="Q1273" s="214" t="s">
        <v>29</v>
      </c>
      <c r="R1273" s="213" t="s">
        <v>15</v>
      </c>
      <c r="S1273" s="8" t="s">
        <v>15</v>
      </c>
      <c r="T1273" s="2726"/>
      <c r="U1273" s="2727"/>
      <c r="V1273" s="165" t="s">
        <v>30</v>
      </c>
      <c r="W1273" s="166" t="s">
        <v>31</v>
      </c>
      <c r="X1273" s="5" t="s">
        <v>30</v>
      </c>
      <c r="Y1273" s="5" t="s">
        <v>32</v>
      </c>
      <c r="Z1273" s="5" t="s">
        <v>7</v>
      </c>
      <c r="AA1273" s="377" t="s">
        <v>33</v>
      </c>
      <c r="AB1273" s="378" t="s">
        <v>34</v>
      </c>
    </row>
    <row r="1274" spans="1:28" x14ac:dyDescent="0.2">
      <c r="A1274" s="2710"/>
      <c r="B1274" s="2057" t="s">
        <v>39</v>
      </c>
      <c r="C1274" s="2710"/>
      <c r="D1274" s="2057" t="s">
        <v>40</v>
      </c>
      <c r="E1274" s="207" t="s">
        <v>41</v>
      </c>
      <c r="F1274" s="2709" t="s">
        <v>42</v>
      </c>
      <c r="G1274" s="2709" t="s">
        <v>43</v>
      </c>
      <c r="H1274" s="2728" t="s">
        <v>44</v>
      </c>
      <c r="I1274" s="2057" t="s">
        <v>45</v>
      </c>
      <c r="J1274" s="211" t="s">
        <v>46</v>
      </c>
      <c r="K1274" s="2060" t="s">
        <v>47</v>
      </c>
      <c r="L1274" s="2722"/>
      <c r="M1274" s="142" t="s">
        <v>30</v>
      </c>
      <c r="N1274" s="142" t="s">
        <v>30</v>
      </c>
      <c r="O1274" s="212" t="s">
        <v>25</v>
      </c>
      <c r="P1274" s="213" t="s">
        <v>30</v>
      </c>
      <c r="Q1274" s="214" t="s">
        <v>48</v>
      </c>
      <c r="R1274" s="213" t="s">
        <v>49</v>
      </c>
      <c r="S1274" s="8" t="s">
        <v>30</v>
      </c>
      <c r="T1274" s="215" t="s">
        <v>50</v>
      </c>
      <c r="U1274" s="2059" t="s">
        <v>13</v>
      </c>
      <c r="V1274" s="165" t="s">
        <v>51</v>
      </c>
      <c r="W1274" s="166" t="s">
        <v>52</v>
      </c>
      <c r="X1274" s="5" t="s">
        <v>53</v>
      </c>
      <c r="Y1274" s="5" t="s">
        <v>54</v>
      </c>
      <c r="Z1274" s="5" t="s">
        <v>55</v>
      </c>
      <c r="AA1274" s="377" t="s">
        <v>56</v>
      </c>
      <c r="AB1274" s="378" t="s">
        <v>57</v>
      </c>
    </row>
    <row r="1275" spans="1:28" x14ac:dyDescent="0.2">
      <c r="A1275" s="2710"/>
      <c r="B1275" s="2057" t="s">
        <v>61</v>
      </c>
      <c r="C1275" s="2710"/>
      <c r="D1275" s="2057" t="s">
        <v>62</v>
      </c>
      <c r="E1275" s="207" t="s">
        <v>63</v>
      </c>
      <c r="F1275" s="2710"/>
      <c r="G1275" s="2710"/>
      <c r="H1275" s="2729"/>
      <c r="I1275" s="2057" t="s">
        <v>64</v>
      </c>
      <c r="J1275" s="211" t="s">
        <v>59</v>
      </c>
      <c r="K1275" s="2060" t="s">
        <v>59</v>
      </c>
      <c r="L1275" s="2722"/>
      <c r="M1275" s="142"/>
      <c r="N1275" s="142"/>
      <c r="O1275" s="212" t="s">
        <v>41</v>
      </c>
      <c r="P1275" s="213" t="s">
        <v>65</v>
      </c>
      <c r="Q1275" s="214" t="s">
        <v>66</v>
      </c>
      <c r="R1275" s="213" t="s">
        <v>67</v>
      </c>
      <c r="S1275" s="8" t="s">
        <v>59</v>
      </c>
      <c r="T1275" s="216" t="s">
        <v>68</v>
      </c>
      <c r="U1275" s="165" t="s">
        <v>14</v>
      </c>
      <c r="V1275" s="165" t="s">
        <v>14</v>
      </c>
      <c r="W1275" s="166" t="s">
        <v>30</v>
      </c>
      <c r="X1275" s="167" t="s">
        <v>69</v>
      </c>
      <c r="Y1275" s="167" t="s">
        <v>70</v>
      </c>
      <c r="Z1275" s="5" t="s">
        <v>71</v>
      </c>
      <c r="AA1275" s="377" t="s">
        <v>72</v>
      </c>
      <c r="AB1275" s="378" t="s">
        <v>59</v>
      </c>
    </row>
    <row r="1276" spans="1:28" x14ac:dyDescent="0.2">
      <c r="A1276" s="2711"/>
      <c r="B1276" s="9"/>
      <c r="C1276" s="2711"/>
      <c r="D1276" s="9"/>
      <c r="E1276" s="2058"/>
      <c r="F1276" s="9"/>
      <c r="G1276" s="9"/>
      <c r="H1276" s="10"/>
      <c r="I1276" s="2058"/>
      <c r="J1276" s="217"/>
      <c r="K1276" s="168"/>
      <c r="L1276" s="2723"/>
      <c r="M1276" s="143"/>
      <c r="N1276" s="143"/>
      <c r="O1276" s="143" t="s">
        <v>63</v>
      </c>
      <c r="P1276" s="218"/>
      <c r="Q1276" s="219" t="s">
        <v>72</v>
      </c>
      <c r="R1276" s="220" t="s">
        <v>59</v>
      </c>
      <c r="S1276" s="169"/>
      <c r="T1276" s="220" t="s">
        <v>73</v>
      </c>
      <c r="U1276" s="169" t="s">
        <v>59</v>
      </c>
      <c r="V1276" s="170" t="s">
        <v>59</v>
      </c>
      <c r="W1276" s="171" t="s">
        <v>59</v>
      </c>
      <c r="X1276" s="172" t="s">
        <v>59</v>
      </c>
      <c r="Y1276" s="172" t="s">
        <v>59</v>
      </c>
      <c r="Z1276" s="172" t="s">
        <v>59</v>
      </c>
      <c r="AA1276" s="402"/>
      <c r="AB1276" s="403"/>
    </row>
    <row r="1277" spans="1:28" x14ac:dyDescent="0.2">
      <c r="A1277" s="53">
        <v>1</v>
      </c>
      <c r="B1277" s="2172">
        <v>79474</v>
      </c>
      <c r="C1277" s="959">
        <v>1995</v>
      </c>
      <c r="D1277" s="51" t="s">
        <v>83</v>
      </c>
      <c r="E1277" s="154">
        <v>4</v>
      </c>
      <c r="F1277" s="51">
        <v>0</v>
      </c>
      <c r="G1277" s="51">
        <v>1</v>
      </c>
      <c r="H1277" s="51">
        <v>12</v>
      </c>
      <c r="I1277" s="70">
        <f>F1277*400+G1277*100+H1277</f>
        <v>112</v>
      </c>
      <c r="J1277" s="71">
        <v>430</v>
      </c>
      <c r="K1277" s="78">
        <f>SUM(I1277*J1277)</f>
        <v>48160</v>
      </c>
      <c r="L1277" s="75"/>
      <c r="M1277" s="51"/>
      <c r="N1277" s="51"/>
      <c r="O1277" s="155"/>
      <c r="P1277" s="824"/>
      <c r="Q1277" s="156"/>
      <c r="R1277" s="157"/>
      <c r="S1277" s="123"/>
      <c r="T1277" s="51"/>
      <c r="U1277" s="204"/>
      <c r="V1277" s="70"/>
      <c r="W1277" s="123">
        <f>K1277+V1277</f>
        <v>48160</v>
      </c>
      <c r="X1277" s="70">
        <f>W1277</f>
        <v>48160</v>
      </c>
      <c r="Y1277" s="71"/>
      <c r="Z1277" s="123">
        <f>+X1277</f>
        <v>48160</v>
      </c>
      <c r="AA1277" s="2074">
        <v>0.3</v>
      </c>
      <c r="AB1277" s="406">
        <f>+Z1277*AA1277/100</f>
        <v>144.47999999999999</v>
      </c>
    </row>
    <row r="1278" spans="1:28" x14ac:dyDescent="0.2">
      <c r="A1278" s="52"/>
      <c r="B1278" s="54"/>
      <c r="C1278" s="960"/>
      <c r="D1278" s="54"/>
      <c r="E1278" s="115"/>
      <c r="F1278" s="54"/>
      <c r="G1278" s="960"/>
      <c r="H1278" s="54"/>
      <c r="I1278" s="121"/>
      <c r="J1278" s="108"/>
      <c r="K1278" s="78"/>
      <c r="L1278" s="75"/>
      <c r="M1278" s="105"/>
      <c r="N1278" s="105"/>
      <c r="O1278" s="113"/>
      <c r="P1278" s="131"/>
      <c r="Q1278" s="132"/>
      <c r="R1278" s="133"/>
      <c r="S1278" s="2072"/>
      <c r="T1278" s="105"/>
      <c r="U1278" s="117"/>
      <c r="V1278" s="77"/>
      <c r="W1278" s="121"/>
      <c r="X1278" s="74"/>
      <c r="Y1278" s="117"/>
      <c r="Z1278" s="121"/>
      <c r="AA1278" s="2074"/>
      <c r="AB1278" s="410"/>
    </row>
    <row r="1279" spans="1:28" x14ac:dyDescent="0.2">
      <c r="A1279" s="52"/>
      <c r="B1279" s="54"/>
      <c r="C1279" s="961"/>
      <c r="D1279" s="105"/>
      <c r="E1279" s="115"/>
      <c r="F1279" s="54"/>
      <c r="G1279" s="81"/>
      <c r="H1279" s="54"/>
      <c r="I1279" s="77"/>
      <c r="J1279" s="108"/>
      <c r="K1279" s="78"/>
      <c r="L1279" s="52"/>
      <c r="M1279" s="52"/>
      <c r="N1279" s="52"/>
      <c r="O1279" s="52"/>
      <c r="P1279" s="962"/>
      <c r="Q1279" s="963"/>
      <c r="R1279" s="964"/>
      <c r="S1279" s="965"/>
      <c r="T1279" s="966"/>
      <c r="U1279" s="965"/>
      <c r="V1279" s="965"/>
      <c r="W1279" s="2072"/>
      <c r="X1279" s="121"/>
      <c r="Y1279" s="108"/>
      <c r="Z1279" s="2072"/>
      <c r="AA1279" s="2074"/>
      <c r="AB1279" s="466"/>
    </row>
    <row r="1280" spans="1:28" x14ac:dyDescent="0.2">
      <c r="A1280" s="2070"/>
      <c r="B1280" s="177"/>
      <c r="C1280" s="177"/>
      <c r="D1280" s="2070"/>
      <c r="E1280" s="2070"/>
      <c r="F1280" s="2070"/>
      <c r="G1280" s="2070"/>
      <c r="H1280" s="2076"/>
      <c r="I1280" s="2072"/>
      <c r="J1280" s="178"/>
      <c r="K1280" s="826"/>
      <c r="L1280" s="2070"/>
      <c r="M1280" s="2070"/>
      <c r="N1280" s="2070"/>
      <c r="O1280" s="2070"/>
      <c r="P1280" s="2076"/>
      <c r="Q1280" s="2071"/>
      <c r="R1280" s="827"/>
      <c r="S1280" s="826"/>
      <c r="T1280" s="179"/>
      <c r="U1280" s="828"/>
      <c r="V1280" s="826"/>
      <c r="W1280" s="826"/>
      <c r="X1280" s="829"/>
      <c r="Y1280" s="829"/>
      <c r="Z1280" s="830"/>
      <c r="AA1280" s="764"/>
      <c r="AB1280" s="466"/>
    </row>
    <row r="1281" spans="1:28" x14ac:dyDescent="0.2">
      <c r="A1281" s="2070"/>
      <c r="B1281" s="177"/>
      <c r="C1281" s="177"/>
      <c r="D1281" s="2070"/>
      <c r="E1281" s="2070"/>
      <c r="F1281" s="2070"/>
      <c r="G1281" s="2070"/>
      <c r="H1281" s="2076"/>
      <c r="I1281" s="2072"/>
      <c r="J1281" s="178"/>
      <c r="K1281" s="826"/>
      <c r="L1281" s="2070"/>
      <c r="M1281" s="2070"/>
      <c r="N1281" s="2070"/>
      <c r="O1281" s="2070"/>
      <c r="P1281" s="2076"/>
      <c r="Q1281" s="2071"/>
      <c r="R1281" s="827"/>
      <c r="S1281" s="826"/>
      <c r="T1281" s="179"/>
      <c r="U1281" s="828"/>
      <c r="V1281" s="826"/>
      <c r="W1281" s="826"/>
      <c r="X1281" s="829"/>
      <c r="Y1281" s="829"/>
      <c r="Z1281" s="830"/>
      <c r="AA1281" s="764"/>
      <c r="AB1281" s="466"/>
    </row>
    <row r="1282" spans="1:28" x14ac:dyDescent="0.2">
      <c r="A1282" s="2070"/>
      <c r="B1282" s="177"/>
      <c r="C1282" s="177"/>
      <c r="D1282" s="2070"/>
      <c r="E1282" s="2070"/>
      <c r="F1282" s="2070"/>
      <c r="G1282" s="2070"/>
      <c r="H1282" s="2076"/>
      <c r="I1282" s="2072"/>
      <c r="J1282" s="178"/>
      <c r="K1282" s="826"/>
      <c r="L1282" s="2070"/>
      <c r="M1282" s="2070"/>
      <c r="N1282" s="2070"/>
      <c r="O1282" s="2070"/>
      <c r="P1282" s="2076"/>
      <c r="Q1282" s="2071"/>
      <c r="R1282" s="827"/>
      <c r="S1282" s="826"/>
      <c r="T1282" s="179"/>
      <c r="U1282" s="828"/>
      <c r="V1282" s="826"/>
      <c r="W1282" s="826"/>
      <c r="X1282" s="829"/>
      <c r="Y1282" s="829"/>
      <c r="Z1282" s="830"/>
      <c r="AA1282" s="764"/>
      <c r="AB1282" s="466"/>
    </row>
    <row r="1283" spans="1:28" x14ac:dyDescent="0.2">
      <c r="A1283" s="2070"/>
      <c r="B1283" s="177"/>
      <c r="C1283" s="177"/>
      <c r="D1283" s="2070"/>
      <c r="E1283" s="2070"/>
      <c r="F1283" s="2070"/>
      <c r="G1283" s="2070"/>
      <c r="H1283" s="2076"/>
      <c r="I1283" s="2072"/>
      <c r="J1283" s="178"/>
      <c r="K1283" s="826"/>
      <c r="L1283" s="2070"/>
      <c r="M1283" s="2070"/>
      <c r="N1283" s="2070"/>
      <c r="O1283" s="2070"/>
      <c r="P1283" s="2076"/>
      <c r="Q1283" s="2071"/>
      <c r="R1283" s="827"/>
      <c r="S1283" s="826"/>
      <c r="T1283" s="179"/>
      <c r="U1283" s="828"/>
      <c r="V1283" s="826"/>
      <c r="W1283" s="826"/>
      <c r="X1283" s="829"/>
      <c r="Y1283" s="829"/>
      <c r="Z1283" s="830"/>
      <c r="AA1283" s="764"/>
      <c r="AB1283" s="466"/>
    </row>
    <row r="1284" spans="1:28" x14ac:dyDescent="0.2">
      <c r="A1284" s="2070"/>
      <c r="B1284" s="177"/>
      <c r="C1284" s="177"/>
      <c r="D1284" s="2070"/>
      <c r="E1284" s="2070"/>
      <c r="F1284" s="2070"/>
      <c r="G1284" s="2070"/>
      <c r="H1284" s="2076"/>
      <c r="I1284" s="2072"/>
      <c r="J1284" s="178"/>
      <c r="K1284" s="826"/>
      <c r="L1284" s="2070"/>
      <c r="M1284" s="2070"/>
      <c r="N1284" s="2070"/>
      <c r="O1284" s="2070"/>
      <c r="P1284" s="2076"/>
      <c r="Q1284" s="2071"/>
      <c r="R1284" s="827"/>
      <c r="S1284" s="826"/>
      <c r="T1284" s="179"/>
      <c r="U1284" s="828"/>
      <c r="V1284" s="826"/>
      <c r="W1284" s="826"/>
      <c r="X1284" s="829"/>
      <c r="Y1284" s="829"/>
      <c r="Z1284" s="830"/>
      <c r="AA1284" s="764"/>
      <c r="AB1284" s="466"/>
    </row>
    <row r="1285" spans="1:28" x14ac:dyDescent="0.2">
      <c r="A1285" s="2070"/>
      <c r="B1285" s="177"/>
      <c r="C1285" s="177"/>
      <c r="D1285" s="2070"/>
      <c r="E1285" s="2070"/>
      <c r="F1285" s="2070"/>
      <c r="G1285" s="2070"/>
      <c r="H1285" s="2076"/>
      <c r="I1285" s="2072"/>
      <c r="J1285" s="178"/>
      <c r="K1285" s="826"/>
      <c r="L1285" s="2070"/>
      <c r="M1285" s="2070"/>
      <c r="N1285" s="2070"/>
      <c r="O1285" s="2070"/>
      <c r="P1285" s="2076"/>
      <c r="Q1285" s="2071"/>
      <c r="R1285" s="827"/>
      <c r="S1285" s="826"/>
      <c r="T1285" s="179"/>
      <c r="U1285" s="828"/>
      <c r="V1285" s="826"/>
      <c r="W1285" s="826"/>
      <c r="X1285" s="829"/>
      <c r="Y1285" s="829"/>
      <c r="Z1285" s="830"/>
      <c r="AA1285" s="764"/>
      <c r="AB1285" s="466"/>
    </row>
    <row r="1286" spans="1:28" x14ac:dyDescent="0.2">
      <c r="A1286" s="2070"/>
      <c r="B1286" s="177"/>
      <c r="C1286" s="177"/>
      <c r="D1286" s="2070"/>
      <c r="E1286" s="2070"/>
      <c r="F1286" s="2070"/>
      <c r="G1286" s="2070"/>
      <c r="H1286" s="2076"/>
      <c r="I1286" s="2072"/>
      <c r="J1286" s="178"/>
      <c r="K1286" s="826"/>
      <c r="L1286" s="2070"/>
      <c r="M1286" s="2070"/>
      <c r="N1286" s="2070"/>
      <c r="O1286" s="2070"/>
      <c r="P1286" s="2076"/>
      <c r="Q1286" s="2071"/>
      <c r="R1286" s="827"/>
      <c r="S1286" s="826"/>
      <c r="T1286" s="179"/>
      <c r="U1286" s="828"/>
      <c r="V1286" s="826"/>
      <c r="W1286" s="826"/>
      <c r="X1286" s="829"/>
      <c r="Y1286" s="829"/>
      <c r="Z1286" s="830"/>
      <c r="AA1286" s="764"/>
      <c r="AB1286" s="466"/>
    </row>
    <row r="1287" spans="1:28" x14ac:dyDescent="0.2">
      <c r="A1287" s="2070"/>
      <c r="B1287" s="177"/>
      <c r="C1287" s="177"/>
      <c r="D1287" s="2070"/>
      <c r="E1287" s="2070"/>
      <c r="F1287" s="2070"/>
      <c r="G1287" s="2070"/>
      <c r="H1287" s="2076"/>
      <c r="I1287" s="2072"/>
      <c r="J1287" s="178"/>
      <c r="K1287" s="826"/>
      <c r="L1287" s="2070"/>
      <c r="M1287" s="2070"/>
      <c r="N1287" s="2070"/>
      <c r="O1287" s="2070"/>
      <c r="P1287" s="2076"/>
      <c r="Q1287" s="2071"/>
      <c r="R1287" s="827"/>
      <c r="S1287" s="826"/>
      <c r="T1287" s="179"/>
      <c r="U1287" s="828"/>
      <c r="V1287" s="826"/>
      <c r="W1287" s="826"/>
      <c r="X1287" s="829"/>
      <c r="Y1287" s="829"/>
      <c r="Z1287" s="830"/>
      <c r="AA1287" s="764"/>
      <c r="AB1287" s="466"/>
    </row>
    <row r="1288" spans="1:28" x14ac:dyDescent="0.2">
      <c r="A1288" s="2070"/>
      <c r="B1288" s="177"/>
      <c r="C1288" s="177"/>
      <c r="D1288" s="2070"/>
      <c r="E1288" s="2070"/>
      <c r="F1288" s="2070"/>
      <c r="G1288" s="2070"/>
      <c r="H1288" s="2076"/>
      <c r="I1288" s="2072"/>
      <c r="J1288" s="178"/>
      <c r="K1288" s="826"/>
      <c r="L1288" s="2070"/>
      <c r="M1288" s="2070"/>
      <c r="N1288" s="2070"/>
      <c r="O1288" s="2070"/>
      <c r="P1288" s="2076"/>
      <c r="Q1288" s="2071"/>
      <c r="R1288" s="827"/>
      <c r="S1288" s="826"/>
      <c r="T1288" s="179"/>
      <c r="U1288" s="828"/>
      <c r="V1288" s="826"/>
      <c r="W1288" s="826"/>
      <c r="X1288" s="829"/>
      <c r="Y1288" s="829"/>
      <c r="Z1288" s="830"/>
      <c r="AA1288" s="764"/>
      <c r="AB1288" s="466"/>
    </row>
    <row r="1289" spans="1:28" x14ac:dyDescent="0.2">
      <c r="A1289" s="2070"/>
      <c r="B1289" s="177"/>
      <c r="C1289" s="177"/>
      <c r="D1289" s="2070"/>
      <c r="E1289" s="2070"/>
      <c r="F1289" s="2070"/>
      <c r="G1289" s="2070"/>
      <c r="H1289" s="2076"/>
      <c r="I1289" s="2072"/>
      <c r="J1289" s="178"/>
      <c r="K1289" s="826"/>
      <c r="L1289" s="2070"/>
      <c r="M1289" s="2070"/>
      <c r="N1289" s="2070"/>
      <c r="O1289" s="2070"/>
      <c r="P1289" s="2076"/>
      <c r="Q1289" s="2071"/>
      <c r="R1289" s="827"/>
      <c r="S1289" s="826"/>
      <c r="T1289" s="179"/>
      <c r="U1289" s="828"/>
      <c r="V1289" s="826"/>
      <c r="W1289" s="826"/>
      <c r="X1289" s="829"/>
      <c r="Y1289" s="829"/>
      <c r="Z1289" s="830"/>
      <c r="AA1289" s="764"/>
      <c r="AB1289" s="466"/>
    </row>
    <row r="1290" spans="1:28" x14ac:dyDescent="0.2">
      <c r="A1290" s="2070"/>
      <c r="B1290" s="177"/>
      <c r="C1290" s="177"/>
      <c r="D1290" s="2070"/>
      <c r="E1290" s="2070"/>
      <c r="F1290" s="2070"/>
      <c r="G1290" s="2070"/>
      <c r="H1290" s="2076"/>
      <c r="I1290" s="2072"/>
      <c r="J1290" s="178"/>
      <c r="K1290" s="826"/>
      <c r="L1290" s="2070"/>
      <c r="M1290" s="2070"/>
      <c r="N1290" s="2070"/>
      <c r="O1290" s="2070"/>
      <c r="P1290" s="2076"/>
      <c r="Q1290" s="2071"/>
      <c r="R1290" s="827"/>
      <c r="S1290" s="826"/>
      <c r="T1290" s="179"/>
      <c r="U1290" s="828"/>
      <c r="V1290" s="826"/>
      <c r="W1290" s="826"/>
      <c r="X1290" s="829"/>
      <c r="Y1290" s="829"/>
      <c r="Z1290" s="830"/>
      <c r="AA1290" s="764"/>
      <c r="AB1290" s="466"/>
    </row>
    <row r="1291" spans="1:28" x14ac:dyDescent="0.2">
      <c r="A1291" s="88"/>
      <c r="B1291" s="180"/>
      <c r="C1291" s="180"/>
      <c r="D1291" s="88"/>
      <c r="E1291" s="88"/>
      <c r="F1291" s="88"/>
      <c r="G1291" s="88"/>
      <c r="H1291" s="120"/>
      <c r="I1291" s="121"/>
      <c r="J1291" s="181"/>
      <c r="K1291" s="833"/>
      <c r="L1291" s="88"/>
      <c r="M1291" s="88"/>
      <c r="N1291" s="88"/>
      <c r="O1291" s="88"/>
      <c r="P1291" s="88"/>
      <c r="Q1291" s="129"/>
      <c r="R1291" s="834"/>
      <c r="S1291" s="833"/>
      <c r="T1291" s="182"/>
      <c r="U1291" s="835"/>
      <c r="V1291" s="833"/>
      <c r="W1291" s="833"/>
      <c r="X1291" s="836"/>
      <c r="Y1291" s="836"/>
      <c r="Z1291" s="837"/>
      <c r="AA1291" s="780"/>
      <c r="AB1291" s="410"/>
    </row>
    <row r="1292" spans="1:28" x14ac:dyDescent="0.2">
      <c r="A1292" s="1850"/>
      <c r="B1292" s="1850"/>
      <c r="C1292" s="1850"/>
      <c r="D1292" s="1850"/>
      <c r="E1292" s="1850"/>
      <c r="F1292" s="1850"/>
      <c r="G1292" s="1850"/>
      <c r="H1292" s="1851"/>
      <c r="I1292" s="1852"/>
      <c r="J1292" s="1853"/>
      <c r="K1292" s="1929"/>
      <c r="L1292" s="1929"/>
      <c r="M1292" s="1929"/>
      <c r="N1292" s="1929"/>
      <c r="O1292" s="1929"/>
      <c r="P1292" s="1929"/>
      <c r="Q1292" s="1929"/>
      <c r="R1292" s="1930"/>
      <c r="S1292" s="1929"/>
      <c r="T1292" s="1855"/>
      <c r="U1292" s="1931"/>
      <c r="V1292" s="1929"/>
      <c r="W1292" s="1929"/>
      <c r="X1292" s="1932"/>
      <c r="Y1292" s="1932"/>
      <c r="Z1292" s="1933"/>
      <c r="AA1292" s="2173"/>
      <c r="AB1292" s="1847">
        <f>SUM(AB1277:AB1291)</f>
        <v>144.47999999999999</v>
      </c>
    </row>
    <row r="1293" spans="1:28" ht="15.75" x14ac:dyDescent="0.2">
      <c r="A1293" s="2730" t="s">
        <v>76</v>
      </c>
      <c r="B1293" s="2730"/>
      <c r="C1293" s="2731" t="s">
        <v>77</v>
      </c>
      <c r="D1293" s="2731"/>
      <c r="E1293" s="2731"/>
      <c r="F1293" s="2731"/>
      <c r="G1293" s="2731"/>
      <c r="H1293" s="2731"/>
      <c r="I1293" s="843" t="s">
        <v>78</v>
      </c>
      <c r="J1293" s="843"/>
      <c r="K1293" s="843"/>
      <c r="L1293" s="843"/>
      <c r="M1293" s="843"/>
      <c r="N1293" s="843"/>
      <c r="O1293" s="844"/>
      <c r="P1293" s="844"/>
      <c r="Q1293" s="844"/>
      <c r="R1293" s="844"/>
      <c r="S1293" s="844"/>
      <c r="T1293" s="844"/>
      <c r="U1293" s="844"/>
      <c r="V1293" s="844"/>
      <c r="W1293" s="844"/>
      <c r="X1293" s="844"/>
      <c r="Y1293" s="844"/>
      <c r="Z1293" s="844"/>
      <c r="AA1293" s="968"/>
      <c r="AB1293" s="845"/>
    </row>
    <row r="1294" spans="1:28" ht="15.75" x14ac:dyDescent="0.2">
      <c r="A1294" s="843"/>
      <c r="B1294" s="846"/>
      <c r="C1294" s="843"/>
      <c r="D1294" s="843"/>
      <c r="E1294" s="843"/>
      <c r="F1294" s="843"/>
      <c r="G1294" s="843"/>
      <c r="H1294" s="843"/>
      <c r="I1294" s="843" t="s">
        <v>79</v>
      </c>
      <c r="J1294" s="843"/>
      <c r="K1294" s="843"/>
      <c r="L1294" s="843"/>
      <c r="M1294" s="843"/>
      <c r="N1294" s="843"/>
      <c r="O1294" s="844"/>
      <c r="P1294" s="844"/>
      <c r="Q1294" s="844"/>
      <c r="R1294" s="844"/>
      <c r="S1294" s="844"/>
      <c r="T1294" s="844"/>
      <c r="U1294" s="844"/>
      <c r="V1294" s="844"/>
      <c r="W1294" s="844"/>
      <c r="X1294" s="844"/>
      <c r="Y1294" s="844"/>
      <c r="Z1294" s="844"/>
      <c r="AA1294" s="968"/>
      <c r="AB1294" s="845"/>
    </row>
    <row r="1295" spans="1:28" ht="15.75" x14ac:dyDescent="0.2">
      <c r="A1295" s="843"/>
      <c r="B1295" s="846"/>
      <c r="C1295" s="843"/>
      <c r="D1295" s="843"/>
      <c r="E1295" s="843"/>
      <c r="F1295" s="843"/>
      <c r="G1295" s="843"/>
      <c r="H1295" s="843"/>
      <c r="I1295" s="843" t="s">
        <v>80</v>
      </c>
      <c r="J1295" s="843"/>
      <c r="K1295" s="843"/>
      <c r="L1295" s="843"/>
      <c r="M1295" s="843"/>
      <c r="N1295" s="843"/>
      <c r="O1295" s="844"/>
      <c r="P1295" s="844"/>
      <c r="Q1295" s="844"/>
      <c r="R1295" s="844"/>
      <c r="S1295" s="844"/>
      <c r="T1295" s="844"/>
      <c r="U1295" s="844"/>
      <c r="V1295" s="844"/>
      <c r="W1295" s="844"/>
      <c r="X1295" s="844"/>
      <c r="Y1295" s="844"/>
      <c r="Z1295" s="844"/>
      <c r="AA1295" s="968"/>
      <c r="AB1295" s="845"/>
    </row>
    <row r="1296" spans="1:28" ht="15.75" x14ac:dyDescent="0.2">
      <c r="A1296" s="843"/>
      <c r="B1296" s="846"/>
      <c r="C1296" s="843"/>
      <c r="D1296" s="843"/>
      <c r="E1296" s="843"/>
      <c r="F1296" s="843"/>
      <c r="G1296" s="843"/>
      <c r="H1296" s="843"/>
      <c r="I1296" s="843" t="s">
        <v>81</v>
      </c>
      <c r="J1296" s="843"/>
      <c r="K1296" s="843"/>
      <c r="L1296" s="843"/>
      <c r="M1296" s="843"/>
      <c r="N1296" s="843"/>
      <c r="O1296" s="844"/>
      <c r="P1296" s="844"/>
      <c r="Q1296" s="844"/>
      <c r="R1296" s="844"/>
      <c r="S1296" s="844"/>
      <c r="T1296" s="844"/>
      <c r="U1296" s="844"/>
      <c r="V1296" s="844"/>
      <c r="W1296" s="844"/>
      <c r="X1296" s="844"/>
      <c r="Y1296" s="844"/>
      <c r="Z1296" s="844"/>
      <c r="AA1296" s="968"/>
      <c r="AB1296" s="845"/>
    </row>
    <row r="1297" spans="1:28" ht="15.75" x14ac:dyDescent="0.2">
      <c r="A1297" s="843"/>
      <c r="B1297" s="846"/>
      <c r="C1297" s="843"/>
      <c r="D1297" s="843"/>
      <c r="E1297" s="843"/>
      <c r="F1297" s="843"/>
      <c r="G1297" s="843"/>
      <c r="H1297" s="843"/>
      <c r="I1297" s="843" t="s">
        <v>88</v>
      </c>
      <c r="J1297" s="843"/>
      <c r="K1297" s="843"/>
      <c r="L1297" s="843"/>
      <c r="M1297" s="843"/>
      <c r="N1297" s="843"/>
      <c r="O1297" s="844"/>
      <c r="P1297" s="844"/>
      <c r="Q1297" s="844"/>
      <c r="R1297" s="844"/>
      <c r="S1297" s="844"/>
      <c r="T1297" s="844"/>
      <c r="U1297" s="844"/>
      <c r="V1297" s="844"/>
      <c r="W1297" s="844"/>
      <c r="X1297" s="844"/>
      <c r="Y1297" s="844"/>
      <c r="Z1297" s="844"/>
      <c r="AA1297" s="968"/>
      <c r="AB1297" s="845"/>
    </row>
    <row r="1299" spans="1:28" ht="18.75" x14ac:dyDescent="0.2">
      <c r="A1299" s="822"/>
      <c r="B1299" s="822"/>
      <c r="C1299" s="822"/>
      <c r="D1299" s="822"/>
      <c r="E1299" s="822"/>
      <c r="F1299" s="822"/>
      <c r="G1299" s="822"/>
      <c r="H1299" s="822"/>
      <c r="I1299" s="822"/>
      <c r="J1299" s="822"/>
      <c r="K1299" s="822"/>
      <c r="L1299" s="822"/>
      <c r="M1299" s="822"/>
      <c r="N1299" s="822"/>
      <c r="O1299" s="822"/>
      <c r="P1299" s="822"/>
      <c r="Q1299" s="822"/>
      <c r="R1299" s="822"/>
      <c r="S1299" s="822"/>
      <c r="T1299" s="822"/>
      <c r="U1299" s="822"/>
      <c r="V1299" s="822"/>
      <c r="W1299" s="822"/>
      <c r="X1299" s="822"/>
      <c r="Y1299" s="822"/>
      <c r="Z1299" s="822"/>
      <c r="AA1299" s="2739" t="s">
        <v>0</v>
      </c>
      <c r="AB1299" s="2739"/>
    </row>
    <row r="1300" spans="1:28" ht="18.75" x14ac:dyDescent="0.2">
      <c r="A1300" s="2707" t="s">
        <v>1</v>
      </c>
      <c r="B1300" s="2707"/>
      <c r="C1300" s="2707"/>
      <c r="D1300" s="2707"/>
      <c r="E1300" s="2707"/>
      <c r="F1300" s="2707"/>
      <c r="G1300" s="2707"/>
      <c r="H1300" s="2707"/>
      <c r="I1300" s="2707"/>
      <c r="J1300" s="2707"/>
      <c r="K1300" s="2707"/>
      <c r="L1300" s="2707"/>
      <c r="M1300" s="2707"/>
      <c r="N1300" s="2707"/>
      <c r="O1300" s="2707"/>
      <c r="P1300" s="2707"/>
      <c r="Q1300" s="2707"/>
      <c r="R1300" s="2707"/>
      <c r="S1300" s="2707"/>
      <c r="T1300" s="2707"/>
      <c r="U1300" s="2707"/>
      <c r="V1300" s="2707"/>
      <c r="W1300" s="2707"/>
      <c r="X1300" s="2707"/>
      <c r="Y1300" s="2707"/>
      <c r="Z1300" s="2707"/>
      <c r="AA1300" s="2707"/>
      <c r="AB1300" s="2707"/>
    </row>
    <row r="1301" spans="1:28" ht="18.75" x14ac:dyDescent="0.2">
      <c r="A1301" s="2708" t="s">
        <v>586</v>
      </c>
      <c r="B1301" s="2708"/>
      <c r="C1301" s="2708"/>
      <c r="D1301" s="2708"/>
      <c r="E1301" s="2708"/>
      <c r="F1301" s="2708"/>
      <c r="G1301" s="2708"/>
      <c r="H1301" s="2708"/>
      <c r="I1301" s="2708"/>
      <c r="J1301" s="2708"/>
      <c r="K1301" s="2708"/>
      <c r="L1301" s="2708"/>
      <c r="M1301" s="2708"/>
      <c r="N1301" s="2708"/>
      <c r="O1301" s="2708"/>
      <c r="P1301" s="2708"/>
      <c r="Q1301" s="2708"/>
      <c r="R1301" s="2708"/>
      <c r="S1301" s="2708"/>
      <c r="T1301" s="2708"/>
      <c r="U1301" s="2708"/>
      <c r="V1301" s="2708"/>
      <c r="W1301" s="2708"/>
      <c r="X1301" s="2708"/>
      <c r="Y1301" s="2708"/>
      <c r="Z1301" s="2708"/>
      <c r="AA1301" s="2708"/>
      <c r="AB1301" s="2708"/>
    </row>
    <row r="1302" spans="1:28" x14ac:dyDescent="0.2">
      <c r="A1302" s="2709" t="s">
        <v>2</v>
      </c>
      <c r="B1302" s="160"/>
      <c r="C1302" s="2709" t="s">
        <v>3</v>
      </c>
      <c r="D1302" s="160"/>
      <c r="E1302" s="160"/>
      <c r="F1302" s="2712" t="s">
        <v>4</v>
      </c>
      <c r="G1302" s="2712"/>
      <c r="H1302" s="2712"/>
      <c r="I1302" s="2713"/>
      <c r="J1302" s="2713"/>
      <c r="K1302" s="2714"/>
      <c r="L1302" s="2"/>
      <c r="M1302" s="2715" t="s">
        <v>5</v>
      </c>
      <c r="N1302" s="2715"/>
      <c r="O1302" s="2715"/>
      <c r="P1302" s="2715"/>
      <c r="Q1302" s="2716"/>
      <c r="R1302" s="2716"/>
      <c r="S1302" s="2716"/>
      <c r="T1302" s="2716"/>
      <c r="U1302" s="2716"/>
      <c r="V1302" s="2717"/>
      <c r="W1302" s="161" t="s">
        <v>6</v>
      </c>
      <c r="X1302" s="162" t="s">
        <v>7</v>
      </c>
      <c r="Y1302" s="163"/>
      <c r="Z1302" s="163"/>
      <c r="AA1302" s="162"/>
      <c r="AB1302" s="206"/>
    </row>
    <row r="1303" spans="1:28" x14ac:dyDescent="0.2">
      <c r="A1303" s="2710"/>
      <c r="B1303" s="4"/>
      <c r="C1303" s="2710"/>
      <c r="D1303" s="2057" t="s">
        <v>9</v>
      </c>
      <c r="E1303" s="207" t="s">
        <v>10</v>
      </c>
      <c r="F1303" s="2718" t="s">
        <v>11</v>
      </c>
      <c r="G1303" s="2713"/>
      <c r="H1303" s="2714"/>
      <c r="I1303" s="160"/>
      <c r="J1303" s="208" t="s">
        <v>12</v>
      </c>
      <c r="K1303" s="160"/>
      <c r="L1303" s="2715" t="s">
        <v>2</v>
      </c>
      <c r="M1303" s="141"/>
      <c r="N1303" s="141"/>
      <c r="O1303" s="141"/>
      <c r="P1303" s="164"/>
      <c r="Q1303" s="209" t="s">
        <v>13</v>
      </c>
      <c r="R1303" s="210" t="s">
        <v>12</v>
      </c>
      <c r="S1303" s="141" t="s">
        <v>6</v>
      </c>
      <c r="T1303" s="2724" t="s">
        <v>14</v>
      </c>
      <c r="U1303" s="2725"/>
      <c r="V1303" s="165" t="s">
        <v>7</v>
      </c>
      <c r="W1303" s="166" t="s">
        <v>15</v>
      </c>
      <c r="X1303" s="5" t="s">
        <v>16</v>
      </c>
      <c r="Y1303" s="5" t="s">
        <v>17</v>
      </c>
      <c r="Z1303" s="5" t="s">
        <v>18</v>
      </c>
      <c r="AA1303" s="377"/>
      <c r="AB1303" s="378" t="s">
        <v>19</v>
      </c>
    </row>
    <row r="1304" spans="1:28" x14ac:dyDescent="0.2">
      <c r="A1304" s="2710"/>
      <c r="B1304" s="2057" t="s">
        <v>23</v>
      </c>
      <c r="C1304" s="2710"/>
      <c r="D1304" s="2057" t="s">
        <v>24</v>
      </c>
      <c r="E1304" s="207" t="s">
        <v>25</v>
      </c>
      <c r="F1304" s="2719"/>
      <c r="G1304" s="2720"/>
      <c r="H1304" s="2721"/>
      <c r="I1304" s="2057" t="s">
        <v>26</v>
      </c>
      <c r="J1304" s="211" t="s">
        <v>15</v>
      </c>
      <c r="K1304" s="2060" t="s">
        <v>6</v>
      </c>
      <c r="L1304" s="2722"/>
      <c r="M1304" s="142" t="s">
        <v>27</v>
      </c>
      <c r="N1304" s="142" t="s">
        <v>10</v>
      </c>
      <c r="O1304" s="212" t="s">
        <v>10</v>
      </c>
      <c r="P1304" s="213" t="s">
        <v>28</v>
      </c>
      <c r="Q1304" s="214" t="s">
        <v>29</v>
      </c>
      <c r="R1304" s="213" t="s">
        <v>15</v>
      </c>
      <c r="S1304" s="8" t="s">
        <v>15</v>
      </c>
      <c r="T1304" s="2726"/>
      <c r="U1304" s="2727"/>
      <c r="V1304" s="165" t="s">
        <v>30</v>
      </c>
      <c r="W1304" s="166" t="s">
        <v>31</v>
      </c>
      <c r="X1304" s="5" t="s">
        <v>30</v>
      </c>
      <c r="Y1304" s="5" t="s">
        <v>32</v>
      </c>
      <c r="Z1304" s="5" t="s">
        <v>7</v>
      </c>
      <c r="AA1304" s="377" t="s">
        <v>33</v>
      </c>
      <c r="AB1304" s="378" t="s">
        <v>34</v>
      </c>
    </row>
    <row r="1305" spans="1:28" x14ac:dyDescent="0.2">
      <c r="A1305" s="2710"/>
      <c r="B1305" s="2057" t="s">
        <v>39</v>
      </c>
      <c r="C1305" s="2710"/>
      <c r="D1305" s="2057" t="s">
        <v>40</v>
      </c>
      <c r="E1305" s="207" t="s">
        <v>41</v>
      </c>
      <c r="F1305" s="2709" t="s">
        <v>42</v>
      </c>
      <c r="G1305" s="2709" t="s">
        <v>43</v>
      </c>
      <c r="H1305" s="2728" t="s">
        <v>44</v>
      </c>
      <c r="I1305" s="2057" t="s">
        <v>45</v>
      </c>
      <c r="J1305" s="211" t="s">
        <v>46</v>
      </c>
      <c r="K1305" s="2060" t="s">
        <v>47</v>
      </c>
      <c r="L1305" s="2722"/>
      <c r="M1305" s="142" t="s">
        <v>30</v>
      </c>
      <c r="N1305" s="142" t="s">
        <v>30</v>
      </c>
      <c r="O1305" s="212" t="s">
        <v>25</v>
      </c>
      <c r="P1305" s="213" t="s">
        <v>30</v>
      </c>
      <c r="Q1305" s="214" t="s">
        <v>48</v>
      </c>
      <c r="R1305" s="213" t="s">
        <v>49</v>
      </c>
      <c r="S1305" s="8" t="s">
        <v>30</v>
      </c>
      <c r="T1305" s="215" t="s">
        <v>50</v>
      </c>
      <c r="U1305" s="2059" t="s">
        <v>13</v>
      </c>
      <c r="V1305" s="165" t="s">
        <v>51</v>
      </c>
      <c r="W1305" s="166" t="s">
        <v>52</v>
      </c>
      <c r="X1305" s="5" t="s">
        <v>53</v>
      </c>
      <c r="Y1305" s="5" t="s">
        <v>54</v>
      </c>
      <c r="Z1305" s="5" t="s">
        <v>55</v>
      </c>
      <c r="AA1305" s="377" t="s">
        <v>56</v>
      </c>
      <c r="AB1305" s="378" t="s">
        <v>57</v>
      </c>
    </row>
    <row r="1306" spans="1:28" x14ac:dyDescent="0.2">
      <c r="A1306" s="2710"/>
      <c r="B1306" s="2057" t="s">
        <v>61</v>
      </c>
      <c r="C1306" s="2710"/>
      <c r="D1306" s="2057" t="s">
        <v>62</v>
      </c>
      <c r="E1306" s="207" t="s">
        <v>63</v>
      </c>
      <c r="F1306" s="2710"/>
      <c r="G1306" s="2710"/>
      <c r="H1306" s="2729"/>
      <c r="I1306" s="2057" t="s">
        <v>64</v>
      </c>
      <c r="J1306" s="211" t="s">
        <v>59</v>
      </c>
      <c r="K1306" s="2060" t="s">
        <v>59</v>
      </c>
      <c r="L1306" s="2722"/>
      <c r="M1306" s="142"/>
      <c r="N1306" s="142"/>
      <c r="O1306" s="212" t="s">
        <v>41</v>
      </c>
      <c r="P1306" s="213" t="s">
        <v>65</v>
      </c>
      <c r="Q1306" s="214" t="s">
        <v>66</v>
      </c>
      <c r="R1306" s="213" t="s">
        <v>67</v>
      </c>
      <c r="S1306" s="8" t="s">
        <v>59</v>
      </c>
      <c r="T1306" s="216" t="s">
        <v>68</v>
      </c>
      <c r="U1306" s="165" t="s">
        <v>14</v>
      </c>
      <c r="V1306" s="165" t="s">
        <v>14</v>
      </c>
      <c r="W1306" s="166" t="s">
        <v>30</v>
      </c>
      <c r="X1306" s="167" t="s">
        <v>69</v>
      </c>
      <c r="Y1306" s="167" t="s">
        <v>70</v>
      </c>
      <c r="Z1306" s="5" t="s">
        <v>71</v>
      </c>
      <c r="AA1306" s="377" t="s">
        <v>72</v>
      </c>
      <c r="AB1306" s="378" t="s">
        <v>59</v>
      </c>
    </row>
    <row r="1307" spans="1:28" x14ac:dyDescent="0.2">
      <c r="A1307" s="2711"/>
      <c r="B1307" s="9"/>
      <c r="C1307" s="2711"/>
      <c r="D1307" s="9"/>
      <c r="E1307" s="2058"/>
      <c r="F1307" s="9"/>
      <c r="G1307" s="9"/>
      <c r="H1307" s="10"/>
      <c r="I1307" s="2058"/>
      <c r="J1307" s="217"/>
      <c r="K1307" s="168"/>
      <c r="L1307" s="2723"/>
      <c r="M1307" s="143"/>
      <c r="N1307" s="143"/>
      <c r="O1307" s="143" t="s">
        <v>63</v>
      </c>
      <c r="P1307" s="218"/>
      <c r="Q1307" s="219" t="s">
        <v>72</v>
      </c>
      <c r="R1307" s="220" t="s">
        <v>59</v>
      </c>
      <c r="S1307" s="169"/>
      <c r="T1307" s="220" t="s">
        <v>73</v>
      </c>
      <c r="U1307" s="169" t="s">
        <v>59</v>
      </c>
      <c r="V1307" s="170" t="s">
        <v>59</v>
      </c>
      <c r="W1307" s="171" t="s">
        <v>59</v>
      </c>
      <c r="X1307" s="172" t="s">
        <v>59</v>
      </c>
      <c r="Y1307" s="172" t="s">
        <v>59</v>
      </c>
      <c r="Z1307" s="172" t="s">
        <v>59</v>
      </c>
      <c r="AA1307" s="402"/>
      <c r="AB1307" s="403"/>
    </row>
    <row r="1308" spans="1:28" x14ac:dyDescent="0.2">
      <c r="A1308" s="53">
        <v>1</v>
      </c>
      <c r="B1308" s="2172">
        <v>79475</v>
      </c>
      <c r="C1308" s="959">
        <v>1996</v>
      </c>
      <c r="D1308" s="51" t="s">
        <v>83</v>
      </c>
      <c r="E1308" s="154">
        <v>4</v>
      </c>
      <c r="F1308" s="51">
        <v>0</v>
      </c>
      <c r="G1308" s="51">
        <v>1</v>
      </c>
      <c r="H1308" s="51">
        <v>15</v>
      </c>
      <c r="I1308" s="70">
        <f>F1308*400+G1308*100+H1308</f>
        <v>115</v>
      </c>
      <c r="J1308" s="71">
        <v>430</v>
      </c>
      <c r="K1308" s="78">
        <f>SUM(I1308*J1308)</f>
        <v>49450</v>
      </c>
      <c r="L1308" s="75"/>
      <c r="M1308" s="51"/>
      <c r="N1308" s="51"/>
      <c r="O1308" s="155"/>
      <c r="P1308" s="824"/>
      <c r="Q1308" s="156"/>
      <c r="R1308" s="157"/>
      <c r="S1308" s="123"/>
      <c r="T1308" s="51"/>
      <c r="U1308" s="204"/>
      <c r="V1308" s="70"/>
      <c r="W1308" s="123">
        <f>K1308+V1308</f>
        <v>49450</v>
      </c>
      <c r="X1308" s="70">
        <f>W1308</f>
        <v>49450</v>
      </c>
      <c r="Y1308" s="71"/>
      <c r="Z1308" s="123">
        <f>+X1308</f>
        <v>49450</v>
      </c>
      <c r="AA1308" s="2074">
        <v>0.3</v>
      </c>
      <c r="AB1308" s="406">
        <f>+Z1308*AA1308/100</f>
        <v>148.35</v>
      </c>
    </row>
    <row r="1309" spans="1:28" x14ac:dyDescent="0.2">
      <c r="A1309" s="52"/>
      <c r="B1309" s="54"/>
      <c r="C1309" s="960"/>
      <c r="D1309" s="54"/>
      <c r="E1309" s="115"/>
      <c r="F1309" s="54"/>
      <c r="G1309" s="960"/>
      <c r="H1309" s="54"/>
      <c r="I1309" s="121"/>
      <c r="J1309" s="108"/>
      <c r="K1309" s="78"/>
      <c r="L1309" s="75"/>
      <c r="M1309" s="105"/>
      <c r="N1309" s="105"/>
      <c r="O1309" s="113"/>
      <c r="P1309" s="131"/>
      <c r="Q1309" s="132"/>
      <c r="R1309" s="133"/>
      <c r="S1309" s="2072"/>
      <c r="T1309" s="105"/>
      <c r="U1309" s="117"/>
      <c r="V1309" s="77"/>
      <c r="W1309" s="121"/>
      <c r="X1309" s="74"/>
      <c r="Y1309" s="117"/>
      <c r="Z1309" s="121"/>
      <c r="AA1309" s="2074"/>
      <c r="AB1309" s="410"/>
    </row>
    <row r="1310" spans="1:28" x14ac:dyDescent="0.2">
      <c r="A1310" s="52"/>
      <c r="B1310" s="54"/>
      <c r="C1310" s="961"/>
      <c r="D1310" s="105"/>
      <c r="E1310" s="115"/>
      <c r="F1310" s="54"/>
      <c r="G1310" s="81"/>
      <c r="H1310" s="54"/>
      <c r="I1310" s="77"/>
      <c r="J1310" s="108"/>
      <c r="K1310" s="78"/>
      <c r="L1310" s="52"/>
      <c r="M1310" s="52"/>
      <c r="N1310" s="52"/>
      <c r="O1310" s="52"/>
      <c r="P1310" s="962"/>
      <c r="Q1310" s="963"/>
      <c r="R1310" s="964"/>
      <c r="S1310" s="965"/>
      <c r="T1310" s="966"/>
      <c r="U1310" s="965"/>
      <c r="V1310" s="965"/>
      <c r="W1310" s="2072"/>
      <c r="X1310" s="121"/>
      <c r="Y1310" s="108"/>
      <c r="Z1310" s="2072"/>
      <c r="AA1310" s="2074"/>
      <c r="AB1310" s="466"/>
    </row>
    <row r="1311" spans="1:28" x14ac:dyDescent="0.2">
      <c r="A1311" s="2070"/>
      <c r="B1311" s="177"/>
      <c r="C1311" s="177"/>
      <c r="D1311" s="2070"/>
      <c r="E1311" s="2070"/>
      <c r="F1311" s="2070"/>
      <c r="G1311" s="2070"/>
      <c r="H1311" s="2076"/>
      <c r="I1311" s="2072"/>
      <c r="J1311" s="178"/>
      <c r="K1311" s="826"/>
      <c r="L1311" s="2070"/>
      <c r="M1311" s="2070"/>
      <c r="N1311" s="2070"/>
      <c r="O1311" s="2070"/>
      <c r="P1311" s="2076"/>
      <c r="Q1311" s="2071"/>
      <c r="R1311" s="827"/>
      <c r="S1311" s="826"/>
      <c r="T1311" s="179"/>
      <c r="U1311" s="828"/>
      <c r="V1311" s="826"/>
      <c r="W1311" s="826"/>
      <c r="X1311" s="829"/>
      <c r="Y1311" s="829"/>
      <c r="Z1311" s="830"/>
      <c r="AA1311" s="764"/>
      <c r="AB1311" s="466"/>
    </row>
    <row r="1312" spans="1:28" x14ac:dyDescent="0.2">
      <c r="A1312" s="2070"/>
      <c r="B1312" s="177"/>
      <c r="C1312" s="177"/>
      <c r="D1312" s="2070"/>
      <c r="E1312" s="2070"/>
      <c r="F1312" s="2070"/>
      <c r="G1312" s="2070"/>
      <c r="H1312" s="2076"/>
      <c r="I1312" s="2072"/>
      <c r="J1312" s="178"/>
      <c r="K1312" s="826"/>
      <c r="L1312" s="2070"/>
      <c r="M1312" s="2070"/>
      <c r="N1312" s="2070"/>
      <c r="O1312" s="2070"/>
      <c r="P1312" s="2076"/>
      <c r="Q1312" s="2071"/>
      <c r="R1312" s="827"/>
      <c r="S1312" s="826"/>
      <c r="T1312" s="179"/>
      <c r="U1312" s="828"/>
      <c r="V1312" s="826"/>
      <c r="W1312" s="826"/>
      <c r="X1312" s="829"/>
      <c r="Y1312" s="829"/>
      <c r="Z1312" s="830"/>
      <c r="AA1312" s="764"/>
      <c r="AB1312" s="466"/>
    </row>
    <row r="1313" spans="1:28" x14ac:dyDescent="0.2">
      <c r="A1313" s="2070"/>
      <c r="B1313" s="177"/>
      <c r="C1313" s="177"/>
      <c r="D1313" s="2070"/>
      <c r="E1313" s="2070"/>
      <c r="F1313" s="2070"/>
      <c r="G1313" s="2070"/>
      <c r="H1313" s="2076"/>
      <c r="I1313" s="2072"/>
      <c r="J1313" s="178"/>
      <c r="K1313" s="826"/>
      <c r="L1313" s="2070"/>
      <c r="M1313" s="2070"/>
      <c r="N1313" s="2070"/>
      <c r="O1313" s="2070"/>
      <c r="P1313" s="2076"/>
      <c r="Q1313" s="2071"/>
      <c r="R1313" s="827"/>
      <c r="S1313" s="826"/>
      <c r="T1313" s="179"/>
      <c r="U1313" s="828"/>
      <c r="V1313" s="826"/>
      <c r="W1313" s="826"/>
      <c r="X1313" s="829"/>
      <c r="Y1313" s="829"/>
      <c r="Z1313" s="830"/>
      <c r="AA1313" s="764"/>
      <c r="AB1313" s="466"/>
    </row>
    <row r="1314" spans="1:28" x14ac:dyDescent="0.2">
      <c r="A1314" s="2070"/>
      <c r="B1314" s="177"/>
      <c r="C1314" s="177"/>
      <c r="D1314" s="2070"/>
      <c r="E1314" s="2070"/>
      <c r="F1314" s="2070"/>
      <c r="G1314" s="2070"/>
      <c r="H1314" s="2076"/>
      <c r="I1314" s="2072"/>
      <c r="J1314" s="178"/>
      <c r="K1314" s="826"/>
      <c r="L1314" s="2070"/>
      <c r="M1314" s="2070"/>
      <c r="N1314" s="2070"/>
      <c r="O1314" s="2070"/>
      <c r="P1314" s="2076"/>
      <c r="Q1314" s="2071"/>
      <c r="R1314" s="827"/>
      <c r="S1314" s="826"/>
      <c r="T1314" s="179"/>
      <c r="U1314" s="828"/>
      <c r="V1314" s="826"/>
      <c r="W1314" s="826"/>
      <c r="X1314" s="829"/>
      <c r="Y1314" s="829"/>
      <c r="Z1314" s="830"/>
      <c r="AA1314" s="764"/>
      <c r="AB1314" s="466"/>
    </row>
    <row r="1315" spans="1:28" x14ac:dyDescent="0.2">
      <c r="A1315" s="2070"/>
      <c r="B1315" s="177"/>
      <c r="C1315" s="177"/>
      <c r="D1315" s="2070"/>
      <c r="E1315" s="2070"/>
      <c r="F1315" s="2070"/>
      <c r="G1315" s="2070"/>
      <c r="H1315" s="2076"/>
      <c r="I1315" s="2072"/>
      <c r="J1315" s="178"/>
      <c r="K1315" s="826"/>
      <c r="L1315" s="2070"/>
      <c r="M1315" s="2070"/>
      <c r="N1315" s="2070"/>
      <c r="O1315" s="2070"/>
      <c r="P1315" s="2076"/>
      <c r="Q1315" s="2071"/>
      <c r="R1315" s="827"/>
      <c r="S1315" s="826"/>
      <c r="T1315" s="179"/>
      <c r="U1315" s="828"/>
      <c r="V1315" s="826"/>
      <c r="W1315" s="826"/>
      <c r="X1315" s="829"/>
      <c r="Y1315" s="829"/>
      <c r="Z1315" s="830"/>
      <c r="AA1315" s="764"/>
      <c r="AB1315" s="466"/>
    </row>
    <row r="1316" spans="1:28" x14ac:dyDescent="0.2">
      <c r="A1316" s="2070"/>
      <c r="B1316" s="177"/>
      <c r="C1316" s="177"/>
      <c r="D1316" s="2070"/>
      <c r="E1316" s="2070"/>
      <c r="F1316" s="2070"/>
      <c r="G1316" s="2070"/>
      <c r="H1316" s="2076"/>
      <c r="I1316" s="2072"/>
      <c r="J1316" s="178"/>
      <c r="K1316" s="826"/>
      <c r="L1316" s="2070"/>
      <c r="M1316" s="2070"/>
      <c r="N1316" s="2070"/>
      <c r="O1316" s="2070"/>
      <c r="P1316" s="2076"/>
      <c r="Q1316" s="2071"/>
      <c r="R1316" s="827"/>
      <c r="S1316" s="826"/>
      <c r="T1316" s="179"/>
      <c r="U1316" s="828"/>
      <c r="V1316" s="826"/>
      <c r="W1316" s="826"/>
      <c r="X1316" s="829"/>
      <c r="Y1316" s="829"/>
      <c r="Z1316" s="830"/>
      <c r="AA1316" s="764"/>
      <c r="AB1316" s="466"/>
    </row>
    <row r="1317" spans="1:28" x14ac:dyDescent="0.2">
      <c r="A1317" s="2070"/>
      <c r="B1317" s="177"/>
      <c r="C1317" s="177"/>
      <c r="D1317" s="2070"/>
      <c r="E1317" s="2070"/>
      <c r="F1317" s="2070"/>
      <c r="G1317" s="2070"/>
      <c r="H1317" s="2076"/>
      <c r="I1317" s="2072"/>
      <c r="J1317" s="178"/>
      <c r="K1317" s="826"/>
      <c r="L1317" s="2070"/>
      <c r="M1317" s="2070"/>
      <c r="N1317" s="2070"/>
      <c r="O1317" s="2070"/>
      <c r="P1317" s="2076"/>
      <c r="Q1317" s="2071"/>
      <c r="R1317" s="827"/>
      <c r="S1317" s="826"/>
      <c r="T1317" s="179"/>
      <c r="U1317" s="828"/>
      <c r="V1317" s="826"/>
      <c r="W1317" s="826"/>
      <c r="X1317" s="829"/>
      <c r="Y1317" s="829"/>
      <c r="Z1317" s="830"/>
      <c r="AA1317" s="764"/>
      <c r="AB1317" s="466"/>
    </row>
    <row r="1318" spans="1:28" x14ac:dyDescent="0.2">
      <c r="A1318" s="2070"/>
      <c r="B1318" s="177"/>
      <c r="C1318" s="177"/>
      <c r="D1318" s="2070"/>
      <c r="E1318" s="2070"/>
      <c r="F1318" s="2070"/>
      <c r="G1318" s="2070"/>
      <c r="H1318" s="2076"/>
      <c r="I1318" s="2072"/>
      <c r="J1318" s="178"/>
      <c r="K1318" s="826"/>
      <c r="L1318" s="2070"/>
      <c r="M1318" s="2070"/>
      <c r="N1318" s="2070"/>
      <c r="O1318" s="2070"/>
      <c r="P1318" s="2076"/>
      <c r="Q1318" s="2071"/>
      <c r="R1318" s="827"/>
      <c r="S1318" s="826"/>
      <c r="T1318" s="179"/>
      <c r="U1318" s="828"/>
      <c r="V1318" s="826"/>
      <c r="W1318" s="826"/>
      <c r="X1318" s="829"/>
      <c r="Y1318" s="829"/>
      <c r="Z1318" s="830"/>
      <c r="AA1318" s="764"/>
      <c r="AB1318" s="466"/>
    </row>
    <row r="1319" spans="1:28" x14ac:dyDescent="0.2">
      <c r="A1319" s="2070"/>
      <c r="B1319" s="177"/>
      <c r="C1319" s="177"/>
      <c r="D1319" s="2070"/>
      <c r="E1319" s="2070"/>
      <c r="F1319" s="2070"/>
      <c r="G1319" s="2070"/>
      <c r="H1319" s="2076"/>
      <c r="I1319" s="2072"/>
      <c r="J1319" s="178"/>
      <c r="K1319" s="826"/>
      <c r="L1319" s="2070"/>
      <c r="M1319" s="2070"/>
      <c r="N1319" s="2070"/>
      <c r="O1319" s="2070"/>
      <c r="P1319" s="2076"/>
      <c r="Q1319" s="2071"/>
      <c r="R1319" s="827"/>
      <c r="S1319" s="826"/>
      <c r="T1319" s="179"/>
      <c r="U1319" s="828"/>
      <c r="V1319" s="826"/>
      <c r="W1319" s="826"/>
      <c r="X1319" s="829"/>
      <c r="Y1319" s="829"/>
      <c r="Z1319" s="830"/>
      <c r="AA1319" s="764"/>
      <c r="AB1319" s="466"/>
    </row>
    <row r="1320" spans="1:28" x14ac:dyDescent="0.2">
      <c r="A1320" s="2070"/>
      <c r="B1320" s="177"/>
      <c r="C1320" s="177"/>
      <c r="D1320" s="2070"/>
      <c r="E1320" s="2070"/>
      <c r="F1320" s="2070"/>
      <c r="G1320" s="2070"/>
      <c r="H1320" s="2076"/>
      <c r="I1320" s="2072"/>
      <c r="J1320" s="178"/>
      <c r="K1320" s="826"/>
      <c r="L1320" s="2070"/>
      <c r="M1320" s="2070"/>
      <c r="N1320" s="2070"/>
      <c r="O1320" s="2070"/>
      <c r="P1320" s="2076"/>
      <c r="Q1320" s="2071"/>
      <c r="R1320" s="827"/>
      <c r="S1320" s="826"/>
      <c r="T1320" s="179"/>
      <c r="U1320" s="828"/>
      <c r="V1320" s="826"/>
      <c r="W1320" s="826"/>
      <c r="X1320" s="829"/>
      <c r="Y1320" s="829"/>
      <c r="Z1320" s="830"/>
      <c r="AA1320" s="764"/>
      <c r="AB1320" s="466"/>
    </row>
    <row r="1321" spans="1:28" x14ac:dyDescent="0.2">
      <c r="A1321" s="2091"/>
      <c r="B1321" s="177"/>
      <c r="C1321" s="177"/>
      <c r="D1321" s="2091"/>
      <c r="E1321" s="2091"/>
      <c r="F1321" s="2091"/>
      <c r="G1321" s="2091"/>
      <c r="H1321" s="2094"/>
      <c r="I1321" s="2092"/>
      <c r="J1321" s="178"/>
      <c r="K1321" s="826"/>
      <c r="L1321" s="2091"/>
      <c r="M1321" s="2091"/>
      <c r="N1321" s="2091"/>
      <c r="O1321" s="2091"/>
      <c r="P1321" s="2094"/>
      <c r="Q1321" s="2093"/>
      <c r="R1321" s="827"/>
      <c r="S1321" s="826"/>
      <c r="T1321" s="179"/>
      <c r="U1321" s="828"/>
      <c r="V1321" s="826"/>
      <c r="W1321" s="826"/>
      <c r="X1321" s="829"/>
      <c r="Y1321" s="829"/>
      <c r="Z1321" s="830"/>
      <c r="AA1321" s="764"/>
      <c r="AB1321" s="466"/>
    </row>
    <row r="1322" spans="1:28" x14ac:dyDescent="0.2">
      <c r="A1322" s="88"/>
      <c r="B1322" s="180"/>
      <c r="C1322" s="180"/>
      <c r="D1322" s="88"/>
      <c r="E1322" s="88"/>
      <c r="F1322" s="88"/>
      <c r="G1322" s="88"/>
      <c r="H1322" s="120"/>
      <c r="I1322" s="121"/>
      <c r="J1322" s="181"/>
      <c r="K1322" s="833"/>
      <c r="L1322" s="88"/>
      <c r="M1322" s="88"/>
      <c r="N1322" s="88"/>
      <c r="O1322" s="88"/>
      <c r="P1322" s="88"/>
      <c r="Q1322" s="129"/>
      <c r="R1322" s="834"/>
      <c r="S1322" s="833"/>
      <c r="T1322" s="182"/>
      <c r="U1322" s="835"/>
      <c r="V1322" s="833"/>
      <c r="W1322" s="833"/>
      <c r="X1322" s="836"/>
      <c r="Y1322" s="836"/>
      <c r="Z1322" s="837"/>
      <c r="AA1322" s="780"/>
      <c r="AB1322" s="410"/>
    </row>
    <row r="1323" spans="1:28" x14ac:dyDescent="0.2">
      <c r="A1323" s="1850"/>
      <c r="B1323" s="1850"/>
      <c r="C1323" s="1850"/>
      <c r="D1323" s="1850"/>
      <c r="E1323" s="1850"/>
      <c r="F1323" s="1850"/>
      <c r="G1323" s="1850"/>
      <c r="H1323" s="1851"/>
      <c r="I1323" s="1852"/>
      <c r="J1323" s="1853"/>
      <c r="K1323" s="1929"/>
      <c r="L1323" s="1929"/>
      <c r="M1323" s="1929"/>
      <c r="N1323" s="1929"/>
      <c r="O1323" s="1929"/>
      <c r="P1323" s="1929"/>
      <c r="Q1323" s="1929"/>
      <c r="R1323" s="1930"/>
      <c r="S1323" s="1929"/>
      <c r="T1323" s="1855"/>
      <c r="U1323" s="1931"/>
      <c r="V1323" s="1929"/>
      <c r="W1323" s="1929"/>
      <c r="X1323" s="1932"/>
      <c r="Y1323" s="1932"/>
      <c r="Z1323" s="1933"/>
      <c r="AA1323" s="2173"/>
      <c r="AB1323" s="1847">
        <f>SUM(AB1308:AB1322)</f>
        <v>148.35</v>
      </c>
    </row>
    <row r="1324" spans="1:28" ht="15.75" x14ac:dyDescent="0.2">
      <c r="A1324" s="2730" t="s">
        <v>76</v>
      </c>
      <c r="B1324" s="2730"/>
      <c r="C1324" s="2731" t="s">
        <v>77</v>
      </c>
      <c r="D1324" s="2731"/>
      <c r="E1324" s="2731"/>
      <c r="F1324" s="2731"/>
      <c r="G1324" s="2731"/>
      <c r="H1324" s="2731"/>
      <c r="I1324" s="843" t="s">
        <v>78</v>
      </c>
      <c r="J1324" s="843"/>
      <c r="K1324" s="843"/>
      <c r="L1324" s="843"/>
      <c r="M1324" s="843"/>
      <c r="N1324" s="843"/>
      <c r="O1324" s="844"/>
      <c r="P1324" s="844"/>
      <c r="Q1324" s="844"/>
      <c r="R1324" s="844"/>
      <c r="S1324" s="844"/>
      <c r="T1324" s="844"/>
      <c r="U1324" s="844"/>
      <c r="V1324" s="844"/>
      <c r="W1324" s="844"/>
      <c r="X1324" s="844"/>
      <c r="Y1324" s="844"/>
      <c r="Z1324" s="844"/>
      <c r="AA1324" s="968"/>
      <c r="AB1324" s="845"/>
    </row>
    <row r="1325" spans="1:28" ht="15.75" x14ac:dyDescent="0.2">
      <c r="A1325" s="843"/>
      <c r="B1325" s="846"/>
      <c r="C1325" s="843"/>
      <c r="D1325" s="843"/>
      <c r="E1325" s="843"/>
      <c r="F1325" s="843"/>
      <c r="G1325" s="843"/>
      <c r="H1325" s="843"/>
      <c r="I1325" s="843" t="s">
        <v>79</v>
      </c>
      <c r="J1325" s="843"/>
      <c r="K1325" s="843"/>
      <c r="L1325" s="843"/>
      <c r="M1325" s="843"/>
      <c r="N1325" s="843"/>
      <c r="O1325" s="844"/>
      <c r="P1325" s="844"/>
      <c r="Q1325" s="844"/>
      <c r="R1325" s="844"/>
      <c r="S1325" s="844"/>
      <c r="T1325" s="844"/>
      <c r="U1325" s="844"/>
      <c r="V1325" s="844"/>
      <c r="W1325" s="844"/>
      <c r="X1325" s="844"/>
      <c r="Y1325" s="844"/>
      <c r="Z1325" s="844"/>
      <c r="AA1325" s="968"/>
      <c r="AB1325" s="845"/>
    </row>
    <row r="1326" spans="1:28" ht="15.75" x14ac:dyDescent="0.2">
      <c r="A1326" s="843"/>
      <c r="B1326" s="846"/>
      <c r="C1326" s="843"/>
      <c r="D1326" s="843"/>
      <c r="E1326" s="843"/>
      <c r="F1326" s="843"/>
      <c r="G1326" s="843"/>
      <c r="H1326" s="843"/>
      <c r="I1326" s="843" t="s">
        <v>80</v>
      </c>
      <c r="J1326" s="843"/>
      <c r="K1326" s="843"/>
      <c r="L1326" s="843"/>
      <c r="M1326" s="843"/>
      <c r="N1326" s="843"/>
      <c r="O1326" s="844"/>
      <c r="P1326" s="844"/>
      <c r="Q1326" s="844"/>
      <c r="R1326" s="844"/>
      <c r="S1326" s="844"/>
      <c r="T1326" s="844"/>
      <c r="U1326" s="844"/>
      <c r="V1326" s="844"/>
      <c r="W1326" s="844"/>
      <c r="X1326" s="844"/>
      <c r="Y1326" s="844"/>
      <c r="Z1326" s="844"/>
      <c r="AA1326" s="968"/>
      <c r="AB1326" s="845"/>
    </row>
    <row r="1327" spans="1:28" ht="15.75" x14ac:dyDescent="0.2">
      <c r="A1327" s="843"/>
      <c r="B1327" s="846"/>
      <c r="C1327" s="843"/>
      <c r="D1327" s="843"/>
      <c r="E1327" s="843"/>
      <c r="F1327" s="843"/>
      <c r="G1327" s="843"/>
      <c r="H1327" s="843"/>
      <c r="I1327" s="843" t="s">
        <v>81</v>
      </c>
      <c r="J1327" s="843"/>
      <c r="K1327" s="843"/>
      <c r="L1327" s="843"/>
      <c r="M1327" s="843"/>
      <c r="N1327" s="843"/>
      <c r="O1327" s="844"/>
      <c r="P1327" s="844"/>
      <c r="Q1327" s="844"/>
      <c r="R1327" s="844"/>
      <c r="S1327" s="844"/>
      <c r="T1327" s="844"/>
      <c r="U1327" s="844"/>
      <c r="V1327" s="844"/>
      <c r="W1327" s="844"/>
      <c r="X1327" s="844"/>
      <c r="Y1327" s="844"/>
      <c r="Z1327" s="844"/>
      <c r="AA1327" s="968"/>
      <c r="AB1327" s="845"/>
    </row>
    <row r="1328" spans="1:28" ht="15.75" x14ac:dyDescent="0.2">
      <c r="A1328" s="843"/>
      <c r="B1328" s="846"/>
      <c r="C1328" s="843"/>
      <c r="D1328" s="843"/>
      <c r="E1328" s="843"/>
      <c r="F1328" s="843"/>
      <c r="G1328" s="843"/>
      <c r="H1328" s="843"/>
      <c r="I1328" s="843" t="s">
        <v>88</v>
      </c>
      <c r="J1328" s="843"/>
      <c r="K1328" s="843"/>
      <c r="L1328" s="843"/>
      <c r="M1328" s="843"/>
      <c r="N1328" s="843"/>
      <c r="O1328" s="844"/>
      <c r="P1328" s="844"/>
      <c r="Q1328" s="844"/>
      <c r="R1328" s="844"/>
      <c r="S1328" s="844"/>
      <c r="T1328" s="844"/>
      <c r="U1328" s="844"/>
      <c r="V1328" s="844"/>
      <c r="W1328" s="844"/>
      <c r="X1328" s="844"/>
      <c r="Y1328" s="844"/>
      <c r="Z1328" s="844"/>
      <c r="AA1328" s="968"/>
      <c r="AB1328" s="845"/>
    </row>
    <row r="1330" spans="1:28" ht="18.75" x14ac:dyDescent="0.2">
      <c r="A1330" s="822"/>
      <c r="B1330" s="822"/>
      <c r="C1330" s="822"/>
      <c r="D1330" s="822"/>
      <c r="E1330" s="822"/>
      <c r="F1330" s="822"/>
      <c r="G1330" s="822"/>
      <c r="H1330" s="822"/>
      <c r="I1330" s="822"/>
      <c r="J1330" s="822"/>
      <c r="K1330" s="822"/>
      <c r="L1330" s="822"/>
      <c r="M1330" s="822"/>
      <c r="N1330" s="822"/>
      <c r="O1330" s="822"/>
      <c r="P1330" s="822"/>
      <c r="Q1330" s="822"/>
      <c r="R1330" s="822"/>
      <c r="S1330" s="822"/>
      <c r="T1330" s="822"/>
      <c r="U1330" s="822"/>
      <c r="V1330" s="822"/>
      <c r="W1330" s="822"/>
      <c r="X1330" s="822"/>
      <c r="Y1330" s="822"/>
      <c r="Z1330" s="822"/>
      <c r="AA1330" s="2739" t="s">
        <v>0</v>
      </c>
      <c r="AB1330" s="2739"/>
    </row>
    <row r="1331" spans="1:28" ht="18.75" x14ac:dyDescent="0.2">
      <c r="A1331" s="2707" t="s">
        <v>1</v>
      </c>
      <c r="B1331" s="2707"/>
      <c r="C1331" s="2707"/>
      <c r="D1331" s="2707"/>
      <c r="E1331" s="2707"/>
      <c r="F1331" s="2707"/>
      <c r="G1331" s="2707"/>
      <c r="H1331" s="2707"/>
      <c r="I1331" s="2707"/>
      <c r="J1331" s="2707"/>
      <c r="K1331" s="2707"/>
      <c r="L1331" s="2707"/>
      <c r="M1331" s="2707"/>
      <c r="N1331" s="2707"/>
      <c r="O1331" s="2707"/>
      <c r="P1331" s="2707"/>
      <c r="Q1331" s="2707"/>
      <c r="R1331" s="2707"/>
      <c r="S1331" s="2707"/>
      <c r="T1331" s="2707"/>
      <c r="U1331" s="2707"/>
      <c r="V1331" s="2707"/>
      <c r="W1331" s="2707"/>
      <c r="X1331" s="2707"/>
      <c r="Y1331" s="2707"/>
      <c r="Z1331" s="2707"/>
      <c r="AA1331" s="2707"/>
      <c r="AB1331" s="2707"/>
    </row>
    <row r="1332" spans="1:28" ht="18.75" x14ac:dyDescent="0.2">
      <c r="A1332" s="2708" t="s">
        <v>587</v>
      </c>
      <c r="B1332" s="2708"/>
      <c r="C1332" s="2708"/>
      <c r="D1332" s="2708"/>
      <c r="E1332" s="2708"/>
      <c r="F1332" s="2708"/>
      <c r="G1332" s="2708"/>
      <c r="H1332" s="2708"/>
      <c r="I1332" s="2708"/>
      <c r="J1332" s="2708"/>
      <c r="K1332" s="2708"/>
      <c r="L1332" s="2708"/>
      <c r="M1332" s="2708"/>
      <c r="N1332" s="2708"/>
      <c r="O1332" s="2708"/>
      <c r="P1332" s="2708"/>
      <c r="Q1332" s="2708"/>
      <c r="R1332" s="2708"/>
      <c r="S1332" s="2708"/>
      <c r="T1332" s="2708"/>
      <c r="U1332" s="2708"/>
      <c r="V1332" s="2708"/>
      <c r="W1332" s="2708"/>
      <c r="X1332" s="2708"/>
      <c r="Y1332" s="2708"/>
      <c r="Z1332" s="2708"/>
      <c r="AA1332" s="2708"/>
      <c r="AB1332" s="2708"/>
    </row>
    <row r="1333" spans="1:28" x14ac:dyDescent="0.2">
      <c r="A1333" s="2709" t="s">
        <v>2</v>
      </c>
      <c r="B1333" s="160"/>
      <c r="C1333" s="2709" t="s">
        <v>3</v>
      </c>
      <c r="D1333" s="160"/>
      <c r="E1333" s="160"/>
      <c r="F1333" s="2712" t="s">
        <v>4</v>
      </c>
      <c r="G1333" s="2712"/>
      <c r="H1333" s="2712"/>
      <c r="I1333" s="2713"/>
      <c r="J1333" s="2713"/>
      <c r="K1333" s="2714"/>
      <c r="L1333" s="2"/>
      <c r="M1333" s="2715" t="s">
        <v>5</v>
      </c>
      <c r="N1333" s="2715"/>
      <c r="O1333" s="2715"/>
      <c r="P1333" s="2715"/>
      <c r="Q1333" s="2716"/>
      <c r="R1333" s="2716"/>
      <c r="S1333" s="2716"/>
      <c r="T1333" s="2716"/>
      <c r="U1333" s="2716"/>
      <c r="V1333" s="2717"/>
      <c r="W1333" s="161" t="s">
        <v>6</v>
      </c>
      <c r="X1333" s="162" t="s">
        <v>7</v>
      </c>
      <c r="Y1333" s="163"/>
      <c r="Z1333" s="163"/>
      <c r="AA1333" s="162"/>
      <c r="AB1333" s="206"/>
    </row>
    <row r="1334" spans="1:28" x14ac:dyDescent="0.2">
      <c r="A1334" s="2710"/>
      <c r="B1334" s="4"/>
      <c r="C1334" s="2710"/>
      <c r="D1334" s="2057" t="s">
        <v>9</v>
      </c>
      <c r="E1334" s="207" t="s">
        <v>10</v>
      </c>
      <c r="F1334" s="2718" t="s">
        <v>11</v>
      </c>
      <c r="G1334" s="2713"/>
      <c r="H1334" s="2714"/>
      <c r="I1334" s="160"/>
      <c r="J1334" s="208" t="s">
        <v>12</v>
      </c>
      <c r="K1334" s="160"/>
      <c r="L1334" s="2715" t="s">
        <v>2</v>
      </c>
      <c r="M1334" s="141"/>
      <c r="N1334" s="141"/>
      <c r="O1334" s="141"/>
      <c r="P1334" s="164"/>
      <c r="Q1334" s="209" t="s">
        <v>13</v>
      </c>
      <c r="R1334" s="210" t="s">
        <v>12</v>
      </c>
      <c r="S1334" s="141" t="s">
        <v>6</v>
      </c>
      <c r="T1334" s="2724" t="s">
        <v>14</v>
      </c>
      <c r="U1334" s="2725"/>
      <c r="V1334" s="165" t="s">
        <v>7</v>
      </c>
      <c r="W1334" s="166" t="s">
        <v>15</v>
      </c>
      <c r="X1334" s="5" t="s">
        <v>16</v>
      </c>
      <c r="Y1334" s="5" t="s">
        <v>17</v>
      </c>
      <c r="Z1334" s="5" t="s">
        <v>18</v>
      </c>
      <c r="AA1334" s="377"/>
      <c r="AB1334" s="378" t="s">
        <v>19</v>
      </c>
    </row>
    <row r="1335" spans="1:28" x14ac:dyDescent="0.2">
      <c r="A1335" s="2710"/>
      <c r="B1335" s="2057" t="s">
        <v>23</v>
      </c>
      <c r="C1335" s="2710"/>
      <c r="D1335" s="2057" t="s">
        <v>24</v>
      </c>
      <c r="E1335" s="207" t="s">
        <v>25</v>
      </c>
      <c r="F1335" s="2719"/>
      <c r="G1335" s="2720"/>
      <c r="H1335" s="2721"/>
      <c r="I1335" s="2057" t="s">
        <v>26</v>
      </c>
      <c r="J1335" s="211" t="s">
        <v>15</v>
      </c>
      <c r="K1335" s="2060" t="s">
        <v>6</v>
      </c>
      <c r="L1335" s="2722"/>
      <c r="M1335" s="142" t="s">
        <v>27</v>
      </c>
      <c r="N1335" s="142" t="s">
        <v>10</v>
      </c>
      <c r="O1335" s="212" t="s">
        <v>10</v>
      </c>
      <c r="P1335" s="213" t="s">
        <v>28</v>
      </c>
      <c r="Q1335" s="214" t="s">
        <v>29</v>
      </c>
      <c r="R1335" s="213" t="s">
        <v>15</v>
      </c>
      <c r="S1335" s="8" t="s">
        <v>15</v>
      </c>
      <c r="T1335" s="2726"/>
      <c r="U1335" s="2727"/>
      <c r="V1335" s="165" t="s">
        <v>30</v>
      </c>
      <c r="W1335" s="166" t="s">
        <v>31</v>
      </c>
      <c r="X1335" s="5" t="s">
        <v>30</v>
      </c>
      <c r="Y1335" s="5" t="s">
        <v>32</v>
      </c>
      <c r="Z1335" s="5" t="s">
        <v>7</v>
      </c>
      <c r="AA1335" s="377" t="s">
        <v>33</v>
      </c>
      <c r="AB1335" s="378" t="s">
        <v>34</v>
      </c>
    </row>
    <row r="1336" spans="1:28" x14ac:dyDescent="0.2">
      <c r="A1336" s="2710"/>
      <c r="B1336" s="2057" t="s">
        <v>39</v>
      </c>
      <c r="C1336" s="2710"/>
      <c r="D1336" s="2057" t="s">
        <v>40</v>
      </c>
      <c r="E1336" s="207" t="s">
        <v>41</v>
      </c>
      <c r="F1336" s="2709" t="s">
        <v>42</v>
      </c>
      <c r="G1336" s="2709" t="s">
        <v>43</v>
      </c>
      <c r="H1336" s="2728" t="s">
        <v>44</v>
      </c>
      <c r="I1336" s="2057" t="s">
        <v>45</v>
      </c>
      <c r="J1336" s="211" t="s">
        <v>46</v>
      </c>
      <c r="K1336" s="2060" t="s">
        <v>47</v>
      </c>
      <c r="L1336" s="2722"/>
      <c r="M1336" s="142" t="s">
        <v>30</v>
      </c>
      <c r="N1336" s="142" t="s">
        <v>30</v>
      </c>
      <c r="O1336" s="212" t="s">
        <v>25</v>
      </c>
      <c r="P1336" s="213" t="s">
        <v>30</v>
      </c>
      <c r="Q1336" s="214" t="s">
        <v>48</v>
      </c>
      <c r="R1336" s="213" t="s">
        <v>49</v>
      </c>
      <c r="S1336" s="8" t="s">
        <v>30</v>
      </c>
      <c r="T1336" s="215" t="s">
        <v>50</v>
      </c>
      <c r="U1336" s="2059" t="s">
        <v>13</v>
      </c>
      <c r="V1336" s="165" t="s">
        <v>51</v>
      </c>
      <c r="W1336" s="166" t="s">
        <v>52</v>
      </c>
      <c r="X1336" s="5" t="s">
        <v>53</v>
      </c>
      <c r="Y1336" s="5" t="s">
        <v>54</v>
      </c>
      <c r="Z1336" s="5" t="s">
        <v>55</v>
      </c>
      <c r="AA1336" s="377" t="s">
        <v>56</v>
      </c>
      <c r="AB1336" s="378" t="s">
        <v>57</v>
      </c>
    </row>
    <row r="1337" spans="1:28" x14ac:dyDescent="0.2">
      <c r="A1337" s="2710"/>
      <c r="B1337" s="2057" t="s">
        <v>61</v>
      </c>
      <c r="C1337" s="2710"/>
      <c r="D1337" s="2057" t="s">
        <v>62</v>
      </c>
      <c r="E1337" s="207" t="s">
        <v>63</v>
      </c>
      <c r="F1337" s="2710"/>
      <c r="G1337" s="2710"/>
      <c r="H1337" s="2729"/>
      <c r="I1337" s="2057" t="s">
        <v>64</v>
      </c>
      <c r="J1337" s="211" t="s">
        <v>59</v>
      </c>
      <c r="K1337" s="2060" t="s">
        <v>59</v>
      </c>
      <c r="L1337" s="2722"/>
      <c r="M1337" s="142"/>
      <c r="N1337" s="142"/>
      <c r="O1337" s="212" t="s">
        <v>41</v>
      </c>
      <c r="P1337" s="213" t="s">
        <v>65</v>
      </c>
      <c r="Q1337" s="214" t="s">
        <v>66</v>
      </c>
      <c r="R1337" s="213" t="s">
        <v>67</v>
      </c>
      <c r="S1337" s="8" t="s">
        <v>59</v>
      </c>
      <c r="T1337" s="216" t="s">
        <v>68</v>
      </c>
      <c r="U1337" s="165" t="s">
        <v>14</v>
      </c>
      <c r="V1337" s="165" t="s">
        <v>14</v>
      </c>
      <c r="W1337" s="166" t="s">
        <v>30</v>
      </c>
      <c r="X1337" s="167" t="s">
        <v>69</v>
      </c>
      <c r="Y1337" s="167" t="s">
        <v>70</v>
      </c>
      <c r="Z1337" s="5" t="s">
        <v>71</v>
      </c>
      <c r="AA1337" s="377" t="s">
        <v>72</v>
      </c>
      <c r="AB1337" s="378" t="s">
        <v>59</v>
      </c>
    </row>
    <row r="1338" spans="1:28" x14ac:dyDescent="0.2">
      <c r="A1338" s="2711"/>
      <c r="B1338" s="9"/>
      <c r="C1338" s="2711"/>
      <c r="D1338" s="9"/>
      <c r="E1338" s="2058"/>
      <c r="F1338" s="9"/>
      <c r="G1338" s="9"/>
      <c r="H1338" s="10"/>
      <c r="I1338" s="2058"/>
      <c r="J1338" s="217"/>
      <c r="K1338" s="168"/>
      <c r="L1338" s="2723"/>
      <c r="M1338" s="143"/>
      <c r="N1338" s="143"/>
      <c r="O1338" s="143" t="s">
        <v>63</v>
      </c>
      <c r="P1338" s="218"/>
      <c r="Q1338" s="219" t="s">
        <v>72</v>
      </c>
      <c r="R1338" s="220" t="s">
        <v>59</v>
      </c>
      <c r="S1338" s="169"/>
      <c r="T1338" s="220" t="s">
        <v>73</v>
      </c>
      <c r="U1338" s="169" t="s">
        <v>59</v>
      </c>
      <c r="V1338" s="170" t="s">
        <v>59</v>
      </c>
      <c r="W1338" s="171" t="s">
        <v>59</v>
      </c>
      <c r="X1338" s="172" t="s">
        <v>59</v>
      </c>
      <c r="Y1338" s="172" t="s">
        <v>59</v>
      </c>
      <c r="Z1338" s="172" t="s">
        <v>59</v>
      </c>
      <c r="AA1338" s="402"/>
      <c r="AB1338" s="403"/>
    </row>
    <row r="1339" spans="1:28" x14ac:dyDescent="0.2">
      <c r="A1339" s="53">
        <v>1</v>
      </c>
      <c r="B1339" s="2172">
        <v>79476</v>
      </c>
      <c r="C1339" s="959">
        <v>1997</v>
      </c>
      <c r="D1339" s="51" t="s">
        <v>83</v>
      </c>
      <c r="E1339" s="154">
        <v>4</v>
      </c>
      <c r="F1339" s="51">
        <v>0</v>
      </c>
      <c r="G1339" s="51">
        <v>1</v>
      </c>
      <c r="H1339" s="51">
        <v>30</v>
      </c>
      <c r="I1339" s="70">
        <f>F1339*400+G1339*100+H1339</f>
        <v>130</v>
      </c>
      <c r="J1339" s="71">
        <v>430</v>
      </c>
      <c r="K1339" s="78">
        <f>SUM(I1339*J1339)</f>
        <v>55900</v>
      </c>
      <c r="L1339" s="75"/>
      <c r="M1339" s="51"/>
      <c r="N1339" s="51"/>
      <c r="O1339" s="155"/>
      <c r="P1339" s="824"/>
      <c r="Q1339" s="156"/>
      <c r="R1339" s="157"/>
      <c r="S1339" s="123"/>
      <c r="T1339" s="51"/>
      <c r="U1339" s="204"/>
      <c r="V1339" s="70"/>
      <c r="W1339" s="123">
        <f>K1339+V1339</f>
        <v>55900</v>
      </c>
      <c r="X1339" s="70">
        <f>W1339</f>
        <v>55900</v>
      </c>
      <c r="Y1339" s="71"/>
      <c r="Z1339" s="123">
        <f>+X1339</f>
        <v>55900</v>
      </c>
      <c r="AA1339" s="2074">
        <v>0.3</v>
      </c>
      <c r="AB1339" s="406">
        <f>+Z1339*AA1339/100</f>
        <v>167.7</v>
      </c>
    </row>
    <row r="1340" spans="1:28" x14ac:dyDescent="0.2">
      <c r="A1340" s="52"/>
      <c r="B1340" s="54"/>
      <c r="C1340" s="960"/>
      <c r="D1340" s="54"/>
      <c r="E1340" s="115"/>
      <c r="F1340" s="54"/>
      <c r="G1340" s="960"/>
      <c r="H1340" s="54"/>
      <c r="I1340" s="121"/>
      <c r="J1340" s="108"/>
      <c r="K1340" s="78"/>
      <c r="L1340" s="75"/>
      <c r="M1340" s="105"/>
      <c r="N1340" s="105"/>
      <c r="O1340" s="113"/>
      <c r="P1340" s="131"/>
      <c r="Q1340" s="132"/>
      <c r="R1340" s="133"/>
      <c r="S1340" s="2072"/>
      <c r="T1340" s="105"/>
      <c r="U1340" s="117"/>
      <c r="V1340" s="77"/>
      <c r="W1340" s="121"/>
      <c r="X1340" s="74"/>
      <c r="Y1340" s="117"/>
      <c r="Z1340" s="121"/>
      <c r="AA1340" s="2074"/>
      <c r="AB1340" s="410"/>
    </row>
    <row r="1341" spans="1:28" x14ac:dyDescent="0.2">
      <c r="A1341" s="52"/>
      <c r="B1341" s="54"/>
      <c r="C1341" s="961"/>
      <c r="D1341" s="105"/>
      <c r="E1341" s="115"/>
      <c r="F1341" s="54"/>
      <c r="G1341" s="81"/>
      <c r="H1341" s="54"/>
      <c r="I1341" s="77"/>
      <c r="J1341" s="108"/>
      <c r="K1341" s="78"/>
      <c r="L1341" s="52"/>
      <c r="M1341" s="52"/>
      <c r="N1341" s="52"/>
      <c r="O1341" s="52"/>
      <c r="P1341" s="962"/>
      <c r="Q1341" s="963"/>
      <c r="R1341" s="964"/>
      <c r="S1341" s="965"/>
      <c r="T1341" s="966"/>
      <c r="U1341" s="965"/>
      <c r="V1341" s="965"/>
      <c r="W1341" s="2072"/>
      <c r="X1341" s="121"/>
      <c r="Y1341" s="108"/>
      <c r="Z1341" s="2072"/>
      <c r="AA1341" s="2074"/>
      <c r="AB1341" s="466"/>
    </row>
    <row r="1342" spans="1:28" x14ac:dyDescent="0.2">
      <c r="A1342" s="2070"/>
      <c r="B1342" s="177"/>
      <c r="C1342" s="177"/>
      <c r="D1342" s="2070"/>
      <c r="E1342" s="2070"/>
      <c r="F1342" s="2070"/>
      <c r="G1342" s="2070"/>
      <c r="H1342" s="2076"/>
      <c r="I1342" s="2072"/>
      <c r="J1342" s="178"/>
      <c r="K1342" s="826"/>
      <c r="L1342" s="2070"/>
      <c r="M1342" s="2070"/>
      <c r="N1342" s="2070"/>
      <c r="O1342" s="2070"/>
      <c r="P1342" s="2076"/>
      <c r="Q1342" s="2071"/>
      <c r="R1342" s="827"/>
      <c r="S1342" s="826"/>
      <c r="T1342" s="179"/>
      <c r="U1342" s="828"/>
      <c r="V1342" s="826"/>
      <c r="W1342" s="826"/>
      <c r="X1342" s="829"/>
      <c r="Y1342" s="829"/>
      <c r="Z1342" s="830"/>
      <c r="AA1342" s="764"/>
      <c r="AB1342" s="466"/>
    </row>
    <row r="1343" spans="1:28" x14ac:dyDescent="0.2">
      <c r="A1343" s="2070"/>
      <c r="B1343" s="177"/>
      <c r="C1343" s="177"/>
      <c r="D1343" s="2070"/>
      <c r="E1343" s="2070"/>
      <c r="F1343" s="2070"/>
      <c r="G1343" s="2070"/>
      <c r="H1343" s="2076"/>
      <c r="I1343" s="2072"/>
      <c r="J1343" s="178"/>
      <c r="K1343" s="826"/>
      <c r="L1343" s="2070"/>
      <c r="M1343" s="2070"/>
      <c r="N1343" s="2070"/>
      <c r="O1343" s="2070"/>
      <c r="P1343" s="2076"/>
      <c r="Q1343" s="2071"/>
      <c r="R1343" s="827"/>
      <c r="S1343" s="826"/>
      <c r="T1343" s="179"/>
      <c r="U1343" s="828"/>
      <c r="V1343" s="826"/>
      <c r="W1343" s="826"/>
      <c r="X1343" s="829"/>
      <c r="Y1343" s="829"/>
      <c r="Z1343" s="830"/>
      <c r="AA1343" s="764"/>
      <c r="AB1343" s="466"/>
    </row>
    <row r="1344" spans="1:28" x14ac:dyDescent="0.2">
      <c r="A1344" s="2070"/>
      <c r="B1344" s="177"/>
      <c r="C1344" s="177"/>
      <c r="D1344" s="2070"/>
      <c r="E1344" s="2070"/>
      <c r="F1344" s="2070"/>
      <c r="G1344" s="2070"/>
      <c r="H1344" s="2076"/>
      <c r="I1344" s="2072"/>
      <c r="J1344" s="178"/>
      <c r="K1344" s="826"/>
      <c r="L1344" s="2070"/>
      <c r="M1344" s="2070"/>
      <c r="N1344" s="2070"/>
      <c r="O1344" s="2070"/>
      <c r="P1344" s="2076"/>
      <c r="Q1344" s="2071"/>
      <c r="R1344" s="827"/>
      <c r="S1344" s="826"/>
      <c r="T1344" s="179"/>
      <c r="U1344" s="828"/>
      <c r="V1344" s="826"/>
      <c r="W1344" s="826"/>
      <c r="X1344" s="829"/>
      <c r="Y1344" s="829"/>
      <c r="Z1344" s="830"/>
      <c r="AA1344" s="764"/>
      <c r="AB1344" s="466"/>
    </row>
    <row r="1345" spans="1:28" x14ac:dyDescent="0.2">
      <c r="A1345" s="2070"/>
      <c r="B1345" s="177"/>
      <c r="C1345" s="177"/>
      <c r="D1345" s="2070"/>
      <c r="E1345" s="2070"/>
      <c r="F1345" s="2070"/>
      <c r="G1345" s="2070"/>
      <c r="H1345" s="2076"/>
      <c r="I1345" s="2072"/>
      <c r="J1345" s="178"/>
      <c r="K1345" s="826"/>
      <c r="L1345" s="2070"/>
      <c r="M1345" s="2070"/>
      <c r="N1345" s="2070"/>
      <c r="O1345" s="2070"/>
      <c r="P1345" s="2076"/>
      <c r="Q1345" s="2071"/>
      <c r="R1345" s="827"/>
      <c r="S1345" s="826"/>
      <c r="T1345" s="179"/>
      <c r="U1345" s="828"/>
      <c r="V1345" s="826"/>
      <c r="W1345" s="826"/>
      <c r="X1345" s="829"/>
      <c r="Y1345" s="829"/>
      <c r="Z1345" s="830"/>
      <c r="AA1345" s="764"/>
      <c r="AB1345" s="466"/>
    </row>
    <row r="1346" spans="1:28" x14ac:dyDescent="0.2">
      <c r="A1346" s="2070"/>
      <c r="B1346" s="177"/>
      <c r="C1346" s="177"/>
      <c r="D1346" s="2070"/>
      <c r="E1346" s="2070"/>
      <c r="F1346" s="2070"/>
      <c r="G1346" s="2070"/>
      <c r="H1346" s="2076"/>
      <c r="I1346" s="2072"/>
      <c r="J1346" s="178"/>
      <c r="K1346" s="826"/>
      <c r="L1346" s="2070"/>
      <c r="M1346" s="2070"/>
      <c r="N1346" s="2070"/>
      <c r="O1346" s="2070"/>
      <c r="P1346" s="2076"/>
      <c r="Q1346" s="2071"/>
      <c r="R1346" s="827"/>
      <c r="S1346" s="826"/>
      <c r="T1346" s="179"/>
      <c r="U1346" s="828"/>
      <c r="V1346" s="826"/>
      <c r="W1346" s="826"/>
      <c r="X1346" s="829"/>
      <c r="Y1346" s="829"/>
      <c r="Z1346" s="830"/>
      <c r="AA1346" s="764"/>
      <c r="AB1346" s="466"/>
    </row>
    <row r="1347" spans="1:28" x14ac:dyDescent="0.2">
      <c r="A1347" s="2070"/>
      <c r="B1347" s="177"/>
      <c r="C1347" s="177"/>
      <c r="D1347" s="2070"/>
      <c r="E1347" s="2070"/>
      <c r="F1347" s="2070"/>
      <c r="G1347" s="2070"/>
      <c r="H1347" s="2076"/>
      <c r="I1347" s="2072"/>
      <c r="J1347" s="178"/>
      <c r="K1347" s="826"/>
      <c r="L1347" s="2070"/>
      <c r="M1347" s="2070"/>
      <c r="N1347" s="2070"/>
      <c r="O1347" s="2070"/>
      <c r="P1347" s="2076"/>
      <c r="Q1347" s="2071"/>
      <c r="R1347" s="827"/>
      <c r="S1347" s="826"/>
      <c r="T1347" s="179"/>
      <c r="U1347" s="828"/>
      <c r="V1347" s="826"/>
      <c r="W1347" s="826"/>
      <c r="X1347" s="829"/>
      <c r="Y1347" s="829"/>
      <c r="Z1347" s="830"/>
      <c r="AA1347" s="764"/>
      <c r="AB1347" s="466"/>
    </row>
    <row r="1348" spans="1:28" x14ac:dyDescent="0.2">
      <c r="A1348" s="2070"/>
      <c r="B1348" s="177"/>
      <c r="C1348" s="177"/>
      <c r="D1348" s="2070"/>
      <c r="E1348" s="2070"/>
      <c r="F1348" s="2070"/>
      <c r="G1348" s="2070"/>
      <c r="H1348" s="2076"/>
      <c r="I1348" s="2072"/>
      <c r="J1348" s="178"/>
      <c r="K1348" s="826"/>
      <c r="L1348" s="2070"/>
      <c r="M1348" s="2070"/>
      <c r="N1348" s="2070"/>
      <c r="O1348" s="2070"/>
      <c r="P1348" s="2076"/>
      <c r="Q1348" s="2071"/>
      <c r="R1348" s="827"/>
      <c r="S1348" s="826"/>
      <c r="T1348" s="179"/>
      <c r="U1348" s="828"/>
      <c r="V1348" s="826"/>
      <c r="W1348" s="826"/>
      <c r="X1348" s="829"/>
      <c r="Y1348" s="829"/>
      <c r="Z1348" s="830"/>
      <c r="AA1348" s="764"/>
      <c r="AB1348" s="466"/>
    </row>
    <row r="1349" spans="1:28" x14ac:dyDescent="0.2">
      <c r="A1349" s="2070"/>
      <c r="B1349" s="177"/>
      <c r="C1349" s="177"/>
      <c r="D1349" s="2070"/>
      <c r="E1349" s="2070"/>
      <c r="F1349" s="2070"/>
      <c r="G1349" s="2070"/>
      <c r="H1349" s="2076"/>
      <c r="I1349" s="2072"/>
      <c r="J1349" s="178"/>
      <c r="K1349" s="826"/>
      <c r="L1349" s="2070"/>
      <c r="M1349" s="2070"/>
      <c r="N1349" s="2070"/>
      <c r="O1349" s="2070"/>
      <c r="P1349" s="2076"/>
      <c r="Q1349" s="2071"/>
      <c r="R1349" s="827"/>
      <c r="S1349" s="826"/>
      <c r="T1349" s="179"/>
      <c r="U1349" s="828"/>
      <c r="V1349" s="826"/>
      <c r="W1349" s="826"/>
      <c r="X1349" s="829"/>
      <c r="Y1349" s="829"/>
      <c r="Z1349" s="830"/>
      <c r="AA1349" s="764"/>
      <c r="AB1349" s="466"/>
    </row>
    <row r="1350" spans="1:28" x14ac:dyDescent="0.2">
      <c r="A1350" s="2070"/>
      <c r="B1350" s="177"/>
      <c r="C1350" s="177"/>
      <c r="D1350" s="2070"/>
      <c r="E1350" s="2070"/>
      <c r="F1350" s="2070"/>
      <c r="G1350" s="2070"/>
      <c r="H1350" s="2076"/>
      <c r="I1350" s="2072"/>
      <c r="J1350" s="178"/>
      <c r="K1350" s="826"/>
      <c r="L1350" s="2070"/>
      <c r="M1350" s="2070"/>
      <c r="N1350" s="2070"/>
      <c r="O1350" s="2070"/>
      <c r="P1350" s="2076"/>
      <c r="Q1350" s="2071"/>
      <c r="R1350" s="827"/>
      <c r="S1350" s="826"/>
      <c r="T1350" s="179"/>
      <c r="U1350" s="828"/>
      <c r="V1350" s="826"/>
      <c r="W1350" s="826"/>
      <c r="X1350" s="829"/>
      <c r="Y1350" s="829"/>
      <c r="Z1350" s="830"/>
      <c r="AA1350" s="764"/>
      <c r="AB1350" s="466"/>
    </row>
    <row r="1351" spans="1:28" x14ac:dyDescent="0.2">
      <c r="A1351" s="2070"/>
      <c r="B1351" s="177"/>
      <c r="C1351" s="177"/>
      <c r="D1351" s="2070"/>
      <c r="E1351" s="2070"/>
      <c r="F1351" s="2070"/>
      <c r="G1351" s="2070"/>
      <c r="H1351" s="2076"/>
      <c r="I1351" s="2072"/>
      <c r="J1351" s="178"/>
      <c r="K1351" s="826"/>
      <c r="L1351" s="2070"/>
      <c r="M1351" s="2070"/>
      <c r="N1351" s="2070"/>
      <c r="O1351" s="2070"/>
      <c r="P1351" s="2076"/>
      <c r="Q1351" s="2071"/>
      <c r="R1351" s="827"/>
      <c r="S1351" s="826"/>
      <c r="T1351" s="179"/>
      <c r="U1351" s="828"/>
      <c r="V1351" s="826"/>
      <c r="W1351" s="826"/>
      <c r="X1351" s="829"/>
      <c r="Y1351" s="829"/>
      <c r="Z1351" s="830"/>
      <c r="AA1351" s="764"/>
      <c r="AB1351" s="466"/>
    </row>
    <row r="1352" spans="1:28" x14ac:dyDescent="0.2">
      <c r="A1352" s="2070"/>
      <c r="B1352" s="177"/>
      <c r="C1352" s="177"/>
      <c r="D1352" s="2070"/>
      <c r="E1352" s="2070"/>
      <c r="F1352" s="2070"/>
      <c r="G1352" s="2070"/>
      <c r="H1352" s="2076"/>
      <c r="I1352" s="2072"/>
      <c r="J1352" s="178"/>
      <c r="K1352" s="826"/>
      <c r="L1352" s="2070"/>
      <c r="M1352" s="2070"/>
      <c r="N1352" s="2070"/>
      <c r="O1352" s="2070"/>
      <c r="P1352" s="2076"/>
      <c r="Q1352" s="2071"/>
      <c r="R1352" s="827"/>
      <c r="S1352" s="826"/>
      <c r="T1352" s="179"/>
      <c r="U1352" s="828"/>
      <c r="V1352" s="826"/>
      <c r="W1352" s="826"/>
      <c r="X1352" s="829"/>
      <c r="Y1352" s="829"/>
      <c r="Z1352" s="830"/>
      <c r="AA1352" s="764"/>
      <c r="AB1352" s="466"/>
    </row>
    <row r="1353" spans="1:28" x14ac:dyDescent="0.2">
      <c r="A1353" s="88"/>
      <c r="B1353" s="180"/>
      <c r="C1353" s="180"/>
      <c r="D1353" s="88"/>
      <c r="E1353" s="88"/>
      <c r="F1353" s="88"/>
      <c r="G1353" s="88"/>
      <c r="H1353" s="120"/>
      <c r="I1353" s="121"/>
      <c r="J1353" s="181"/>
      <c r="K1353" s="833"/>
      <c r="L1353" s="88"/>
      <c r="M1353" s="88"/>
      <c r="N1353" s="88"/>
      <c r="O1353" s="88"/>
      <c r="P1353" s="88"/>
      <c r="Q1353" s="129"/>
      <c r="R1353" s="834"/>
      <c r="S1353" s="833"/>
      <c r="T1353" s="182"/>
      <c r="U1353" s="835"/>
      <c r="V1353" s="833"/>
      <c r="W1353" s="833"/>
      <c r="X1353" s="836"/>
      <c r="Y1353" s="836"/>
      <c r="Z1353" s="837"/>
      <c r="AA1353" s="780"/>
      <c r="AB1353" s="410"/>
    </row>
    <row r="1354" spans="1:28" s="2181" customFormat="1" ht="13.5" x14ac:dyDescent="0.2">
      <c r="A1354" s="2126"/>
      <c r="B1354" s="2126"/>
      <c r="C1354" s="2126"/>
      <c r="D1354" s="2126"/>
      <c r="E1354" s="2126"/>
      <c r="F1354" s="2126"/>
      <c r="G1354" s="2126"/>
      <c r="H1354" s="2127"/>
      <c r="I1354" s="2128"/>
      <c r="J1354" s="2129"/>
      <c r="K1354" s="2175"/>
      <c r="L1354" s="2175"/>
      <c r="M1354" s="2175"/>
      <c r="N1354" s="2175"/>
      <c r="O1354" s="2175"/>
      <c r="P1354" s="2175"/>
      <c r="Q1354" s="2175"/>
      <c r="R1354" s="2176"/>
      <c r="S1354" s="2175"/>
      <c r="T1354" s="2131"/>
      <c r="U1354" s="2177"/>
      <c r="V1354" s="2175"/>
      <c r="W1354" s="2175"/>
      <c r="X1354" s="2178"/>
      <c r="Y1354" s="2178"/>
      <c r="Z1354" s="2179"/>
      <c r="AA1354" s="2180"/>
      <c r="AB1354" s="2135">
        <f>SUM(AB1339:AB1353)</f>
        <v>167.7</v>
      </c>
    </row>
    <row r="1355" spans="1:28" ht="15.75" x14ac:dyDescent="0.2">
      <c r="A1355" s="2730" t="s">
        <v>76</v>
      </c>
      <c r="B1355" s="2730"/>
      <c r="C1355" s="2731" t="s">
        <v>77</v>
      </c>
      <c r="D1355" s="2731"/>
      <c r="E1355" s="2731"/>
      <c r="F1355" s="2731"/>
      <c r="G1355" s="2731"/>
      <c r="H1355" s="2731"/>
      <c r="I1355" s="843" t="s">
        <v>78</v>
      </c>
      <c r="J1355" s="843"/>
      <c r="K1355" s="843"/>
      <c r="L1355" s="843"/>
      <c r="M1355" s="843"/>
      <c r="N1355" s="843"/>
      <c r="O1355" s="844"/>
      <c r="P1355" s="844"/>
      <c r="Q1355" s="844"/>
      <c r="R1355" s="844"/>
      <c r="S1355" s="844"/>
      <c r="T1355" s="844"/>
      <c r="U1355" s="844"/>
      <c r="V1355" s="844"/>
      <c r="W1355" s="844"/>
      <c r="X1355" s="844"/>
      <c r="Y1355" s="844"/>
      <c r="Z1355" s="844"/>
      <c r="AA1355" s="968"/>
      <c r="AB1355" s="845"/>
    </row>
    <row r="1356" spans="1:28" ht="15.75" x14ac:dyDescent="0.2">
      <c r="A1356" s="843"/>
      <c r="B1356" s="846"/>
      <c r="C1356" s="843"/>
      <c r="D1356" s="843"/>
      <c r="E1356" s="843"/>
      <c r="F1356" s="843"/>
      <c r="G1356" s="843"/>
      <c r="H1356" s="843"/>
      <c r="I1356" s="843" t="s">
        <v>79</v>
      </c>
      <c r="J1356" s="843"/>
      <c r="K1356" s="843"/>
      <c r="L1356" s="843"/>
      <c r="M1356" s="843"/>
      <c r="N1356" s="843"/>
      <c r="O1356" s="844"/>
      <c r="P1356" s="844"/>
      <c r="Q1356" s="844"/>
      <c r="R1356" s="844"/>
      <c r="S1356" s="844"/>
      <c r="T1356" s="844"/>
      <c r="U1356" s="844"/>
      <c r="V1356" s="844"/>
      <c r="W1356" s="844"/>
      <c r="X1356" s="844"/>
      <c r="Y1356" s="844"/>
      <c r="Z1356" s="844"/>
      <c r="AA1356" s="968"/>
      <c r="AB1356" s="845"/>
    </row>
    <row r="1357" spans="1:28" ht="15.75" x14ac:dyDescent="0.2">
      <c r="A1357" s="843"/>
      <c r="B1357" s="846"/>
      <c r="C1357" s="843"/>
      <c r="D1357" s="843"/>
      <c r="E1357" s="843"/>
      <c r="F1357" s="843"/>
      <c r="G1357" s="843"/>
      <c r="H1357" s="843"/>
      <c r="I1357" s="843" t="s">
        <v>80</v>
      </c>
      <c r="J1357" s="843"/>
      <c r="K1357" s="843"/>
      <c r="L1357" s="843"/>
      <c r="M1357" s="843"/>
      <c r="N1357" s="843"/>
      <c r="O1357" s="844"/>
      <c r="P1357" s="844"/>
      <c r="Q1357" s="844"/>
      <c r="R1357" s="844"/>
      <c r="S1357" s="844"/>
      <c r="T1357" s="844"/>
      <c r="U1357" s="844"/>
      <c r="V1357" s="844"/>
      <c r="W1357" s="844"/>
      <c r="X1357" s="844"/>
      <c r="Y1357" s="844"/>
      <c r="Z1357" s="844"/>
      <c r="AA1357" s="968"/>
      <c r="AB1357" s="845"/>
    </row>
    <row r="1358" spans="1:28" ht="15.75" x14ac:dyDescent="0.2">
      <c r="A1358" s="843"/>
      <c r="B1358" s="846"/>
      <c r="C1358" s="843"/>
      <c r="D1358" s="843"/>
      <c r="E1358" s="843"/>
      <c r="F1358" s="843"/>
      <c r="G1358" s="843"/>
      <c r="H1358" s="843"/>
      <c r="I1358" s="843" t="s">
        <v>81</v>
      </c>
      <c r="J1358" s="843"/>
      <c r="K1358" s="843"/>
      <c r="L1358" s="843"/>
      <c r="M1358" s="843"/>
      <c r="N1358" s="843"/>
      <c r="O1358" s="844"/>
      <c r="P1358" s="844"/>
      <c r="Q1358" s="844"/>
      <c r="R1358" s="844"/>
      <c r="S1358" s="844"/>
      <c r="T1358" s="844"/>
      <c r="U1358" s="844"/>
      <c r="V1358" s="844"/>
      <c r="W1358" s="844"/>
      <c r="X1358" s="844"/>
      <c r="Y1358" s="844"/>
      <c r="Z1358" s="844"/>
      <c r="AA1358" s="968"/>
      <c r="AB1358" s="845"/>
    </row>
    <row r="1359" spans="1:28" ht="15.75" x14ac:dyDescent="0.2">
      <c r="A1359" s="843"/>
      <c r="B1359" s="846"/>
      <c r="C1359" s="843"/>
      <c r="D1359" s="843"/>
      <c r="E1359" s="843"/>
      <c r="F1359" s="843"/>
      <c r="G1359" s="843"/>
      <c r="H1359" s="843"/>
      <c r="I1359" s="843" t="s">
        <v>88</v>
      </c>
      <c r="J1359" s="843"/>
      <c r="K1359" s="843"/>
      <c r="L1359" s="843"/>
      <c r="M1359" s="843"/>
      <c r="N1359" s="843"/>
      <c r="O1359" s="844"/>
      <c r="P1359" s="844"/>
      <c r="Q1359" s="844"/>
      <c r="R1359" s="844"/>
      <c r="S1359" s="844"/>
      <c r="T1359" s="844"/>
      <c r="U1359" s="844"/>
      <c r="V1359" s="844"/>
      <c r="W1359" s="844"/>
      <c r="X1359" s="844"/>
      <c r="Y1359" s="844"/>
      <c r="Z1359" s="844"/>
      <c r="AA1359" s="968"/>
      <c r="AB1359" s="845"/>
    </row>
    <row r="1360" spans="1:28" ht="18.75" x14ac:dyDescent="0.2">
      <c r="A1360" s="822"/>
      <c r="B1360" s="822"/>
      <c r="C1360" s="822"/>
      <c r="D1360" s="822"/>
      <c r="E1360" s="822"/>
      <c r="F1360" s="822"/>
      <c r="G1360" s="822"/>
      <c r="H1360" s="822"/>
      <c r="I1360" s="822"/>
      <c r="J1360" s="822"/>
      <c r="K1360" s="822"/>
      <c r="L1360" s="822"/>
      <c r="M1360" s="822"/>
      <c r="N1360" s="822"/>
      <c r="O1360" s="822"/>
      <c r="P1360" s="822"/>
      <c r="Q1360" s="822"/>
      <c r="R1360" s="822"/>
      <c r="S1360" s="822"/>
      <c r="T1360" s="822"/>
      <c r="U1360" s="822"/>
      <c r="V1360" s="822"/>
      <c r="W1360" s="822"/>
      <c r="X1360" s="822"/>
      <c r="Y1360" s="822"/>
      <c r="Z1360" s="822"/>
      <c r="AA1360" s="2739" t="s">
        <v>0</v>
      </c>
      <c r="AB1360" s="2739"/>
    </row>
    <row r="1361" spans="1:28" ht="18.75" x14ac:dyDescent="0.2">
      <c r="A1361" s="2707" t="s">
        <v>1</v>
      </c>
      <c r="B1361" s="2707"/>
      <c r="C1361" s="2707"/>
      <c r="D1361" s="2707"/>
      <c r="E1361" s="2707"/>
      <c r="F1361" s="2707"/>
      <c r="G1361" s="2707"/>
      <c r="H1361" s="2707"/>
      <c r="I1361" s="2707"/>
      <c r="J1361" s="2707"/>
      <c r="K1361" s="2707"/>
      <c r="L1361" s="2707"/>
      <c r="M1361" s="2707"/>
      <c r="N1361" s="2707"/>
      <c r="O1361" s="2707"/>
      <c r="P1361" s="2707"/>
      <c r="Q1361" s="2707"/>
      <c r="R1361" s="2707"/>
      <c r="S1361" s="2707"/>
      <c r="T1361" s="2707"/>
      <c r="U1361" s="2707"/>
      <c r="V1361" s="2707"/>
      <c r="W1361" s="2707"/>
      <c r="X1361" s="2707"/>
      <c r="Y1361" s="2707"/>
      <c r="Z1361" s="2707"/>
      <c r="AA1361" s="2707"/>
      <c r="AB1361" s="2707"/>
    </row>
    <row r="1362" spans="1:28" ht="18.75" x14ac:dyDescent="0.2">
      <c r="A1362" s="2708" t="s">
        <v>588</v>
      </c>
      <c r="B1362" s="2708"/>
      <c r="C1362" s="2708"/>
      <c r="D1362" s="2708"/>
      <c r="E1362" s="2708"/>
      <c r="F1362" s="2708"/>
      <c r="G1362" s="2708"/>
      <c r="H1362" s="2708"/>
      <c r="I1362" s="2708"/>
      <c r="J1362" s="2708"/>
      <c r="K1362" s="2708"/>
      <c r="L1362" s="2708"/>
      <c r="M1362" s="2708"/>
      <c r="N1362" s="2708"/>
      <c r="O1362" s="2708"/>
      <c r="P1362" s="2708"/>
      <c r="Q1362" s="2708"/>
      <c r="R1362" s="2708"/>
      <c r="S1362" s="2708"/>
      <c r="T1362" s="2708"/>
      <c r="U1362" s="2708"/>
      <c r="V1362" s="2708"/>
      <c r="W1362" s="2708"/>
      <c r="X1362" s="2708"/>
      <c r="Y1362" s="2708"/>
      <c r="Z1362" s="2708"/>
      <c r="AA1362" s="2708"/>
      <c r="AB1362" s="2708"/>
    </row>
    <row r="1363" spans="1:28" x14ac:dyDescent="0.2">
      <c r="A1363" s="2709" t="s">
        <v>2</v>
      </c>
      <c r="B1363" s="160"/>
      <c r="C1363" s="2709" t="s">
        <v>3</v>
      </c>
      <c r="D1363" s="160"/>
      <c r="E1363" s="160"/>
      <c r="F1363" s="2712" t="s">
        <v>4</v>
      </c>
      <c r="G1363" s="2712"/>
      <c r="H1363" s="2712"/>
      <c r="I1363" s="2713"/>
      <c r="J1363" s="2713"/>
      <c r="K1363" s="2714"/>
      <c r="L1363" s="2"/>
      <c r="M1363" s="2715" t="s">
        <v>5</v>
      </c>
      <c r="N1363" s="2715"/>
      <c r="O1363" s="2715"/>
      <c r="P1363" s="2715"/>
      <c r="Q1363" s="2716"/>
      <c r="R1363" s="2716"/>
      <c r="S1363" s="2716"/>
      <c r="T1363" s="2716"/>
      <c r="U1363" s="2716"/>
      <c r="V1363" s="2717"/>
      <c r="W1363" s="161" t="s">
        <v>6</v>
      </c>
      <c r="X1363" s="162" t="s">
        <v>7</v>
      </c>
      <c r="Y1363" s="163"/>
      <c r="Z1363" s="163"/>
      <c r="AA1363" s="162"/>
      <c r="AB1363" s="206"/>
    </row>
    <row r="1364" spans="1:28" x14ac:dyDescent="0.2">
      <c r="A1364" s="2710"/>
      <c r="B1364" s="4"/>
      <c r="C1364" s="2710"/>
      <c r="D1364" s="2057" t="s">
        <v>9</v>
      </c>
      <c r="E1364" s="207" t="s">
        <v>10</v>
      </c>
      <c r="F1364" s="2718" t="s">
        <v>11</v>
      </c>
      <c r="G1364" s="2713"/>
      <c r="H1364" s="2714"/>
      <c r="I1364" s="160"/>
      <c r="J1364" s="208" t="s">
        <v>12</v>
      </c>
      <c r="K1364" s="160"/>
      <c r="L1364" s="2715" t="s">
        <v>2</v>
      </c>
      <c r="M1364" s="141"/>
      <c r="N1364" s="141"/>
      <c r="O1364" s="141"/>
      <c r="P1364" s="164"/>
      <c r="Q1364" s="209" t="s">
        <v>13</v>
      </c>
      <c r="R1364" s="210" t="s">
        <v>12</v>
      </c>
      <c r="S1364" s="141" t="s">
        <v>6</v>
      </c>
      <c r="T1364" s="2724" t="s">
        <v>14</v>
      </c>
      <c r="U1364" s="2725"/>
      <c r="V1364" s="165" t="s">
        <v>7</v>
      </c>
      <c r="W1364" s="166" t="s">
        <v>15</v>
      </c>
      <c r="X1364" s="5" t="s">
        <v>16</v>
      </c>
      <c r="Y1364" s="5" t="s">
        <v>17</v>
      </c>
      <c r="Z1364" s="5" t="s">
        <v>18</v>
      </c>
      <c r="AA1364" s="377"/>
      <c r="AB1364" s="378" t="s">
        <v>19</v>
      </c>
    </row>
    <row r="1365" spans="1:28" x14ac:dyDescent="0.2">
      <c r="A1365" s="2710"/>
      <c r="B1365" s="2057" t="s">
        <v>23</v>
      </c>
      <c r="C1365" s="2710"/>
      <c r="D1365" s="2057" t="s">
        <v>24</v>
      </c>
      <c r="E1365" s="207" t="s">
        <v>25</v>
      </c>
      <c r="F1365" s="2719"/>
      <c r="G1365" s="2720"/>
      <c r="H1365" s="2721"/>
      <c r="I1365" s="2057" t="s">
        <v>26</v>
      </c>
      <c r="J1365" s="211" t="s">
        <v>15</v>
      </c>
      <c r="K1365" s="2060" t="s">
        <v>6</v>
      </c>
      <c r="L1365" s="2722"/>
      <c r="M1365" s="142" t="s">
        <v>27</v>
      </c>
      <c r="N1365" s="142" t="s">
        <v>10</v>
      </c>
      <c r="O1365" s="212" t="s">
        <v>10</v>
      </c>
      <c r="P1365" s="213" t="s">
        <v>28</v>
      </c>
      <c r="Q1365" s="214" t="s">
        <v>29</v>
      </c>
      <c r="R1365" s="213" t="s">
        <v>15</v>
      </c>
      <c r="S1365" s="8" t="s">
        <v>15</v>
      </c>
      <c r="T1365" s="2726"/>
      <c r="U1365" s="2727"/>
      <c r="V1365" s="165" t="s">
        <v>30</v>
      </c>
      <c r="W1365" s="166" t="s">
        <v>31</v>
      </c>
      <c r="X1365" s="5" t="s">
        <v>30</v>
      </c>
      <c r="Y1365" s="5" t="s">
        <v>32</v>
      </c>
      <c r="Z1365" s="5" t="s">
        <v>7</v>
      </c>
      <c r="AA1365" s="377" t="s">
        <v>33</v>
      </c>
      <c r="AB1365" s="378" t="s">
        <v>34</v>
      </c>
    </row>
    <row r="1366" spans="1:28" x14ac:dyDescent="0.2">
      <c r="A1366" s="2710"/>
      <c r="B1366" s="2057" t="s">
        <v>39</v>
      </c>
      <c r="C1366" s="2710"/>
      <c r="D1366" s="2057" t="s">
        <v>40</v>
      </c>
      <c r="E1366" s="207" t="s">
        <v>41</v>
      </c>
      <c r="F1366" s="2709" t="s">
        <v>42</v>
      </c>
      <c r="G1366" s="2709" t="s">
        <v>43</v>
      </c>
      <c r="H1366" s="2728" t="s">
        <v>44</v>
      </c>
      <c r="I1366" s="2057" t="s">
        <v>45</v>
      </c>
      <c r="J1366" s="211" t="s">
        <v>46</v>
      </c>
      <c r="K1366" s="2060" t="s">
        <v>47</v>
      </c>
      <c r="L1366" s="2722"/>
      <c r="M1366" s="142" t="s">
        <v>30</v>
      </c>
      <c r="N1366" s="142" t="s">
        <v>30</v>
      </c>
      <c r="O1366" s="212" t="s">
        <v>25</v>
      </c>
      <c r="P1366" s="213" t="s">
        <v>30</v>
      </c>
      <c r="Q1366" s="214" t="s">
        <v>48</v>
      </c>
      <c r="R1366" s="213" t="s">
        <v>49</v>
      </c>
      <c r="S1366" s="8" t="s">
        <v>30</v>
      </c>
      <c r="T1366" s="215" t="s">
        <v>50</v>
      </c>
      <c r="U1366" s="2059" t="s">
        <v>13</v>
      </c>
      <c r="V1366" s="165" t="s">
        <v>51</v>
      </c>
      <c r="W1366" s="166" t="s">
        <v>52</v>
      </c>
      <c r="X1366" s="5" t="s">
        <v>53</v>
      </c>
      <c r="Y1366" s="5" t="s">
        <v>54</v>
      </c>
      <c r="Z1366" s="5" t="s">
        <v>55</v>
      </c>
      <c r="AA1366" s="377" t="s">
        <v>56</v>
      </c>
      <c r="AB1366" s="378" t="s">
        <v>57</v>
      </c>
    </row>
    <row r="1367" spans="1:28" x14ac:dyDescent="0.2">
      <c r="A1367" s="2710"/>
      <c r="B1367" s="2057" t="s">
        <v>61</v>
      </c>
      <c r="C1367" s="2710"/>
      <c r="D1367" s="2057" t="s">
        <v>62</v>
      </c>
      <c r="E1367" s="207" t="s">
        <v>63</v>
      </c>
      <c r="F1367" s="2710"/>
      <c r="G1367" s="2710"/>
      <c r="H1367" s="2729"/>
      <c r="I1367" s="2057" t="s">
        <v>64</v>
      </c>
      <c r="J1367" s="211" t="s">
        <v>59</v>
      </c>
      <c r="K1367" s="2060" t="s">
        <v>59</v>
      </c>
      <c r="L1367" s="2722"/>
      <c r="M1367" s="142"/>
      <c r="N1367" s="142"/>
      <c r="O1367" s="212" t="s">
        <v>41</v>
      </c>
      <c r="P1367" s="213" t="s">
        <v>65</v>
      </c>
      <c r="Q1367" s="214" t="s">
        <v>66</v>
      </c>
      <c r="R1367" s="213" t="s">
        <v>67</v>
      </c>
      <c r="S1367" s="8" t="s">
        <v>59</v>
      </c>
      <c r="T1367" s="216" t="s">
        <v>68</v>
      </c>
      <c r="U1367" s="165" t="s">
        <v>14</v>
      </c>
      <c r="V1367" s="165" t="s">
        <v>14</v>
      </c>
      <c r="W1367" s="166" t="s">
        <v>30</v>
      </c>
      <c r="X1367" s="167" t="s">
        <v>69</v>
      </c>
      <c r="Y1367" s="167" t="s">
        <v>70</v>
      </c>
      <c r="Z1367" s="5" t="s">
        <v>71</v>
      </c>
      <c r="AA1367" s="377" t="s">
        <v>72</v>
      </c>
      <c r="AB1367" s="378" t="s">
        <v>59</v>
      </c>
    </row>
    <row r="1368" spans="1:28" x14ac:dyDescent="0.2">
      <c r="A1368" s="2711"/>
      <c r="B1368" s="9"/>
      <c r="C1368" s="2711"/>
      <c r="D1368" s="9"/>
      <c r="E1368" s="2058"/>
      <c r="F1368" s="9"/>
      <c r="G1368" s="9"/>
      <c r="H1368" s="10"/>
      <c r="I1368" s="2058"/>
      <c r="J1368" s="217"/>
      <c r="K1368" s="168"/>
      <c r="L1368" s="2723"/>
      <c r="M1368" s="143"/>
      <c r="N1368" s="143"/>
      <c r="O1368" s="143" t="s">
        <v>63</v>
      </c>
      <c r="P1368" s="218"/>
      <c r="Q1368" s="219" t="s">
        <v>72</v>
      </c>
      <c r="R1368" s="220" t="s">
        <v>59</v>
      </c>
      <c r="S1368" s="169"/>
      <c r="T1368" s="220" t="s">
        <v>73</v>
      </c>
      <c r="U1368" s="169" t="s">
        <v>59</v>
      </c>
      <c r="V1368" s="170" t="s">
        <v>59</v>
      </c>
      <c r="W1368" s="171" t="s">
        <v>59</v>
      </c>
      <c r="X1368" s="172" t="s">
        <v>59</v>
      </c>
      <c r="Y1368" s="172" t="s">
        <v>59</v>
      </c>
      <c r="Z1368" s="172" t="s">
        <v>59</v>
      </c>
      <c r="AA1368" s="402"/>
      <c r="AB1368" s="403"/>
    </row>
    <row r="1369" spans="1:28" x14ac:dyDescent="0.2">
      <c r="A1369" s="53">
        <v>1</v>
      </c>
      <c r="B1369" s="2172">
        <v>79478</v>
      </c>
      <c r="C1369" s="959">
        <v>1999</v>
      </c>
      <c r="D1369" s="51" t="s">
        <v>83</v>
      </c>
      <c r="E1369" s="154">
        <v>4</v>
      </c>
      <c r="F1369" s="51">
        <v>0</v>
      </c>
      <c r="G1369" s="51">
        <v>1</v>
      </c>
      <c r="H1369" s="51">
        <v>0</v>
      </c>
      <c r="I1369" s="70">
        <f>F1369*400+G1369*100+H1369</f>
        <v>100</v>
      </c>
      <c r="J1369" s="71">
        <v>430</v>
      </c>
      <c r="K1369" s="78">
        <f>SUM(I1369*J1369)</f>
        <v>43000</v>
      </c>
      <c r="L1369" s="75"/>
      <c r="M1369" s="51"/>
      <c r="N1369" s="51"/>
      <c r="O1369" s="155"/>
      <c r="P1369" s="824"/>
      <c r="Q1369" s="156"/>
      <c r="R1369" s="157"/>
      <c r="S1369" s="123"/>
      <c r="T1369" s="51"/>
      <c r="U1369" s="204"/>
      <c r="V1369" s="70"/>
      <c r="W1369" s="123">
        <f>K1369+V1369</f>
        <v>43000</v>
      </c>
      <c r="X1369" s="70">
        <f>W1369</f>
        <v>43000</v>
      </c>
      <c r="Y1369" s="71"/>
      <c r="Z1369" s="123">
        <f>+X1369</f>
        <v>43000</v>
      </c>
      <c r="AA1369" s="2074">
        <v>0.3</v>
      </c>
      <c r="AB1369" s="406">
        <f>+Z1369*AA1369/100</f>
        <v>129</v>
      </c>
    </row>
    <row r="1370" spans="1:28" x14ac:dyDescent="0.2">
      <c r="A1370" s="52"/>
      <c r="B1370" s="54"/>
      <c r="C1370" s="960"/>
      <c r="D1370" s="54"/>
      <c r="E1370" s="115"/>
      <c r="F1370" s="54"/>
      <c r="G1370" s="960"/>
      <c r="H1370" s="54"/>
      <c r="I1370" s="121"/>
      <c r="J1370" s="108"/>
      <c r="K1370" s="78"/>
      <c r="L1370" s="75"/>
      <c r="M1370" s="105"/>
      <c r="N1370" s="105"/>
      <c r="O1370" s="113"/>
      <c r="P1370" s="131"/>
      <c r="Q1370" s="132"/>
      <c r="R1370" s="133"/>
      <c r="S1370" s="2072"/>
      <c r="T1370" s="105"/>
      <c r="U1370" s="117"/>
      <c r="V1370" s="77"/>
      <c r="W1370" s="121"/>
      <c r="X1370" s="74"/>
      <c r="Y1370" s="117"/>
      <c r="Z1370" s="121"/>
      <c r="AA1370" s="2074"/>
      <c r="AB1370" s="410"/>
    </row>
    <row r="1371" spans="1:28" x14ac:dyDescent="0.2">
      <c r="A1371" s="52"/>
      <c r="B1371" s="54"/>
      <c r="C1371" s="961"/>
      <c r="D1371" s="105"/>
      <c r="E1371" s="115"/>
      <c r="F1371" s="54"/>
      <c r="G1371" s="81"/>
      <c r="H1371" s="54"/>
      <c r="I1371" s="77"/>
      <c r="J1371" s="108"/>
      <c r="K1371" s="78"/>
      <c r="L1371" s="52"/>
      <c r="M1371" s="52"/>
      <c r="N1371" s="52"/>
      <c r="O1371" s="52"/>
      <c r="P1371" s="962"/>
      <c r="Q1371" s="963"/>
      <c r="R1371" s="964"/>
      <c r="S1371" s="965"/>
      <c r="T1371" s="966"/>
      <c r="U1371" s="965"/>
      <c r="V1371" s="965"/>
      <c r="W1371" s="2072"/>
      <c r="X1371" s="121"/>
      <c r="Y1371" s="108"/>
      <c r="Z1371" s="2072"/>
      <c r="AA1371" s="2074"/>
      <c r="AB1371" s="466"/>
    </row>
    <row r="1372" spans="1:28" x14ac:dyDescent="0.2">
      <c r="A1372" s="2070"/>
      <c r="B1372" s="177"/>
      <c r="C1372" s="177"/>
      <c r="D1372" s="2070"/>
      <c r="E1372" s="2070"/>
      <c r="F1372" s="2070"/>
      <c r="G1372" s="2070"/>
      <c r="H1372" s="2076"/>
      <c r="I1372" s="2072"/>
      <c r="J1372" s="178"/>
      <c r="K1372" s="826"/>
      <c r="L1372" s="2070"/>
      <c r="M1372" s="2070"/>
      <c r="N1372" s="2070"/>
      <c r="O1372" s="2070"/>
      <c r="P1372" s="2076"/>
      <c r="Q1372" s="2071"/>
      <c r="R1372" s="827"/>
      <c r="S1372" s="826"/>
      <c r="T1372" s="179"/>
      <c r="U1372" s="828"/>
      <c r="V1372" s="826"/>
      <c r="W1372" s="826"/>
      <c r="X1372" s="829"/>
      <c r="Y1372" s="829"/>
      <c r="Z1372" s="830"/>
      <c r="AA1372" s="764"/>
      <c r="AB1372" s="466"/>
    </row>
    <row r="1373" spans="1:28" x14ac:dyDescent="0.2">
      <c r="A1373" s="2070"/>
      <c r="B1373" s="177"/>
      <c r="C1373" s="177"/>
      <c r="D1373" s="2070"/>
      <c r="E1373" s="2070"/>
      <c r="F1373" s="2070"/>
      <c r="G1373" s="2070"/>
      <c r="H1373" s="2076"/>
      <c r="I1373" s="2072"/>
      <c r="J1373" s="178"/>
      <c r="K1373" s="826"/>
      <c r="L1373" s="2070"/>
      <c r="M1373" s="2070"/>
      <c r="N1373" s="2070"/>
      <c r="O1373" s="2070"/>
      <c r="P1373" s="2076"/>
      <c r="Q1373" s="2071"/>
      <c r="R1373" s="827"/>
      <c r="S1373" s="826"/>
      <c r="T1373" s="179"/>
      <c r="U1373" s="828"/>
      <c r="V1373" s="826"/>
      <c r="W1373" s="826"/>
      <c r="X1373" s="829"/>
      <c r="Y1373" s="829"/>
      <c r="Z1373" s="830"/>
      <c r="AA1373" s="764"/>
      <c r="AB1373" s="466"/>
    </row>
    <row r="1374" spans="1:28" x14ac:dyDescent="0.2">
      <c r="A1374" s="2070"/>
      <c r="B1374" s="177"/>
      <c r="C1374" s="177"/>
      <c r="D1374" s="2070"/>
      <c r="E1374" s="2070"/>
      <c r="F1374" s="2070"/>
      <c r="G1374" s="2070"/>
      <c r="H1374" s="2076"/>
      <c r="I1374" s="2072"/>
      <c r="J1374" s="178"/>
      <c r="K1374" s="826"/>
      <c r="L1374" s="2070"/>
      <c r="M1374" s="2070"/>
      <c r="N1374" s="2070"/>
      <c r="O1374" s="2070"/>
      <c r="P1374" s="2076"/>
      <c r="Q1374" s="2071"/>
      <c r="R1374" s="827"/>
      <c r="S1374" s="826"/>
      <c r="T1374" s="179"/>
      <c r="U1374" s="828"/>
      <c r="V1374" s="826"/>
      <c r="W1374" s="826"/>
      <c r="X1374" s="829"/>
      <c r="Y1374" s="829"/>
      <c r="Z1374" s="830"/>
      <c r="AA1374" s="764"/>
      <c r="AB1374" s="466"/>
    </row>
    <row r="1375" spans="1:28" x14ac:dyDescent="0.2">
      <c r="A1375" s="2070"/>
      <c r="B1375" s="177"/>
      <c r="C1375" s="177"/>
      <c r="D1375" s="2070"/>
      <c r="E1375" s="2070"/>
      <c r="F1375" s="2070"/>
      <c r="G1375" s="2070"/>
      <c r="H1375" s="2076"/>
      <c r="I1375" s="2072"/>
      <c r="J1375" s="178"/>
      <c r="K1375" s="826"/>
      <c r="L1375" s="2070"/>
      <c r="M1375" s="2070"/>
      <c r="N1375" s="2070"/>
      <c r="O1375" s="2070"/>
      <c r="P1375" s="2076"/>
      <c r="Q1375" s="2071"/>
      <c r="R1375" s="827"/>
      <c r="S1375" s="826"/>
      <c r="T1375" s="179"/>
      <c r="U1375" s="828"/>
      <c r="V1375" s="826"/>
      <c r="W1375" s="826"/>
      <c r="X1375" s="829"/>
      <c r="Y1375" s="829"/>
      <c r="Z1375" s="830"/>
      <c r="AA1375" s="764"/>
      <c r="AB1375" s="466"/>
    </row>
    <row r="1376" spans="1:28" x14ac:dyDescent="0.2">
      <c r="A1376" s="2070"/>
      <c r="B1376" s="177"/>
      <c r="C1376" s="177"/>
      <c r="D1376" s="2070"/>
      <c r="E1376" s="2070"/>
      <c r="F1376" s="2070"/>
      <c r="G1376" s="2070"/>
      <c r="H1376" s="2076"/>
      <c r="I1376" s="2072"/>
      <c r="J1376" s="178"/>
      <c r="K1376" s="826"/>
      <c r="L1376" s="2070"/>
      <c r="M1376" s="2070"/>
      <c r="N1376" s="2070"/>
      <c r="O1376" s="2070"/>
      <c r="P1376" s="2076"/>
      <c r="Q1376" s="2071"/>
      <c r="R1376" s="827"/>
      <c r="S1376" s="826"/>
      <c r="T1376" s="179"/>
      <c r="U1376" s="828"/>
      <c r="V1376" s="826"/>
      <c r="W1376" s="826"/>
      <c r="X1376" s="829"/>
      <c r="Y1376" s="829"/>
      <c r="Z1376" s="830"/>
      <c r="AA1376" s="764"/>
      <c r="AB1376" s="466"/>
    </row>
    <row r="1377" spans="1:28" x14ac:dyDescent="0.2">
      <c r="A1377" s="2070"/>
      <c r="B1377" s="177"/>
      <c r="C1377" s="177"/>
      <c r="D1377" s="2070"/>
      <c r="E1377" s="2070"/>
      <c r="F1377" s="2070"/>
      <c r="G1377" s="2070"/>
      <c r="H1377" s="2076"/>
      <c r="I1377" s="2072"/>
      <c r="J1377" s="178"/>
      <c r="K1377" s="826"/>
      <c r="L1377" s="2070"/>
      <c r="M1377" s="2070"/>
      <c r="N1377" s="2070"/>
      <c r="O1377" s="2070"/>
      <c r="P1377" s="2076"/>
      <c r="Q1377" s="2071"/>
      <c r="R1377" s="827"/>
      <c r="S1377" s="826"/>
      <c r="T1377" s="179"/>
      <c r="U1377" s="828"/>
      <c r="V1377" s="826"/>
      <c r="W1377" s="826"/>
      <c r="X1377" s="829"/>
      <c r="Y1377" s="829"/>
      <c r="Z1377" s="830"/>
      <c r="AA1377" s="764"/>
      <c r="AB1377" s="466"/>
    </row>
    <row r="1378" spans="1:28" x14ac:dyDescent="0.2">
      <c r="A1378" s="2070"/>
      <c r="B1378" s="177"/>
      <c r="C1378" s="177"/>
      <c r="D1378" s="2070"/>
      <c r="E1378" s="2070"/>
      <c r="F1378" s="2070"/>
      <c r="G1378" s="2070"/>
      <c r="H1378" s="2076"/>
      <c r="I1378" s="2072"/>
      <c r="J1378" s="178"/>
      <c r="K1378" s="826"/>
      <c r="L1378" s="2070"/>
      <c r="M1378" s="2070"/>
      <c r="N1378" s="2070"/>
      <c r="O1378" s="2070"/>
      <c r="P1378" s="2076"/>
      <c r="Q1378" s="2071"/>
      <c r="R1378" s="827"/>
      <c r="S1378" s="826"/>
      <c r="T1378" s="179"/>
      <c r="U1378" s="828"/>
      <c r="V1378" s="826"/>
      <c r="W1378" s="826"/>
      <c r="X1378" s="829"/>
      <c r="Y1378" s="829"/>
      <c r="Z1378" s="830"/>
      <c r="AA1378" s="764"/>
      <c r="AB1378" s="466"/>
    </row>
    <row r="1379" spans="1:28" x14ac:dyDescent="0.2">
      <c r="A1379" s="2070"/>
      <c r="B1379" s="177"/>
      <c r="C1379" s="177"/>
      <c r="D1379" s="2070"/>
      <c r="E1379" s="2070"/>
      <c r="F1379" s="2070"/>
      <c r="G1379" s="2070"/>
      <c r="H1379" s="2076"/>
      <c r="I1379" s="2072"/>
      <c r="J1379" s="178"/>
      <c r="K1379" s="826"/>
      <c r="L1379" s="2070"/>
      <c r="M1379" s="2070"/>
      <c r="N1379" s="2070"/>
      <c r="O1379" s="2070"/>
      <c r="P1379" s="2076"/>
      <c r="Q1379" s="2071"/>
      <c r="R1379" s="827"/>
      <c r="S1379" s="826"/>
      <c r="T1379" s="179"/>
      <c r="U1379" s="828"/>
      <c r="V1379" s="826"/>
      <c r="W1379" s="826"/>
      <c r="X1379" s="829"/>
      <c r="Y1379" s="829"/>
      <c r="Z1379" s="830"/>
      <c r="AA1379" s="764"/>
      <c r="AB1379" s="466"/>
    </row>
    <row r="1380" spans="1:28" x14ac:dyDescent="0.2">
      <c r="A1380" s="2070"/>
      <c r="B1380" s="177"/>
      <c r="C1380" s="177"/>
      <c r="D1380" s="2070"/>
      <c r="E1380" s="2070"/>
      <c r="F1380" s="2070"/>
      <c r="G1380" s="2070"/>
      <c r="H1380" s="2076"/>
      <c r="I1380" s="2072"/>
      <c r="J1380" s="178"/>
      <c r="K1380" s="826"/>
      <c r="L1380" s="2070"/>
      <c r="M1380" s="2070"/>
      <c r="N1380" s="2070"/>
      <c r="O1380" s="2070"/>
      <c r="P1380" s="2076"/>
      <c r="Q1380" s="2071"/>
      <c r="R1380" s="827"/>
      <c r="S1380" s="826"/>
      <c r="T1380" s="179"/>
      <c r="U1380" s="828"/>
      <c r="V1380" s="826"/>
      <c r="W1380" s="826"/>
      <c r="X1380" s="829"/>
      <c r="Y1380" s="829"/>
      <c r="Z1380" s="830"/>
      <c r="AA1380" s="764"/>
      <c r="AB1380" s="466"/>
    </row>
    <row r="1381" spans="1:28" x14ac:dyDescent="0.2">
      <c r="A1381" s="2070"/>
      <c r="B1381" s="177"/>
      <c r="C1381" s="177"/>
      <c r="D1381" s="2070"/>
      <c r="E1381" s="2070"/>
      <c r="F1381" s="2070"/>
      <c r="G1381" s="2070"/>
      <c r="H1381" s="2076"/>
      <c r="I1381" s="2072"/>
      <c r="J1381" s="178"/>
      <c r="K1381" s="826"/>
      <c r="L1381" s="2070"/>
      <c r="M1381" s="2070"/>
      <c r="N1381" s="2070"/>
      <c r="O1381" s="2070"/>
      <c r="P1381" s="2076"/>
      <c r="Q1381" s="2071"/>
      <c r="R1381" s="827"/>
      <c r="S1381" s="826"/>
      <c r="T1381" s="179"/>
      <c r="U1381" s="828"/>
      <c r="V1381" s="826"/>
      <c r="W1381" s="826"/>
      <c r="X1381" s="829"/>
      <c r="Y1381" s="829"/>
      <c r="Z1381" s="830"/>
      <c r="AA1381" s="764"/>
      <c r="AB1381" s="466"/>
    </row>
    <row r="1382" spans="1:28" x14ac:dyDescent="0.2">
      <c r="A1382" s="2070"/>
      <c r="B1382" s="177"/>
      <c r="C1382" s="177"/>
      <c r="D1382" s="2070"/>
      <c r="E1382" s="2070"/>
      <c r="F1382" s="2070"/>
      <c r="G1382" s="2070"/>
      <c r="H1382" s="2076"/>
      <c r="I1382" s="2072"/>
      <c r="J1382" s="178"/>
      <c r="K1382" s="826"/>
      <c r="L1382" s="2070"/>
      <c r="M1382" s="2070"/>
      <c r="N1382" s="2070"/>
      <c r="O1382" s="2070"/>
      <c r="P1382" s="2076"/>
      <c r="Q1382" s="2071"/>
      <c r="R1382" s="827"/>
      <c r="S1382" s="826"/>
      <c r="T1382" s="179"/>
      <c r="U1382" s="828"/>
      <c r="V1382" s="826"/>
      <c r="W1382" s="826"/>
      <c r="X1382" s="829"/>
      <c r="Y1382" s="829"/>
      <c r="Z1382" s="830"/>
      <c r="AA1382" s="764"/>
      <c r="AB1382" s="466"/>
    </row>
    <row r="1383" spans="1:28" x14ac:dyDescent="0.2">
      <c r="A1383" s="2070"/>
      <c r="B1383" s="177"/>
      <c r="C1383" s="177"/>
      <c r="D1383" s="2070"/>
      <c r="E1383" s="2070"/>
      <c r="F1383" s="2070"/>
      <c r="G1383" s="2070"/>
      <c r="H1383" s="2076"/>
      <c r="I1383" s="2072"/>
      <c r="J1383" s="178"/>
      <c r="K1383" s="826"/>
      <c r="L1383" s="2070"/>
      <c r="M1383" s="2070"/>
      <c r="N1383" s="2070"/>
      <c r="O1383" s="2070"/>
      <c r="P1383" s="2076"/>
      <c r="Q1383" s="2071"/>
      <c r="R1383" s="827"/>
      <c r="S1383" s="826"/>
      <c r="T1383" s="179"/>
      <c r="U1383" s="828"/>
      <c r="V1383" s="826"/>
      <c r="W1383" s="826"/>
      <c r="X1383" s="829"/>
      <c r="Y1383" s="829"/>
      <c r="Z1383" s="830"/>
      <c r="AA1383" s="764"/>
      <c r="AB1383" s="466"/>
    </row>
    <row r="1384" spans="1:28" x14ac:dyDescent="0.2">
      <c r="A1384" s="88"/>
      <c r="B1384" s="180"/>
      <c r="C1384" s="180"/>
      <c r="D1384" s="88"/>
      <c r="E1384" s="88"/>
      <c r="F1384" s="88"/>
      <c r="G1384" s="88"/>
      <c r="H1384" s="120"/>
      <c r="I1384" s="121"/>
      <c r="J1384" s="181"/>
      <c r="K1384" s="833"/>
      <c r="L1384" s="88"/>
      <c r="M1384" s="88"/>
      <c r="N1384" s="88"/>
      <c r="O1384" s="88"/>
      <c r="P1384" s="88"/>
      <c r="Q1384" s="129"/>
      <c r="R1384" s="834"/>
      <c r="S1384" s="833"/>
      <c r="T1384" s="182"/>
      <c r="U1384" s="835"/>
      <c r="V1384" s="833"/>
      <c r="W1384" s="833"/>
      <c r="X1384" s="836"/>
      <c r="Y1384" s="836"/>
      <c r="Z1384" s="837"/>
      <c r="AA1384" s="780"/>
      <c r="AB1384" s="410"/>
    </row>
    <row r="1385" spans="1:28" x14ac:dyDescent="0.2">
      <c r="A1385" s="1850"/>
      <c r="B1385" s="1850"/>
      <c r="C1385" s="1850"/>
      <c r="D1385" s="1850"/>
      <c r="E1385" s="1850"/>
      <c r="F1385" s="1850"/>
      <c r="G1385" s="1850"/>
      <c r="H1385" s="1851"/>
      <c r="I1385" s="1852"/>
      <c r="J1385" s="1853"/>
      <c r="K1385" s="1929"/>
      <c r="L1385" s="1929"/>
      <c r="M1385" s="1929"/>
      <c r="N1385" s="1929"/>
      <c r="O1385" s="1929"/>
      <c r="P1385" s="1929"/>
      <c r="Q1385" s="1929"/>
      <c r="R1385" s="1930"/>
      <c r="S1385" s="1929"/>
      <c r="T1385" s="1855"/>
      <c r="U1385" s="1931"/>
      <c r="V1385" s="1929"/>
      <c r="W1385" s="1929"/>
      <c r="X1385" s="1932"/>
      <c r="Y1385" s="1932"/>
      <c r="Z1385" s="1933"/>
      <c r="AA1385" s="2173"/>
      <c r="AB1385" s="1847">
        <f>SUM(AB1369:AB1384)</f>
        <v>129</v>
      </c>
    </row>
    <row r="1386" spans="1:28" ht="15.75" x14ac:dyDescent="0.2">
      <c r="A1386" s="2730" t="s">
        <v>76</v>
      </c>
      <c r="B1386" s="2730"/>
      <c r="C1386" s="2731" t="s">
        <v>77</v>
      </c>
      <c r="D1386" s="2731"/>
      <c r="E1386" s="2731"/>
      <c r="F1386" s="2731"/>
      <c r="G1386" s="2731"/>
      <c r="H1386" s="2731"/>
      <c r="I1386" s="843" t="s">
        <v>78</v>
      </c>
      <c r="J1386" s="843"/>
      <c r="K1386" s="843"/>
      <c r="L1386" s="843"/>
      <c r="M1386" s="843"/>
      <c r="N1386" s="843"/>
      <c r="O1386" s="844"/>
      <c r="P1386" s="844"/>
      <c r="Q1386" s="844"/>
      <c r="R1386" s="844"/>
      <c r="S1386" s="844"/>
      <c r="T1386" s="844"/>
      <c r="U1386" s="844"/>
      <c r="V1386" s="844"/>
      <c r="W1386" s="844"/>
      <c r="X1386" s="844"/>
      <c r="Y1386" s="844"/>
      <c r="Z1386" s="844"/>
      <c r="AA1386" s="968"/>
      <c r="AB1386" s="845"/>
    </row>
    <row r="1387" spans="1:28" ht="15.75" x14ac:dyDescent="0.2">
      <c r="A1387" s="843"/>
      <c r="B1387" s="846"/>
      <c r="C1387" s="843"/>
      <c r="D1387" s="843"/>
      <c r="E1387" s="843"/>
      <c r="F1387" s="843"/>
      <c r="G1387" s="843"/>
      <c r="H1387" s="843"/>
      <c r="I1387" s="843" t="s">
        <v>79</v>
      </c>
      <c r="J1387" s="843"/>
      <c r="K1387" s="843"/>
      <c r="L1387" s="843"/>
      <c r="M1387" s="843"/>
      <c r="N1387" s="843"/>
      <c r="O1387" s="844"/>
      <c r="P1387" s="844"/>
      <c r="Q1387" s="844"/>
      <c r="R1387" s="844"/>
      <c r="S1387" s="844"/>
      <c r="T1387" s="844"/>
      <c r="U1387" s="844"/>
      <c r="V1387" s="844"/>
      <c r="W1387" s="844"/>
      <c r="X1387" s="844"/>
      <c r="Y1387" s="844"/>
      <c r="Z1387" s="844"/>
      <c r="AA1387" s="968"/>
      <c r="AB1387" s="845"/>
    </row>
    <row r="1388" spans="1:28" ht="15.75" x14ac:dyDescent="0.2">
      <c r="A1388" s="843"/>
      <c r="B1388" s="846"/>
      <c r="C1388" s="843"/>
      <c r="D1388" s="843"/>
      <c r="E1388" s="843"/>
      <c r="F1388" s="843"/>
      <c r="G1388" s="843"/>
      <c r="H1388" s="843"/>
      <c r="I1388" s="843" t="s">
        <v>80</v>
      </c>
      <c r="J1388" s="843"/>
      <c r="K1388" s="843"/>
      <c r="L1388" s="843"/>
      <c r="M1388" s="843"/>
      <c r="N1388" s="843"/>
      <c r="O1388" s="844"/>
      <c r="P1388" s="844"/>
      <c r="Q1388" s="844"/>
      <c r="R1388" s="844"/>
      <c r="S1388" s="844"/>
      <c r="T1388" s="844"/>
      <c r="U1388" s="844"/>
      <c r="V1388" s="844"/>
      <c r="W1388" s="844"/>
      <c r="X1388" s="844"/>
      <c r="Y1388" s="844"/>
      <c r="Z1388" s="844"/>
      <c r="AA1388" s="968"/>
      <c r="AB1388" s="845"/>
    </row>
    <row r="1389" spans="1:28" ht="15.75" x14ac:dyDescent="0.2">
      <c r="A1389" s="843"/>
      <c r="B1389" s="846"/>
      <c r="C1389" s="843"/>
      <c r="D1389" s="843"/>
      <c r="E1389" s="843"/>
      <c r="F1389" s="843"/>
      <c r="G1389" s="843"/>
      <c r="H1389" s="843"/>
      <c r="I1389" s="843" t="s">
        <v>81</v>
      </c>
      <c r="J1389" s="843"/>
      <c r="K1389" s="843"/>
      <c r="L1389" s="843"/>
      <c r="M1389" s="843"/>
      <c r="N1389" s="843"/>
      <c r="O1389" s="844"/>
      <c r="P1389" s="844"/>
      <c r="Q1389" s="844"/>
      <c r="R1389" s="844"/>
      <c r="S1389" s="844"/>
      <c r="T1389" s="844"/>
      <c r="U1389" s="844"/>
      <c r="V1389" s="844"/>
      <c r="W1389" s="844"/>
      <c r="X1389" s="844"/>
      <c r="Y1389" s="844"/>
      <c r="Z1389" s="844"/>
      <c r="AA1389" s="968"/>
      <c r="AB1389" s="845"/>
    </row>
    <row r="1390" spans="1:28" ht="15.75" x14ac:dyDescent="0.2">
      <c r="A1390" s="843"/>
      <c r="B1390" s="846"/>
      <c r="C1390" s="843"/>
      <c r="D1390" s="843"/>
      <c r="E1390" s="843"/>
      <c r="F1390" s="843"/>
      <c r="G1390" s="843"/>
      <c r="H1390" s="843"/>
      <c r="I1390" s="843" t="s">
        <v>88</v>
      </c>
      <c r="J1390" s="843"/>
      <c r="K1390" s="843"/>
      <c r="L1390" s="843"/>
      <c r="M1390" s="843"/>
      <c r="N1390" s="843"/>
      <c r="O1390" s="844"/>
      <c r="P1390" s="844"/>
      <c r="Q1390" s="844"/>
      <c r="R1390" s="844"/>
      <c r="S1390" s="844"/>
      <c r="T1390" s="844"/>
      <c r="U1390" s="844"/>
      <c r="V1390" s="844"/>
      <c r="W1390" s="844"/>
      <c r="X1390" s="844"/>
      <c r="Y1390" s="844"/>
      <c r="Z1390" s="844"/>
      <c r="AA1390" s="968"/>
      <c r="AB1390" s="845"/>
    </row>
    <row r="1391" spans="1:28" ht="18.75" x14ac:dyDescent="0.2">
      <c r="A1391" s="822"/>
      <c r="B1391" s="822"/>
      <c r="C1391" s="822"/>
      <c r="D1391" s="822"/>
      <c r="E1391" s="822"/>
      <c r="F1391" s="822"/>
      <c r="G1391" s="822"/>
      <c r="H1391" s="822"/>
      <c r="I1391" s="822"/>
      <c r="J1391" s="822"/>
      <c r="K1391" s="822"/>
      <c r="L1391" s="822"/>
      <c r="M1391" s="822"/>
      <c r="N1391" s="822"/>
      <c r="O1391" s="822"/>
      <c r="P1391" s="822"/>
      <c r="Q1391" s="822"/>
      <c r="R1391" s="822"/>
      <c r="S1391" s="822"/>
      <c r="T1391" s="822"/>
      <c r="U1391" s="822"/>
      <c r="V1391" s="822"/>
      <c r="W1391" s="822"/>
      <c r="X1391" s="822"/>
      <c r="Y1391" s="822"/>
      <c r="Z1391" s="822"/>
      <c r="AA1391" s="2739" t="s">
        <v>0</v>
      </c>
      <c r="AB1391" s="2739"/>
    </row>
    <row r="1392" spans="1:28" ht="18.75" x14ac:dyDescent="0.2">
      <c r="A1392" s="2707" t="s">
        <v>1</v>
      </c>
      <c r="B1392" s="2707"/>
      <c r="C1392" s="2707"/>
      <c r="D1392" s="2707"/>
      <c r="E1392" s="2707"/>
      <c r="F1392" s="2707"/>
      <c r="G1392" s="2707"/>
      <c r="H1392" s="2707"/>
      <c r="I1392" s="2707"/>
      <c r="J1392" s="2707"/>
      <c r="K1392" s="2707"/>
      <c r="L1392" s="2707"/>
      <c r="M1392" s="2707"/>
      <c r="N1392" s="2707"/>
      <c r="O1392" s="2707"/>
      <c r="P1392" s="2707"/>
      <c r="Q1392" s="2707"/>
      <c r="R1392" s="2707"/>
      <c r="S1392" s="2707"/>
      <c r="T1392" s="2707"/>
      <c r="U1392" s="2707"/>
      <c r="V1392" s="2707"/>
      <c r="W1392" s="2707"/>
      <c r="X1392" s="2707"/>
      <c r="Y1392" s="2707"/>
      <c r="Z1392" s="2707"/>
      <c r="AA1392" s="2707"/>
      <c r="AB1392" s="2707"/>
    </row>
    <row r="1393" spans="1:28" ht="18.75" x14ac:dyDescent="0.2">
      <c r="A1393" s="2708" t="s">
        <v>589</v>
      </c>
      <c r="B1393" s="2708"/>
      <c r="C1393" s="2708"/>
      <c r="D1393" s="2708"/>
      <c r="E1393" s="2708"/>
      <c r="F1393" s="2708"/>
      <c r="G1393" s="2708"/>
      <c r="H1393" s="2708"/>
      <c r="I1393" s="2708"/>
      <c r="J1393" s="2708"/>
      <c r="K1393" s="2708"/>
      <c r="L1393" s="2708"/>
      <c r="M1393" s="2708"/>
      <c r="N1393" s="2708"/>
      <c r="O1393" s="2708"/>
      <c r="P1393" s="2708"/>
      <c r="Q1393" s="2708"/>
      <c r="R1393" s="2708"/>
      <c r="S1393" s="2708"/>
      <c r="T1393" s="2708"/>
      <c r="U1393" s="2708"/>
      <c r="V1393" s="2708"/>
      <c r="W1393" s="2708"/>
      <c r="X1393" s="2708"/>
      <c r="Y1393" s="2708"/>
      <c r="Z1393" s="2708"/>
      <c r="AA1393" s="2708"/>
      <c r="AB1393" s="2708"/>
    </row>
    <row r="1394" spans="1:28" x14ac:dyDescent="0.2">
      <c r="A1394" s="2709" t="s">
        <v>2</v>
      </c>
      <c r="B1394" s="160"/>
      <c r="C1394" s="2709" t="s">
        <v>3</v>
      </c>
      <c r="D1394" s="160"/>
      <c r="E1394" s="160"/>
      <c r="F1394" s="2712" t="s">
        <v>4</v>
      </c>
      <c r="G1394" s="2712"/>
      <c r="H1394" s="2712"/>
      <c r="I1394" s="2713"/>
      <c r="J1394" s="2713"/>
      <c r="K1394" s="2714"/>
      <c r="L1394" s="2"/>
      <c r="M1394" s="2715" t="s">
        <v>5</v>
      </c>
      <c r="N1394" s="2715"/>
      <c r="O1394" s="2715"/>
      <c r="P1394" s="2715"/>
      <c r="Q1394" s="2716"/>
      <c r="R1394" s="2716"/>
      <c r="S1394" s="2716"/>
      <c r="T1394" s="2716"/>
      <c r="U1394" s="2716"/>
      <c r="V1394" s="2717"/>
      <c r="W1394" s="161" t="s">
        <v>6</v>
      </c>
      <c r="X1394" s="162" t="s">
        <v>7</v>
      </c>
      <c r="Y1394" s="163"/>
      <c r="Z1394" s="163"/>
      <c r="AA1394" s="162"/>
      <c r="AB1394" s="206"/>
    </row>
    <row r="1395" spans="1:28" x14ac:dyDescent="0.2">
      <c r="A1395" s="2710"/>
      <c r="B1395" s="4"/>
      <c r="C1395" s="2710"/>
      <c r="D1395" s="2057" t="s">
        <v>9</v>
      </c>
      <c r="E1395" s="207" t="s">
        <v>10</v>
      </c>
      <c r="F1395" s="2718" t="s">
        <v>11</v>
      </c>
      <c r="G1395" s="2713"/>
      <c r="H1395" s="2714"/>
      <c r="I1395" s="160"/>
      <c r="J1395" s="208" t="s">
        <v>12</v>
      </c>
      <c r="K1395" s="160"/>
      <c r="L1395" s="2715" t="s">
        <v>2</v>
      </c>
      <c r="M1395" s="141"/>
      <c r="N1395" s="141"/>
      <c r="O1395" s="141"/>
      <c r="P1395" s="164"/>
      <c r="Q1395" s="209" t="s">
        <v>13</v>
      </c>
      <c r="R1395" s="210" t="s">
        <v>12</v>
      </c>
      <c r="S1395" s="141" t="s">
        <v>6</v>
      </c>
      <c r="T1395" s="2724" t="s">
        <v>14</v>
      </c>
      <c r="U1395" s="2725"/>
      <c r="V1395" s="165" t="s">
        <v>7</v>
      </c>
      <c r="W1395" s="166" t="s">
        <v>15</v>
      </c>
      <c r="X1395" s="5" t="s">
        <v>16</v>
      </c>
      <c r="Y1395" s="5" t="s">
        <v>17</v>
      </c>
      <c r="Z1395" s="5" t="s">
        <v>18</v>
      </c>
      <c r="AA1395" s="377"/>
      <c r="AB1395" s="378" t="s">
        <v>19</v>
      </c>
    </row>
    <row r="1396" spans="1:28" x14ac:dyDescent="0.2">
      <c r="A1396" s="2710"/>
      <c r="B1396" s="2057" t="s">
        <v>23</v>
      </c>
      <c r="C1396" s="2710"/>
      <c r="D1396" s="2057" t="s">
        <v>24</v>
      </c>
      <c r="E1396" s="207" t="s">
        <v>25</v>
      </c>
      <c r="F1396" s="2719"/>
      <c r="G1396" s="2720"/>
      <c r="H1396" s="2721"/>
      <c r="I1396" s="2057" t="s">
        <v>26</v>
      </c>
      <c r="J1396" s="211" t="s">
        <v>15</v>
      </c>
      <c r="K1396" s="2060" t="s">
        <v>6</v>
      </c>
      <c r="L1396" s="2722"/>
      <c r="M1396" s="142" t="s">
        <v>27</v>
      </c>
      <c r="N1396" s="142" t="s">
        <v>10</v>
      </c>
      <c r="O1396" s="212" t="s">
        <v>10</v>
      </c>
      <c r="P1396" s="213" t="s">
        <v>28</v>
      </c>
      <c r="Q1396" s="214" t="s">
        <v>29</v>
      </c>
      <c r="R1396" s="213" t="s">
        <v>15</v>
      </c>
      <c r="S1396" s="8" t="s">
        <v>15</v>
      </c>
      <c r="T1396" s="2726"/>
      <c r="U1396" s="2727"/>
      <c r="V1396" s="165" t="s">
        <v>30</v>
      </c>
      <c r="W1396" s="166" t="s">
        <v>31</v>
      </c>
      <c r="X1396" s="5" t="s">
        <v>30</v>
      </c>
      <c r="Y1396" s="5" t="s">
        <v>32</v>
      </c>
      <c r="Z1396" s="5" t="s">
        <v>7</v>
      </c>
      <c r="AA1396" s="377" t="s">
        <v>33</v>
      </c>
      <c r="AB1396" s="378" t="s">
        <v>34</v>
      </c>
    </row>
    <row r="1397" spans="1:28" x14ac:dyDescent="0.2">
      <c r="A1397" s="2710"/>
      <c r="B1397" s="2057" t="s">
        <v>39</v>
      </c>
      <c r="C1397" s="2710"/>
      <c r="D1397" s="2057" t="s">
        <v>40</v>
      </c>
      <c r="E1397" s="207" t="s">
        <v>41</v>
      </c>
      <c r="F1397" s="2709" t="s">
        <v>42</v>
      </c>
      <c r="G1397" s="2709" t="s">
        <v>43</v>
      </c>
      <c r="H1397" s="2728" t="s">
        <v>44</v>
      </c>
      <c r="I1397" s="2057" t="s">
        <v>45</v>
      </c>
      <c r="J1397" s="211" t="s">
        <v>46</v>
      </c>
      <c r="K1397" s="2060" t="s">
        <v>47</v>
      </c>
      <c r="L1397" s="2722"/>
      <c r="M1397" s="142" t="s">
        <v>30</v>
      </c>
      <c r="N1397" s="142" t="s">
        <v>30</v>
      </c>
      <c r="O1397" s="212" t="s">
        <v>25</v>
      </c>
      <c r="P1397" s="213" t="s">
        <v>30</v>
      </c>
      <c r="Q1397" s="214" t="s">
        <v>48</v>
      </c>
      <c r="R1397" s="213" t="s">
        <v>49</v>
      </c>
      <c r="S1397" s="8" t="s">
        <v>30</v>
      </c>
      <c r="T1397" s="215" t="s">
        <v>50</v>
      </c>
      <c r="U1397" s="2059" t="s">
        <v>13</v>
      </c>
      <c r="V1397" s="165" t="s">
        <v>51</v>
      </c>
      <c r="W1397" s="166" t="s">
        <v>52</v>
      </c>
      <c r="X1397" s="5" t="s">
        <v>53</v>
      </c>
      <c r="Y1397" s="5" t="s">
        <v>54</v>
      </c>
      <c r="Z1397" s="5" t="s">
        <v>55</v>
      </c>
      <c r="AA1397" s="377" t="s">
        <v>56</v>
      </c>
      <c r="AB1397" s="378" t="s">
        <v>57</v>
      </c>
    </row>
    <row r="1398" spans="1:28" x14ac:dyDescent="0.2">
      <c r="A1398" s="2710"/>
      <c r="B1398" s="2057" t="s">
        <v>61</v>
      </c>
      <c r="C1398" s="2710"/>
      <c r="D1398" s="2057" t="s">
        <v>62</v>
      </c>
      <c r="E1398" s="207" t="s">
        <v>63</v>
      </c>
      <c r="F1398" s="2710"/>
      <c r="G1398" s="2710"/>
      <c r="H1398" s="2729"/>
      <c r="I1398" s="2057" t="s">
        <v>64</v>
      </c>
      <c r="J1398" s="211" t="s">
        <v>59</v>
      </c>
      <c r="K1398" s="2060" t="s">
        <v>59</v>
      </c>
      <c r="L1398" s="2722"/>
      <c r="M1398" s="142"/>
      <c r="N1398" s="142"/>
      <c r="O1398" s="212" t="s">
        <v>41</v>
      </c>
      <c r="P1398" s="213" t="s">
        <v>65</v>
      </c>
      <c r="Q1398" s="214" t="s">
        <v>66</v>
      </c>
      <c r="R1398" s="213" t="s">
        <v>67</v>
      </c>
      <c r="S1398" s="8" t="s">
        <v>59</v>
      </c>
      <c r="T1398" s="216" t="s">
        <v>68</v>
      </c>
      <c r="U1398" s="165" t="s">
        <v>14</v>
      </c>
      <c r="V1398" s="165" t="s">
        <v>14</v>
      </c>
      <c r="W1398" s="166" t="s">
        <v>30</v>
      </c>
      <c r="X1398" s="167" t="s">
        <v>69</v>
      </c>
      <c r="Y1398" s="167" t="s">
        <v>70</v>
      </c>
      <c r="Z1398" s="5" t="s">
        <v>71</v>
      </c>
      <c r="AA1398" s="377" t="s">
        <v>72</v>
      </c>
      <c r="AB1398" s="378" t="s">
        <v>59</v>
      </c>
    </row>
    <row r="1399" spans="1:28" x14ac:dyDescent="0.2">
      <c r="A1399" s="2711"/>
      <c r="B1399" s="9"/>
      <c r="C1399" s="2711"/>
      <c r="D1399" s="9"/>
      <c r="E1399" s="2058"/>
      <c r="F1399" s="9"/>
      <c r="G1399" s="9"/>
      <c r="H1399" s="10"/>
      <c r="I1399" s="2058"/>
      <c r="J1399" s="217"/>
      <c r="K1399" s="168"/>
      <c r="L1399" s="2723"/>
      <c r="M1399" s="143"/>
      <c r="N1399" s="143"/>
      <c r="O1399" s="143" t="s">
        <v>63</v>
      </c>
      <c r="P1399" s="218"/>
      <c r="Q1399" s="219" t="s">
        <v>72</v>
      </c>
      <c r="R1399" s="220" t="s">
        <v>59</v>
      </c>
      <c r="S1399" s="169"/>
      <c r="T1399" s="220" t="s">
        <v>73</v>
      </c>
      <c r="U1399" s="169" t="s">
        <v>59</v>
      </c>
      <c r="V1399" s="170" t="s">
        <v>59</v>
      </c>
      <c r="W1399" s="171" t="s">
        <v>59</v>
      </c>
      <c r="X1399" s="172" t="s">
        <v>59</v>
      </c>
      <c r="Y1399" s="172" t="s">
        <v>59</v>
      </c>
      <c r="Z1399" s="172" t="s">
        <v>59</v>
      </c>
      <c r="AA1399" s="402"/>
      <c r="AB1399" s="403"/>
    </row>
    <row r="1400" spans="1:28" x14ac:dyDescent="0.2">
      <c r="A1400" s="53">
        <v>1</v>
      </c>
      <c r="B1400" s="1939">
        <v>78079</v>
      </c>
      <c r="C1400" s="51">
        <v>1913</v>
      </c>
      <c r="D1400" s="51" t="s">
        <v>83</v>
      </c>
      <c r="E1400" s="51">
        <v>4</v>
      </c>
      <c r="F1400" s="51">
        <v>0</v>
      </c>
      <c r="G1400" s="51">
        <v>1</v>
      </c>
      <c r="H1400" s="51">
        <v>0</v>
      </c>
      <c r="I1400" s="70">
        <f>F1400*400+G1400*100+H1400</f>
        <v>100</v>
      </c>
      <c r="J1400" s="71">
        <v>430</v>
      </c>
      <c r="K1400" s="124">
        <f>SUM(I1400*J1400)</f>
        <v>43000</v>
      </c>
      <c r="L1400" s="53"/>
      <c r="M1400" s="51"/>
      <c r="N1400" s="51"/>
      <c r="O1400" s="155"/>
      <c r="P1400" s="824"/>
      <c r="Q1400" s="156"/>
      <c r="R1400" s="157"/>
      <c r="S1400" s="123"/>
      <c r="T1400" s="51"/>
      <c r="U1400" s="125"/>
      <c r="V1400" s="70"/>
      <c r="W1400" s="123">
        <f>K1400+V1400</f>
        <v>43000</v>
      </c>
      <c r="X1400" s="70">
        <f>W1400</f>
        <v>43000</v>
      </c>
      <c r="Y1400" s="71"/>
      <c r="Z1400" s="123">
        <f>+X1400</f>
        <v>43000</v>
      </c>
      <c r="AA1400" s="464">
        <v>0.3</v>
      </c>
      <c r="AB1400" s="465">
        <f>+Z1400*AA1400/100</f>
        <v>129</v>
      </c>
    </row>
    <row r="1401" spans="1:28" x14ac:dyDescent="0.2">
      <c r="A1401" s="52">
        <v>2</v>
      </c>
      <c r="B1401" s="2182">
        <v>78086</v>
      </c>
      <c r="C1401" s="960">
        <v>1920</v>
      </c>
      <c r="D1401" s="54" t="s">
        <v>83</v>
      </c>
      <c r="E1401" s="54">
        <v>4</v>
      </c>
      <c r="F1401" s="54">
        <v>1</v>
      </c>
      <c r="G1401" s="960">
        <v>0</v>
      </c>
      <c r="H1401" s="54">
        <v>10.9</v>
      </c>
      <c r="I1401" s="74">
        <f>F1401*400+G1401*100+H1401</f>
        <v>410.9</v>
      </c>
      <c r="J1401" s="117">
        <v>430</v>
      </c>
      <c r="K1401" s="159">
        <f>SUM(I1401*J1401)</f>
        <v>176687</v>
      </c>
      <c r="L1401" s="75"/>
      <c r="M1401" s="54"/>
      <c r="N1401" s="54"/>
      <c r="O1401" s="119"/>
      <c r="P1401" s="200"/>
      <c r="Q1401" s="134"/>
      <c r="R1401" s="189"/>
      <c r="S1401" s="121"/>
      <c r="T1401" s="54"/>
      <c r="U1401" s="117"/>
      <c r="V1401" s="74"/>
      <c r="W1401" s="121">
        <f>K1401+V1401</f>
        <v>176687</v>
      </c>
      <c r="X1401" s="74">
        <f>W1401</f>
        <v>176687</v>
      </c>
      <c r="Y1401" s="117"/>
      <c r="Z1401" s="121">
        <f>+X1401</f>
        <v>176687</v>
      </c>
      <c r="AA1401" s="414">
        <v>0.3</v>
      </c>
      <c r="AB1401" s="410">
        <f>+Z1401*AA1401/100</f>
        <v>530.06100000000004</v>
      </c>
    </row>
    <row r="1402" spans="1:28" x14ac:dyDescent="0.2">
      <c r="A1402" s="52"/>
      <c r="B1402" s="54"/>
      <c r="C1402" s="961"/>
      <c r="D1402" s="54"/>
      <c r="E1402" s="54"/>
      <c r="F1402" s="54"/>
      <c r="G1402" s="81"/>
      <c r="H1402" s="54"/>
      <c r="I1402" s="74"/>
      <c r="J1402" s="117"/>
      <c r="K1402" s="159"/>
      <c r="L1402" s="52"/>
      <c r="M1402" s="52"/>
      <c r="N1402" s="52"/>
      <c r="O1402" s="52"/>
      <c r="P1402" s="962"/>
      <c r="Q1402" s="963"/>
      <c r="R1402" s="964"/>
      <c r="S1402" s="965"/>
      <c r="T1402" s="966"/>
      <c r="U1402" s="965"/>
      <c r="V1402" s="965"/>
      <c r="W1402" s="121"/>
      <c r="X1402" s="121"/>
      <c r="Y1402" s="117"/>
      <c r="Z1402" s="121"/>
      <c r="AA1402" s="414"/>
      <c r="AB1402" s="410"/>
    </row>
    <row r="1403" spans="1:28" x14ac:dyDescent="0.2">
      <c r="A1403" s="88"/>
      <c r="B1403" s="180"/>
      <c r="C1403" s="180"/>
      <c r="D1403" s="88"/>
      <c r="E1403" s="88"/>
      <c r="F1403" s="88"/>
      <c r="G1403" s="88"/>
      <c r="H1403" s="120"/>
      <c r="I1403" s="121"/>
      <c r="J1403" s="181"/>
      <c r="K1403" s="833"/>
      <c r="L1403" s="88"/>
      <c r="M1403" s="88"/>
      <c r="N1403" s="88"/>
      <c r="O1403" s="88"/>
      <c r="P1403" s="120"/>
      <c r="Q1403" s="129"/>
      <c r="R1403" s="834"/>
      <c r="S1403" s="833"/>
      <c r="T1403" s="182"/>
      <c r="U1403" s="835"/>
      <c r="V1403" s="833"/>
      <c r="W1403" s="833"/>
      <c r="X1403" s="836"/>
      <c r="Y1403" s="836"/>
      <c r="Z1403" s="837"/>
      <c r="AA1403" s="780"/>
      <c r="AB1403" s="410"/>
    </row>
    <row r="1404" spans="1:28" x14ac:dyDescent="0.2">
      <c r="A1404" s="2070"/>
      <c r="B1404" s="177"/>
      <c r="C1404" s="177"/>
      <c r="D1404" s="2070"/>
      <c r="E1404" s="2070"/>
      <c r="F1404" s="2070"/>
      <c r="G1404" s="2070"/>
      <c r="H1404" s="2076"/>
      <c r="I1404" s="2072"/>
      <c r="J1404" s="178"/>
      <c r="K1404" s="826"/>
      <c r="L1404" s="2070"/>
      <c r="M1404" s="2070"/>
      <c r="N1404" s="2070"/>
      <c r="O1404" s="2070"/>
      <c r="P1404" s="2076"/>
      <c r="Q1404" s="2071"/>
      <c r="R1404" s="827"/>
      <c r="S1404" s="826"/>
      <c r="T1404" s="179"/>
      <c r="U1404" s="828"/>
      <c r="V1404" s="826"/>
      <c r="W1404" s="826"/>
      <c r="X1404" s="829"/>
      <c r="Y1404" s="829"/>
      <c r="Z1404" s="830"/>
      <c r="AA1404" s="764"/>
      <c r="AB1404" s="466"/>
    </row>
    <row r="1405" spans="1:28" x14ac:dyDescent="0.2">
      <c r="A1405" s="2070"/>
      <c r="B1405" s="177"/>
      <c r="C1405" s="177"/>
      <c r="D1405" s="2070"/>
      <c r="E1405" s="2070"/>
      <c r="F1405" s="2070"/>
      <c r="G1405" s="2070"/>
      <c r="H1405" s="2076"/>
      <c r="I1405" s="2072"/>
      <c r="J1405" s="178"/>
      <c r="K1405" s="826"/>
      <c r="L1405" s="2070"/>
      <c r="M1405" s="2070"/>
      <c r="N1405" s="2070"/>
      <c r="O1405" s="2070"/>
      <c r="P1405" s="2076"/>
      <c r="Q1405" s="2071"/>
      <c r="R1405" s="827"/>
      <c r="S1405" s="826"/>
      <c r="T1405" s="179"/>
      <c r="U1405" s="828"/>
      <c r="V1405" s="826"/>
      <c r="W1405" s="826"/>
      <c r="X1405" s="829"/>
      <c r="Y1405" s="829"/>
      <c r="Z1405" s="830"/>
      <c r="AA1405" s="764"/>
      <c r="AB1405" s="466"/>
    </row>
    <row r="1406" spans="1:28" x14ac:dyDescent="0.2">
      <c r="A1406" s="2070"/>
      <c r="B1406" s="177"/>
      <c r="C1406" s="177"/>
      <c r="D1406" s="2070"/>
      <c r="E1406" s="2070"/>
      <c r="F1406" s="2070"/>
      <c r="G1406" s="2070"/>
      <c r="H1406" s="2076"/>
      <c r="I1406" s="2072"/>
      <c r="J1406" s="178"/>
      <c r="K1406" s="826"/>
      <c r="L1406" s="2070"/>
      <c r="M1406" s="2070"/>
      <c r="N1406" s="2070"/>
      <c r="O1406" s="2070"/>
      <c r="P1406" s="2076"/>
      <c r="Q1406" s="2071"/>
      <c r="R1406" s="827"/>
      <c r="S1406" s="826"/>
      <c r="T1406" s="179"/>
      <c r="U1406" s="828"/>
      <c r="V1406" s="826"/>
      <c r="W1406" s="826"/>
      <c r="X1406" s="829"/>
      <c r="Y1406" s="829"/>
      <c r="Z1406" s="830"/>
      <c r="AA1406" s="764"/>
      <c r="AB1406" s="466"/>
    </row>
    <row r="1407" spans="1:28" x14ac:dyDescent="0.2">
      <c r="A1407" s="2070"/>
      <c r="B1407" s="177"/>
      <c r="C1407" s="177"/>
      <c r="D1407" s="2070"/>
      <c r="E1407" s="2070"/>
      <c r="F1407" s="2070"/>
      <c r="G1407" s="2070"/>
      <c r="H1407" s="2076"/>
      <c r="I1407" s="2072"/>
      <c r="J1407" s="178"/>
      <c r="K1407" s="826"/>
      <c r="L1407" s="2070"/>
      <c r="M1407" s="2070"/>
      <c r="N1407" s="2070"/>
      <c r="O1407" s="2070"/>
      <c r="P1407" s="2076"/>
      <c r="Q1407" s="2071"/>
      <c r="R1407" s="827"/>
      <c r="S1407" s="826"/>
      <c r="T1407" s="179"/>
      <c r="U1407" s="828"/>
      <c r="V1407" s="826"/>
      <c r="W1407" s="826"/>
      <c r="X1407" s="829"/>
      <c r="Y1407" s="829"/>
      <c r="Z1407" s="830"/>
      <c r="AA1407" s="764"/>
      <c r="AB1407" s="466"/>
    </row>
    <row r="1408" spans="1:28" x14ac:dyDescent="0.2">
      <c r="A1408" s="2070"/>
      <c r="B1408" s="177"/>
      <c r="C1408" s="177"/>
      <c r="D1408" s="2070"/>
      <c r="E1408" s="2070"/>
      <c r="F1408" s="2070"/>
      <c r="G1408" s="2070"/>
      <c r="H1408" s="2076"/>
      <c r="I1408" s="2072"/>
      <c r="J1408" s="178"/>
      <c r="K1408" s="826"/>
      <c r="L1408" s="2070"/>
      <c r="M1408" s="2070"/>
      <c r="N1408" s="2070"/>
      <c r="O1408" s="2070"/>
      <c r="P1408" s="2076"/>
      <c r="Q1408" s="2071"/>
      <c r="R1408" s="827"/>
      <c r="S1408" s="826"/>
      <c r="T1408" s="179"/>
      <c r="U1408" s="828"/>
      <c r="V1408" s="826"/>
      <c r="W1408" s="826"/>
      <c r="X1408" s="829"/>
      <c r="Y1408" s="829"/>
      <c r="Z1408" s="830"/>
      <c r="AA1408" s="764"/>
      <c r="AB1408" s="466"/>
    </row>
    <row r="1409" spans="1:28" x14ac:dyDescent="0.2">
      <c r="A1409" s="2070"/>
      <c r="B1409" s="177"/>
      <c r="C1409" s="177"/>
      <c r="D1409" s="2070"/>
      <c r="E1409" s="2070"/>
      <c r="F1409" s="2070"/>
      <c r="G1409" s="2070"/>
      <c r="H1409" s="2076"/>
      <c r="I1409" s="2072"/>
      <c r="J1409" s="178"/>
      <c r="K1409" s="826"/>
      <c r="L1409" s="2070"/>
      <c r="M1409" s="2070"/>
      <c r="N1409" s="2070"/>
      <c r="O1409" s="2070"/>
      <c r="P1409" s="2076"/>
      <c r="Q1409" s="2071"/>
      <c r="R1409" s="827"/>
      <c r="S1409" s="826"/>
      <c r="T1409" s="179"/>
      <c r="U1409" s="828"/>
      <c r="V1409" s="826"/>
      <c r="W1409" s="826"/>
      <c r="X1409" s="829"/>
      <c r="Y1409" s="829"/>
      <c r="Z1409" s="830"/>
      <c r="AA1409" s="764"/>
      <c r="AB1409" s="466"/>
    </row>
    <row r="1410" spans="1:28" x14ac:dyDescent="0.2">
      <c r="A1410" s="2070"/>
      <c r="B1410" s="177"/>
      <c r="C1410" s="177"/>
      <c r="D1410" s="2070"/>
      <c r="E1410" s="2070"/>
      <c r="F1410" s="2070"/>
      <c r="G1410" s="2070"/>
      <c r="H1410" s="2076"/>
      <c r="I1410" s="2072"/>
      <c r="J1410" s="178"/>
      <c r="K1410" s="826"/>
      <c r="L1410" s="2070"/>
      <c r="M1410" s="2070"/>
      <c r="N1410" s="2070"/>
      <c r="O1410" s="2070"/>
      <c r="P1410" s="2076"/>
      <c r="Q1410" s="2071"/>
      <c r="R1410" s="827"/>
      <c r="S1410" s="826"/>
      <c r="T1410" s="179"/>
      <c r="U1410" s="828"/>
      <c r="V1410" s="826"/>
      <c r="W1410" s="826"/>
      <c r="X1410" s="829"/>
      <c r="Y1410" s="829"/>
      <c r="Z1410" s="830"/>
      <c r="AA1410" s="764"/>
      <c r="AB1410" s="466"/>
    </row>
    <row r="1411" spans="1:28" x14ac:dyDescent="0.2">
      <c r="A1411" s="2070"/>
      <c r="B1411" s="177"/>
      <c r="C1411" s="177"/>
      <c r="D1411" s="2070"/>
      <c r="E1411" s="2070"/>
      <c r="F1411" s="2070"/>
      <c r="G1411" s="2070"/>
      <c r="H1411" s="2076"/>
      <c r="I1411" s="2072"/>
      <c r="J1411" s="178"/>
      <c r="K1411" s="826"/>
      <c r="L1411" s="2070"/>
      <c r="M1411" s="2070"/>
      <c r="N1411" s="2070"/>
      <c r="O1411" s="2070"/>
      <c r="P1411" s="2076"/>
      <c r="Q1411" s="2071"/>
      <c r="R1411" s="827"/>
      <c r="S1411" s="826"/>
      <c r="T1411" s="179"/>
      <c r="U1411" s="828"/>
      <c r="V1411" s="826"/>
      <c r="W1411" s="826"/>
      <c r="X1411" s="829"/>
      <c r="Y1411" s="829"/>
      <c r="Z1411" s="830"/>
      <c r="AA1411" s="764"/>
      <c r="AB1411" s="466"/>
    </row>
    <row r="1412" spans="1:28" x14ac:dyDescent="0.2">
      <c r="A1412" s="2070"/>
      <c r="B1412" s="177"/>
      <c r="C1412" s="177"/>
      <c r="D1412" s="2070"/>
      <c r="E1412" s="2070"/>
      <c r="F1412" s="2070"/>
      <c r="G1412" s="2070"/>
      <c r="H1412" s="2076"/>
      <c r="I1412" s="2072"/>
      <c r="J1412" s="178"/>
      <c r="K1412" s="826"/>
      <c r="L1412" s="2070"/>
      <c r="M1412" s="2070"/>
      <c r="N1412" s="2070"/>
      <c r="O1412" s="2070"/>
      <c r="P1412" s="2076"/>
      <c r="Q1412" s="2071"/>
      <c r="R1412" s="827"/>
      <c r="S1412" s="826"/>
      <c r="T1412" s="179"/>
      <c r="U1412" s="828"/>
      <c r="V1412" s="826"/>
      <c r="W1412" s="826"/>
      <c r="X1412" s="829"/>
      <c r="Y1412" s="829"/>
      <c r="Z1412" s="830"/>
      <c r="AA1412" s="764"/>
      <c r="AB1412" s="466"/>
    </row>
    <row r="1413" spans="1:28" x14ac:dyDescent="0.2">
      <c r="A1413" s="2070"/>
      <c r="B1413" s="177"/>
      <c r="C1413" s="177"/>
      <c r="D1413" s="2070"/>
      <c r="E1413" s="2070"/>
      <c r="F1413" s="2070"/>
      <c r="G1413" s="2070"/>
      <c r="H1413" s="2076"/>
      <c r="I1413" s="2072"/>
      <c r="J1413" s="178"/>
      <c r="K1413" s="826"/>
      <c r="L1413" s="2070"/>
      <c r="M1413" s="2070"/>
      <c r="N1413" s="2070"/>
      <c r="O1413" s="2070"/>
      <c r="P1413" s="2076"/>
      <c r="Q1413" s="2071"/>
      <c r="R1413" s="827"/>
      <c r="S1413" s="826"/>
      <c r="T1413" s="179"/>
      <c r="U1413" s="828"/>
      <c r="V1413" s="826"/>
      <c r="W1413" s="826"/>
      <c r="X1413" s="829"/>
      <c r="Y1413" s="829"/>
      <c r="Z1413" s="830"/>
      <c r="AA1413" s="764"/>
      <c r="AB1413" s="466"/>
    </row>
    <row r="1414" spans="1:28" x14ac:dyDescent="0.2">
      <c r="A1414" s="2070"/>
      <c r="B1414" s="177"/>
      <c r="C1414" s="177"/>
      <c r="D1414" s="2070"/>
      <c r="E1414" s="2070"/>
      <c r="F1414" s="2070"/>
      <c r="G1414" s="2070"/>
      <c r="H1414" s="2076"/>
      <c r="I1414" s="2072"/>
      <c r="J1414" s="178"/>
      <c r="K1414" s="826"/>
      <c r="L1414" s="2070"/>
      <c r="M1414" s="2070"/>
      <c r="N1414" s="2070"/>
      <c r="O1414" s="2070"/>
      <c r="P1414" s="2076"/>
      <c r="Q1414" s="2071"/>
      <c r="R1414" s="827"/>
      <c r="S1414" s="826"/>
      <c r="T1414" s="179"/>
      <c r="U1414" s="828"/>
      <c r="V1414" s="826"/>
      <c r="W1414" s="826"/>
      <c r="X1414" s="829"/>
      <c r="Y1414" s="829"/>
      <c r="Z1414" s="830"/>
      <c r="AA1414" s="764"/>
      <c r="AB1414" s="466"/>
    </row>
    <row r="1415" spans="1:28" x14ac:dyDescent="0.2">
      <c r="A1415" s="88"/>
      <c r="B1415" s="180"/>
      <c r="C1415" s="180"/>
      <c r="D1415" s="88"/>
      <c r="E1415" s="88"/>
      <c r="F1415" s="88"/>
      <c r="G1415" s="88"/>
      <c r="H1415" s="120"/>
      <c r="I1415" s="121"/>
      <c r="J1415" s="181"/>
      <c r="K1415" s="833"/>
      <c r="L1415" s="88"/>
      <c r="M1415" s="88"/>
      <c r="N1415" s="88"/>
      <c r="O1415" s="88"/>
      <c r="P1415" s="88"/>
      <c r="Q1415" s="129"/>
      <c r="R1415" s="834"/>
      <c r="S1415" s="833"/>
      <c r="T1415" s="182"/>
      <c r="U1415" s="835"/>
      <c r="V1415" s="833"/>
      <c r="W1415" s="833"/>
      <c r="X1415" s="836"/>
      <c r="Y1415" s="836"/>
      <c r="Z1415" s="837"/>
      <c r="AA1415" s="780"/>
      <c r="AB1415" s="410"/>
    </row>
    <row r="1416" spans="1:28" x14ac:dyDescent="0.2">
      <c r="A1416" s="1850"/>
      <c r="B1416" s="1850"/>
      <c r="C1416" s="1850"/>
      <c r="D1416" s="1850"/>
      <c r="E1416" s="1850"/>
      <c r="F1416" s="1850"/>
      <c r="G1416" s="1850"/>
      <c r="H1416" s="1851"/>
      <c r="I1416" s="1852"/>
      <c r="J1416" s="1853"/>
      <c r="K1416" s="1929"/>
      <c r="L1416" s="1929"/>
      <c r="M1416" s="1929"/>
      <c r="N1416" s="1929"/>
      <c r="O1416" s="1929"/>
      <c r="P1416" s="1929"/>
      <c r="Q1416" s="1929"/>
      <c r="R1416" s="1930"/>
      <c r="S1416" s="1929"/>
      <c r="T1416" s="1855"/>
      <c r="U1416" s="1931"/>
      <c r="V1416" s="1929"/>
      <c r="W1416" s="1929"/>
      <c r="X1416" s="1932"/>
      <c r="Y1416" s="1932"/>
      <c r="Z1416" s="1933"/>
      <c r="AA1416" s="2173"/>
      <c r="AB1416" s="1847">
        <f>SUM(AB1400:AB1415)</f>
        <v>659.06100000000004</v>
      </c>
    </row>
    <row r="1417" spans="1:28" ht="15.75" x14ac:dyDescent="0.2">
      <c r="A1417" s="2730" t="s">
        <v>76</v>
      </c>
      <c r="B1417" s="2730"/>
      <c r="C1417" s="2731" t="s">
        <v>77</v>
      </c>
      <c r="D1417" s="2731"/>
      <c r="E1417" s="2731"/>
      <c r="F1417" s="2731"/>
      <c r="G1417" s="2731"/>
      <c r="H1417" s="2731"/>
      <c r="I1417" s="843" t="s">
        <v>78</v>
      </c>
      <c r="J1417" s="843"/>
      <c r="K1417" s="843"/>
      <c r="L1417" s="843"/>
      <c r="M1417" s="843"/>
      <c r="N1417" s="843"/>
      <c r="O1417" s="844"/>
      <c r="P1417" s="844"/>
      <c r="Q1417" s="844"/>
      <c r="R1417" s="844"/>
      <c r="S1417" s="844"/>
      <c r="T1417" s="844"/>
      <c r="U1417" s="844"/>
      <c r="V1417" s="844"/>
      <c r="W1417" s="844"/>
      <c r="X1417" s="844"/>
      <c r="Y1417" s="844"/>
      <c r="Z1417" s="844"/>
      <c r="AA1417" s="968"/>
      <c r="AB1417" s="845"/>
    </row>
    <row r="1418" spans="1:28" ht="15.75" x14ac:dyDescent="0.2">
      <c r="A1418" s="843"/>
      <c r="B1418" s="846"/>
      <c r="C1418" s="843"/>
      <c r="D1418" s="843"/>
      <c r="E1418" s="843"/>
      <c r="F1418" s="843"/>
      <c r="G1418" s="843"/>
      <c r="H1418" s="843"/>
      <c r="I1418" s="843" t="s">
        <v>79</v>
      </c>
      <c r="J1418" s="843"/>
      <c r="K1418" s="843"/>
      <c r="L1418" s="843"/>
      <c r="M1418" s="843"/>
      <c r="N1418" s="843"/>
      <c r="O1418" s="844"/>
      <c r="P1418" s="844"/>
      <c r="Q1418" s="844"/>
      <c r="R1418" s="844"/>
      <c r="S1418" s="844"/>
      <c r="T1418" s="844"/>
      <c r="U1418" s="844"/>
      <c r="V1418" s="844"/>
      <c r="W1418" s="844"/>
      <c r="X1418" s="844"/>
      <c r="Y1418" s="844"/>
      <c r="Z1418" s="844"/>
      <c r="AA1418" s="968"/>
      <c r="AB1418" s="845"/>
    </row>
    <row r="1419" spans="1:28" ht="15.75" x14ac:dyDescent="0.2">
      <c r="A1419" s="843"/>
      <c r="B1419" s="846"/>
      <c r="C1419" s="843"/>
      <c r="D1419" s="843"/>
      <c r="E1419" s="843"/>
      <c r="F1419" s="843"/>
      <c r="G1419" s="843"/>
      <c r="H1419" s="843"/>
      <c r="I1419" s="843" t="s">
        <v>80</v>
      </c>
      <c r="J1419" s="843"/>
      <c r="K1419" s="843"/>
      <c r="L1419" s="843"/>
      <c r="M1419" s="843"/>
      <c r="N1419" s="843"/>
      <c r="O1419" s="844"/>
      <c r="P1419" s="844"/>
      <c r="Q1419" s="844"/>
      <c r="R1419" s="844"/>
      <c r="S1419" s="844"/>
      <c r="T1419" s="844"/>
      <c r="U1419" s="844"/>
      <c r="V1419" s="844"/>
      <c r="W1419" s="844"/>
      <c r="X1419" s="844"/>
      <c r="Y1419" s="844"/>
      <c r="Z1419" s="844"/>
      <c r="AA1419" s="968"/>
      <c r="AB1419" s="845"/>
    </row>
    <row r="1420" spans="1:28" ht="15.75" x14ac:dyDescent="0.2">
      <c r="A1420" s="843"/>
      <c r="B1420" s="846"/>
      <c r="C1420" s="843"/>
      <c r="D1420" s="843"/>
      <c r="E1420" s="843"/>
      <c r="F1420" s="843"/>
      <c r="G1420" s="843"/>
      <c r="H1420" s="843"/>
      <c r="I1420" s="843" t="s">
        <v>81</v>
      </c>
      <c r="J1420" s="843"/>
      <c r="K1420" s="843"/>
      <c r="L1420" s="843"/>
      <c r="M1420" s="843"/>
      <c r="N1420" s="843"/>
      <c r="O1420" s="844"/>
      <c r="P1420" s="844"/>
      <c r="Q1420" s="844"/>
      <c r="R1420" s="844"/>
      <c r="S1420" s="844"/>
      <c r="T1420" s="844"/>
      <c r="U1420" s="844"/>
      <c r="V1420" s="844"/>
      <c r="W1420" s="844"/>
      <c r="X1420" s="844"/>
      <c r="Y1420" s="844"/>
      <c r="Z1420" s="844"/>
      <c r="AA1420" s="968"/>
      <c r="AB1420" s="845"/>
    </row>
    <row r="1421" spans="1:28" ht="15.75" x14ac:dyDescent="0.2">
      <c r="A1421" s="843"/>
      <c r="B1421" s="846"/>
      <c r="C1421" s="843"/>
      <c r="D1421" s="843"/>
      <c r="E1421" s="843"/>
      <c r="F1421" s="843"/>
      <c r="G1421" s="843"/>
      <c r="H1421" s="843"/>
      <c r="I1421" s="843" t="s">
        <v>88</v>
      </c>
      <c r="J1421" s="843"/>
      <c r="K1421" s="843"/>
      <c r="L1421" s="843"/>
      <c r="M1421" s="843"/>
      <c r="N1421" s="843"/>
      <c r="O1421" s="844"/>
      <c r="P1421" s="844"/>
      <c r="Q1421" s="844"/>
      <c r="R1421" s="844"/>
      <c r="S1421" s="844"/>
      <c r="T1421" s="844"/>
      <c r="U1421" s="844"/>
      <c r="V1421" s="844"/>
      <c r="W1421" s="844"/>
      <c r="X1421" s="844"/>
      <c r="Y1421" s="844"/>
      <c r="Z1421" s="844"/>
      <c r="AA1421" s="968"/>
      <c r="AB1421" s="845"/>
    </row>
    <row r="1422" spans="1:28" ht="18.75" x14ac:dyDescent="0.2">
      <c r="A1422" s="822"/>
      <c r="B1422" s="822"/>
      <c r="C1422" s="822"/>
      <c r="D1422" s="822"/>
      <c r="E1422" s="822"/>
      <c r="F1422" s="822"/>
      <c r="G1422" s="822"/>
      <c r="H1422" s="822"/>
      <c r="I1422" s="822"/>
      <c r="J1422" s="822"/>
      <c r="K1422" s="822"/>
      <c r="L1422" s="822"/>
      <c r="M1422" s="822"/>
      <c r="N1422" s="822"/>
      <c r="O1422" s="822"/>
      <c r="P1422" s="822"/>
      <c r="Q1422" s="822"/>
      <c r="R1422" s="822"/>
      <c r="S1422" s="822"/>
      <c r="T1422" s="822"/>
      <c r="U1422" s="822"/>
      <c r="V1422" s="822"/>
      <c r="W1422" s="822"/>
      <c r="X1422" s="822"/>
      <c r="Y1422" s="822"/>
      <c r="Z1422" s="822"/>
      <c r="AA1422" s="2739" t="s">
        <v>0</v>
      </c>
      <c r="AB1422" s="2739"/>
    </row>
    <row r="1423" spans="1:28" ht="18.75" x14ac:dyDescent="0.2">
      <c r="A1423" s="2707" t="s">
        <v>1</v>
      </c>
      <c r="B1423" s="2707"/>
      <c r="C1423" s="2707"/>
      <c r="D1423" s="2707"/>
      <c r="E1423" s="2707"/>
      <c r="F1423" s="2707"/>
      <c r="G1423" s="2707"/>
      <c r="H1423" s="2707"/>
      <c r="I1423" s="2707"/>
      <c r="J1423" s="2707"/>
      <c r="K1423" s="2707"/>
      <c r="L1423" s="2707"/>
      <c r="M1423" s="2707"/>
      <c r="N1423" s="2707"/>
      <c r="O1423" s="2707"/>
      <c r="P1423" s="2707"/>
      <c r="Q1423" s="2707"/>
      <c r="R1423" s="2707"/>
      <c r="S1423" s="2707"/>
      <c r="T1423" s="2707"/>
      <c r="U1423" s="2707"/>
      <c r="V1423" s="2707"/>
      <c r="W1423" s="2707"/>
      <c r="X1423" s="2707"/>
      <c r="Y1423" s="2707"/>
      <c r="Z1423" s="2707"/>
      <c r="AA1423" s="2707"/>
      <c r="AB1423" s="2707"/>
    </row>
    <row r="1424" spans="1:28" ht="18.75" x14ac:dyDescent="0.2">
      <c r="A1424" s="2708" t="s">
        <v>590</v>
      </c>
      <c r="B1424" s="2708"/>
      <c r="C1424" s="2708"/>
      <c r="D1424" s="2708"/>
      <c r="E1424" s="2708"/>
      <c r="F1424" s="2708"/>
      <c r="G1424" s="2708"/>
      <c r="H1424" s="2708"/>
      <c r="I1424" s="2708"/>
      <c r="J1424" s="2708"/>
      <c r="K1424" s="2708"/>
      <c r="L1424" s="2708"/>
      <c r="M1424" s="2708"/>
      <c r="N1424" s="2708"/>
      <c r="O1424" s="2708"/>
      <c r="P1424" s="2708"/>
      <c r="Q1424" s="2708"/>
      <c r="R1424" s="2708"/>
      <c r="S1424" s="2708"/>
      <c r="T1424" s="2708"/>
      <c r="U1424" s="2708"/>
      <c r="V1424" s="2708"/>
      <c r="W1424" s="2708"/>
      <c r="X1424" s="2708"/>
      <c r="Y1424" s="2708"/>
      <c r="Z1424" s="2708"/>
      <c r="AA1424" s="2708"/>
      <c r="AB1424" s="2708"/>
    </row>
    <row r="1425" spans="1:28" x14ac:dyDescent="0.2">
      <c r="A1425" s="2709" t="s">
        <v>2</v>
      </c>
      <c r="B1425" s="160"/>
      <c r="C1425" s="2709" t="s">
        <v>3</v>
      </c>
      <c r="D1425" s="160"/>
      <c r="E1425" s="160"/>
      <c r="F1425" s="2712" t="s">
        <v>4</v>
      </c>
      <c r="G1425" s="2712"/>
      <c r="H1425" s="2712"/>
      <c r="I1425" s="2713"/>
      <c r="J1425" s="2713"/>
      <c r="K1425" s="2714"/>
      <c r="L1425" s="2"/>
      <c r="M1425" s="2715" t="s">
        <v>5</v>
      </c>
      <c r="N1425" s="2715"/>
      <c r="O1425" s="2715"/>
      <c r="P1425" s="2715"/>
      <c r="Q1425" s="2716"/>
      <c r="R1425" s="2716"/>
      <c r="S1425" s="2716"/>
      <c r="T1425" s="2716"/>
      <c r="U1425" s="2716"/>
      <c r="V1425" s="2717"/>
      <c r="W1425" s="161" t="s">
        <v>6</v>
      </c>
      <c r="X1425" s="162" t="s">
        <v>7</v>
      </c>
      <c r="Y1425" s="163"/>
      <c r="Z1425" s="163"/>
      <c r="AA1425" s="162"/>
      <c r="AB1425" s="206"/>
    </row>
    <row r="1426" spans="1:28" x14ac:dyDescent="0.2">
      <c r="A1426" s="2710"/>
      <c r="B1426" s="4"/>
      <c r="C1426" s="2710"/>
      <c r="D1426" s="2057" t="s">
        <v>9</v>
      </c>
      <c r="E1426" s="207" t="s">
        <v>10</v>
      </c>
      <c r="F1426" s="2718" t="s">
        <v>11</v>
      </c>
      <c r="G1426" s="2713"/>
      <c r="H1426" s="2714"/>
      <c r="I1426" s="160"/>
      <c r="J1426" s="208" t="s">
        <v>12</v>
      </c>
      <c r="K1426" s="160"/>
      <c r="L1426" s="2715" t="s">
        <v>2</v>
      </c>
      <c r="M1426" s="141"/>
      <c r="N1426" s="141"/>
      <c r="O1426" s="141"/>
      <c r="P1426" s="164"/>
      <c r="Q1426" s="209" t="s">
        <v>13</v>
      </c>
      <c r="R1426" s="210" t="s">
        <v>12</v>
      </c>
      <c r="S1426" s="141" t="s">
        <v>6</v>
      </c>
      <c r="T1426" s="2724" t="s">
        <v>14</v>
      </c>
      <c r="U1426" s="2725"/>
      <c r="V1426" s="165" t="s">
        <v>7</v>
      </c>
      <c r="W1426" s="166" t="s">
        <v>15</v>
      </c>
      <c r="X1426" s="5" t="s">
        <v>16</v>
      </c>
      <c r="Y1426" s="5" t="s">
        <v>17</v>
      </c>
      <c r="Z1426" s="5" t="s">
        <v>18</v>
      </c>
      <c r="AA1426" s="377"/>
      <c r="AB1426" s="378" t="s">
        <v>19</v>
      </c>
    </row>
    <row r="1427" spans="1:28" x14ac:dyDescent="0.2">
      <c r="A1427" s="2710"/>
      <c r="B1427" s="2057" t="s">
        <v>23</v>
      </c>
      <c r="C1427" s="2710"/>
      <c r="D1427" s="2057" t="s">
        <v>24</v>
      </c>
      <c r="E1427" s="207" t="s">
        <v>25</v>
      </c>
      <c r="F1427" s="2719"/>
      <c r="G1427" s="2720"/>
      <c r="H1427" s="2721"/>
      <c r="I1427" s="2057" t="s">
        <v>26</v>
      </c>
      <c r="J1427" s="211" t="s">
        <v>15</v>
      </c>
      <c r="K1427" s="2060" t="s">
        <v>6</v>
      </c>
      <c r="L1427" s="2722"/>
      <c r="M1427" s="142" t="s">
        <v>27</v>
      </c>
      <c r="N1427" s="142" t="s">
        <v>10</v>
      </c>
      <c r="O1427" s="212" t="s">
        <v>10</v>
      </c>
      <c r="P1427" s="213" t="s">
        <v>28</v>
      </c>
      <c r="Q1427" s="214" t="s">
        <v>29</v>
      </c>
      <c r="R1427" s="213" t="s">
        <v>15</v>
      </c>
      <c r="S1427" s="8" t="s">
        <v>15</v>
      </c>
      <c r="T1427" s="2726"/>
      <c r="U1427" s="2727"/>
      <c r="V1427" s="165" t="s">
        <v>30</v>
      </c>
      <c r="W1427" s="166" t="s">
        <v>31</v>
      </c>
      <c r="X1427" s="5" t="s">
        <v>30</v>
      </c>
      <c r="Y1427" s="5" t="s">
        <v>32</v>
      </c>
      <c r="Z1427" s="5" t="s">
        <v>7</v>
      </c>
      <c r="AA1427" s="377" t="s">
        <v>33</v>
      </c>
      <c r="AB1427" s="378" t="s">
        <v>34</v>
      </c>
    </row>
    <row r="1428" spans="1:28" x14ac:dyDescent="0.2">
      <c r="A1428" s="2710"/>
      <c r="B1428" s="2057" t="s">
        <v>39</v>
      </c>
      <c r="C1428" s="2710"/>
      <c r="D1428" s="2057" t="s">
        <v>40</v>
      </c>
      <c r="E1428" s="207" t="s">
        <v>41</v>
      </c>
      <c r="F1428" s="2709" t="s">
        <v>42</v>
      </c>
      <c r="G1428" s="2709" t="s">
        <v>43</v>
      </c>
      <c r="H1428" s="2728" t="s">
        <v>44</v>
      </c>
      <c r="I1428" s="2057" t="s">
        <v>45</v>
      </c>
      <c r="J1428" s="211" t="s">
        <v>46</v>
      </c>
      <c r="K1428" s="2060" t="s">
        <v>47</v>
      </c>
      <c r="L1428" s="2722"/>
      <c r="M1428" s="142" t="s">
        <v>30</v>
      </c>
      <c r="N1428" s="142" t="s">
        <v>30</v>
      </c>
      <c r="O1428" s="212" t="s">
        <v>25</v>
      </c>
      <c r="P1428" s="213" t="s">
        <v>30</v>
      </c>
      <c r="Q1428" s="214" t="s">
        <v>48</v>
      </c>
      <c r="R1428" s="213" t="s">
        <v>49</v>
      </c>
      <c r="S1428" s="8" t="s">
        <v>30</v>
      </c>
      <c r="T1428" s="215" t="s">
        <v>50</v>
      </c>
      <c r="U1428" s="2059" t="s">
        <v>13</v>
      </c>
      <c r="V1428" s="165" t="s">
        <v>51</v>
      </c>
      <c r="W1428" s="166" t="s">
        <v>52</v>
      </c>
      <c r="X1428" s="5" t="s">
        <v>53</v>
      </c>
      <c r="Y1428" s="5" t="s">
        <v>54</v>
      </c>
      <c r="Z1428" s="5" t="s">
        <v>55</v>
      </c>
      <c r="AA1428" s="377" t="s">
        <v>56</v>
      </c>
      <c r="AB1428" s="378" t="s">
        <v>57</v>
      </c>
    </row>
    <row r="1429" spans="1:28" x14ac:dyDescent="0.2">
      <c r="A1429" s="2710"/>
      <c r="B1429" s="2057" t="s">
        <v>61</v>
      </c>
      <c r="C1429" s="2710"/>
      <c r="D1429" s="2057" t="s">
        <v>62</v>
      </c>
      <c r="E1429" s="207" t="s">
        <v>63</v>
      </c>
      <c r="F1429" s="2710"/>
      <c r="G1429" s="2710"/>
      <c r="H1429" s="2729"/>
      <c r="I1429" s="2057" t="s">
        <v>64</v>
      </c>
      <c r="J1429" s="211" t="s">
        <v>59</v>
      </c>
      <c r="K1429" s="2060" t="s">
        <v>59</v>
      </c>
      <c r="L1429" s="2722"/>
      <c r="M1429" s="142"/>
      <c r="N1429" s="142"/>
      <c r="O1429" s="212" t="s">
        <v>41</v>
      </c>
      <c r="P1429" s="213" t="s">
        <v>65</v>
      </c>
      <c r="Q1429" s="214" t="s">
        <v>66</v>
      </c>
      <c r="R1429" s="213" t="s">
        <v>67</v>
      </c>
      <c r="S1429" s="8" t="s">
        <v>59</v>
      </c>
      <c r="T1429" s="216" t="s">
        <v>68</v>
      </c>
      <c r="U1429" s="165" t="s">
        <v>14</v>
      </c>
      <c r="V1429" s="165" t="s">
        <v>14</v>
      </c>
      <c r="W1429" s="166" t="s">
        <v>30</v>
      </c>
      <c r="X1429" s="167" t="s">
        <v>69</v>
      </c>
      <c r="Y1429" s="167" t="s">
        <v>70</v>
      </c>
      <c r="Z1429" s="5" t="s">
        <v>71</v>
      </c>
      <c r="AA1429" s="377" t="s">
        <v>72</v>
      </c>
      <c r="AB1429" s="378" t="s">
        <v>59</v>
      </c>
    </row>
    <row r="1430" spans="1:28" x14ac:dyDescent="0.2">
      <c r="A1430" s="2711"/>
      <c r="B1430" s="9"/>
      <c r="C1430" s="2711"/>
      <c r="D1430" s="9"/>
      <c r="E1430" s="2058"/>
      <c r="F1430" s="9"/>
      <c r="G1430" s="9"/>
      <c r="H1430" s="10"/>
      <c r="I1430" s="2058"/>
      <c r="J1430" s="217"/>
      <c r="K1430" s="168"/>
      <c r="L1430" s="2723"/>
      <c r="M1430" s="143"/>
      <c r="N1430" s="143"/>
      <c r="O1430" s="143" t="s">
        <v>63</v>
      </c>
      <c r="P1430" s="218"/>
      <c r="Q1430" s="219" t="s">
        <v>72</v>
      </c>
      <c r="R1430" s="220" t="s">
        <v>59</v>
      </c>
      <c r="S1430" s="169"/>
      <c r="T1430" s="220" t="s">
        <v>73</v>
      </c>
      <c r="U1430" s="169" t="s">
        <v>59</v>
      </c>
      <c r="V1430" s="170" t="s">
        <v>59</v>
      </c>
      <c r="W1430" s="171" t="s">
        <v>59</v>
      </c>
      <c r="X1430" s="172" t="s">
        <v>59</v>
      </c>
      <c r="Y1430" s="172" t="s">
        <v>59</v>
      </c>
      <c r="Z1430" s="172" t="s">
        <v>59</v>
      </c>
      <c r="AA1430" s="402"/>
      <c r="AB1430" s="403"/>
    </row>
    <row r="1431" spans="1:28" x14ac:dyDescent="0.2">
      <c r="A1431" s="53">
        <v>1</v>
      </c>
      <c r="B1431" s="2172">
        <v>78084</v>
      </c>
      <c r="C1431" s="959">
        <v>1918</v>
      </c>
      <c r="D1431" s="51" t="s">
        <v>83</v>
      </c>
      <c r="E1431" s="959">
        <v>4</v>
      </c>
      <c r="F1431" s="51">
        <v>0</v>
      </c>
      <c r="G1431" s="51">
        <v>1</v>
      </c>
      <c r="H1431" s="51">
        <v>50</v>
      </c>
      <c r="I1431" s="70">
        <f>F1431*400+G1431*100+H1431</f>
        <v>150</v>
      </c>
      <c r="J1431" s="71">
        <v>430</v>
      </c>
      <c r="K1431" s="78">
        <f>SUM(I1431*J1431)</f>
        <v>64500</v>
      </c>
      <c r="L1431" s="75"/>
      <c r="M1431" s="51"/>
      <c r="N1431" s="51"/>
      <c r="O1431" s="155"/>
      <c r="P1431" s="824"/>
      <c r="Q1431" s="156"/>
      <c r="R1431" s="157"/>
      <c r="S1431" s="123"/>
      <c r="T1431" s="51"/>
      <c r="U1431" s="204"/>
      <c r="V1431" s="70"/>
      <c r="W1431" s="123">
        <f>K1431+V1431</f>
        <v>64500</v>
      </c>
      <c r="X1431" s="70">
        <f>W1431</f>
        <v>64500</v>
      </c>
      <c r="Y1431" s="71"/>
      <c r="Z1431" s="123">
        <f>+X1431</f>
        <v>64500</v>
      </c>
      <c r="AA1431" s="2074">
        <v>0.3</v>
      </c>
      <c r="AB1431" s="406">
        <f>+Z1431*AA1431/100</f>
        <v>193.5</v>
      </c>
    </row>
    <row r="1432" spans="1:28" x14ac:dyDescent="0.2">
      <c r="A1432" s="52"/>
      <c r="B1432" s="54"/>
      <c r="C1432" s="960"/>
      <c r="D1432" s="54"/>
      <c r="E1432" s="115"/>
      <c r="F1432" s="54"/>
      <c r="G1432" s="960"/>
      <c r="H1432" s="54"/>
      <c r="I1432" s="121"/>
      <c r="J1432" s="108"/>
      <c r="K1432" s="78"/>
      <c r="L1432" s="75"/>
      <c r="M1432" s="105"/>
      <c r="N1432" s="105"/>
      <c r="O1432" s="113"/>
      <c r="P1432" s="131"/>
      <c r="Q1432" s="132"/>
      <c r="R1432" s="133"/>
      <c r="S1432" s="2072"/>
      <c r="T1432" s="105"/>
      <c r="U1432" s="117"/>
      <c r="V1432" s="77"/>
      <c r="W1432" s="121"/>
      <c r="X1432" s="74"/>
      <c r="Y1432" s="117"/>
      <c r="Z1432" s="121"/>
      <c r="AA1432" s="2074"/>
      <c r="AB1432" s="410"/>
    </row>
    <row r="1433" spans="1:28" x14ac:dyDescent="0.2">
      <c r="A1433" s="52"/>
      <c r="B1433" s="54"/>
      <c r="C1433" s="961"/>
      <c r="D1433" s="105"/>
      <c r="E1433" s="115"/>
      <c r="F1433" s="54"/>
      <c r="G1433" s="81"/>
      <c r="H1433" s="54"/>
      <c r="I1433" s="77"/>
      <c r="J1433" s="108"/>
      <c r="K1433" s="78"/>
      <c r="L1433" s="52"/>
      <c r="M1433" s="52"/>
      <c r="N1433" s="52"/>
      <c r="O1433" s="52"/>
      <c r="P1433" s="962"/>
      <c r="Q1433" s="963"/>
      <c r="R1433" s="964"/>
      <c r="S1433" s="965"/>
      <c r="T1433" s="966"/>
      <c r="U1433" s="965"/>
      <c r="V1433" s="965"/>
      <c r="W1433" s="2072"/>
      <c r="X1433" s="121"/>
      <c r="Y1433" s="108"/>
      <c r="Z1433" s="2072"/>
      <c r="AA1433" s="2074"/>
      <c r="AB1433" s="466"/>
    </row>
    <row r="1434" spans="1:28" x14ac:dyDescent="0.2">
      <c r="A1434" s="2070"/>
      <c r="B1434" s="177"/>
      <c r="C1434" s="177"/>
      <c r="D1434" s="2070"/>
      <c r="E1434" s="2070"/>
      <c r="F1434" s="2070"/>
      <c r="G1434" s="2070"/>
      <c r="H1434" s="2076"/>
      <c r="I1434" s="2072"/>
      <c r="J1434" s="178"/>
      <c r="K1434" s="826"/>
      <c r="L1434" s="2070"/>
      <c r="M1434" s="2070"/>
      <c r="N1434" s="2070"/>
      <c r="O1434" s="2070"/>
      <c r="P1434" s="2076"/>
      <c r="Q1434" s="2071"/>
      <c r="R1434" s="827"/>
      <c r="S1434" s="826"/>
      <c r="T1434" s="179"/>
      <c r="U1434" s="828"/>
      <c r="V1434" s="826"/>
      <c r="W1434" s="826"/>
      <c r="X1434" s="829"/>
      <c r="Y1434" s="829"/>
      <c r="Z1434" s="830"/>
      <c r="AA1434" s="764"/>
      <c r="AB1434" s="466"/>
    </row>
    <row r="1435" spans="1:28" x14ac:dyDescent="0.2">
      <c r="A1435" s="2070"/>
      <c r="B1435" s="177"/>
      <c r="C1435" s="177"/>
      <c r="D1435" s="2070"/>
      <c r="E1435" s="2070"/>
      <c r="F1435" s="2070"/>
      <c r="G1435" s="2070"/>
      <c r="H1435" s="2076"/>
      <c r="I1435" s="2072"/>
      <c r="J1435" s="178"/>
      <c r="K1435" s="826"/>
      <c r="L1435" s="2070"/>
      <c r="M1435" s="2070"/>
      <c r="N1435" s="2070"/>
      <c r="O1435" s="2070"/>
      <c r="P1435" s="2076"/>
      <c r="Q1435" s="2071"/>
      <c r="R1435" s="827"/>
      <c r="S1435" s="826"/>
      <c r="T1435" s="179"/>
      <c r="U1435" s="828"/>
      <c r="V1435" s="826"/>
      <c r="W1435" s="826"/>
      <c r="X1435" s="829"/>
      <c r="Y1435" s="829"/>
      <c r="Z1435" s="830"/>
      <c r="AA1435" s="764"/>
      <c r="AB1435" s="466"/>
    </row>
    <row r="1436" spans="1:28" x14ac:dyDescent="0.2">
      <c r="A1436" s="2070"/>
      <c r="B1436" s="177"/>
      <c r="C1436" s="177"/>
      <c r="D1436" s="2070"/>
      <c r="E1436" s="2070"/>
      <c r="F1436" s="2070"/>
      <c r="G1436" s="2070"/>
      <c r="H1436" s="2076"/>
      <c r="I1436" s="2072"/>
      <c r="J1436" s="178"/>
      <c r="K1436" s="826"/>
      <c r="L1436" s="2070"/>
      <c r="M1436" s="2070"/>
      <c r="N1436" s="2070"/>
      <c r="O1436" s="2070"/>
      <c r="P1436" s="2076"/>
      <c r="Q1436" s="2071"/>
      <c r="R1436" s="827"/>
      <c r="S1436" s="826"/>
      <c r="T1436" s="179"/>
      <c r="U1436" s="828"/>
      <c r="V1436" s="826"/>
      <c r="W1436" s="826"/>
      <c r="X1436" s="829"/>
      <c r="Y1436" s="829"/>
      <c r="Z1436" s="830"/>
      <c r="AA1436" s="764"/>
      <c r="AB1436" s="466"/>
    </row>
    <row r="1437" spans="1:28" x14ac:dyDescent="0.2">
      <c r="A1437" s="2070"/>
      <c r="B1437" s="177"/>
      <c r="C1437" s="177"/>
      <c r="D1437" s="2070"/>
      <c r="E1437" s="2070"/>
      <c r="F1437" s="2070"/>
      <c r="G1437" s="2070"/>
      <c r="H1437" s="2076"/>
      <c r="I1437" s="2072"/>
      <c r="J1437" s="178"/>
      <c r="K1437" s="826"/>
      <c r="L1437" s="2070"/>
      <c r="M1437" s="2070"/>
      <c r="N1437" s="2070"/>
      <c r="O1437" s="2070"/>
      <c r="P1437" s="2076"/>
      <c r="Q1437" s="2071"/>
      <c r="R1437" s="827"/>
      <c r="S1437" s="826"/>
      <c r="T1437" s="179"/>
      <c r="U1437" s="828"/>
      <c r="V1437" s="826"/>
      <c r="W1437" s="826"/>
      <c r="X1437" s="829"/>
      <c r="Y1437" s="829"/>
      <c r="Z1437" s="830"/>
      <c r="AA1437" s="764"/>
      <c r="AB1437" s="466"/>
    </row>
    <row r="1438" spans="1:28" x14ac:dyDescent="0.2">
      <c r="A1438" s="2070"/>
      <c r="B1438" s="177"/>
      <c r="C1438" s="177"/>
      <c r="D1438" s="2070"/>
      <c r="E1438" s="2070"/>
      <c r="F1438" s="2070"/>
      <c r="G1438" s="2070"/>
      <c r="H1438" s="2076"/>
      <c r="I1438" s="2072"/>
      <c r="J1438" s="178"/>
      <c r="K1438" s="826"/>
      <c r="L1438" s="2070"/>
      <c r="M1438" s="2070"/>
      <c r="N1438" s="2070"/>
      <c r="O1438" s="2070"/>
      <c r="P1438" s="2076"/>
      <c r="Q1438" s="2071"/>
      <c r="R1438" s="827"/>
      <c r="S1438" s="826"/>
      <c r="T1438" s="179"/>
      <c r="U1438" s="828"/>
      <c r="V1438" s="826"/>
      <c r="W1438" s="826"/>
      <c r="X1438" s="829"/>
      <c r="Y1438" s="829"/>
      <c r="Z1438" s="830"/>
      <c r="AA1438" s="764"/>
      <c r="AB1438" s="466"/>
    </row>
    <row r="1439" spans="1:28" x14ac:dyDescent="0.2">
      <c r="A1439" s="2070"/>
      <c r="B1439" s="177"/>
      <c r="C1439" s="177"/>
      <c r="D1439" s="2070"/>
      <c r="E1439" s="2070"/>
      <c r="F1439" s="2070"/>
      <c r="G1439" s="2070"/>
      <c r="H1439" s="2076"/>
      <c r="I1439" s="2072"/>
      <c r="J1439" s="178"/>
      <c r="K1439" s="826"/>
      <c r="L1439" s="2070"/>
      <c r="M1439" s="2070"/>
      <c r="N1439" s="2070"/>
      <c r="O1439" s="2070"/>
      <c r="P1439" s="2076"/>
      <c r="Q1439" s="2071"/>
      <c r="R1439" s="827"/>
      <c r="S1439" s="826"/>
      <c r="T1439" s="179"/>
      <c r="U1439" s="828"/>
      <c r="V1439" s="826"/>
      <c r="W1439" s="826"/>
      <c r="X1439" s="829"/>
      <c r="Y1439" s="829"/>
      <c r="Z1439" s="830"/>
      <c r="AA1439" s="764"/>
      <c r="AB1439" s="466"/>
    </row>
    <row r="1440" spans="1:28" x14ac:dyDescent="0.2">
      <c r="A1440" s="2070"/>
      <c r="B1440" s="177"/>
      <c r="C1440" s="177"/>
      <c r="D1440" s="2070"/>
      <c r="E1440" s="2070"/>
      <c r="F1440" s="2070"/>
      <c r="G1440" s="2070"/>
      <c r="H1440" s="2076"/>
      <c r="I1440" s="2072"/>
      <c r="J1440" s="178"/>
      <c r="K1440" s="826"/>
      <c r="L1440" s="2070"/>
      <c r="M1440" s="2070"/>
      <c r="N1440" s="2070"/>
      <c r="O1440" s="2070"/>
      <c r="P1440" s="2076"/>
      <c r="Q1440" s="2071"/>
      <c r="R1440" s="827"/>
      <c r="S1440" s="826"/>
      <c r="T1440" s="179"/>
      <c r="U1440" s="828"/>
      <c r="V1440" s="826"/>
      <c r="W1440" s="826"/>
      <c r="X1440" s="829"/>
      <c r="Y1440" s="829"/>
      <c r="Z1440" s="830"/>
      <c r="AA1440" s="764"/>
      <c r="AB1440" s="466"/>
    </row>
    <row r="1441" spans="1:28" x14ac:dyDescent="0.2">
      <c r="A1441" s="2070"/>
      <c r="B1441" s="177"/>
      <c r="C1441" s="177"/>
      <c r="D1441" s="2070"/>
      <c r="E1441" s="2070"/>
      <c r="F1441" s="2070"/>
      <c r="G1441" s="2070"/>
      <c r="H1441" s="2076"/>
      <c r="I1441" s="2072"/>
      <c r="J1441" s="178"/>
      <c r="K1441" s="826"/>
      <c r="L1441" s="2070"/>
      <c r="M1441" s="2070"/>
      <c r="N1441" s="2070"/>
      <c r="O1441" s="2070"/>
      <c r="P1441" s="2076"/>
      <c r="Q1441" s="2071"/>
      <c r="R1441" s="827"/>
      <c r="S1441" s="826"/>
      <c r="T1441" s="179"/>
      <c r="U1441" s="828"/>
      <c r="V1441" s="826"/>
      <c r="W1441" s="826"/>
      <c r="X1441" s="829"/>
      <c r="Y1441" s="829"/>
      <c r="Z1441" s="830"/>
      <c r="AA1441" s="764"/>
      <c r="AB1441" s="466"/>
    </row>
    <row r="1442" spans="1:28" x14ac:dyDescent="0.2">
      <c r="A1442" s="2070"/>
      <c r="B1442" s="177"/>
      <c r="C1442" s="177"/>
      <c r="D1442" s="2070"/>
      <c r="E1442" s="2070"/>
      <c r="F1442" s="2070"/>
      <c r="G1442" s="2070"/>
      <c r="H1442" s="2076"/>
      <c r="I1442" s="2072"/>
      <c r="J1442" s="178"/>
      <c r="K1442" s="826"/>
      <c r="L1442" s="2070"/>
      <c r="M1442" s="2070"/>
      <c r="N1442" s="2070"/>
      <c r="O1442" s="2070"/>
      <c r="P1442" s="2076"/>
      <c r="Q1442" s="2071"/>
      <c r="R1442" s="827"/>
      <c r="S1442" s="826"/>
      <c r="T1442" s="179"/>
      <c r="U1442" s="828"/>
      <c r="V1442" s="826"/>
      <c r="W1442" s="826"/>
      <c r="X1442" s="829"/>
      <c r="Y1442" s="829"/>
      <c r="Z1442" s="830"/>
      <c r="AA1442" s="764"/>
      <c r="AB1442" s="466"/>
    </row>
    <row r="1443" spans="1:28" x14ac:dyDescent="0.2">
      <c r="A1443" s="2070"/>
      <c r="B1443" s="177"/>
      <c r="C1443" s="177"/>
      <c r="D1443" s="2070"/>
      <c r="E1443" s="2070"/>
      <c r="F1443" s="2070"/>
      <c r="G1443" s="2070"/>
      <c r="H1443" s="2076"/>
      <c r="I1443" s="2072"/>
      <c r="J1443" s="178"/>
      <c r="K1443" s="826"/>
      <c r="L1443" s="2070"/>
      <c r="M1443" s="2070"/>
      <c r="N1443" s="2070"/>
      <c r="O1443" s="2070"/>
      <c r="P1443" s="2076"/>
      <c r="Q1443" s="2071"/>
      <c r="R1443" s="827"/>
      <c r="S1443" s="826"/>
      <c r="T1443" s="179"/>
      <c r="U1443" s="828"/>
      <c r="V1443" s="826"/>
      <c r="W1443" s="826"/>
      <c r="X1443" s="829"/>
      <c r="Y1443" s="829"/>
      <c r="Z1443" s="830"/>
      <c r="AA1443" s="764"/>
      <c r="AB1443" s="466"/>
    </row>
    <row r="1444" spans="1:28" x14ac:dyDescent="0.2">
      <c r="A1444" s="2070"/>
      <c r="B1444" s="177"/>
      <c r="C1444" s="177"/>
      <c r="D1444" s="2070"/>
      <c r="E1444" s="2070"/>
      <c r="F1444" s="2070"/>
      <c r="G1444" s="2070"/>
      <c r="H1444" s="2076"/>
      <c r="I1444" s="2072"/>
      <c r="J1444" s="178"/>
      <c r="K1444" s="826"/>
      <c r="L1444" s="2070"/>
      <c r="M1444" s="2070"/>
      <c r="N1444" s="2070"/>
      <c r="O1444" s="2070"/>
      <c r="P1444" s="2076"/>
      <c r="Q1444" s="2071"/>
      <c r="R1444" s="827"/>
      <c r="S1444" s="826"/>
      <c r="T1444" s="179"/>
      <c r="U1444" s="828"/>
      <c r="V1444" s="826"/>
      <c r="W1444" s="826"/>
      <c r="X1444" s="829"/>
      <c r="Y1444" s="829"/>
      <c r="Z1444" s="830"/>
      <c r="AA1444" s="764"/>
      <c r="AB1444" s="466"/>
    </row>
    <row r="1445" spans="1:28" x14ac:dyDescent="0.2">
      <c r="A1445" s="2070"/>
      <c r="B1445" s="177"/>
      <c r="C1445" s="177"/>
      <c r="D1445" s="2070"/>
      <c r="E1445" s="2070"/>
      <c r="F1445" s="2070"/>
      <c r="G1445" s="2070"/>
      <c r="H1445" s="2076"/>
      <c r="I1445" s="2072"/>
      <c r="J1445" s="178"/>
      <c r="K1445" s="826"/>
      <c r="L1445" s="2070"/>
      <c r="M1445" s="2070"/>
      <c r="N1445" s="2070"/>
      <c r="O1445" s="2070"/>
      <c r="P1445" s="2076"/>
      <c r="Q1445" s="2071"/>
      <c r="R1445" s="827"/>
      <c r="S1445" s="826"/>
      <c r="T1445" s="179"/>
      <c r="U1445" s="828"/>
      <c r="V1445" s="826"/>
      <c r="W1445" s="826"/>
      <c r="X1445" s="829"/>
      <c r="Y1445" s="829"/>
      <c r="Z1445" s="830"/>
      <c r="AA1445" s="764"/>
      <c r="AB1445" s="466"/>
    </row>
    <row r="1446" spans="1:28" x14ac:dyDescent="0.2">
      <c r="A1446" s="88"/>
      <c r="B1446" s="180"/>
      <c r="C1446" s="180"/>
      <c r="D1446" s="88"/>
      <c r="E1446" s="88"/>
      <c r="F1446" s="88"/>
      <c r="G1446" s="88"/>
      <c r="H1446" s="120"/>
      <c r="I1446" s="121"/>
      <c r="J1446" s="181"/>
      <c r="K1446" s="833"/>
      <c r="L1446" s="88"/>
      <c r="M1446" s="88"/>
      <c r="N1446" s="88"/>
      <c r="O1446" s="88"/>
      <c r="P1446" s="88"/>
      <c r="Q1446" s="129"/>
      <c r="R1446" s="834"/>
      <c r="S1446" s="833"/>
      <c r="T1446" s="182"/>
      <c r="U1446" s="835"/>
      <c r="V1446" s="833"/>
      <c r="W1446" s="833"/>
      <c r="X1446" s="836"/>
      <c r="Y1446" s="836"/>
      <c r="Z1446" s="837"/>
      <c r="AA1446" s="780"/>
      <c r="AB1446" s="410"/>
    </row>
    <row r="1447" spans="1:28" x14ac:dyDescent="0.2">
      <c r="A1447" s="1850"/>
      <c r="B1447" s="1850"/>
      <c r="C1447" s="1850"/>
      <c r="D1447" s="1850"/>
      <c r="E1447" s="1850"/>
      <c r="F1447" s="1850"/>
      <c r="G1447" s="1850"/>
      <c r="H1447" s="1851"/>
      <c r="I1447" s="1852"/>
      <c r="J1447" s="1853"/>
      <c r="K1447" s="1929"/>
      <c r="L1447" s="1929"/>
      <c r="M1447" s="1929"/>
      <c r="N1447" s="1929"/>
      <c r="O1447" s="1929"/>
      <c r="P1447" s="1929"/>
      <c r="Q1447" s="1929"/>
      <c r="R1447" s="1930"/>
      <c r="S1447" s="1929"/>
      <c r="T1447" s="1855"/>
      <c r="U1447" s="1931"/>
      <c r="V1447" s="1929"/>
      <c r="W1447" s="1929"/>
      <c r="X1447" s="1932"/>
      <c r="Y1447" s="1932"/>
      <c r="Z1447" s="1933"/>
      <c r="AA1447" s="2173"/>
      <c r="AB1447" s="1847">
        <f>SUM(AB1431:AB1446)</f>
        <v>193.5</v>
      </c>
    </row>
    <row r="1448" spans="1:28" ht="15.75" x14ac:dyDescent="0.2">
      <c r="A1448" s="2730" t="s">
        <v>76</v>
      </c>
      <c r="B1448" s="2730"/>
      <c r="C1448" s="2731" t="s">
        <v>77</v>
      </c>
      <c r="D1448" s="2731"/>
      <c r="E1448" s="2731"/>
      <c r="F1448" s="2731"/>
      <c r="G1448" s="2731"/>
      <c r="H1448" s="2731"/>
      <c r="I1448" s="843" t="s">
        <v>78</v>
      </c>
      <c r="J1448" s="843"/>
      <c r="K1448" s="843"/>
      <c r="L1448" s="843"/>
      <c r="M1448" s="843"/>
      <c r="N1448" s="843"/>
      <c r="O1448" s="844"/>
      <c r="P1448" s="844"/>
      <c r="Q1448" s="844"/>
      <c r="R1448" s="844"/>
      <c r="S1448" s="844"/>
      <c r="T1448" s="844"/>
      <c r="U1448" s="844"/>
      <c r="V1448" s="844"/>
      <c r="W1448" s="844"/>
      <c r="X1448" s="844"/>
      <c r="Y1448" s="844"/>
      <c r="Z1448" s="844"/>
      <c r="AA1448" s="968"/>
      <c r="AB1448" s="845"/>
    </row>
    <row r="1449" spans="1:28" ht="15.75" x14ac:dyDescent="0.2">
      <c r="A1449" s="843"/>
      <c r="B1449" s="846"/>
      <c r="C1449" s="843"/>
      <c r="D1449" s="843"/>
      <c r="E1449" s="843"/>
      <c r="F1449" s="843"/>
      <c r="G1449" s="843"/>
      <c r="H1449" s="843"/>
      <c r="I1449" s="843" t="s">
        <v>79</v>
      </c>
      <c r="J1449" s="843"/>
      <c r="K1449" s="843"/>
      <c r="L1449" s="843"/>
      <c r="M1449" s="843"/>
      <c r="N1449" s="843"/>
      <c r="O1449" s="844"/>
      <c r="P1449" s="844"/>
      <c r="Q1449" s="844"/>
      <c r="R1449" s="844"/>
      <c r="S1449" s="844"/>
      <c r="T1449" s="844"/>
      <c r="U1449" s="844"/>
      <c r="V1449" s="844"/>
      <c r="W1449" s="844"/>
      <c r="X1449" s="844"/>
      <c r="Y1449" s="844"/>
      <c r="Z1449" s="844"/>
      <c r="AA1449" s="968"/>
      <c r="AB1449" s="845"/>
    </row>
    <row r="1450" spans="1:28" ht="15.75" x14ac:dyDescent="0.2">
      <c r="A1450" s="843"/>
      <c r="B1450" s="846"/>
      <c r="C1450" s="843"/>
      <c r="D1450" s="843"/>
      <c r="E1450" s="843"/>
      <c r="F1450" s="843"/>
      <c r="G1450" s="843"/>
      <c r="H1450" s="843"/>
      <c r="I1450" s="843" t="s">
        <v>80</v>
      </c>
      <c r="J1450" s="843"/>
      <c r="K1450" s="843"/>
      <c r="L1450" s="843"/>
      <c r="M1450" s="843"/>
      <c r="N1450" s="843"/>
      <c r="O1450" s="844"/>
      <c r="P1450" s="844"/>
      <c r="Q1450" s="844"/>
      <c r="R1450" s="844"/>
      <c r="S1450" s="844"/>
      <c r="T1450" s="844"/>
      <c r="U1450" s="844"/>
      <c r="V1450" s="844"/>
      <c r="W1450" s="844"/>
      <c r="X1450" s="844"/>
      <c r="Y1450" s="844"/>
      <c r="Z1450" s="844"/>
      <c r="AA1450" s="968"/>
      <c r="AB1450" s="845"/>
    </row>
    <row r="1451" spans="1:28" ht="15.75" x14ac:dyDescent="0.2">
      <c r="A1451" s="843"/>
      <c r="B1451" s="846"/>
      <c r="C1451" s="843"/>
      <c r="D1451" s="843"/>
      <c r="E1451" s="843"/>
      <c r="F1451" s="843"/>
      <c r="G1451" s="843"/>
      <c r="H1451" s="843"/>
      <c r="I1451" s="843" t="s">
        <v>81</v>
      </c>
      <c r="J1451" s="843"/>
      <c r="K1451" s="843"/>
      <c r="L1451" s="843"/>
      <c r="M1451" s="843"/>
      <c r="N1451" s="843"/>
      <c r="O1451" s="844"/>
      <c r="P1451" s="844"/>
      <c r="Q1451" s="844"/>
      <c r="R1451" s="844"/>
      <c r="S1451" s="844"/>
      <c r="T1451" s="844"/>
      <c r="U1451" s="844"/>
      <c r="V1451" s="844"/>
      <c r="W1451" s="844"/>
      <c r="X1451" s="844"/>
      <c r="Y1451" s="844"/>
      <c r="Z1451" s="844"/>
      <c r="AA1451" s="968"/>
      <c r="AB1451" s="845"/>
    </row>
    <row r="1452" spans="1:28" ht="15.75" x14ac:dyDescent="0.2">
      <c r="A1452" s="843"/>
      <c r="B1452" s="846"/>
      <c r="C1452" s="843"/>
      <c r="D1452" s="843"/>
      <c r="E1452" s="843"/>
      <c r="F1452" s="843"/>
      <c r="G1452" s="843"/>
      <c r="H1452" s="843"/>
      <c r="I1452" s="843" t="s">
        <v>88</v>
      </c>
      <c r="J1452" s="843"/>
      <c r="K1452" s="843"/>
      <c r="L1452" s="843"/>
      <c r="M1452" s="843"/>
      <c r="N1452" s="843"/>
      <c r="O1452" s="844"/>
      <c r="P1452" s="844"/>
      <c r="Q1452" s="844"/>
      <c r="R1452" s="844"/>
      <c r="S1452" s="844"/>
      <c r="T1452" s="844"/>
      <c r="U1452" s="844"/>
      <c r="V1452" s="844"/>
      <c r="W1452" s="844"/>
      <c r="X1452" s="844"/>
      <c r="Y1452" s="844"/>
      <c r="Z1452" s="844"/>
      <c r="AA1452" s="968"/>
      <c r="AB1452" s="845"/>
    </row>
    <row r="1453" spans="1:28" ht="18.75" x14ac:dyDescent="0.2">
      <c r="A1453" s="822"/>
      <c r="B1453" s="822"/>
      <c r="C1453" s="822"/>
      <c r="D1453" s="822"/>
      <c r="E1453" s="822"/>
      <c r="F1453" s="822"/>
      <c r="G1453" s="822"/>
      <c r="H1453" s="822"/>
      <c r="I1453" s="822"/>
      <c r="J1453" s="822"/>
      <c r="K1453" s="822"/>
      <c r="L1453" s="822"/>
      <c r="M1453" s="822"/>
      <c r="N1453" s="822"/>
      <c r="O1453" s="822"/>
      <c r="P1453" s="822"/>
      <c r="Q1453" s="822"/>
      <c r="R1453" s="822"/>
      <c r="S1453" s="822"/>
      <c r="T1453" s="822"/>
      <c r="U1453" s="822"/>
      <c r="V1453" s="822"/>
      <c r="W1453" s="822"/>
      <c r="X1453" s="822"/>
      <c r="Y1453" s="822"/>
      <c r="Z1453" s="822"/>
      <c r="AA1453" s="2739" t="s">
        <v>0</v>
      </c>
      <c r="AB1453" s="2739"/>
    </row>
    <row r="1454" spans="1:28" ht="18.75" x14ac:dyDescent="0.2">
      <c r="A1454" s="2707" t="s">
        <v>1</v>
      </c>
      <c r="B1454" s="2707"/>
      <c r="C1454" s="2707"/>
      <c r="D1454" s="2707"/>
      <c r="E1454" s="2707"/>
      <c r="F1454" s="2707"/>
      <c r="G1454" s="2707"/>
      <c r="H1454" s="2707"/>
      <c r="I1454" s="2707"/>
      <c r="J1454" s="2707"/>
      <c r="K1454" s="2707"/>
      <c r="L1454" s="2707"/>
      <c r="M1454" s="2707"/>
      <c r="N1454" s="2707"/>
      <c r="O1454" s="2707"/>
      <c r="P1454" s="2707"/>
      <c r="Q1454" s="2707"/>
      <c r="R1454" s="2707"/>
      <c r="S1454" s="2707"/>
      <c r="T1454" s="2707"/>
      <c r="U1454" s="2707"/>
      <c r="V1454" s="2707"/>
      <c r="W1454" s="2707"/>
      <c r="X1454" s="2707"/>
      <c r="Y1454" s="2707"/>
      <c r="Z1454" s="2707"/>
      <c r="AA1454" s="2707"/>
      <c r="AB1454" s="2707"/>
    </row>
    <row r="1455" spans="1:28" ht="18.75" x14ac:dyDescent="0.2">
      <c r="A1455" s="2708" t="s">
        <v>591</v>
      </c>
      <c r="B1455" s="2708"/>
      <c r="C1455" s="2708"/>
      <c r="D1455" s="2708"/>
      <c r="E1455" s="2708"/>
      <c r="F1455" s="2708"/>
      <c r="G1455" s="2708"/>
      <c r="H1455" s="2708"/>
      <c r="I1455" s="2708"/>
      <c r="J1455" s="2708"/>
      <c r="K1455" s="2708"/>
      <c r="L1455" s="2708"/>
      <c r="M1455" s="2708"/>
      <c r="N1455" s="2708"/>
      <c r="O1455" s="2708"/>
      <c r="P1455" s="2708"/>
      <c r="Q1455" s="2708"/>
      <c r="R1455" s="2708"/>
      <c r="S1455" s="2708"/>
      <c r="T1455" s="2708"/>
      <c r="U1455" s="2708"/>
      <c r="V1455" s="2708"/>
      <c r="W1455" s="2708"/>
      <c r="X1455" s="2708"/>
      <c r="Y1455" s="2708"/>
      <c r="Z1455" s="2708"/>
      <c r="AA1455" s="2708"/>
      <c r="AB1455" s="2708"/>
    </row>
    <row r="1456" spans="1:28" x14ac:dyDescent="0.2">
      <c r="A1456" s="2709" t="s">
        <v>2</v>
      </c>
      <c r="B1456" s="160"/>
      <c r="C1456" s="2709" t="s">
        <v>3</v>
      </c>
      <c r="D1456" s="160"/>
      <c r="E1456" s="160"/>
      <c r="F1456" s="2712" t="s">
        <v>4</v>
      </c>
      <c r="G1456" s="2712"/>
      <c r="H1456" s="2712"/>
      <c r="I1456" s="2713"/>
      <c r="J1456" s="2713"/>
      <c r="K1456" s="2714"/>
      <c r="L1456" s="2"/>
      <c r="M1456" s="2715" t="s">
        <v>5</v>
      </c>
      <c r="N1456" s="2715"/>
      <c r="O1456" s="2715"/>
      <c r="P1456" s="2715"/>
      <c r="Q1456" s="2716"/>
      <c r="R1456" s="2716"/>
      <c r="S1456" s="2716"/>
      <c r="T1456" s="2716"/>
      <c r="U1456" s="2716"/>
      <c r="V1456" s="2717"/>
      <c r="W1456" s="161" t="s">
        <v>6</v>
      </c>
      <c r="X1456" s="162" t="s">
        <v>7</v>
      </c>
      <c r="Y1456" s="163"/>
      <c r="Z1456" s="163"/>
      <c r="AA1456" s="162"/>
      <c r="AB1456" s="206"/>
    </row>
    <row r="1457" spans="1:28" x14ac:dyDescent="0.2">
      <c r="A1457" s="2710"/>
      <c r="B1457" s="4"/>
      <c r="C1457" s="2710"/>
      <c r="D1457" s="2057" t="s">
        <v>9</v>
      </c>
      <c r="E1457" s="207" t="s">
        <v>10</v>
      </c>
      <c r="F1457" s="2718" t="s">
        <v>11</v>
      </c>
      <c r="G1457" s="2713"/>
      <c r="H1457" s="2714"/>
      <c r="I1457" s="160"/>
      <c r="J1457" s="208" t="s">
        <v>12</v>
      </c>
      <c r="K1457" s="160"/>
      <c r="L1457" s="2715" t="s">
        <v>2</v>
      </c>
      <c r="M1457" s="141"/>
      <c r="N1457" s="141"/>
      <c r="O1457" s="141"/>
      <c r="P1457" s="164"/>
      <c r="Q1457" s="209" t="s">
        <v>13</v>
      </c>
      <c r="R1457" s="210" t="s">
        <v>12</v>
      </c>
      <c r="S1457" s="141" t="s">
        <v>6</v>
      </c>
      <c r="T1457" s="2724" t="s">
        <v>14</v>
      </c>
      <c r="U1457" s="2725"/>
      <c r="V1457" s="165" t="s">
        <v>7</v>
      </c>
      <c r="W1457" s="166" t="s">
        <v>15</v>
      </c>
      <c r="X1457" s="5" t="s">
        <v>16</v>
      </c>
      <c r="Y1457" s="5" t="s">
        <v>17</v>
      </c>
      <c r="Z1457" s="5" t="s">
        <v>18</v>
      </c>
      <c r="AA1457" s="377"/>
      <c r="AB1457" s="378" t="s">
        <v>19</v>
      </c>
    </row>
    <row r="1458" spans="1:28" x14ac:dyDescent="0.2">
      <c r="A1458" s="2710"/>
      <c r="B1458" s="2057" t="s">
        <v>23</v>
      </c>
      <c r="C1458" s="2710"/>
      <c r="D1458" s="2057" t="s">
        <v>24</v>
      </c>
      <c r="E1458" s="207" t="s">
        <v>25</v>
      </c>
      <c r="F1458" s="2719"/>
      <c r="G1458" s="2720"/>
      <c r="H1458" s="2721"/>
      <c r="I1458" s="2057" t="s">
        <v>26</v>
      </c>
      <c r="J1458" s="211" t="s">
        <v>15</v>
      </c>
      <c r="K1458" s="2060" t="s">
        <v>6</v>
      </c>
      <c r="L1458" s="2722"/>
      <c r="M1458" s="142" t="s">
        <v>27</v>
      </c>
      <c r="N1458" s="142" t="s">
        <v>10</v>
      </c>
      <c r="O1458" s="212" t="s">
        <v>10</v>
      </c>
      <c r="P1458" s="213" t="s">
        <v>28</v>
      </c>
      <c r="Q1458" s="214" t="s">
        <v>29</v>
      </c>
      <c r="R1458" s="213" t="s">
        <v>15</v>
      </c>
      <c r="S1458" s="8" t="s">
        <v>15</v>
      </c>
      <c r="T1458" s="2726"/>
      <c r="U1458" s="2727"/>
      <c r="V1458" s="165" t="s">
        <v>30</v>
      </c>
      <c r="W1458" s="166" t="s">
        <v>31</v>
      </c>
      <c r="X1458" s="5" t="s">
        <v>30</v>
      </c>
      <c r="Y1458" s="5" t="s">
        <v>32</v>
      </c>
      <c r="Z1458" s="5" t="s">
        <v>7</v>
      </c>
      <c r="AA1458" s="377" t="s">
        <v>33</v>
      </c>
      <c r="AB1458" s="378" t="s">
        <v>34</v>
      </c>
    </row>
    <row r="1459" spans="1:28" x14ac:dyDescent="0.2">
      <c r="A1459" s="2710"/>
      <c r="B1459" s="2057" t="s">
        <v>39</v>
      </c>
      <c r="C1459" s="2710"/>
      <c r="D1459" s="2057" t="s">
        <v>40</v>
      </c>
      <c r="E1459" s="207" t="s">
        <v>41</v>
      </c>
      <c r="F1459" s="2709" t="s">
        <v>42</v>
      </c>
      <c r="G1459" s="2709" t="s">
        <v>43</v>
      </c>
      <c r="H1459" s="2728" t="s">
        <v>44</v>
      </c>
      <c r="I1459" s="2057" t="s">
        <v>45</v>
      </c>
      <c r="J1459" s="211" t="s">
        <v>46</v>
      </c>
      <c r="K1459" s="2060" t="s">
        <v>47</v>
      </c>
      <c r="L1459" s="2722"/>
      <c r="M1459" s="142" t="s">
        <v>30</v>
      </c>
      <c r="N1459" s="142" t="s">
        <v>30</v>
      </c>
      <c r="O1459" s="212" t="s">
        <v>25</v>
      </c>
      <c r="P1459" s="213" t="s">
        <v>30</v>
      </c>
      <c r="Q1459" s="214" t="s">
        <v>48</v>
      </c>
      <c r="R1459" s="213" t="s">
        <v>49</v>
      </c>
      <c r="S1459" s="8" t="s">
        <v>30</v>
      </c>
      <c r="T1459" s="215" t="s">
        <v>50</v>
      </c>
      <c r="U1459" s="2059" t="s">
        <v>13</v>
      </c>
      <c r="V1459" s="165" t="s">
        <v>51</v>
      </c>
      <c r="W1459" s="166" t="s">
        <v>52</v>
      </c>
      <c r="X1459" s="5" t="s">
        <v>53</v>
      </c>
      <c r="Y1459" s="5" t="s">
        <v>54</v>
      </c>
      <c r="Z1459" s="5" t="s">
        <v>55</v>
      </c>
      <c r="AA1459" s="377" t="s">
        <v>56</v>
      </c>
      <c r="AB1459" s="378" t="s">
        <v>57</v>
      </c>
    </row>
    <row r="1460" spans="1:28" x14ac:dyDescent="0.2">
      <c r="A1460" s="2710"/>
      <c r="B1460" s="2057" t="s">
        <v>61</v>
      </c>
      <c r="C1460" s="2710"/>
      <c r="D1460" s="2057" t="s">
        <v>62</v>
      </c>
      <c r="E1460" s="207" t="s">
        <v>63</v>
      </c>
      <c r="F1460" s="2710"/>
      <c r="G1460" s="2710"/>
      <c r="H1460" s="2729"/>
      <c r="I1460" s="2057" t="s">
        <v>64</v>
      </c>
      <c r="J1460" s="211" t="s">
        <v>59</v>
      </c>
      <c r="K1460" s="2060" t="s">
        <v>59</v>
      </c>
      <c r="L1460" s="2722"/>
      <c r="M1460" s="142"/>
      <c r="N1460" s="142"/>
      <c r="O1460" s="212" t="s">
        <v>41</v>
      </c>
      <c r="P1460" s="213" t="s">
        <v>65</v>
      </c>
      <c r="Q1460" s="214" t="s">
        <v>66</v>
      </c>
      <c r="R1460" s="213" t="s">
        <v>67</v>
      </c>
      <c r="S1460" s="8" t="s">
        <v>59</v>
      </c>
      <c r="T1460" s="216" t="s">
        <v>68</v>
      </c>
      <c r="U1460" s="165" t="s">
        <v>14</v>
      </c>
      <c r="V1460" s="165" t="s">
        <v>14</v>
      </c>
      <c r="W1460" s="166" t="s">
        <v>30</v>
      </c>
      <c r="X1460" s="167" t="s">
        <v>69</v>
      </c>
      <c r="Y1460" s="167" t="s">
        <v>70</v>
      </c>
      <c r="Z1460" s="5" t="s">
        <v>71</v>
      </c>
      <c r="AA1460" s="377" t="s">
        <v>72</v>
      </c>
      <c r="AB1460" s="378" t="s">
        <v>59</v>
      </c>
    </row>
    <row r="1461" spans="1:28" x14ac:dyDescent="0.2">
      <c r="A1461" s="2711"/>
      <c r="B1461" s="9"/>
      <c r="C1461" s="2711"/>
      <c r="D1461" s="9"/>
      <c r="E1461" s="2058"/>
      <c r="F1461" s="9"/>
      <c r="G1461" s="9"/>
      <c r="H1461" s="10"/>
      <c r="I1461" s="2058"/>
      <c r="J1461" s="217"/>
      <c r="K1461" s="168"/>
      <c r="L1461" s="2723"/>
      <c r="M1461" s="143"/>
      <c r="N1461" s="143"/>
      <c r="O1461" s="143" t="s">
        <v>63</v>
      </c>
      <c r="P1461" s="218"/>
      <c r="Q1461" s="219" t="s">
        <v>72</v>
      </c>
      <c r="R1461" s="220" t="s">
        <v>59</v>
      </c>
      <c r="S1461" s="169"/>
      <c r="T1461" s="220" t="s">
        <v>73</v>
      </c>
      <c r="U1461" s="169" t="s">
        <v>59</v>
      </c>
      <c r="V1461" s="170" t="s">
        <v>59</v>
      </c>
      <c r="W1461" s="171" t="s">
        <v>59</v>
      </c>
      <c r="X1461" s="172" t="s">
        <v>59</v>
      </c>
      <c r="Y1461" s="172" t="s">
        <v>59</v>
      </c>
      <c r="Z1461" s="172" t="s">
        <v>59</v>
      </c>
      <c r="AA1461" s="402"/>
      <c r="AB1461" s="403"/>
    </row>
    <row r="1462" spans="1:28" x14ac:dyDescent="0.2">
      <c r="A1462" s="53">
        <v>1</v>
      </c>
      <c r="B1462" s="2172">
        <v>79477</v>
      </c>
      <c r="C1462" s="959">
        <v>1998</v>
      </c>
      <c r="D1462" s="51" t="s">
        <v>83</v>
      </c>
      <c r="E1462" s="959">
        <v>4</v>
      </c>
      <c r="F1462" s="51">
        <v>0</v>
      </c>
      <c r="G1462" s="51">
        <v>2</v>
      </c>
      <c r="H1462" s="51">
        <v>88</v>
      </c>
      <c r="I1462" s="70">
        <f>F1462*400+G1462*100+H1462</f>
        <v>288</v>
      </c>
      <c r="J1462" s="71">
        <v>430</v>
      </c>
      <c r="K1462" s="78">
        <f>SUM(I1462*J1462)</f>
        <v>123840</v>
      </c>
      <c r="L1462" s="75"/>
      <c r="M1462" s="51"/>
      <c r="N1462" s="51"/>
      <c r="O1462" s="155"/>
      <c r="P1462" s="824"/>
      <c r="Q1462" s="156"/>
      <c r="R1462" s="157"/>
      <c r="S1462" s="123"/>
      <c r="T1462" s="51"/>
      <c r="U1462" s="204"/>
      <c r="V1462" s="70"/>
      <c r="W1462" s="123">
        <f>K1462+V1462</f>
        <v>123840</v>
      </c>
      <c r="X1462" s="70">
        <f>W1462</f>
        <v>123840</v>
      </c>
      <c r="Y1462" s="71"/>
      <c r="Z1462" s="123">
        <f>+X1462</f>
        <v>123840</v>
      </c>
      <c r="AA1462" s="2074">
        <v>0.3</v>
      </c>
      <c r="AB1462" s="406">
        <f>+Z1462*AA1462/100</f>
        <v>371.52</v>
      </c>
    </row>
    <row r="1463" spans="1:28" x14ac:dyDescent="0.2">
      <c r="A1463" s="52"/>
      <c r="B1463" s="54"/>
      <c r="C1463" s="960"/>
      <c r="D1463" s="54"/>
      <c r="E1463" s="115"/>
      <c r="F1463" s="54"/>
      <c r="G1463" s="960"/>
      <c r="H1463" s="54"/>
      <c r="I1463" s="121"/>
      <c r="J1463" s="108"/>
      <c r="K1463" s="78"/>
      <c r="L1463" s="75"/>
      <c r="M1463" s="105"/>
      <c r="N1463" s="105"/>
      <c r="O1463" s="113"/>
      <c r="P1463" s="131"/>
      <c r="Q1463" s="132"/>
      <c r="R1463" s="133"/>
      <c r="S1463" s="2072"/>
      <c r="T1463" s="105"/>
      <c r="U1463" s="117"/>
      <c r="V1463" s="77"/>
      <c r="W1463" s="121"/>
      <c r="X1463" s="74"/>
      <c r="Y1463" s="117"/>
      <c r="Z1463" s="121"/>
      <c r="AA1463" s="2074"/>
      <c r="AB1463" s="410"/>
    </row>
    <row r="1464" spans="1:28" x14ac:dyDescent="0.2">
      <c r="A1464" s="52"/>
      <c r="B1464" s="54"/>
      <c r="C1464" s="961"/>
      <c r="D1464" s="105"/>
      <c r="E1464" s="115"/>
      <c r="F1464" s="54"/>
      <c r="G1464" s="81"/>
      <c r="H1464" s="54"/>
      <c r="I1464" s="77"/>
      <c r="J1464" s="108"/>
      <c r="K1464" s="78"/>
      <c r="L1464" s="52"/>
      <c r="M1464" s="52"/>
      <c r="N1464" s="52"/>
      <c r="O1464" s="52"/>
      <c r="P1464" s="962"/>
      <c r="Q1464" s="963"/>
      <c r="R1464" s="964"/>
      <c r="S1464" s="965"/>
      <c r="T1464" s="966"/>
      <c r="U1464" s="965"/>
      <c r="V1464" s="965"/>
      <c r="W1464" s="2072"/>
      <c r="X1464" s="121"/>
      <c r="Y1464" s="108"/>
      <c r="Z1464" s="2072"/>
      <c r="AA1464" s="2074"/>
      <c r="AB1464" s="466"/>
    </row>
    <row r="1465" spans="1:28" x14ac:dyDescent="0.2">
      <c r="A1465" s="2070"/>
      <c r="B1465" s="177"/>
      <c r="C1465" s="177"/>
      <c r="D1465" s="2070"/>
      <c r="E1465" s="2070"/>
      <c r="F1465" s="2070"/>
      <c r="G1465" s="2070"/>
      <c r="H1465" s="2076"/>
      <c r="I1465" s="2072"/>
      <c r="J1465" s="178"/>
      <c r="K1465" s="826"/>
      <c r="L1465" s="2070"/>
      <c r="M1465" s="2070"/>
      <c r="N1465" s="2070"/>
      <c r="O1465" s="2070"/>
      <c r="P1465" s="2076"/>
      <c r="Q1465" s="2071"/>
      <c r="R1465" s="827"/>
      <c r="S1465" s="826"/>
      <c r="T1465" s="179"/>
      <c r="U1465" s="828"/>
      <c r="V1465" s="826"/>
      <c r="W1465" s="826"/>
      <c r="X1465" s="829"/>
      <c r="Y1465" s="829"/>
      <c r="Z1465" s="830"/>
      <c r="AA1465" s="764"/>
      <c r="AB1465" s="466"/>
    </row>
    <row r="1466" spans="1:28" x14ac:dyDescent="0.2">
      <c r="A1466" s="2070"/>
      <c r="B1466" s="177"/>
      <c r="C1466" s="177"/>
      <c r="D1466" s="2070"/>
      <c r="E1466" s="2070"/>
      <c r="F1466" s="2070"/>
      <c r="G1466" s="2070"/>
      <c r="H1466" s="2076"/>
      <c r="I1466" s="2072"/>
      <c r="J1466" s="178"/>
      <c r="K1466" s="826"/>
      <c r="L1466" s="2070"/>
      <c r="M1466" s="2070"/>
      <c r="N1466" s="2070"/>
      <c r="O1466" s="2070"/>
      <c r="P1466" s="2076"/>
      <c r="Q1466" s="2071"/>
      <c r="R1466" s="827"/>
      <c r="S1466" s="826"/>
      <c r="T1466" s="179"/>
      <c r="U1466" s="828"/>
      <c r="V1466" s="826"/>
      <c r="W1466" s="826"/>
      <c r="X1466" s="829"/>
      <c r="Y1466" s="829"/>
      <c r="Z1466" s="830"/>
      <c r="AA1466" s="764"/>
      <c r="AB1466" s="466"/>
    </row>
    <row r="1467" spans="1:28" x14ac:dyDescent="0.2">
      <c r="A1467" s="2070"/>
      <c r="B1467" s="177"/>
      <c r="C1467" s="177"/>
      <c r="D1467" s="2070"/>
      <c r="E1467" s="2070"/>
      <c r="F1467" s="2070"/>
      <c r="G1467" s="2070"/>
      <c r="H1467" s="2076"/>
      <c r="I1467" s="2072"/>
      <c r="J1467" s="178"/>
      <c r="K1467" s="826"/>
      <c r="L1467" s="2070"/>
      <c r="M1467" s="2070"/>
      <c r="N1467" s="2070"/>
      <c r="O1467" s="2070"/>
      <c r="P1467" s="2076"/>
      <c r="Q1467" s="2071"/>
      <c r="R1467" s="827"/>
      <c r="S1467" s="826"/>
      <c r="T1467" s="179"/>
      <c r="U1467" s="828"/>
      <c r="V1467" s="826"/>
      <c r="W1467" s="826"/>
      <c r="X1467" s="829"/>
      <c r="Y1467" s="829"/>
      <c r="Z1467" s="830"/>
      <c r="AA1467" s="764"/>
      <c r="AB1467" s="466"/>
    </row>
    <row r="1468" spans="1:28" x14ac:dyDescent="0.2">
      <c r="A1468" s="2070"/>
      <c r="B1468" s="177"/>
      <c r="C1468" s="177"/>
      <c r="D1468" s="2070"/>
      <c r="E1468" s="2070"/>
      <c r="F1468" s="2070"/>
      <c r="G1468" s="2070"/>
      <c r="H1468" s="2076"/>
      <c r="I1468" s="2072"/>
      <c r="J1468" s="178"/>
      <c r="K1468" s="826"/>
      <c r="L1468" s="2070"/>
      <c r="M1468" s="2070"/>
      <c r="N1468" s="2070"/>
      <c r="O1468" s="2070"/>
      <c r="P1468" s="2076"/>
      <c r="Q1468" s="2071"/>
      <c r="R1468" s="827"/>
      <c r="S1468" s="826"/>
      <c r="T1468" s="179"/>
      <c r="U1468" s="828"/>
      <c r="V1468" s="826"/>
      <c r="W1468" s="826"/>
      <c r="X1468" s="829"/>
      <c r="Y1468" s="829"/>
      <c r="Z1468" s="830"/>
      <c r="AA1468" s="764"/>
      <c r="AB1468" s="466"/>
    </row>
    <row r="1469" spans="1:28" x14ac:dyDescent="0.2">
      <c r="A1469" s="2070"/>
      <c r="B1469" s="177"/>
      <c r="C1469" s="177"/>
      <c r="D1469" s="2070"/>
      <c r="E1469" s="2070"/>
      <c r="F1469" s="2070"/>
      <c r="G1469" s="2070"/>
      <c r="H1469" s="2076"/>
      <c r="I1469" s="2072"/>
      <c r="J1469" s="178"/>
      <c r="K1469" s="826"/>
      <c r="L1469" s="2070"/>
      <c r="M1469" s="2070"/>
      <c r="N1469" s="2070"/>
      <c r="O1469" s="2070"/>
      <c r="P1469" s="2076"/>
      <c r="Q1469" s="2071"/>
      <c r="R1469" s="827"/>
      <c r="S1469" s="826"/>
      <c r="T1469" s="179"/>
      <c r="U1469" s="828"/>
      <c r="V1469" s="826"/>
      <c r="W1469" s="826"/>
      <c r="X1469" s="829"/>
      <c r="Y1469" s="829"/>
      <c r="Z1469" s="830"/>
      <c r="AA1469" s="764"/>
      <c r="AB1469" s="466"/>
    </row>
    <row r="1470" spans="1:28" x14ac:dyDescent="0.2">
      <c r="A1470" s="2070"/>
      <c r="B1470" s="177"/>
      <c r="C1470" s="177"/>
      <c r="D1470" s="2070"/>
      <c r="E1470" s="2070"/>
      <c r="F1470" s="2070"/>
      <c r="G1470" s="2070"/>
      <c r="H1470" s="2076"/>
      <c r="I1470" s="2072"/>
      <c r="J1470" s="178"/>
      <c r="K1470" s="826"/>
      <c r="L1470" s="2070"/>
      <c r="M1470" s="2070"/>
      <c r="N1470" s="2070"/>
      <c r="O1470" s="2070"/>
      <c r="P1470" s="2076"/>
      <c r="Q1470" s="2071"/>
      <c r="R1470" s="827"/>
      <c r="S1470" s="826"/>
      <c r="T1470" s="179"/>
      <c r="U1470" s="828"/>
      <c r="V1470" s="826"/>
      <c r="W1470" s="826"/>
      <c r="X1470" s="829"/>
      <c r="Y1470" s="829"/>
      <c r="Z1470" s="830"/>
      <c r="AA1470" s="764"/>
      <c r="AB1470" s="466"/>
    </row>
    <row r="1471" spans="1:28" x14ac:dyDescent="0.2">
      <c r="A1471" s="2070"/>
      <c r="B1471" s="177"/>
      <c r="C1471" s="177"/>
      <c r="D1471" s="2070"/>
      <c r="E1471" s="2070"/>
      <c r="F1471" s="2070"/>
      <c r="G1471" s="2070"/>
      <c r="H1471" s="2076"/>
      <c r="I1471" s="2072"/>
      <c r="J1471" s="178"/>
      <c r="K1471" s="826"/>
      <c r="L1471" s="2070"/>
      <c r="M1471" s="2070"/>
      <c r="N1471" s="2070"/>
      <c r="O1471" s="2070"/>
      <c r="P1471" s="2076"/>
      <c r="Q1471" s="2071"/>
      <c r="R1471" s="827"/>
      <c r="S1471" s="826"/>
      <c r="T1471" s="179"/>
      <c r="U1471" s="828"/>
      <c r="V1471" s="826"/>
      <c r="W1471" s="826"/>
      <c r="X1471" s="829"/>
      <c r="Y1471" s="829"/>
      <c r="Z1471" s="830"/>
      <c r="AA1471" s="764"/>
      <c r="AB1471" s="466"/>
    </row>
    <row r="1472" spans="1:28" x14ac:dyDescent="0.2">
      <c r="A1472" s="2070"/>
      <c r="B1472" s="177"/>
      <c r="C1472" s="177"/>
      <c r="D1472" s="2070"/>
      <c r="E1472" s="2070"/>
      <c r="F1472" s="2070"/>
      <c r="G1472" s="2070"/>
      <c r="H1472" s="2076"/>
      <c r="I1472" s="2072"/>
      <c r="J1472" s="178"/>
      <c r="K1472" s="826"/>
      <c r="L1472" s="2070"/>
      <c r="M1472" s="2070"/>
      <c r="N1472" s="2070"/>
      <c r="O1472" s="2070"/>
      <c r="P1472" s="2076"/>
      <c r="Q1472" s="2071"/>
      <c r="R1472" s="827"/>
      <c r="S1472" s="826"/>
      <c r="T1472" s="179"/>
      <c r="U1472" s="828"/>
      <c r="V1472" s="826"/>
      <c r="W1472" s="826"/>
      <c r="X1472" s="829"/>
      <c r="Y1472" s="829"/>
      <c r="Z1472" s="830"/>
      <c r="AA1472" s="764"/>
      <c r="AB1472" s="466"/>
    </row>
    <row r="1473" spans="1:28" x14ac:dyDescent="0.2">
      <c r="A1473" s="2070"/>
      <c r="B1473" s="177"/>
      <c r="C1473" s="177"/>
      <c r="D1473" s="2070"/>
      <c r="E1473" s="2070"/>
      <c r="F1473" s="2070"/>
      <c r="G1473" s="2070"/>
      <c r="H1473" s="2076"/>
      <c r="I1473" s="2072"/>
      <c r="J1473" s="178"/>
      <c r="K1473" s="826"/>
      <c r="L1473" s="2070"/>
      <c r="M1473" s="2070"/>
      <c r="N1473" s="2070"/>
      <c r="O1473" s="2070"/>
      <c r="P1473" s="2076"/>
      <c r="Q1473" s="2071"/>
      <c r="R1473" s="827"/>
      <c r="S1473" s="826"/>
      <c r="T1473" s="179"/>
      <c r="U1473" s="828"/>
      <c r="V1473" s="826"/>
      <c r="W1473" s="826"/>
      <c r="X1473" s="829"/>
      <c r="Y1473" s="829"/>
      <c r="Z1473" s="830"/>
      <c r="AA1473" s="764"/>
      <c r="AB1473" s="466"/>
    </row>
    <row r="1474" spans="1:28" x14ac:dyDescent="0.2">
      <c r="A1474" s="2070"/>
      <c r="B1474" s="177"/>
      <c r="C1474" s="177"/>
      <c r="D1474" s="2070"/>
      <c r="E1474" s="2070"/>
      <c r="F1474" s="2070"/>
      <c r="G1474" s="2070"/>
      <c r="H1474" s="2076"/>
      <c r="I1474" s="2072"/>
      <c r="J1474" s="178"/>
      <c r="K1474" s="826"/>
      <c r="L1474" s="2070"/>
      <c r="M1474" s="2070"/>
      <c r="N1474" s="2070"/>
      <c r="O1474" s="2070"/>
      <c r="P1474" s="2076"/>
      <c r="Q1474" s="2071"/>
      <c r="R1474" s="827"/>
      <c r="S1474" s="826"/>
      <c r="T1474" s="179"/>
      <c r="U1474" s="828"/>
      <c r="V1474" s="826"/>
      <c r="W1474" s="826"/>
      <c r="X1474" s="829"/>
      <c r="Y1474" s="829"/>
      <c r="Z1474" s="830"/>
      <c r="AA1474" s="764"/>
      <c r="AB1474" s="466"/>
    </row>
    <row r="1475" spans="1:28" x14ac:dyDescent="0.2">
      <c r="A1475" s="2070"/>
      <c r="B1475" s="177"/>
      <c r="C1475" s="177"/>
      <c r="D1475" s="2070"/>
      <c r="E1475" s="2070"/>
      <c r="F1475" s="2070"/>
      <c r="G1475" s="2070"/>
      <c r="H1475" s="2076"/>
      <c r="I1475" s="2072"/>
      <c r="J1475" s="178"/>
      <c r="K1475" s="826"/>
      <c r="L1475" s="2070"/>
      <c r="M1475" s="2070"/>
      <c r="N1475" s="2070"/>
      <c r="O1475" s="2070"/>
      <c r="P1475" s="2076"/>
      <c r="Q1475" s="2071"/>
      <c r="R1475" s="827"/>
      <c r="S1475" s="826"/>
      <c r="T1475" s="179"/>
      <c r="U1475" s="828"/>
      <c r="V1475" s="826"/>
      <c r="W1475" s="826"/>
      <c r="X1475" s="829"/>
      <c r="Y1475" s="829"/>
      <c r="Z1475" s="830"/>
      <c r="AA1475" s="764"/>
      <c r="AB1475" s="466"/>
    </row>
    <row r="1476" spans="1:28" x14ac:dyDescent="0.2">
      <c r="A1476" s="2091"/>
      <c r="B1476" s="177"/>
      <c r="C1476" s="177"/>
      <c r="D1476" s="2091"/>
      <c r="E1476" s="2091"/>
      <c r="F1476" s="2091"/>
      <c r="G1476" s="2091"/>
      <c r="H1476" s="2094"/>
      <c r="I1476" s="2092"/>
      <c r="J1476" s="178"/>
      <c r="K1476" s="826"/>
      <c r="L1476" s="2091"/>
      <c r="M1476" s="2091"/>
      <c r="N1476" s="2091"/>
      <c r="O1476" s="2091"/>
      <c r="P1476" s="2094"/>
      <c r="Q1476" s="2093"/>
      <c r="R1476" s="827"/>
      <c r="S1476" s="826"/>
      <c r="T1476" s="179"/>
      <c r="U1476" s="828"/>
      <c r="V1476" s="826"/>
      <c r="W1476" s="826"/>
      <c r="X1476" s="829"/>
      <c r="Y1476" s="829"/>
      <c r="Z1476" s="830"/>
      <c r="AA1476" s="764"/>
      <c r="AB1476" s="466"/>
    </row>
    <row r="1477" spans="1:28" x14ac:dyDescent="0.2">
      <c r="A1477" s="88"/>
      <c r="B1477" s="180"/>
      <c r="C1477" s="180"/>
      <c r="D1477" s="88"/>
      <c r="E1477" s="88"/>
      <c r="F1477" s="88"/>
      <c r="G1477" s="88"/>
      <c r="H1477" s="120"/>
      <c r="I1477" s="121"/>
      <c r="J1477" s="181"/>
      <c r="K1477" s="833"/>
      <c r="L1477" s="88"/>
      <c r="M1477" s="88"/>
      <c r="N1477" s="88"/>
      <c r="O1477" s="88"/>
      <c r="P1477" s="88"/>
      <c r="Q1477" s="129"/>
      <c r="R1477" s="834"/>
      <c r="S1477" s="833"/>
      <c r="T1477" s="182"/>
      <c r="U1477" s="835"/>
      <c r="V1477" s="833"/>
      <c r="W1477" s="833"/>
      <c r="X1477" s="836"/>
      <c r="Y1477" s="836"/>
      <c r="Z1477" s="837"/>
      <c r="AA1477" s="780"/>
      <c r="AB1477" s="410"/>
    </row>
    <row r="1478" spans="1:28" x14ac:dyDescent="0.2">
      <c r="A1478" s="1850"/>
      <c r="B1478" s="1850"/>
      <c r="C1478" s="1850"/>
      <c r="D1478" s="1850"/>
      <c r="E1478" s="1850"/>
      <c r="F1478" s="1850"/>
      <c r="G1478" s="1850"/>
      <c r="H1478" s="1851"/>
      <c r="I1478" s="1852"/>
      <c r="J1478" s="1853"/>
      <c r="K1478" s="1929"/>
      <c r="L1478" s="1929"/>
      <c r="M1478" s="1929"/>
      <c r="N1478" s="1929"/>
      <c r="O1478" s="1929"/>
      <c r="P1478" s="1929"/>
      <c r="Q1478" s="1929"/>
      <c r="R1478" s="1930"/>
      <c r="S1478" s="1929"/>
      <c r="T1478" s="1855"/>
      <c r="U1478" s="1931"/>
      <c r="V1478" s="1929"/>
      <c r="W1478" s="1929"/>
      <c r="X1478" s="1932"/>
      <c r="Y1478" s="1932"/>
      <c r="Z1478" s="1933"/>
      <c r="AA1478" s="2173"/>
      <c r="AB1478" s="1847">
        <f>SUM(AB1462:AB1477)</f>
        <v>371.52</v>
      </c>
    </row>
    <row r="1479" spans="1:28" ht="15.75" x14ac:dyDescent="0.2">
      <c r="A1479" s="2730" t="s">
        <v>76</v>
      </c>
      <c r="B1479" s="2730"/>
      <c r="C1479" s="2731" t="s">
        <v>77</v>
      </c>
      <c r="D1479" s="2731"/>
      <c r="E1479" s="2731"/>
      <c r="F1479" s="2731"/>
      <c r="G1479" s="2731"/>
      <c r="H1479" s="2731"/>
      <c r="I1479" s="843" t="s">
        <v>78</v>
      </c>
      <c r="J1479" s="843"/>
      <c r="K1479" s="843"/>
      <c r="L1479" s="843"/>
      <c r="M1479" s="843"/>
      <c r="N1479" s="843"/>
      <c r="O1479" s="844"/>
      <c r="P1479" s="844"/>
      <c r="Q1479" s="844"/>
      <c r="R1479" s="844"/>
      <c r="S1479" s="844"/>
      <c r="T1479" s="844"/>
      <c r="U1479" s="844"/>
      <c r="V1479" s="844"/>
      <c r="W1479" s="844"/>
      <c r="X1479" s="844"/>
      <c r="Y1479" s="844"/>
      <c r="Z1479" s="844"/>
      <c r="AA1479" s="968"/>
      <c r="AB1479" s="845"/>
    </row>
    <row r="1480" spans="1:28" ht="15.75" x14ac:dyDescent="0.2">
      <c r="A1480" s="843"/>
      <c r="B1480" s="846"/>
      <c r="C1480" s="843"/>
      <c r="D1480" s="843"/>
      <c r="E1480" s="843"/>
      <c r="F1480" s="843"/>
      <c r="G1480" s="843"/>
      <c r="H1480" s="843"/>
      <c r="I1480" s="843" t="s">
        <v>79</v>
      </c>
      <c r="J1480" s="843"/>
      <c r="K1480" s="843"/>
      <c r="L1480" s="843"/>
      <c r="M1480" s="843"/>
      <c r="N1480" s="843"/>
      <c r="O1480" s="844"/>
      <c r="P1480" s="844"/>
      <c r="Q1480" s="844"/>
      <c r="R1480" s="844"/>
      <c r="S1480" s="844"/>
      <c r="T1480" s="844"/>
      <c r="U1480" s="844"/>
      <c r="V1480" s="844"/>
      <c r="W1480" s="844"/>
      <c r="X1480" s="844"/>
      <c r="Y1480" s="844"/>
      <c r="Z1480" s="844"/>
      <c r="AA1480" s="968"/>
      <c r="AB1480" s="845"/>
    </row>
    <row r="1481" spans="1:28" ht="15.75" x14ac:dyDescent="0.2">
      <c r="A1481" s="843"/>
      <c r="B1481" s="846"/>
      <c r="C1481" s="843"/>
      <c r="D1481" s="843"/>
      <c r="E1481" s="843"/>
      <c r="F1481" s="843"/>
      <c r="G1481" s="843"/>
      <c r="H1481" s="843"/>
      <c r="I1481" s="843" t="s">
        <v>80</v>
      </c>
      <c r="J1481" s="843"/>
      <c r="K1481" s="843"/>
      <c r="L1481" s="843"/>
      <c r="M1481" s="843"/>
      <c r="N1481" s="843"/>
      <c r="O1481" s="844"/>
      <c r="P1481" s="844"/>
      <c r="Q1481" s="844"/>
      <c r="R1481" s="844"/>
      <c r="S1481" s="844"/>
      <c r="T1481" s="844"/>
      <c r="U1481" s="844"/>
      <c r="V1481" s="844"/>
      <c r="W1481" s="844"/>
      <c r="X1481" s="844"/>
      <c r="Y1481" s="844"/>
      <c r="Z1481" s="844"/>
      <c r="AA1481" s="968"/>
      <c r="AB1481" s="845"/>
    </row>
    <row r="1482" spans="1:28" ht="15.75" x14ac:dyDescent="0.2">
      <c r="A1482" s="843"/>
      <c r="B1482" s="846"/>
      <c r="C1482" s="843"/>
      <c r="D1482" s="843"/>
      <c r="E1482" s="843"/>
      <c r="F1482" s="843"/>
      <c r="G1482" s="843"/>
      <c r="H1482" s="843"/>
      <c r="I1482" s="843" t="s">
        <v>81</v>
      </c>
      <c r="J1482" s="843"/>
      <c r="K1482" s="843"/>
      <c r="L1482" s="843"/>
      <c r="M1482" s="843"/>
      <c r="N1482" s="843"/>
      <c r="O1482" s="844"/>
      <c r="P1482" s="844"/>
      <c r="Q1482" s="844"/>
      <c r="R1482" s="844"/>
      <c r="S1482" s="844"/>
      <c r="T1482" s="844"/>
      <c r="U1482" s="844"/>
      <c r="V1482" s="844"/>
      <c r="W1482" s="844"/>
      <c r="X1482" s="844"/>
      <c r="Y1482" s="844"/>
      <c r="Z1482" s="844"/>
      <c r="AA1482" s="968"/>
      <c r="AB1482" s="845"/>
    </row>
    <row r="1483" spans="1:28" ht="15.75" x14ac:dyDescent="0.2">
      <c r="A1483" s="843"/>
      <c r="B1483" s="846"/>
      <c r="C1483" s="843"/>
      <c r="D1483" s="843"/>
      <c r="E1483" s="843"/>
      <c r="F1483" s="843"/>
      <c r="G1483" s="843"/>
      <c r="H1483" s="843"/>
      <c r="I1483" s="843" t="s">
        <v>88</v>
      </c>
      <c r="J1483" s="843"/>
      <c r="K1483" s="843"/>
      <c r="L1483" s="843"/>
      <c r="M1483" s="843"/>
      <c r="N1483" s="843"/>
      <c r="O1483" s="844"/>
      <c r="P1483" s="844"/>
      <c r="Q1483" s="844"/>
      <c r="R1483" s="844"/>
      <c r="S1483" s="844"/>
      <c r="T1483" s="844"/>
      <c r="U1483" s="844"/>
      <c r="V1483" s="844"/>
      <c r="W1483" s="844"/>
      <c r="X1483" s="844"/>
      <c r="Y1483" s="844"/>
      <c r="Z1483" s="844"/>
      <c r="AA1483" s="968"/>
      <c r="AB1483" s="845"/>
    </row>
    <row r="1484" spans="1:28" ht="18.75" x14ac:dyDescent="0.2">
      <c r="A1484" s="822"/>
      <c r="B1484" s="822"/>
      <c r="C1484" s="822"/>
      <c r="D1484" s="822"/>
      <c r="E1484" s="822"/>
      <c r="F1484" s="822"/>
      <c r="G1484" s="822"/>
      <c r="H1484" s="822"/>
      <c r="I1484" s="822"/>
      <c r="J1484" s="822"/>
      <c r="K1484" s="822"/>
      <c r="L1484" s="822"/>
      <c r="M1484" s="822"/>
      <c r="N1484" s="822"/>
      <c r="O1484" s="822"/>
      <c r="P1484" s="822"/>
      <c r="Q1484" s="822"/>
      <c r="R1484" s="822"/>
      <c r="S1484" s="822"/>
      <c r="T1484" s="822"/>
      <c r="U1484" s="822"/>
      <c r="V1484" s="822"/>
      <c r="W1484" s="822"/>
      <c r="X1484" s="822"/>
      <c r="Y1484" s="822"/>
      <c r="Z1484" s="822"/>
      <c r="AA1484" s="2739" t="s">
        <v>0</v>
      </c>
      <c r="AB1484" s="2739"/>
    </row>
    <row r="1485" spans="1:28" ht="18.75" x14ac:dyDescent="0.2">
      <c r="A1485" s="2707" t="s">
        <v>1</v>
      </c>
      <c r="B1485" s="2707"/>
      <c r="C1485" s="2707"/>
      <c r="D1485" s="2707"/>
      <c r="E1485" s="2707"/>
      <c r="F1485" s="2707"/>
      <c r="G1485" s="2707"/>
      <c r="H1485" s="2707"/>
      <c r="I1485" s="2707"/>
      <c r="J1485" s="2707"/>
      <c r="K1485" s="2707"/>
      <c r="L1485" s="2707"/>
      <c r="M1485" s="2707"/>
      <c r="N1485" s="2707"/>
      <c r="O1485" s="2707"/>
      <c r="P1485" s="2707"/>
      <c r="Q1485" s="2707"/>
      <c r="R1485" s="2707"/>
      <c r="S1485" s="2707"/>
      <c r="T1485" s="2707"/>
      <c r="U1485" s="2707"/>
      <c r="V1485" s="2707"/>
      <c r="W1485" s="2707"/>
      <c r="X1485" s="2707"/>
      <c r="Y1485" s="2707"/>
      <c r="Z1485" s="2707"/>
      <c r="AA1485" s="2707"/>
      <c r="AB1485" s="2707"/>
    </row>
    <row r="1486" spans="1:28" ht="18.75" x14ac:dyDescent="0.2">
      <c r="A1486" s="2708" t="s">
        <v>592</v>
      </c>
      <c r="B1486" s="2708"/>
      <c r="C1486" s="2708"/>
      <c r="D1486" s="2708"/>
      <c r="E1486" s="2708"/>
      <c r="F1486" s="2708"/>
      <c r="G1486" s="2708"/>
      <c r="H1486" s="2708"/>
      <c r="I1486" s="2708"/>
      <c r="J1486" s="2708"/>
      <c r="K1486" s="2708"/>
      <c r="L1486" s="2708"/>
      <c r="M1486" s="2708"/>
      <c r="N1486" s="2708"/>
      <c r="O1486" s="2708"/>
      <c r="P1486" s="2708"/>
      <c r="Q1486" s="2708"/>
      <c r="R1486" s="2708"/>
      <c r="S1486" s="2708"/>
      <c r="T1486" s="2708"/>
      <c r="U1486" s="2708"/>
      <c r="V1486" s="2708"/>
      <c r="W1486" s="2708"/>
      <c r="X1486" s="2708"/>
      <c r="Y1486" s="2708"/>
      <c r="Z1486" s="2708"/>
      <c r="AA1486" s="2708"/>
      <c r="AB1486" s="2708"/>
    </row>
    <row r="1487" spans="1:28" x14ac:dyDescent="0.2">
      <c r="A1487" s="2709" t="s">
        <v>2</v>
      </c>
      <c r="B1487" s="160"/>
      <c r="C1487" s="2709" t="s">
        <v>3</v>
      </c>
      <c r="D1487" s="160"/>
      <c r="E1487" s="160"/>
      <c r="F1487" s="2712" t="s">
        <v>4</v>
      </c>
      <c r="G1487" s="2712"/>
      <c r="H1487" s="2712"/>
      <c r="I1487" s="2713"/>
      <c r="J1487" s="2713"/>
      <c r="K1487" s="2714"/>
      <c r="L1487" s="2"/>
      <c r="M1487" s="2715" t="s">
        <v>5</v>
      </c>
      <c r="N1487" s="2715"/>
      <c r="O1487" s="2715"/>
      <c r="P1487" s="2715"/>
      <c r="Q1487" s="2716"/>
      <c r="R1487" s="2716"/>
      <c r="S1487" s="2716"/>
      <c r="T1487" s="2716"/>
      <c r="U1487" s="2716"/>
      <c r="V1487" s="2717"/>
      <c r="W1487" s="161" t="s">
        <v>6</v>
      </c>
      <c r="X1487" s="162" t="s">
        <v>7</v>
      </c>
      <c r="Y1487" s="163"/>
      <c r="Z1487" s="163"/>
      <c r="AA1487" s="162"/>
      <c r="AB1487" s="206"/>
    </row>
    <row r="1488" spans="1:28" x14ac:dyDescent="0.2">
      <c r="A1488" s="2710"/>
      <c r="B1488" s="4"/>
      <c r="C1488" s="2710"/>
      <c r="D1488" s="2057" t="s">
        <v>9</v>
      </c>
      <c r="E1488" s="207" t="s">
        <v>10</v>
      </c>
      <c r="F1488" s="2718" t="s">
        <v>11</v>
      </c>
      <c r="G1488" s="2713"/>
      <c r="H1488" s="2714"/>
      <c r="I1488" s="160"/>
      <c r="J1488" s="208" t="s">
        <v>12</v>
      </c>
      <c r="K1488" s="160"/>
      <c r="L1488" s="2715" t="s">
        <v>2</v>
      </c>
      <c r="M1488" s="141"/>
      <c r="N1488" s="141"/>
      <c r="O1488" s="141"/>
      <c r="P1488" s="164"/>
      <c r="Q1488" s="209" t="s">
        <v>13</v>
      </c>
      <c r="R1488" s="210" t="s">
        <v>12</v>
      </c>
      <c r="S1488" s="141" t="s">
        <v>6</v>
      </c>
      <c r="T1488" s="2724" t="s">
        <v>14</v>
      </c>
      <c r="U1488" s="2725"/>
      <c r="V1488" s="165" t="s">
        <v>7</v>
      </c>
      <c r="W1488" s="166" t="s">
        <v>15</v>
      </c>
      <c r="X1488" s="5" t="s">
        <v>16</v>
      </c>
      <c r="Y1488" s="5" t="s">
        <v>17</v>
      </c>
      <c r="Z1488" s="5" t="s">
        <v>18</v>
      </c>
      <c r="AA1488" s="377"/>
      <c r="AB1488" s="378" t="s">
        <v>19</v>
      </c>
    </row>
    <row r="1489" spans="1:28" x14ac:dyDescent="0.2">
      <c r="A1489" s="2710"/>
      <c r="B1489" s="2057" t="s">
        <v>23</v>
      </c>
      <c r="C1489" s="2710"/>
      <c r="D1489" s="2057" t="s">
        <v>24</v>
      </c>
      <c r="E1489" s="207" t="s">
        <v>25</v>
      </c>
      <c r="F1489" s="2719"/>
      <c r="G1489" s="2720"/>
      <c r="H1489" s="2721"/>
      <c r="I1489" s="2057" t="s">
        <v>26</v>
      </c>
      <c r="J1489" s="211" t="s">
        <v>15</v>
      </c>
      <c r="K1489" s="2060" t="s">
        <v>6</v>
      </c>
      <c r="L1489" s="2722"/>
      <c r="M1489" s="142" t="s">
        <v>27</v>
      </c>
      <c r="N1489" s="142" t="s">
        <v>10</v>
      </c>
      <c r="O1489" s="212" t="s">
        <v>10</v>
      </c>
      <c r="P1489" s="213" t="s">
        <v>28</v>
      </c>
      <c r="Q1489" s="214" t="s">
        <v>29</v>
      </c>
      <c r="R1489" s="213" t="s">
        <v>15</v>
      </c>
      <c r="S1489" s="8" t="s">
        <v>15</v>
      </c>
      <c r="T1489" s="2726"/>
      <c r="U1489" s="2727"/>
      <c r="V1489" s="165" t="s">
        <v>30</v>
      </c>
      <c r="W1489" s="166" t="s">
        <v>31</v>
      </c>
      <c r="X1489" s="5" t="s">
        <v>30</v>
      </c>
      <c r="Y1489" s="5" t="s">
        <v>32</v>
      </c>
      <c r="Z1489" s="5" t="s">
        <v>7</v>
      </c>
      <c r="AA1489" s="377" t="s">
        <v>33</v>
      </c>
      <c r="AB1489" s="378" t="s">
        <v>34</v>
      </c>
    </row>
    <row r="1490" spans="1:28" x14ac:dyDescent="0.2">
      <c r="A1490" s="2710"/>
      <c r="B1490" s="2057" t="s">
        <v>39</v>
      </c>
      <c r="C1490" s="2710"/>
      <c r="D1490" s="2057" t="s">
        <v>40</v>
      </c>
      <c r="E1490" s="207" t="s">
        <v>41</v>
      </c>
      <c r="F1490" s="2709" t="s">
        <v>42</v>
      </c>
      <c r="G1490" s="2709" t="s">
        <v>43</v>
      </c>
      <c r="H1490" s="2728" t="s">
        <v>44</v>
      </c>
      <c r="I1490" s="2057" t="s">
        <v>45</v>
      </c>
      <c r="J1490" s="211" t="s">
        <v>46</v>
      </c>
      <c r="K1490" s="2060" t="s">
        <v>47</v>
      </c>
      <c r="L1490" s="2722"/>
      <c r="M1490" s="142" t="s">
        <v>30</v>
      </c>
      <c r="N1490" s="142" t="s">
        <v>30</v>
      </c>
      <c r="O1490" s="212" t="s">
        <v>25</v>
      </c>
      <c r="P1490" s="213" t="s">
        <v>30</v>
      </c>
      <c r="Q1490" s="214" t="s">
        <v>48</v>
      </c>
      <c r="R1490" s="213" t="s">
        <v>49</v>
      </c>
      <c r="S1490" s="8" t="s">
        <v>30</v>
      </c>
      <c r="T1490" s="215" t="s">
        <v>50</v>
      </c>
      <c r="U1490" s="2059" t="s">
        <v>13</v>
      </c>
      <c r="V1490" s="165" t="s">
        <v>51</v>
      </c>
      <c r="W1490" s="166" t="s">
        <v>52</v>
      </c>
      <c r="X1490" s="5" t="s">
        <v>53</v>
      </c>
      <c r="Y1490" s="5" t="s">
        <v>54</v>
      </c>
      <c r="Z1490" s="5" t="s">
        <v>55</v>
      </c>
      <c r="AA1490" s="377" t="s">
        <v>56</v>
      </c>
      <c r="AB1490" s="378" t="s">
        <v>57</v>
      </c>
    </row>
    <row r="1491" spans="1:28" x14ac:dyDescent="0.2">
      <c r="A1491" s="2710"/>
      <c r="B1491" s="2057" t="s">
        <v>61</v>
      </c>
      <c r="C1491" s="2710"/>
      <c r="D1491" s="2057" t="s">
        <v>62</v>
      </c>
      <c r="E1491" s="207" t="s">
        <v>63</v>
      </c>
      <c r="F1491" s="2710"/>
      <c r="G1491" s="2710"/>
      <c r="H1491" s="2729"/>
      <c r="I1491" s="2057" t="s">
        <v>64</v>
      </c>
      <c r="J1491" s="211" t="s">
        <v>59</v>
      </c>
      <c r="K1491" s="2060" t="s">
        <v>59</v>
      </c>
      <c r="L1491" s="2722"/>
      <c r="M1491" s="142"/>
      <c r="N1491" s="142"/>
      <c r="O1491" s="212" t="s">
        <v>41</v>
      </c>
      <c r="P1491" s="213" t="s">
        <v>65</v>
      </c>
      <c r="Q1491" s="214" t="s">
        <v>66</v>
      </c>
      <c r="R1491" s="213" t="s">
        <v>67</v>
      </c>
      <c r="S1491" s="8" t="s">
        <v>59</v>
      </c>
      <c r="T1491" s="216" t="s">
        <v>68</v>
      </c>
      <c r="U1491" s="165" t="s">
        <v>14</v>
      </c>
      <c r="V1491" s="165" t="s">
        <v>14</v>
      </c>
      <c r="W1491" s="166" t="s">
        <v>30</v>
      </c>
      <c r="X1491" s="167" t="s">
        <v>69</v>
      </c>
      <c r="Y1491" s="167" t="s">
        <v>70</v>
      </c>
      <c r="Z1491" s="5" t="s">
        <v>71</v>
      </c>
      <c r="AA1491" s="377" t="s">
        <v>72</v>
      </c>
      <c r="AB1491" s="378" t="s">
        <v>59</v>
      </c>
    </row>
    <row r="1492" spans="1:28" x14ac:dyDescent="0.2">
      <c r="A1492" s="2711"/>
      <c r="B1492" s="9"/>
      <c r="C1492" s="2711"/>
      <c r="D1492" s="9"/>
      <c r="E1492" s="2058"/>
      <c r="F1492" s="9"/>
      <c r="G1492" s="9"/>
      <c r="H1492" s="10"/>
      <c r="I1492" s="2058"/>
      <c r="J1492" s="217"/>
      <c r="K1492" s="168"/>
      <c r="L1492" s="2723"/>
      <c r="M1492" s="143"/>
      <c r="N1492" s="143"/>
      <c r="O1492" s="143" t="s">
        <v>63</v>
      </c>
      <c r="P1492" s="218"/>
      <c r="Q1492" s="219" t="s">
        <v>72</v>
      </c>
      <c r="R1492" s="220" t="s">
        <v>59</v>
      </c>
      <c r="S1492" s="169"/>
      <c r="T1492" s="220" t="s">
        <v>73</v>
      </c>
      <c r="U1492" s="169" t="s">
        <v>59</v>
      </c>
      <c r="V1492" s="170" t="s">
        <v>59</v>
      </c>
      <c r="W1492" s="171" t="s">
        <v>59</v>
      </c>
      <c r="X1492" s="172" t="s">
        <v>59</v>
      </c>
      <c r="Y1492" s="172" t="s">
        <v>59</v>
      </c>
      <c r="Z1492" s="172" t="s">
        <v>59</v>
      </c>
      <c r="AA1492" s="402"/>
      <c r="AB1492" s="403"/>
    </row>
    <row r="1493" spans="1:28" x14ac:dyDescent="0.2">
      <c r="A1493" s="53">
        <v>1</v>
      </c>
      <c r="B1493" s="2172">
        <v>78080</v>
      </c>
      <c r="C1493" s="959">
        <v>1914</v>
      </c>
      <c r="D1493" s="51" t="s">
        <v>83</v>
      </c>
      <c r="E1493" s="959">
        <v>4</v>
      </c>
      <c r="F1493" s="51">
        <v>0</v>
      </c>
      <c r="G1493" s="51">
        <v>1</v>
      </c>
      <c r="H1493" s="51">
        <v>8</v>
      </c>
      <c r="I1493" s="70">
        <f>F1493*400+G1493*100+H1493</f>
        <v>108</v>
      </c>
      <c r="J1493" s="71">
        <v>430</v>
      </c>
      <c r="K1493" s="78">
        <f>SUM(I1493*J1493)</f>
        <v>46440</v>
      </c>
      <c r="L1493" s="75"/>
      <c r="M1493" s="51"/>
      <c r="N1493" s="51"/>
      <c r="O1493" s="155"/>
      <c r="P1493" s="824"/>
      <c r="Q1493" s="156"/>
      <c r="R1493" s="157"/>
      <c r="S1493" s="123"/>
      <c r="T1493" s="51"/>
      <c r="U1493" s="204"/>
      <c r="V1493" s="70"/>
      <c r="W1493" s="123">
        <f>K1493+V1493</f>
        <v>46440</v>
      </c>
      <c r="X1493" s="70">
        <f>W1493</f>
        <v>46440</v>
      </c>
      <c r="Y1493" s="71"/>
      <c r="Z1493" s="123">
        <f>+X1493</f>
        <v>46440</v>
      </c>
      <c r="AA1493" s="2074">
        <v>0.3</v>
      </c>
      <c r="AB1493" s="406">
        <f>+Z1493*AA1493/100</f>
        <v>139.32</v>
      </c>
    </row>
    <row r="1494" spans="1:28" x14ac:dyDescent="0.2">
      <c r="A1494" s="52"/>
      <c r="B1494" s="54"/>
      <c r="C1494" s="960"/>
      <c r="D1494" s="54"/>
      <c r="E1494" s="115"/>
      <c r="F1494" s="54"/>
      <c r="G1494" s="960"/>
      <c r="H1494" s="54"/>
      <c r="I1494" s="121"/>
      <c r="J1494" s="108"/>
      <c r="K1494" s="78"/>
      <c r="L1494" s="75"/>
      <c r="M1494" s="105"/>
      <c r="N1494" s="105"/>
      <c r="O1494" s="113"/>
      <c r="P1494" s="131"/>
      <c r="Q1494" s="132"/>
      <c r="R1494" s="133"/>
      <c r="S1494" s="2072"/>
      <c r="T1494" s="105"/>
      <c r="U1494" s="117"/>
      <c r="V1494" s="77"/>
      <c r="W1494" s="121"/>
      <c r="X1494" s="74"/>
      <c r="Y1494" s="117"/>
      <c r="Z1494" s="121"/>
      <c r="AA1494" s="2074"/>
      <c r="AB1494" s="410"/>
    </row>
    <row r="1495" spans="1:28" x14ac:dyDescent="0.2">
      <c r="A1495" s="52"/>
      <c r="B1495" s="54"/>
      <c r="C1495" s="961"/>
      <c r="D1495" s="105"/>
      <c r="E1495" s="115"/>
      <c r="F1495" s="54"/>
      <c r="G1495" s="81"/>
      <c r="H1495" s="54"/>
      <c r="I1495" s="77"/>
      <c r="J1495" s="108"/>
      <c r="K1495" s="78"/>
      <c r="L1495" s="52"/>
      <c r="M1495" s="52"/>
      <c r="N1495" s="52"/>
      <c r="O1495" s="52"/>
      <c r="P1495" s="962"/>
      <c r="Q1495" s="963"/>
      <c r="R1495" s="964"/>
      <c r="S1495" s="965"/>
      <c r="T1495" s="966"/>
      <c r="U1495" s="965"/>
      <c r="V1495" s="965"/>
      <c r="W1495" s="2072"/>
      <c r="X1495" s="121"/>
      <c r="Y1495" s="108"/>
      <c r="Z1495" s="2072"/>
      <c r="AA1495" s="2074"/>
      <c r="AB1495" s="466"/>
    </row>
    <row r="1496" spans="1:28" x14ac:dyDescent="0.2">
      <c r="A1496" s="2070"/>
      <c r="B1496" s="177"/>
      <c r="C1496" s="177"/>
      <c r="D1496" s="2070"/>
      <c r="E1496" s="2070"/>
      <c r="F1496" s="2070"/>
      <c r="G1496" s="2070"/>
      <c r="H1496" s="2076"/>
      <c r="I1496" s="2072"/>
      <c r="J1496" s="178"/>
      <c r="K1496" s="826"/>
      <c r="L1496" s="2070"/>
      <c r="M1496" s="2070"/>
      <c r="N1496" s="2070"/>
      <c r="O1496" s="2070"/>
      <c r="P1496" s="2076"/>
      <c r="Q1496" s="2071"/>
      <c r="R1496" s="827"/>
      <c r="S1496" s="826"/>
      <c r="T1496" s="179"/>
      <c r="U1496" s="828"/>
      <c r="V1496" s="826"/>
      <c r="W1496" s="826"/>
      <c r="X1496" s="829"/>
      <c r="Y1496" s="829"/>
      <c r="Z1496" s="830"/>
      <c r="AA1496" s="764"/>
      <c r="AB1496" s="466"/>
    </row>
    <row r="1497" spans="1:28" x14ac:dyDescent="0.2">
      <c r="A1497" s="2070"/>
      <c r="B1497" s="177"/>
      <c r="C1497" s="177"/>
      <c r="D1497" s="2070"/>
      <c r="E1497" s="2070"/>
      <c r="F1497" s="2070"/>
      <c r="G1497" s="2070"/>
      <c r="H1497" s="2076"/>
      <c r="I1497" s="2072"/>
      <c r="J1497" s="178"/>
      <c r="K1497" s="826"/>
      <c r="L1497" s="2070"/>
      <c r="M1497" s="2070"/>
      <c r="N1497" s="2070"/>
      <c r="O1497" s="2070"/>
      <c r="P1497" s="2076"/>
      <c r="Q1497" s="2071"/>
      <c r="R1497" s="827"/>
      <c r="S1497" s="826"/>
      <c r="T1497" s="179"/>
      <c r="U1497" s="828"/>
      <c r="V1497" s="826"/>
      <c r="W1497" s="826"/>
      <c r="X1497" s="829"/>
      <c r="Y1497" s="829"/>
      <c r="Z1497" s="830"/>
      <c r="AA1497" s="764"/>
      <c r="AB1497" s="466"/>
    </row>
    <row r="1498" spans="1:28" x14ac:dyDescent="0.2">
      <c r="A1498" s="2070"/>
      <c r="B1498" s="177"/>
      <c r="C1498" s="177"/>
      <c r="D1498" s="2070"/>
      <c r="E1498" s="2070"/>
      <c r="F1498" s="2070"/>
      <c r="G1498" s="2070"/>
      <c r="H1498" s="2076"/>
      <c r="I1498" s="2072"/>
      <c r="J1498" s="178"/>
      <c r="K1498" s="826"/>
      <c r="L1498" s="2070"/>
      <c r="M1498" s="2070"/>
      <c r="N1498" s="2070"/>
      <c r="O1498" s="2070"/>
      <c r="P1498" s="2076"/>
      <c r="Q1498" s="2071"/>
      <c r="R1498" s="827"/>
      <c r="S1498" s="826"/>
      <c r="T1498" s="179"/>
      <c r="U1498" s="828"/>
      <c r="V1498" s="826"/>
      <c r="W1498" s="826"/>
      <c r="X1498" s="829"/>
      <c r="Y1498" s="829"/>
      <c r="Z1498" s="830"/>
      <c r="AA1498" s="764"/>
      <c r="AB1498" s="466"/>
    </row>
    <row r="1499" spans="1:28" x14ac:dyDescent="0.2">
      <c r="A1499" s="2070"/>
      <c r="B1499" s="177"/>
      <c r="C1499" s="177"/>
      <c r="D1499" s="2070"/>
      <c r="E1499" s="2070"/>
      <c r="F1499" s="2070"/>
      <c r="G1499" s="2070"/>
      <c r="H1499" s="2076"/>
      <c r="I1499" s="2072"/>
      <c r="J1499" s="178"/>
      <c r="K1499" s="826"/>
      <c r="L1499" s="2070"/>
      <c r="M1499" s="2070"/>
      <c r="N1499" s="2070"/>
      <c r="O1499" s="2070"/>
      <c r="P1499" s="2076"/>
      <c r="Q1499" s="2071"/>
      <c r="R1499" s="827"/>
      <c r="S1499" s="826"/>
      <c r="T1499" s="179"/>
      <c r="U1499" s="828"/>
      <c r="V1499" s="826"/>
      <c r="W1499" s="826"/>
      <c r="X1499" s="829"/>
      <c r="Y1499" s="829"/>
      <c r="Z1499" s="830"/>
      <c r="AA1499" s="764"/>
      <c r="AB1499" s="466"/>
    </row>
    <row r="1500" spans="1:28" x14ac:dyDescent="0.2">
      <c r="A1500" s="2070"/>
      <c r="B1500" s="177"/>
      <c r="C1500" s="177"/>
      <c r="D1500" s="2070"/>
      <c r="E1500" s="2070"/>
      <c r="F1500" s="2070"/>
      <c r="G1500" s="2070"/>
      <c r="H1500" s="2076"/>
      <c r="I1500" s="2072"/>
      <c r="J1500" s="178"/>
      <c r="K1500" s="826"/>
      <c r="L1500" s="2070"/>
      <c r="M1500" s="2070"/>
      <c r="N1500" s="2070"/>
      <c r="O1500" s="2070"/>
      <c r="P1500" s="2076"/>
      <c r="Q1500" s="2071"/>
      <c r="R1500" s="827"/>
      <c r="S1500" s="826"/>
      <c r="T1500" s="179"/>
      <c r="U1500" s="828"/>
      <c r="V1500" s="826"/>
      <c r="W1500" s="826"/>
      <c r="X1500" s="829"/>
      <c r="Y1500" s="829"/>
      <c r="Z1500" s="830"/>
      <c r="AA1500" s="764"/>
      <c r="AB1500" s="466"/>
    </row>
    <row r="1501" spans="1:28" x14ac:dyDescent="0.2">
      <c r="A1501" s="2070"/>
      <c r="B1501" s="177"/>
      <c r="C1501" s="177"/>
      <c r="D1501" s="2070"/>
      <c r="E1501" s="2070"/>
      <c r="F1501" s="2070"/>
      <c r="G1501" s="2070"/>
      <c r="H1501" s="2076"/>
      <c r="I1501" s="2072"/>
      <c r="J1501" s="178"/>
      <c r="K1501" s="826"/>
      <c r="L1501" s="2070"/>
      <c r="M1501" s="2070"/>
      <c r="N1501" s="2070"/>
      <c r="O1501" s="2070"/>
      <c r="P1501" s="2076"/>
      <c r="Q1501" s="2071"/>
      <c r="R1501" s="827"/>
      <c r="S1501" s="826"/>
      <c r="T1501" s="179"/>
      <c r="U1501" s="828"/>
      <c r="V1501" s="826"/>
      <c r="W1501" s="826"/>
      <c r="X1501" s="829"/>
      <c r="Y1501" s="829"/>
      <c r="Z1501" s="830"/>
      <c r="AA1501" s="764"/>
      <c r="AB1501" s="466"/>
    </row>
    <row r="1502" spans="1:28" x14ac:dyDescent="0.2">
      <c r="A1502" s="2070"/>
      <c r="B1502" s="177"/>
      <c r="C1502" s="177"/>
      <c r="D1502" s="2070"/>
      <c r="E1502" s="2070"/>
      <c r="F1502" s="2070"/>
      <c r="G1502" s="2070"/>
      <c r="H1502" s="2076"/>
      <c r="I1502" s="2072"/>
      <c r="J1502" s="178"/>
      <c r="K1502" s="826"/>
      <c r="L1502" s="2070"/>
      <c r="M1502" s="2070"/>
      <c r="N1502" s="2070"/>
      <c r="O1502" s="2070"/>
      <c r="P1502" s="2076"/>
      <c r="Q1502" s="2071"/>
      <c r="R1502" s="827"/>
      <c r="S1502" s="826"/>
      <c r="T1502" s="179"/>
      <c r="U1502" s="828"/>
      <c r="V1502" s="826"/>
      <c r="W1502" s="826"/>
      <c r="X1502" s="829"/>
      <c r="Y1502" s="829"/>
      <c r="Z1502" s="830"/>
      <c r="AA1502" s="764"/>
      <c r="AB1502" s="466"/>
    </row>
    <row r="1503" spans="1:28" x14ac:dyDescent="0.2">
      <c r="A1503" s="2070"/>
      <c r="B1503" s="177"/>
      <c r="C1503" s="177"/>
      <c r="D1503" s="2070"/>
      <c r="E1503" s="2070"/>
      <c r="F1503" s="2070"/>
      <c r="G1503" s="2070"/>
      <c r="H1503" s="2076"/>
      <c r="I1503" s="2072"/>
      <c r="J1503" s="178"/>
      <c r="K1503" s="826"/>
      <c r="L1503" s="2070"/>
      <c r="M1503" s="2070"/>
      <c r="N1503" s="2070"/>
      <c r="O1503" s="2070"/>
      <c r="P1503" s="2076"/>
      <c r="Q1503" s="2071"/>
      <c r="R1503" s="827"/>
      <c r="S1503" s="826"/>
      <c r="T1503" s="179"/>
      <c r="U1503" s="828"/>
      <c r="V1503" s="826"/>
      <c r="W1503" s="826"/>
      <c r="X1503" s="829"/>
      <c r="Y1503" s="829"/>
      <c r="Z1503" s="830"/>
      <c r="AA1503" s="764"/>
      <c r="AB1503" s="466"/>
    </row>
    <row r="1504" spans="1:28" x14ac:dyDescent="0.2">
      <c r="A1504" s="2070"/>
      <c r="B1504" s="177"/>
      <c r="C1504" s="177"/>
      <c r="D1504" s="2070"/>
      <c r="E1504" s="2070"/>
      <c r="F1504" s="2070"/>
      <c r="G1504" s="2070"/>
      <c r="H1504" s="2076"/>
      <c r="I1504" s="2072"/>
      <c r="J1504" s="178"/>
      <c r="K1504" s="826"/>
      <c r="L1504" s="2070"/>
      <c r="M1504" s="2070"/>
      <c r="N1504" s="2070"/>
      <c r="O1504" s="2070"/>
      <c r="P1504" s="2076"/>
      <c r="Q1504" s="2071"/>
      <c r="R1504" s="827"/>
      <c r="S1504" s="826"/>
      <c r="T1504" s="179"/>
      <c r="U1504" s="828"/>
      <c r="V1504" s="826"/>
      <c r="W1504" s="826"/>
      <c r="X1504" s="829"/>
      <c r="Y1504" s="829"/>
      <c r="Z1504" s="830"/>
      <c r="AA1504" s="764"/>
      <c r="AB1504" s="466"/>
    </row>
    <row r="1505" spans="1:28" x14ac:dyDescent="0.2">
      <c r="A1505" s="2070"/>
      <c r="B1505" s="177"/>
      <c r="C1505" s="177"/>
      <c r="D1505" s="2070"/>
      <c r="E1505" s="2070"/>
      <c r="F1505" s="2070"/>
      <c r="G1505" s="2070"/>
      <c r="H1505" s="2076"/>
      <c r="I1505" s="2072"/>
      <c r="J1505" s="178"/>
      <c r="K1505" s="826"/>
      <c r="L1505" s="2070"/>
      <c r="M1505" s="2070"/>
      <c r="N1505" s="2070"/>
      <c r="O1505" s="2070"/>
      <c r="P1505" s="2076"/>
      <c r="Q1505" s="2071"/>
      <c r="R1505" s="827"/>
      <c r="S1505" s="826"/>
      <c r="T1505" s="179"/>
      <c r="U1505" s="828"/>
      <c r="V1505" s="826"/>
      <c r="W1505" s="826"/>
      <c r="X1505" s="829"/>
      <c r="Y1505" s="829"/>
      <c r="Z1505" s="830"/>
      <c r="AA1505" s="764"/>
      <c r="AB1505" s="466"/>
    </row>
    <row r="1506" spans="1:28" x14ac:dyDescent="0.2">
      <c r="A1506" s="2070"/>
      <c r="B1506" s="177"/>
      <c r="C1506" s="177"/>
      <c r="D1506" s="2070"/>
      <c r="E1506" s="2070"/>
      <c r="F1506" s="2070"/>
      <c r="G1506" s="2070"/>
      <c r="H1506" s="2076"/>
      <c r="I1506" s="2072"/>
      <c r="J1506" s="178"/>
      <c r="K1506" s="826"/>
      <c r="L1506" s="2070"/>
      <c r="M1506" s="2070"/>
      <c r="N1506" s="2070"/>
      <c r="O1506" s="2070"/>
      <c r="P1506" s="2076"/>
      <c r="Q1506" s="2071"/>
      <c r="R1506" s="827"/>
      <c r="S1506" s="826"/>
      <c r="T1506" s="179"/>
      <c r="U1506" s="828"/>
      <c r="V1506" s="826"/>
      <c r="W1506" s="826"/>
      <c r="X1506" s="829"/>
      <c r="Y1506" s="829"/>
      <c r="Z1506" s="830"/>
      <c r="AA1506" s="764"/>
      <c r="AB1506" s="466"/>
    </row>
    <row r="1507" spans="1:28" x14ac:dyDescent="0.2">
      <c r="A1507" s="2070"/>
      <c r="B1507" s="177"/>
      <c r="C1507" s="177"/>
      <c r="D1507" s="2070"/>
      <c r="E1507" s="2070"/>
      <c r="F1507" s="2070"/>
      <c r="G1507" s="2070"/>
      <c r="H1507" s="2076"/>
      <c r="I1507" s="2072"/>
      <c r="J1507" s="178"/>
      <c r="K1507" s="826"/>
      <c r="L1507" s="2070"/>
      <c r="M1507" s="2070"/>
      <c r="N1507" s="2070"/>
      <c r="O1507" s="2070"/>
      <c r="P1507" s="2076"/>
      <c r="Q1507" s="2071"/>
      <c r="R1507" s="827"/>
      <c r="S1507" s="826"/>
      <c r="T1507" s="179"/>
      <c r="U1507" s="828"/>
      <c r="V1507" s="826"/>
      <c r="W1507" s="826"/>
      <c r="X1507" s="829"/>
      <c r="Y1507" s="829"/>
      <c r="Z1507" s="830"/>
      <c r="AA1507" s="764"/>
      <c r="AB1507" s="466"/>
    </row>
    <row r="1508" spans="1:28" x14ac:dyDescent="0.2">
      <c r="A1508" s="88"/>
      <c r="B1508" s="180"/>
      <c r="C1508" s="180"/>
      <c r="D1508" s="88"/>
      <c r="E1508" s="88"/>
      <c r="F1508" s="88"/>
      <c r="G1508" s="88"/>
      <c r="H1508" s="120"/>
      <c r="I1508" s="121"/>
      <c r="J1508" s="181"/>
      <c r="K1508" s="833"/>
      <c r="L1508" s="88"/>
      <c r="M1508" s="88"/>
      <c r="N1508" s="88"/>
      <c r="O1508" s="88"/>
      <c r="P1508" s="88"/>
      <c r="Q1508" s="129"/>
      <c r="R1508" s="834"/>
      <c r="S1508" s="833"/>
      <c r="T1508" s="182"/>
      <c r="U1508" s="835"/>
      <c r="V1508" s="833"/>
      <c r="W1508" s="833"/>
      <c r="X1508" s="836"/>
      <c r="Y1508" s="836"/>
      <c r="Z1508" s="837"/>
      <c r="AA1508" s="780"/>
      <c r="AB1508" s="410"/>
    </row>
    <row r="1509" spans="1:28" x14ac:dyDescent="0.2">
      <c r="A1509" s="1850"/>
      <c r="B1509" s="1850"/>
      <c r="C1509" s="1850"/>
      <c r="D1509" s="1850"/>
      <c r="E1509" s="1850"/>
      <c r="F1509" s="1850"/>
      <c r="G1509" s="1850"/>
      <c r="H1509" s="1851"/>
      <c r="I1509" s="1852"/>
      <c r="J1509" s="1853"/>
      <c r="K1509" s="1929"/>
      <c r="L1509" s="1929"/>
      <c r="M1509" s="1929"/>
      <c r="N1509" s="1929"/>
      <c r="O1509" s="1929"/>
      <c r="P1509" s="1929"/>
      <c r="Q1509" s="1929"/>
      <c r="R1509" s="1930"/>
      <c r="S1509" s="1929"/>
      <c r="T1509" s="1855"/>
      <c r="U1509" s="1931"/>
      <c r="V1509" s="1929"/>
      <c r="W1509" s="1929"/>
      <c r="X1509" s="1932"/>
      <c r="Y1509" s="1932"/>
      <c r="Z1509" s="1933"/>
      <c r="AA1509" s="2173"/>
      <c r="AB1509" s="1847">
        <f>SUM(AB1493:AB1508)</f>
        <v>139.32</v>
      </c>
    </row>
    <row r="1510" spans="1:28" ht="15.75" x14ac:dyDescent="0.2">
      <c r="A1510" s="2730" t="s">
        <v>76</v>
      </c>
      <c r="B1510" s="2730"/>
      <c r="C1510" s="2731" t="s">
        <v>77</v>
      </c>
      <c r="D1510" s="2731"/>
      <c r="E1510" s="2731"/>
      <c r="F1510" s="2731"/>
      <c r="G1510" s="2731"/>
      <c r="H1510" s="2731"/>
      <c r="I1510" s="843" t="s">
        <v>78</v>
      </c>
      <c r="J1510" s="843"/>
      <c r="K1510" s="843"/>
      <c r="L1510" s="843"/>
      <c r="M1510" s="843"/>
      <c r="N1510" s="843"/>
      <c r="O1510" s="844"/>
      <c r="P1510" s="844"/>
      <c r="Q1510" s="844"/>
      <c r="R1510" s="844"/>
      <c r="S1510" s="844"/>
      <c r="T1510" s="844"/>
      <c r="U1510" s="844"/>
      <c r="V1510" s="844"/>
      <c r="W1510" s="844"/>
      <c r="X1510" s="844"/>
      <c r="Y1510" s="844"/>
      <c r="Z1510" s="844"/>
      <c r="AA1510" s="968"/>
      <c r="AB1510" s="845"/>
    </row>
    <row r="1511" spans="1:28" ht="15.75" x14ac:dyDescent="0.2">
      <c r="A1511" s="843"/>
      <c r="B1511" s="846"/>
      <c r="C1511" s="843"/>
      <c r="D1511" s="843"/>
      <c r="E1511" s="843"/>
      <c r="F1511" s="843"/>
      <c r="G1511" s="843"/>
      <c r="H1511" s="843"/>
      <c r="I1511" s="843" t="s">
        <v>79</v>
      </c>
      <c r="J1511" s="843"/>
      <c r="K1511" s="843"/>
      <c r="L1511" s="843"/>
      <c r="M1511" s="843"/>
      <c r="N1511" s="843"/>
      <c r="O1511" s="844"/>
      <c r="P1511" s="844"/>
      <c r="Q1511" s="844"/>
      <c r="R1511" s="844"/>
      <c r="S1511" s="844"/>
      <c r="T1511" s="844"/>
      <c r="U1511" s="844"/>
      <c r="V1511" s="844"/>
      <c r="W1511" s="844"/>
      <c r="X1511" s="844"/>
      <c r="Y1511" s="844"/>
      <c r="Z1511" s="844"/>
      <c r="AA1511" s="968"/>
      <c r="AB1511" s="845"/>
    </row>
    <row r="1512" spans="1:28" ht="15.75" x14ac:dyDescent="0.2">
      <c r="A1512" s="843"/>
      <c r="B1512" s="846"/>
      <c r="C1512" s="843"/>
      <c r="D1512" s="843"/>
      <c r="E1512" s="843"/>
      <c r="F1512" s="843"/>
      <c r="G1512" s="843"/>
      <c r="H1512" s="843"/>
      <c r="I1512" s="843" t="s">
        <v>80</v>
      </c>
      <c r="J1512" s="843"/>
      <c r="K1512" s="843"/>
      <c r="L1512" s="843"/>
      <c r="M1512" s="843"/>
      <c r="N1512" s="843"/>
      <c r="O1512" s="844"/>
      <c r="P1512" s="844"/>
      <c r="Q1512" s="844"/>
      <c r="R1512" s="844"/>
      <c r="S1512" s="844"/>
      <c r="T1512" s="844"/>
      <c r="U1512" s="844"/>
      <c r="V1512" s="844"/>
      <c r="W1512" s="844"/>
      <c r="X1512" s="844"/>
      <c r="Y1512" s="844"/>
      <c r="Z1512" s="844"/>
      <c r="AA1512" s="968"/>
      <c r="AB1512" s="845"/>
    </row>
    <row r="1513" spans="1:28" ht="15.75" x14ac:dyDescent="0.2">
      <c r="A1513" s="843"/>
      <c r="B1513" s="846"/>
      <c r="C1513" s="843"/>
      <c r="D1513" s="843"/>
      <c r="E1513" s="843"/>
      <c r="F1513" s="843"/>
      <c r="G1513" s="843"/>
      <c r="H1513" s="843"/>
      <c r="I1513" s="843" t="s">
        <v>81</v>
      </c>
      <c r="J1513" s="843"/>
      <c r="K1513" s="843"/>
      <c r="L1513" s="843"/>
      <c r="M1513" s="843"/>
      <c r="N1513" s="843"/>
      <c r="O1513" s="844"/>
      <c r="P1513" s="844"/>
      <c r="Q1513" s="844"/>
      <c r="R1513" s="844"/>
      <c r="S1513" s="844"/>
      <c r="T1513" s="844"/>
      <c r="U1513" s="844"/>
      <c r="V1513" s="844"/>
      <c r="W1513" s="844"/>
      <c r="X1513" s="844"/>
      <c r="Y1513" s="844"/>
      <c r="Z1513" s="844"/>
      <c r="AA1513" s="968"/>
      <c r="AB1513" s="845"/>
    </row>
    <row r="1514" spans="1:28" ht="15.75" x14ac:dyDescent="0.2">
      <c r="A1514" s="843"/>
      <c r="B1514" s="846"/>
      <c r="C1514" s="843"/>
      <c r="D1514" s="843"/>
      <c r="E1514" s="843"/>
      <c r="F1514" s="843"/>
      <c r="G1514" s="843"/>
      <c r="H1514" s="843"/>
      <c r="I1514" s="843" t="s">
        <v>88</v>
      </c>
      <c r="J1514" s="843"/>
      <c r="K1514" s="843"/>
      <c r="L1514" s="843"/>
      <c r="M1514" s="843"/>
      <c r="N1514" s="843"/>
      <c r="O1514" s="844"/>
      <c r="P1514" s="844"/>
      <c r="Q1514" s="844"/>
      <c r="R1514" s="844"/>
      <c r="S1514" s="844"/>
      <c r="T1514" s="844"/>
      <c r="U1514" s="844"/>
      <c r="V1514" s="844"/>
      <c r="W1514" s="844"/>
      <c r="X1514" s="844"/>
      <c r="Y1514" s="844"/>
      <c r="Z1514" s="844"/>
      <c r="AA1514" s="968"/>
      <c r="AB1514" s="845"/>
    </row>
  </sheetData>
  <mergeCells count="765">
    <mergeCell ref="A1510:B1510"/>
    <mergeCell ref="C1510:H1510"/>
    <mergeCell ref="A1487:A1492"/>
    <mergeCell ref="C1487:C1492"/>
    <mergeCell ref="F1487:K1487"/>
    <mergeCell ref="M1487:V1487"/>
    <mergeCell ref="F1488:H1489"/>
    <mergeCell ref="L1488:L1492"/>
    <mergeCell ref="T1488:U1489"/>
    <mergeCell ref="F1490:F1491"/>
    <mergeCell ref="G1490:G1491"/>
    <mergeCell ref="H1490:H1491"/>
    <mergeCell ref="H1459:H1460"/>
    <mergeCell ref="A1479:B1479"/>
    <mergeCell ref="C1479:H1479"/>
    <mergeCell ref="AA1484:AB1484"/>
    <mergeCell ref="A1485:AB1485"/>
    <mergeCell ref="A1486:AB1486"/>
    <mergeCell ref="A1455:AB1455"/>
    <mergeCell ref="A1456:A1461"/>
    <mergeCell ref="C1456:C1461"/>
    <mergeCell ref="F1456:K1456"/>
    <mergeCell ref="M1456:V1456"/>
    <mergeCell ref="F1457:H1458"/>
    <mergeCell ref="L1457:L1461"/>
    <mergeCell ref="T1457:U1458"/>
    <mergeCell ref="F1459:F1460"/>
    <mergeCell ref="G1459:G1460"/>
    <mergeCell ref="G1428:G1429"/>
    <mergeCell ref="H1428:H1429"/>
    <mergeCell ref="A1448:B1448"/>
    <mergeCell ref="C1448:H1448"/>
    <mergeCell ref="AA1453:AB1453"/>
    <mergeCell ref="A1454:AB1454"/>
    <mergeCell ref="A1423:AB1423"/>
    <mergeCell ref="A1424:AB1424"/>
    <mergeCell ref="A1425:A1430"/>
    <mergeCell ref="C1425:C1430"/>
    <mergeCell ref="F1425:K1425"/>
    <mergeCell ref="M1425:V1425"/>
    <mergeCell ref="F1426:H1427"/>
    <mergeCell ref="L1426:L1430"/>
    <mergeCell ref="T1426:U1427"/>
    <mergeCell ref="F1428:F1429"/>
    <mergeCell ref="AA1422:AB1422"/>
    <mergeCell ref="AA1391:AB1391"/>
    <mergeCell ref="A1392:AB1392"/>
    <mergeCell ref="A1393:AB1393"/>
    <mergeCell ref="A1394:A1399"/>
    <mergeCell ref="C1394:C1399"/>
    <mergeCell ref="F1394:K1394"/>
    <mergeCell ref="M1394:V1394"/>
    <mergeCell ref="F1395:H1396"/>
    <mergeCell ref="L1395:L1399"/>
    <mergeCell ref="T1395:U1396"/>
    <mergeCell ref="A1386:B1386"/>
    <mergeCell ref="C1386:H1386"/>
    <mergeCell ref="A1355:B1355"/>
    <mergeCell ref="C1355:H1355"/>
    <mergeCell ref="F1397:F1398"/>
    <mergeCell ref="G1397:G1398"/>
    <mergeCell ref="H1397:H1398"/>
    <mergeCell ref="A1417:B1417"/>
    <mergeCell ref="C1417:H1417"/>
    <mergeCell ref="AA1360:AB1360"/>
    <mergeCell ref="A1361:AB1361"/>
    <mergeCell ref="A1362:AB1362"/>
    <mergeCell ref="A1363:A1368"/>
    <mergeCell ref="C1363:C1368"/>
    <mergeCell ref="F1363:K1363"/>
    <mergeCell ref="M1363:V1363"/>
    <mergeCell ref="F1364:H1365"/>
    <mergeCell ref="A1333:A1338"/>
    <mergeCell ref="C1333:C1338"/>
    <mergeCell ref="F1333:K1333"/>
    <mergeCell ref="M1333:V1333"/>
    <mergeCell ref="F1334:H1335"/>
    <mergeCell ref="L1334:L1338"/>
    <mergeCell ref="T1334:U1335"/>
    <mergeCell ref="F1336:F1337"/>
    <mergeCell ref="G1336:G1337"/>
    <mergeCell ref="H1336:H1337"/>
    <mergeCell ref="L1364:L1368"/>
    <mergeCell ref="T1364:U1365"/>
    <mergeCell ref="F1366:F1367"/>
    <mergeCell ref="G1366:G1367"/>
    <mergeCell ref="H1366:H1367"/>
    <mergeCell ref="H1305:H1306"/>
    <mergeCell ref="A1324:B1324"/>
    <mergeCell ref="C1324:H1324"/>
    <mergeCell ref="AA1330:AB1330"/>
    <mergeCell ref="A1331:AB1331"/>
    <mergeCell ref="A1332:AB1332"/>
    <mergeCell ref="A1301:AB1301"/>
    <mergeCell ref="A1302:A1307"/>
    <mergeCell ref="C1302:C1307"/>
    <mergeCell ref="F1302:K1302"/>
    <mergeCell ref="M1302:V1302"/>
    <mergeCell ref="F1303:H1304"/>
    <mergeCell ref="L1303:L1307"/>
    <mergeCell ref="T1303:U1304"/>
    <mergeCell ref="F1305:F1306"/>
    <mergeCell ref="G1305:G1306"/>
    <mergeCell ref="G1274:G1275"/>
    <mergeCell ref="H1274:H1275"/>
    <mergeCell ref="A1293:B1293"/>
    <mergeCell ref="C1293:H1293"/>
    <mergeCell ref="AA1299:AB1299"/>
    <mergeCell ref="A1300:AB1300"/>
    <mergeCell ref="A1269:AB1269"/>
    <mergeCell ref="A1270:AB1270"/>
    <mergeCell ref="A1271:A1276"/>
    <mergeCell ref="C1271:C1276"/>
    <mergeCell ref="F1271:K1271"/>
    <mergeCell ref="M1271:V1271"/>
    <mergeCell ref="F1272:H1273"/>
    <mergeCell ref="L1272:L1276"/>
    <mergeCell ref="T1272:U1273"/>
    <mergeCell ref="F1274:F1275"/>
    <mergeCell ref="AA1268:AB1268"/>
    <mergeCell ref="AA1237:AB1237"/>
    <mergeCell ref="A1238:AB1238"/>
    <mergeCell ref="A1239:AB1239"/>
    <mergeCell ref="A1240:A1245"/>
    <mergeCell ref="C1240:C1245"/>
    <mergeCell ref="F1240:K1240"/>
    <mergeCell ref="M1240:V1240"/>
    <mergeCell ref="F1241:H1242"/>
    <mergeCell ref="L1241:L1245"/>
    <mergeCell ref="T1241:U1242"/>
    <mergeCell ref="A1231:B1231"/>
    <mergeCell ref="C1231:H1231"/>
    <mergeCell ref="A1200:B1200"/>
    <mergeCell ref="C1200:H1200"/>
    <mergeCell ref="F1243:F1244"/>
    <mergeCell ref="G1243:G1244"/>
    <mergeCell ref="H1243:H1244"/>
    <mergeCell ref="A1262:B1262"/>
    <mergeCell ref="C1262:H1262"/>
    <mergeCell ref="AA1206:AB1206"/>
    <mergeCell ref="A1207:AB1207"/>
    <mergeCell ref="A1208:AB1208"/>
    <mergeCell ref="A1209:A1214"/>
    <mergeCell ref="C1209:C1214"/>
    <mergeCell ref="F1209:K1209"/>
    <mergeCell ref="M1209:V1209"/>
    <mergeCell ref="F1210:H1211"/>
    <mergeCell ref="A1177:A1182"/>
    <mergeCell ref="C1177:C1182"/>
    <mergeCell ref="F1177:K1177"/>
    <mergeCell ref="M1177:V1177"/>
    <mergeCell ref="F1178:H1179"/>
    <mergeCell ref="L1178:L1182"/>
    <mergeCell ref="T1178:U1179"/>
    <mergeCell ref="F1180:F1181"/>
    <mergeCell ref="G1180:G1181"/>
    <mergeCell ref="H1180:H1181"/>
    <mergeCell ref="L1210:L1214"/>
    <mergeCell ref="T1210:U1211"/>
    <mergeCell ref="F1212:F1213"/>
    <mergeCell ref="G1212:G1213"/>
    <mergeCell ref="H1212:H1213"/>
    <mergeCell ref="H1150:H1151"/>
    <mergeCell ref="A1169:B1169"/>
    <mergeCell ref="C1169:H1169"/>
    <mergeCell ref="AA1174:AB1174"/>
    <mergeCell ref="A1175:AB1175"/>
    <mergeCell ref="A1176:AB1176"/>
    <mergeCell ref="A1146:AB1146"/>
    <mergeCell ref="A1147:A1152"/>
    <mergeCell ref="C1147:C1152"/>
    <mergeCell ref="F1147:K1147"/>
    <mergeCell ref="M1147:V1147"/>
    <mergeCell ref="F1148:H1149"/>
    <mergeCell ref="L1148:L1152"/>
    <mergeCell ref="T1148:U1149"/>
    <mergeCell ref="F1150:F1151"/>
    <mergeCell ref="G1150:G1151"/>
    <mergeCell ref="G1096:G1097"/>
    <mergeCell ref="H1096:H1097"/>
    <mergeCell ref="A1111:B1111"/>
    <mergeCell ref="C1111:H1111"/>
    <mergeCell ref="AA1144:AB1144"/>
    <mergeCell ref="A1145:AB1145"/>
    <mergeCell ref="A1091:AB1091"/>
    <mergeCell ref="A1092:AB1092"/>
    <mergeCell ref="A1093:A1098"/>
    <mergeCell ref="C1093:C1098"/>
    <mergeCell ref="F1093:K1093"/>
    <mergeCell ref="M1093:V1093"/>
    <mergeCell ref="F1094:H1095"/>
    <mergeCell ref="L1094:L1098"/>
    <mergeCell ref="T1094:U1095"/>
    <mergeCell ref="F1096:F1097"/>
    <mergeCell ref="AA1116:AB1116"/>
    <mergeCell ref="A1117:AB1117"/>
    <mergeCell ref="A1118:AB1118"/>
    <mergeCell ref="A1119:A1124"/>
    <mergeCell ref="C1119:C1124"/>
    <mergeCell ref="F1119:K1119"/>
    <mergeCell ref="M1119:V1119"/>
    <mergeCell ref="F1120:H1121"/>
    <mergeCell ref="A1085:B1085"/>
    <mergeCell ref="C1085:H1085"/>
    <mergeCell ref="AA1090:AB1090"/>
    <mergeCell ref="AA1057:AB1057"/>
    <mergeCell ref="A1058:AB1058"/>
    <mergeCell ref="A1059:AB1059"/>
    <mergeCell ref="A1060:A1065"/>
    <mergeCell ref="C1060:C1065"/>
    <mergeCell ref="F1060:K1060"/>
    <mergeCell ref="M1060:V1060"/>
    <mergeCell ref="F1061:H1062"/>
    <mergeCell ref="L1061:L1065"/>
    <mergeCell ref="T1061:U1062"/>
    <mergeCell ref="G1033:G1034"/>
    <mergeCell ref="H1033:H1034"/>
    <mergeCell ref="A1052:B1052"/>
    <mergeCell ref="C1052:H1052"/>
    <mergeCell ref="A1022:B1022"/>
    <mergeCell ref="C1022:H1022"/>
    <mergeCell ref="F1063:F1064"/>
    <mergeCell ref="G1063:G1064"/>
    <mergeCell ref="H1063:H1064"/>
    <mergeCell ref="AA996:AB996"/>
    <mergeCell ref="A997:AB997"/>
    <mergeCell ref="A998:AB998"/>
    <mergeCell ref="AA1027:AB1027"/>
    <mergeCell ref="A1028:AB1028"/>
    <mergeCell ref="A1029:AB1029"/>
    <mergeCell ref="A1030:A1035"/>
    <mergeCell ref="C1030:C1035"/>
    <mergeCell ref="F1030:K1030"/>
    <mergeCell ref="M1030:V1030"/>
    <mergeCell ref="F1031:H1032"/>
    <mergeCell ref="A999:A1004"/>
    <mergeCell ref="C999:C1004"/>
    <mergeCell ref="F999:K999"/>
    <mergeCell ref="M999:V999"/>
    <mergeCell ref="F1000:H1001"/>
    <mergeCell ref="L1000:L1004"/>
    <mergeCell ref="T1000:U1001"/>
    <mergeCell ref="F1002:F1003"/>
    <mergeCell ref="G1002:G1003"/>
    <mergeCell ref="H1002:H1003"/>
    <mergeCell ref="L1031:L1035"/>
    <mergeCell ref="T1031:U1032"/>
    <mergeCell ref="F1033:F1034"/>
    <mergeCell ref="A991:B991"/>
    <mergeCell ref="C991:H991"/>
    <mergeCell ref="A959:B959"/>
    <mergeCell ref="C959:H959"/>
    <mergeCell ref="AA964:AB964"/>
    <mergeCell ref="A965:AB965"/>
    <mergeCell ref="A966:AB966"/>
    <mergeCell ref="A967:A972"/>
    <mergeCell ref="G182:G183"/>
    <mergeCell ref="H182:H183"/>
    <mergeCell ref="A203:B203"/>
    <mergeCell ref="C203:H203"/>
    <mergeCell ref="A179:A184"/>
    <mergeCell ref="C179:C184"/>
    <mergeCell ref="F179:K179"/>
    <mergeCell ref="M179:V179"/>
    <mergeCell ref="F180:H181"/>
    <mergeCell ref="L180:L184"/>
    <mergeCell ref="T180:U181"/>
    <mergeCell ref="F182:F183"/>
    <mergeCell ref="C967:C972"/>
    <mergeCell ref="F967:K967"/>
    <mergeCell ref="M967:V967"/>
    <mergeCell ref="F968:H969"/>
    <mergeCell ref="L968:L972"/>
    <mergeCell ref="T968:U969"/>
    <mergeCell ref="F970:F971"/>
    <mergeCell ref="G970:G971"/>
    <mergeCell ref="H970:H971"/>
    <mergeCell ref="H913:H914"/>
    <mergeCell ref="A932:B932"/>
    <mergeCell ref="C932:H932"/>
    <mergeCell ref="AA937:AB937"/>
    <mergeCell ref="A938:AB938"/>
    <mergeCell ref="A939:AB939"/>
    <mergeCell ref="A940:A945"/>
    <mergeCell ref="C940:C945"/>
    <mergeCell ref="F940:K940"/>
    <mergeCell ref="M940:V940"/>
    <mergeCell ref="F941:H942"/>
    <mergeCell ref="L941:L945"/>
    <mergeCell ref="T941:U942"/>
    <mergeCell ref="F943:F944"/>
    <mergeCell ref="G943:G944"/>
    <mergeCell ref="H943:H944"/>
    <mergeCell ref="A909:AB909"/>
    <mergeCell ref="A910:A915"/>
    <mergeCell ref="C910:C915"/>
    <mergeCell ref="F910:K910"/>
    <mergeCell ref="M910:V910"/>
    <mergeCell ref="F911:H912"/>
    <mergeCell ref="L911:L915"/>
    <mergeCell ref="T911:U912"/>
    <mergeCell ref="F913:F914"/>
    <mergeCell ref="G913:G914"/>
    <mergeCell ref="G881:G882"/>
    <mergeCell ref="H881:H882"/>
    <mergeCell ref="A901:B901"/>
    <mergeCell ref="C901:H901"/>
    <mergeCell ref="AA907:AB907"/>
    <mergeCell ref="A908:AB908"/>
    <mergeCell ref="A876:AB876"/>
    <mergeCell ref="A877:AB877"/>
    <mergeCell ref="A878:A883"/>
    <mergeCell ref="C878:C883"/>
    <mergeCell ref="F878:K878"/>
    <mergeCell ref="M878:V878"/>
    <mergeCell ref="F879:H880"/>
    <mergeCell ref="L879:L883"/>
    <mergeCell ref="T879:U880"/>
    <mergeCell ref="F881:F882"/>
    <mergeCell ref="AA875:AB875"/>
    <mergeCell ref="AA846:AB846"/>
    <mergeCell ref="A847:AB847"/>
    <mergeCell ref="A848:AB848"/>
    <mergeCell ref="A849:A854"/>
    <mergeCell ref="C849:C854"/>
    <mergeCell ref="F849:K849"/>
    <mergeCell ref="M849:V849"/>
    <mergeCell ref="F850:H851"/>
    <mergeCell ref="L850:L854"/>
    <mergeCell ref="T850:U851"/>
    <mergeCell ref="A841:B841"/>
    <mergeCell ref="C841:H841"/>
    <mergeCell ref="A812:B812"/>
    <mergeCell ref="C812:H812"/>
    <mergeCell ref="F852:F853"/>
    <mergeCell ref="G852:G853"/>
    <mergeCell ref="H852:H853"/>
    <mergeCell ref="A870:B870"/>
    <mergeCell ref="C870:H870"/>
    <mergeCell ref="AA817:AB817"/>
    <mergeCell ref="A818:AB818"/>
    <mergeCell ref="A819:AB819"/>
    <mergeCell ref="A820:A825"/>
    <mergeCell ref="C820:C825"/>
    <mergeCell ref="F820:K820"/>
    <mergeCell ref="M820:V820"/>
    <mergeCell ref="F821:H822"/>
    <mergeCell ref="A791:A796"/>
    <mergeCell ref="C791:C796"/>
    <mergeCell ref="F791:K791"/>
    <mergeCell ref="M791:V791"/>
    <mergeCell ref="F792:H793"/>
    <mergeCell ref="L792:L796"/>
    <mergeCell ref="T792:U793"/>
    <mergeCell ref="F794:F795"/>
    <mergeCell ref="G794:G795"/>
    <mergeCell ref="H794:H795"/>
    <mergeCell ref="L821:L825"/>
    <mergeCell ref="T821:U822"/>
    <mergeCell ref="F823:F824"/>
    <mergeCell ref="G823:G824"/>
    <mergeCell ref="H823:H824"/>
    <mergeCell ref="H765:H766"/>
    <mergeCell ref="A783:B783"/>
    <mergeCell ref="C783:H783"/>
    <mergeCell ref="AA788:AB788"/>
    <mergeCell ref="A789:AB789"/>
    <mergeCell ref="A790:AB790"/>
    <mergeCell ref="A761:AB761"/>
    <mergeCell ref="A762:A767"/>
    <mergeCell ref="C762:C767"/>
    <mergeCell ref="F762:K762"/>
    <mergeCell ref="M762:V762"/>
    <mergeCell ref="F763:H764"/>
    <mergeCell ref="L763:L767"/>
    <mergeCell ref="T763:U764"/>
    <mergeCell ref="F765:F766"/>
    <mergeCell ref="G765:G766"/>
    <mergeCell ref="G736:G737"/>
    <mergeCell ref="H736:H737"/>
    <mergeCell ref="A754:B754"/>
    <mergeCell ref="C754:H754"/>
    <mergeCell ref="AA759:AB759"/>
    <mergeCell ref="A760:AB760"/>
    <mergeCell ref="A731:AB731"/>
    <mergeCell ref="A732:AB732"/>
    <mergeCell ref="A733:A738"/>
    <mergeCell ref="C733:C738"/>
    <mergeCell ref="F733:K733"/>
    <mergeCell ref="M733:V733"/>
    <mergeCell ref="F734:H735"/>
    <mergeCell ref="L734:L738"/>
    <mergeCell ref="T734:U735"/>
    <mergeCell ref="F736:F737"/>
    <mergeCell ref="AA730:AB730"/>
    <mergeCell ref="AA701:AB701"/>
    <mergeCell ref="A702:AB702"/>
    <mergeCell ref="A703:AB703"/>
    <mergeCell ref="A704:A709"/>
    <mergeCell ref="C704:C709"/>
    <mergeCell ref="F704:K704"/>
    <mergeCell ref="M704:V704"/>
    <mergeCell ref="F705:H706"/>
    <mergeCell ref="L705:L709"/>
    <mergeCell ref="T705:U706"/>
    <mergeCell ref="A696:B696"/>
    <mergeCell ref="C696:H696"/>
    <mergeCell ref="A667:B667"/>
    <mergeCell ref="C667:H667"/>
    <mergeCell ref="F707:F708"/>
    <mergeCell ref="G707:G708"/>
    <mergeCell ref="H707:H708"/>
    <mergeCell ref="A725:B725"/>
    <mergeCell ref="C725:H725"/>
    <mergeCell ref="AA672:AB672"/>
    <mergeCell ref="A673:AB673"/>
    <mergeCell ref="A674:AB674"/>
    <mergeCell ref="A675:A680"/>
    <mergeCell ref="C675:C680"/>
    <mergeCell ref="F675:K675"/>
    <mergeCell ref="M675:V675"/>
    <mergeCell ref="F676:H677"/>
    <mergeCell ref="A646:A651"/>
    <mergeCell ref="C646:C651"/>
    <mergeCell ref="F646:K646"/>
    <mergeCell ref="M646:V646"/>
    <mergeCell ref="F647:H648"/>
    <mergeCell ref="L647:L651"/>
    <mergeCell ref="T647:U648"/>
    <mergeCell ref="F649:F650"/>
    <mergeCell ref="G649:G650"/>
    <mergeCell ref="H649:H650"/>
    <mergeCell ref="L676:L680"/>
    <mergeCell ref="T676:U677"/>
    <mergeCell ref="F678:F679"/>
    <mergeCell ref="G678:G679"/>
    <mergeCell ref="H678:H679"/>
    <mergeCell ref="H620:H621"/>
    <mergeCell ref="A638:B638"/>
    <mergeCell ref="C638:H638"/>
    <mergeCell ref="AA643:AB643"/>
    <mergeCell ref="A644:AB644"/>
    <mergeCell ref="A645:AB645"/>
    <mergeCell ref="A616:AB616"/>
    <mergeCell ref="A617:A622"/>
    <mergeCell ref="C617:C622"/>
    <mergeCell ref="F617:K617"/>
    <mergeCell ref="M617:V617"/>
    <mergeCell ref="F618:H619"/>
    <mergeCell ref="L618:L622"/>
    <mergeCell ref="T618:U619"/>
    <mergeCell ref="F620:F621"/>
    <mergeCell ref="G620:G621"/>
    <mergeCell ref="G591:G592"/>
    <mergeCell ref="H591:H592"/>
    <mergeCell ref="A609:B609"/>
    <mergeCell ref="C609:H609"/>
    <mergeCell ref="AA614:AB614"/>
    <mergeCell ref="A615:AB615"/>
    <mergeCell ref="A586:AB586"/>
    <mergeCell ref="A587:AB587"/>
    <mergeCell ref="A588:A593"/>
    <mergeCell ref="C588:C593"/>
    <mergeCell ref="F588:K588"/>
    <mergeCell ref="M588:V588"/>
    <mergeCell ref="F589:H590"/>
    <mergeCell ref="L589:L593"/>
    <mergeCell ref="T589:U590"/>
    <mergeCell ref="F591:F592"/>
    <mergeCell ref="AA585:AB585"/>
    <mergeCell ref="AA556:AB556"/>
    <mergeCell ref="A557:AB557"/>
    <mergeCell ref="A558:AB558"/>
    <mergeCell ref="A559:A564"/>
    <mergeCell ref="C559:C564"/>
    <mergeCell ref="F559:K559"/>
    <mergeCell ref="M559:V559"/>
    <mergeCell ref="F560:H561"/>
    <mergeCell ref="L560:L564"/>
    <mergeCell ref="T560:U561"/>
    <mergeCell ref="A551:B551"/>
    <mergeCell ref="C551:H551"/>
    <mergeCell ref="A522:B522"/>
    <mergeCell ref="C522:H522"/>
    <mergeCell ref="F562:F563"/>
    <mergeCell ref="G562:G563"/>
    <mergeCell ref="H562:H563"/>
    <mergeCell ref="A580:B580"/>
    <mergeCell ref="C580:H580"/>
    <mergeCell ref="AA527:AB527"/>
    <mergeCell ref="A528:AB528"/>
    <mergeCell ref="A529:AB529"/>
    <mergeCell ref="A530:A535"/>
    <mergeCell ref="C530:C535"/>
    <mergeCell ref="F530:K530"/>
    <mergeCell ref="M530:V530"/>
    <mergeCell ref="F531:H532"/>
    <mergeCell ref="A501:A506"/>
    <mergeCell ref="C501:C506"/>
    <mergeCell ref="F501:K501"/>
    <mergeCell ref="M501:V501"/>
    <mergeCell ref="F502:H503"/>
    <mergeCell ref="L502:L506"/>
    <mergeCell ref="T502:U503"/>
    <mergeCell ref="F504:F505"/>
    <mergeCell ref="G504:G505"/>
    <mergeCell ref="H504:H505"/>
    <mergeCell ref="L531:L535"/>
    <mergeCell ref="T531:U532"/>
    <mergeCell ref="F533:F534"/>
    <mergeCell ref="G533:G534"/>
    <mergeCell ref="H533:H534"/>
    <mergeCell ref="H475:H476"/>
    <mergeCell ref="A493:B493"/>
    <mergeCell ref="C493:H493"/>
    <mergeCell ref="AA498:AB498"/>
    <mergeCell ref="A499:AB499"/>
    <mergeCell ref="A500:AB500"/>
    <mergeCell ref="A471:AB471"/>
    <mergeCell ref="A472:A477"/>
    <mergeCell ref="C472:C477"/>
    <mergeCell ref="F472:K472"/>
    <mergeCell ref="M472:V472"/>
    <mergeCell ref="F473:H474"/>
    <mergeCell ref="L473:L477"/>
    <mergeCell ref="T473:U474"/>
    <mergeCell ref="F475:F476"/>
    <mergeCell ref="G475:G476"/>
    <mergeCell ref="G446:G447"/>
    <mergeCell ref="H446:H447"/>
    <mergeCell ref="A464:B464"/>
    <mergeCell ref="C464:H464"/>
    <mergeCell ref="AA469:AB469"/>
    <mergeCell ref="A470:AB470"/>
    <mergeCell ref="A441:AB441"/>
    <mergeCell ref="A442:AB442"/>
    <mergeCell ref="A443:A448"/>
    <mergeCell ref="C443:C448"/>
    <mergeCell ref="F443:K443"/>
    <mergeCell ref="M443:V443"/>
    <mergeCell ref="F444:H445"/>
    <mergeCell ref="L444:L448"/>
    <mergeCell ref="T444:U445"/>
    <mergeCell ref="F446:F447"/>
    <mergeCell ref="F417:F418"/>
    <mergeCell ref="G417:G418"/>
    <mergeCell ref="H417:H418"/>
    <mergeCell ref="A435:B435"/>
    <mergeCell ref="C435:H435"/>
    <mergeCell ref="AA440:AB440"/>
    <mergeCell ref="AA411:AB411"/>
    <mergeCell ref="A412:AB412"/>
    <mergeCell ref="A413:AB413"/>
    <mergeCell ref="A414:A419"/>
    <mergeCell ref="C414:C419"/>
    <mergeCell ref="F414:K414"/>
    <mergeCell ref="M414:V414"/>
    <mergeCell ref="F415:H416"/>
    <mergeCell ref="L415:L419"/>
    <mergeCell ref="T415:U416"/>
    <mergeCell ref="L386:L390"/>
    <mergeCell ref="T386:U387"/>
    <mergeCell ref="F388:F389"/>
    <mergeCell ref="G388:G389"/>
    <mergeCell ref="H388:H389"/>
    <mergeCell ref="A406:B406"/>
    <mergeCell ref="C406:H406"/>
    <mergeCell ref="AA382:AB382"/>
    <mergeCell ref="A383:AB383"/>
    <mergeCell ref="A384:AB384"/>
    <mergeCell ref="A385:A390"/>
    <mergeCell ref="C385:C390"/>
    <mergeCell ref="F385:K385"/>
    <mergeCell ref="M385:V385"/>
    <mergeCell ref="F386:H387"/>
    <mergeCell ref="H359:H360"/>
    <mergeCell ref="A377:B377"/>
    <mergeCell ref="C377:H377"/>
    <mergeCell ref="A355:AB355"/>
    <mergeCell ref="A356:A361"/>
    <mergeCell ref="C356:C361"/>
    <mergeCell ref="F356:K356"/>
    <mergeCell ref="M356:V356"/>
    <mergeCell ref="F357:H358"/>
    <mergeCell ref="L357:L361"/>
    <mergeCell ref="T357:U358"/>
    <mergeCell ref="F359:F360"/>
    <mergeCell ref="G359:G360"/>
    <mergeCell ref="G330:G331"/>
    <mergeCell ref="H330:H331"/>
    <mergeCell ref="A348:B348"/>
    <mergeCell ref="C348:H348"/>
    <mergeCell ref="AA353:AB353"/>
    <mergeCell ref="A354:AB354"/>
    <mergeCell ref="A325:AB325"/>
    <mergeCell ref="A326:AB326"/>
    <mergeCell ref="A327:A332"/>
    <mergeCell ref="C327:C332"/>
    <mergeCell ref="F327:K327"/>
    <mergeCell ref="M327:V327"/>
    <mergeCell ref="F328:H329"/>
    <mergeCell ref="L328:L332"/>
    <mergeCell ref="T328:U329"/>
    <mergeCell ref="F330:F331"/>
    <mergeCell ref="AA324:AB324"/>
    <mergeCell ref="AA295:AB295"/>
    <mergeCell ref="A296:AB296"/>
    <mergeCell ref="A297:AB297"/>
    <mergeCell ref="A298:A303"/>
    <mergeCell ref="C298:C303"/>
    <mergeCell ref="F298:K298"/>
    <mergeCell ref="M298:V298"/>
    <mergeCell ref="F299:H300"/>
    <mergeCell ref="L299:L303"/>
    <mergeCell ref="T299:U300"/>
    <mergeCell ref="A290:B290"/>
    <mergeCell ref="C290:H290"/>
    <mergeCell ref="A261:B261"/>
    <mergeCell ref="C261:H261"/>
    <mergeCell ref="F301:F302"/>
    <mergeCell ref="G301:G302"/>
    <mergeCell ref="H301:H302"/>
    <mergeCell ref="A319:B319"/>
    <mergeCell ref="C319:H319"/>
    <mergeCell ref="AA266:AB266"/>
    <mergeCell ref="A267:AB267"/>
    <mergeCell ref="A268:AB268"/>
    <mergeCell ref="A269:A274"/>
    <mergeCell ref="C269:C274"/>
    <mergeCell ref="F269:K269"/>
    <mergeCell ref="M269:V269"/>
    <mergeCell ref="F270:H271"/>
    <mergeCell ref="A240:A245"/>
    <mergeCell ref="C240:C245"/>
    <mergeCell ref="F240:K240"/>
    <mergeCell ref="M240:V240"/>
    <mergeCell ref="F241:H242"/>
    <mergeCell ref="L241:L245"/>
    <mergeCell ref="T241:U242"/>
    <mergeCell ref="F243:F244"/>
    <mergeCell ref="G243:G244"/>
    <mergeCell ref="H243:H244"/>
    <mergeCell ref="L270:L274"/>
    <mergeCell ref="T270:U271"/>
    <mergeCell ref="F272:F273"/>
    <mergeCell ref="G272:G273"/>
    <mergeCell ref="H272:H273"/>
    <mergeCell ref="H214:H215"/>
    <mergeCell ref="A232:B232"/>
    <mergeCell ref="C232:H232"/>
    <mergeCell ref="AA237:AB237"/>
    <mergeCell ref="A238:AB238"/>
    <mergeCell ref="A239:AB239"/>
    <mergeCell ref="A210:AB210"/>
    <mergeCell ref="A211:A216"/>
    <mergeCell ref="C211:C216"/>
    <mergeCell ref="F211:K211"/>
    <mergeCell ref="M211:V211"/>
    <mergeCell ref="F212:H213"/>
    <mergeCell ref="L212:L216"/>
    <mergeCell ref="T212:U213"/>
    <mergeCell ref="F214:F215"/>
    <mergeCell ref="G214:G215"/>
    <mergeCell ref="G152:G153"/>
    <mergeCell ref="H152:H153"/>
    <mergeCell ref="A171:B171"/>
    <mergeCell ref="C171:H171"/>
    <mergeCell ref="AA208:AB208"/>
    <mergeCell ref="A209:AB209"/>
    <mergeCell ref="A147:AB147"/>
    <mergeCell ref="A148:AB148"/>
    <mergeCell ref="A149:A154"/>
    <mergeCell ref="C149:C154"/>
    <mergeCell ref="F149:K149"/>
    <mergeCell ref="M149:V149"/>
    <mergeCell ref="F150:H151"/>
    <mergeCell ref="L150:L154"/>
    <mergeCell ref="T150:U151"/>
    <mergeCell ref="F152:F153"/>
    <mergeCell ref="AA176:AB176"/>
    <mergeCell ref="A177:AB177"/>
    <mergeCell ref="A178:AB178"/>
    <mergeCell ref="A141:B141"/>
    <mergeCell ref="C141:H141"/>
    <mergeCell ref="A112:B112"/>
    <mergeCell ref="C112:H112"/>
    <mergeCell ref="AA117:AB117"/>
    <mergeCell ref="A118:AB118"/>
    <mergeCell ref="A119:AB119"/>
    <mergeCell ref="A120:A125"/>
    <mergeCell ref="C120:C125"/>
    <mergeCell ref="F120:K120"/>
    <mergeCell ref="M120:V120"/>
    <mergeCell ref="F121:H122"/>
    <mergeCell ref="L92:L96"/>
    <mergeCell ref="T92:U93"/>
    <mergeCell ref="F94:F95"/>
    <mergeCell ref="G94:G95"/>
    <mergeCell ref="H94:H95"/>
    <mergeCell ref="AA146:AB146"/>
    <mergeCell ref="L121:L125"/>
    <mergeCell ref="T121:U122"/>
    <mergeCell ref="F123:F124"/>
    <mergeCell ref="G123:G124"/>
    <mergeCell ref="H123:H124"/>
    <mergeCell ref="AA88:AB88"/>
    <mergeCell ref="A89:AB89"/>
    <mergeCell ref="A90:AB90"/>
    <mergeCell ref="A61:AB61"/>
    <mergeCell ref="A62:A67"/>
    <mergeCell ref="C62:C67"/>
    <mergeCell ref="F62:K62"/>
    <mergeCell ref="M62:V62"/>
    <mergeCell ref="F63:H64"/>
    <mergeCell ref="L63:L67"/>
    <mergeCell ref="T63:U64"/>
    <mergeCell ref="F65:F66"/>
    <mergeCell ref="G65:G66"/>
    <mergeCell ref="AA59:AB59"/>
    <mergeCell ref="A60:AB60"/>
    <mergeCell ref="A31:AB31"/>
    <mergeCell ref="A32:AB32"/>
    <mergeCell ref="A33:A38"/>
    <mergeCell ref="C33:C38"/>
    <mergeCell ref="F33:K33"/>
    <mergeCell ref="M33:V33"/>
    <mergeCell ref="F34:H35"/>
    <mergeCell ref="L34:L38"/>
    <mergeCell ref="T34:U35"/>
    <mergeCell ref="F36:F37"/>
    <mergeCell ref="AA30:AB30"/>
    <mergeCell ref="AA1:AB1"/>
    <mergeCell ref="A2:AB2"/>
    <mergeCell ref="A3:AB3"/>
    <mergeCell ref="A4:A9"/>
    <mergeCell ref="C4:C9"/>
    <mergeCell ref="F4:K4"/>
    <mergeCell ref="M4:V4"/>
    <mergeCell ref="F5:H6"/>
    <mergeCell ref="L5:L9"/>
    <mergeCell ref="T5:U6"/>
    <mergeCell ref="L1120:L1124"/>
    <mergeCell ref="T1120:U1121"/>
    <mergeCell ref="F1122:F1123"/>
    <mergeCell ref="G1122:G1123"/>
    <mergeCell ref="H1122:H1123"/>
    <mergeCell ref="A1138:B1138"/>
    <mergeCell ref="C1138:H1138"/>
    <mergeCell ref="F7:F8"/>
    <mergeCell ref="G7:G8"/>
    <mergeCell ref="H7:H8"/>
    <mergeCell ref="A25:B25"/>
    <mergeCell ref="C25:H25"/>
    <mergeCell ref="G36:G37"/>
    <mergeCell ref="H36:H37"/>
    <mergeCell ref="A54:B54"/>
    <mergeCell ref="C54:H54"/>
    <mergeCell ref="H65:H66"/>
    <mergeCell ref="A83:B83"/>
    <mergeCell ref="C83:H83"/>
    <mergeCell ref="A91:A96"/>
    <mergeCell ref="C91:C96"/>
    <mergeCell ref="F91:K91"/>
    <mergeCell ref="M91:V91"/>
    <mergeCell ref="F92:H93"/>
  </mergeCells>
  <pageMargins left="3.937007874015748E-2" right="3.937007874015748E-2" top="0.74803149606299213" bottom="0.74803149606299213" header="0.31496062992125984" footer="0.31496062992125984"/>
  <pageSetup paperSize="9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F1202"/>
  <sheetViews>
    <sheetView view="pageBreakPreview" topLeftCell="T1" zoomScale="110" zoomScaleNormal="100" zoomScaleSheetLayoutView="110" workbookViewId="0">
      <selection activeCell="AJ11" sqref="AJ11"/>
    </sheetView>
  </sheetViews>
  <sheetFormatPr defaultColWidth="9" defaultRowHeight="18" customHeight="1" x14ac:dyDescent="0.2"/>
  <cols>
    <col min="1" max="1" width="2.25" style="427" customWidth="1"/>
    <col min="2" max="2" width="7.625" style="427" customWidth="1"/>
    <col min="3" max="3" width="5.875" style="427" bestFit="1" customWidth="1"/>
    <col min="4" max="7" width="3.125" style="427" customWidth="1"/>
    <col min="8" max="8" width="4.875" style="427" bestFit="1" customWidth="1"/>
    <col min="9" max="9" width="7.875" style="427" customWidth="1"/>
    <col min="10" max="10" width="6.625" style="427" customWidth="1"/>
    <col min="11" max="11" width="8.5" style="427" customWidth="1"/>
    <col min="12" max="12" width="2.625" style="427" customWidth="1"/>
    <col min="13" max="13" width="7.75" style="427" bestFit="1" customWidth="1"/>
    <col min="14" max="14" width="6.375" style="427" customWidth="1"/>
    <col min="15" max="15" width="5.375" style="427" bestFit="1" customWidth="1"/>
    <col min="16" max="16" width="8.125" style="427" bestFit="1" customWidth="1"/>
    <col min="17" max="17" width="6.875" style="427" bestFit="1" customWidth="1"/>
    <col min="18" max="18" width="9.625" style="427" bestFit="1" customWidth="1"/>
    <col min="19" max="19" width="10.625" style="427" customWidth="1"/>
    <col min="20" max="20" width="2.625" style="427" customWidth="1"/>
    <col min="21" max="21" width="9.25" style="427" customWidth="1"/>
    <col min="22" max="22" width="9.625" style="427" customWidth="1"/>
    <col min="23" max="24" width="11.25" style="427" bestFit="1" customWidth="1"/>
    <col min="25" max="25" width="4" style="427" customWidth="1"/>
    <col min="26" max="26" width="8.5" style="427" customWidth="1"/>
    <col min="27" max="27" width="5.625" style="427" bestFit="1" customWidth="1"/>
    <col min="28" max="28" width="8.75" style="428" customWidth="1"/>
    <col min="29" max="30" width="4.25" style="427" hidden="1" customWidth="1"/>
    <col min="31" max="31" width="5" style="427" hidden="1" customWidth="1"/>
    <col min="32" max="32" width="10.25" style="427" hidden="1" customWidth="1"/>
    <col min="33" max="16384" width="9" style="427"/>
  </cols>
  <sheetData>
    <row r="1" spans="1:32" s="597" customFormat="1" ht="18" customHeight="1" x14ac:dyDescent="0.2">
      <c r="A1" s="339"/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  <c r="AA1" s="2702" t="s">
        <v>0</v>
      </c>
      <c r="AB1" s="2702"/>
      <c r="AC1" s="339"/>
      <c r="AD1" s="339"/>
      <c r="AE1" s="339"/>
      <c r="AF1" s="339"/>
    </row>
    <row r="2" spans="1:32" s="597" customFormat="1" ht="18" customHeight="1" x14ac:dyDescent="0.2">
      <c r="A2" s="2703" t="s">
        <v>1</v>
      </c>
      <c r="B2" s="2703"/>
      <c r="C2" s="2703"/>
      <c r="D2" s="2703"/>
      <c r="E2" s="2703"/>
      <c r="F2" s="2703"/>
      <c r="G2" s="2703"/>
      <c r="H2" s="2703"/>
      <c r="I2" s="2703"/>
      <c r="J2" s="2703"/>
      <c r="K2" s="2703"/>
      <c r="L2" s="2703"/>
      <c r="M2" s="2703"/>
      <c r="N2" s="2703"/>
      <c r="O2" s="2703"/>
      <c r="P2" s="2703"/>
      <c r="Q2" s="2703"/>
      <c r="R2" s="2703"/>
      <c r="S2" s="2703"/>
      <c r="T2" s="2703"/>
      <c r="U2" s="2703"/>
      <c r="V2" s="2703"/>
      <c r="W2" s="2703"/>
      <c r="X2" s="2703"/>
      <c r="Y2" s="2703"/>
      <c r="Z2" s="2703"/>
      <c r="AA2" s="2703"/>
      <c r="AB2" s="2703"/>
      <c r="AC2" s="344"/>
      <c r="AD2" s="344"/>
      <c r="AE2" s="344"/>
      <c r="AF2" s="344"/>
    </row>
    <row r="3" spans="1:32" s="597" customFormat="1" ht="18" customHeight="1" x14ac:dyDescent="0.2">
      <c r="A3" s="2704" t="s">
        <v>459</v>
      </c>
      <c r="B3" s="2704"/>
      <c r="C3" s="2704"/>
      <c r="D3" s="2704"/>
      <c r="E3" s="2704"/>
      <c r="F3" s="2704"/>
      <c r="G3" s="2704"/>
      <c r="H3" s="2704"/>
      <c r="I3" s="2704"/>
      <c r="J3" s="2704"/>
      <c r="K3" s="2704"/>
      <c r="L3" s="2704"/>
      <c r="M3" s="2704"/>
      <c r="N3" s="2704"/>
      <c r="O3" s="2704"/>
      <c r="P3" s="2704"/>
      <c r="Q3" s="2704"/>
      <c r="R3" s="2704"/>
      <c r="S3" s="2704"/>
      <c r="T3" s="2704"/>
      <c r="U3" s="2704"/>
      <c r="V3" s="2704"/>
      <c r="W3" s="2704"/>
      <c r="X3" s="2704"/>
      <c r="Y3" s="2704"/>
      <c r="Z3" s="2704"/>
      <c r="AA3" s="2704"/>
      <c r="AB3" s="2704"/>
      <c r="AC3" s="599"/>
      <c r="AD3" s="599"/>
      <c r="AE3" s="599"/>
      <c r="AF3" s="599"/>
    </row>
    <row r="4" spans="1:32" s="597" customFormat="1" ht="18" customHeight="1" x14ac:dyDescent="0.2">
      <c r="A4" s="2686" t="s">
        <v>2</v>
      </c>
      <c r="B4" s="360"/>
      <c r="C4" s="2686" t="s">
        <v>3</v>
      </c>
      <c r="D4" s="360"/>
      <c r="E4" s="360"/>
      <c r="F4" s="2693" t="s">
        <v>4</v>
      </c>
      <c r="G4" s="2693"/>
      <c r="H4" s="2693"/>
      <c r="I4" s="2694"/>
      <c r="J4" s="2694"/>
      <c r="K4" s="2695"/>
      <c r="L4" s="361"/>
      <c r="M4" s="2679" t="s">
        <v>5</v>
      </c>
      <c r="N4" s="2679"/>
      <c r="O4" s="2679"/>
      <c r="P4" s="2679"/>
      <c r="Q4" s="2696"/>
      <c r="R4" s="2696"/>
      <c r="S4" s="2696"/>
      <c r="T4" s="2696"/>
      <c r="U4" s="2696"/>
      <c r="V4" s="2697"/>
      <c r="W4" s="362" t="s">
        <v>6</v>
      </c>
      <c r="X4" s="363" t="s">
        <v>7</v>
      </c>
      <c r="Y4" s="364"/>
      <c r="Z4" s="364"/>
      <c r="AA4" s="363"/>
      <c r="AB4" s="365"/>
      <c r="AC4" s="516" t="s">
        <v>8</v>
      </c>
      <c r="AD4" s="346"/>
      <c r="AE4" s="346"/>
      <c r="AF4" s="600"/>
    </row>
    <row r="5" spans="1:32" s="597" customFormat="1" ht="18" customHeight="1" x14ac:dyDescent="0.2">
      <c r="A5" s="2687"/>
      <c r="B5" s="367"/>
      <c r="C5" s="2687"/>
      <c r="D5" s="366" t="s">
        <v>9</v>
      </c>
      <c r="E5" s="368" t="s">
        <v>10</v>
      </c>
      <c r="F5" s="2698" t="s">
        <v>11</v>
      </c>
      <c r="G5" s="2694"/>
      <c r="H5" s="2695"/>
      <c r="I5" s="360"/>
      <c r="J5" s="369" t="s">
        <v>12</v>
      </c>
      <c r="K5" s="360"/>
      <c r="L5" s="2679" t="s">
        <v>2</v>
      </c>
      <c r="M5" s="370"/>
      <c r="N5" s="370"/>
      <c r="O5" s="370"/>
      <c r="P5" s="371"/>
      <c r="Q5" s="372" t="s">
        <v>13</v>
      </c>
      <c r="R5" s="373" t="s">
        <v>12</v>
      </c>
      <c r="S5" s="370" t="s">
        <v>6</v>
      </c>
      <c r="T5" s="2682" t="s">
        <v>14</v>
      </c>
      <c r="U5" s="2683"/>
      <c r="V5" s="375" t="s">
        <v>7</v>
      </c>
      <c r="W5" s="376" t="s">
        <v>15</v>
      </c>
      <c r="X5" s="377" t="s">
        <v>16</v>
      </c>
      <c r="Y5" s="377" t="s">
        <v>17</v>
      </c>
      <c r="Z5" s="377" t="s">
        <v>18</v>
      </c>
      <c r="AA5" s="377"/>
      <c r="AB5" s="378" t="s">
        <v>19</v>
      </c>
      <c r="AC5" s="528" t="s">
        <v>20</v>
      </c>
      <c r="AD5" s="601"/>
      <c r="AE5" s="347" t="s">
        <v>21</v>
      </c>
      <c r="AF5" s="340" t="s">
        <v>22</v>
      </c>
    </row>
    <row r="6" spans="1:32" s="597" customFormat="1" ht="18" customHeight="1" x14ac:dyDescent="0.2">
      <c r="A6" s="2687"/>
      <c r="B6" s="366" t="s">
        <v>23</v>
      </c>
      <c r="C6" s="2687"/>
      <c r="D6" s="366" t="s">
        <v>24</v>
      </c>
      <c r="E6" s="368" t="s">
        <v>25</v>
      </c>
      <c r="F6" s="2699"/>
      <c r="G6" s="2700"/>
      <c r="H6" s="2701"/>
      <c r="I6" s="366" t="s">
        <v>26</v>
      </c>
      <c r="J6" s="379" t="s">
        <v>15</v>
      </c>
      <c r="K6" s="380" t="s">
        <v>6</v>
      </c>
      <c r="L6" s="2680"/>
      <c r="M6" s="381" t="s">
        <v>27</v>
      </c>
      <c r="N6" s="381" t="s">
        <v>10</v>
      </c>
      <c r="O6" s="382" t="s">
        <v>10</v>
      </c>
      <c r="P6" s="383" t="s">
        <v>28</v>
      </c>
      <c r="Q6" s="384" t="s">
        <v>29</v>
      </c>
      <c r="R6" s="383" t="s">
        <v>15</v>
      </c>
      <c r="S6" s="385" t="s">
        <v>15</v>
      </c>
      <c r="T6" s="2684"/>
      <c r="U6" s="2685"/>
      <c r="V6" s="375" t="s">
        <v>30</v>
      </c>
      <c r="W6" s="376" t="s">
        <v>31</v>
      </c>
      <c r="X6" s="377" t="s">
        <v>30</v>
      </c>
      <c r="Y6" s="377" t="s">
        <v>32</v>
      </c>
      <c r="Z6" s="377" t="s">
        <v>7</v>
      </c>
      <c r="AA6" s="377" t="s">
        <v>33</v>
      </c>
      <c r="AB6" s="378" t="s">
        <v>34</v>
      </c>
      <c r="AC6" s="528" t="s">
        <v>35</v>
      </c>
      <c r="AD6" s="347" t="s">
        <v>36</v>
      </c>
      <c r="AE6" s="347" t="s">
        <v>37</v>
      </c>
      <c r="AF6" s="340" t="s">
        <v>38</v>
      </c>
    </row>
    <row r="7" spans="1:32" s="597" customFormat="1" ht="18" customHeight="1" x14ac:dyDescent="0.2">
      <c r="A7" s="2687"/>
      <c r="B7" s="366" t="s">
        <v>39</v>
      </c>
      <c r="C7" s="2687"/>
      <c r="D7" s="366" t="s">
        <v>40</v>
      </c>
      <c r="E7" s="368" t="s">
        <v>41</v>
      </c>
      <c r="F7" s="2686" t="s">
        <v>42</v>
      </c>
      <c r="G7" s="2686" t="s">
        <v>43</v>
      </c>
      <c r="H7" s="2688" t="s">
        <v>44</v>
      </c>
      <c r="I7" s="366" t="s">
        <v>45</v>
      </c>
      <c r="J7" s="379" t="s">
        <v>46</v>
      </c>
      <c r="K7" s="380" t="s">
        <v>47</v>
      </c>
      <c r="L7" s="2680"/>
      <c r="M7" s="381" t="s">
        <v>30</v>
      </c>
      <c r="N7" s="381" t="s">
        <v>30</v>
      </c>
      <c r="O7" s="382" t="s">
        <v>25</v>
      </c>
      <c r="P7" s="383" t="s">
        <v>30</v>
      </c>
      <c r="Q7" s="384" t="s">
        <v>48</v>
      </c>
      <c r="R7" s="383" t="s">
        <v>49</v>
      </c>
      <c r="S7" s="385" t="s">
        <v>30</v>
      </c>
      <c r="T7" s="386" t="s">
        <v>50</v>
      </c>
      <c r="U7" s="374" t="s">
        <v>13</v>
      </c>
      <c r="V7" s="375" t="s">
        <v>51</v>
      </c>
      <c r="W7" s="376" t="s">
        <v>52</v>
      </c>
      <c r="X7" s="377" t="s">
        <v>53</v>
      </c>
      <c r="Y7" s="377" t="s">
        <v>54</v>
      </c>
      <c r="Z7" s="377" t="s">
        <v>55</v>
      </c>
      <c r="AA7" s="377" t="s">
        <v>56</v>
      </c>
      <c r="AB7" s="378" t="s">
        <v>57</v>
      </c>
      <c r="AC7" s="347" t="s">
        <v>58</v>
      </c>
      <c r="AD7" s="347" t="s">
        <v>59</v>
      </c>
      <c r="AE7" s="347" t="s">
        <v>59</v>
      </c>
      <c r="AF7" s="340" t="s">
        <v>60</v>
      </c>
    </row>
    <row r="8" spans="1:32" s="597" customFormat="1" ht="18" customHeight="1" x14ac:dyDescent="0.2">
      <c r="A8" s="2687"/>
      <c r="B8" s="366" t="s">
        <v>61</v>
      </c>
      <c r="C8" s="2687"/>
      <c r="D8" s="366" t="s">
        <v>62</v>
      </c>
      <c r="E8" s="368" t="s">
        <v>63</v>
      </c>
      <c r="F8" s="2687"/>
      <c r="G8" s="2687"/>
      <c r="H8" s="2689"/>
      <c r="I8" s="366" t="s">
        <v>64</v>
      </c>
      <c r="J8" s="379" t="s">
        <v>59</v>
      </c>
      <c r="K8" s="380" t="s">
        <v>59</v>
      </c>
      <c r="L8" s="2680"/>
      <c r="M8" s="381"/>
      <c r="N8" s="381"/>
      <c r="O8" s="382" t="s">
        <v>41</v>
      </c>
      <c r="P8" s="383" t="s">
        <v>65</v>
      </c>
      <c r="Q8" s="384" t="s">
        <v>66</v>
      </c>
      <c r="R8" s="383" t="s">
        <v>67</v>
      </c>
      <c r="S8" s="385" t="s">
        <v>59</v>
      </c>
      <c r="T8" s="387" t="s">
        <v>68</v>
      </c>
      <c r="U8" s="375" t="s">
        <v>14</v>
      </c>
      <c r="V8" s="375" t="s">
        <v>14</v>
      </c>
      <c r="W8" s="376" t="s">
        <v>30</v>
      </c>
      <c r="X8" s="388" t="s">
        <v>69</v>
      </c>
      <c r="Y8" s="388" t="s">
        <v>70</v>
      </c>
      <c r="Z8" s="377" t="s">
        <v>71</v>
      </c>
      <c r="AA8" s="377" t="s">
        <v>72</v>
      </c>
      <c r="AB8" s="378" t="s">
        <v>59</v>
      </c>
      <c r="AC8" s="347" t="s">
        <v>59</v>
      </c>
      <c r="AD8" s="347"/>
      <c r="AE8" s="347"/>
      <c r="AF8" s="340" t="s">
        <v>59</v>
      </c>
    </row>
    <row r="9" spans="1:32" s="597" customFormat="1" ht="18" customHeight="1" x14ac:dyDescent="0.2">
      <c r="A9" s="2692"/>
      <c r="B9" s="390"/>
      <c r="C9" s="2692"/>
      <c r="D9" s="390"/>
      <c r="E9" s="389"/>
      <c r="F9" s="390"/>
      <c r="G9" s="390"/>
      <c r="H9" s="391"/>
      <c r="I9" s="389"/>
      <c r="J9" s="392"/>
      <c r="K9" s="393"/>
      <c r="L9" s="2681"/>
      <c r="M9" s="394"/>
      <c r="N9" s="394"/>
      <c r="O9" s="394" t="s">
        <v>63</v>
      </c>
      <c r="P9" s="395"/>
      <c r="Q9" s="396" t="s">
        <v>72</v>
      </c>
      <c r="R9" s="397" t="s">
        <v>59</v>
      </c>
      <c r="S9" s="398"/>
      <c r="T9" s="397" t="s">
        <v>73</v>
      </c>
      <c r="U9" s="398" t="s">
        <v>59</v>
      </c>
      <c r="V9" s="399" t="s">
        <v>59</v>
      </c>
      <c r="W9" s="400" t="s">
        <v>59</v>
      </c>
      <c r="X9" s="401" t="s">
        <v>59</v>
      </c>
      <c r="Y9" s="401" t="s">
        <v>59</v>
      </c>
      <c r="Z9" s="401" t="s">
        <v>59</v>
      </c>
      <c r="AA9" s="402"/>
      <c r="AB9" s="403"/>
      <c r="AC9" s="348"/>
      <c r="AD9" s="348"/>
      <c r="AE9" s="348"/>
      <c r="AF9" s="341"/>
    </row>
    <row r="10" spans="1:32" s="597" customFormat="1" ht="18" customHeight="1" x14ac:dyDescent="0.25">
      <c r="A10" s="242">
        <v>1</v>
      </c>
      <c r="B10" s="269">
        <v>61454</v>
      </c>
      <c r="C10" s="285" t="s">
        <v>97</v>
      </c>
      <c r="D10" s="273" t="s">
        <v>91</v>
      </c>
      <c r="E10" s="15">
        <v>5</v>
      </c>
      <c r="F10" s="268">
        <v>0</v>
      </c>
      <c r="G10" s="269">
        <v>1</v>
      </c>
      <c r="H10" s="266">
        <v>36</v>
      </c>
      <c r="I10" s="18">
        <f>F10*400+G10*100+H10</f>
        <v>136</v>
      </c>
      <c r="J10" s="258">
        <v>1700</v>
      </c>
      <c r="K10" s="39">
        <f>SUM(I10*J10)</f>
        <v>231200</v>
      </c>
      <c r="L10" s="45"/>
      <c r="M10" s="61"/>
      <c r="N10" s="50"/>
      <c r="O10" s="50"/>
      <c r="P10" s="19"/>
      <c r="Q10" s="62"/>
      <c r="R10" s="260"/>
      <c r="S10" s="18"/>
      <c r="T10" s="20"/>
      <c r="U10" s="47"/>
      <c r="V10" s="47"/>
      <c r="W10" s="18"/>
      <c r="X10" s="47"/>
      <c r="Y10" s="18"/>
      <c r="Z10" s="18"/>
      <c r="AA10" s="264"/>
      <c r="AB10" s="406">
        <v>0</v>
      </c>
      <c r="AC10" s="1014"/>
      <c r="AD10" s="349">
        <f>AB11-AC10</f>
        <v>0</v>
      </c>
      <c r="AE10" s="349">
        <f>IF(AD10&lt;=0,0,AD10*25/100)</f>
        <v>0</v>
      </c>
      <c r="AF10" s="349">
        <f>IF(AC10+AE10&gt;AB11,AB11,AC10+AE10)</f>
        <v>0</v>
      </c>
    </row>
    <row r="11" spans="1:32" s="597" customFormat="1" ht="18" customHeight="1" x14ac:dyDescent="0.25">
      <c r="A11" s="242"/>
      <c r="B11" s="269"/>
      <c r="C11" s="285"/>
      <c r="D11" s="273"/>
      <c r="E11" s="273"/>
      <c r="F11" s="268"/>
      <c r="G11" s="269"/>
      <c r="H11" s="266"/>
      <c r="I11" s="18">
        <v>80</v>
      </c>
      <c r="J11" s="258">
        <v>1700</v>
      </c>
      <c r="K11" s="39">
        <f>SUM(I11*J11)</f>
        <v>136000</v>
      </c>
      <c r="L11" s="269">
        <v>1</v>
      </c>
      <c r="M11" s="242">
        <v>106</v>
      </c>
      <c r="N11" s="269" t="s">
        <v>96</v>
      </c>
      <c r="O11" s="50">
        <v>2</v>
      </c>
      <c r="P11" s="19">
        <v>43.24</v>
      </c>
      <c r="Q11" s="62" t="s">
        <v>75</v>
      </c>
      <c r="R11" s="260">
        <v>7950</v>
      </c>
      <c r="S11" s="18">
        <f>R11*P11</f>
        <v>343758</v>
      </c>
      <c r="T11" s="1469">
        <v>32</v>
      </c>
      <c r="U11" s="1664">
        <f>S11*85/100</f>
        <v>292194.3</v>
      </c>
      <c r="V11" s="47">
        <f>S11-U11</f>
        <v>51563.700000000012</v>
      </c>
      <c r="W11" s="18">
        <f>K11+V11</f>
        <v>187563.7</v>
      </c>
      <c r="X11" s="47">
        <f>W11</f>
        <v>187563.7</v>
      </c>
      <c r="Y11" s="18" t="s">
        <v>213</v>
      </c>
      <c r="Z11" s="18">
        <v>0</v>
      </c>
      <c r="AA11" s="264">
        <v>0.02</v>
      </c>
      <c r="AB11" s="410">
        <f>+Z11*AA11/100</f>
        <v>0</v>
      </c>
      <c r="AC11" s="1014"/>
      <c r="AD11" s="349">
        <f>AB12-AC11</f>
        <v>154.69110000000003</v>
      </c>
      <c r="AE11" s="349">
        <f>IF(AD11&lt;=0,0,AD11*25/100)</f>
        <v>38.672775000000009</v>
      </c>
      <c r="AF11" s="349">
        <f>IF(AC11+AE11&gt;AB12,AB12,AC11+AE11)</f>
        <v>38.672775000000009</v>
      </c>
    </row>
    <row r="12" spans="1:32" s="597" customFormat="1" ht="18" customHeight="1" x14ac:dyDescent="0.25">
      <c r="A12" s="242"/>
      <c r="B12" s="269"/>
      <c r="C12" s="285"/>
      <c r="D12" s="273"/>
      <c r="E12" s="15"/>
      <c r="F12" s="268"/>
      <c r="G12" s="269"/>
      <c r="H12" s="266"/>
      <c r="I12" s="18"/>
      <c r="J12" s="258"/>
      <c r="K12" s="39"/>
      <c r="L12" s="45">
        <v>2</v>
      </c>
      <c r="M12" s="61">
        <v>106</v>
      </c>
      <c r="N12" s="269" t="s">
        <v>96</v>
      </c>
      <c r="O12" s="50">
        <v>3</v>
      </c>
      <c r="P12" s="19">
        <v>43.24</v>
      </c>
      <c r="Q12" s="62" t="s">
        <v>75</v>
      </c>
      <c r="R12" s="260">
        <v>7950</v>
      </c>
      <c r="S12" s="18">
        <f>R12*P12</f>
        <v>343758</v>
      </c>
      <c r="T12" s="1469">
        <v>32</v>
      </c>
      <c r="U12" s="1664">
        <f>S12*85/100</f>
        <v>292194.3</v>
      </c>
      <c r="V12" s="47">
        <f>S12-U12</f>
        <v>51563.700000000012</v>
      </c>
      <c r="W12" s="18">
        <f>K12+V12</f>
        <v>51563.700000000012</v>
      </c>
      <c r="X12" s="47">
        <f>W12</f>
        <v>51563.700000000012</v>
      </c>
      <c r="Y12" s="18">
        <v>0</v>
      </c>
      <c r="Z12" s="18">
        <f>X12</f>
        <v>51563.700000000012</v>
      </c>
      <c r="AA12" s="264">
        <v>0.3</v>
      </c>
      <c r="AB12" s="415">
        <f>+Z12*AA12/100</f>
        <v>154.69110000000003</v>
      </c>
      <c r="AC12" s="350"/>
      <c r="AD12" s="349"/>
      <c r="AE12" s="349"/>
      <c r="AF12" s="349"/>
    </row>
    <row r="13" spans="1:32" s="597" customFormat="1" ht="18" customHeight="1" x14ac:dyDescent="0.25">
      <c r="A13" s="242"/>
      <c r="B13" s="269"/>
      <c r="C13" s="285"/>
      <c r="D13" s="273"/>
      <c r="E13" s="273"/>
      <c r="F13" s="268"/>
      <c r="G13" s="269"/>
      <c r="H13" s="266"/>
      <c r="I13" s="18">
        <v>28</v>
      </c>
      <c r="J13" s="258">
        <v>1700</v>
      </c>
      <c r="K13" s="262">
        <f>J13*I13</f>
        <v>47600</v>
      </c>
      <c r="L13" s="269">
        <v>3</v>
      </c>
      <c r="M13" s="242">
        <v>101</v>
      </c>
      <c r="N13" s="269" t="s">
        <v>82</v>
      </c>
      <c r="O13" s="269">
        <v>2</v>
      </c>
      <c r="P13" s="266">
        <v>60</v>
      </c>
      <c r="Q13" s="62" t="s">
        <v>75</v>
      </c>
      <c r="R13" s="436">
        <v>7700</v>
      </c>
      <c r="S13" s="18">
        <f>R13*P13</f>
        <v>462000</v>
      </c>
      <c r="T13" s="1959">
        <v>9</v>
      </c>
      <c r="U13" s="1960">
        <f>S13*35/100</f>
        <v>161700</v>
      </c>
      <c r="V13" s="47">
        <f>S13-U13</f>
        <v>300300</v>
      </c>
      <c r="W13" s="18">
        <f>K13+V13</f>
        <v>347900</v>
      </c>
      <c r="X13" s="47">
        <f>W13</f>
        <v>347900</v>
      </c>
      <c r="Y13" s="18">
        <v>0</v>
      </c>
      <c r="Z13" s="18">
        <f>X13</f>
        <v>347900</v>
      </c>
      <c r="AA13" s="1015">
        <v>0.02</v>
      </c>
      <c r="AB13" s="415">
        <f>+Z13*AA13/100</f>
        <v>69.58</v>
      </c>
      <c r="AC13" s="350"/>
      <c r="AD13" s="349"/>
      <c r="AE13" s="349"/>
      <c r="AF13" s="349"/>
    </row>
    <row r="14" spans="1:32" s="597" customFormat="1" ht="18" customHeight="1" x14ac:dyDescent="0.25">
      <c r="A14" s="242"/>
      <c r="B14" s="269"/>
      <c r="C14" s="285"/>
      <c r="D14" s="273"/>
      <c r="E14" s="273"/>
      <c r="F14" s="510"/>
      <c r="G14" s="1016"/>
      <c r="H14" s="510"/>
      <c r="I14" s="18">
        <v>28</v>
      </c>
      <c r="J14" s="258">
        <v>1700</v>
      </c>
      <c r="K14" s="262">
        <f>J14*I14</f>
        <v>47600</v>
      </c>
      <c r="L14" s="269">
        <v>4</v>
      </c>
      <c r="M14" s="242">
        <v>101</v>
      </c>
      <c r="N14" s="269" t="s">
        <v>82</v>
      </c>
      <c r="O14" s="269">
        <v>2</v>
      </c>
      <c r="P14" s="266">
        <v>36</v>
      </c>
      <c r="Q14" s="62" t="s">
        <v>75</v>
      </c>
      <c r="R14" s="436">
        <v>7700</v>
      </c>
      <c r="S14" s="18">
        <f>R14*P14</f>
        <v>277200</v>
      </c>
      <c r="T14" s="1959">
        <v>5</v>
      </c>
      <c r="U14" s="1960">
        <f>S14*15/100</f>
        <v>41580</v>
      </c>
      <c r="V14" s="47">
        <f>S14-U14</f>
        <v>235620</v>
      </c>
      <c r="W14" s="18">
        <f>K14+V14</f>
        <v>283220</v>
      </c>
      <c r="X14" s="47">
        <f>W14</f>
        <v>283220</v>
      </c>
      <c r="Y14" s="18">
        <v>0</v>
      </c>
      <c r="Z14" s="18">
        <f>X14</f>
        <v>283220</v>
      </c>
      <c r="AA14" s="1015">
        <v>0.02</v>
      </c>
      <c r="AB14" s="415">
        <f>+Z14*AA14/100</f>
        <v>56.644000000000005</v>
      </c>
      <c r="AC14" s="350"/>
      <c r="AD14" s="349"/>
      <c r="AE14" s="349"/>
      <c r="AF14" s="349"/>
    </row>
    <row r="15" spans="1:32" s="597" customFormat="1" ht="18" customHeight="1" x14ac:dyDescent="0.2">
      <c r="A15" s="242"/>
      <c r="B15" s="242"/>
      <c r="C15" s="496"/>
      <c r="D15" s="85"/>
      <c r="E15" s="85"/>
      <c r="F15" s="411"/>
      <c r="G15" s="242"/>
      <c r="H15" s="497"/>
      <c r="I15" s="77"/>
      <c r="J15" s="761"/>
      <c r="K15" s="762"/>
      <c r="L15" s="242"/>
      <c r="M15" s="242"/>
      <c r="N15" s="242"/>
      <c r="O15" s="242"/>
      <c r="P15" s="497"/>
      <c r="Q15" s="174"/>
      <c r="R15" s="408"/>
      <c r="S15" s="77"/>
      <c r="T15" s="135"/>
      <c r="U15" s="74"/>
      <c r="V15" s="74"/>
      <c r="W15" s="77"/>
      <c r="X15" s="74"/>
      <c r="Y15" s="77"/>
      <c r="Z15" s="77"/>
      <c r="AA15" s="414"/>
      <c r="AB15" s="506"/>
      <c r="AC15" s="350"/>
      <c r="AD15" s="349"/>
      <c r="AE15" s="349"/>
      <c r="AF15" s="349"/>
    </row>
    <row r="16" spans="1:32" s="597" customFormat="1" ht="18" customHeight="1" x14ac:dyDescent="0.2">
      <c r="A16" s="241"/>
      <c r="B16" s="241"/>
      <c r="C16" s="498"/>
      <c r="D16" s="102"/>
      <c r="E16" s="102"/>
      <c r="F16" s="499"/>
      <c r="G16" s="241"/>
      <c r="H16" s="500"/>
      <c r="I16" s="77"/>
      <c r="J16" s="1004"/>
      <c r="K16" s="104"/>
      <c r="L16" s="241"/>
      <c r="M16" s="241"/>
      <c r="N16" s="241"/>
      <c r="O16" s="241"/>
      <c r="P16" s="500"/>
      <c r="Q16" s="196"/>
      <c r="R16" s="408"/>
      <c r="S16" s="77"/>
      <c r="T16" s="803"/>
      <c r="U16" s="77"/>
      <c r="V16" s="77"/>
      <c r="W16" s="77"/>
      <c r="X16" s="77"/>
      <c r="Y16" s="77"/>
      <c r="Z16" s="77"/>
      <c r="AA16" s="409"/>
      <c r="AB16" s="506"/>
      <c r="AC16" s="350"/>
      <c r="AD16" s="719"/>
      <c r="AE16" s="719"/>
      <c r="AF16" s="719"/>
    </row>
    <row r="17" spans="1:32" s="597" customFormat="1" ht="18" customHeight="1" x14ac:dyDescent="0.2">
      <c r="A17" s="145"/>
      <c r="B17" s="177"/>
      <c r="C17" s="177"/>
      <c r="D17" s="145"/>
      <c r="E17" s="145"/>
      <c r="F17" s="145"/>
      <c r="G17" s="145"/>
      <c r="H17" s="147"/>
      <c r="I17" s="107"/>
      <c r="J17" s="178"/>
      <c r="K17" s="107"/>
      <c r="L17" s="145"/>
      <c r="M17" s="145"/>
      <c r="N17" s="145"/>
      <c r="O17" s="145"/>
      <c r="P17" s="147"/>
      <c r="Q17" s="148"/>
      <c r="R17" s="437"/>
      <c r="S17" s="107"/>
      <c r="T17" s="179"/>
      <c r="U17" s="178"/>
      <c r="V17" s="107"/>
      <c r="W17" s="107"/>
      <c r="X17" s="470"/>
      <c r="Y17" s="470"/>
      <c r="Z17" s="471"/>
      <c r="AA17" s="471"/>
      <c r="AB17" s="466"/>
      <c r="AC17" s="350"/>
      <c r="AD17" s="350"/>
      <c r="AE17" s="350"/>
      <c r="AF17" s="350"/>
    </row>
    <row r="18" spans="1:32" s="597" customFormat="1" ht="18" customHeight="1" x14ac:dyDescent="0.2">
      <c r="A18" s="145"/>
      <c r="B18" s="177"/>
      <c r="C18" s="177"/>
      <c r="D18" s="145"/>
      <c r="E18" s="145"/>
      <c r="F18" s="145"/>
      <c r="G18" s="145"/>
      <c r="H18" s="147"/>
      <c r="I18" s="107"/>
      <c r="J18" s="178"/>
      <c r="K18" s="107"/>
      <c r="L18" s="145"/>
      <c r="M18" s="145"/>
      <c r="N18" s="145"/>
      <c r="O18" s="145"/>
      <c r="P18" s="147"/>
      <c r="Q18" s="148"/>
      <c r="R18" s="437"/>
      <c r="S18" s="107"/>
      <c r="T18" s="179"/>
      <c r="U18" s="178"/>
      <c r="V18" s="107"/>
      <c r="W18" s="107"/>
      <c r="X18" s="470"/>
      <c r="Y18" s="470"/>
      <c r="Z18" s="471"/>
      <c r="AA18" s="471"/>
      <c r="AB18" s="466"/>
      <c r="AC18" s="350"/>
      <c r="AD18" s="350"/>
      <c r="AE18" s="350"/>
      <c r="AF18" s="350"/>
    </row>
    <row r="19" spans="1:32" s="597" customFormat="1" ht="18" customHeight="1" x14ac:dyDescent="0.2">
      <c r="A19" s="145"/>
      <c r="B19" s="177"/>
      <c r="C19" s="177"/>
      <c r="D19" s="145"/>
      <c r="E19" s="145"/>
      <c r="F19" s="145"/>
      <c r="G19" s="145"/>
      <c r="H19" s="147"/>
      <c r="I19" s="107"/>
      <c r="J19" s="178"/>
      <c r="K19" s="107"/>
      <c r="L19" s="145"/>
      <c r="M19" s="145"/>
      <c r="N19" s="145"/>
      <c r="O19" s="145"/>
      <c r="P19" s="147"/>
      <c r="Q19" s="148"/>
      <c r="R19" s="437"/>
      <c r="S19" s="107"/>
      <c r="T19" s="179"/>
      <c r="U19" s="178"/>
      <c r="V19" s="107"/>
      <c r="W19" s="107"/>
      <c r="X19" s="470"/>
      <c r="Y19" s="470"/>
      <c r="Z19" s="471"/>
      <c r="AA19" s="471"/>
      <c r="AB19" s="466"/>
      <c r="AC19" s="350"/>
      <c r="AD19" s="350"/>
      <c r="AE19" s="350"/>
      <c r="AF19" s="350"/>
    </row>
    <row r="20" spans="1:32" s="597" customFormat="1" ht="18" customHeight="1" x14ac:dyDescent="0.2">
      <c r="A20" s="145"/>
      <c r="B20" s="177"/>
      <c r="C20" s="177"/>
      <c r="D20" s="145"/>
      <c r="E20" s="145"/>
      <c r="F20" s="145"/>
      <c r="G20" s="145"/>
      <c r="H20" s="147"/>
      <c r="I20" s="107"/>
      <c r="J20" s="178"/>
      <c r="K20" s="107"/>
      <c r="L20" s="145"/>
      <c r="M20" s="145"/>
      <c r="N20" s="145"/>
      <c r="O20" s="145"/>
      <c r="P20" s="147"/>
      <c r="Q20" s="148"/>
      <c r="R20" s="437"/>
      <c r="S20" s="107"/>
      <c r="T20" s="179"/>
      <c r="U20" s="178"/>
      <c r="V20" s="107"/>
      <c r="W20" s="107"/>
      <c r="X20" s="470"/>
      <c r="Y20" s="470"/>
      <c r="Z20" s="471"/>
      <c r="AA20" s="471"/>
      <c r="AB20" s="466"/>
      <c r="AC20" s="350"/>
      <c r="AD20" s="350"/>
      <c r="AE20" s="350"/>
      <c r="AF20" s="350"/>
    </row>
    <row r="21" spans="1:32" s="597" customFormat="1" ht="18" customHeight="1" x14ac:dyDescent="0.2">
      <c r="A21" s="145"/>
      <c r="B21" s="177"/>
      <c r="C21" s="177"/>
      <c r="D21" s="145"/>
      <c r="E21" s="145"/>
      <c r="F21" s="145"/>
      <c r="G21" s="145"/>
      <c r="H21" s="147"/>
      <c r="I21" s="107"/>
      <c r="J21" s="178"/>
      <c r="K21" s="107"/>
      <c r="L21" s="145"/>
      <c r="M21" s="145"/>
      <c r="N21" s="145"/>
      <c r="O21" s="145"/>
      <c r="P21" s="147"/>
      <c r="Q21" s="148"/>
      <c r="R21" s="437"/>
      <c r="S21" s="107"/>
      <c r="T21" s="179"/>
      <c r="U21" s="178"/>
      <c r="V21" s="107"/>
      <c r="W21" s="107"/>
      <c r="X21" s="470"/>
      <c r="Y21" s="470"/>
      <c r="Z21" s="471"/>
      <c r="AA21" s="471"/>
      <c r="AB21" s="466"/>
      <c r="AC21" s="350"/>
      <c r="AD21" s="350"/>
      <c r="AE21" s="350"/>
      <c r="AF21" s="350"/>
    </row>
    <row r="22" spans="1:32" s="597" customFormat="1" ht="18" customHeight="1" x14ac:dyDescent="0.2">
      <c r="A22" s="145"/>
      <c r="B22" s="177"/>
      <c r="C22" s="177"/>
      <c r="D22" s="145"/>
      <c r="E22" s="145"/>
      <c r="F22" s="145"/>
      <c r="G22" s="145"/>
      <c r="H22" s="147"/>
      <c r="I22" s="107"/>
      <c r="J22" s="178"/>
      <c r="K22" s="107"/>
      <c r="L22" s="145"/>
      <c r="M22" s="145"/>
      <c r="N22" s="145"/>
      <c r="O22" s="145"/>
      <c r="P22" s="147"/>
      <c r="Q22" s="148"/>
      <c r="R22" s="437"/>
      <c r="S22" s="107"/>
      <c r="T22" s="179"/>
      <c r="U22" s="178"/>
      <c r="V22" s="107"/>
      <c r="W22" s="107"/>
      <c r="X22" s="470"/>
      <c r="Y22" s="470"/>
      <c r="Z22" s="471"/>
      <c r="AA22" s="471"/>
      <c r="AB22" s="466"/>
      <c r="AC22" s="350"/>
      <c r="AD22" s="350"/>
      <c r="AE22" s="350"/>
      <c r="AF22" s="350"/>
    </row>
    <row r="23" spans="1:32" s="597" customFormat="1" ht="18" customHeight="1" x14ac:dyDescent="0.2">
      <c r="A23" s="88"/>
      <c r="B23" s="180"/>
      <c r="C23" s="180"/>
      <c r="D23" s="88"/>
      <c r="E23" s="88"/>
      <c r="F23" s="88"/>
      <c r="G23" s="88"/>
      <c r="H23" s="120"/>
      <c r="I23" s="121"/>
      <c r="J23" s="181"/>
      <c r="K23" s="121"/>
      <c r="L23" s="88"/>
      <c r="M23" s="88"/>
      <c r="N23" s="88"/>
      <c r="O23" s="88"/>
      <c r="P23" s="88"/>
      <c r="Q23" s="129"/>
      <c r="R23" s="445"/>
      <c r="S23" s="121"/>
      <c r="T23" s="182"/>
      <c r="U23" s="181"/>
      <c r="V23" s="121"/>
      <c r="W23" s="121"/>
      <c r="X23" s="472"/>
      <c r="Y23" s="472"/>
      <c r="Z23" s="473"/>
      <c r="AA23" s="473"/>
      <c r="AB23" s="410"/>
      <c r="AC23" s="351"/>
      <c r="AD23" s="351"/>
      <c r="AE23" s="351"/>
      <c r="AF23" s="351"/>
    </row>
    <row r="24" spans="1:32" s="597" customFormat="1" ht="18" customHeight="1" x14ac:dyDescent="0.2">
      <c r="A24" s="1850"/>
      <c r="B24" s="1850"/>
      <c r="C24" s="1850"/>
      <c r="D24" s="1850"/>
      <c r="E24" s="1850"/>
      <c r="F24" s="1850"/>
      <c r="G24" s="1850"/>
      <c r="H24" s="1851"/>
      <c r="I24" s="1852"/>
      <c r="J24" s="1853"/>
      <c r="K24" s="1852"/>
      <c r="L24" s="1852"/>
      <c r="M24" s="1852"/>
      <c r="N24" s="1852"/>
      <c r="O24" s="1852"/>
      <c r="P24" s="1852"/>
      <c r="Q24" s="1852"/>
      <c r="R24" s="1854"/>
      <c r="S24" s="1852"/>
      <c r="T24" s="1855"/>
      <c r="U24" s="1853"/>
      <c r="V24" s="1852"/>
      <c r="W24" s="1852"/>
      <c r="X24" s="1856"/>
      <c r="Y24" s="1856"/>
      <c r="Z24" s="1857"/>
      <c r="AA24" s="1857"/>
      <c r="AB24" s="1847">
        <f>SUM(AB11:AB23)</f>
        <v>280.91510000000005</v>
      </c>
      <c r="AC24" s="1861"/>
      <c r="AD24" s="1861"/>
      <c r="AE24" s="1861"/>
      <c r="AF24" s="1861"/>
    </row>
    <row r="25" spans="1:32" s="597" customFormat="1" ht="18" customHeight="1" x14ac:dyDescent="0.2">
      <c r="A25" s="2690" t="s">
        <v>76</v>
      </c>
      <c r="B25" s="2690"/>
      <c r="C25" s="2691" t="s">
        <v>77</v>
      </c>
      <c r="D25" s="2691"/>
      <c r="E25" s="2691"/>
      <c r="F25" s="2691"/>
      <c r="G25" s="2691"/>
      <c r="H25" s="2691"/>
      <c r="I25" s="604" t="s">
        <v>78</v>
      </c>
      <c r="J25" s="604"/>
      <c r="K25" s="604"/>
      <c r="L25" s="604"/>
      <c r="M25" s="604"/>
      <c r="N25" s="604"/>
      <c r="AB25" s="598"/>
    </row>
    <row r="26" spans="1:32" s="597" customFormat="1" ht="18" customHeight="1" x14ac:dyDescent="0.2">
      <c r="A26" s="604"/>
      <c r="B26" s="605"/>
      <c r="C26" s="604"/>
      <c r="D26" s="604"/>
      <c r="E26" s="604"/>
      <c r="F26" s="604"/>
      <c r="G26" s="604"/>
      <c r="H26" s="604"/>
      <c r="I26" s="604" t="s">
        <v>79</v>
      </c>
      <c r="J26" s="604"/>
      <c r="K26" s="604"/>
      <c r="L26" s="604"/>
      <c r="M26" s="604"/>
      <c r="N26" s="604"/>
      <c r="AB26" s="598"/>
    </row>
    <row r="27" spans="1:32" s="597" customFormat="1" ht="18" customHeight="1" x14ac:dyDescent="0.2">
      <c r="A27" s="604"/>
      <c r="B27" s="605"/>
      <c r="C27" s="604"/>
      <c r="D27" s="604"/>
      <c r="E27" s="604"/>
      <c r="F27" s="604"/>
      <c r="G27" s="604"/>
      <c r="H27" s="604"/>
      <c r="I27" s="604" t="s">
        <v>80</v>
      </c>
      <c r="J27" s="604"/>
      <c r="K27" s="604"/>
      <c r="L27" s="604"/>
      <c r="M27" s="604"/>
      <c r="N27" s="604"/>
      <c r="AB27" s="598"/>
    </row>
    <row r="28" spans="1:32" s="597" customFormat="1" ht="18" customHeight="1" x14ac:dyDescent="0.2">
      <c r="A28" s="604"/>
      <c r="B28" s="605"/>
      <c r="C28" s="604"/>
      <c r="D28" s="604"/>
      <c r="E28" s="604"/>
      <c r="F28" s="604"/>
      <c r="G28" s="604"/>
      <c r="H28" s="604"/>
      <c r="I28" s="604" t="s">
        <v>81</v>
      </c>
      <c r="J28" s="604"/>
      <c r="K28" s="604"/>
      <c r="L28" s="604"/>
      <c r="M28" s="604"/>
      <c r="N28" s="604"/>
      <c r="AB28" s="598"/>
    </row>
    <row r="29" spans="1:32" s="597" customFormat="1" ht="18" customHeight="1" x14ac:dyDescent="0.2">
      <c r="A29" s="604"/>
      <c r="B29" s="605"/>
      <c r="C29" s="604"/>
      <c r="D29" s="604"/>
      <c r="E29" s="604"/>
      <c r="F29" s="604"/>
      <c r="G29" s="604"/>
      <c r="H29" s="604"/>
      <c r="I29" s="604" t="s">
        <v>88</v>
      </c>
      <c r="J29" s="604"/>
      <c r="K29" s="604"/>
      <c r="L29" s="604"/>
      <c r="M29" s="604"/>
      <c r="N29" s="604"/>
      <c r="AB29" s="598"/>
    </row>
    <row r="30" spans="1:32" s="597" customFormat="1" ht="18" customHeight="1" x14ac:dyDescent="0.2">
      <c r="A30" s="339"/>
      <c r="B30" s="339"/>
      <c r="C30" s="339"/>
      <c r="D30" s="339"/>
      <c r="E30" s="339"/>
      <c r="F30" s="339"/>
      <c r="G30" s="339"/>
      <c r="H30" s="339"/>
      <c r="I30" s="339"/>
      <c r="J30" s="339"/>
      <c r="K30" s="339"/>
      <c r="L30" s="339"/>
      <c r="M30" s="339"/>
      <c r="N30" s="339"/>
      <c r="O30" s="339"/>
      <c r="P30" s="339"/>
      <c r="Q30" s="339"/>
      <c r="R30" s="339"/>
      <c r="S30" s="339"/>
      <c r="T30" s="339"/>
      <c r="U30" s="339"/>
      <c r="V30" s="339"/>
      <c r="W30" s="339"/>
      <c r="X30" s="339"/>
      <c r="Y30" s="339"/>
      <c r="Z30" s="339"/>
      <c r="AA30" s="2702" t="s">
        <v>0</v>
      </c>
      <c r="AB30" s="2702"/>
      <c r="AC30" s="339"/>
      <c r="AD30" s="339"/>
      <c r="AE30" s="339"/>
      <c r="AF30" s="339"/>
    </row>
    <row r="31" spans="1:32" s="597" customFormat="1" ht="18" customHeight="1" x14ac:dyDescent="0.2">
      <c r="A31" s="2703" t="s">
        <v>1</v>
      </c>
      <c r="B31" s="2703"/>
      <c r="C31" s="2703"/>
      <c r="D31" s="2703"/>
      <c r="E31" s="2703"/>
      <c r="F31" s="2703"/>
      <c r="G31" s="2703"/>
      <c r="H31" s="2703"/>
      <c r="I31" s="2703"/>
      <c r="J31" s="2703"/>
      <c r="K31" s="2703"/>
      <c r="L31" s="2703"/>
      <c r="M31" s="2703"/>
      <c r="N31" s="2703"/>
      <c r="O31" s="2703"/>
      <c r="P31" s="2703"/>
      <c r="Q31" s="2703"/>
      <c r="R31" s="2703"/>
      <c r="S31" s="2703"/>
      <c r="T31" s="2703"/>
      <c r="U31" s="2703"/>
      <c r="V31" s="2703"/>
      <c r="W31" s="2703"/>
      <c r="X31" s="2703"/>
      <c r="Y31" s="2703"/>
      <c r="Z31" s="2703"/>
      <c r="AA31" s="2703"/>
      <c r="AB31" s="2703"/>
      <c r="AC31" s="344"/>
      <c r="AD31" s="344"/>
      <c r="AE31" s="344"/>
      <c r="AF31" s="344"/>
    </row>
    <row r="32" spans="1:32" s="597" customFormat="1" ht="18" customHeight="1" x14ac:dyDescent="0.2">
      <c r="A32" s="2704" t="s">
        <v>460</v>
      </c>
      <c r="B32" s="2704"/>
      <c r="C32" s="2704"/>
      <c r="D32" s="2704"/>
      <c r="E32" s="2704"/>
      <c r="F32" s="2704"/>
      <c r="G32" s="2704"/>
      <c r="H32" s="2704"/>
      <c r="I32" s="2704"/>
      <c r="J32" s="2704"/>
      <c r="K32" s="2704"/>
      <c r="L32" s="2704"/>
      <c r="M32" s="2704"/>
      <c r="N32" s="2704"/>
      <c r="O32" s="2704"/>
      <c r="P32" s="2704"/>
      <c r="Q32" s="2704"/>
      <c r="R32" s="2704"/>
      <c r="S32" s="2704"/>
      <c r="T32" s="2704"/>
      <c r="U32" s="2704"/>
      <c r="V32" s="2704"/>
      <c r="W32" s="2704"/>
      <c r="X32" s="2704"/>
      <c r="Y32" s="2704"/>
      <c r="Z32" s="2704"/>
      <c r="AA32" s="2704"/>
      <c r="AB32" s="2704"/>
      <c r="AC32" s="599"/>
      <c r="AD32" s="599"/>
      <c r="AE32" s="599"/>
      <c r="AF32" s="599"/>
    </row>
    <row r="33" spans="1:32" s="597" customFormat="1" ht="18" customHeight="1" x14ac:dyDescent="0.2">
      <c r="A33" s="2686" t="s">
        <v>2</v>
      </c>
      <c r="B33" s="360"/>
      <c r="C33" s="2686" t="s">
        <v>3</v>
      </c>
      <c r="D33" s="360"/>
      <c r="E33" s="360"/>
      <c r="F33" s="2693" t="s">
        <v>4</v>
      </c>
      <c r="G33" s="2693"/>
      <c r="H33" s="2693"/>
      <c r="I33" s="2694"/>
      <c r="J33" s="2694"/>
      <c r="K33" s="2695"/>
      <c r="L33" s="361"/>
      <c r="M33" s="2679" t="s">
        <v>5</v>
      </c>
      <c r="N33" s="2679"/>
      <c r="O33" s="2679"/>
      <c r="P33" s="2679"/>
      <c r="Q33" s="2696"/>
      <c r="R33" s="2696"/>
      <c r="S33" s="2696"/>
      <c r="T33" s="2696"/>
      <c r="U33" s="2696"/>
      <c r="V33" s="2697"/>
      <c r="W33" s="362" t="s">
        <v>6</v>
      </c>
      <c r="X33" s="363" t="s">
        <v>7</v>
      </c>
      <c r="Y33" s="364"/>
      <c r="Z33" s="364"/>
      <c r="AA33" s="363"/>
      <c r="AB33" s="365"/>
      <c r="AC33" s="516" t="s">
        <v>8</v>
      </c>
      <c r="AD33" s="346"/>
      <c r="AE33" s="346"/>
      <c r="AF33" s="600"/>
    </row>
    <row r="34" spans="1:32" s="597" customFormat="1" ht="18" customHeight="1" x14ac:dyDescent="0.2">
      <c r="A34" s="2687"/>
      <c r="B34" s="367"/>
      <c r="C34" s="2687"/>
      <c r="D34" s="366" t="s">
        <v>9</v>
      </c>
      <c r="E34" s="368" t="s">
        <v>10</v>
      </c>
      <c r="F34" s="2698" t="s">
        <v>11</v>
      </c>
      <c r="G34" s="2694"/>
      <c r="H34" s="2695"/>
      <c r="I34" s="360"/>
      <c r="J34" s="369" t="s">
        <v>12</v>
      </c>
      <c r="K34" s="360"/>
      <c r="L34" s="2679" t="s">
        <v>2</v>
      </c>
      <c r="M34" s="370"/>
      <c r="N34" s="370"/>
      <c r="O34" s="370"/>
      <c r="P34" s="371"/>
      <c r="Q34" s="372" t="s">
        <v>13</v>
      </c>
      <c r="R34" s="373" t="s">
        <v>12</v>
      </c>
      <c r="S34" s="370" t="s">
        <v>6</v>
      </c>
      <c r="T34" s="2682" t="s">
        <v>14</v>
      </c>
      <c r="U34" s="2683"/>
      <c r="V34" s="375" t="s">
        <v>7</v>
      </c>
      <c r="W34" s="376" t="s">
        <v>15</v>
      </c>
      <c r="X34" s="377" t="s">
        <v>16</v>
      </c>
      <c r="Y34" s="377" t="s">
        <v>17</v>
      </c>
      <c r="Z34" s="377" t="s">
        <v>18</v>
      </c>
      <c r="AA34" s="377"/>
      <c r="AB34" s="378" t="s">
        <v>19</v>
      </c>
      <c r="AC34" s="528" t="s">
        <v>20</v>
      </c>
      <c r="AD34" s="601"/>
      <c r="AE34" s="347" t="s">
        <v>21</v>
      </c>
      <c r="AF34" s="340" t="s">
        <v>22</v>
      </c>
    </row>
    <row r="35" spans="1:32" s="597" customFormat="1" ht="18" customHeight="1" x14ac:dyDescent="0.2">
      <c r="A35" s="2687"/>
      <c r="B35" s="366" t="s">
        <v>23</v>
      </c>
      <c r="C35" s="2687"/>
      <c r="D35" s="366" t="s">
        <v>24</v>
      </c>
      <c r="E35" s="368" t="s">
        <v>25</v>
      </c>
      <c r="F35" s="2699"/>
      <c r="G35" s="2700"/>
      <c r="H35" s="2701"/>
      <c r="I35" s="366" t="s">
        <v>26</v>
      </c>
      <c r="J35" s="379" t="s">
        <v>15</v>
      </c>
      <c r="K35" s="380" t="s">
        <v>6</v>
      </c>
      <c r="L35" s="2680"/>
      <c r="M35" s="381" t="s">
        <v>27</v>
      </c>
      <c r="N35" s="381" t="s">
        <v>10</v>
      </c>
      <c r="O35" s="382" t="s">
        <v>10</v>
      </c>
      <c r="P35" s="383" t="s">
        <v>28</v>
      </c>
      <c r="Q35" s="384" t="s">
        <v>29</v>
      </c>
      <c r="R35" s="383" t="s">
        <v>15</v>
      </c>
      <c r="S35" s="385" t="s">
        <v>15</v>
      </c>
      <c r="T35" s="2684"/>
      <c r="U35" s="2685"/>
      <c r="V35" s="375" t="s">
        <v>30</v>
      </c>
      <c r="W35" s="376" t="s">
        <v>31</v>
      </c>
      <c r="X35" s="377" t="s">
        <v>30</v>
      </c>
      <c r="Y35" s="377" t="s">
        <v>32</v>
      </c>
      <c r="Z35" s="377" t="s">
        <v>7</v>
      </c>
      <c r="AA35" s="377" t="s">
        <v>33</v>
      </c>
      <c r="AB35" s="378" t="s">
        <v>34</v>
      </c>
      <c r="AC35" s="528" t="s">
        <v>35</v>
      </c>
      <c r="AD35" s="347" t="s">
        <v>36</v>
      </c>
      <c r="AE35" s="347" t="s">
        <v>37</v>
      </c>
      <c r="AF35" s="340" t="s">
        <v>38</v>
      </c>
    </row>
    <row r="36" spans="1:32" s="597" customFormat="1" ht="18" customHeight="1" x14ac:dyDescent="0.2">
      <c r="A36" s="2687"/>
      <c r="B36" s="366" t="s">
        <v>39</v>
      </c>
      <c r="C36" s="2687"/>
      <c r="D36" s="366" t="s">
        <v>40</v>
      </c>
      <c r="E36" s="368" t="s">
        <v>41</v>
      </c>
      <c r="F36" s="2686" t="s">
        <v>42</v>
      </c>
      <c r="G36" s="2686" t="s">
        <v>43</v>
      </c>
      <c r="H36" s="2688" t="s">
        <v>44</v>
      </c>
      <c r="I36" s="366" t="s">
        <v>45</v>
      </c>
      <c r="J36" s="379" t="s">
        <v>46</v>
      </c>
      <c r="K36" s="380" t="s">
        <v>47</v>
      </c>
      <c r="L36" s="2680"/>
      <c r="M36" s="381" t="s">
        <v>30</v>
      </c>
      <c r="N36" s="381" t="s">
        <v>30</v>
      </c>
      <c r="O36" s="382" t="s">
        <v>25</v>
      </c>
      <c r="P36" s="383" t="s">
        <v>30</v>
      </c>
      <c r="Q36" s="384" t="s">
        <v>48</v>
      </c>
      <c r="R36" s="383" t="s">
        <v>49</v>
      </c>
      <c r="S36" s="385" t="s">
        <v>30</v>
      </c>
      <c r="T36" s="386" t="s">
        <v>50</v>
      </c>
      <c r="U36" s="374" t="s">
        <v>13</v>
      </c>
      <c r="V36" s="375" t="s">
        <v>51</v>
      </c>
      <c r="W36" s="376" t="s">
        <v>52</v>
      </c>
      <c r="X36" s="377" t="s">
        <v>53</v>
      </c>
      <c r="Y36" s="377" t="s">
        <v>54</v>
      </c>
      <c r="Z36" s="377" t="s">
        <v>55</v>
      </c>
      <c r="AA36" s="377" t="s">
        <v>56</v>
      </c>
      <c r="AB36" s="378" t="s">
        <v>57</v>
      </c>
      <c r="AC36" s="347" t="s">
        <v>58</v>
      </c>
      <c r="AD36" s="347" t="s">
        <v>59</v>
      </c>
      <c r="AE36" s="347" t="s">
        <v>59</v>
      </c>
      <c r="AF36" s="340" t="s">
        <v>60</v>
      </c>
    </row>
    <row r="37" spans="1:32" s="597" customFormat="1" ht="18" customHeight="1" x14ac:dyDescent="0.2">
      <c r="A37" s="2687"/>
      <c r="B37" s="366" t="s">
        <v>61</v>
      </c>
      <c r="C37" s="2687"/>
      <c r="D37" s="366" t="s">
        <v>62</v>
      </c>
      <c r="E37" s="368" t="s">
        <v>63</v>
      </c>
      <c r="F37" s="2687"/>
      <c r="G37" s="2687"/>
      <c r="H37" s="2689"/>
      <c r="I37" s="366" t="s">
        <v>64</v>
      </c>
      <c r="J37" s="379" t="s">
        <v>59</v>
      </c>
      <c r="K37" s="380" t="s">
        <v>59</v>
      </c>
      <c r="L37" s="2680"/>
      <c r="M37" s="381"/>
      <c r="N37" s="381"/>
      <c r="O37" s="382" t="s">
        <v>41</v>
      </c>
      <c r="P37" s="383" t="s">
        <v>65</v>
      </c>
      <c r="Q37" s="384" t="s">
        <v>66</v>
      </c>
      <c r="R37" s="383" t="s">
        <v>67</v>
      </c>
      <c r="S37" s="385" t="s">
        <v>59</v>
      </c>
      <c r="T37" s="387" t="s">
        <v>68</v>
      </c>
      <c r="U37" s="375" t="s">
        <v>14</v>
      </c>
      <c r="V37" s="375" t="s">
        <v>14</v>
      </c>
      <c r="W37" s="376" t="s">
        <v>30</v>
      </c>
      <c r="X37" s="388" t="s">
        <v>69</v>
      </c>
      <c r="Y37" s="388" t="s">
        <v>70</v>
      </c>
      <c r="Z37" s="377" t="s">
        <v>71</v>
      </c>
      <c r="AA37" s="377" t="s">
        <v>72</v>
      </c>
      <c r="AB37" s="378" t="s">
        <v>59</v>
      </c>
      <c r="AC37" s="347" t="s">
        <v>59</v>
      </c>
      <c r="AD37" s="347"/>
      <c r="AE37" s="347"/>
      <c r="AF37" s="340" t="s">
        <v>59</v>
      </c>
    </row>
    <row r="38" spans="1:32" s="597" customFormat="1" ht="18" customHeight="1" x14ac:dyDescent="0.2">
      <c r="A38" s="2692"/>
      <c r="B38" s="390"/>
      <c r="C38" s="2692"/>
      <c r="D38" s="390"/>
      <c r="E38" s="389"/>
      <c r="F38" s="390"/>
      <c r="G38" s="390"/>
      <c r="H38" s="391"/>
      <c r="I38" s="389"/>
      <c r="J38" s="392"/>
      <c r="K38" s="393"/>
      <c r="L38" s="2681"/>
      <c r="M38" s="394"/>
      <c r="N38" s="394"/>
      <c r="O38" s="394" t="s">
        <v>63</v>
      </c>
      <c r="P38" s="395"/>
      <c r="Q38" s="396" t="s">
        <v>72</v>
      </c>
      <c r="R38" s="397" t="s">
        <v>59</v>
      </c>
      <c r="S38" s="398"/>
      <c r="T38" s="397" t="s">
        <v>73</v>
      </c>
      <c r="U38" s="398" t="s">
        <v>59</v>
      </c>
      <c r="V38" s="399" t="s">
        <v>59</v>
      </c>
      <c r="W38" s="400" t="s">
        <v>59</v>
      </c>
      <c r="X38" s="401" t="s">
        <v>59</v>
      </c>
      <c r="Y38" s="401" t="s">
        <v>59</v>
      </c>
      <c r="Z38" s="401" t="s">
        <v>59</v>
      </c>
      <c r="AA38" s="402"/>
      <c r="AB38" s="403"/>
      <c r="AC38" s="348"/>
      <c r="AD38" s="348"/>
      <c r="AE38" s="348"/>
      <c r="AF38" s="341"/>
    </row>
    <row r="39" spans="1:32" s="597" customFormat="1" ht="18" customHeight="1" x14ac:dyDescent="0.25">
      <c r="A39" s="242">
        <v>1</v>
      </c>
      <c r="B39" s="269">
        <v>2214</v>
      </c>
      <c r="C39" s="285" t="s">
        <v>98</v>
      </c>
      <c r="D39" s="15" t="s">
        <v>91</v>
      </c>
      <c r="E39" s="15">
        <v>1</v>
      </c>
      <c r="F39" s="268">
        <v>3</v>
      </c>
      <c r="G39" s="269">
        <v>0</v>
      </c>
      <c r="H39" s="266">
        <v>17</v>
      </c>
      <c r="I39" s="18">
        <f>F39*400+G39*100+H39</f>
        <v>1217</v>
      </c>
      <c r="J39" s="23">
        <v>2000</v>
      </c>
      <c r="K39" s="39">
        <f>SUM(I39*J39)</f>
        <v>2434000</v>
      </c>
      <c r="L39" s="45"/>
      <c r="M39" s="145"/>
      <c r="N39" s="15"/>
      <c r="O39" s="50"/>
      <c r="P39" s="15"/>
      <c r="Q39" s="62"/>
      <c r="R39" s="260"/>
      <c r="S39" s="18"/>
      <c r="T39" s="20"/>
      <c r="U39" s="47"/>
      <c r="V39" s="47"/>
      <c r="W39" s="18">
        <f>K39+V39</f>
        <v>2434000</v>
      </c>
      <c r="X39" s="47">
        <f>W39</f>
        <v>2434000</v>
      </c>
      <c r="Y39" s="18" t="s">
        <v>87</v>
      </c>
      <c r="Z39" s="18">
        <v>0</v>
      </c>
      <c r="AA39" s="264">
        <v>0.01</v>
      </c>
      <c r="AB39" s="410">
        <f>+Z39*AA39/100</f>
        <v>0</v>
      </c>
      <c r="AC39" s="350"/>
      <c r="AD39" s="350"/>
      <c r="AE39" s="350"/>
      <c r="AF39" s="350"/>
    </row>
    <row r="40" spans="1:32" s="597" customFormat="1" ht="18" customHeight="1" x14ac:dyDescent="0.25">
      <c r="A40" s="242"/>
      <c r="B40" s="269"/>
      <c r="C40" s="285"/>
      <c r="D40" s="273"/>
      <c r="E40" s="15">
        <v>5</v>
      </c>
      <c r="F40" s="268">
        <v>0</v>
      </c>
      <c r="G40" s="269">
        <v>1</v>
      </c>
      <c r="H40" s="266">
        <v>0</v>
      </c>
      <c r="I40" s="18">
        <f>F40*400+G40*100+H40</f>
        <v>100</v>
      </c>
      <c r="J40" s="23">
        <v>2000</v>
      </c>
      <c r="K40" s="39">
        <f>SUM(I40*J40)</f>
        <v>200000</v>
      </c>
      <c r="L40" s="269">
        <v>1</v>
      </c>
      <c r="M40" s="145" t="s">
        <v>260</v>
      </c>
      <c r="N40" s="15" t="s">
        <v>74</v>
      </c>
      <c r="O40" s="50">
        <v>2</v>
      </c>
      <c r="P40" s="15">
        <v>107.24</v>
      </c>
      <c r="Q40" s="62" t="s">
        <v>232</v>
      </c>
      <c r="R40" s="260">
        <v>8650</v>
      </c>
      <c r="S40" s="18">
        <f>P40*R40</f>
        <v>927626</v>
      </c>
      <c r="T40" s="1469">
        <v>33</v>
      </c>
      <c r="U40" s="1664">
        <f>+S40*0.56</f>
        <v>519470.56000000006</v>
      </c>
      <c r="V40" s="47">
        <f>SUM(S40-U40)</f>
        <v>408155.43999999994</v>
      </c>
      <c r="W40" s="18">
        <f>K40+V40</f>
        <v>608155.43999999994</v>
      </c>
      <c r="X40" s="47">
        <f>(W40+W41)*70/100</f>
        <v>761527.50799999991</v>
      </c>
      <c r="Y40" s="18" t="s">
        <v>87</v>
      </c>
      <c r="Z40" s="18">
        <v>0</v>
      </c>
      <c r="AA40" s="264">
        <v>0.02</v>
      </c>
      <c r="AB40" s="410">
        <f>+Z40*AA40/100</f>
        <v>0</v>
      </c>
      <c r="AC40" s="350"/>
      <c r="AD40" s="350"/>
      <c r="AE40" s="350"/>
      <c r="AF40" s="350"/>
    </row>
    <row r="41" spans="1:32" s="597" customFormat="1" ht="18" customHeight="1" x14ac:dyDescent="0.25">
      <c r="A41" s="242"/>
      <c r="B41" s="269"/>
      <c r="C41" s="285"/>
      <c r="D41" s="273"/>
      <c r="E41" s="273"/>
      <c r="F41" s="268"/>
      <c r="G41" s="269"/>
      <c r="H41" s="266"/>
      <c r="I41" s="18">
        <f>F41*400+G41*100+H41</f>
        <v>0</v>
      </c>
      <c r="J41" s="261"/>
      <c r="K41" s="39">
        <f>SUM(I41*J41)</f>
        <v>0</v>
      </c>
      <c r="L41" s="269"/>
      <c r="M41" s="145"/>
      <c r="N41" s="15" t="s">
        <v>74</v>
      </c>
      <c r="O41" s="50">
        <v>3</v>
      </c>
      <c r="P41" s="15">
        <f>10.5*7</f>
        <v>73.5</v>
      </c>
      <c r="Q41" s="62" t="s">
        <v>261</v>
      </c>
      <c r="R41" s="260">
        <v>8650</v>
      </c>
      <c r="S41" s="18">
        <f>P41*R41</f>
        <v>635775</v>
      </c>
      <c r="T41" s="1469">
        <v>33</v>
      </c>
      <c r="U41" s="1664">
        <f>+S41*0.56</f>
        <v>356034.00000000006</v>
      </c>
      <c r="V41" s="47">
        <f>SUM(S41-U41)</f>
        <v>279740.99999999994</v>
      </c>
      <c r="W41" s="18">
        <f>K40+V41</f>
        <v>479740.99999999994</v>
      </c>
      <c r="X41" s="47">
        <f>(W40+W41)*30/100</f>
        <v>326368.93199999997</v>
      </c>
      <c r="Y41" s="18"/>
      <c r="Z41" s="18">
        <f>+X41</f>
        <v>326368.93199999997</v>
      </c>
      <c r="AA41" s="264">
        <v>0.3</v>
      </c>
      <c r="AB41" s="410">
        <f>+Z41*AA41/100</f>
        <v>979.10679599999992</v>
      </c>
      <c r="AC41" s="350"/>
      <c r="AD41" s="350"/>
      <c r="AE41" s="350"/>
      <c r="AF41" s="350"/>
    </row>
    <row r="42" spans="1:32" s="597" customFormat="1" ht="18" customHeight="1" x14ac:dyDescent="0.2">
      <c r="A42" s="145"/>
      <c r="B42" s="177"/>
      <c r="C42" s="177"/>
      <c r="D42" s="145"/>
      <c r="E42" s="145"/>
      <c r="F42" s="145"/>
      <c r="G42" s="145"/>
      <c r="H42" s="147"/>
      <c r="I42" s="107"/>
      <c r="J42" s="178"/>
      <c r="K42" s="107"/>
      <c r="L42" s="242"/>
      <c r="M42" s="145"/>
      <c r="N42" s="145"/>
      <c r="O42" s="61"/>
      <c r="P42" s="145"/>
      <c r="Q42" s="174"/>
      <c r="R42" s="408"/>
      <c r="S42" s="77"/>
      <c r="T42" s="135"/>
      <c r="U42" s="74"/>
      <c r="V42" s="74"/>
      <c r="W42" s="77"/>
      <c r="X42" s="74"/>
      <c r="Y42" s="77"/>
      <c r="Z42" s="77"/>
      <c r="AA42" s="409"/>
      <c r="AB42" s="416"/>
      <c r="AC42" s="350"/>
      <c r="AD42" s="350"/>
      <c r="AE42" s="350"/>
      <c r="AF42" s="350"/>
    </row>
    <row r="43" spans="1:32" s="597" customFormat="1" ht="18" customHeight="1" x14ac:dyDescent="0.2">
      <c r="A43" s="145"/>
      <c r="B43" s="177"/>
      <c r="C43" s="177"/>
      <c r="D43" s="145"/>
      <c r="E43" s="145"/>
      <c r="F43" s="145"/>
      <c r="G43" s="145"/>
      <c r="H43" s="147"/>
      <c r="I43" s="107"/>
      <c r="J43" s="178"/>
      <c r="K43" s="107"/>
      <c r="L43" s="145"/>
      <c r="M43" s="145"/>
      <c r="N43" s="145"/>
      <c r="O43" s="145"/>
      <c r="P43" s="147"/>
      <c r="Q43" s="148"/>
      <c r="R43" s="437"/>
      <c r="S43" s="107"/>
      <c r="T43" s="179"/>
      <c r="U43" s="178"/>
      <c r="V43" s="107"/>
      <c r="W43" s="107"/>
      <c r="X43" s="470"/>
      <c r="Y43" s="470"/>
      <c r="Z43" s="471"/>
      <c r="AA43" s="471"/>
      <c r="AB43" s="466"/>
      <c r="AC43" s="350"/>
      <c r="AD43" s="350"/>
      <c r="AE43" s="350"/>
      <c r="AF43" s="350"/>
    </row>
    <row r="44" spans="1:32" s="597" customFormat="1" ht="18" customHeight="1" x14ac:dyDescent="0.2">
      <c r="A44" s="145"/>
      <c r="B44" s="177"/>
      <c r="C44" s="177"/>
      <c r="D44" s="145"/>
      <c r="E44" s="145"/>
      <c r="F44" s="145"/>
      <c r="G44" s="145"/>
      <c r="H44" s="147"/>
      <c r="I44" s="107"/>
      <c r="J44" s="178"/>
      <c r="K44" s="107"/>
      <c r="L44" s="145"/>
      <c r="M44" s="145"/>
      <c r="N44" s="145"/>
      <c r="O44" s="145"/>
      <c r="P44" s="147"/>
      <c r="Q44" s="148"/>
      <c r="R44" s="437"/>
      <c r="S44" s="107"/>
      <c r="T44" s="179"/>
      <c r="U44" s="178"/>
      <c r="V44" s="107"/>
      <c r="W44" s="107"/>
      <c r="X44" s="470"/>
      <c r="Y44" s="470"/>
      <c r="Z44" s="471"/>
      <c r="AA44" s="471"/>
      <c r="AB44" s="466"/>
      <c r="AC44" s="350"/>
      <c r="AD44" s="350"/>
      <c r="AE44" s="350"/>
      <c r="AF44" s="350"/>
    </row>
    <row r="45" spans="1:32" s="597" customFormat="1" ht="18" customHeight="1" x14ac:dyDescent="0.2">
      <c r="A45" s="145"/>
      <c r="B45" s="177"/>
      <c r="C45" s="177"/>
      <c r="D45" s="145"/>
      <c r="E45" s="145"/>
      <c r="F45" s="145"/>
      <c r="G45" s="145"/>
      <c r="H45" s="147"/>
      <c r="I45" s="107"/>
      <c r="J45" s="178"/>
      <c r="K45" s="107"/>
      <c r="L45" s="145"/>
      <c r="M45" s="145"/>
      <c r="N45" s="145"/>
      <c r="O45" s="145"/>
      <c r="P45" s="147"/>
      <c r="Q45" s="148"/>
      <c r="R45" s="437"/>
      <c r="S45" s="107"/>
      <c r="T45" s="179"/>
      <c r="U45" s="178"/>
      <c r="V45" s="107"/>
      <c r="W45" s="107"/>
      <c r="X45" s="470"/>
      <c r="Y45" s="470"/>
      <c r="Z45" s="471"/>
      <c r="AA45" s="471"/>
      <c r="AB45" s="466"/>
      <c r="AC45" s="350"/>
      <c r="AD45" s="350"/>
      <c r="AE45" s="350"/>
      <c r="AF45" s="350"/>
    </row>
    <row r="46" spans="1:32" s="597" customFormat="1" ht="18" customHeight="1" x14ac:dyDescent="0.2">
      <c r="A46" s="145"/>
      <c r="B46" s="177"/>
      <c r="C46" s="177"/>
      <c r="D46" s="145"/>
      <c r="E46" s="145"/>
      <c r="F46" s="145"/>
      <c r="G46" s="145"/>
      <c r="H46" s="147"/>
      <c r="I46" s="107"/>
      <c r="J46" s="178"/>
      <c r="K46" s="107"/>
      <c r="L46" s="145"/>
      <c r="M46" s="145"/>
      <c r="N46" s="145"/>
      <c r="O46" s="145"/>
      <c r="P46" s="147"/>
      <c r="Q46" s="148"/>
      <c r="R46" s="437"/>
      <c r="S46" s="107"/>
      <c r="T46" s="179"/>
      <c r="U46" s="178"/>
      <c r="V46" s="107"/>
      <c r="W46" s="107"/>
      <c r="X46" s="470"/>
      <c r="Y46" s="470"/>
      <c r="Z46" s="471"/>
      <c r="AA46" s="471"/>
      <c r="AB46" s="466"/>
      <c r="AC46" s="350"/>
      <c r="AD46" s="350"/>
      <c r="AE46" s="350"/>
      <c r="AF46" s="350"/>
    </row>
    <row r="47" spans="1:32" s="597" customFormat="1" ht="18" customHeight="1" x14ac:dyDescent="0.2">
      <c r="A47" s="145"/>
      <c r="B47" s="177"/>
      <c r="C47" s="177"/>
      <c r="D47" s="145"/>
      <c r="E47" s="145"/>
      <c r="F47" s="145"/>
      <c r="G47" s="145"/>
      <c r="H47" s="147"/>
      <c r="I47" s="107"/>
      <c r="J47" s="178"/>
      <c r="K47" s="107"/>
      <c r="L47" s="145"/>
      <c r="M47" s="145"/>
      <c r="N47" s="145"/>
      <c r="O47" s="145"/>
      <c r="P47" s="147"/>
      <c r="Q47" s="148"/>
      <c r="R47" s="437"/>
      <c r="S47" s="107"/>
      <c r="T47" s="179"/>
      <c r="U47" s="178"/>
      <c r="V47" s="107"/>
      <c r="W47" s="107"/>
      <c r="X47" s="470"/>
      <c r="Y47" s="470"/>
      <c r="Z47" s="471"/>
      <c r="AA47" s="471"/>
      <c r="AB47" s="466"/>
      <c r="AC47" s="350"/>
      <c r="AD47" s="350"/>
      <c r="AE47" s="350"/>
      <c r="AF47" s="350"/>
    </row>
    <row r="48" spans="1:32" s="597" customFormat="1" ht="18" customHeight="1" x14ac:dyDescent="0.2">
      <c r="A48" s="145"/>
      <c r="B48" s="177"/>
      <c r="C48" s="177"/>
      <c r="D48" s="145"/>
      <c r="E48" s="145"/>
      <c r="F48" s="145"/>
      <c r="G48" s="145"/>
      <c r="H48" s="147"/>
      <c r="I48" s="107"/>
      <c r="J48" s="178"/>
      <c r="K48" s="107"/>
      <c r="L48" s="145"/>
      <c r="M48" s="145"/>
      <c r="N48" s="145"/>
      <c r="O48" s="145"/>
      <c r="P48" s="147"/>
      <c r="Q48" s="148"/>
      <c r="R48" s="437"/>
      <c r="S48" s="107"/>
      <c r="T48" s="179"/>
      <c r="U48" s="178"/>
      <c r="V48" s="107"/>
      <c r="W48" s="107"/>
      <c r="X48" s="470"/>
      <c r="Y48" s="470"/>
      <c r="Z48" s="471"/>
      <c r="AA48" s="471"/>
      <c r="AB48" s="466"/>
      <c r="AC48" s="350"/>
      <c r="AD48" s="350"/>
      <c r="AE48" s="350"/>
      <c r="AF48" s="350"/>
    </row>
    <row r="49" spans="1:32" s="597" customFormat="1" ht="18" customHeight="1" x14ac:dyDescent="0.2">
      <c r="A49" s="145"/>
      <c r="B49" s="177"/>
      <c r="C49" s="177"/>
      <c r="D49" s="145"/>
      <c r="E49" s="145"/>
      <c r="F49" s="145"/>
      <c r="G49" s="145"/>
      <c r="H49" s="147"/>
      <c r="I49" s="107"/>
      <c r="J49" s="178"/>
      <c r="K49" s="107"/>
      <c r="L49" s="145"/>
      <c r="M49" s="145"/>
      <c r="N49" s="145"/>
      <c r="O49" s="145"/>
      <c r="P49" s="147"/>
      <c r="Q49" s="148"/>
      <c r="R49" s="437"/>
      <c r="S49" s="107"/>
      <c r="T49" s="179"/>
      <c r="U49" s="178"/>
      <c r="V49" s="178"/>
      <c r="W49" s="107"/>
      <c r="X49" s="470"/>
      <c r="Y49" s="470"/>
      <c r="Z49" s="471"/>
      <c r="AA49" s="471"/>
      <c r="AB49" s="466"/>
      <c r="AC49" s="350"/>
      <c r="AD49" s="350"/>
      <c r="AE49" s="350"/>
      <c r="AF49" s="350"/>
    </row>
    <row r="50" spans="1:32" s="597" customFormat="1" ht="18" customHeight="1" x14ac:dyDescent="0.2">
      <c r="A50" s="145"/>
      <c r="B50" s="177"/>
      <c r="C50" s="177"/>
      <c r="D50" s="145"/>
      <c r="E50" s="145"/>
      <c r="F50" s="145"/>
      <c r="G50" s="145"/>
      <c r="H50" s="147"/>
      <c r="I50" s="107"/>
      <c r="J50" s="178"/>
      <c r="K50" s="107"/>
      <c r="L50" s="145"/>
      <c r="M50" s="145"/>
      <c r="N50" s="145"/>
      <c r="O50" s="145"/>
      <c r="P50" s="147"/>
      <c r="Q50" s="148"/>
      <c r="R50" s="437"/>
      <c r="S50" s="107"/>
      <c r="T50" s="179"/>
      <c r="U50" s="178"/>
      <c r="V50" s="178"/>
      <c r="W50" s="107"/>
      <c r="X50" s="470"/>
      <c r="Y50" s="470"/>
      <c r="Z50" s="471"/>
      <c r="AA50" s="471"/>
      <c r="AB50" s="466"/>
      <c r="AC50" s="350"/>
      <c r="AD50" s="350"/>
      <c r="AE50" s="350"/>
      <c r="AF50" s="350"/>
    </row>
    <row r="51" spans="1:32" s="597" customFormat="1" ht="18" customHeight="1" x14ac:dyDescent="0.2">
      <c r="A51" s="145"/>
      <c r="B51" s="177"/>
      <c r="C51" s="177"/>
      <c r="D51" s="145"/>
      <c r="E51" s="145"/>
      <c r="F51" s="145"/>
      <c r="G51" s="145"/>
      <c r="H51" s="147"/>
      <c r="I51" s="107"/>
      <c r="J51" s="178"/>
      <c r="K51" s="107"/>
      <c r="L51" s="145"/>
      <c r="M51" s="145"/>
      <c r="N51" s="145"/>
      <c r="O51" s="145"/>
      <c r="P51" s="147"/>
      <c r="Q51" s="148"/>
      <c r="R51" s="437"/>
      <c r="S51" s="107"/>
      <c r="T51" s="179"/>
      <c r="U51" s="178"/>
      <c r="V51" s="107"/>
      <c r="W51" s="107"/>
      <c r="X51" s="470"/>
      <c r="Y51" s="470"/>
      <c r="Z51" s="471"/>
      <c r="AA51" s="471"/>
      <c r="AB51" s="466"/>
      <c r="AC51" s="350"/>
      <c r="AD51" s="350"/>
      <c r="AE51" s="350"/>
      <c r="AF51" s="350"/>
    </row>
    <row r="52" spans="1:32" s="597" customFormat="1" ht="18" customHeight="1" x14ac:dyDescent="0.2">
      <c r="A52" s="145"/>
      <c r="B52" s="177"/>
      <c r="C52" s="177"/>
      <c r="D52" s="145"/>
      <c r="E52" s="145"/>
      <c r="F52" s="145"/>
      <c r="G52" s="145"/>
      <c r="H52" s="147"/>
      <c r="I52" s="107"/>
      <c r="J52" s="178"/>
      <c r="K52" s="107"/>
      <c r="L52" s="145"/>
      <c r="M52" s="145"/>
      <c r="N52" s="145"/>
      <c r="O52" s="145"/>
      <c r="P52" s="147"/>
      <c r="Q52" s="148"/>
      <c r="R52" s="437"/>
      <c r="S52" s="107"/>
      <c r="T52" s="179"/>
      <c r="U52" s="178"/>
      <c r="V52" s="107"/>
      <c r="W52" s="107"/>
      <c r="X52" s="470"/>
      <c r="Y52" s="470"/>
      <c r="Z52" s="471"/>
      <c r="AA52" s="471"/>
      <c r="AB52" s="466"/>
      <c r="AC52" s="350"/>
      <c r="AD52" s="350"/>
      <c r="AE52" s="350"/>
      <c r="AF52" s="350"/>
    </row>
    <row r="53" spans="1:32" s="597" customFormat="1" ht="18" customHeight="1" x14ac:dyDescent="0.2">
      <c r="A53" s="88"/>
      <c r="B53" s="180"/>
      <c r="C53" s="180"/>
      <c r="D53" s="88"/>
      <c r="E53" s="88"/>
      <c r="F53" s="88"/>
      <c r="G53" s="88"/>
      <c r="H53" s="120"/>
      <c r="I53" s="121"/>
      <c r="J53" s="181"/>
      <c r="K53" s="121"/>
      <c r="L53" s="88"/>
      <c r="M53" s="88"/>
      <c r="N53" s="88"/>
      <c r="O53" s="88"/>
      <c r="P53" s="88"/>
      <c r="Q53" s="129"/>
      <c r="R53" s="445"/>
      <c r="S53" s="121"/>
      <c r="T53" s="182"/>
      <c r="U53" s="181"/>
      <c r="V53" s="121"/>
      <c r="W53" s="121"/>
      <c r="X53" s="472"/>
      <c r="Y53" s="472"/>
      <c r="Z53" s="473"/>
      <c r="AA53" s="473"/>
      <c r="AB53" s="410"/>
      <c r="AC53" s="351"/>
      <c r="AD53" s="351"/>
      <c r="AE53" s="351"/>
      <c r="AF53" s="351"/>
    </row>
    <row r="54" spans="1:32" s="597" customFormat="1" ht="18" customHeight="1" x14ac:dyDescent="0.2">
      <c r="A54" s="1850"/>
      <c r="B54" s="1850"/>
      <c r="C54" s="1850"/>
      <c r="D54" s="1850"/>
      <c r="E54" s="1850"/>
      <c r="F54" s="1850"/>
      <c r="G54" s="1850"/>
      <c r="H54" s="1851"/>
      <c r="I54" s="1852"/>
      <c r="J54" s="1853"/>
      <c r="K54" s="1852"/>
      <c r="L54" s="1852"/>
      <c r="M54" s="1852"/>
      <c r="N54" s="1852"/>
      <c r="O54" s="1852"/>
      <c r="P54" s="1852"/>
      <c r="Q54" s="1852"/>
      <c r="R54" s="1854"/>
      <c r="S54" s="1852"/>
      <c r="T54" s="1855"/>
      <c r="U54" s="1853"/>
      <c r="V54" s="1852"/>
      <c r="W54" s="1852"/>
      <c r="X54" s="1856"/>
      <c r="Y54" s="1856"/>
      <c r="Z54" s="1857"/>
      <c r="AA54" s="1857"/>
      <c r="AB54" s="1847">
        <f>SUM(AB39:AB53)</f>
        <v>979.10679599999992</v>
      </c>
      <c r="AC54" s="1861"/>
      <c r="AD54" s="1861"/>
      <c r="AE54" s="1861"/>
      <c r="AF54" s="1861"/>
    </row>
    <row r="55" spans="1:32" s="597" customFormat="1" ht="18" customHeight="1" x14ac:dyDescent="0.2">
      <c r="A55" s="2690" t="s">
        <v>76</v>
      </c>
      <c r="B55" s="2690"/>
      <c r="C55" s="2691" t="s">
        <v>77</v>
      </c>
      <c r="D55" s="2691"/>
      <c r="E55" s="2691"/>
      <c r="F55" s="2691"/>
      <c r="G55" s="2691"/>
      <c r="H55" s="2691"/>
      <c r="I55" s="604" t="s">
        <v>78</v>
      </c>
      <c r="J55" s="604"/>
      <c r="K55" s="604"/>
      <c r="L55" s="604"/>
      <c r="M55" s="604"/>
      <c r="N55" s="604"/>
      <c r="AB55" s="598"/>
    </row>
    <row r="56" spans="1:32" s="597" customFormat="1" ht="18" customHeight="1" x14ac:dyDescent="0.2">
      <c r="A56" s="604"/>
      <c r="B56" s="605"/>
      <c r="C56" s="604"/>
      <c r="D56" s="604"/>
      <c r="E56" s="604"/>
      <c r="F56" s="604"/>
      <c r="G56" s="604"/>
      <c r="H56" s="604"/>
      <c r="I56" s="604" t="s">
        <v>79</v>
      </c>
      <c r="J56" s="604"/>
      <c r="K56" s="604"/>
      <c r="L56" s="604"/>
      <c r="M56" s="604"/>
      <c r="N56" s="604"/>
      <c r="AB56" s="598"/>
    </row>
    <row r="57" spans="1:32" s="597" customFormat="1" ht="18" customHeight="1" x14ac:dyDescent="0.2">
      <c r="A57" s="604"/>
      <c r="B57" s="605"/>
      <c r="C57" s="604"/>
      <c r="D57" s="604"/>
      <c r="E57" s="604"/>
      <c r="F57" s="604"/>
      <c r="G57" s="604"/>
      <c r="H57" s="604"/>
      <c r="I57" s="604" t="s">
        <v>80</v>
      </c>
      <c r="J57" s="604"/>
      <c r="K57" s="604"/>
      <c r="L57" s="604"/>
      <c r="M57" s="604"/>
      <c r="N57" s="604"/>
      <c r="AB57" s="598"/>
    </row>
    <row r="58" spans="1:32" s="597" customFormat="1" ht="18" customHeight="1" x14ac:dyDescent="0.2">
      <c r="A58" s="604"/>
      <c r="B58" s="605"/>
      <c r="C58" s="604"/>
      <c r="D58" s="604"/>
      <c r="E58" s="604"/>
      <c r="F58" s="604"/>
      <c r="G58" s="604"/>
      <c r="H58" s="604"/>
      <c r="I58" s="604" t="s">
        <v>81</v>
      </c>
      <c r="J58" s="604"/>
      <c r="K58" s="604"/>
      <c r="L58" s="604"/>
      <c r="M58" s="604"/>
      <c r="N58" s="604"/>
      <c r="AB58" s="598"/>
    </row>
    <row r="59" spans="1:32" s="597" customFormat="1" ht="18" customHeight="1" x14ac:dyDescent="0.2">
      <c r="A59" s="604"/>
      <c r="B59" s="605"/>
      <c r="C59" s="604"/>
      <c r="D59" s="604"/>
      <c r="E59" s="604"/>
      <c r="F59" s="604"/>
      <c r="G59" s="604"/>
      <c r="H59" s="604"/>
      <c r="I59" s="604" t="s">
        <v>88</v>
      </c>
      <c r="J59" s="604"/>
      <c r="K59" s="604"/>
      <c r="L59" s="604"/>
      <c r="M59" s="604"/>
      <c r="N59" s="604"/>
      <c r="AB59" s="598"/>
    </row>
    <row r="60" spans="1:32" s="597" customFormat="1" ht="18" customHeight="1" x14ac:dyDescent="0.2">
      <c r="A60" s="339"/>
      <c r="B60" s="339"/>
      <c r="C60" s="339"/>
      <c r="D60" s="339"/>
      <c r="E60" s="339"/>
      <c r="F60" s="339"/>
      <c r="G60" s="339"/>
      <c r="H60" s="339"/>
      <c r="I60" s="339"/>
      <c r="J60" s="339"/>
      <c r="K60" s="339"/>
      <c r="L60" s="339"/>
      <c r="M60" s="339"/>
      <c r="N60" s="339"/>
      <c r="O60" s="339"/>
      <c r="P60" s="339"/>
      <c r="Q60" s="339"/>
      <c r="R60" s="339"/>
      <c r="S60" s="339"/>
      <c r="T60" s="339"/>
      <c r="U60" s="339"/>
      <c r="V60" s="339"/>
      <c r="W60" s="339"/>
      <c r="X60" s="339"/>
      <c r="Y60" s="339"/>
      <c r="Z60" s="339"/>
      <c r="AA60" s="2702" t="s">
        <v>0</v>
      </c>
      <c r="AB60" s="2702"/>
      <c r="AC60" s="339"/>
      <c r="AD60" s="339"/>
      <c r="AE60" s="339"/>
      <c r="AF60" s="339"/>
    </row>
    <row r="61" spans="1:32" s="597" customFormat="1" ht="18" customHeight="1" x14ac:dyDescent="0.2">
      <c r="A61" s="2703" t="s">
        <v>1</v>
      </c>
      <c r="B61" s="2703"/>
      <c r="C61" s="2703"/>
      <c r="D61" s="2703"/>
      <c r="E61" s="2703"/>
      <c r="F61" s="2703"/>
      <c r="G61" s="2703"/>
      <c r="H61" s="2703"/>
      <c r="I61" s="2703"/>
      <c r="J61" s="2703"/>
      <c r="K61" s="2703"/>
      <c r="L61" s="2703"/>
      <c r="M61" s="2703"/>
      <c r="N61" s="2703"/>
      <c r="O61" s="2703"/>
      <c r="P61" s="2703"/>
      <c r="Q61" s="2703"/>
      <c r="R61" s="2703"/>
      <c r="S61" s="2703"/>
      <c r="T61" s="2703"/>
      <c r="U61" s="2703"/>
      <c r="V61" s="2703"/>
      <c r="W61" s="2703"/>
      <c r="X61" s="2703"/>
      <c r="Y61" s="2703"/>
      <c r="Z61" s="2703"/>
      <c r="AA61" s="2703"/>
      <c r="AB61" s="2703"/>
      <c r="AC61" s="344"/>
      <c r="AD61" s="344"/>
      <c r="AE61" s="344"/>
      <c r="AF61" s="344"/>
    </row>
    <row r="62" spans="1:32" s="597" customFormat="1" ht="18" customHeight="1" x14ac:dyDescent="0.2">
      <c r="A62" s="2704" t="s">
        <v>458</v>
      </c>
      <c r="B62" s="2704"/>
      <c r="C62" s="2704"/>
      <c r="D62" s="2704"/>
      <c r="E62" s="2704"/>
      <c r="F62" s="2704"/>
      <c r="G62" s="2704"/>
      <c r="H62" s="2704"/>
      <c r="I62" s="2704"/>
      <c r="J62" s="2704"/>
      <c r="K62" s="2704"/>
      <c r="L62" s="2704"/>
      <c r="M62" s="2704"/>
      <c r="N62" s="2704"/>
      <c r="O62" s="2704"/>
      <c r="P62" s="2704"/>
      <c r="Q62" s="2704"/>
      <c r="R62" s="2704"/>
      <c r="S62" s="2704"/>
      <c r="T62" s="2704"/>
      <c r="U62" s="2704"/>
      <c r="V62" s="2704"/>
      <c r="W62" s="2704"/>
      <c r="X62" s="2704"/>
      <c r="Y62" s="2704"/>
      <c r="Z62" s="2704"/>
      <c r="AA62" s="2704"/>
      <c r="AB62" s="2704"/>
      <c r="AC62" s="599"/>
      <c r="AD62" s="599"/>
      <c r="AE62" s="599"/>
      <c r="AF62" s="599"/>
    </row>
    <row r="63" spans="1:32" s="597" customFormat="1" ht="18" customHeight="1" x14ac:dyDescent="0.2">
      <c r="A63" s="2686" t="s">
        <v>2</v>
      </c>
      <c r="B63" s="360"/>
      <c r="C63" s="2686" t="s">
        <v>3</v>
      </c>
      <c r="D63" s="360"/>
      <c r="E63" s="360"/>
      <c r="F63" s="2693" t="s">
        <v>4</v>
      </c>
      <c r="G63" s="2693"/>
      <c r="H63" s="2693"/>
      <c r="I63" s="2694"/>
      <c r="J63" s="2694"/>
      <c r="K63" s="2695"/>
      <c r="L63" s="361"/>
      <c r="M63" s="2679" t="s">
        <v>5</v>
      </c>
      <c r="N63" s="2679"/>
      <c r="O63" s="2679"/>
      <c r="P63" s="2679"/>
      <c r="Q63" s="2696"/>
      <c r="R63" s="2696"/>
      <c r="S63" s="2696"/>
      <c r="T63" s="2696"/>
      <c r="U63" s="2696"/>
      <c r="V63" s="2697"/>
      <c r="W63" s="362" t="s">
        <v>6</v>
      </c>
      <c r="X63" s="363" t="s">
        <v>7</v>
      </c>
      <c r="Y63" s="364"/>
      <c r="Z63" s="364"/>
      <c r="AA63" s="363"/>
      <c r="AB63" s="365"/>
      <c r="AC63" s="516" t="s">
        <v>8</v>
      </c>
      <c r="AD63" s="346"/>
      <c r="AE63" s="346"/>
      <c r="AF63" s="600"/>
    </row>
    <row r="64" spans="1:32" s="597" customFormat="1" ht="18" customHeight="1" x14ac:dyDescent="0.2">
      <c r="A64" s="2687"/>
      <c r="B64" s="367"/>
      <c r="C64" s="2687"/>
      <c r="D64" s="366" t="s">
        <v>9</v>
      </c>
      <c r="E64" s="368" t="s">
        <v>10</v>
      </c>
      <c r="F64" s="2698" t="s">
        <v>11</v>
      </c>
      <c r="G64" s="2694"/>
      <c r="H64" s="2695"/>
      <c r="I64" s="360"/>
      <c r="J64" s="369" t="s">
        <v>12</v>
      </c>
      <c r="K64" s="360"/>
      <c r="L64" s="2679" t="s">
        <v>2</v>
      </c>
      <c r="M64" s="370"/>
      <c r="N64" s="370"/>
      <c r="O64" s="370"/>
      <c r="P64" s="371"/>
      <c r="Q64" s="372" t="s">
        <v>13</v>
      </c>
      <c r="R64" s="373" t="s">
        <v>12</v>
      </c>
      <c r="S64" s="370" t="s">
        <v>6</v>
      </c>
      <c r="T64" s="2682" t="s">
        <v>14</v>
      </c>
      <c r="U64" s="2683"/>
      <c r="V64" s="375" t="s">
        <v>7</v>
      </c>
      <c r="W64" s="376" t="s">
        <v>15</v>
      </c>
      <c r="X64" s="377" t="s">
        <v>16</v>
      </c>
      <c r="Y64" s="377" t="s">
        <v>17</v>
      </c>
      <c r="Z64" s="377" t="s">
        <v>18</v>
      </c>
      <c r="AA64" s="377"/>
      <c r="AB64" s="378" t="s">
        <v>19</v>
      </c>
      <c r="AC64" s="528" t="s">
        <v>20</v>
      </c>
      <c r="AD64" s="601"/>
      <c r="AE64" s="347" t="s">
        <v>21</v>
      </c>
      <c r="AF64" s="340" t="s">
        <v>22</v>
      </c>
    </row>
    <row r="65" spans="1:32" s="597" customFormat="1" ht="18" customHeight="1" x14ac:dyDescent="0.2">
      <c r="A65" s="2687"/>
      <c r="B65" s="366" t="s">
        <v>23</v>
      </c>
      <c r="C65" s="2687"/>
      <c r="D65" s="366" t="s">
        <v>24</v>
      </c>
      <c r="E65" s="368" t="s">
        <v>25</v>
      </c>
      <c r="F65" s="2699"/>
      <c r="G65" s="2700"/>
      <c r="H65" s="2701"/>
      <c r="I65" s="366" t="s">
        <v>26</v>
      </c>
      <c r="J65" s="379" t="s">
        <v>15</v>
      </c>
      <c r="K65" s="380" t="s">
        <v>6</v>
      </c>
      <c r="L65" s="2680"/>
      <c r="M65" s="381" t="s">
        <v>27</v>
      </c>
      <c r="N65" s="381" t="s">
        <v>10</v>
      </c>
      <c r="O65" s="382" t="s">
        <v>10</v>
      </c>
      <c r="P65" s="383" t="s">
        <v>28</v>
      </c>
      <c r="Q65" s="384" t="s">
        <v>29</v>
      </c>
      <c r="R65" s="383" t="s">
        <v>15</v>
      </c>
      <c r="S65" s="385" t="s">
        <v>15</v>
      </c>
      <c r="T65" s="2684"/>
      <c r="U65" s="2685"/>
      <c r="V65" s="375" t="s">
        <v>30</v>
      </c>
      <c r="W65" s="376" t="s">
        <v>31</v>
      </c>
      <c r="X65" s="377" t="s">
        <v>30</v>
      </c>
      <c r="Y65" s="377" t="s">
        <v>32</v>
      </c>
      <c r="Z65" s="377" t="s">
        <v>7</v>
      </c>
      <c r="AA65" s="377" t="s">
        <v>33</v>
      </c>
      <c r="AB65" s="378" t="s">
        <v>34</v>
      </c>
      <c r="AC65" s="528" t="s">
        <v>35</v>
      </c>
      <c r="AD65" s="347" t="s">
        <v>36</v>
      </c>
      <c r="AE65" s="347" t="s">
        <v>37</v>
      </c>
      <c r="AF65" s="340" t="s">
        <v>38</v>
      </c>
    </row>
    <row r="66" spans="1:32" s="597" customFormat="1" ht="18" customHeight="1" x14ac:dyDescent="0.2">
      <c r="A66" s="2687"/>
      <c r="B66" s="366" t="s">
        <v>39</v>
      </c>
      <c r="C66" s="2687"/>
      <c r="D66" s="366" t="s">
        <v>40</v>
      </c>
      <c r="E66" s="368" t="s">
        <v>41</v>
      </c>
      <c r="F66" s="2686" t="s">
        <v>42</v>
      </c>
      <c r="G66" s="2686" t="s">
        <v>43</v>
      </c>
      <c r="H66" s="2688" t="s">
        <v>44</v>
      </c>
      <c r="I66" s="366" t="s">
        <v>45</v>
      </c>
      <c r="J66" s="379" t="s">
        <v>46</v>
      </c>
      <c r="K66" s="380" t="s">
        <v>47</v>
      </c>
      <c r="L66" s="2680"/>
      <c r="M66" s="381" t="s">
        <v>30</v>
      </c>
      <c r="N66" s="381" t="s">
        <v>30</v>
      </c>
      <c r="O66" s="382" t="s">
        <v>25</v>
      </c>
      <c r="P66" s="383" t="s">
        <v>30</v>
      </c>
      <c r="Q66" s="384" t="s">
        <v>48</v>
      </c>
      <c r="R66" s="383" t="s">
        <v>49</v>
      </c>
      <c r="S66" s="385" t="s">
        <v>30</v>
      </c>
      <c r="T66" s="386" t="s">
        <v>50</v>
      </c>
      <c r="U66" s="374" t="s">
        <v>13</v>
      </c>
      <c r="V66" s="375" t="s">
        <v>51</v>
      </c>
      <c r="W66" s="376" t="s">
        <v>52</v>
      </c>
      <c r="X66" s="377" t="s">
        <v>53</v>
      </c>
      <c r="Y66" s="377" t="s">
        <v>54</v>
      </c>
      <c r="Z66" s="377" t="s">
        <v>55</v>
      </c>
      <c r="AA66" s="377" t="s">
        <v>56</v>
      </c>
      <c r="AB66" s="378" t="s">
        <v>57</v>
      </c>
      <c r="AC66" s="347" t="s">
        <v>58</v>
      </c>
      <c r="AD66" s="347" t="s">
        <v>59</v>
      </c>
      <c r="AE66" s="347" t="s">
        <v>59</v>
      </c>
      <c r="AF66" s="340" t="s">
        <v>60</v>
      </c>
    </row>
    <row r="67" spans="1:32" s="597" customFormat="1" ht="18" customHeight="1" x14ac:dyDescent="0.2">
      <c r="A67" s="2687"/>
      <c r="B67" s="366" t="s">
        <v>61</v>
      </c>
      <c r="C67" s="2687"/>
      <c r="D67" s="366" t="s">
        <v>62</v>
      </c>
      <c r="E67" s="368" t="s">
        <v>63</v>
      </c>
      <c r="F67" s="2687"/>
      <c r="G67" s="2687"/>
      <c r="H67" s="2689"/>
      <c r="I67" s="366" t="s">
        <v>64</v>
      </c>
      <c r="J67" s="379" t="s">
        <v>59</v>
      </c>
      <c r="K67" s="380" t="s">
        <v>59</v>
      </c>
      <c r="L67" s="2680"/>
      <c r="M67" s="381"/>
      <c r="N67" s="381"/>
      <c r="O67" s="382" t="s">
        <v>41</v>
      </c>
      <c r="P67" s="383" t="s">
        <v>65</v>
      </c>
      <c r="Q67" s="384" t="s">
        <v>66</v>
      </c>
      <c r="R67" s="383" t="s">
        <v>67</v>
      </c>
      <c r="S67" s="385" t="s">
        <v>59</v>
      </c>
      <c r="T67" s="387" t="s">
        <v>68</v>
      </c>
      <c r="U67" s="375" t="s">
        <v>14</v>
      </c>
      <c r="V67" s="375" t="s">
        <v>14</v>
      </c>
      <c r="W67" s="376" t="s">
        <v>30</v>
      </c>
      <c r="X67" s="388" t="s">
        <v>69</v>
      </c>
      <c r="Y67" s="388" t="s">
        <v>70</v>
      </c>
      <c r="Z67" s="377" t="s">
        <v>71</v>
      </c>
      <c r="AA67" s="377" t="s">
        <v>72</v>
      </c>
      <c r="AB67" s="378" t="s">
        <v>59</v>
      </c>
      <c r="AC67" s="347" t="s">
        <v>59</v>
      </c>
      <c r="AD67" s="347"/>
      <c r="AE67" s="347"/>
      <c r="AF67" s="340" t="s">
        <v>59</v>
      </c>
    </row>
    <row r="68" spans="1:32" s="597" customFormat="1" ht="18" customHeight="1" x14ac:dyDescent="0.2">
      <c r="A68" s="2692"/>
      <c r="B68" s="390"/>
      <c r="C68" s="2692"/>
      <c r="D68" s="390"/>
      <c r="E68" s="389"/>
      <c r="F68" s="390"/>
      <c r="G68" s="390"/>
      <c r="H68" s="391"/>
      <c r="I68" s="389"/>
      <c r="J68" s="392"/>
      <c r="K68" s="393"/>
      <c r="L68" s="2681"/>
      <c r="M68" s="394"/>
      <c r="N68" s="394"/>
      <c r="O68" s="394" t="s">
        <v>63</v>
      </c>
      <c r="P68" s="395"/>
      <c r="Q68" s="396" t="s">
        <v>72</v>
      </c>
      <c r="R68" s="397" t="s">
        <v>59</v>
      </c>
      <c r="S68" s="398"/>
      <c r="T68" s="397" t="s">
        <v>73</v>
      </c>
      <c r="U68" s="398" t="s">
        <v>59</v>
      </c>
      <c r="V68" s="399" t="s">
        <v>59</v>
      </c>
      <c r="W68" s="400" t="s">
        <v>59</v>
      </c>
      <c r="X68" s="401" t="s">
        <v>59</v>
      </c>
      <c r="Y68" s="401" t="s">
        <v>59</v>
      </c>
      <c r="Z68" s="401" t="s">
        <v>59</v>
      </c>
      <c r="AA68" s="402"/>
      <c r="AB68" s="403"/>
      <c r="AC68" s="348"/>
      <c r="AD68" s="348"/>
      <c r="AE68" s="348"/>
      <c r="AF68" s="341"/>
    </row>
    <row r="69" spans="1:32" s="597" customFormat="1" ht="18" customHeight="1" x14ac:dyDescent="0.25">
      <c r="A69" s="242">
        <v>1</v>
      </c>
      <c r="B69" s="273">
        <v>2711</v>
      </c>
      <c r="C69" s="27">
        <v>488</v>
      </c>
      <c r="D69" s="15" t="s">
        <v>91</v>
      </c>
      <c r="E69" s="273">
        <v>5</v>
      </c>
      <c r="F69" s="270">
        <v>0</v>
      </c>
      <c r="G69" s="58">
        <v>2</v>
      </c>
      <c r="H69" s="58">
        <v>76</v>
      </c>
      <c r="I69" s="18">
        <f>F69*400+G69*100+H69</f>
        <v>276</v>
      </c>
      <c r="J69" s="258">
        <v>1500</v>
      </c>
      <c r="K69" s="39">
        <f>SUM(I69*J69)</f>
        <v>414000</v>
      </c>
      <c r="L69" s="45">
        <v>14</v>
      </c>
      <c r="M69" s="45"/>
      <c r="N69" s="45"/>
      <c r="O69" s="50">
        <v>1</v>
      </c>
      <c r="P69" s="19"/>
      <c r="Q69" s="62"/>
      <c r="R69" s="260"/>
      <c r="S69" s="18"/>
      <c r="T69" s="20"/>
      <c r="U69" s="47"/>
      <c r="V69" s="47"/>
      <c r="W69" s="18">
        <f>K69+V69</f>
        <v>414000</v>
      </c>
      <c r="X69" s="47">
        <f>W69</f>
        <v>414000</v>
      </c>
      <c r="Y69" s="18" t="s">
        <v>87</v>
      </c>
      <c r="Z69" s="18">
        <v>0</v>
      </c>
      <c r="AA69" s="264">
        <v>0.01</v>
      </c>
      <c r="AB69" s="415">
        <f>AA69*Z69/100</f>
        <v>0</v>
      </c>
      <c r="AC69" s="350"/>
      <c r="AD69" s="350"/>
      <c r="AE69" s="350"/>
      <c r="AF69" s="350"/>
    </row>
    <row r="70" spans="1:32" s="597" customFormat="1" ht="18" customHeight="1" x14ac:dyDescent="0.25">
      <c r="A70" s="242"/>
      <c r="B70" s="27"/>
      <c r="C70" s="27"/>
      <c r="D70" s="27"/>
      <c r="E70" s="273"/>
      <c r="F70" s="27">
        <v>0</v>
      </c>
      <c r="G70" s="27">
        <v>3</v>
      </c>
      <c r="H70" s="557">
        <v>12.42</v>
      </c>
      <c r="I70" s="18">
        <f>G70*100+H70</f>
        <v>312.42</v>
      </c>
      <c r="J70" s="258">
        <v>1500</v>
      </c>
      <c r="K70" s="39">
        <f>SUM(I70*J70)</f>
        <v>468630</v>
      </c>
      <c r="L70" s="45">
        <v>1</v>
      </c>
      <c r="M70" s="88">
        <v>105</v>
      </c>
      <c r="N70" s="27" t="s">
        <v>74</v>
      </c>
      <c r="O70" s="50">
        <v>2</v>
      </c>
      <c r="P70" s="19">
        <v>265</v>
      </c>
      <c r="Q70" s="62" t="s">
        <v>75</v>
      </c>
      <c r="R70" s="260">
        <v>8800</v>
      </c>
      <c r="S70" s="18">
        <f>+P70*R70</f>
        <v>2332000</v>
      </c>
      <c r="T70" s="1469">
        <v>26</v>
      </c>
      <c r="U70" s="1664">
        <f>+S70*0.42</f>
        <v>979440</v>
      </c>
      <c r="V70" s="47">
        <f>+S70-U70</f>
        <v>1352560</v>
      </c>
      <c r="W70" s="18">
        <f>V70</f>
        <v>1352560</v>
      </c>
      <c r="X70" s="47">
        <f>W70</f>
        <v>1352560</v>
      </c>
      <c r="Y70" s="18" t="s">
        <v>87</v>
      </c>
      <c r="Z70" s="18">
        <v>0</v>
      </c>
      <c r="AA70" s="264">
        <v>0.02</v>
      </c>
      <c r="AB70" s="410">
        <f>AA70*Z70/100</f>
        <v>0</v>
      </c>
      <c r="AC70" s="350"/>
      <c r="AD70" s="350"/>
      <c r="AE70" s="350"/>
      <c r="AF70" s="350"/>
    </row>
    <row r="71" spans="1:32" s="597" customFormat="1" ht="18" customHeight="1" x14ac:dyDescent="0.25">
      <c r="A71" s="145"/>
      <c r="B71" s="15"/>
      <c r="C71" s="15"/>
      <c r="D71" s="27"/>
      <c r="E71" s="273"/>
      <c r="F71" s="15"/>
      <c r="G71" s="15"/>
      <c r="H71" s="284">
        <v>15.58</v>
      </c>
      <c r="I71" s="18">
        <f>G71*100+H71</f>
        <v>15.58</v>
      </c>
      <c r="J71" s="258">
        <v>1500</v>
      </c>
      <c r="K71" s="39">
        <f>SUM(I71*J71)</f>
        <v>23370</v>
      </c>
      <c r="L71" s="45">
        <v>2</v>
      </c>
      <c r="M71" s="145">
        <v>401</v>
      </c>
      <c r="N71" s="15" t="s">
        <v>74</v>
      </c>
      <c r="O71" s="50">
        <v>5</v>
      </c>
      <c r="P71" s="19">
        <f>9.3*6.7</f>
        <v>62.310000000000009</v>
      </c>
      <c r="Q71" s="62" t="s">
        <v>75</v>
      </c>
      <c r="R71" s="260">
        <v>8000</v>
      </c>
      <c r="S71" s="18">
        <f>+P71*R71</f>
        <v>498480.00000000006</v>
      </c>
      <c r="T71" s="1469">
        <v>6</v>
      </c>
      <c r="U71" s="1664">
        <f>+S71*0.06</f>
        <v>29908.800000000003</v>
      </c>
      <c r="V71" s="47">
        <f>+S71-U71</f>
        <v>468571.20000000007</v>
      </c>
      <c r="W71" s="18">
        <f>V71+K71</f>
        <v>491941.20000000007</v>
      </c>
      <c r="X71" s="47">
        <f>W71</f>
        <v>491941.20000000007</v>
      </c>
      <c r="Y71" s="18"/>
      <c r="Z71" s="18">
        <f>+X71</f>
        <v>491941.20000000007</v>
      </c>
      <c r="AA71" s="264">
        <v>0.3</v>
      </c>
      <c r="AB71" s="466">
        <f>Z71*AA71/100</f>
        <v>1475.8236000000002</v>
      </c>
      <c r="AC71" s="350"/>
      <c r="AD71" s="350"/>
      <c r="AE71" s="350"/>
      <c r="AF71" s="350"/>
    </row>
    <row r="72" spans="1:32" s="597" customFormat="1" ht="18" customHeight="1" x14ac:dyDescent="0.2">
      <c r="A72" s="145"/>
      <c r="B72" s="1088">
        <v>2380</v>
      </c>
      <c r="C72" s="177">
        <v>496</v>
      </c>
      <c r="D72" s="15" t="s">
        <v>91</v>
      </c>
      <c r="E72" s="145">
        <v>1</v>
      </c>
      <c r="F72" s="145">
        <v>6</v>
      </c>
      <c r="G72" s="145">
        <v>2</v>
      </c>
      <c r="H72" s="147">
        <v>67.400000000000006</v>
      </c>
      <c r="I72" s="18">
        <f>G72*100+H72</f>
        <v>267.39999999999998</v>
      </c>
      <c r="J72" s="178">
        <v>280</v>
      </c>
      <c r="K72" s="39">
        <f>SUM(I72*J72)</f>
        <v>74872</v>
      </c>
      <c r="L72" s="145">
        <v>1</v>
      </c>
      <c r="M72" s="145"/>
      <c r="N72" s="145"/>
      <c r="O72" s="145">
        <v>1</v>
      </c>
      <c r="P72" s="147"/>
      <c r="Q72" s="148"/>
      <c r="R72" s="437"/>
      <c r="S72" s="107"/>
      <c r="T72" s="179"/>
      <c r="U72" s="178"/>
      <c r="V72" s="107"/>
      <c r="W72" s="18">
        <f>V72+K72</f>
        <v>74872</v>
      </c>
      <c r="X72" s="47">
        <f>W72</f>
        <v>74872</v>
      </c>
      <c r="Y72" s="18" t="s">
        <v>87</v>
      </c>
      <c r="Z72" s="18">
        <v>0</v>
      </c>
      <c r="AA72" s="264">
        <v>0.01</v>
      </c>
      <c r="AB72" s="466">
        <f>Z72*AA72/100</f>
        <v>0</v>
      </c>
      <c r="AC72" s="350"/>
      <c r="AD72" s="350"/>
      <c r="AE72" s="350"/>
      <c r="AF72" s="350"/>
    </row>
    <row r="73" spans="1:32" s="597" customFormat="1" ht="18" customHeight="1" x14ac:dyDescent="0.2">
      <c r="A73" s="145"/>
      <c r="B73" s="177"/>
      <c r="C73" s="177"/>
      <c r="D73" s="145"/>
      <c r="E73" s="145"/>
      <c r="F73" s="145"/>
      <c r="G73" s="145"/>
      <c r="H73" s="147"/>
      <c r="I73" s="107"/>
      <c r="J73" s="178"/>
      <c r="K73" s="107"/>
      <c r="L73" s="145"/>
      <c r="M73" s="145"/>
      <c r="N73" s="145"/>
      <c r="O73" s="145"/>
      <c r="P73" s="147"/>
      <c r="Q73" s="148"/>
      <c r="R73" s="437"/>
      <c r="S73" s="107"/>
      <c r="T73" s="179"/>
      <c r="U73" s="178"/>
      <c r="V73" s="107"/>
      <c r="W73" s="107"/>
      <c r="X73" s="470"/>
      <c r="Y73" s="470"/>
      <c r="Z73" s="471"/>
      <c r="AA73" s="471"/>
      <c r="AB73" s="466"/>
      <c r="AC73" s="350"/>
      <c r="AD73" s="350"/>
      <c r="AE73" s="350"/>
      <c r="AF73" s="350"/>
    </row>
    <row r="74" spans="1:32" s="597" customFormat="1" ht="18" customHeight="1" x14ac:dyDescent="0.2">
      <c r="A74" s="145"/>
      <c r="B74" s="177"/>
      <c r="C74" s="177"/>
      <c r="D74" s="145"/>
      <c r="E74" s="145"/>
      <c r="F74" s="145"/>
      <c r="G74" s="145"/>
      <c r="H74" s="147"/>
      <c r="I74" s="107"/>
      <c r="J74" s="178"/>
      <c r="K74" s="107"/>
      <c r="L74" s="145"/>
      <c r="M74" s="145"/>
      <c r="N74" s="145"/>
      <c r="O74" s="145"/>
      <c r="P74" s="147"/>
      <c r="Q74" s="148"/>
      <c r="R74" s="437"/>
      <c r="S74" s="107"/>
      <c r="T74" s="179"/>
      <c r="U74" s="178"/>
      <c r="V74" s="107"/>
      <c r="W74" s="107"/>
      <c r="X74" s="470"/>
      <c r="Y74" s="470"/>
      <c r="Z74" s="471"/>
      <c r="AA74" s="471"/>
      <c r="AB74" s="466"/>
      <c r="AC74" s="350"/>
      <c r="AD74" s="350"/>
      <c r="AE74" s="350"/>
      <c r="AF74" s="350"/>
    </row>
    <row r="75" spans="1:32" s="597" customFormat="1" ht="18" customHeight="1" x14ac:dyDescent="0.2">
      <c r="A75" s="145"/>
      <c r="B75" s="177"/>
      <c r="C75" s="177"/>
      <c r="D75" s="145"/>
      <c r="E75" s="145"/>
      <c r="F75" s="145"/>
      <c r="G75" s="145"/>
      <c r="H75" s="147"/>
      <c r="I75" s="107"/>
      <c r="J75" s="178"/>
      <c r="K75" s="107"/>
      <c r="L75" s="145"/>
      <c r="M75" s="145"/>
      <c r="N75" s="145"/>
      <c r="O75" s="145"/>
      <c r="P75" s="147"/>
      <c r="Q75" s="148"/>
      <c r="R75" s="437"/>
      <c r="S75" s="107"/>
      <c r="T75" s="179"/>
      <c r="U75" s="178"/>
      <c r="V75" s="107"/>
      <c r="W75" s="107"/>
      <c r="X75" s="470"/>
      <c r="Y75" s="470"/>
      <c r="Z75" s="471"/>
      <c r="AA75" s="471"/>
      <c r="AB75" s="466"/>
      <c r="AC75" s="350"/>
      <c r="AD75" s="350"/>
      <c r="AE75" s="350"/>
      <c r="AF75" s="350"/>
    </row>
    <row r="76" spans="1:32" s="597" customFormat="1" ht="18" customHeight="1" x14ac:dyDescent="0.2">
      <c r="A76" s="145"/>
      <c r="B76" s="177"/>
      <c r="C76" s="177"/>
      <c r="D76" s="145"/>
      <c r="E76" s="145"/>
      <c r="F76" s="145"/>
      <c r="G76" s="145"/>
      <c r="H76" s="147"/>
      <c r="I76" s="107"/>
      <c r="J76" s="178"/>
      <c r="K76" s="107"/>
      <c r="L76" s="145"/>
      <c r="M76" s="145"/>
      <c r="N76" s="145"/>
      <c r="O76" s="145"/>
      <c r="P76" s="147"/>
      <c r="Q76" s="148"/>
      <c r="R76" s="437"/>
      <c r="S76" s="107"/>
      <c r="T76" s="179"/>
      <c r="U76" s="178"/>
      <c r="V76" s="107"/>
      <c r="W76" s="107"/>
      <c r="X76" s="470"/>
      <c r="Y76" s="470"/>
      <c r="Z76" s="471"/>
      <c r="AA76" s="471"/>
      <c r="AB76" s="466"/>
      <c r="AC76" s="350"/>
      <c r="AD76" s="350"/>
      <c r="AE76" s="350"/>
      <c r="AF76" s="350"/>
    </row>
    <row r="77" spans="1:32" s="597" customFormat="1" ht="18" customHeight="1" x14ac:dyDescent="0.2">
      <c r="A77" s="145"/>
      <c r="B77" s="177"/>
      <c r="C77" s="177"/>
      <c r="D77" s="145"/>
      <c r="E77" s="145"/>
      <c r="F77" s="145"/>
      <c r="G77" s="145"/>
      <c r="H77" s="147"/>
      <c r="I77" s="107"/>
      <c r="J77" s="178"/>
      <c r="K77" s="107"/>
      <c r="L77" s="145"/>
      <c r="M77" s="145"/>
      <c r="N77" s="145"/>
      <c r="O77" s="145"/>
      <c r="P77" s="147"/>
      <c r="Q77" s="148"/>
      <c r="R77" s="437"/>
      <c r="S77" s="107"/>
      <c r="T77" s="179"/>
      <c r="U77" s="178"/>
      <c r="V77" s="107"/>
      <c r="W77" s="107"/>
      <c r="X77" s="470"/>
      <c r="Y77" s="470"/>
      <c r="Z77" s="471"/>
      <c r="AA77" s="471"/>
      <c r="AB77" s="466"/>
      <c r="AC77" s="350"/>
      <c r="AD77" s="350"/>
      <c r="AE77" s="350"/>
      <c r="AF77" s="350"/>
    </row>
    <row r="78" spans="1:32" s="597" customFormat="1" ht="18" customHeight="1" x14ac:dyDescent="0.2">
      <c r="A78" s="145"/>
      <c r="B78" s="177"/>
      <c r="C78" s="177"/>
      <c r="D78" s="145"/>
      <c r="E78" s="145"/>
      <c r="F78" s="145"/>
      <c r="G78" s="145"/>
      <c r="H78" s="147"/>
      <c r="I78" s="107"/>
      <c r="J78" s="178"/>
      <c r="K78" s="107"/>
      <c r="L78" s="145"/>
      <c r="M78" s="145"/>
      <c r="N78" s="145"/>
      <c r="O78" s="145"/>
      <c r="P78" s="147"/>
      <c r="Q78" s="148"/>
      <c r="R78" s="437"/>
      <c r="S78" s="107"/>
      <c r="T78" s="179"/>
      <c r="U78" s="178"/>
      <c r="V78" s="107"/>
      <c r="W78" s="107"/>
      <c r="X78" s="470"/>
      <c r="Y78" s="470"/>
      <c r="Z78" s="471"/>
      <c r="AA78" s="471"/>
      <c r="AB78" s="466"/>
      <c r="AC78" s="350"/>
      <c r="AD78" s="350"/>
      <c r="AE78" s="350"/>
      <c r="AF78" s="350"/>
    </row>
    <row r="79" spans="1:32" s="597" customFormat="1" ht="18" customHeight="1" x14ac:dyDescent="0.2">
      <c r="A79" s="145"/>
      <c r="B79" s="177"/>
      <c r="C79" s="177"/>
      <c r="D79" s="145"/>
      <c r="E79" s="145"/>
      <c r="F79" s="145"/>
      <c r="G79" s="145"/>
      <c r="H79" s="147"/>
      <c r="I79" s="107"/>
      <c r="J79" s="178"/>
      <c r="K79" s="107"/>
      <c r="L79" s="145"/>
      <c r="M79" s="145"/>
      <c r="N79" s="145"/>
      <c r="O79" s="145"/>
      <c r="P79" s="147"/>
      <c r="Q79" s="148"/>
      <c r="R79" s="437"/>
      <c r="S79" s="107"/>
      <c r="T79" s="179"/>
      <c r="U79" s="178"/>
      <c r="V79" s="107"/>
      <c r="W79" s="107"/>
      <c r="X79" s="470"/>
      <c r="Y79" s="470"/>
      <c r="Z79" s="471"/>
      <c r="AA79" s="471"/>
      <c r="AB79" s="466"/>
      <c r="AC79" s="350"/>
      <c r="AD79" s="350"/>
      <c r="AE79" s="350"/>
      <c r="AF79" s="350"/>
    </row>
    <row r="80" spans="1:32" s="597" customFormat="1" ht="18" customHeight="1" x14ac:dyDescent="0.2">
      <c r="A80" s="145"/>
      <c r="B80" s="177"/>
      <c r="C80" s="177"/>
      <c r="D80" s="145"/>
      <c r="E80" s="145"/>
      <c r="F80" s="145"/>
      <c r="G80" s="145"/>
      <c r="H80" s="147"/>
      <c r="I80" s="107"/>
      <c r="J80" s="178"/>
      <c r="K80" s="107"/>
      <c r="L80" s="145"/>
      <c r="M80" s="145"/>
      <c r="N80" s="145"/>
      <c r="O80" s="145"/>
      <c r="P80" s="147"/>
      <c r="Q80" s="148"/>
      <c r="R80" s="437"/>
      <c r="S80" s="107"/>
      <c r="T80" s="179"/>
      <c r="U80" s="178"/>
      <c r="V80" s="107"/>
      <c r="W80" s="107"/>
      <c r="X80" s="470"/>
      <c r="Y80" s="470"/>
      <c r="Z80" s="471"/>
      <c r="AA80" s="471"/>
      <c r="AB80" s="466"/>
      <c r="AC80" s="350"/>
      <c r="AD80" s="350"/>
      <c r="AE80" s="350"/>
      <c r="AF80" s="350"/>
    </row>
    <row r="81" spans="1:32" s="597" customFormat="1" ht="18" customHeight="1" x14ac:dyDescent="0.2">
      <c r="A81" s="145"/>
      <c r="B81" s="177"/>
      <c r="C81" s="177"/>
      <c r="D81" s="145"/>
      <c r="E81" s="145"/>
      <c r="F81" s="145"/>
      <c r="G81" s="145"/>
      <c r="H81" s="147"/>
      <c r="I81" s="107"/>
      <c r="J81" s="178"/>
      <c r="K81" s="107"/>
      <c r="L81" s="145"/>
      <c r="M81" s="145"/>
      <c r="N81" s="145"/>
      <c r="O81" s="145"/>
      <c r="P81" s="147"/>
      <c r="Q81" s="148"/>
      <c r="R81" s="437"/>
      <c r="S81" s="107"/>
      <c r="T81" s="179"/>
      <c r="U81" s="178"/>
      <c r="V81" s="107"/>
      <c r="W81" s="107"/>
      <c r="X81" s="470"/>
      <c r="Y81" s="470"/>
      <c r="Z81" s="471"/>
      <c r="AA81" s="471"/>
      <c r="AB81" s="466"/>
      <c r="AC81" s="350"/>
      <c r="AD81" s="350"/>
      <c r="AE81" s="350"/>
      <c r="AF81" s="350"/>
    </row>
    <row r="82" spans="1:32" s="597" customFormat="1" ht="18" customHeight="1" x14ac:dyDescent="0.2">
      <c r="A82" s="145"/>
      <c r="B82" s="177"/>
      <c r="C82" s="177"/>
      <c r="D82" s="145"/>
      <c r="E82" s="145"/>
      <c r="F82" s="145"/>
      <c r="G82" s="145"/>
      <c r="H82" s="147"/>
      <c r="I82" s="107"/>
      <c r="J82" s="178"/>
      <c r="K82" s="107"/>
      <c r="L82" s="145"/>
      <c r="M82" s="145"/>
      <c r="N82" s="145"/>
      <c r="O82" s="145"/>
      <c r="P82" s="147"/>
      <c r="Q82" s="148"/>
      <c r="R82" s="437"/>
      <c r="S82" s="107"/>
      <c r="T82" s="179"/>
      <c r="U82" s="178"/>
      <c r="V82" s="107"/>
      <c r="W82" s="107"/>
      <c r="X82" s="470"/>
      <c r="Y82" s="470"/>
      <c r="Z82" s="471"/>
      <c r="AA82" s="471"/>
      <c r="AB82" s="466"/>
      <c r="AC82" s="350"/>
      <c r="AD82" s="350"/>
      <c r="AE82" s="350"/>
      <c r="AF82" s="350"/>
    </row>
    <row r="83" spans="1:32" s="597" customFormat="1" ht="18" customHeight="1" x14ac:dyDescent="0.2">
      <c r="A83" s="88"/>
      <c r="B83" s="180"/>
      <c r="C83" s="180"/>
      <c r="D83" s="88"/>
      <c r="E83" s="88"/>
      <c r="F83" s="88"/>
      <c r="G83" s="88"/>
      <c r="H83" s="120"/>
      <c r="I83" s="121"/>
      <c r="J83" s="181"/>
      <c r="K83" s="121"/>
      <c r="L83" s="88"/>
      <c r="M83" s="88"/>
      <c r="N83" s="88"/>
      <c r="O83" s="88"/>
      <c r="P83" s="88"/>
      <c r="Q83" s="129"/>
      <c r="R83" s="445"/>
      <c r="S83" s="121"/>
      <c r="T83" s="182"/>
      <c r="U83" s="181"/>
      <c r="V83" s="121"/>
      <c r="W83" s="121"/>
      <c r="X83" s="472"/>
      <c r="Y83" s="472"/>
      <c r="Z83" s="473"/>
      <c r="AA83" s="473"/>
      <c r="AB83" s="410"/>
      <c r="AC83" s="351"/>
      <c r="AD83" s="351"/>
      <c r="AE83" s="351"/>
      <c r="AF83" s="351"/>
    </row>
    <row r="84" spans="1:32" s="597" customFormat="1" ht="18" customHeight="1" x14ac:dyDescent="0.2">
      <c r="A84" s="1850"/>
      <c r="B84" s="1850"/>
      <c r="C84" s="1850"/>
      <c r="D84" s="1850"/>
      <c r="E84" s="1850"/>
      <c r="F84" s="1850"/>
      <c r="G84" s="1850"/>
      <c r="H84" s="1851"/>
      <c r="I84" s="1852"/>
      <c r="J84" s="1853"/>
      <c r="K84" s="1852"/>
      <c r="L84" s="1852"/>
      <c r="M84" s="1852"/>
      <c r="N84" s="1852"/>
      <c r="O84" s="1852"/>
      <c r="P84" s="1852"/>
      <c r="Q84" s="1852"/>
      <c r="R84" s="1854"/>
      <c r="S84" s="1852"/>
      <c r="T84" s="1855"/>
      <c r="U84" s="1853"/>
      <c r="V84" s="1852"/>
      <c r="W84" s="1852"/>
      <c r="X84" s="1856"/>
      <c r="Y84" s="1856"/>
      <c r="Z84" s="1857"/>
      <c r="AA84" s="1857"/>
      <c r="AB84" s="1847">
        <f>SUM(AB69:AB83)</f>
        <v>1475.8236000000002</v>
      </c>
      <c r="AC84" s="1861"/>
      <c r="AD84" s="1861"/>
      <c r="AE84" s="1861"/>
      <c r="AF84" s="1861"/>
    </row>
    <row r="85" spans="1:32" s="597" customFormat="1" ht="18" customHeight="1" x14ac:dyDescent="0.2">
      <c r="A85" s="2690" t="s">
        <v>76</v>
      </c>
      <c r="B85" s="2690"/>
      <c r="C85" s="2691" t="s">
        <v>77</v>
      </c>
      <c r="D85" s="2691"/>
      <c r="E85" s="2691"/>
      <c r="F85" s="2691"/>
      <c r="G85" s="2691"/>
      <c r="H85" s="2691"/>
      <c r="I85" s="604" t="s">
        <v>78</v>
      </c>
      <c r="J85" s="604"/>
      <c r="K85" s="604"/>
      <c r="L85" s="604"/>
      <c r="M85" s="604"/>
      <c r="N85" s="604"/>
      <c r="AB85" s="598"/>
    </row>
    <row r="86" spans="1:32" s="597" customFormat="1" ht="18" customHeight="1" x14ac:dyDescent="0.2">
      <c r="A86" s="604"/>
      <c r="B86" s="605"/>
      <c r="C86" s="604"/>
      <c r="D86" s="604"/>
      <c r="E86" s="604"/>
      <c r="F86" s="604"/>
      <c r="G86" s="604"/>
      <c r="H86" s="604"/>
      <c r="I86" s="604" t="s">
        <v>79</v>
      </c>
      <c r="J86" s="604"/>
      <c r="K86" s="604"/>
      <c r="L86" s="604"/>
      <c r="M86" s="604"/>
      <c r="N86" s="604"/>
      <c r="AB86" s="598"/>
    </row>
    <row r="87" spans="1:32" s="597" customFormat="1" ht="18" customHeight="1" x14ac:dyDescent="0.2">
      <c r="A87" s="604"/>
      <c r="B87" s="605"/>
      <c r="C87" s="604"/>
      <c r="D87" s="604"/>
      <c r="E87" s="604"/>
      <c r="F87" s="604"/>
      <c r="G87" s="604"/>
      <c r="H87" s="604"/>
      <c r="I87" s="604" t="s">
        <v>80</v>
      </c>
      <c r="J87" s="604"/>
      <c r="K87" s="604"/>
      <c r="L87" s="604"/>
      <c r="M87" s="604"/>
      <c r="N87" s="604"/>
      <c r="AB87" s="598"/>
    </row>
    <row r="88" spans="1:32" s="597" customFormat="1" ht="18" customHeight="1" x14ac:dyDescent="0.2">
      <c r="A88" s="604"/>
      <c r="B88" s="605"/>
      <c r="C88" s="604"/>
      <c r="D88" s="604"/>
      <c r="E88" s="604"/>
      <c r="F88" s="604"/>
      <c r="G88" s="604"/>
      <c r="H88" s="604"/>
      <c r="I88" s="604" t="s">
        <v>81</v>
      </c>
      <c r="J88" s="604"/>
      <c r="K88" s="604"/>
      <c r="L88" s="604"/>
      <c r="M88" s="604"/>
      <c r="N88" s="604"/>
      <c r="AB88" s="598"/>
    </row>
    <row r="89" spans="1:32" s="597" customFormat="1" ht="18" customHeight="1" x14ac:dyDescent="0.2">
      <c r="A89" s="604"/>
      <c r="B89" s="605"/>
      <c r="C89" s="604"/>
      <c r="D89" s="604"/>
      <c r="E89" s="604"/>
      <c r="F89" s="604"/>
      <c r="G89" s="604"/>
      <c r="H89" s="604"/>
      <c r="I89" s="604" t="s">
        <v>88</v>
      </c>
      <c r="J89" s="604"/>
      <c r="K89" s="604"/>
      <c r="L89" s="604"/>
      <c r="M89" s="604"/>
      <c r="N89" s="604"/>
      <c r="AB89" s="598"/>
    </row>
    <row r="90" spans="1:32" s="597" customFormat="1" ht="18" customHeight="1" x14ac:dyDescent="0.2">
      <c r="A90" s="339"/>
      <c r="B90" s="339"/>
      <c r="C90" s="339"/>
      <c r="D90" s="339"/>
      <c r="E90" s="339"/>
      <c r="F90" s="339"/>
      <c r="G90" s="339"/>
      <c r="H90" s="339"/>
      <c r="I90" s="339"/>
      <c r="J90" s="339"/>
      <c r="K90" s="339"/>
      <c r="L90" s="339"/>
      <c r="M90" s="339"/>
      <c r="N90" s="339"/>
      <c r="O90" s="339"/>
      <c r="P90" s="339"/>
      <c r="Q90" s="339"/>
      <c r="R90" s="339"/>
      <c r="S90" s="339"/>
      <c r="T90" s="339"/>
      <c r="U90" s="339"/>
      <c r="V90" s="339"/>
      <c r="W90" s="339"/>
      <c r="X90" s="339"/>
      <c r="Y90" s="339"/>
      <c r="Z90" s="339"/>
      <c r="AA90" s="2702" t="s">
        <v>0</v>
      </c>
      <c r="AB90" s="2702"/>
      <c r="AC90" s="339"/>
      <c r="AD90" s="339"/>
      <c r="AE90" s="339"/>
      <c r="AF90" s="339"/>
    </row>
    <row r="91" spans="1:32" s="597" customFormat="1" ht="18" customHeight="1" x14ac:dyDescent="0.2">
      <c r="A91" s="2703" t="s">
        <v>1</v>
      </c>
      <c r="B91" s="2703"/>
      <c r="C91" s="2703"/>
      <c r="D91" s="2703"/>
      <c r="E91" s="2703"/>
      <c r="F91" s="2703"/>
      <c r="G91" s="2703"/>
      <c r="H91" s="2703"/>
      <c r="I91" s="2703"/>
      <c r="J91" s="2703"/>
      <c r="K91" s="2703"/>
      <c r="L91" s="2703"/>
      <c r="M91" s="2703"/>
      <c r="N91" s="2703"/>
      <c r="O91" s="2703"/>
      <c r="P91" s="2703"/>
      <c r="Q91" s="2703"/>
      <c r="R91" s="2703"/>
      <c r="S91" s="2703"/>
      <c r="T91" s="2703"/>
      <c r="U91" s="2703"/>
      <c r="V91" s="2703"/>
      <c r="W91" s="2703"/>
      <c r="X91" s="2703"/>
      <c r="Y91" s="2703"/>
      <c r="Z91" s="2703"/>
      <c r="AA91" s="2703"/>
      <c r="AB91" s="2703"/>
      <c r="AC91" s="344"/>
      <c r="AD91" s="344"/>
      <c r="AE91" s="344"/>
      <c r="AF91" s="344"/>
    </row>
    <row r="92" spans="1:32" s="597" customFormat="1" ht="18" customHeight="1" x14ac:dyDescent="0.2">
      <c r="A92" s="2704" t="s">
        <v>461</v>
      </c>
      <c r="B92" s="2704"/>
      <c r="C92" s="2704"/>
      <c r="D92" s="2704"/>
      <c r="E92" s="2704"/>
      <c r="F92" s="2704"/>
      <c r="G92" s="2704"/>
      <c r="H92" s="2704"/>
      <c r="I92" s="2704"/>
      <c r="J92" s="2704"/>
      <c r="K92" s="2704"/>
      <c r="L92" s="2704"/>
      <c r="M92" s="2704"/>
      <c r="N92" s="2704"/>
      <c r="O92" s="2704"/>
      <c r="P92" s="2704"/>
      <c r="Q92" s="2704"/>
      <c r="R92" s="2704"/>
      <c r="S92" s="2704"/>
      <c r="T92" s="2704"/>
      <c r="U92" s="2704"/>
      <c r="V92" s="2704"/>
      <c r="W92" s="2704"/>
      <c r="X92" s="2704"/>
      <c r="Y92" s="2704"/>
      <c r="Z92" s="2704"/>
      <c r="AA92" s="2704"/>
      <c r="AB92" s="2704"/>
      <c r="AC92" s="599"/>
      <c r="AD92" s="599"/>
      <c r="AE92" s="599"/>
      <c r="AF92" s="599"/>
    </row>
    <row r="93" spans="1:32" s="597" customFormat="1" ht="18" customHeight="1" x14ac:dyDescent="0.2">
      <c r="A93" s="2686" t="s">
        <v>2</v>
      </c>
      <c r="B93" s="360"/>
      <c r="C93" s="2686" t="s">
        <v>3</v>
      </c>
      <c r="D93" s="360"/>
      <c r="E93" s="360"/>
      <c r="F93" s="2693" t="s">
        <v>4</v>
      </c>
      <c r="G93" s="2693"/>
      <c r="H93" s="2693"/>
      <c r="I93" s="2694"/>
      <c r="J93" s="2694"/>
      <c r="K93" s="2695"/>
      <c r="L93" s="361"/>
      <c r="M93" s="2679" t="s">
        <v>5</v>
      </c>
      <c r="N93" s="2679"/>
      <c r="O93" s="2679"/>
      <c r="P93" s="2679"/>
      <c r="Q93" s="2696"/>
      <c r="R93" s="2696"/>
      <c r="S93" s="2696"/>
      <c r="T93" s="2696"/>
      <c r="U93" s="2696"/>
      <c r="V93" s="2697"/>
      <c r="W93" s="362" t="s">
        <v>6</v>
      </c>
      <c r="X93" s="363" t="s">
        <v>7</v>
      </c>
      <c r="Y93" s="364"/>
      <c r="Z93" s="364"/>
      <c r="AA93" s="363"/>
      <c r="AB93" s="365"/>
      <c r="AC93" s="516" t="s">
        <v>8</v>
      </c>
      <c r="AD93" s="346"/>
      <c r="AE93" s="346"/>
      <c r="AF93" s="600"/>
    </row>
    <row r="94" spans="1:32" s="597" customFormat="1" ht="18" customHeight="1" x14ac:dyDescent="0.2">
      <c r="A94" s="2687"/>
      <c r="B94" s="367"/>
      <c r="C94" s="2687"/>
      <c r="D94" s="366" t="s">
        <v>9</v>
      </c>
      <c r="E94" s="368" t="s">
        <v>10</v>
      </c>
      <c r="F94" s="2698" t="s">
        <v>11</v>
      </c>
      <c r="G94" s="2694"/>
      <c r="H94" s="2695"/>
      <c r="I94" s="360"/>
      <c r="J94" s="369" t="s">
        <v>12</v>
      </c>
      <c r="K94" s="360"/>
      <c r="L94" s="2679" t="s">
        <v>2</v>
      </c>
      <c r="M94" s="370"/>
      <c r="N94" s="370"/>
      <c r="O94" s="370"/>
      <c r="P94" s="371"/>
      <c r="Q94" s="372" t="s">
        <v>13</v>
      </c>
      <c r="R94" s="373" t="s">
        <v>12</v>
      </c>
      <c r="S94" s="370" t="s">
        <v>6</v>
      </c>
      <c r="T94" s="2682" t="s">
        <v>14</v>
      </c>
      <c r="U94" s="2683"/>
      <c r="V94" s="375" t="s">
        <v>7</v>
      </c>
      <c r="W94" s="376" t="s">
        <v>15</v>
      </c>
      <c r="X94" s="377" t="s">
        <v>16</v>
      </c>
      <c r="Y94" s="377" t="s">
        <v>17</v>
      </c>
      <c r="Z94" s="377" t="s">
        <v>18</v>
      </c>
      <c r="AA94" s="377"/>
      <c r="AB94" s="378" t="s">
        <v>19</v>
      </c>
      <c r="AC94" s="528" t="s">
        <v>20</v>
      </c>
      <c r="AD94" s="601"/>
      <c r="AE94" s="347" t="s">
        <v>21</v>
      </c>
      <c r="AF94" s="340" t="s">
        <v>22</v>
      </c>
    </row>
    <row r="95" spans="1:32" s="597" customFormat="1" ht="18" customHeight="1" x14ac:dyDescent="0.2">
      <c r="A95" s="2687"/>
      <c r="B95" s="366" t="s">
        <v>23</v>
      </c>
      <c r="C95" s="2687"/>
      <c r="D95" s="366" t="s">
        <v>24</v>
      </c>
      <c r="E95" s="368" t="s">
        <v>25</v>
      </c>
      <c r="F95" s="2699"/>
      <c r="G95" s="2700"/>
      <c r="H95" s="2701"/>
      <c r="I95" s="366" t="s">
        <v>26</v>
      </c>
      <c r="J95" s="379" t="s">
        <v>15</v>
      </c>
      <c r="K95" s="380" t="s">
        <v>6</v>
      </c>
      <c r="L95" s="2680"/>
      <c r="M95" s="381" t="s">
        <v>27</v>
      </c>
      <c r="N95" s="381" t="s">
        <v>10</v>
      </c>
      <c r="O95" s="382" t="s">
        <v>10</v>
      </c>
      <c r="P95" s="383" t="s">
        <v>28</v>
      </c>
      <c r="Q95" s="384" t="s">
        <v>29</v>
      </c>
      <c r="R95" s="383" t="s">
        <v>15</v>
      </c>
      <c r="S95" s="385" t="s">
        <v>15</v>
      </c>
      <c r="T95" s="2684"/>
      <c r="U95" s="2685"/>
      <c r="V95" s="375" t="s">
        <v>30</v>
      </c>
      <c r="W95" s="376" t="s">
        <v>31</v>
      </c>
      <c r="X95" s="377" t="s">
        <v>30</v>
      </c>
      <c r="Y95" s="377" t="s">
        <v>32</v>
      </c>
      <c r="Z95" s="377" t="s">
        <v>7</v>
      </c>
      <c r="AA95" s="377" t="s">
        <v>33</v>
      </c>
      <c r="AB95" s="378" t="s">
        <v>34</v>
      </c>
      <c r="AC95" s="528" t="s">
        <v>35</v>
      </c>
      <c r="AD95" s="347" t="s">
        <v>36</v>
      </c>
      <c r="AE95" s="347" t="s">
        <v>37</v>
      </c>
      <c r="AF95" s="340" t="s">
        <v>38</v>
      </c>
    </row>
    <row r="96" spans="1:32" s="597" customFormat="1" ht="18" customHeight="1" x14ac:dyDescent="0.2">
      <c r="A96" s="2687"/>
      <c r="B96" s="366" t="s">
        <v>39</v>
      </c>
      <c r="C96" s="2687"/>
      <c r="D96" s="366" t="s">
        <v>40</v>
      </c>
      <c r="E96" s="368" t="s">
        <v>41</v>
      </c>
      <c r="F96" s="2686" t="s">
        <v>42</v>
      </c>
      <c r="G96" s="2686" t="s">
        <v>43</v>
      </c>
      <c r="H96" s="2688" t="s">
        <v>44</v>
      </c>
      <c r="I96" s="366" t="s">
        <v>45</v>
      </c>
      <c r="J96" s="379" t="s">
        <v>46</v>
      </c>
      <c r="K96" s="380" t="s">
        <v>47</v>
      </c>
      <c r="L96" s="2680"/>
      <c r="M96" s="381" t="s">
        <v>30</v>
      </c>
      <c r="N96" s="381" t="s">
        <v>30</v>
      </c>
      <c r="O96" s="382" t="s">
        <v>25</v>
      </c>
      <c r="P96" s="383" t="s">
        <v>30</v>
      </c>
      <c r="Q96" s="384" t="s">
        <v>48</v>
      </c>
      <c r="R96" s="383" t="s">
        <v>49</v>
      </c>
      <c r="S96" s="385" t="s">
        <v>30</v>
      </c>
      <c r="T96" s="386" t="s">
        <v>50</v>
      </c>
      <c r="U96" s="374" t="s">
        <v>13</v>
      </c>
      <c r="V96" s="375" t="s">
        <v>51</v>
      </c>
      <c r="W96" s="376" t="s">
        <v>52</v>
      </c>
      <c r="X96" s="377" t="s">
        <v>53</v>
      </c>
      <c r="Y96" s="377" t="s">
        <v>54</v>
      </c>
      <c r="Z96" s="377" t="s">
        <v>55</v>
      </c>
      <c r="AA96" s="377" t="s">
        <v>56</v>
      </c>
      <c r="AB96" s="378" t="s">
        <v>57</v>
      </c>
      <c r="AC96" s="347" t="s">
        <v>58</v>
      </c>
      <c r="AD96" s="347" t="s">
        <v>59</v>
      </c>
      <c r="AE96" s="347" t="s">
        <v>59</v>
      </c>
      <c r="AF96" s="340" t="s">
        <v>60</v>
      </c>
    </row>
    <row r="97" spans="1:32" s="597" customFormat="1" ht="18" customHeight="1" x14ac:dyDescent="0.2">
      <c r="A97" s="2687"/>
      <c r="B97" s="366" t="s">
        <v>61</v>
      </c>
      <c r="C97" s="2687"/>
      <c r="D97" s="366" t="s">
        <v>62</v>
      </c>
      <c r="E97" s="368" t="s">
        <v>63</v>
      </c>
      <c r="F97" s="2687"/>
      <c r="G97" s="2687"/>
      <c r="H97" s="2689"/>
      <c r="I97" s="366" t="s">
        <v>64</v>
      </c>
      <c r="J97" s="379" t="s">
        <v>59</v>
      </c>
      <c r="K97" s="380" t="s">
        <v>59</v>
      </c>
      <c r="L97" s="2680"/>
      <c r="M97" s="381"/>
      <c r="N97" s="381"/>
      <c r="O97" s="382" t="s">
        <v>41</v>
      </c>
      <c r="P97" s="383" t="s">
        <v>65</v>
      </c>
      <c r="Q97" s="384" t="s">
        <v>66</v>
      </c>
      <c r="R97" s="383" t="s">
        <v>67</v>
      </c>
      <c r="S97" s="385" t="s">
        <v>59</v>
      </c>
      <c r="T97" s="387" t="s">
        <v>68</v>
      </c>
      <c r="U97" s="375" t="s">
        <v>14</v>
      </c>
      <c r="V97" s="375" t="s">
        <v>14</v>
      </c>
      <c r="W97" s="376" t="s">
        <v>30</v>
      </c>
      <c r="X97" s="388" t="s">
        <v>69</v>
      </c>
      <c r="Y97" s="388" t="s">
        <v>70</v>
      </c>
      <c r="Z97" s="377" t="s">
        <v>71</v>
      </c>
      <c r="AA97" s="377" t="s">
        <v>72</v>
      </c>
      <c r="AB97" s="378" t="s">
        <v>59</v>
      </c>
      <c r="AC97" s="347" t="s">
        <v>59</v>
      </c>
      <c r="AD97" s="347"/>
      <c r="AE97" s="347"/>
      <c r="AF97" s="340" t="s">
        <v>59</v>
      </c>
    </row>
    <row r="98" spans="1:32" s="597" customFormat="1" ht="18" customHeight="1" x14ac:dyDescent="0.2">
      <c r="A98" s="2692"/>
      <c r="B98" s="390"/>
      <c r="C98" s="2692"/>
      <c r="D98" s="390"/>
      <c r="E98" s="389"/>
      <c r="F98" s="390"/>
      <c r="G98" s="390"/>
      <c r="H98" s="391"/>
      <c r="I98" s="389"/>
      <c r="J98" s="392"/>
      <c r="K98" s="393"/>
      <c r="L98" s="2681"/>
      <c r="M98" s="394"/>
      <c r="N98" s="394"/>
      <c r="O98" s="394" t="s">
        <v>63</v>
      </c>
      <c r="P98" s="395"/>
      <c r="Q98" s="396" t="s">
        <v>72</v>
      </c>
      <c r="R98" s="397" t="s">
        <v>59</v>
      </c>
      <c r="S98" s="398"/>
      <c r="T98" s="397" t="s">
        <v>73</v>
      </c>
      <c r="U98" s="398" t="s">
        <v>59</v>
      </c>
      <c r="V98" s="399" t="s">
        <v>59</v>
      </c>
      <c r="W98" s="400" t="s">
        <v>59</v>
      </c>
      <c r="X98" s="401" t="s">
        <v>59</v>
      </c>
      <c r="Y98" s="401" t="s">
        <v>59</v>
      </c>
      <c r="Z98" s="401" t="s">
        <v>59</v>
      </c>
      <c r="AA98" s="402"/>
      <c r="AB98" s="403"/>
      <c r="AC98" s="348"/>
      <c r="AD98" s="348"/>
      <c r="AE98" s="348"/>
      <c r="AF98" s="341"/>
    </row>
    <row r="99" spans="1:32" s="597" customFormat="1" ht="18" customHeight="1" x14ac:dyDescent="0.25">
      <c r="A99" s="82">
        <v>1</v>
      </c>
      <c r="B99" s="287">
        <v>25777</v>
      </c>
      <c r="C99" s="287">
        <v>614</v>
      </c>
      <c r="D99" s="287" t="s">
        <v>99</v>
      </c>
      <c r="E99" s="287">
        <v>5</v>
      </c>
      <c r="F99" s="287">
        <v>1</v>
      </c>
      <c r="G99" s="273">
        <v>0</v>
      </c>
      <c r="H99" s="908">
        <v>71</v>
      </c>
      <c r="I99" s="282">
        <f>F99*400+G99*100+H99</f>
        <v>471</v>
      </c>
      <c r="J99" s="30">
        <v>750</v>
      </c>
      <c r="K99" s="262">
        <f>SUM(I99*J99)</f>
        <v>353250</v>
      </c>
      <c r="L99" s="909" t="s">
        <v>262</v>
      </c>
      <c r="M99" s="145">
        <v>103</v>
      </c>
      <c r="N99" s="910" t="s">
        <v>74</v>
      </c>
      <c r="O99" s="102">
        <v>2</v>
      </c>
      <c r="P99" s="499">
        <f>14.7*10</f>
        <v>147</v>
      </c>
      <c r="Q99" s="32" t="s">
        <v>75</v>
      </c>
      <c r="R99" s="561">
        <v>9050</v>
      </c>
      <c r="S99" s="18">
        <f>+P99*R99</f>
        <v>1330350</v>
      </c>
      <c r="T99" s="1469">
        <v>26</v>
      </c>
      <c r="U99" s="1664">
        <f>+S99*0.42</f>
        <v>558747</v>
      </c>
      <c r="V99" s="47">
        <f>+S99-U99</f>
        <v>771603</v>
      </c>
      <c r="W99" s="18">
        <f>K99+V99</f>
        <v>1124853</v>
      </c>
      <c r="X99" s="47">
        <f>W99</f>
        <v>1124853</v>
      </c>
      <c r="Y99" s="83" t="s">
        <v>89</v>
      </c>
      <c r="Z99" s="18">
        <v>0</v>
      </c>
      <c r="AA99" s="726">
        <v>0.02</v>
      </c>
      <c r="AB99" s="466">
        <f>+Z99*AA99/100</f>
        <v>0</v>
      </c>
      <c r="AC99" s="602"/>
      <c r="AD99" s="603">
        <f>AB99-AC99</f>
        <v>0</v>
      </c>
      <c r="AE99" s="603">
        <f>IF(AD99&lt;=0,0,AD99*25/100)</f>
        <v>0</v>
      </c>
      <c r="AF99" s="603">
        <f>IF(AC99+AE99&gt;AB99,AB99,AC99+AE99)</f>
        <v>0</v>
      </c>
    </row>
    <row r="100" spans="1:32" s="597" customFormat="1" ht="18" customHeight="1" x14ac:dyDescent="0.25">
      <c r="A100" s="75"/>
      <c r="B100" s="273"/>
      <c r="C100" s="273"/>
      <c r="D100" s="273"/>
      <c r="E100" s="287"/>
      <c r="F100" s="273"/>
      <c r="G100" s="273"/>
      <c r="H100" s="911">
        <v>3</v>
      </c>
      <c r="I100" s="282">
        <v>3</v>
      </c>
      <c r="J100" s="30">
        <v>750</v>
      </c>
      <c r="K100" s="262">
        <v>2250</v>
      </c>
      <c r="L100" s="909"/>
      <c r="M100" s="231">
        <v>504</v>
      </c>
      <c r="N100" s="912" t="s">
        <v>74</v>
      </c>
      <c r="O100" s="85">
        <v>3</v>
      </c>
      <c r="P100" s="913">
        <v>126.27</v>
      </c>
      <c r="Q100" s="895" t="s">
        <v>75</v>
      </c>
      <c r="R100" s="260">
        <v>3100</v>
      </c>
      <c r="S100" s="18">
        <f>+P100*R100</f>
        <v>391437</v>
      </c>
      <c r="T100" s="1469">
        <v>43</v>
      </c>
      <c r="U100" s="1664">
        <f>+S100*0.76</f>
        <v>297492.12</v>
      </c>
      <c r="V100" s="47">
        <f>+S100-U100</f>
        <v>93944.88</v>
      </c>
      <c r="W100" s="18">
        <f>K100+V100</f>
        <v>96194.880000000005</v>
      </c>
      <c r="X100" s="47">
        <f>W100</f>
        <v>96194.880000000005</v>
      </c>
      <c r="Y100" s="83"/>
      <c r="Z100" s="18">
        <f>X100</f>
        <v>96194.880000000005</v>
      </c>
      <c r="AA100" s="726">
        <v>0.3</v>
      </c>
      <c r="AB100" s="466">
        <f>+Z100*AA100/100</f>
        <v>288.58463999999998</v>
      </c>
      <c r="AC100" s="602"/>
      <c r="AD100" s="603">
        <f>AB100-AC100</f>
        <v>288.58463999999998</v>
      </c>
      <c r="AE100" s="603">
        <f>IF(AD100&lt;=0,0,AD100*25/100)</f>
        <v>72.146159999999995</v>
      </c>
      <c r="AF100" s="603">
        <f>IF(AC100+AE100&gt;AB100,AB100,AC100+AE100)</f>
        <v>72.146159999999995</v>
      </c>
    </row>
    <row r="101" spans="1:32" s="597" customFormat="1" ht="18" customHeight="1" x14ac:dyDescent="0.2">
      <c r="A101" s="61"/>
      <c r="B101" s="145"/>
      <c r="C101" s="145"/>
      <c r="D101" s="145"/>
      <c r="E101" s="145"/>
      <c r="F101" s="145"/>
      <c r="G101" s="145"/>
      <c r="H101" s="407"/>
      <c r="I101" s="77"/>
      <c r="J101" s="275"/>
      <c r="K101" s="78"/>
      <c r="L101" s="61"/>
      <c r="M101" s="88"/>
      <c r="N101" s="145"/>
      <c r="O101" s="61"/>
      <c r="P101" s="145"/>
      <c r="Q101" s="196"/>
      <c r="R101" s="408"/>
      <c r="S101" s="77"/>
      <c r="T101" s="145"/>
      <c r="U101" s="77"/>
      <c r="V101" s="74"/>
      <c r="W101" s="77"/>
      <c r="X101" s="74"/>
      <c r="Y101" s="77"/>
      <c r="Z101" s="77"/>
      <c r="AA101" s="409"/>
      <c r="AB101" s="466"/>
      <c r="AC101" s="350"/>
      <c r="AD101" s="350"/>
      <c r="AE101" s="350"/>
      <c r="AF101" s="350"/>
    </row>
    <row r="102" spans="1:32" s="597" customFormat="1" ht="18" customHeight="1" x14ac:dyDescent="0.2">
      <c r="A102" s="61"/>
      <c r="B102" s="145"/>
      <c r="C102" s="145"/>
      <c r="D102" s="145"/>
      <c r="E102" s="145"/>
      <c r="F102" s="145"/>
      <c r="G102" s="145"/>
      <c r="H102" s="407"/>
      <c r="I102" s="77"/>
      <c r="J102" s="275"/>
      <c r="K102" s="78"/>
      <c r="L102" s="242"/>
      <c r="M102" s="231"/>
      <c r="N102" s="145"/>
      <c r="O102" s="61"/>
      <c r="P102" s="497"/>
      <c r="Q102" s="174"/>
      <c r="R102" s="408"/>
      <c r="S102" s="77"/>
      <c r="T102" s="505"/>
      <c r="U102" s="74"/>
      <c r="V102" s="74"/>
      <c r="W102" s="77"/>
      <c r="X102" s="74"/>
      <c r="Y102" s="77"/>
      <c r="Z102" s="77"/>
      <c r="AA102" s="409"/>
      <c r="AB102" s="466"/>
      <c r="AC102" s="350"/>
      <c r="AD102" s="350"/>
      <c r="AE102" s="350"/>
      <c r="AF102" s="350"/>
    </row>
    <row r="103" spans="1:32" s="597" customFormat="1" ht="18" customHeight="1" x14ac:dyDescent="0.2">
      <c r="A103" s="242"/>
      <c r="B103" s="242"/>
      <c r="C103" s="496"/>
      <c r="D103" s="85"/>
      <c r="E103" s="145"/>
      <c r="F103" s="411"/>
      <c r="G103" s="242"/>
      <c r="H103" s="497"/>
      <c r="I103" s="77"/>
      <c r="J103" s="275"/>
      <c r="K103" s="78"/>
      <c r="L103" s="242"/>
      <c r="M103" s="241"/>
      <c r="N103" s="242"/>
      <c r="O103" s="61"/>
      <c r="P103" s="497"/>
      <c r="Q103" s="174"/>
      <c r="R103" s="408"/>
      <c r="S103" s="77"/>
      <c r="T103" s="505"/>
      <c r="U103" s="74"/>
      <c r="V103" s="74"/>
      <c r="W103" s="77"/>
      <c r="X103" s="74"/>
      <c r="Y103" s="77"/>
      <c r="Z103" s="77"/>
      <c r="AA103" s="409"/>
      <c r="AB103" s="466"/>
      <c r="AC103" s="350"/>
      <c r="AD103" s="350"/>
      <c r="AE103" s="350"/>
      <c r="AF103" s="350"/>
    </row>
    <row r="104" spans="1:32" s="597" customFormat="1" ht="18" customHeight="1" x14ac:dyDescent="0.2">
      <c r="A104" s="242"/>
      <c r="B104" s="242"/>
      <c r="C104" s="496"/>
      <c r="D104" s="85"/>
      <c r="E104" s="145"/>
      <c r="F104" s="411"/>
      <c r="G104" s="242"/>
      <c r="H104" s="497"/>
      <c r="I104" s="77"/>
      <c r="J104" s="275"/>
      <c r="K104" s="78"/>
      <c r="L104" s="242"/>
      <c r="M104" s="242"/>
      <c r="N104" s="242"/>
      <c r="O104" s="61"/>
      <c r="P104" s="497"/>
      <c r="Q104" s="174"/>
      <c r="R104" s="408"/>
      <c r="S104" s="77"/>
      <c r="T104" s="505"/>
      <c r="U104" s="74"/>
      <c r="V104" s="74"/>
      <c r="W104" s="77"/>
      <c r="X104" s="74"/>
      <c r="Y104" s="77"/>
      <c r="Z104" s="77"/>
      <c r="AA104" s="409"/>
      <c r="AB104" s="466"/>
      <c r="AC104" s="350"/>
      <c r="AD104" s="350"/>
      <c r="AE104" s="350"/>
      <c r="AF104" s="350"/>
    </row>
    <row r="105" spans="1:32" s="597" customFormat="1" ht="18" customHeight="1" x14ac:dyDescent="0.2">
      <c r="A105" s="242"/>
      <c r="B105" s="242"/>
      <c r="C105" s="496"/>
      <c r="D105" s="145"/>
      <c r="E105" s="145"/>
      <c r="F105" s="411"/>
      <c r="G105" s="242"/>
      <c r="H105" s="497"/>
      <c r="I105" s="77"/>
      <c r="J105" s="275"/>
      <c r="K105" s="78"/>
      <c r="L105" s="242"/>
      <c r="M105" s="242"/>
      <c r="N105" s="242"/>
      <c r="O105" s="61"/>
      <c r="P105" s="497"/>
      <c r="Q105" s="174"/>
      <c r="R105" s="408"/>
      <c r="S105" s="77"/>
      <c r="T105" s="505"/>
      <c r="U105" s="74"/>
      <c r="V105" s="74"/>
      <c r="W105" s="77"/>
      <c r="X105" s="74"/>
      <c r="Y105" s="77"/>
      <c r="Z105" s="77"/>
      <c r="AA105" s="409"/>
      <c r="AB105" s="466"/>
      <c r="AC105" s="350"/>
      <c r="AD105" s="350"/>
      <c r="AE105" s="350"/>
      <c r="AF105" s="350"/>
    </row>
    <row r="106" spans="1:32" s="597" customFormat="1" ht="18" customHeight="1" x14ac:dyDescent="0.2">
      <c r="A106" s="145"/>
      <c r="B106" s="177"/>
      <c r="C106" s="177"/>
      <c r="D106" s="145"/>
      <c r="E106" s="145"/>
      <c r="F106" s="145"/>
      <c r="G106" s="145"/>
      <c r="H106" s="147"/>
      <c r="I106" s="107"/>
      <c r="J106" s="178"/>
      <c r="K106" s="107"/>
      <c r="L106" s="145"/>
      <c r="M106" s="145"/>
      <c r="N106" s="145"/>
      <c r="O106" s="145"/>
      <c r="P106" s="147"/>
      <c r="Q106" s="148"/>
      <c r="R106" s="437"/>
      <c r="S106" s="107"/>
      <c r="T106" s="179"/>
      <c r="U106" s="178"/>
      <c r="V106" s="107"/>
      <c r="W106" s="107"/>
      <c r="X106" s="470"/>
      <c r="Y106" s="470"/>
      <c r="Z106" s="471"/>
      <c r="AA106" s="471"/>
      <c r="AB106" s="466"/>
      <c r="AC106" s="350"/>
      <c r="AD106" s="350"/>
      <c r="AE106" s="350"/>
      <c r="AF106" s="350"/>
    </row>
    <row r="107" spans="1:32" s="597" customFormat="1" ht="18" customHeight="1" x14ac:dyDescent="0.2">
      <c r="A107" s="145"/>
      <c r="B107" s="177"/>
      <c r="C107" s="177"/>
      <c r="D107" s="145"/>
      <c r="E107" s="145"/>
      <c r="F107" s="145"/>
      <c r="G107" s="145"/>
      <c r="H107" s="147"/>
      <c r="I107" s="107"/>
      <c r="J107" s="178"/>
      <c r="K107" s="107"/>
      <c r="L107" s="145"/>
      <c r="M107" s="145"/>
      <c r="N107" s="145"/>
      <c r="O107" s="145"/>
      <c r="P107" s="147"/>
      <c r="Q107" s="148"/>
      <c r="R107" s="437"/>
      <c r="S107" s="107"/>
      <c r="T107" s="179"/>
      <c r="U107" s="178"/>
      <c r="V107" s="107"/>
      <c r="W107" s="107"/>
      <c r="X107" s="470"/>
      <c r="Y107" s="470"/>
      <c r="Z107" s="471"/>
      <c r="AA107" s="471"/>
      <c r="AB107" s="466"/>
      <c r="AC107" s="350"/>
      <c r="AD107" s="350"/>
      <c r="AE107" s="350"/>
      <c r="AF107" s="350"/>
    </row>
    <row r="108" spans="1:32" s="597" customFormat="1" ht="18" customHeight="1" x14ac:dyDescent="0.2">
      <c r="A108" s="145"/>
      <c r="B108" s="177"/>
      <c r="C108" s="177"/>
      <c r="D108" s="145"/>
      <c r="E108" s="145"/>
      <c r="F108" s="145"/>
      <c r="G108" s="145"/>
      <c r="H108" s="147"/>
      <c r="I108" s="107"/>
      <c r="J108" s="178"/>
      <c r="K108" s="107"/>
      <c r="L108" s="145"/>
      <c r="M108" s="145"/>
      <c r="N108" s="145"/>
      <c r="O108" s="145"/>
      <c r="P108" s="147"/>
      <c r="Q108" s="148"/>
      <c r="R108" s="437"/>
      <c r="S108" s="107"/>
      <c r="T108" s="179"/>
      <c r="U108" s="178"/>
      <c r="V108" s="107"/>
      <c r="W108" s="107"/>
      <c r="X108" s="470"/>
      <c r="Y108" s="470"/>
      <c r="Z108" s="471"/>
      <c r="AA108" s="471"/>
      <c r="AB108" s="466"/>
      <c r="AC108" s="350"/>
      <c r="AD108" s="350"/>
      <c r="AE108" s="350"/>
      <c r="AF108" s="350"/>
    </row>
    <row r="109" spans="1:32" s="597" customFormat="1" ht="18" customHeight="1" x14ac:dyDescent="0.2">
      <c r="A109" s="145"/>
      <c r="B109" s="177"/>
      <c r="C109" s="177"/>
      <c r="D109" s="145"/>
      <c r="E109" s="145"/>
      <c r="F109" s="145"/>
      <c r="G109" s="145"/>
      <c r="H109" s="147"/>
      <c r="I109" s="107"/>
      <c r="J109" s="178"/>
      <c r="K109" s="107"/>
      <c r="L109" s="145"/>
      <c r="M109" s="145"/>
      <c r="N109" s="145"/>
      <c r="O109" s="145"/>
      <c r="P109" s="147"/>
      <c r="Q109" s="148"/>
      <c r="R109" s="437"/>
      <c r="S109" s="107"/>
      <c r="T109" s="179"/>
      <c r="U109" s="178"/>
      <c r="V109" s="107"/>
      <c r="W109" s="107"/>
      <c r="X109" s="470"/>
      <c r="Y109" s="470"/>
      <c r="Z109" s="471"/>
      <c r="AA109" s="471"/>
      <c r="AB109" s="466"/>
      <c r="AC109" s="350"/>
      <c r="AD109" s="350"/>
      <c r="AE109" s="350"/>
      <c r="AF109" s="350"/>
    </row>
    <row r="110" spans="1:32" s="597" customFormat="1" ht="18" customHeight="1" x14ac:dyDescent="0.2">
      <c r="A110" s="145"/>
      <c r="B110" s="177"/>
      <c r="C110" s="177"/>
      <c r="D110" s="145"/>
      <c r="E110" s="145"/>
      <c r="F110" s="145"/>
      <c r="G110" s="145"/>
      <c r="H110" s="147"/>
      <c r="I110" s="107"/>
      <c r="J110" s="178"/>
      <c r="K110" s="107"/>
      <c r="L110" s="145"/>
      <c r="M110" s="145"/>
      <c r="N110" s="145"/>
      <c r="O110" s="145"/>
      <c r="P110" s="147"/>
      <c r="Q110" s="148"/>
      <c r="R110" s="437"/>
      <c r="S110" s="107"/>
      <c r="T110" s="179"/>
      <c r="U110" s="178"/>
      <c r="V110" s="107"/>
      <c r="W110" s="107"/>
      <c r="X110" s="470"/>
      <c r="Y110" s="470"/>
      <c r="Z110" s="471"/>
      <c r="AA110" s="471"/>
      <c r="AB110" s="466"/>
      <c r="AC110" s="350"/>
      <c r="AD110" s="350"/>
      <c r="AE110" s="350"/>
      <c r="AF110" s="350"/>
    </row>
    <row r="111" spans="1:32" s="597" customFormat="1" ht="18" customHeight="1" x14ac:dyDescent="0.2">
      <c r="A111" s="145"/>
      <c r="B111" s="177"/>
      <c r="C111" s="177"/>
      <c r="D111" s="145"/>
      <c r="E111" s="145"/>
      <c r="F111" s="145"/>
      <c r="G111" s="145"/>
      <c r="H111" s="147"/>
      <c r="I111" s="107"/>
      <c r="J111" s="178"/>
      <c r="K111" s="107"/>
      <c r="L111" s="145"/>
      <c r="M111" s="145"/>
      <c r="N111" s="145"/>
      <c r="O111" s="145"/>
      <c r="P111" s="147"/>
      <c r="Q111" s="148"/>
      <c r="R111" s="437"/>
      <c r="S111" s="107"/>
      <c r="T111" s="179"/>
      <c r="U111" s="178"/>
      <c r="V111" s="107"/>
      <c r="W111" s="107"/>
      <c r="X111" s="470"/>
      <c r="Y111" s="470"/>
      <c r="Z111" s="471"/>
      <c r="AA111" s="471"/>
      <c r="AB111" s="466"/>
      <c r="AC111" s="350"/>
      <c r="AD111" s="350"/>
      <c r="AE111" s="350"/>
      <c r="AF111" s="350"/>
    </row>
    <row r="112" spans="1:32" s="597" customFormat="1" ht="18" customHeight="1" x14ac:dyDescent="0.2">
      <c r="A112" s="145"/>
      <c r="B112" s="177"/>
      <c r="C112" s="177"/>
      <c r="D112" s="145"/>
      <c r="E112" s="145"/>
      <c r="F112" s="145"/>
      <c r="G112" s="145"/>
      <c r="H112" s="147"/>
      <c r="I112" s="107"/>
      <c r="J112" s="178"/>
      <c r="K112" s="107"/>
      <c r="L112" s="145"/>
      <c r="M112" s="145"/>
      <c r="N112" s="145"/>
      <c r="O112" s="145"/>
      <c r="P112" s="147"/>
      <c r="Q112" s="148"/>
      <c r="R112" s="437"/>
      <c r="S112" s="107"/>
      <c r="T112" s="179"/>
      <c r="U112" s="178"/>
      <c r="V112" s="107"/>
      <c r="W112" s="107"/>
      <c r="X112" s="470"/>
      <c r="Y112" s="470"/>
      <c r="Z112" s="471"/>
      <c r="AA112" s="471"/>
      <c r="AB112" s="466"/>
      <c r="AC112" s="350"/>
      <c r="AD112" s="350"/>
      <c r="AE112" s="350"/>
      <c r="AF112" s="350"/>
    </row>
    <row r="113" spans="1:32" s="597" customFormat="1" ht="18" customHeight="1" x14ac:dyDescent="0.2">
      <c r="A113" s="88"/>
      <c r="B113" s="180"/>
      <c r="C113" s="180"/>
      <c r="D113" s="88"/>
      <c r="E113" s="88"/>
      <c r="F113" s="88"/>
      <c r="G113" s="88"/>
      <c r="H113" s="120"/>
      <c r="I113" s="121"/>
      <c r="J113" s="181"/>
      <c r="K113" s="121"/>
      <c r="L113" s="88"/>
      <c r="M113" s="88"/>
      <c r="N113" s="88"/>
      <c r="O113" s="88"/>
      <c r="P113" s="88"/>
      <c r="Q113" s="129"/>
      <c r="R113" s="445"/>
      <c r="S113" s="121"/>
      <c r="T113" s="182"/>
      <c r="U113" s="181"/>
      <c r="V113" s="121"/>
      <c r="W113" s="121"/>
      <c r="X113" s="472"/>
      <c r="Y113" s="472"/>
      <c r="Z113" s="473"/>
      <c r="AA113" s="473"/>
      <c r="AB113" s="410"/>
      <c r="AC113" s="351"/>
      <c r="AD113" s="351"/>
      <c r="AE113" s="351"/>
      <c r="AF113" s="351"/>
    </row>
    <row r="114" spans="1:32" s="597" customFormat="1" ht="18" customHeight="1" x14ac:dyDescent="0.2">
      <c r="A114" s="183"/>
      <c r="B114" s="183"/>
      <c r="C114" s="183"/>
      <c r="D114" s="183"/>
      <c r="E114" s="183"/>
      <c r="F114" s="183"/>
      <c r="G114" s="183"/>
      <c r="H114" s="184"/>
      <c r="I114" s="185"/>
      <c r="J114" s="186"/>
      <c r="K114" s="185"/>
      <c r="L114" s="185"/>
      <c r="M114" s="185"/>
      <c r="N114" s="185"/>
      <c r="O114" s="185"/>
      <c r="P114" s="185"/>
      <c r="Q114" s="185"/>
      <c r="R114" s="438"/>
      <c r="S114" s="185"/>
      <c r="T114" s="187"/>
      <c r="U114" s="186"/>
      <c r="V114" s="185"/>
      <c r="W114" s="185"/>
      <c r="X114" s="474"/>
      <c r="Y114" s="474"/>
      <c r="Z114" s="475"/>
      <c r="AA114" s="475"/>
      <c r="AB114" s="476">
        <f>SUM(AB99:AB113)</f>
        <v>288.58463999999998</v>
      </c>
      <c r="AC114" s="349"/>
      <c r="AD114" s="349"/>
      <c r="AE114" s="349"/>
      <c r="AF114" s="349"/>
    </row>
    <row r="115" spans="1:32" s="597" customFormat="1" ht="18" customHeight="1" x14ac:dyDescent="0.2">
      <c r="A115" s="2690" t="s">
        <v>76</v>
      </c>
      <c r="B115" s="2690"/>
      <c r="C115" s="2691" t="s">
        <v>77</v>
      </c>
      <c r="D115" s="2691"/>
      <c r="E115" s="2691"/>
      <c r="F115" s="2691"/>
      <c r="G115" s="2691"/>
      <c r="H115" s="2691"/>
      <c r="I115" s="604" t="s">
        <v>78</v>
      </c>
      <c r="J115" s="604"/>
      <c r="K115" s="604"/>
      <c r="L115" s="604"/>
      <c r="M115" s="604"/>
      <c r="N115" s="604"/>
      <c r="AB115" s="598"/>
    </row>
    <row r="116" spans="1:32" s="597" customFormat="1" ht="18" customHeight="1" x14ac:dyDescent="0.2">
      <c r="A116" s="604"/>
      <c r="B116" s="605"/>
      <c r="C116" s="604"/>
      <c r="D116" s="604"/>
      <c r="E116" s="604"/>
      <c r="F116" s="604"/>
      <c r="G116" s="604"/>
      <c r="H116" s="604"/>
      <c r="I116" s="604" t="s">
        <v>79</v>
      </c>
      <c r="J116" s="604"/>
      <c r="K116" s="604"/>
      <c r="L116" s="604"/>
      <c r="M116" s="604"/>
      <c r="N116" s="604"/>
      <c r="AB116" s="598"/>
    </row>
    <row r="117" spans="1:32" s="597" customFormat="1" ht="18" customHeight="1" x14ac:dyDescent="0.2">
      <c r="A117" s="604"/>
      <c r="B117" s="605"/>
      <c r="C117" s="604"/>
      <c r="D117" s="604"/>
      <c r="E117" s="604"/>
      <c r="F117" s="604"/>
      <c r="G117" s="604"/>
      <c r="H117" s="604"/>
      <c r="I117" s="604" t="s">
        <v>80</v>
      </c>
      <c r="J117" s="604"/>
      <c r="K117" s="604"/>
      <c r="L117" s="604"/>
      <c r="M117" s="604"/>
      <c r="N117" s="604"/>
      <c r="AB117" s="598"/>
    </row>
    <row r="118" spans="1:32" s="597" customFormat="1" ht="18" customHeight="1" x14ac:dyDescent="0.2">
      <c r="A118" s="604"/>
      <c r="B118" s="605"/>
      <c r="C118" s="604"/>
      <c r="D118" s="604"/>
      <c r="E118" s="604"/>
      <c r="F118" s="604"/>
      <c r="G118" s="604"/>
      <c r="H118" s="604"/>
      <c r="I118" s="604" t="s">
        <v>81</v>
      </c>
      <c r="J118" s="604"/>
      <c r="K118" s="604"/>
      <c r="L118" s="604"/>
      <c r="M118" s="604"/>
      <c r="N118" s="604"/>
      <c r="AB118" s="598"/>
    </row>
    <row r="119" spans="1:32" s="597" customFormat="1" ht="18" customHeight="1" x14ac:dyDescent="0.2">
      <c r="A119" s="604"/>
      <c r="B119" s="605"/>
      <c r="C119" s="604"/>
      <c r="D119" s="604"/>
      <c r="E119" s="604"/>
      <c r="F119" s="604"/>
      <c r="G119" s="604"/>
      <c r="H119" s="604"/>
      <c r="I119" s="604" t="s">
        <v>88</v>
      </c>
      <c r="J119" s="604"/>
      <c r="K119" s="604"/>
      <c r="L119" s="604"/>
      <c r="M119" s="604"/>
      <c r="N119" s="604"/>
      <c r="AB119" s="598"/>
    </row>
    <row r="120" spans="1:32" s="597" customFormat="1" ht="18" customHeight="1" x14ac:dyDescent="0.2">
      <c r="A120" s="339"/>
      <c r="B120" s="339"/>
      <c r="C120" s="339"/>
      <c r="D120" s="339"/>
      <c r="E120" s="339"/>
      <c r="F120" s="339"/>
      <c r="G120" s="339"/>
      <c r="H120" s="339"/>
      <c r="I120" s="339"/>
      <c r="J120" s="339"/>
      <c r="K120" s="339"/>
      <c r="L120" s="339"/>
      <c r="M120" s="339"/>
      <c r="N120" s="339"/>
      <c r="O120" s="339"/>
      <c r="P120" s="339"/>
      <c r="Q120" s="339"/>
      <c r="R120" s="339"/>
      <c r="S120" s="339"/>
      <c r="T120" s="339"/>
      <c r="U120" s="339"/>
      <c r="V120" s="339"/>
      <c r="W120" s="339"/>
      <c r="X120" s="339"/>
      <c r="Y120" s="339"/>
      <c r="Z120" s="339"/>
      <c r="AA120" s="2702" t="s">
        <v>0</v>
      </c>
      <c r="AB120" s="2702"/>
    </row>
    <row r="121" spans="1:32" s="597" customFormat="1" ht="18" customHeight="1" x14ac:dyDescent="0.2">
      <c r="A121" s="2703" t="s">
        <v>1</v>
      </c>
      <c r="B121" s="2703"/>
      <c r="C121" s="2703"/>
      <c r="D121" s="2703"/>
      <c r="E121" s="2703"/>
      <c r="F121" s="2703"/>
      <c r="G121" s="2703"/>
      <c r="H121" s="2703"/>
      <c r="I121" s="2703"/>
      <c r="J121" s="2703"/>
      <c r="K121" s="2703"/>
      <c r="L121" s="2703"/>
      <c r="M121" s="2703"/>
      <c r="N121" s="2703"/>
      <c r="O121" s="2703"/>
      <c r="P121" s="2703"/>
      <c r="Q121" s="2703"/>
      <c r="R121" s="2703"/>
      <c r="S121" s="2703"/>
      <c r="T121" s="2703"/>
      <c r="U121" s="2703"/>
      <c r="V121" s="2703"/>
      <c r="W121" s="2703"/>
      <c r="X121" s="2703"/>
      <c r="Y121" s="2703"/>
      <c r="Z121" s="2703"/>
      <c r="AA121" s="2703"/>
      <c r="AB121" s="2703"/>
    </row>
    <row r="122" spans="1:32" s="597" customFormat="1" ht="18" customHeight="1" x14ac:dyDescent="0.2">
      <c r="A122" s="2704" t="s">
        <v>462</v>
      </c>
      <c r="B122" s="2704"/>
      <c r="C122" s="2704"/>
      <c r="D122" s="2704"/>
      <c r="E122" s="2704"/>
      <c r="F122" s="2704"/>
      <c r="G122" s="2704"/>
      <c r="H122" s="2704"/>
      <c r="I122" s="2704"/>
      <c r="J122" s="2704"/>
      <c r="K122" s="2704"/>
      <c r="L122" s="2704"/>
      <c r="M122" s="2704"/>
      <c r="N122" s="2704"/>
      <c r="O122" s="2704"/>
      <c r="P122" s="2704"/>
      <c r="Q122" s="2704"/>
      <c r="R122" s="2704"/>
      <c r="S122" s="2704"/>
      <c r="T122" s="2704"/>
      <c r="U122" s="2704"/>
      <c r="V122" s="2704"/>
      <c r="W122" s="2704"/>
      <c r="X122" s="2704"/>
      <c r="Y122" s="2704"/>
      <c r="Z122" s="2704"/>
      <c r="AA122" s="2704"/>
      <c r="AB122" s="2704"/>
    </row>
    <row r="123" spans="1:32" s="597" customFormat="1" ht="18" customHeight="1" x14ac:dyDescent="0.2">
      <c r="A123" s="2686" t="s">
        <v>2</v>
      </c>
      <c r="B123" s="360"/>
      <c r="C123" s="2686" t="s">
        <v>3</v>
      </c>
      <c r="D123" s="360"/>
      <c r="E123" s="360"/>
      <c r="F123" s="2693" t="s">
        <v>4</v>
      </c>
      <c r="G123" s="2693"/>
      <c r="H123" s="2693"/>
      <c r="I123" s="2694"/>
      <c r="J123" s="2694"/>
      <c r="K123" s="2695"/>
      <c r="L123" s="361"/>
      <c r="M123" s="2679" t="s">
        <v>5</v>
      </c>
      <c r="N123" s="2679"/>
      <c r="O123" s="2679"/>
      <c r="P123" s="2679"/>
      <c r="Q123" s="2696"/>
      <c r="R123" s="2696"/>
      <c r="S123" s="2696"/>
      <c r="T123" s="2696"/>
      <c r="U123" s="2696"/>
      <c r="V123" s="2697"/>
      <c r="W123" s="362" t="s">
        <v>6</v>
      </c>
      <c r="X123" s="363" t="s">
        <v>7</v>
      </c>
      <c r="Y123" s="364"/>
      <c r="Z123" s="364"/>
      <c r="AA123" s="363"/>
      <c r="AB123" s="365"/>
    </row>
    <row r="124" spans="1:32" s="597" customFormat="1" ht="18" customHeight="1" x14ac:dyDescent="0.2">
      <c r="A124" s="2687"/>
      <c r="B124" s="367"/>
      <c r="C124" s="2687"/>
      <c r="D124" s="366" t="s">
        <v>9</v>
      </c>
      <c r="E124" s="368" t="s">
        <v>10</v>
      </c>
      <c r="F124" s="2698" t="s">
        <v>11</v>
      </c>
      <c r="G124" s="2694"/>
      <c r="H124" s="2695"/>
      <c r="I124" s="360"/>
      <c r="J124" s="369" t="s">
        <v>12</v>
      </c>
      <c r="K124" s="360"/>
      <c r="L124" s="2679" t="s">
        <v>2</v>
      </c>
      <c r="M124" s="370"/>
      <c r="N124" s="370"/>
      <c r="O124" s="370"/>
      <c r="P124" s="371"/>
      <c r="Q124" s="372" t="s">
        <v>13</v>
      </c>
      <c r="R124" s="373" t="s">
        <v>12</v>
      </c>
      <c r="S124" s="370" t="s">
        <v>6</v>
      </c>
      <c r="T124" s="2682" t="s">
        <v>14</v>
      </c>
      <c r="U124" s="2683"/>
      <c r="V124" s="375" t="s">
        <v>7</v>
      </c>
      <c r="W124" s="376" t="s">
        <v>15</v>
      </c>
      <c r="X124" s="377" t="s">
        <v>16</v>
      </c>
      <c r="Y124" s="377" t="s">
        <v>17</v>
      </c>
      <c r="Z124" s="377" t="s">
        <v>18</v>
      </c>
      <c r="AA124" s="377"/>
      <c r="AB124" s="378" t="s">
        <v>19</v>
      </c>
    </row>
    <row r="125" spans="1:32" s="597" customFormat="1" ht="18" customHeight="1" x14ac:dyDescent="0.2">
      <c r="A125" s="2687"/>
      <c r="B125" s="366" t="s">
        <v>23</v>
      </c>
      <c r="C125" s="2687"/>
      <c r="D125" s="366" t="s">
        <v>24</v>
      </c>
      <c r="E125" s="368" t="s">
        <v>25</v>
      </c>
      <c r="F125" s="2699"/>
      <c r="G125" s="2700"/>
      <c r="H125" s="2701"/>
      <c r="I125" s="366" t="s">
        <v>26</v>
      </c>
      <c r="J125" s="379" t="s">
        <v>15</v>
      </c>
      <c r="K125" s="380" t="s">
        <v>6</v>
      </c>
      <c r="L125" s="2680"/>
      <c r="M125" s="381" t="s">
        <v>27</v>
      </c>
      <c r="N125" s="381" t="s">
        <v>10</v>
      </c>
      <c r="O125" s="382" t="s">
        <v>10</v>
      </c>
      <c r="P125" s="383" t="s">
        <v>28</v>
      </c>
      <c r="Q125" s="384" t="s">
        <v>29</v>
      </c>
      <c r="R125" s="383" t="s">
        <v>15</v>
      </c>
      <c r="S125" s="385" t="s">
        <v>15</v>
      </c>
      <c r="T125" s="2684"/>
      <c r="U125" s="2685"/>
      <c r="V125" s="375" t="s">
        <v>30</v>
      </c>
      <c r="W125" s="376" t="s">
        <v>31</v>
      </c>
      <c r="X125" s="377" t="s">
        <v>30</v>
      </c>
      <c r="Y125" s="377" t="s">
        <v>32</v>
      </c>
      <c r="Z125" s="377" t="s">
        <v>7</v>
      </c>
      <c r="AA125" s="377" t="s">
        <v>33</v>
      </c>
      <c r="AB125" s="378" t="s">
        <v>34</v>
      </c>
    </row>
    <row r="126" spans="1:32" s="597" customFormat="1" ht="18" customHeight="1" x14ac:dyDescent="0.2">
      <c r="A126" s="2687"/>
      <c r="B126" s="366" t="s">
        <v>39</v>
      </c>
      <c r="C126" s="2687"/>
      <c r="D126" s="366" t="s">
        <v>40</v>
      </c>
      <c r="E126" s="368" t="s">
        <v>41</v>
      </c>
      <c r="F126" s="2686" t="s">
        <v>42</v>
      </c>
      <c r="G126" s="2686" t="s">
        <v>43</v>
      </c>
      <c r="H126" s="2688" t="s">
        <v>44</v>
      </c>
      <c r="I126" s="366" t="s">
        <v>45</v>
      </c>
      <c r="J126" s="379" t="s">
        <v>46</v>
      </c>
      <c r="K126" s="380" t="s">
        <v>47</v>
      </c>
      <c r="L126" s="2680"/>
      <c r="M126" s="381" t="s">
        <v>30</v>
      </c>
      <c r="N126" s="381" t="s">
        <v>30</v>
      </c>
      <c r="O126" s="382" t="s">
        <v>25</v>
      </c>
      <c r="P126" s="383" t="s">
        <v>30</v>
      </c>
      <c r="Q126" s="384" t="s">
        <v>48</v>
      </c>
      <c r="R126" s="383" t="s">
        <v>49</v>
      </c>
      <c r="S126" s="385" t="s">
        <v>30</v>
      </c>
      <c r="T126" s="386" t="s">
        <v>50</v>
      </c>
      <c r="U126" s="374" t="s">
        <v>13</v>
      </c>
      <c r="V126" s="375" t="s">
        <v>51</v>
      </c>
      <c r="W126" s="376" t="s">
        <v>52</v>
      </c>
      <c r="X126" s="377" t="s">
        <v>53</v>
      </c>
      <c r="Y126" s="377" t="s">
        <v>54</v>
      </c>
      <c r="Z126" s="377" t="s">
        <v>55</v>
      </c>
      <c r="AA126" s="377" t="s">
        <v>56</v>
      </c>
      <c r="AB126" s="378" t="s">
        <v>57</v>
      </c>
    </row>
    <row r="127" spans="1:32" s="597" customFormat="1" ht="18" customHeight="1" x14ac:dyDescent="0.2">
      <c r="A127" s="2687"/>
      <c r="B127" s="366" t="s">
        <v>61</v>
      </c>
      <c r="C127" s="2687"/>
      <c r="D127" s="366" t="s">
        <v>62</v>
      </c>
      <c r="E127" s="368" t="s">
        <v>63</v>
      </c>
      <c r="F127" s="2687"/>
      <c r="G127" s="2687"/>
      <c r="H127" s="2689"/>
      <c r="I127" s="366" t="s">
        <v>64</v>
      </c>
      <c r="J127" s="379" t="s">
        <v>59</v>
      </c>
      <c r="K127" s="380" t="s">
        <v>59</v>
      </c>
      <c r="L127" s="2680"/>
      <c r="M127" s="381"/>
      <c r="N127" s="381"/>
      <c r="O127" s="382" t="s">
        <v>41</v>
      </c>
      <c r="P127" s="383" t="s">
        <v>65</v>
      </c>
      <c r="Q127" s="384" t="s">
        <v>66</v>
      </c>
      <c r="R127" s="383" t="s">
        <v>67</v>
      </c>
      <c r="S127" s="385" t="s">
        <v>59</v>
      </c>
      <c r="T127" s="387" t="s">
        <v>68</v>
      </c>
      <c r="U127" s="375" t="s">
        <v>14</v>
      </c>
      <c r="V127" s="375" t="s">
        <v>14</v>
      </c>
      <c r="W127" s="376" t="s">
        <v>30</v>
      </c>
      <c r="X127" s="388" t="s">
        <v>69</v>
      </c>
      <c r="Y127" s="388" t="s">
        <v>70</v>
      </c>
      <c r="Z127" s="377" t="s">
        <v>71</v>
      </c>
      <c r="AA127" s="377" t="s">
        <v>72</v>
      </c>
      <c r="AB127" s="378" t="s">
        <v>59</v>
      </c>
    </row>
    <row r="128" spans="1:32" s="597" customFormat="1" ht="18" customHeight="1" x14ac:dyDescent="0.2">
      <c r="A128" s="2692"/>
      <c r="B128" s="390"/>
      <c r="C128" s="2692"/>
      <c r="D128" s="390"/>
      <c r="E128" s="389"/>
      <c r="F128" s="390"/>
      <c r="G128" s="390"/>
      <c r="H128" s="391"/>
      <c r="I128" s="389"/>
      <c r="J128" s="392"/>
      <c r="K128" s="393"/>
      <c r="L128" s="2681"/>
      <c r="M128" s="394"/>
      <c r="N128" s="394"/>
      <c r="O128" s="394" t="s">
        <v>63</v>
      </c>
      <c r="P128" s="395"/>
      <c r="Q128" s="396" t="s">
        <v>72</v>
      </c>
      <c r="R128" s="397" t="s">
        <v>59</v>
      </c>
      <c r="S128" s="398"/>
      <c r="T128" s="397" t="s">
        <v>73</v>
      </c>
      <c r="U128" s="398" t="s">
        <v>59</v>
      </c>
      <c r="V128" s="399" t="s">
        <v>59</v>
      </c>
      <c r="W128" s="400" t="s">
        <v>59</v>
      </c>
      <c r="X128" s="401" t="s">
        <v>59</v>
      </c>
      <c r="Y128" s="401" t="s">
        <v>59</v>
      </c>
      <c r="Z128" s="401" t="s">
        <v>59</v>
      </c>
      <c r="AA128" s="402"/>
      <c r="AB128" s="403"/>
    </row>
    <row r="129" spans="1:28" s="597" customFormat="1" ht="18" customHeight="1" x14ac:dyDescent="0.2">
      <c r="A129" s="53">
        <v>1</v>
      </c>
      <c r="B129" s="82">
        <v>28658</v>
      </c>
      <c r="C129" s="769">
        <v>31</v>
      </c>
      <c r="D129" s="69" t="s">
        <v>517</v>
      </c>
      <c r="E129" s="82">
        <v>4</v>
      </c>
      <c r="F129" s="82">
        <v>0</v>
      </c>
      <c r="G129" s="82">
        <v>0</v>
      </c>
      <c r="H129" s="463">
        <v>95</v>
      </c>
      <c r="I129" s="1000">
        <f>F129*400+G129*100+H129</f>
        <v>95</v>
      </c>
      <c r="J129" s="801">
        <v>280</v>
      </c>
      <c r="K129" s="1001">
        <f>SUM(I129*J129)</f>
        <v>26600</v>
      </c>
      <c r="L129" s="53"/>
      <c r="M129" s="82"/>
      <c r="N129" s="82"/>
      <c r="O129" s="53"/>
      <c r="P129" s="358"/>
      <c r="Q129" s="197"/>
      <c r="R129" s="444"/>
      <c r="S129" s="70"/>
      <c r="T129" s="82"/>
      <c r="U129" s="70"/>
      <c r="V129" s="70"/>
      <c r="W129" s="70">
        <f>K129+V129</f>
        <v>26600</v>
      </c>
      <c r="X129" s="70">
        <f>W129</f>
        <v>26600</v>
      </c>
      <c r="Y129" s="123"/>
      <c r="Z129" s="70">
        <f>+X129</f>
        <v>26600</v>
      </c>
      <c r="AA129" s="464">
        <v>0.3</v>
      </c>
      <c r="AB129" s="465">
        <f>+Z129*AA129/100</f>
        <v>79.8</v>
      </c>
    </row>
    <row r="130" spans="1:28" s="597" customFormat="1" ht="18" customHeight="1" x14ac:dyDescent="0.2">
      <c r="A130" s="85">
        <v>2</v>
      </c>
      <c r="B130" s="102">
        <v>28665</v>
      </c>
      <c r="C130" s="102">
        <v>30</v>
      </c>
      <c r="D130" s="69" t="s">
        <v>517</v>
      </c>
      <c r="E130" s="102">
        <v>4</v>
      </c>
      <c r="F130" s="102">
        <v>0</v>
      </c>
      <c r="G130" s="85">
        <v>0</v>
      </c>
      <c r="H130" s="1002">
        <v>90</v>
      </c>
      <c r="I130" s="121">
        <f>F130*400+G130*100+H130</f>
        <v>90</v>
      </c>
      <c r="J130" s="121">
        <v>280</v>
      </c>
      <c r="K130" s="121">
        <f>SUM(I130*J130)</f>
        <v>25200</v>
      </c>
      <c r="L130" s="910"/>
      <c r="M130" s="145"/>
      <c r="N130" s="910"/>
      <c r="O130" s="102"/>
      <c r="P130" s="499"/>
      <c r="Q130" s="129"/>
      <c r="R130" s="440"/>
      <c r="S130" s="77"/>
      <c r="T130" s="135"/>
      <c r="U130" s="74"/>
      <c r="V130" s="74"/>
      <c r="W130" s="77">
        <f>K130+V130</f>
        <v>25200</v>
      </c>
      <c r="X130" s="77">
        <f>W130</f>
        <v>25200</v>
      </c>
      <c r="Y130" s="107"/>
      <c r="Z130" s="77">
        <f>+X130</f>
        <v>25200</v>
      </c>
      <c r="AA130" s="409">
        <v>0.3</v>
      </c>
      <c r="AB130" s="466">
        <f>+Z130*AA130/100</f>
        <v>75.599999999999994</v>
      </c>
    </row>
    <row r="131" spans="1:28" s="597" customFormat="1" ht="18" customHeight="1" x14ac:dyDescent="0.2">
      <c r="A131" s="241"/>
      <c r="B131" s="85"/>
      <c r="C131" s="85"/>
      <c r="D131" s="85"/>
      <c r="E131" s="102"/>
      <c r="F131" s="85"/>
      <c r="G131" s="85"/>
      <c r="H131" s="1003"/>
      <c r="I131" s="103"/>
      <c r="J131" s="1004"/>
      <c r="K131" s="104"/>
      <c r="L131" s="102"/>
      <c r="M131" s="88"/>
      <c r="N131" s="643"/>
      <c r="O131" s="85"/>
      <c r="P131" s="411"/>
      <c r="Q131" s="129"/>
      <c r="R131" s="440"/>
      <c r="S131" s="77"/>
      <c r="T131" s="135"/>
      <c r="U131" s="74"/>
      <c r="V131" s="74"/>
      <c r="W131" s="83"/>
      <c r="X131" s="83"/>
      <c r="Y131" s="83"/>
      <c r="Z131" s="77"/>
      <c r="AA131" s="726"/>
      <c r="AB131" s="410"/>
    </row>
    <row r="132" spans="1:28" s="597" customFormat="1" ht="18" customHeight="1" x14ac:dyDescent="0.2">
      <c r="A132" s="145"/>
      <c r="B132" s="177"/>
      <c r="C132" s="177"/>
      <c r="D132" s="145"/>
      <c r="E132" s="145"/>
      <c r="F132" s="145"/>
      <c r="G132" s="145"/>
      <c r="H132" s="147"/>
      <c r="I132" s="107"/>
      <c r="J132" s="178"/>
      <c r="K132" s="107"/>
      <c r="L132" s="145"/>
      <c r="M132" s="145"/>
      <c r="N132" s="145"/>
      <c r="O132" s="145"/>
      <c r="P132" s="147"/>
      <c r="Q132" s="148"/>
      <c r="R132" s="437"/>
      <c r="S132" s="107"/>
      <c r="T132" s="179"/>
      <c r="U132" s="178"/>
      <c r="V132" s="107"/>
      <c r="W132" s="107"/>
      <c r="X132" s="470"/>
      <c r="Y132" s="470"/>
      <c r="Z132" s="471"/>
      <c r="AA132" s="471"/>
      <c r="AB132" s="466"/>
    </row>
    <row r="133" spans="1:28" s="597" customFormat="1" ht="18" customHeight="1" x14ac:dyDescent="0.2">
      <c r="A133" s="145"/>
      <c r="B133" s="177"/>
      <c r="C133" s="177"/>
      <c r="D133" s="145"/>
      <c r="E133" s="145"/>
      <c r="F133" s="145"/>
      <c r="G133" s="145"/>
      <c r="H133" s="147"/>
      <c r="I133" s="107"/>
      <c r="J133" s="178"/>
      <c r="K133" s="107"/>
      <c r="L133" s="145"/>
      <c r="M133" s="145"/>
      <c r="N133" s="145"/>
      <c r="O133" s="145"/>
      <c r="P133" s="147"/>
      <c r="Q133" s="148"/>
      <c r="R133" s="437"/>
      <c r="S133" s="107"/>
      <c r="T133" s="179"/>
      <c r="U133" s="178"/>
      <c r="V133" s="107"/>
      <c r="W133" s="107"/>
      <c r="X133" s="470"/>
      <c r="Y133" s="470"/>
      <c r="Z133" s="471"/>
      <c r="AA133" s="471"/>
      <c r="AB133" s="466"/>
    </row>
    <row r="134" spans="1:28" s="597" customFormat="1" ht="18" customHeight="1" x14ac:dyDescent="0.2">
      <c r="A134" s="145"/>
      <c r="B134" s="177"/>
      <c r="C134" s="177"/>
      <c r="D134" s="145"/>
      <c r="E134" s="145"/>
      <c r="F134" s="145"/>
      <c r="G134" s="145"/>
      <c r="H134" s="147"/>
      <c r="I134" s="107"/>
      <c r="J134" s="178"/>
      <c r="K134" s="107"/>
      <c r="L134" s="145"/>
      <c r="M134" s="145"/>
      <c r="N134" s="145"/>
      <c r="O134" s="145"/>
      <c r="P134" s="147"/>
      <c r="Q134" s="148"/>
      <c r="R134" s="437"/>
      <c r="S134" s="107"/>
      <c r="T134" s="179"/>
      <c r="U134" s="178"/>
      <c r="V134" s="107"/>
      <c r="W134" s="107"/>
      <c r="X134" s="470"/>
      <c r="Y134" s="470"/>
      <c r="Z134" s="471"/>
      <c r="AA134" s="471"/>
      <c r="AB134" s="466"/>
    </row>
    <row r="135" spans="1:28" s="597" customFormat="1" ht="18" customHeight="1" x14ac:dyDescent="0.2">
      <c r="A135" s="145"/>
      <c r="B135" s="177"/>
      <c r="C135" s="177"/>
      <c r="D135" s="145"/>
      <c r="E135" s="145"/>
      <c r="F135" s="145"/>
      <c r="G135" s="145"/>
      <c r="H135" s="147"/>
      <c r="I135" s="107"/>
      <c r="J135" s="178"/>
      <c r="K135" s="107"/>
      <c r="L135" s="145"/>
      <c r="M135" s="145"/>
      <c r="N135" s="145"/>
      <c r="O135" s="145"/>
      <c r="P135" s="147"/>
      <c r="Q135" s="148"/>
      <c r="R135" s="437"/>
      <c r="S135" s="107"/>
      <c r="T135" s="179"/>
      <c r="U135" s="178"/>
      <c r="V135" s="107"/>
      <c r="W135" s="107"/>
      <c r="X135" s="470"/>
      <c r="Y135" s="470"/>
      <c r="Z135" s="471"/>
      <c r="AA135" s="471"/>
      <c r="AB135" s="466"/>
    </row>
    <row r="136" spans="1:28" s="597" customFormat="1" ht="18" customHeight="1" x14ac:dyDescent="0.2">
      <c r="A136" s="145"/>
      <c r="B136" s="177"/>
      <c r="C136" s="177"/>
      <c r="D136" s="145"/>
      <c r="E136" s="145"/>
      <c r="F136" s="145"/>
      <c r="G136" s="145"/>
      <c r="H136" s="147"/>
      <c r="I136" s="107"/>
      <c r="J136" s="178"/>
      <c r="K136" s="107"/>
      <c r="L136" s="145"/>
      <c r="M136" s="145"/>
      <c r="N136" s="145"/>
      <c r="O136" s="145"/>
      <c r="P136" s="147"/>
      <c r="Q136" s="148"/>
      <c r="R136" s="437"/>
      <c r="S136" s="107"/>
      <c r="T136" s="179"/>
      <c r="U136" s="178"/>
      <c r="V136" s="107"/>
      <c r="W136" s="107"/>
      <c r="X136" s="470"/>
      <c r="Y136" s="470"/>
      <c r="Z136" s="471"/>
      <c r="AA136" s="471"/>
      <c r="AB136" s="466"/>
    </row>
    <row r="137" spans="1:28" s="597" customFormat="1" ht="18" customHeight="1" x14ac:dyDescent="0.2">
      <c r="A137" s="145"/>
      <c r="B137" s="177"/>
      <c r="C137" s="177"/>
      <c r="D137" s="145"/>
      <c r="E137" s="145"/>
      <c r="F137" s="145"/>
      <c r="G137" s="145"/>
      <c r="H137" s="147"/>
      <c r="I137" s="107"/>
      <c r="J137" s="178"/>
      <c r="K137" s="107"/>
      <c r="L137" s="145"/>
      <c r="M137" s="145"/>
      <c r="N137" s="145"/>
      <c r="O137" s="145"/>
      <c r="P137" s="147"/>
      <c r="Q137" s="148"/>
      <c r="R137" s="437"/>
      <c r="S137" s="107"/>
      <c r="T137" s="179"/>
      <c r="U137" s="178"/>
      <c r="V137" s="107"/>
      <c r="W137" s="107"/>
      <c r="X137" s="470"/>
      <c r="Y137" s="470"/>
      <c r="Z137" s="471"/>
      <c r="AA137" s="471"/>
      <c r="AB137" s="466"/>
    </row>
    <row r="138" spans="1:28" s="597" customFormat="1" ht="18" customHeight="1" x14ac:dyDescent="0.2">
      <c r="A138" s="145"/>
      <c r="B138" s="177"/>
      <c r="C138" s="177"/>
      <c r="D138" s="145"/>
      <c r="E138" s="145"/>
      <c r="F138" s="145"/>
      <c r="G138" s="145"/>
      <c r="H138" s="147"/>
      <c r="I138" s="107"/>
      <c r="J138" s="178"/>
      <c r="K138" s="107"/>
      <c r="L138" s="145"/>
      <c r="M138" s="145"/>
      <c r="N138" s="145"/>
      <c r="O138" s="145"/>
      <c r="P138" s="147"/>
      <c r="Q138" s="148"/>
      <c r="R138" s="437"/>
      <c r="S138" s="107"/>
      <c r="T138" s="179"/>
      <c r="U138" s="178"/>
      <c r="V138" s="107"/>
      <c r="W138" s="107"/>
      <c r="X138" s="470"/>
      <c r="Y138" s="470"/>
      <c r="Z138" s="471"/>
      <c r="AA138" s="471"/>
      <c r="AB138" s="466"/>
    </row>
    <row r="139" spans="1:28" s="597" customFormat="1" ht="18" customHeight="1" x14ac:dyDescent="0.2">
      <c r="A139" s="145"/>
      <c r="B139" s="177"/>
      <c r="C139" s="177"/>
      <c r="D139" s="145"/>
      <c r="E139" s="145"/>
      <c r="F139" s="145"/>
      <c r="G139" s="145"/>
      <c r="H139" s="147"/>
      <c r="I139" s="107"/>
      <c r="J139" s="178"/>
      <c r="K139" s="107"/>
      <c r="L139" s="145"/>
      <c r="M139" s="145"/>
      <c r="N139" s="145"/>
      <c r="O139" s="145"/>
      <c r="P139" s="147"/>
      <c r="Q139" s="148"/>
      <c r="R139" s="437"/>
      <c r="S139" s="107"/>
      <c r="T139" s="179"/>
      <c r="U139" s="178"/>
      <c r="V139" s="107"/>
      <c r="W139" s="107"/>
      <c r="X139" s="470"/>
      <c r="Y139" s="470"/>
      <c r="Z139" s="471"/>
      <c r="AA139" s="471"/>
      <c r="AB139" s="466"/>
    </row>
    <row r="140" spans="1:28" s="597" customFormat="1" ht="18" customHeight="1" x14ac:dyDescent="0.2">
      <c r="A140" s="145"/>
      <c r="B140" s="177"/>
      <c r="C140" s="177"/>
      <c r="D140" s="145"/>
      <c r="E140" s="145"/>
      <c r="F140" s="145"/>
      <c r="G140" s="145"/>
      <c r="H140" s="147"/>
      <c r="I140" s="107"/>
      <c r="J140" s="178"/>
      <c r="K140" s="107"/>
      <c r="L140" s="145"/>
      <c r="M140" s="145"/>
      <c r="N140" s="145"/>
      <c r="O140" s="145"/>
      <c r="P140" s="147"/>
      <c r="Q140" s="148"/>
      <c r="R140" s="437"/>
      <c r="S140" s="107"/>
      <c r="T140" s="179"/>
      <c r="U140" s="178"/>
      <c r="V140" s="107"/>
      <c r="W140" s="107"/>
      <c r="X140" s="470"/>
      <c r="Y140" s="470"/>
      <c r="Z140" s="471"/>
      <c r="AA140" s="471"/>
      <c r="AB140" s="466"/>
    </row>
    <row r="141" spans="1:28" s="597" customFormat="1" ht="18" customHeight="1" x14ac:dyDescent="0.2">
      <c r="A141" s="145"/>
      <c r="B141" s="177"/>
      <c r="C141" s="177"/>
      <c r="D141" s="145"/>
      <c r="E141" s="145"/>
      <c r="F141" s="145"/>
      <c r="G141" s="145"/>
      <c r="H141" s="147"/>
      <c r="I141" s="107"/>
      <c r="J141" s="178"/>
      <c r="K141" s="107"/>
      <c r="L141" s="145"/>
      <c r="M141" s="145"/>
      <c r="N141" s="145"/>
      <c r="O141" s="145"/>
      <c r="P141" s="147"/>
      <c r="Q141" s="148"/>
      <c r="R141" s="437"/>
      <c r="S141" s="107"/>
      <c r="T141" s="179"/>
      <c r="U141" s="178"/>
      <c r="V141" s="107"/>
      <c r="W141" s="107"/>
      <c r="X141" s="470"/>
      <c r="Y141" s="470"/>
      <c r="Z141" s="471"/>
      <c r="AA141" s="471"/>
      <c r="AB141" s="466"/>
    </row>
    <row r="142" spans="1:28" s="597" customFormat="1" ht="18" customHeight="1" x14ac:dyDescent="0.2">
      <c r="A142" s="145"/>
      <c r="B142" s="177"/>
      <c r="C142" s="177"/>
      <c r="D142" s="145"/>
      <c r="E142" s="145"/>
      <c r="F142" s="145"/>
      <c r="G142" s="145"/>
      <c r="H142" s="147"/>
      <c r="I142" s="107"/>
      <c r="J142" s="178"/>
      <c r="K142" s="107"/>
      <c r="L142" s="145"/>
      <c r="M142" s="145"/>
      <c r="N142" s="145"/>
      <c r="O142" s="145"/>
      <c r="P142" s="147"/>
      <c r="Q142" s="148"/>
      <c r="R142" s="437"/>
      <c r="S142" s="107"/>
      <c r="T142" s="179"/>
      <c r="U142" s="178"/>
      <c r="V142" s="107"/>
      <c r="W142" s="107"/>
      <c r="X142" s="470"/>
      <c r="Y142" s="470"/>
      <c r="Z142" s="471"/>
      <c r="AA142" s="471"/>
      <c r="AB142" s="466"/>
    </row>
    <row r="143" spans="1:28" s="597" customFormat="1" ht="18" customHeight="1" x14ac:dyDescent="0.2">
      <c r="A143" s="88"/>
      <c r="B143" s="180"/>
      <c r="C143" s="180"/>
      <c r="D143" s="88"/>
      <c r="E143" s="88"/>
      <c r="F143" s="88"/>
      <c r="G143" s="88"/>
      <c r="H143" s="120"/>
      <c r="I143" s="121"/>
      <c r="J143" s="181"/>
      <c r="K143" s="121"/>
      <c r="L143" s="88"/>
      <c r="M143" s="88"/>
      <c r="N143" s="88"/>
      <c r="O143" s="88"/>
      <c r="P143" s="88"/>
      <c r="Q143" s="129"/>
      <c r="R143" s="445"/>
      <c r="S143" s="121"/>
      <c r="T143" s="182"/>
      <c r="U143" s="181"/>
      <c r="V143" s="121"/>
      <c r="W143" s="121"/>
      <c r="X143" s="472"/>
      <c r="Y143" s="472"/>
      <c r="Z143" s="473"/>
      <c r="AA143" s="473"/>
      <c r="AB143" s="410"/>
    </row>
    <row r="144" spans="1:28" s="597" customFormat="1" ht="18" customHeight="1" x14ac:dyDescent="0.2">
      <c r="A144" s="1850"/>
      <c r="B144" s="1850"/>
      <c r="C144" s="1850"/>
      <c r="D144" s="1850"/>
      <c r="E144" s="1850"/>
      <c r="F144" s="1850"/>
      <c r="G144" s="1850"/>
      <c r="H144" s="1851"/>
      <c r="I144" s="1852"/>
      <c r="J144" s="1853"/>
      <c r="K144" s="1852"/>
      <c r="L144" s="1852"/>
      <c r="M144" s="1852"/>
      <c r="N144" s="1852"/>
      <c r="O144" s="1852"/>
      <c r="P144" s="1852"/>
      <c r="Q144" s="1852"/>
      <c r="R144" s="1854"/>
      <c r="S144" s="1852"/>
      <c r="T144" s="1855"/>
      <c r="U144" s="1853"/>
      <c r="V144" s="1852"/>
      <c r="W144" s="1852"/>
      <c r="X144" s="1856"/>
      <c r="Y144" s="1856"/>
      <c r="Z144" s="1857"/>
      <c r="AA144" s="1857"/>
      <c r="AB144" s="1847">
        <f>SUM(AB129:AB143)</f>
        <v>155.39999999999998</v>
      </c>
    </row>
    <row r="145" spans="1:28" s="597" customFormat="1" ht="18" customHeight="1" x14ac:dyDescent="0.2">
      <c r="A145" s="2690" t="s">
        <v>76</v>
      </c>
      <c r="B145" s="2690"/>
      <c r="C145" s="2691" t="s">
        <v>77</v>
      </c>
      <c r="D145" s="2691"/>
      <c r="E145" s="2691"/>
      <c r="F145" s="2691"/>
      <c r="G145" s="2691"/>
      <c r="H145" s="2691"/>
      <c r="I145" s="604" t="s">
        <v>78</v>
      </c>
      <c r="J145" s="604"/>
      <c r="K145" s="604"/>
      <c r="L145" s="604"/>
      <c r="M145" s="604"/>
      <c r="N145" s="604"/>
      <c r="AB145" s="598"/>
    </row>
    <row r="146" spans="1:28" s="597" customFormat="1" ht="18" customHeight="1" x14ac:dyDescent="0.2">
      <c r="A146" s="604"/>
      <c r="B146" s="605"/>
      <c r="C146" s="604"/>
      <c r="D146" s="604"/>
      <c r="E146" s="604"/>
      <c r="F146" s="604"/>
      <c r="G146" s="604"/>
      <c r="H146" s="604"/>
      <c r="I146" s="604" t="s">
        <v>79</v>
      </c>
      <c r="J146" s="604"/>
      <c r="K146" s="604"/>
      <c r="L146" s="604"/>
      <c r="M146" s="604"/>
      <c r="N146" s="604"/>
      <c r="AB146" s="598"/>
    </row>
    <row r="147" spans="1:28" s="597" customFormat="1" ht="18" customHeight="1" x14ac:dyDescent="0.2">
      <c r="A147" s="604"/>
      <c r="B147" s="605"/>
      <c r="C147" s="604"/>
      <c r="D147" s="604"/>
      <c r="E147" s="604"/>
      <c r="F147" s="604"/>
      <c r="G147" s="604"/>
      <c r="H147" s="604"/>
      <c r="I147" s="604" t="s">
        <v>80</v>
      </c>
      <c r="J147" s="604"/>
      <c r="K147" s="604"/>
      <c r="L147" s="604"/>
      <c r="M147" s="604"/>
      <c r="N147" s="604"/>
      <c r="AB147" s="598"/>
    </row>
    <row r="148" spans="1:28" s="597" customFormat="1" ht="18" customHeight="1" x14ac:dyDescent="0.2">
      <c r="A148" s="604"/>
      <c r="B148" s="605"/>
      <c r="C148" s="604"/>
      <c r="D148" s="604"/>
      <c r="E148" s="604"/>
      <c r="F148" s="604"/>
      <c r="G148" s="604"/>
      <c r="H148" s="604"/>
      <c r="I148" s="604" t="s">
        <v>81</v>
      </c>
      <c r="J148" s="604"/>
      <c r="K148" s="604"/>
      <c r="L148" s="604"/>
      <c r="M148" s="604"/>
      <c r="N148" s="604"/>
      <c r="AB148" s="598"/>
    </row>
    <row r="149" spans="1:28" s="597" customFormat="1" ht="18" customHeight="1" x14ac:dyDescent="0.2">
      <c r="A149" s="604"/>
      <c r="B149" s="605"/>
      <c r="C149" s="604"/>
      <c r="D149" s="604"/>
      <c r="E149" s="604"/>
      <c r="F149" s="604"/>
      <c r="G149" s="604"/>
      <c r="H149" s="604"/>
      <c r="I149" s="604" t="s">
        <v>88</v>
      </c>
      <c r="J149" s="604"/>
      <c r="K149" s="604"/>
      <c r="L149" s="604"/>
      <c r="M149" s="604"/>
      <c r="N149" s="604"/>
      <c r="AB149" s="598"/>
    </row>
    <row r="150" spans="1:28" s="597" customFormat="1" ht="18" customHeight="1" x14ac:dyDescent="0.2">
      <c r="A150" s="339"/>
      <c r="B150" s="339"/>
      <c r="C150" s="339"/>
      <c r="D150" s="339"/>
      <c r="E150" s="339"/>
      <c r="F150" s="339"/>
      <c r="G150" s="339"/>
      <c r="H150" s="339"/>
      <c r="I150" s="339"/>
      <c r="J150" s="339"/>
      <c r="K150" s="339"/>
      <c r="L150" s="339"/>
      <c r="M150" s="339"/>
      <c r="N150" s="339"/>
      <c r="O150" s="339"/>
      <c r="P150" s="339"/>
      <c r="Q150" s="339"/>
      <c r="R150" s="339"/>
      <c r="S150" s="339"/>
      <c r="T150" s="339"/>
      <c r="U150" s="339"/>
      <c r="V150" s="339"/>
      <c r="W150" s="339"/>
      <c r="X150" s="339"/>
      <c r="Y150" s="339"/>
      <c r="Z150" s="339"/>
      <c r="AA150" s="2702" t="s">
        <v>0</v>
      </c>
      <c r="AB150" s="2702"/>
    </row>
    <row r="151" spans="1:28" s="597" customFormat="1" ht="18" customHeight="1" x14ac:dyDescent="0.2">
      <c r="A151" s="2703" t="s">
        <v>1</v>
      </c>
      <c r="B151" s="2703"/>
      <c r="C151" s="2703"/>
      <c r="D151" s="2703"/>
      <c r="E151" s="2703"/>
      <c r="F151" s="2703"/>
      <c r="G151" s="2703"/>
      <c r="H151" s="2703"/>
      <c r="I151" s="2703"/>
      <c r="J151" s="2703"/>
      <c r="K151" s="2703"/>
      <c r="L151" s="2703"/>
      <c r="M151" s="2703"/>
      <c r="N151" s="2703"/>
      <c r="O151" s="2703"/>
      <c r="P151" s="2703"/>
      <c r="Q151" s="2703"/>
      <c r="R151" s="2703"/>
      <c r="S151" s="2703"/>
      <c r="T151" s="2703"/>
      <c r="U151" s="2703"/>
      <c r="V151" s="2703"/>
      <c r="W151" s="2703"/>
      <c r="X151" s="2703"/>
      <c r="Y151" s="2703"/>
      <c r="Z151" s="2703"/>
      <c r="AA151" s="2703"/>
      <c r="AB151" s="2703"/>
    </row>
    <row r="152" spans="1:28" s="597" customFormat="1" ht="18" customHeight="1" x14ac:dyDescent="0.2">
      <c r="A152" s="2743" t="s">
        <v>307</v>
      </c>
      <c r="B152" s="2743"/>
      <c r="C152" s="2743"/>
      <c r="D152" s="2743"/>
      <c r="E152" s="2743"/>
      <c r="F152" s="2743"/>
      <c r="G152" s="2743"/>
      <c r="H152" s="2743"/>
      <c r="I152" s="2743"/>
      <c r="J152" s="2743"/>
      <c r="K152" s="2743"/>
      <c r="L152" s="2743"/>
      <c r="M152" s="2743"/>
      <c r="N152" s="2743"/>
      <c r="O152" s="2743"/>
      <c r="P152" s="2743"/>
      <c r="Q152" s="2743"/>
      <c r="R152" s="2743"/>
      <c r="S152" s="2743"/>
      <c r="T152" s="2743"/>
      <c r="U152" s="2743"/>
      <c r="V152" s="2743"/>
      <c r="W152" s="2743"/>
      <c r="X152" s="2743"/>
      <c r="Y152" s="2743"/>
      <c r="Z152" s="2743"/>
      <c r="AA152" s="2743"/>
      <c r="AB152" s="2743"/>
    </row>
    <row r="153" spans="1:28" s="597" customFormat="1" ht="18" customHeight="1" x14ac:dyDescent="0.2">
      <c r="A153" s="2686" t="s">
        <v>2</v>
      </c>
      <c r="B153" s="360"/>
      <c r="C153" s="2686" t="s">
        <v>3</v>
      </c>
      <c r="D153" s="360"/>
      <c r="E153" s="360"/>
      <c r="F153" s="2693" t="s">
        <v>4</v>
      </c>
      <c r="G153" s="2693"/>
      <c r="H153" s="2693"/>
      <c r="I153" s="2694"/>
      <c r="J153" s="2694"/>
      <c r="K153" s="2695"/>
      <c r="L153" s="361"/>
      <c r="M153" s="2679" t="s">
        <v>5</v>
      </c>
      <c r="N153" s="2679"/>
      <c r="O153" s="2679"/>
      <c r="P153" s="2679"/>
      <c r="Q153" s="2696"/>
      <c r="R153" s="2696"/>
      <c r="S153" s="2696"/>
      <c r="T153" s="2696"/>
      <c r="U153" s="2696"/>
      <c r="V153" s="2697"/>
      <c r="W153" s="362" t="s">
        <v>6</v>
      </c>
      <c r="X153" s="363" t="s">
        <v>7</v>
      </c>
      <c r="Y153" s="364"/>
      <c r="Z153" s="364"/>
      <c r="AA153" s="363"/>
      <c r="AB153" s="365"/>
    </row>
    <row r="154" spans="1:28" s="597" customFormat="1" ht="18" customHeight="1" x14ac:dyDescent="0.2">
      <c r="A154" s="2687"/>
      <c r="B154" s="367"/>
      <c r="C154" s="2687"/>
      <c r="D154" s="366" t="s">
        <v>9</v>
      </c>
      <c r="E154" s="368" t="s">
        <v>10</v>
      </c>
      <c r="F154" s="2698" t="s">
        <v>11</v>
      </c>
      <c r="G154" s="2694"/>
      <c r="H154" s="2695"/>
      <c r="I154" s="360"/>
      <c r="J154" s="369" t="s">
        <v>12</v>
      </c>
      <c r="K154" s="360"/>
      <c r="L154" s="2679" t="s">
        <v>2</v>
      </c>
      <c r="M154" s="370"/>
      <c r="N154" s="370"/>
      <c r="O154" s="370"/>
      <c r="P154" s="371"/>
      <c r="Q154" s="372" t="s">
        <v>13</v>
      </c>
      <c r="R154" s="373" t="s">
        <v>12</v>
      </c>
      <c r="S154" s="370" t="s">
        <v>6</v>
      </c>
      <c r="T154" s="2682" t="s">
        <v>14</v>
      </c>
      <c r="U154" s="2683"/>
      <c r="V154" s="375" t="s">
        <v>7</v>
      </c>
      <c r="W154" s="376" t="s">
        <v>15</v>
      </c>
      <c r="X154" s="377" t="s">
        <v>16</v>
      </c>
      <c r="Y154" s="377" t="s">
        <v>17</v>
      </c>
      <c r="Z154" s="377" t="s">
        <v>18</v>
      </c>
      <c r="AA154" s="377"/>
      <c r="AB154" s="378" t="s">
        <v>19</v>
      </c>
    </row>
    <row r="155" spans="1:28" s="597" customFormat="1" ht="18" customHeight="1" x14ac:dyDescent="0.2">
      <c r="A155" s="2687"/>
      <c r="B155" s="366" t="s">
        <v>23</v>
      </c>
      <c r="C155" s="2687"/>
      <c r="D155" s="366" t="s">
        <v>24</v>
      </c>
      <c r="E155" s="368" t="s">
        <v>25</v>
      </c>
      <c r="F155" s="2699"/>
      <c r="G155" s="2700"/>
      <c r="H155" s="2701"/>
      <c r="I155" s="366" t="s">
        <v>26</v>
      </c>
      <c r="J155" s="379" t="s">
        <v>15</v>
      </c>
      <c r="K155" s="380" t="s">
        <v>6</v>
      </c>
      <c r="L155" s="2680"/>
      <c r="M155" s="381" t="s">
        <v>27</v>
      </c>
      <c r="N155" s="381" t="s">
        <v>10</v>
      </c>
      <c r="O155" s="382" t="s">
        <v>10</v>
      </c>
      <c r="P155" s="383" t="s">
        <v>28</v>
      </c>
      <c r="Q155" s="384" t="s">
        <v>29</v>
      </c>
      <c r="R155" s="383" t="s">
        <v>15</v>
      </c>
      <c r="S155" s="385" t="s">
        <v>15</v>
      </c>
      <c r="T155" s="2684"/>
      <c r="U155" s="2685"/>
      <c r="V155" s="375" t="s">
        <v>30</v>
      </c>
      <c r="W155" s="376" t="s">
        <v>31</v>
      </c>
      <c r="X155" s="377" t="s">
        <v>30</v>
      </c>
      <c r="Y155" s="377" t="s">
        <v>32</v>
      </c>
      <c r="Z155" s="377" t="s">
        <v>7</v>
      </c>
      <c r="AA155" s="377" t="s">
        <v>33</v>
      </c>
      <c r="AB155" s="378" t="s">
        <v>34</v>
      </c>
    </row>
    <row r="156" spans="1:28" s="597" customFormat="1" ht="18" customHeight="1" x14ac:dyDescent="0.2">
      <c r="A156" s="2687"/>
      <c r="B156" s="366" t="s">
        <v>39</v>
      </c>
      <c r="C156" s="2687"/>
      <c r="D156" s="366" t="s">
        <v>40</v>
      </c>
      <c r="E156" s="368" t="s">
        <v>41</v>
      </c>
      <c r="F156" s="2686" t="s">
        <v>42</v>
      </c>
      <c r="G156" s="2686" t="s">
        <v>43</v>
      </c>
      <c r="H156" s="2688" t="s">
        <v>44</v>
      </c>
      <c r="I156" s="366" t="s">
        <v>45</v>
      </c>
      <c r="J156" s="379" t="s">
        <v>46</v>
      </c>
      <c r="K156" s="380" t="s">
        <v>47</v>
      </c>
      <c r="L156" s="2680"/>
      <c r="M156" s="381" t="s">
        <v>30</v>
      </c>
      <c r="N156" s="381" t="s">
        <v>30</v>
      </c>
      <c r="O156" s="382" t="s">
        <v>25</v>
      </c>
      <c r="P156" s="383" t="s">
        <v>30</v>
      </c>
      <c r="Q156" s="384" t="s">
        <v>48</v>
      </c>
      <c r="R156" s="383" t="s">
        <v>49</v>
      </c>
      <c r="S156" s="385" t="s">
        <v>30</v>
      </c>
      <c r="T156" s="386" t="s">
        <v>50</v>
      </c>
      <c r="U156" s="374" t="s">
        <v>13</v>
      </c>
      <c r="V156" s="375" t="s">
        <v>51</v>
      </c>
      <c r="W156" s="376" t="s">
        <v>52</v>
      </c>
      <c r="X156" s="377" t="s">
        <v>53</v>
      </c>
      <c r="Y156" s="377" t="s">
        <v>54</v>
      </c>
      <c r="Z156" s="377" t="s">
        <v>55</v>
      </c>
      <c r="AA156" s="377" t="s">
        <v>56</v>
      </c>
      <c r="AB156" s="378" t="s">
        <v>57</v>
      </c>
    </row>
    <row r="157" spans="1:28" s="597" customFormat="1" ht="18" customHeight="1" x14ac:dyDescent="0.2">
      <c r="A157" s="2687"/>
      <c r="B157" s="366" t="s">
        <v>61</v>
      </c>
      <c r="C157" s="2687"/>
      <c r="D157" s="366" t="s">
        <v>62</v>
      </c>
      <c r="E157" s="368" t="s">
        <v>63</v>
      </c>
      <c r="F157" s="2687"/>
      <c r="G157" s="2687"/>
      <c r="H157" s="2689"/>
      <c r="I157" s="366" t="s">
        <v>64</v>
      </c>
      <c r="J157" s="379" t="s">
        <v>59</v>
      </c>
      <c r="K157" s="380" t="s">
        <v>59</v>
      </c>
      <c r="L157" s="2680"/>
      <c r="M157" s="381"/>
      <c r="N157" s="381"/>
      <c r="O157" s="382" t="s">
        <v>41</v>
      </c>
      <c r="P157" s="383" t="s">
        <v>65</v>
      </c>
      <c r="Q157" s="384" t="s">
        <v>66</v>
      </c>
      <c r="R157" s="383" t="s">
        <v>67</v>
      </c>
      <c r="S157" s="385" t="s">
        <v>59</v>
      </c>
      <c r="T157" s="387" t="s">
        <v>68</v>
      </c>
      <c r="U157" s="375" t="s">
        <v>14</v>
      </c>
      <c r="V157" s="375" t="s">
        <v>14</v>
      </c>
      <c r="W157" s="376" t="s">
        <v>30</v>
      </c>
      <c r="X157" s="388" t="s">
        <v>69</v>
      </c>
      <c r="Y157" s="388" t="s">
        <v>70</v>
      </c>
      <c r="Z157" s="377" t="s">
        <v>71</v>
      </c>
      <c r="AA157" s="377" t="s">
        <v>72</v>
      </c>
      <c r="AB157" s="378" t="s">
        <v>59</v>
      </c>
    </row>
    <row r="158" spans="1:28" s="597" customFormat="1" ht="18" customHeight="1" x14ac:dyDescent="0.2">
      <c r="A158" s="2692"/>
      <c r="B158" s="390"/>
      <c r="C158" s="2692"/>
      <c r="D158" s="390"/>
      <c r="E158" s="389"/>
      <c r="F158" s="390"/>
      <c r="G158" s="390"/>
      <c r="H158" s="391"/>
      <c r="I158" s="389"/>
      <c r="J158" s="392"/>
      <c r="K158" s="393"/>
      <c r="L158" s="2681"/>
      <c r="M158" s="394"/>
      <c r="N158" s="394"/>
      <c r="O158" s="394" t="s">
        <v>63</v>
      </c>
      <c r="P158" s="395"/>
      <c r="Q158" s="396" t="s">
        <v>72</v>
      </c>
      <c r="R158" s="397" t="s">
        <v>59</v>
      </c>
      <c r="S158" s="398"/>
      <c r="T158" s="397" t="s">
        <v>73</v>
      </c>
      <c r="U158" s="398" t="s">
        <v>59</v>
      </c>
      <c r="V158" s="399" t="s">
        <v>59</v>
      </c>
      <c r="W158" s="400" t="s">
        <v>59</v>
      </c>
      <c r="X158" s="401" t="s">
        <v>59</v>
      </c>
      <c r="Y158" s="401" t="s">
        <v>59</v>
      </c>
      <c r="Z158" s="401" t="s">
        <v>59</v>
      </c>
      <c r="AA158" s="402"/>
      <c r="AB158" s="403"/>
    </row>
    <row r="159" spans="1:28" s="597" customFormat="1" ht="18" customHeight="1" x14ac:dyDescent="0.25">
      <c r="A159" s="61">
        <v>1</v>
      </c>
      <c r="B159" s="287">
        <v>2282</v>
      </c>
      <c r="C159" s="15">
        <v>553</v>
      </c>
      <c r="D159" s="15" t="s">
        <v>91</v>
      </c>
      <c r="E159" s="15">
        <v>5</v>
      </c>
      <c r="F159" s="15">
        <v>0</v>
      </c>
      <c r="G159" s="15">
        <v>2</v>
      </c>
      <c r="H159" s="284">
        <v>9</v>
      </c>
      <c r="I159" s="18">
        <f>F159*400+G159*100+H159</f>
        <v>209</v>
      </c>
      <c r="J159" s="258">
        <v>1700</v>
      </c>
      <c r="K159" s="39">
        <f>SUM(I159*J159)</f>
        <v>355300</v>
      </c>
      <c r="L159" s="285" t="s">
        <v>233</v>
      </c>
      <c r="M159" s="231">
        <v>103</v>
      </c>
      <c r="N159" s="15" t="s">
        <v>74</v>
      </c>
      <c r="O159" s="50">
        <v>2</v>
      </c>
      <c r="P159" s="266">
        <v>697.62</v>
      </c>
      <c r="Q159" s="62" t="s">
        <v>75</v>
      </c>
      <c r="R159" s="260">
        <v>9050</v>
      </c>
      <c r="S159" s="18">
        <f>P159*R159</f>
        <v>6313461</v>
      </c>
      <c r="T159" s="1959">
        <v>20</v>
      </c>
      <c r="U159" s="1664">
        <f>+S159*0.3</f>
        <v>1894038.2999999998</v>
      </c>
      <c r="V159" s="47">
        <f>SUM(S159-U159)</f>
        <v>4419422.7</v>
      </c>
      <c r="W159" s="18">
        <f>K159+V159</f>
        <v>4774722.7</v>
      </c>
      <c r="X159" s="47">
        <f>W159</f>
        <v>4774722.7</v>
      </c>
      <c r="Y159" s="18" t="s">
        <v>263</v>
      </c>
      <c r="Z159" s="18">
        <v>0</v>
      </c>
      <c r="AA159" s="264">
        <v>0.02</v>
      </c>
      <c r="AB159" s="466">
        <f>+Z159*AA159/100</f>
        <v>0</v>
      </c>
    </row>
    <row r="160" spans="1:28" s="597" customFormat="1" ht="18" customHeight="1" x14ac:dyDescent="0.25">
      <c r="A160" s="242"/>
      <c r="B160" s="269"/>
      <c r="C160" s="285"/>
      <c r="D160" s="273"/>
      <c r="E160" s="15"/>
      <c r="F160" s="268"/>
      <c r="G160" s="269"/>
      <c r="H160" s="266"/>
      <c r="I160" s="18">
        <f>F160*400+G160*100+H160</f>
        <v>0</v>
      </c>
      <c r="J160" s="258"/>
      <c r="K160" s="39">
        <f>SUM(I160*J160)</f>
        <v>0</v>
      </c>
      <c r="L160" s="285"/>
      <c r="M160" s="241">
        <v>101</v>
      </c>
      <c r="N160" s="269" t="s">
        <v>82</v>
      </c>
      <c r="O160" s="50">
        <v>2</v>
      </c>
      <c r="P160" s="266">
        <v>27.22</v>
      </c>
      <c r="Q160" s="62" t="s">
        <v>75</v>
      </c>
      <c r="R160" s="260">
        <v>7700</v>
      </c>
      <c r="S160" s="18">
        <f>P160*R160</f>
        <v>209594</v>
      </c>
      <c r="T160" s="1959">
        <v>39</v>
      </c>
      <c r="U160" s="1664">
        <f>+S160*0.93</f>
        <v>194922.42</v>
      </c>
      <c r="V160" s="47">
        <f>SUM(S160-U160)</f>
        <v>14671.579999999987</v>
      </c>
      <c r="W160" s="18">
        <f>K160+V160</f>
        <v>14671.579999999987</v>
      </c>
      <c r="X160" s="47">
        <f>W160</f>
        <v>14671.579999999987</v>
      </c>
      <c r="Y160" s="18"/>
      <c r="Z160" s="18"/>
      <c r="AA160" s="264">
        <v>0.02</v>
      </c>
      <c r="AB160" s="466">
        <f>+Z160*AA160/100</f>
        <v>0</v>
      </c>
    </row>
    <row r="161" spans="1:28" s="597" customFormat="1" ht="18" customHeight="1" x14ac:dyDescent="0.25">
      <c r="A161" s="242"/>
      <c r="B161" s="269"/>
      <c r="C161" s="285"/>
      <c r="D161" s="273"/>
      <c r="E161" s="15"/>
      <c r="F161" s="268"/>
      <c r="G161" s="269"/>
      <c r="H161" s="266">
        <v>27</v>
      </c>
      <c r="I161" s="18">
        <f>F161*400+G161*100+H161</f>
        <v>27</v>
      </c>
      <c r="J161" s="258">
        <v>1700</v>
      </c>
      <c r="K161" s="39">
        <f>SUM(I161*J161)</f>
        <v>45900</v>
      </c>
      <c r="L161" s="285"/>
      <c r="M161" s="242">
        <v>504</v>
      </c>
      <c r="N161" s="269" t="s">
        <v>74</v>
      </c>
      <c r="O161" s="50">
        <v>3</v>
      </c>
      <c r="P161" s="266">
        <f>9.98*10.72</f>
        <v>106.98560000000001</v>
      </c>
      <c r="Q161" s="62" t="s">
        <v>75</v>
      </c>
      <c r="R161" s="260">
        <v>3100</v>
      </c>
      <c r="S161" s="18">
        <f>P161*R161</f>
        <v>331655.36000000004</v>
      </c>
      <c r="T161" s="1959">
        <v>30</v>
      </c>
      <c r="U161" s="1664">
        <f>+S161*0.5</f>
        <v>165827.68000000002</v>
      </c>
      <c r="V161" s="47">
        <f>SUM(S161-U161)</f>
        <v>165827.68000000002</v>
      </c>
      <c r="W161" s="18">
        <f>K161+V161</f>
        <v>211727.68000000002</v>
      </c>
      <c r="X161" s="47">
        <f>W161</f>
        <v>211727.68000000002</v>
      </c>
      <c r="Y161" s="18"/>
      <c r="Z161" s="18">
        <f>X161</f>
        <v>211727.68000000002</v>
      </c>
      <c r="AA161" s="264">
        <v>0.3</v>
      </c>
      <c r="AB161" s="466">
        <f>+Z161*AA161/100</f>
        <v>635.18304000000001</v>
      </c>
    </row>
    <row r="162" spans="1:28" s="597" customFormat="1" ht="18" customHeight="1" x14ac:dyDescent="0.2">
      <c r="A162" s="145"/>
      <c r="B162" s="177"/>
      <c r="C162" s="177"/>
      <c r="D162" s="145"/>
      <c r="E162" s="145"/>
      <c r="F162" s="145"/>
      <c r="G162" s="145"/>
      <c r="H162" s="147"/>
      <c r="I162" s="107"/>
      <c r="J162" s="178"/>
      <c r="K162" s="107"/>
      <c r="L162" s="145"/>
      <c r="M162" s="145"/>
      <c r="N162" s="145"/>
      <c r="O162" s="145"/>
      <c r="P162" s="147"/>
      <c r="Q162" s="148"/>
      <c r="R162" s="437"/>
      <c r="S162" s="107"/>
      <c r="T162" s="179"/>
      <c r="U162" s="178"/>
      <c r="V162" s="107"/>
      <c r="W162" s="107"/>
      <c r="X162" s="470"/>
      <c r="Y162" s="470"/>
      <c r="Z162" s="471"/>
      <c r="AA162" s="471"/>
      <c r="AB162" s="466"/>
    </row>
    <row r="163" spans="1:28" s="597" customFormat="1" ht="18" customHeight="1" x14ac:dyDescent="0.2">
      <c r="A163" s="145"/>
      <c r="B163" s="177"/>
      <c r="C163" s="177"/>
      <c r="D163" s="145"/>
      <c r="E163" s="145"/>
      <c r="F163" s="145"/>
      <c r="G163" s="145"/>
      <c r="H163" s="147"/>
      <c r="I163" s="107"/>
      <c r="J163" s="178"/>
      <c r="K163" s="107"/>
      <c r="L163" s="145"/>
      <c r="M163" s="145"/>
      <c r="N163" s="145"/>
      <c r="O163" s="145"/>
      <c r="P163" s="147"/>
      <c r="Q163" s="148"/>
      <c r="R163" s="437"/>
      <c r="S163" s="107"/>
      <c r="T163" s="179"/>
      <c r="U163" s="178"/>
      <c r="V163" s="107"/>
      <c r="W163" s="107"/>
      <c r="X163" s="470"/>
      <c r="Y163" s="470"/>
      <c r="Z163" s="471"/>
      <c r="AA163" s="471"/>
      <c r="AB163" s="466"/>
    </row>
    <row r="164" spans="1:28" s="597" customFormat="1" ht="18" customHeight="1" x14ac:dyDescent="0.2">
      <c r="A164" s="145"/>
      <c r="B164" s="177"/>
      <c r="C164" s="177"/>
      <c r="D164" s="145"/>
      <c r="E164" s="145"/>
      <c r="F164" s="145"/>
      <c r="G164" s="145"/>
      <c r="H164" s="147"/>
      <c r="I164" s="107"/>
      <c r="J164" s="178"/>
      <c r="K164" s="107"/>
      <c r="L164" s="145"/>
      <c r="M164" s="145"/>
      <c r="N164" s="145"/>
      <c r="O164" s="145"/>
      <c r="P164" s="147"/>
      <c r="Q164" s="148"/>
      <c r="R164" s="437"/>
      <c r="S164" s="107"/>
      <c r="T164" s="179"/>
      <c r="U164" s="178"/>
      <c r="V164" s="107"/>
      <c r="W164" s="107"/>
      <c r="X164" s="470"/>
      <c r="Y164" s="470"/>
      <c r="Z164" s="471"/>
      <c r="AA164" s="471"/>
      <c r="AB164" s="466"/>
    </row>
    <row r="165" spans="1:28" s="597" customFormat="1" ht="18" customHeight="1" x14ac:dyDescent="0.2">
      <c r="A165" s="145"/>
      <c r="B165" s="177"/>
      <c r="C165" s="177"/>
      <c r="D165" s="145"/>
      <c r="E165" s="145"/>
      <c r="F165" s="145"/>
      <c r="G165" s="145"/>
      <c r="H165" s="147"/>
      <c r="I165" s="107"/>
      <c r="J165" s="178"/>
      <c r="K165" s="107"/>
      <c r="L165" s="145"/>
      <c r="M165" s="145"/>
      <c r="N165" s="145"/>
      <c r="O165" s="145"/>
      <c r="P165" s="147"/>
      <c r="Q165" s="148"/>
      <c r="R165" s="437"/>
      <c r="S165" s="107"/>
      <c r="T165" s="179"/>
      <c r="U165" s="178"/>
      <c r="V165" s="107"/>
      <c r="W165" s="107"/>
      <c r="X165" s="470"/>
      <c r="Y165" s="470"/>
      <c r="Z165" s="471"/>
      <c r="AA165" s="471"/>
      <c r="AB165" s="466"/>
    </row>
    <row r="166" spans="1:28" s="597" customFormat="1" ht="18" customHeight="1" x14ac:dyDescent="0.2">
      <c r="A166" s="145"/>
      <c r="B166" s="177"/>
      <c r="C166" s="177"/>
      <c r="D166" s="145"/>
      <c r="E166" s="145"/>
      <c r="F166" s="145"/>
      <c r="G166" s="145"/>
      <c r="H166" s="147"/>
      <c r="I166" s="107"/>
      <c r="J166" s="178"/>
      <c r="K166" s="107"/>
      <c r="L166" s="145"/>
      <c r="M166" s="145"/>
      <c r="N166" s="145"/>
      <c r="O166" s="145"/>
      <c r="P166" s="147"/>
      <c r="Q166" s="148"/>
      <c r="R166" s="437"/>
      <c r="S166" s="107"/>
      <c r="T166" s="179"/>
      <c r="U166" s="178"/>
      <c r="V166" s="107"/>
      <c r="W166" s="107"/>
      <c r="X166" s="470"/>
      <c r="Y166" s="470"/>
      <c r="Z166" s="471"/>
      <c r="AA166" s="471"/>
      <c r="AB166" s="466"/>
    </row>
    <row r="167" spans="1:28" s="597" customFormat="1" ht="18" customHeight="1" x14ac:dyDescent="0.2">
      <c r="A167" s="145"/>
      <c r="B167" s="177"/>
      <c r="C167" s="177"/>
      <c r="D167" s="145"/>
      <c r="E167" s="145"/>
      <c r="F167" s="145"/>
      <c r="G167" s="145"/>
      <c r="H167" s="147"/>
      <c r="I167" s="107"/>
      <c r="J167" s="178"/>
      <c r="K167" s="107"/>
      <c r="L167" s="145"/>
      <c r="M167" s="145"/>
      <c r="N167" s="145"/>
      <c r="O167" s="145"/>
      <c r="P167" s="147"/>
      <c r="Q167" s="148"/>
      <c r="R167" s="437"/>
      <c r="S167" s="107"/>
      <c r="T167" s="179"/>
      <c r="U167" s="178"/>
      <c r="V167" s="107"/>
      <c r="W167" s="107"/>
      <c r="X167" s="470"/>
      <c r="Y167" s="470"/>
      <c r="Z167" s="471"/>
      <c r="AA167" s="471"/>
      <c r="AB167" s="466"/>
    </row>
    <row r="168" spans="1:28" s="597" customFormat="1" ht="18" customHeight="1" x14ac:dyDescent="0.2">
      <c r="A168" s="145"/>
      <c r="B168" s="177"/>
      <c r="C168" s="177"/>
      <c r="D168" s="145"/>
      <c r="E168" s="145"/>
      <c r="F168" s="145"/>
      <c r="G168" s="145"/>
      <c r="H168" s="147"/>
      <c r="I168" s="107"/>
      <c r="J168" s="178"/>
      <c r="K168" s="107"/>
      <c r="L168" s="145"/>
      <c r="M168" s="145"/>
      <c r="N168" s="145"/>
      <c r="O168" s="145"/>
      <c r="P168" s="147"/>
      <c r="Q168" s="148"/>
      <c r="R168" s="437"/>
      <c r="S168" s="107"/>
      <c r="T168" s="179"/>
      <c r="U168" s="178"/>
      <c r="V168" s="107"/>
      <c r="W168" s="107"/>
      <c r="X168" s="470"/>
      <c r="Y168" s="470"/>
      <c r="Z168" s="471"/>
      <c r="AA168" s="471"/>
      <c r="AB168" s="466"/>
    </row>
    <row r="169" spans="1:28" s="597" customFormat="1" ht="18" customHeight="1" x14ac:dyDescent="0.2">
      <c r="A169" s="145"/>
      <c r="B169" s="177"/>
      <c r="C169" s="177"/>
      <c r="D169" s="145"/>
      <c r="E169" s="145"/>
      <c r="F169" s="145"/>
      <c r="G169" s="145"/>
      <c r="H169" s="147"/>
      <c r="I169" s="107"/>
      <c r="J169" s="178"/>
      <c r="K169" s="107"/>
      <c r="L169" s="145"/>
      <c r="M169" s="145"/>
      <c r="N169" s="145"/>
      <c r="O169" s="145"/>
      <c r="P169" s="147"/>
      <c r="Q169" s="148"/>
      <c r="R169" s="437"/>
      <c r="S169" s="107"/>
      <c r="T169" s="179"/>
      <c r="U169" s="178"/>
      <c r="V169" s="107"/>
      <c r="W169" s="107"/>
      <c r="X169" s="470"/>
      <c r="Y169" s="470"/>
      <c r="Z169" s="471"/>
      <c r="AA169" s="471"/>
      <c r="AB169" s="466"/>
    </row>
    <row r="170" spans="1:28" s="597" customFormat="1" ht="18" customHeight="1" x14ac:dyDescent="0.2">
      <c r="A170" s="145"/>
      <c r="B170" s="177"/>
      <c r="C170" s="177"/>
      <c r="D170" s="145"/>
      <c r="E170" s="145"/>
      <c r="F170" s="145"/>
      <c r="G170" s="145"/>
      <c r="H170" s="147"/>
      <c r="I170" s="107"/>
      <c r="J170" s="178"/>
      <c r="K170" s="107"/>
      <c r="L170" s="145"/>
      <c r="M170" s="145"/>
      <c r="N170" s="145"/>
      <c r="O170" s="145"/>
      <c r="P170" s="147"/>
      <c r="Q170" s="148"/>
      <c r="R170" s="437"/>
      <c r="S170" s="107"/>
      <c r="T170" s="179"/>
      <c r="U170" s="178"/>
      <c r="V170" s="107"/>
      <c r="W170" s="107"/>
      <c r="X170" s="470"/>
      <c r="Y170" s="470"/>
      <c r="Z170" s="471"/>
      <c r="AA170" s="471"/>
      <c r="AB170" s="466"/>
    </row>
    <row r="171" spans="1:28" s="597" customFormat="1" ht="18" customHeight="1" x14ac:dyDescent="0.2">
      <c r="A171" s="145"/>
      <c r="B171" s="177"/>
      <c r="C171" s="177"/>
      <c r="D171" s="145"/>
      <c r="E171" s="145"/>
      <c r="F171" s="145"/>
      <c r="G171" s="145"/>
      <c r="H171" s="147"/>
      <c r="I171" s="107"/>
      <c r="J171" s="178"/>
      <c r="K171" s="107"/>
      <c r="L171" s="145"/>
      <c r="M171" s="145"/>
      <c r="N171" s="145"/>
      <c r="O171" s="145"/>
      <c r="P171" s="147"/>
      <c r="Q171" s="148"/>
      <c r="R171" s="437"/>
      <c r="S171" s="107"/>
      <c r="T171" s="179"/>
      <c r="U171" s="178"/>
      <c r="V171" s="107"/>
      <c r="W171" s="107"/>
      <c r="X171" s="470"/>
      <c r="Y171" s="470"/>
      <c r="Z171" s="471"/>
      <c r="AA171" s="471"/>
      <c r="AB171" s="466"/>
    </row>
    <row r="172" spans="1:28" s="597" customFormat="1" ht="18" customHeight="1" x14ac:dyDescent="0.2">
      <c r="A172" s="145"/>
      <c r="B172" s="177"/>
      <c r="C172" s="177"/>
      <c r="D172" s="145"/>
      <c r="E172" s="145"/>
      <c r="F172" s="145"/>
      <c r="G172" s="145"/>
      <c r="H172" s="147"/>
      <c r="I172" s="107"/>
      <c r="J172" s="178"/>
      <c r="K172" s="107"/>
      <c r="L172" s="145"/>
      <c r="M172" s="145"/>
      <c r="N172" s="145"/>
      <c r="O172" s="145"/>
      <c r="P172" s="147"/>
      <c r="Q172" s="148"/>
      <c r="R172" s="437"/>
      <c r="S172" s="107"/>
      <c r="T172" s="179"/>
      <c r="U172" s="178"/>
      <c r="V172" s="107"/>
      <c r="W172" s="107"/>
      <c r="X172" s="470"/>
      <c r="Y172" s="470"/>
      <c r="Z172" s="471"/>
      <c r="AA172" s="471"/>
      <c r="AB172" s="466"/>
    </row>
    <row r="173" spans="1:28" s="597" customFormat="1" ht="18" customHeight="1" x14ac:dyDescent="0.2">
      <c r="A173" s="88"/>
      <c r="B173" s="180"/>
      <c r="C173" s="180"/>
      <c r="D173" s="88"/>
      <c r="E173" s="88"/>
      <c r="F173" s="88"/>
      <c r="G173" s="88"/>
      <c r="H173" s="120"/>
      <c r="I173" s="121"/>
      <c r="J173" s="181"/>
      <c r="K173" s="121"/>
      <c r="L173" s="88"/>
      <c r="M173" s="88"/>
      <c r="N173" s="88"/>
      <c r="O173" s="88"/>
      <c r="P173" s="88"/>
      <c r="Q173" s="129"/>
      <c r="R173" s="445"/>
      <c r="S173" s="121"/>
      <c r="T173" s="182"/>
      <c r="U173" s="181"/>
      <c r="V173" s="121"/>
      <c r="W173" s="121"/>
      <c r="X173" s="472"/>
      <c r="Y173" s="472"/>
      <c r="Z173" s="473"/>
      <c r="AA173" s="473"/>
      <c r="AB173" s="410"/>
    </row>
    <row r="174" spans="1:28" s="597" customFormat="1" ht="18" customHeight="1" x14ac:dyDescent="0.2">
      <c r="A174" s="1850"/>
      <c r="B174" s="1850"/>
      <c r="C174" s="1850"/>
      <c r="D174" s="1850"/>
      <c r="E174" s="1850"/>
      <c r="F174" s="1850"/>
      <c r="G174" s="1850"/>
      <c r="H174" s="1851"/>
      <c r="I174" s="1852"/>
      <c r="J174" s="1853"/>
      <c r="K174" s="1852"/>
      <c r="L174" s="1852"/>
      <c r="M174" s="1852"/>
      <c r="N174" s="1852"/>
      <c r="O174" s="1852"/>
      <c r="P174" s="1852"/>
      <c r="Q174" s="1852"/>
      <c r="R174" s="1854"/>
      <c r="S174" s="1852"/>
      <c r="T174" s="1855"/>
      <c r="U174" s="1853"/>
      <c r="V174" s="1852"/>
      <c r="W174" s="1852"/>
      <c r="X174" s="1856"/>
      <c r="Y174" s="1856"/>
      <c r="Z174" s="1857"/>
      <c r="AA174" s="1857"/>
      <c r="AB174" s="1847">
        <f>SUM(AB159:AB173)</f>
        <v>635.18304000000001</v>
      </c>
    </row>
    <row r="175" spans="1:28" s="597" customFormat="1" ht="18" customHeight="1" x14ac:dyDescent="0.2">
      <c r="A175" s="2690" t="s">
        <v>76</v>
      </c>
      <c r="B175" s="2690"/>
      <c r="C175" s="2691" t="s">
        <v>77</v>
      </c>
      <c r="D175" s="2691"/>
      <c r="E175" s="2691"/>
      <c r="F175" s="2691"/>
      <c r="G175" s="2691"/>
      <c r="H175" s="2691"/>
      <c r="I175" s="604" t="s">
        <v>78</v>
      </c>
      <c r="J175" s="604"/>
      <c r="K175" s="604"/>
      <c r="L175" s="604"/>
      <c r="M175" s="604"/>
      <c r="N175" s="604"/>
      <c r="AB175" s="598"/>
    </row>
    <row r="176" spans="1:28" s="597" customFormat="1" ht="18" customHeight="1" x14ac:dyDescent="0.2">
      <c r="A176" s="604"/>
      <c r="B176" s="605"/>
      <c r="C176" s="604"/>
      <c r="D176" s="604"/>
      <c r="E176" s="604"/>
      <c r="F176" s="604"/>
      <c r="G176" s="604"/>
      <c r="H176" s="604"/>
      <c r="I176" s="604" t="s">
        <v>79</v>
      </c>
      <c r="J176" s="604"/>
      <c r="K176" s="604"/>
      <c r="L176" s="604"/>
      <c r="M176" s="604"/>
      <c r="N176" s="604"/>
      <c r="AB176" s="598"/>
    </row>
    <row r="177" spans="1:32" s="597" customFormat="1" ht="18" customHeight="1" x14ac:dyDescent="0.2">
      <c r="A177" s="604"/>
      <c r="B177" s="605"/>
      <c r="C177" s="604"/>
      <c r="D177" s="604"/>
      <c r="E177" s="604"/>
      <c r="F177" s="604"/>
      <c r="G177" s="604"/>
      <c r="H177" s="604"/>
      <c r="I177" s="604" t="s">
        <v>80</v>
      </c>
      <c r="J177" s="604"/>
      <c r="K177" s="604"/>
      <c r="L177" s="604"/>
      <c r="M177" s="604"/>
      <c r="N177" s="604"/>
      <c r="AB177" s="598"/>
    </row>
    <row r="178" spans="1:32" s="597" customFormat="1" ht="18" customHeight="1" x14ac:dyDescent="0.2">
      <c r="A178" s="604"/>
      <c r="B178" s="605"/>
      <c r="C178" s="604"/>
      <c r="D178" s="604"/>
      <c r="E178" s="604"/>
      <c r="F178" s="604"/>
      <c r="G178" s="604"/>
      <c r="H178" s="604"/>
      <c r="I178" s="604" t="s">
        <v>81</v>
      </c>
      <c r="J178" s="604"/>
      <c r="K178" s="604"/>
      <c r="L178" s="604"/>
      <c r="M178" s="604"/>
      <c r="N178" s="604"/>
      <c r="AB178" s="598"/>
    </row>
    <row r="179" spans="1:32" s="597" customFormat="1" ht="18" customHeight="1" x14ac:dyDescent="0.2">
      <c r="A179" s="604"/>
      <c r="B179" s="605"/>
      <c r="C179" s="604"/>
      <c r="D179" s="604"/>
      <c r="E179" s="604"/>
      <c r="F179" s="604"/>
      <c r="G179" s="604"/>
      <c r="H179" s="604"/>
      <c r="I179" s="604" t="s">
        <v>88</v>
      </c>
      <c r="J179" s="604"/>
      <c r="K179" s="604"/>
      <c r="L179" s="604"/>
      <c r="M179" s="604"/>
      <c r="N179" s="604"/>
      <c r="AB179" s="598"/>
    </row>
    <row r="180" spans="1:32" s="597" customFormat="1" ht="18" customHeight="1" x14ac:dyDescent="0.2">
      <c r="A180" s="604"/>
      <c r="B180" s="605"/>
      <c r="C180" s="604"/>
      <c r="D180" s="604"/>
      <c r="E180" s="604"/>
      <c r="F180" s="604"/>
      <c r="G180" s="604"/>
      <c r="H180" s="604"/>
      <c r="I180" s="604"/>
      <c r="J180" s="604"/>
      <c r="K180" s="604"/>
      <c r="L180" s="604"/>
      <c r="M180" s="604"/>
      <c r="N180" s="604"/>
      <c r="AB180" s="598"/>
    </row>
    <row r="181" spans="1:32" s="597" customFormat="1" ht="18" customHeight="1" x14ac:dyDescent="0.2">
      <c r="A181" s="339"/>
      <c r="B181" s="339"/>
      <c r="C181" s="339"/>
      <c r="D181" s="339"/>
      <c r="E181" s="339"/>
      <c r="F181" s="339"/>
      <c r="G181" s="339"/>
      <c r="H181" s="339"/>
      <c r="I181" s="339"/>
      <c r="J181" s="339"/>
      <c r="K181" s="339"/>
      <c r="L181" s="339"/>
      <c r="M181" s="339"/>
      <c r="N181" s="339"/>
      <c r="O181" s="339"/>
      <c r="P181" s="339"/>
      <c r="Q181" s="339"/>
      <c r="R181" s="339"/>
      <c r="S181" s="339"/>
      <c r="T181" s="339"/>
      <c r="U181" s="339"/>
      <c r="V181" s="339"/>
      <c r="W181" s="339"/>
      <c r="X181" s="339"/>
      <c r="Y181" s="339"/>
      <c r="Z181" s="339"/>
      <c r="AA181" s="2702" t="s">
        <v>0</v>
      </c>
      <c r="AB181" s="2702"/>
      <c r="AC181" s="339"/>
      <c r="AD181" s="339"/>
      <c r="AE181" s="339"/>
      <c r="AF181" s="339"/>
    </row>
    <row r="182" spans="1:32" s="597" customFormat="1" ht="18" customHeight="1" x14ac:dyDescent="0.2">
      <c r="A182" s="2703" t="s">
        <v>1</v>
      </c>
      <c r="B182" s="2703"/>
      <c r="C182" s="2703"/>
      <c r="D182" s="2703"/>
      <c r="E182" s="2703"/>
      <c r="F182" s="2703"/>
      <c r="G182" s="2703"/>
      <c r="H182" s="2703"/>
      <c r="I182" s="2703"/>
      <c r="J182" s="2703"/>
      <c r="K182" s="2703"/>
      <c r="L182" s="2703"/>
      <c r="M182" s="2703"/>
      <c r="N182" s="2703"/>
      <c r="O182" s="2703"/>
      <c r="P182" s="2703"/>
      <c r="Q182" s="2703"/>
      <c r="R182" s="2703"/>
      <c r="S182" s="2703"/>
      <c r="T182" s="2703"/>
      <c r="U182" s="2703"/>
      <c r="V182" s="2703"/>
      <c r="W182" s="2703"/>
      <c r="X182" s="2703"/>
      <c r="Y182" s="2703"/>
      <c r="Z182" s="2703"/>
      <c r="AA182" s="2703"/>
      <c r="AB182" s="2703"/>
      <c r="AC182" s="344"/>
      <c r="AD182" s="344"/>
      <c r="AE182" s="344"/>
      <c r="AF182" s="344"/>
    </row>
    <row r="183" spans="1:32" s="597" customFormat="1" ht="18" customHeight="1" x14ac:dyDescent="0.2">
      <c r="A183" s="2704" t="s">
        <v>463</v>
      </c>
      <c r="B183" s="2704"/>
      <c r="C183" s="2704"/>
      <c r="D183" s="2704"/>
      <c r="E183" s="2704"/>
      <c r="F183" s="2704"/>
      <c r="G183" s="2704"/>
      <c r="H183" s="2704"/>
      <c r="I183" s="2704"/>
      <c r="J183" s="2704"/>
      <c r="K183" s="2704"/>
      <c r="L183" s="2704"/>
      <c r="M183" s="2704"/>
      <c r="N183" s="2704"/>
      <c r="O183" s="2704"/>
      <c r="P183" s="2704"/>
      <c r="Q183" s="2704"/>
      <c r="R183" s="2704"/>
      <c r="S183" s="2704"/>
      <c r="T183" s="2704"/>
      <c r="U183" s="2704"/>
      <c r="V183" s="2704"/>
      <c r="W183" s="2704"/>
      <c r="X183" s="2704"/>
      <c r="Y183" s="2704"/>
      <c r="Z183" s="2704"/>
      <c r="AA183" s="2704"/>
      <c r="AB183" s="2704"/>
      <c r="AC183" s="599"/>
      <c r="AD183" s="599"/>
      <c r="AE183" s="599"/>
      <c r="AF183" s="599"/>
    </row>
    <row r="184" spans="1:32" s="597" customFormat="1" ht="18" customHeight="1" x14ac:dyDescent="0.2">
      <c r="A184" s="2686" t="s">
        <v>2</v>
      </c>
      <c r="B184" s="360"/>
      <c r="C184" s="2686" t="s">
        <v>3</v>
      </c>
      <c r="D184" s="360"/>
      <c r="E184" s="360"/>
      <c r="F184" s="2693" t="s">
        <v>4</v>
      </c>
      <c r="G184" s="2693"/>
      <c r="H184" s="2693"/>
      <c r="I184" s="2694"/>
      <c r="J184" s="2694"/>
      <c r="K184" s="2695"/>
      <c r="L184" s="361"/>
      <c r="M184" s="2679" t="s">
        <v>5</v>
      </c>
      <c r="N184" s="2679"/>
      <c r="O184" s="2679"/>
      <c r="P184" s="2679"/>
      <c r="Q184" s="2696"/>
      <c r="R184" s="2696"/>
      <c r="S184" s="2696"/>
      <c r="T184" s="2696"/>
      <c r="U184" s="2696"/>
      <c r="V184" s="2697"/>
      <c r="W184" s="362" t="s">
        <v>6</v>
      </c>
      <c r="X184" s="363" t="s">
        <v>7</v>
      </c>
      <c r="Y184" s="364"/>
      <c r="Z184" s="364"/>
      <c r="AA184" s="363"/>
      <c r="AB184" s="365"/>
      <c r="AC184" s="516" t="s">
        <v>8</v>
      </c>
      <c r="AD184" s="346"/>
      <c r="AE184" s="346"/>
      <c r="AF184" s="600"/>
    </row>
    <row r="185" spans="1:32" s="597" customFormat="1" ht="18" customHeight="1" x14ac:dyDescent="0.2">
      <c r="A185" s="2687"/>
      <c r="B185" s="367"/>
      <c r="C185" s="2687"/>
      <c r="D185" s="366" t="s">
        <v>9</v>
      </c>
      <c r="E185" s="368" t="s">
        <v>10</v>
      </c>
      <c r="F185" s="2698" t="s">
        <v>11</v>
      </c>
      <c r="G185" s="2694"/>
      <c r="H185" s="2695"/>
      <c r="I185" s="360"/>
      <c r="J185" s="369" t="s">
        <v>12</v>
      </c>
      <c r="K185" s="360"/>
      <c r="L185" s="2679" t="s">
        <v>2</v>
      </c>
      <c r="M185" s="370"/>
      <c r="N185" s="370"/>
      <c r="O185" s="370"/>
      <c r="P185" s="371"/>
      <c r="Q185" s="372" t="s">
        <v>13</v>
      </c>
      <c r="R185" s="373" t="s">
        <v>12</v>
      </c>
      <c r="S185" s="370" t="s">
        <v>6</v>
      </c>
      <c r="T185" s="2682" t="s">
        <v>14</v>
      </c>
      <c r="U185" s="2683"/>
      <c r="V185" s="375" t="s">
        <v>7</v>
      </c>
      <c r="W185" s="376" t="s">
        <v>15</v>
      </c>
      <c r="X185" s="377" t="s">
        <v>16</v>
      </c>
      <c r="Y185" s="377" t="s">
        <v>17</v>
      </c>
      <c r="Z185" s="377" t="s">
        <v>18</v>
      </c>
      <c r="AA185" s="377"/>
      <c r="AB185" s="378" t="s">
        <v>19</v>
      </c>
      <c r="AC185" s="528" t="s">
        <v>20</v>
      </c>
      <c r="AD185" s="601"/>
      <c r="AE185" s="347" t="s">
        <v>21</v>
      </c>
      <c r="AF185" s="340" t="s">
        <v>22</v>
      </c>
    </row>
    <row r="186" spans="1:32" s="597" customFormat="1" ht="18" customHeight="1" x14ac:dyDescent="0.2">
      <c r="A186" s="2687"/>
      <c r="B186" s="366" t="s">
        <v>23</v>
      </c>
      <c r="C186" s="2687"/>
      <c r="D186" s="366" t="s">
        <v>24</v>
      </c>
      <c r="E186" s="368" t="s">
        <v>25</v>
      </c>
      <c r="F186" s="2699"/>
      <c r="G186" s="2700"/>
      <c r="H186" s="2701"/>
      <c r="I186" s="366" t="s">
        <v>26</v>
      </c>
      <c r="J186" s="379" t="s">
        <v>15</v>
      </c>
      <c r="K186" s="380" t="s">
        <v>6</v>
      </c>
      <c r="L186" s="2680"/>
      <c r="M186" s="381" t="s">
        <v>27</v>
      </c>
      <c r="N186" s="381" t="s">
        <v>10</v>
      </c>
      <c r="O186" s="382" t="s">
        <v>10</v>
      </c>
      <c r="P186" s="383" t="s">
        <v>28</v>
      </c>
      <c r="Q186" s="384" t="s">
        <v>29</v>
      </c>
      <c r="R186" s="383" t="s">
        <v>15</v>
      </c>
      <c r="S186" s="385" t="s">
        <v>15</v>
      </c>
      <c r="T186" s="2684"/>
      <c r="U186" s="2685"/>
      <c r="V186" s="375" t="s">
        <v>30</v>
      </c>
      <c r="W186" s="376" t="s">
        <v>31</v>
      </c>
      <c r="X186" s="377" t="s">
        <v>30</v>
      </c>
      <c r="Y186" s="377" t="s">
        <v>32</v>
      </c>
      <c r="Z186" s="377" t="s">
        <v>7</v>
      </c>
      <c r="AA186" s="377" t="s">
        <v>33</v>
      </c>
      <c r="AB186" s="378" t="s">
        <v>34</v>
      </c>
      <c r="AC186" s="528" t="s">
        <v>35</v>
      </c>
      <c r="AD186" s="347" t="s">
        <v>36</v>
      </c>
      <c r="AE186" s="347" t="s">
        <v>37</v>
      </c>
      <c r="AF186" s="340" t="s">
        <v>38</v>
      </c>
    </row>
    <row r="187" spans="1:32" s="597" customFormat="1" ht="18" customHeight="1" x14ac:dyDescent="0.2">
      <c r="A187" s="2687"/>
      <c r="B187" s="366" t="s">
        <v>39</v>
      </c>
      <c r="C187" s="2687"/>
      <c r="D187" s="366" t="s">
        <v>40</v>
      </c>
      <c r="E187" s="368" t="s">
        <v>41</v>
      </c>
      <c r="F187" s="2686" t="s">
        <v>42</v>
      </c>
      <c r="G187" s="2686" t="s">
        <v>43</v>
      </c>
      <c r="H187" s="2688" t="s">
        <v>44</v>
      </c>
      <c r="I187" s="366" t="s">
        <v>45</v>
      </c>
      <c r="J187" s="379" t="s">
        <v>46</v>
      </c>
      <c r="K187" s="380" t="s">
        <v>47</v>
      </c>
      <c r="L187" s="2680"/>
      <c r="M187" s="381" t="s">
        <v>30</v>
      </c>
      <c r="N187" s="381" t="s">
        <v>30</v>
      </c>
      <c r="O187" s="382" t="s">
        <v>25</v>
      </c>
      <c r="P187" s="383" t="s">
        <v>30</v>
      </c>
      <c r="Q187" s="384" t="s">
        <v>48</v>
      </c>
      <c r="R187" s="383" t="s">
        <v>49</v>
      </c>
      <c r="S187" s="385" t="s">
        <v>30</v>
      </c>
      <c r="T187" s="386" t="s">
        <v>50</v>
      </c>
      <c r="U187" s="374" t="s">
        <v>13</v>
      </c>
      <c r="V187" s="375" t="s">
        <v>51</v>
      </c>
      <c r="W187" s="376" t="s">
        <v>52</v>
      </c>
      <c r="X187" s="377" t="s">
        <v>53</v>
      </c>
      <c r="Y187" s="377" t="s">
        <v>54</v>
      </c>
      <c r="Z187" s="377" t="s">
        <v>55</v>
      </c>
      <c r="AA187" s="377" t="s">
        <v>56</v>
      </c>
      <c r="AB187" s="378" t="s">
        <v>57</v>
      </c>
      <c r="AC187" s="347" t="s">
        <v>58</v>
      </c>
      <c r="AD187" s="347" t="s">
        <v>59</v>
      </c>
      <c r="AE187" s="347" t="s">
        <v>59</v>
      </c>
      <c r="AF187" s="340" t="s">
        <v>60</v>
      </c>
    </row>
    <row r="188" spans="1:32" s="597" customFormat="1" ht="18" customHeight="1" x14ac:dyDescent="0.2">
      <c r="A188" s="2687"/>
      <c r="B188" s="366" t="s">
        <v>61</v>
      </c>
      <c r="C188" s="2687"/>
      <c r="D188" s="366" t="s">
        <v>62</v>
      </c>
      <c r="E188" s="368" t="s">
        <v>63</v>
      </c>
      <c r="F188" s="2687"/>
      <c r="G188" s="2687"/>
      <c r="H188" s="2689"/>
      <c r="I188" s="366" t="s">
        <v>64</v>
      </c>
      <c r="J188" s="379" t="s">
        <v>59</v>
      </c>
      <c r="K188" s="380" t="s">
        <v>59</v>
      </c>
      <c r="L188" s="2680"/>
      <c r="M188" s="381"/>
      <c r="N188" s="381"/>
      <c r="O188" s="382" t="s">
        <v>41</v>
      </c>
      <c r="P188" s="383" t="s">
        <v>65</v>
      </c>
      <c r="Q188" s="384" t="s">
        <v>66</v>
      </c>
      <c r="R188" s="383" t="s">
        <v>67</v>
      </c>
      <c r="S188" s="385" t="s">
        <v>59</v>
      </c>
      <c r="T188" s="387" t="s">
        <v>68</v>
      </c>
      <c r="U188" s="375" t="s">
        <v>14</v>
      </c>
      <c r="V188" s="375" t="s">
        <v>14</v>
      </c>
      <c r="W188" s="376" t="s">
        <v>30</v>
      </c>
      <c r="X188" s="388" t="s">
        <v>69</v>
      </c>
      <c r="Y188" s="388" t="s">
        <v>70</v>
      </c>
      <c r="Z188" s="377" t="s">
        <v>71</v>
      </c>
      <c r="AA188" s="377" t="s">
        <v>72</v>
      </c>
      <c r="AB188" s="378" t="s">
        <v>59</v>
      </c>
      <c r="AC188" s="347" t="s">
        <v>59</v>
      </c>
      <c r="AD188" s="347"/>
      <c r="AE188" s="347"/>
      <c r="AF188" s="340" t="s">
        <v>59</v>
      </c>
    </row>
    <row r="189" spans="1:32" s="597" customFormat="1" ht="18" customHeight="1" x14ac:dyDescent="0.2">
      <c r="A189" s="2692"/>
      <c r="B189" s="390"/>
      <c r="C189" s="2692"/>
      <c r="D189" s="390"/>
      <c r="E189" s="389"/>
      <c r="F189" s="390"/>
      <c r="G189" s="390"/>
      <c r="H189" s="391"/>
      <c r="I189" s="389"/>
      <c r="J189" s="392"/>
      <c r="K189" s="393"/>
      <c r="L189" s="2681"/>
      <c r="M189" s="394"/>
      <c r="N189" s="394"/>
      <c r="O189" s="394" t="s">
        <v>63</v>
      </c>
      <c r="P189" s="395"/>
      <c r="Q189" s="396" t="s">
        <v>72</v>
      </c>
      <c r="R189" s="397" t="s">
        <v>59</v>
      </c>
      <c r="S189" s="398"/>
      <c r="T189" s="397" t="s">
        <v>73</v>
      </c>
      <c r="U189" s="398" t="s">
        <v>59</v>
      </c>
      <c r="V189" s="399" t="s">
        <v>59</v>
      </c>
      <c r="W189" s="400" t="s">
        <v>59</v>
      </c>
      <c r="X189" s="401" t="s">
        <v>59</v>
      </c>
      <c r="Y189" s="401" t="s">
        <v>59</v>
      </c>
      <c r="Z189" s="401" t="s">
        <v>59</v>
      </c>
      <c r="AA189" s="402"/>
      <c r="AB189" s="403"/>
      <c r="AC189" s="348"/>
      <c r="AD189" s="348"/>
      <c r="AE189" s="348"/>
      <c r="AF189" s="341"/>
    </row>
    <row r="190" spans="1:32" s="597" customFormat="1" ht="18" customHeight="1" x14ac:dyDescent="0.25">
      <c r="A190" s="16">
        <v>1</v>
      </c>
      <c r="B190" s="333">
        <v>42176</v>
      </c>
      <c r="C190" s="41">
        <v>777</v>
      </c>
      <c r="D190" s="41" t="s">
        <v>99</v>
      </c>
      <c r="E190" s="15">
        <v>2</v>
      </c>
      <c r="F190" s="41">
        <v>0</v>
      </c>
      <c r="G190" s="41">
        <v>2</v>
      </c>
      <c r="H190" s="267">
        <v>13.4</v>
      </c>
      <c r="I190" s="18">
        <f>F190*400+G190*100+H190</f>
        <v>213.4</v>
      </c>
      <c r="J190" s="258">
        <v>2300</v>
      </c>
      <c r="K190" s="39">
        <f>SUM(I190*J190)</f>
        <v>490820</v>
      </c>
      <c r="L190" s="62" t="s">
        <v>264</v>
      </c>
      <c r="M190" s="82">
        <v>103</v>
      </c>
      <c r="N190" s="41" t="s">
        <v>74</v>
      </c>
      <c r="O190" s="41">
        <v>2</v>
      </c>
      <c r="P190" s="1037">
        <f>10*12</f>
        <v>120</v>
      </c>
      <c r="Q190" s="62" t="s">
        <v>234</v>
      </c>
      <c r="R190" s="260">
        <v>9050</v>
      </c>
      <c r="S190" s="18">
        <f t="shared" ref="S190:S196" si="0">P190*R190</f>
        <v>1086000</v>
      </c>
      <c r="T190" s="1961">
        <v>21</v>
      </c>
      <c r="U190" s="1664">
        <f>+S190*0.32</f>
        <v>347520</v>
      </c>
      <c r="V190" s="47">
        <f t="shared" ref="V190:V197" si="1">SUM(S190-U190)</f>
        <v>738480</v>
      </c>
      <c r="W190" s="18">
        <f t="shared" ref="W190:W201" si="2">K190+V190</f>
        <v>1229300</v>
      </c>
      <c r="X190" s="47">
        <f t="shared" ref="X190:X201" si="3">W190</f>
        <v>1229300</v>
      </c>
      <c r="Y190" s="18" t="s">
        <v>89</v>
      </c>
      <c r="Z190" s="18">
        <v>0</v>
      </c>
      <c r="AA190" s="264">
        <v>0.02</v>
      </c>
      <c r="AB190" s="1038"/>
      <c r="AC190" s="602"/>
      <c r="AD190" s="603">
        <f>AB191-AC190</f>
        <v>929.80799999999999</v>
      </c>
      <c r="AE190" s="603">
        <f>IF(AD190&lt;=0,0,AD190*25/100)</f>
        <v>232.452</v>
      </c>
      <c r="AF190" s="603">
        <f>IF(AC190+AE190&gt;AB191,AB191,AC190+AE190)</f>
        <v>232.452</v>
      </c>
    </row>
    <row r="191" spans="1:32" s="597" customFormat="1" ht="18" customHeight="1" x14ac:dyDescent="0.25">
      <c r="A191" s="269"/>
      <c r="B191" s="269"/>
      <c r="C191" s="285"/>
      <c r="D191" s="273"/>
      <c r="E191" s="15"/>
      <c r="F191" s="268"/>
      <c r="G191" s="269"/>
      <c r="H191" s="266">
        <v>12</v>
      </c>
      <c r="I191" s="18">
        <f>F191*400+G191*100+H191</f>
        <v>12</v>
      </c>
      <c r="J191" s="258">
        <v>2300</v>
      </c>
      <c r="K191" s="39">
        <f>SUM(I191*J191)</f>
        <v>27600</v>
      </c>
      <c r="L191" s="62"/>
      <c r="M191" s="145">
        <v>511</v>
      </c>
      <c r="N191" s="15" t="s">
        <v>74</v>
      </c>
      <c r="O191" s="27">
        <v>3</v>
      </c>
      <c r="P191" s="807">
        <f>4*12</f>
        <v>48</v>
      </c>
      <c r="Q191" s="62" t="s">
        <v>235</v>
      </c>
      <c r="R191" s="260">
        <v>8650</v>
      </c>
      <c r="S191" s="18">
        <f t="shared" si="0"/>
        <v>415200</v>
      </c>
      <c r="T191" s="1508">
        <v>21</v>
      </c>
      <c r="U191" s="1664">
        <f>+S191*0.32</f>
        <v>132864</v>
      </c>
      <c r="V191" s="47">
        <f t="shared" si="1"/>
        <v>282336</v>
      </c>
      <c r="W191" s="18">
        <f t="shared" si="2"/>
        <v>309936</v>
      </c>
      <c r="X191" s="47">
        <f t="shared" si="3"/>
        <v>309936</v>
      </c>
      <c r="Y191" s="18">
        <v>0</v>
      </c>
      <c r="Z191" s="18">
        <f t="shared" ref="Z191:Z201" si="4">X191</f>
        <v>309936</v>
      </c>
      <c r="AA191" s="264">
        <v>0.3</v>
      </c>
      <c r="AB191" s="416">
        <f t="shared" ref="AB191:AB201" si="5">+Z191*AA191/100</f>
        <v>929.80799999999999</v>
      </c>
      <c r="AC191" s="350"/>
      <c r="AD191" s="350"/>
      <c r="AE191" s="350"/>
      <c r="AF191" s="350"/>
    </row>
    <row r="192" spans="1:32" s="597" customFormat="1" ht="18" customHeight="1" x14ac:dyDescent="0.25">
      <c r="A192" s="269">
        <v>2</v>
      </c>
      <c r="B192" s="269">
        <v>39596</v>
      </c>
      <c r="C192" s="285" t="s">
        <v>100</v>
      </c>
      <c r="D192" s="273" t="s">
        <v>99</v>
      </c>
      <c r="E192" s="15">
        <v>2</v>
      </c>
      <c r="F192" s="268">
        <v>0</v>
      </c>
      <c r="G192" s="269">
        <v>0</v>
      </c>
      <c r="H192" s="266">
        <v>38.9</v>
      </c>
      <c r="I192" s="18">
        <f>F192*400+G192*100+H192</f>
        <v>38.9</v>
      </c>
      <c r="J192" s="258">
        <v>2300</v>
      </c>
      <c r="K192" s="39">
        <f>SUM(I192*J192)</f>
        <v>89470</v>
      </c>
      <c r="L192" s="285" t="s">
        <v>265</v>
      </c>
      <c r="M192" s="145">
        <v>401</v>
      </c>
      <c r="N192" s="15" t="s">
        <v>74</v>
      </c>
      <c r="O192" s="15">
        <v>2</v>
      </c>
      <c r="P192" s="1039">
        <v>35.369999999999997</v>
      </c>
      <c r="Q192" s="62" t="s">
        <v>75</v>
      </c>
      <c r="R192" s="260">
        <v>8000</v>
      </c>
      <c r="S192" s="18">
        <f t="shared" si="0"/>
        <v>282960</v>
      </c>
      <c r="T192" s="1508">
        <v>9</v>
      </c>
      <c r="U192" s="1664">
        <f t="shared" ref="U192:U201" si="6">+S192*0.09</f>
        <v>25466.399999999998</v>
      </c>
      <c r="V192" s="47">
        <f t="shared" si="1"/>
        <v>257493.6</v>
      </c>
      <c r="W192" s="18">
        <f t="shared" si="2"/>
        <v>346963.6</v>
      </c>
      <c r="X192" s="47">
        <f t="shared" si="3"/>
        <v>346963.6</v>
      </c>
      <c r="Y192" s="18">
        <v>0</v>
      </c>
      <c r="Z192" s="18">
        <f t="shared" si="4"/>
        <v>346963.6</v>
      </c>
      <c r="AA192" s="264">
        <v>0.02</v>
      </c>
      <c r="AB192" s="415">
        <f t="shared" si="5"/>
        <v>69.392719999999997</v>
      </c>
      <c r="AC192" s="350"/>
      <c r="AD192" s="350"/>
      <c r="AE192" s="350"/>
      <c r="AF192" s="350"/>
    </row>
    <row r="193" spans="1:32" s="597" customFormat="1" ht="18" customHeight="1" x14ac:dyDescent="0.25">
      <c r="A193" s="269"/>
      <c r="B193" s="269"/>
      <c r="C193" s="285"/>
      <c r="D193" s="273"/>
      <c r="E193" s="15"/>
      <c r="F193" s="268"/>
      <c r="G193" s="269"/>
      <c r="H193" s="266"/>
      <c r="I193" s="18"/>
      <c r="J193" s="258"/>
      <c r="K193" s="39"/>
      <c r="L193" s="285" t="s">
        <v>266</v>
      </c>
      <c r="M193" s="145">
        <v>401</v>
      </c>
      <c r="N193" s="15" t="s">
        <v>74</v>
      </c>
      <c r="O193" s="15">
        <v>2</v>
      </c>
      <c r="P193" s="1039">
        <v>35.369999999999997</v>
      </c>
      <c r="Q193" s="62" t="s">
        <v>75</v>
      </c>
      <c r="R193" s="260">
        <v>8000</v>
      </c>
      <c r="S193" s="18">
        <f t="shared" si="0"/>
        <v>282960</v>
      </c>
      <c r="T193" s="1508">
        <v>9</v>
      </c>
      <c r="U193" s="1664">
        <f t="shared" si="6"/>
        <v>25466.399999999998</v>
      </c>
      <c r="V193" s="47">
        <f t="shared" si="1"/>
        <v>257493.6</v>
      </c>
      <c r="W193" s="18">
        <f t="shared" si="2"/>
        <v>257493.6</v>
      </c>
      <c r="X193" s="47">
        <f t="shared" si="3"/>
        <v>257493.6</v>
      </c>
      <c r="Y193" s="18">
        <v>0</v>
      </c>
      <c r="Z193" s="18">
        <f t="shared" si="4"/>
        <v>257493.6</v>
      </c>
      <c r="AA193" s="264">
        <v>0.02</v>
      </c>
      <c r="AB193" s="415">
        <f t="shared" si="5"/>
        <v>51.498720000000006</v>
      </c>
      <c r="AC193" s="350"/>
      <c r="AD193" s="350"/>
      <c r="AE193" s="350"/>
      <c r="AF193" s="350"/>
    </row>
    <row r="194" spans="1:32" s="597" customFormat="1" ht="18" customHeight="1" x14ac:dyDescent="0.25">
      <c r="A194" s="269"/>
      <c r="B194" s="269"/>
      <c r="C194" s="285"/>
      <c r="D194" s="273"/>
      <c r="E194" s="15"/>
      <c r="F194" s="268"/>
      <c r="G194" s="269"/>
      <c r="H194" s="266"/>
      <c r="I194" s="18"/>
      <c r="J194" s="258"/>
      <c r="K194" s="39"/>
      <c r="L194" s="285" t="s">
        <v>267</v>
      </c>
      <c r="M194" s="145">
        <v>401</v>
      </c>
      <c r="N194" s="15" t="s">
        <v>74</v>
      </c>
      <c r="O194" s="15">
        <v>2</v>
      </c>
      <c r="P194" s="1039">
        <v>10.27</v>
      </c>
      <c r="Q194" s="62" t="s">
        <v>75</v>
      </c>
      <c r="R194" s="260">
        <v>8000</v>
      </c>
      <c r="S194" s="18">
        <f t="shared" si="0"/>
        <v>82160</v>
      </c>
      <c r="T194" s="1508">
        <v>9</v>
      </c>
      <c r="U194" s="1664">
        <f t="shared" si="6"/>
        <v>7394.4</v>
      </c>
      <c r="V194" s="47">
        <f t="shared" si="1"/>
        <v>74765.600000000006</v>
      </c>
      <c r="W194" s="18">
        <f t="shared" si="2"/>
        <v>74765.600000000006</v>
      </c>
      <c r="X194" s="47">
        <f t="shared" si="3"/>
        <v>74765.600000000006</v>
      </c>
      <c r="Y194" s="18"/>
      <c r="Z194" s="18">
        <f t="shared" si="4"/>
        <v>74765.600000000006</v>
      </c>
      <c r="AA194" s="264">
        <v>0.02</v>
      </c>
      <c r="AB194" s="415">
        <f t="shared" si="5"/>
        <v>14.953120000000002</v>
      </c>
      <c r="AC194" s="350"/>
      <c r="AD194" s="350"/>
      <c r="AE194" s="350"/>
      <c r="AF194" s="350"/>
    </row>
    <row r="195" spans="1:32" s="597" customFormat="1" ht="18" customHeight="1" x14ac:dyDescent="0.25">
      <c r="A195" s="269">
        <v>3</v>
      </c>
      <c r="B195" s="269">
        <v>64030</v>
      </c>
      <c r="C195" s="285" t="s">
        <v>268</v>
      </c>
      <c r="D195" s="273" t="s">
        <v>91</v>
      </c>
      <c r="E195" s="15">
        <v>2</v>
      </c>
      <c r="F195" s="268">
        <v>0</v>
      </c>
      <c r="G195" s="269">
        <v>0</v>
      </c>
      <c r="H195" s="266">
        <v>56.2</v>
      </c>
      <c r="I195" s="18">
        <f>F195*400+G195*100+H195</f>
        <v>56.2</v>
      </c>
      <c r="J195" s="258">
        <v>1750</v>
      </c>
      <c r="K195" s="39">
        <f t="shared" ref="K195:K201" si="7">SUM(I195*J195)</f>
        <v>98350</v>
      </c>
      <c r="L195" s="285" t="s">
        <v>269</v>
      </c>
      <c r="M195" s="145">
        <v>100</v>
      </c>
      <c r="N195" s="15" t="s">
        <v>74</v>
      </c>
      <c r="O195" s="50">
        <v>2</v>
      </c>
      <c r="P195" s="15">
        <v>27</v>
      </c>
      <c r="Q195" s="62" t="s">
        <v>75</v>
      </c>
      <c r="R195" s="260">
        <v>9050</v>
      </c>
      <c r="S195" s="18">
        <f t="shared" si="0"/>
        <v>244350</v>
      </c>
      <c r="T195" s="1508">
        <v>8</v>
      </c>
      <c r="U195" s="1664">
        <f t="shared" si="6"/>
        <v>21991.5</v>
      </c>
      <c r="V195" s="47">
        <f t="shared" si="1"/>
        <v>222358.5</v>
      </c>
      <c r="W195" s="18">
        <f t="shared" si="2"/>
        <v>320708.5</v>
      </c>
      <c r="X195" s="47">
        <f t="shared" si="3"/>
        <v>320708.5</v>
      </c>
      <c r="Y195" s="18">
        <v>0</v>
      </c>
      <c r="Z195" s="18">
        <f t="shared" si="4"/>
        <v>320708.5</v>
      </c>
      <c r="AA195" s="264">
        <v>0.02</v>
      </c>
      <c r="AB195" s="415">
        <f t="shared" si="5"/>
        <v>64.1417</v>
      </c>
      <c r="AC195" s="350"/>
      <c r="AD195" s="350"/>
      <c r="AE195" s="350"/>
      <c r="AF195" s="350"/>
    </row>
    <row r="196" spans="1:32" s="597" customFormat="1" ht="18" customHeight="1" x14ac:dyDescent="0.25">
      <c r="A196" s="269">
        <v>4</v>
      </c>
      <c r="B196" s="269">
        <v>64031</v>
      </c>
      <c r="C196" s="285" t="s">
        <v>270</v>
      </c>
      <c r="D196" s="273" t="s">
        <v>91</v>
      </c>
      <c r="E196" s="15">
        <v>2</v>
      </c>
      <c r="F196" s="268">
        <v>0</v>
      </c>
      <c r="G196" s="269">
        <v>0</v>
      </c>
      <c r="H196" s="266">
        <v>18.2</v>
      </c>
      <c r="I196" s="18">
        <f>F196*400+G196*100+H196</f>
        <v>18.2</v>
      </c>
      <c r="J196" s="258">
        <v>0</v>
      </c>
      <c r="K196" s="39">
        <f t="shared" si="7"/>
        <v>0</v>
      </c>
      <c r="L196" s="285"/>
      <c r="M196" s="145"/>
      <c r="N196" s="15"/>
      <c r="O196" s="50"/>
      <c r="P196" s="15"/>
      <c r="Q196" s="62"/>
      <c r="R196" s="260"/>
      <c r="S196" s="18">
        <f t="shared" si="0"/>
        <v>0</v>
      </c>
      <c r="T196" s="1508"/>
      <c r="U196" s="1664">
        <f t="shared" si="6"/>
        <v>0</v>
      </c>
      <c r="V196" s="47">
        <f t="shared" si="1"/>
        <v>0</v>
      </c>
      <c r="W196" s="18">
        <f t="shared" si="2"/>
        <v>0</v>
      </c>
      <c r="X196" s="47">
        <f t="shared" si="3"/>
        <v>0</v>
      </c>
      <c r="Y196" s="18" t="s">
        <v>271</v>
      </c>
      <c r="Z196" s="18">
        <f t="shared" si="4"/>
        <v>0</v>
      </c>
      <c r="AA196" s="264">
        <v>0.02</v>
      </c>
      <c r="AB196" s="415">
        <f t="shared" si="5"/>
        <v>0</v>
      </c>
      <c r="AC196" s="350"/>
      <c r="AD196" s="350"/>
      <c r="AE196" s="350"/>
      <c r="AF196" s="350"/>
    </row>
    <row r="197" spans="1:32" s="597" customFormat="1" ht="18" customHeight="1" x14ac:dyDescent="0.25">
      <c r="A197" s="269">
        <v>5</v>
      </c>
      <c r="B197" s="287">
        <v>64032</v>
      </c>
      <c r="C197" s="285" t="s">
        <v>157</v>
      </c>
      <c r="D197" s="273" t="s">
        <v>99</v>
      </c>
      <c r="E197" s="15">
        <v>2</v>
      </c>
      <c r="F197" s="288">
        <v>0</v>
      </c>
      <c r="G197" s="289">
        <v>0</v>
      </c>
      <c r="H197" s="289">
        <v>17.100000000000001</v>
      </c>
      <c r="I197" s="79">
        <f>F197*400+G197*100+H197</f>
        <v>17.100000000000001</v>
      </c>
      <c r="J197" s="258">
        <v>1750</v>
      </c>
      <c r="K197" s="80">
        <f t="shared" si="7"/>
        <v>29925.000000000004</v>
      </c>
      <c r="L197" s="285"/>
      <c r="M197" s="145">
        <v>103</v>
      </c>
      <c r="N197" s="15" t="s">
        <v>74</v>
      </c>
      <c r="O197" s="50">
        <v>3</v>
      </c>
      <c r="P197" s="273">
        <v>17.100000000000001</v>
      </c>
      <c r="Q197" s="62" t="s">
        <v>75</v>
      </c>
      <c r="R197" s="290">
        <v>9050</v>
      </c>
      <c r="S197" s="18">
        <f>R197*P197</f>
        <v>154755</v>
      </c>
      <c r="T197" s="1508">
        <v>9</v>
      </c>
      <c r="U197" s="1664">
        <f t="shared" si="6"/>
        <v>13927.949999999999</v>
      </c>
      <c r="V197" s="47">
        <f t="shared" si="1"/>
        <v>140827.04999999999</v>
      </c>
      <c r="W197" s="18">
        <f t="shared" si="2"/>
        <v>170752.05</v>
      </c>
      <c r="X197" s="47">
        <f t="shared" si="3"/>
        <v>170752.05</v>
      </c>
      <c r="Y197" s="18">
        <v>0</v>
      </c>
      <c r="Z197" s="18">
        <f t="shared" si="4"/>
        <v>170752.05</v>
      </c>
      <c r="AA197" s="264">
        <v>0.3</v>
      </c>
      <c r="AB197" s="415">
        <f t="shared" si="5"/>
        <v>512.25614999999993</v>
      </c>
      <c r="AC197" s="350"/>
      <c r="AD197" s="350"/>
      <c r="AE197" s="350"/>
      <c r="AF197" s="350"/>
    </row>
    <row r="198" spans="1:32" s="597" customFormat="1" ht="18" customHeight="1" x14ac:dyDescent="0.25">
      <c r="A198" s="45">
        <v>6</v>
      </c>
      <c r="B198" s="287">
        <v>64033</v>
      </c>
      <c r="C198" s="62" t="s">
        <v>272</v>
      </c>
      <c r="D198" s="273" t="s">
        <v>99</v>
      </c>
      <c r="E198" s="15">
        <v>2</v>
      </c>
      <c r="F198" s="288">
        <v>0</v>
      </c>
      <c r="G198" s="289">
        <v>0</v>
      </c>
      <c r="H198" s="1040">
        <v>29</v>
      </c>
      <c r="I198" s="79">
        <f>F198*400+G198*100+H198</f>
        <v>29</v>
      </c>
      <c r="J198" s="258">
        <v>1750</v>
      </c>
      <c r="K198" s="80">
        <f t="shared" si="7"/>
        <v>50750</v>
      </c>
      <c r="L198" s="62"/>
      <c r="M198" s="145">
        <v>503</v>
      </c>
      <c r="N198" s="15" t="s">
        <v>74</v>
      </c>
      <c r="O198" s="50">
        <v>2</v>
      </c>
      <c r="P198" s="50">
        <v>9.6999999999999993</v>
      </c>
      <c r="Q198" s="62" t="s">
        <v>75</v>
      </c>
      <c r="R198" s="290">
        <v>6550</v>
      </c>
      <c r="S198" s="1041">
        <f>+P198*R198</f>
        <v>63534.999999999993</v>
      </c>
      <c r="T198" s="1508">
        <v>9</v>
      </c>
      <c r="U198" s="1664">
        <f t="shared" si="6"/>
        <v>5718.1499999999987</v>
      </c>
      <c r="V198" s="47">
        <f>+S198-U198</f>
        <v>57816.849999999991</v>
      </c>
      <c r="W198" s="18">
        <f t="shared" si="2"/>
        <v>108566.84999999999</v>
      </c>
      <c r="X198" s="47">
        <f t="shared" si="3"/>
        <v>108566.84999999999</v>
      </c>
      <c r="Y198" s="18">
        <v>0</v>
      </c>
      <c r="Z198" s="18">
        <f t="shared" si="4"/>
        <v>108566.84999999999</v>
      </c>
      <c r="AA198" s="264">
        <v>0.02</v>
      </c>
      <c r="AB198" s="415">
        <f t="shared" si="5"/>
        <v>21.713370000000001</v>
      </c>
      <c r="AC198" s="350"/>
      <c r="AD198" s="350"/>
      <c r="AE198" s="350"/>
      <c r="AF198" s="350"/>
    </row>
    <row r="199" spans="1:32" s="597" customFormat="1" ht="18" customHeight="1" x14ac:dyDescent="0.25">
      <c r="A199" s="45"/>
      <c r="B199" s="287"/>
      <c r="C199" s="62"/>
      <c r="D199" s="273"/>
      <c r="E199" s="15"/>
      <c r="F199" s="288"/>
      <c r="G199" s="289"/>
      <c r="H199" s="1040"/>
      <c r="I199" s="79">
        <f>F199*400+G199*100+H199</f>
        <v>0</v>
      </c>
      <c r="J199" s="258"/>
      <c r="K199" s="80">
        <f t="shared" si="7"/>
        <v>0</v>
      </c>
      <c r="L199" s="62"/>
      <c r="M199" s="145">
        <v>503</v>
      </c>
      <c r="N199" s="15" t="s">
        <v>74</v>
      </c>
      <c r="O199" s="50">
        <v>2</v>
      </c>
      <c r="P199" s="50">
        <v>9.6999999999999993</v>
      </c>
      <c r="Q199" s="62" t="s">
        <v>75</v>
      </c>
      <c r="R199" s="290">
        <v>6550</v>
      </c>
      <c r="S199" s="1041">
        <f>+P199*R199</f>
        <v>63534.999999999993</v>
      </c>
      <c r="T199" s="1508">
        <v>9</v>
      </c>
      <c r="U199" s="1664">
        <f t="shared" si="6"/>
        <v>5718.1499999999987</v>
      </c>
      <c r="V199" s="47">
        <f>+S199-U199</f>
        <v>57816.849999999991</v>
      </c>
      <c r="W199" s="18">
        <f t="shared" si="2"/>
        <v>57816.849999999991</v>
      </c>
      <c r="X199" s="47">
        <f t="shared" si="3"/>
        <v>57816.849999999991</v>
      </c>
      <c r="Y199" s="18">
        <v>0</v>
      </c>
      <c r="Z199" s="18">
        <f t="shared" si="4"/>
        <v>57816.849999999991</v>
      </c>
      <c r="AA199" s="264">
        <v>0.02</v>
      </c>
      <c r="AB199" s="415">
        <f t="shared" si="5"/>
        <v>11.563369999999997</v>
      </c>
      <c r="AC199" s="350"/>
      <c r="AD199" s="350"/>
      <c r="AE199" s="350"/>
      <c r="AF199" s="350"/>
    </row>
    <row r="200" spans="1:32" s="597" customFormat="1" ht="18" customHeight="1" x14ac:dyDescent="0.25">
      <c r="A200" s="45"/>
      <c r="B200" s="287"/>
      <c r="C200" s="62"/>
      <c r="D200" s="273"/>
      <c r="E200" s="15"/>
      <c r="F200" s="288"/>
      <c r="G200" s="289"/>
      <c r="H200" s="1040"/>
      <c r="I200" s="79"/>
      <c r="J200" s="258"/>
      <c r="K200" s="80">
        <f t="shared" si="7"/>
        <v>0</v>
      </c>
      <c r="L200" s="62"/>
      <c r="M200" s="145">
        <v>503</v>
      </c>
      <c r="N200" s="15" t="s">
        <v>74</v>
      </c>
      <c r="O200" s="50">
        <v>2</v>
      </c>
      <c r="P200" s="50">
        <v>9.6999999999999993</v>
      </c>
      <c r="Q200" s="62" t="s">
        <v>75</v>
      </c>
      <c r="R200" s="290">
        <v>6550</v>
      </c>
      <c r="S200" s="1041">
        <f>+P200*R200</f>
        <v>63534.999999999993</v>
      </c>
      <c r="T200" s="1508">
        <v>9</v>
      </c>
      <c r="U200" s="1664">
        <f t="shared" si="6"/>
        <v>5718.1499999999987</v>
      </c>
      <c r="V200" s="47">
        <f>+S200-U200</f>
        <v>57816.849999999991</v>
      </c>
      <c r="W200" s="18">
        <f t="shared" si="2"/>
        <v>57816.849999999991</v>
      </c>
      <c r="X200" s="47">
        <f t="shared" si="3"/>
        <v>57816.849999999991</v>
      </c>
      <c r="Y200" s="18"/>
      <c r="Z200" s="18">
        <f t="shared" si="4"/>
        <v>57816.849999999991</v>
      </c>
      <c r="AA200" s="264">
        <v>0.02</v>
      </c>
      <c r="AB200" s="415">
        <f t="shared" si="5"/>
        <v>11.563369999999997</v>
      </c>
      <c r="AC200" s="350"/>
      <c r="AD200" s="350"/>
      <c r="AE200" s="350"/>
      <c r="AF200" s="350"/>
    </row>
    <row r="201" spans="1:32" s="597" customFormat="1" ht="18" customHeight="1" x14ac:dyDescent="0.25">
      <c r="A201" s="45">
        <v>7</v>
      </c>
      <c r="B201" s="269">
        <v>64034</v>
      </c>
      <c r="C201" s="62" t="s">
        <v>273</v>
      </c>
      <c r="D201" s="273" t="s">
        <v>99</v>
      </c>
      <c r="E201" s="27">
        <v>0</v>
      </c>
      <c r="F201" s="291">
        <v>0</v>
      </c>
      <c r="G201" s="1042">
        <v>15.7</v>
      </c>
      <c r="H201" s="1043">
        <f>G201</f>
        <v>15.7</v>
      </c>
      <c r="I201" s="18">
        <f>H201</f>
        <v>15.7</v>
      </c>
      <c r="J201" s="30">
        <v>1750</v>
      </c>
      <c r="K201" s="80">
        <f t="shared" si="7"/>
        <v>27475</v>
      </c>
      <c r="L201" s="45"/>
      <c r="M201" s="75">
        <v>103</v>
      </c>
      <c r="N201" s="15" t="s">
        <v>74</v>
      </c>
      <c r="O201" s="45">
        <v>2</v>
      </c>
      <c r="P201" s="257">
        <v>15.7</v>
      </c>
      <c r="Q201" s="62" t="s">
        <v>75</v>
      </c>
      <c r="R201" s="283">
        <v>9050</v>
      </c>
      <c r="S201" s="47">
        <f>R201*P201</f>
        <v>142085</v>
      </c>
      <c r="T201" s="1469">
        <v>9</v>
      </c>
      <c r="U201" s="1664">
        <f t="shared" si="6"/>
        <v>12787.65</v>
      </c>
      <c r="V201" s="47">
        <f>S201-U201</f>
        <v>129297.35</v>
      </c>
      <c r="W201" s="18">
        <f t="shared" si="2"/>
        <v>156772.35</v>
      </c>
      <c r="X201" s="47">
        <f t="shared" si="3"/>
        <v>156772.35</v>
      </c>
      <c r="Y201" s="47"/>
      <c r="Z201" s="18">
        <f t="shared" si="4"/>
        <v>156772.35</v>
      </c>
      <c r="AA201" s="292">
        <v>0.02</v>
      </c>
      <c r="AB201" s="415">
        <f t="shared" si="5"/>
        <v>31.354470000000003</v>
      </c>
      <c r="AC201" s="350"/>
      <c r="AD201" s="350"/>
      <c r="AE201" s="350"/>
      <c r="AF201" s="350"/>
    </row>
    <row r="202" spans="1:32" s="597" customFormat="1" ht="18" customHeight="1" x14ac:dyDescent="0.2">
      <c r="A202" s="145"/>
      <c r="B202" s="1088"/>
      <c r="C202" s="177"/>
      <c r="D202" s="145"/>
      <c r="E202" s="145"/>
      <c r="F202" s="145"/>
      <c r="G202" s="145"/>
      <c r="H202" s="147"/>
      <c r="I202" s="107"/>
      <c r="J202" s="178"/>
      <c r="K202" s="107"/>
      <c r="L202" s="145"/>
      <c r="M202" s="145"/>
      <c r="N202" s="145"/>
      <c r="O202" s="145"/>
      <c r="P202" s="147"/>
      <c r="Q202" s="148"/>
      <c r="R202" s="437"/>
      <c r="S202" s="107"/>
      <c r="T202" s="179"/>
      <c r="U202" s="178"/>
      <c r="V202" s="107"/>
      <c r="W202" s="107"/>
      <c r="X202" s="470"/>
      <c r="Y202" s="470"/>
      <c r="Z202" s="471"/>
      <c r="AA202" s="471"/>
      <c r="AB202" s="466"/>
      <c r="AC202" s="350"/>
      <c r="AD202" s="350"/>
      <c r="AE202" s="350"/>
      <c r="AF202" s="350"/>
    </row>
    <row r="203" spans="1:32" s="597" customFormat="1" ht="18" customHeight="1" x14ac:dyDescent="0.2">
      <c r="A203" s="145"/>
      <c r="B203" s="1088"/>
      <c r="C203" s="177"/>
      <c r="D203" s="145"/>
      <c r="E203" s="145"/>
      <c r="F203" s="145"/>
      <c r="G203" s="145"/>
      <c r="H203" s="147"/>
      <c r="I203" s="107"/>
      <c r="J203" s="178"/>
      <c r="K203" s="107"/>
      <c r="L203" s="88"/>
      <c r="M203" s="88"/>
      <c r="N203" s="88"/>
      <c r="O203" s="88"/>
      <c r="P203" s="88"/>
      <c r="Q203" s="129"/>
      <c r="R203" s="445"/>
      <c r="S203" s="121"/>
      <c r="T203" s="182"/>
      <c r="U203" s="181"/>
      <c r="V203" s="121"/>
      <c r="W203" s="121"/>
      <c r="X203" s="472"/>
      <c r="Y203" s="472"/>
      <c r="Z203" s="473"/>
      <c r="AA203" s="473"/>
      <c r="AB203" s="410"/>
      <c r="AC203" s="349"/>
      <c r="AD203" s="349"/>
      <c r="AE203" s="349"/>
      <c r="AF203" s="349"/>
    </row>
    <row r="204" spans="1:32" s="597" customFormat="1" ht="18" customHeight="1" x14ac:dyDescent="0.2">
      <c r="A204" s="1850"/>
      <c r="B204" s="1850"/>
      <c r="C204" s="1850"/>
      <c r="D204" s="1850"/>
      <c r="E204" s="1850"/>
      <c r="F204" s="1850"/>
      <c r="G204" s="1850"/>
      <c r="H204" s="1851"/>
      <c r="I204" s="1852"/>
      <c r="J204" s="1853"/>
      <c r="K204" s="1852"/>
      <c r="L204" s="1852"/>
      <c r="M204" s="1852"/>
      <c r="N204" s="1852"/>
      <c r="O204" s="1852"/>
      <c r="P204" s="1852"/>
      <c r="Q204" s="1852"/>
      <c r="R204" s="1854"/>
      <c r="S204" s="1852"/>
      <c r="T204" s="1855"/>
      <c r="U204" s="1853"/>
      <c r="V204" s="1852"/>
      <c r="W204" s="1852"/>
      <c r="X204" s="1856"/>
      <c r="Y204" s="1856"/>
      <c r="Z204" s="1857"/>
      <c r="AA204" s="1857"/>
      <c r="AB204" s="1847">
        <f>SUM(AB191:AB203)</f>
        <v>1718.2449899999999</v>
      </c>
    </row>
    <row r="205" spans="1:32" s="597" customFormat="1" ht="18" customHeight="1" x14ac:dyDescent="0.2">
      <c r="A205" s="2690" t="s">
        <v>76</v>
      </c>
      <c r="B205" s="2690"/>
      <c r="C205" s="2691" t="s">
        <v>77</v>
      </c>
      <c r="D205" s="2691"/>
      <c r="E205" s="2691"/>
      <c r="F205" s="2691"/>
      <c r="G205" s="2691"/>
      <c r="H205" s="2691"/>
      <c r="I205" s="604" t="s">
        <v>78</v>
      </c>
      <c r="J205" s="604"/>
      <c r="K205" s="604"/>
      <c r="L205" s="604"/>
      <c r="M205" s="604"/>
      <c r="N205" s="604"/>
      <c r="AB205" s="598"/>
    </row>
    <row r="206" spans="1:32" s="597" customFormat="1" ht="18" customHeight="1" x14ac:dyDescent="0.2">
      <c r="A206" s="604"/>
      <c r="B206" s="605"/>
      <c r="C206" s="604"/>
      <c r="D206" s="604"/>
      <c r="E206" s="604"/>
      <c r="F206" s="604"/>
      <c r="G206" s="604"/>
      <c r="H206" s="604"/>
      <c r="I206" s="604" t="s">
        <v>79</v>
      </c>
      <c r="J206" s="604"/>
      <c r="K206" s="604"/>
      <c r="L206" s="604"/>
      <c r="M206" s="604"/>
      <c r="N206" s="604"/>
      <c r="AB206" s="598"/>
    </row>
    <row r="207" spans="1:32" s="597" customFormat="1" ht="18" customHeight="1" x14ac:dyDescent="0.2">
      <c r="A207" s="604"/>
      <c r="B207" s="605"/>
      <c r="C207" s="604"/>
      <c r="D207" s="604"/>
      <c r="E207" s="604"/>
      <c r="F207" s="604"/>
      <c r="G207" s="604"/>
      <c r="H207" s="604"/>
      <c r="I207" s="604" t="s">
        <v>80</v>
      </c>
      <c r="J207" s="604"/>
      <c r="K207" s="604"/>
      <c r="L207" s="604"/>
      <c r="M207" s="604"/>
      <c r="N207" s="604"/>
      <c r="AB207" s="598"/>
    </row>
    <row r="208" spans="1:32" s="597" customFormat="1" ht="18" customHeight="1" x14ac:dyDescent="0.2">
      <c r="A208" s="604"/>
      <c r="B208" s="605"/>
      <c r="C208" s="604"/>
      <c r="D208" s="604"/>
      <c r="E208" s="604"/>
      <c r="F208" s="604"/>
      <c r="G208" s="604"/>
      <c r="H208" s="604"/>
      <c r="I208" s="604" t="s">
        <v>81</v>
      </c>
      <c r="J208" s="604"/>
      <c r="K208" s="604"/>
      <c r="L208" s="604"/>
      <c r="M208" s="604"/>
      <c r="N208" s="604"/>
      <c r="AB208" s="598"/>
    </row>
    <row r="209" spans="1:32" s="597" customFormat="1" ht="18" customHeight="1" x14ac:dyDescent="0.2">
      <c r="A209" s="604"/>
      <c r="B209" s="605"/>
      <c r="C209" s="604"/>
      <c r="D209" s="604"/>
      <c r="E209" s="604"/>
      <c r="F209" s="604"/>
      <c r="G209" s="604"/>
      <c r="H209" s="604"/>
      <c r="I209" s="604" t="s">
        <v>88</v>
      </c>
      <c r="J209" s="604"/>
      <c r="K209" s="604"/>
      <c r="L209" s="604"/>
      <c r="M209" s="604"/>
      <c r="N209" s="604"/>
      <c r="AB209" s="598"/>
      <c r="AC209" s="339"/>
      <c r="AD209" s="339"/>
      <c r="AE209" s="339"/>
      <c r="AF209" s="339"/>
    </row>
    <row r="210" spans="1:32" s="597" customFormat="1" ht="18" customHeight="1" x14ac:dyDescent="0.2">
      <c r="A210" s="339"/>
      <c r="B210" s="339"/>
      <c r="C210" s="339"/>
      <c r="D210" s="339"/>
      <c r="E210" s="339"/>
      <c r="F210" s="339"/>
      <c r="G210" s="339"/>
      <c r="H210" s="339"/>
      <c r="I210" s="339"/>
      <c r="J210" s="339"/>
      <c r="K210" s="339"/>
      <c r="L210" s="339"/>
      <c r="M210" s="339"/>
      <c r="N210" s="339"/>
      <c r="O210" s="339"/>
      <c r="P210" s="339"/>
      <c r="Q210" s="339"/>
      <c r="R210" s="339"/>
      <c r="S210" s="339"/>
      <c r="T210" s="339"/>
      <c r="U210" s="339"/>
      <c r="V210" s="339"/>
      <c r="W210" s="339"/>
      <c r="X210" s="339"/>
      <c r="Y210" s="339"/>
      <c r="Z210" s="339"/>
      <c r="AA210" s="2702" t="s">
        <v>0</v>
      </c>
      <c r="AB210" s="2702"/>
      <c r="AC210" s="344"/>
      <c r="AD210" s="344"/>
      <c r="AE210" s="344"/>
      <c r="AF210" s="344"/>
    </row>
    <row r="211" spans="1:32" s="597" customFormat="1" ht="18" customHeight="1" x14ac:dyDescent="0.2">
      <c r="A211" s="2703" t="s">
        <v>1</v>
      </c>
      <c r="B211" s="2703"/>
      <c r="C211" s="2703"/>
      <c r="D211" s="2703"/>
      <c r="E211" s="2703"/>
      <c r="F211" s="2703"/>
      <c r="G211" s="2703"/>
      <c r="H211" s="2703"/>
      <c r="I211" s="2703"/>
      <c r="J211" s="2703"/>
      <c r="K211" s="2703"/>
      <c r="L211" s="2703"/>
      <c r="M211" s="2703"/>
      <c r="N211" s="2703"/>
      <c r="O211" s="2703"/>
      <c r="P211" s="2703"/>
      <c r="Q211" s="2703"/>
      <c r="R211" s="2703"/>
      <c r="S211" s="2703"/>
      <c r="T211" s="2703"/>
      <c r="U211" s="2703"/>
      <c r="V211" s="2703"/>
      <c r="W211" s="2703"/>
      <c r="X211" s="2703"/>
      <c r="Y211" s="2703"/>
      <c r="Z211" s="2703"/>
      <c r="AA211" s="2703"/>
      <c r="AB211" s="2703"/>
      <c r="AC211" s="599"/>
      <c r="AD211" s="599"/>
      <c r="AE211" s="599"/>
      <c r="AF211" s="599"/>
    </row>
    <row r="212" spans="1:32" s="597" customFormat="1" ht="18" customHeight="1" x14ac:dyDescent="0.2">
      <c r="A212" s="2704" t="s">
        <v>464</v>
      </c>
      <c r="B212" s="2704"/>
      <c r="C212" s="2704"/>
      <c r="D212" s="2704"/>
      <c r="E212" s="2704"/>
      <c r="F212" s="2704"/>
      <c r="G212" s="2704"/>
      <c r="H212" s="2704"/>
      <c r="I212" s="2704"/>
      <c r="J212" s="2704"/>
      <c r="K212" s="2704"/>
      <c r="L212" s="2704"/>
      <c r="M212" s="2704"/>
      <c r="N212" s="2704"/>
      <c r="O212" s="2704"/>
      <c r="P212" s="2704"/>
      <c r="Q212" s="2704"/>
      <c r="R212" s="2704"/>
      <c r="S212" s="2704"/>
      <c r="T212" s="2704"/>
      <c r="U212" s="2704"/>
      <c r="V212" s="2704"/>
      <c r="W212" s="2704"/>
      <c r="X212" s="2704"/>
      <c r="Y212" s="2704"/>
      <c r="Z212" s="2704"/>
      <c r="AA212" s="2704"/>
      <c r="AB212" s="2740"/>
      <c r="AC212" s="516" t="s">
        <v>8</v>
      </c>
      <c r="AD212" s="346"/>
      <c r="AE212" s="346"/>
      <c r="AF212" s="795"/>
    </row>
    <row r="213" spans="1:32" s="597" customFormat="1" ht="18" customHeight="1" x14ac:dyDescent="0.2">
      <c r="A213" s="2686" t="s">
        <v>2</v>
      </c>
      <c r="B213" s="360"/>
      <c r="C213" s="2686" t="s">
        <v>3</v>
      </c>
      <c r="D213" s="360"/>
      <c r="E213" s="360"/>
      <c r="F213" s="2693" t="s">
        <v>4</v>
      </c>
      <c r="G213" s="2693"/>
      <c r="H213" s="2693"/>
      <c r="I213" s="2694"/>
      <c r="J213" s="2694"/>
      <c r="K213" s="2695"/>
      <c r="L213" s="361"/>
      <c r="M213" s="2679" t="s">
        <v>5</v>
      </c>
      <c r="N213" s="2679"/>
      <c r="O213" s="2679"/>
      <c r="P213" s="2679"/>
      <c r="Q213" s="2696"/>
      <c r="R213" s="2696"/>
      <c r="S213" s="2696"/>
      <c r="T213" s="2696"/>
      <c r="U213" s="2696"/>
      <c r="V213" s="2697"/>
      <c r="W213" s="362" t="s">
        <v>6</v>
      </c>
      <c r="X213" s="363" t="s">
        <v>7</v>
      </c>
      <c r="Y213" s="364"/>
      <c r="Z213" s="364"/>
      <c r="AA213" s="363"/>
      <c r="AB213" s="365"/>
      <c r="AC213" s="528" t="s">
        <v>20</v>
      </c>
      <c r="AD213" s="601"/>
      <c r="AE213" s="347" t="s">
        <v>21</v>
      </c>
      <c r="AF213" s="340" t="s">
        <v>22</v>
      </c>
    </row>
    <row r="214" spans="1:32" s="597" customFormat="1" ht="18" customHeight="1" x14ac:dyDescent="0.2">
      <c r="A214" s="2687"/>
      <c r="B214" s="367"/>
      <c r="C214" s="2687"/>
      <c r="D214" s="366" t="s">
        <v>9</v>
      </c>
      <c r="E214" s="368" t="s">
        <v>10</v>
      </c>
      <c r="F214" s="2698" t="s">
        <v>11</v>
      </c>
      <c r="G214" s="2694"/>
      <c r="H214" s="2695"/>
      <c r="I214" s="360"/>
      <c r="J214" s="369" t="s">
        <v>12</v>
      </c>
      <c r="K214" s="360"/>
      <c r="L214" s="2679" t="s">
        <v>2</v>
      </c>
      <c r="M214" s="370"/>
      <c r="N214" s="370"/>
      <c r="O214" s="370"/>
      <c r="P214" s="371"/>
      <c r="Q214" s="372" t="s">
        <v>13</v>
      </c>
      <c r="R214" s="373" t="s">
        <v>12</v>
      </c>
      <c r="S214" s="370" t="s">
        <v>6</v>
      </c>
      <c r="T214" s="2682" t="s">
        <v>14</v>
      </c>
      <c r="U214" s="2683"/>
      <c r="V214" s="375" t="s">
        <v>7</v>
      </c>
      <c r="W214" s="376" t="s">
        <v>15</v>
      </c>
      <c r="X214" s="377" t="s">
        <v>16</v>
      </c>
      <c r="Y214" s="377" t="s">
        <v>17</v>
      </c>
      <c r="Z214" s="377" t="s">
        <v>18</v>
      </c>
      <c r="AA214" s="377"/>
      <c r="AB214" s="378" t="s">
        <v>19</v>
      </c>
      <c r="AC214" s="528" t="s">
        <v>35</v>
      </c>
      <c r="AD214" s="347" t="s">
        <v>36</v>
      </c>
      <c r="AE214" s="347" t="s">
        <v>37</v>
      </c>
      <c r="AF214" s="340" t="s">
        <v>38</v>
      </c>
    </row>
    <row r="215" spans="1:32" s="597" customFormat="1" ht="18" customHeight="1" x14ac:dyDescent="0.2">
      <c r="A215" s="2687"/>
      <c r="B215" s="366" t="s">
        <v>23</v>
      </c>
      <c r="C215" s="2687"/>
      <c r="D215" s="366" t="s">
        <v>24</v>
      </c>
      <c r="E215" s="368" t="s">
        <v>25</v>
      </c>
      <c r="F215" s="2699"/>
      <c r="G215" s="2700"/>
      <c r="H215" s="2701"/>
      <c r="I215" s="366" t="s">
        <v>26</v>
      </c>
      <c r="J215" s="379" t="s">
        <v>15</v>
      </c>
      <c r="K215" s="380" t="s">
        <v>6</v>
      </c>
      <c r="L215" s="2680"/>
      <c r="M215" s="381" t="s">
        <v>27</v>
      </c>
      <c r="N215" s="381" t="s">
        <v>10</v>
      </c>
      <c r="O215" s="382" t="s">
        <v>10</v>
      </c>
      <c r="P215" s="383" t="s">
        <v>28</v>
      </c>
      <c r="Q215" s="384" t="s">
        <v>29</v>
      </c>
      <c r="R215" s="383" t="s">
        <v>15</v>
      </c>
      <c r="S215" s="385" t="s">
        <v>15</v>
      </c>
      <c r="T215" s="2684"/>
      <c r="U215" s="2685"/>
      <c r="V215" s="375" t="s">
        <v>30</v>
      </c>
      <c r="W215" s="376" t="s">
        <v>31</v>
      </c>
      <c r="X215" s="377" t="s">
        <v>30</v>
      </c>
      <c r="Y215" s="377" t="s">
        <v>32</v>
      </c>
      <c r="Z215" s="377" t="s">
        <v>7</v>
      </c>
      <c r="AA215" s="377" t="s">
        <v>33</v>
      </c>
      <c r="AB215" s="378" t="s">
        <v>34</v>
      </c>
      <c r="AC215" s="347" t="s">
        <v>58</v>
      </c>
      <c r="AD215" s="347" t="s">
        <v>59</v>
      </c>
      <c r="AE215" s="347" t="s">
        <v>59</v>
      </c>
      <c r="AF215" s="340" t="s">
        <v>60</v>
      </c>
    </row>
    <row r="216" spans="1:32" s="597" customFormat="1" ht="18" customHeight="1" x14ac:dyDescent="0.2">
      <c r="A216" s="2687"/>
      <c r="B216" s="366" t="s">
        <v>39</v>
      </c>
      <c r="C216" s="2687"/>
      <c r="D216" s="366" t="s">
        <v>40</v>
      </c>
      <c r="E216" s="368" t="s">
        <v>41</v>
      </c>
      <c r="F216" s="2686" t="s">
        <v>42</v>
      </c>
      <c r="G216" s="2686" t="s">
        <v>43</v>
      </c>
      <c r="H216" s="2688" t="s">
        <v>44</v>
      </c>
      <c r="I216" s="366" t="s">
        <v>45</v>
      </c>
      <c r="J216" s="379" t="s">
        <v>46</v>
      </c>
      <c r="K216" s="380" t="s">
        <v>47</v>
      </c>
      <c r="L216" s="2680"/>
      <c r="M216" s="381" t="s">
        <v>30</v>
      </c>
      <c r="N216" s="381" t="s">
        <v>30</v>
      </c>
      <c r="O216" s="382" t="s">
        <v>25</v>
      </c>
      <c r="P216" s="383" t="s">
        <v>30</v>
      </c>
      <c r="Q216" s="384" t="s">
        <v>48</v>
      </c>
      <c r="R216" s="383" t="s">
        <v>49</v>
      </c>
      <c r="S216" s="385" t="s">
        <v>30</v>
      </c>
      <c r="T216" s="386" t="s">
        <v>50</v>
      </c>
      <c r="U216" s="374" t="s">
        <v>13</v>
      </c>
      <c r="V216" s="375" t="s">
        <v>51</v>
      </c>
      <c r="W216" s="376" t="s">
        <v>52</v>
      </c>
      <c r="X216" s="377" t="s">
        <v>53</v>
      </c>
      <c r="Y216" s="377" t="s">
        <v>54</v>
      </c>
      <c r="Z216" s="377" t="s">
        <v>55</v>
      </c>
      <c r="AA216" s="377" t="s">
        <v>56</v>
      </c>
      <c r="AB216" s="378" t="s">
        <v>57</v>
      </c>
      <c r="AC216" s="347" t="s">
        <v>59</v>
      </c>
      <c r="AD216" s="347"/>
      <c r="AE216" s="347"/>
      <c r="AF216" s="340" t="s">
        <v>59</v>
      </c>
    </row>
    <row r="217" spans="1:32" s="597" customFormat="1" ht="18" customHeight="1" x14ac:dyDescent="0.2">
      <c r="A217" s="2687"/>
      <c r="B217" s="366" t="s">
        <v>61</v>
      </c>
      <c r="C217" s="2687"/>
      <c r="D217" s="366" t="s">
        <v>62</v>
      </c>
      <c r="E217" s="368" t="s">
        <v>63</v>
      </c>
      <c r="F217" s="2687"/>
      <c r="G217" s="2687"/>
      <c r="H217" s="2689"/>
      <c r="I217" s="366" t="s">
        <v>64</v>
      </c>
      <c r="J217" s="379" t="s">
        <v>59</v>
      </c>
      <c r="K217" s="380" t="s">
        <v>59</v>
      </c>
      <c r="L217" s="2680"/>
      <c r="M217" s="381"/>
      <c r="N217" s="381"/>
      <c r="O217" s="382" t="s">
        <v>41</v>
      </c>
      <c r="P217" s="383" t="s">
        <v>65</v>
      </c>
      <c r="Q217" s="384" t="s">
        <v>66</v>
      </c>
      <c r="R217" s="383" t="s">
        <v>67</v>
      </c>
      <c r="S217" s="385" t="s">
        <v>59</v>
      </c>
      <c r="T217" s="387" t="s">
        <v>68</v>
      </c>
      <c r="U217" s="375" t="s">
        <v>14</v>
      </c>
      <c r="V217" s="375" t="s">
        <v>14</v>
      </c>
      <c r="W217" s="376" t="s">
        <v>30</v>
      </c>
      <c r="X217" s="388" t="s">
        <v>69</v>
      </c>
      <c r="Y217" s="388" t="s">
        <v>70</v>
      </c>
      <c r="Z217" s="377" t="s">
        <v>71</v>
      </c>
      <c r="AA217" s="377" t="s">
        <v>72</v>
      </c>
      <c r="AB217" s="378" t="s">
        <v>59</v>
      </c>
      <c r="AC217" s="348"/>
      <c r="AD217" s="348"/>
      <c r="AE217" s="348"/>
      <c r="AF217" s="341"/>
    </row>
    <row r="218" spans="1:32" s="597" customFormat="1" ht="18" customHeight="1" x14ac:dyDescent="0.2">
      <c r="A218" s="2692"/>
      <c r="B218" s="390"/>
      <c r="C218" s="2692"/>
      <c r="D218" s="390"/>
      <c r="E218" s="389"/>
      <c r="F218" s="390"/>
      <c r="G218" s="390"/>
      <c r="H218" s="391"/>
      <c r="I218" s="389"/>
      <c r="J218" s="392"/>
      <c r="K218" s="393"/>
      <c r="L218" s="2681"/>
      <c r="M218" s="394"/>
      <c r="N218" s="394"/>
      <c r="O218" s="394" t="s">
        <v>63</v>
      </c>
      <c r="P218" s="395"/>
      <c r="Q218" s="396" t="s">
        <v>72</v>
      </c>
      <c r="R218" s="397" t="s">
        <v>59</v>
      </c>
      <c r="S218" s="398"/>
      <c r="T218" s="397" t="s">
        <v>73</v>
      </c>
      <c r="U218" s="398" t="s">
        <v>59</v>
      </c>
      <c r="V218" s="399" t="s">
        <v>59</v>
      </c>
      <c r="W218" s="400" t="s">
        <v>59</v>
      </c>
      <c r="X218" s="401" t="s">
        <v>59</v>
      </c>
      <c r="Y218" s="401" t="s">
        <v>59</v>
      </c>
      <c r="Z218" s="401" t="s">
        <v>59</v>
      </c>
      <c r="AA218" s="402"/>
      <c r="AB218" s="403"/>
      <c r="AC218" s="602"/>
      <c r="AD218" s="603">
        <f>AB219-AC218</f>
        <v>0</v>
      </c>
      <c r="AE218" s="603">
        <f>IF(AD218&lt;=0,0,AD218*25/100)</f>
        <v>0</v>
      </c>
      <c r="AF218" s="603">
        <f>IF(AC218+AE218&gt;AB219,AB219,AC218+AE218)</f>
        <v>0</v>
      </c>
    </row>
    <row r="219" spans="1:32" s="597" customFormat="1" ht="18" customHeight="1" x14ac:dyDescent="0.25">
      <c r="A219" s="16">
        <v>1</v>
      </c>
      <c r="B219" s="1387">
        <v>2155</v>
      </c>
      <c r="C219" s="259">
        <v>96</v>
      </c>
      <c r="D219" s="259" t="s">
        <v>91</v>
      </c>
      <c r="E219" s="259">
        <v>1</v>
      </c>
      <c r="F219" s="259">
        <v>2</v>
      </c>
      <c r="G219" s="259">
        <v>2</v>
      </c>
      <c r="H219" s="272">
        <v>16</v>
      </c>
      <c r="I219" s="66">
        <f>F219*400+G219*100+H219</f>
        <v>1016</v>
      </c>
      <c r="J219" s="1045">
        <v>1000</v>
      </c>
      <c r="K219" s="278">
        <f>SUM(I219*J219)</f>
        <v>1016000</v>
      </c>
      <c r="L219" s="63"/>
      <c r="M219" s="153"/>
      <c r="N219" s="259"/>
      <c r="O219" s="63">
        <v>1</v>
      </c>
      <c r="P219" s="259"/>
      <c r="Q219" s="62"/>
      <c r="R219" s="260"/>
      <c r="S219" s="18"/>
      <c r="T219" s="20"/>
      <c r="U219" s="47"/>
      <c r="V219" s="47"/>
      <c r="W219" s="18">
        <f>K219+V219</f>
        <v>1016000</v>
      </c>
      <c r="X219" s="47">
        <f>W219</f>
        <v>1016000</v>
      </c>
      <c r="Y219" s="293" t="s">
        <v>87</v>
      </c>
      <c r="Z219" s="18">
        <v>0</v>
      </c>
      <c r="AA219" s="264">
        <v>0.01</v>
      </c>
      <c r="AB219" s="406">
        <f>+Z219*AA219/100</f>
        <v>0</v>
      </c>
      <c r="AC219" s="350"/>
      <c r="AD219" s="350"/>
      <c r="AE219" s="350"/>
      <c r="AF219" s="350"/>
    </row>
    <row r="220" spans="1:32" s="597" customFormat="1" ht="18" customHeight="1" x14ac:dyDescent="0.25">
      <c r="A220" s="269">
        <v>2</v>
      </c>
      <c r="B220" s="287">
        <v>2154</v>
      </c>
      <c r="C220" s="15">
        <v>243</v>
      </c>
      <c r="D220" s="15" t="s">
        <v>91</v>
      </c>
      <c r="E220" s="15">
        <v>1</v>
      </c>
      <c r="F220" s="15">
        <v>6</v>
      </c>
      <c r="G220" s="15">
        <v>2</v>
      </c>
      <c r="H220" s="284">
        <v>88</v>
      </c>
      <c r="I220" s="18">
        <f>F220*400+G220*100+H220</f>
        <v>2688</v>
      </c>
      <c r="J220" s="265">
        <v>280</v>
      </c>
      <c r="K220" s="39">
        <f>SUM(I220*J220)</f>
        <v>752640</v>
      </c>
      <c r="L220" s="50"/>
      <c r="M220" s="145"/>
      <c r="N220" s="15"/>
      <c r="O220" s="50">
        <v>1</v>
      </c>
      <c r="P220" s="15"/>
      <c r="Q220" s="62"/>
      <c r="R220" s="260"/>
      <c r="S220" s="18"/>
      <c r="T220" s="20"/>
      <c r="U220" s="47"/>
      <c r="V220" s="47"/>
      <c r="W220" s="18">
        <f>K220+V220</f>
        <v>752640</v>
      </c>
      <c r="X220" s="47">
        <f>W220</f>
        <v>752640</v>
      </c>
      <c r="Y220" s="293" t="s">
        <v>87</v>
      </c>
      <c r="Z220" s="18">
        <v>0</v>
      </c>
      <c r="AA220" s="264">
        <v>0.01</v>
      </c>
      <c r="AB220" s="415">
        <f>+Z220*AA220/100</f>
        <v>0</v>
      </c>
      <c r="AC220" s="350"/>
      <c r="AD220" s="350"/>
      <c r="AE220" s="350"/>
      <c r="AF220" s="350"/>
    </row>
    <row r="221" spans="1:32" s="597" customFormat="1" ht="18" customHeight="1" x14ac:dyDescent="0.25">
      <c r="A221" s="269">
        <v>3</v>
      </c>
      <c r="B221" s="269">
        <v>2270</v>
      </c>
      <c r="C221" s="285" t="s">
        <v>101</v>
      </c>
      <c r="D221" s="15" t="s">
        <v>91</v>
      </c>
      <c r="E221" s="273">
        <v>5</v>
      </c>
      <c r="F221" s="268">
        <v>0</v>
      </c>
      <c r="G221" s="269">
        <v>1</v>
      </c>
      <c r="H221" s="266">
        <v>43</v>
      </c>
      <c r="I221" s="18">
        <f>F221*400+G221*100+H221</f>
        <v>143</v>
      </c>
      <c r="J221" s="258">
        <v>2300</v>
      </c>
      <c r="K221" s="39">
        <f>SUM(I221*J221)</f>
        <v>328900</v>
      </c>
      <c r="L221" s="50">
        <v>1</v>
      </c>
      <c r="M221" s="145">
        <v>101</v>
      </c>
      <c r="N221" s="15" t="s">
        <v>82</v>
      </c>
      <c r="O221" s="50">
        <v>2</v>
      </c>
      <c r="P221" s="15">
        <f>8.93*14.51</f>
        <v>129.57429999999999</v>
      </c>
      <c r="Q221" s="62" t="s">
        <v>75</v>
      </c>
      <c r="R221" s="260">
        <v>7700</v>
      </c>
      <c r="S221" s="18">
        <f>+P221*R221</f>
        <v>997722.11</v>
      </c>
      <c r="T221" s="1469">
        <v>58</v>
      </c>
      <c r="U221" s="1664">
        <f>+S221*0.93</f>
        <v>927881.56229999999</v>
      </c>
      <c r="V221" s="47">
        <f>+S221-U221</f>
        <v>69840.547699999996</v>
      </c>
      <c r="W221" s="18">
        <f>K221+V221</f>
        <v>398740.5477</v>
      </c>
      <c r="X221" s="47">
        <f>W221</f>
        <v>398740.5477</v>
      </c>
      <c r="Y221" s="293" t="s">
        <v>89</v>
      </c>
      <c r="Z221" s="18">
        <v>0</v>
      </c>
      <c r="AA221" s="264">
        <v>0.02</v>
      </c>
      <c r="AB221" s="415">
        <f>+Z221*AA221/100</f>
        <v>0</v>
      </c>
      <c r="AC221" s="350"/>
      <c r="AD221" s="350"/>
      <c r="AE221" s="350"/>
      <c r="AF221" s="350"/>
    </row>
    <row r="222" spans="1:32" s="597" customFormat="1" ht="18" customHeight="1" x14ac:dyDescent="0.25">
      <c r="A222" s="269"/>
      <c r="B222" s="269"/>
      <c r="C222" s="285"/>
      <c r="D222" s="273"/>
      <c r="E222" s="273"/>
      <c r="F222" s="268"/>
      <c r="G222" s="269"/>
      <c r="H222" s="266"/>
      <c r="I222" s="18">
        <f>F222*400+G222*100+H222</f>
        <v>0</v>
      </c>
      <c r="J222" s="258"/>
      <c r="K222" s="39">
        <f>SUM(I222*J222)</f>
        <v>0</v>
      </c>
      <c r="L222" s="269">
        <v>2</v>
      </c>
      <c r="M222" s="242">
        <v>103</v>
      </c>
      <c r="N222" s="269" t="s">
        <v>74</v>
      </c>
      <c r="O222" s="50">
        <v>2</v>
      </c>
      <c r="P222" s="266">
        <f>8.7*17.99</f>
        <v>156.51299999999998</v>
      </c>
      <c r="Q222" s="62" t="s">
        <v>75</v>
      </c>
      <c r="R222" s="260">
        <v>9050</v>
      </c>
      <c r="S222" s="18">
        <f>+P222*R222</f>
        <v>1416442.6499999997</v>
      </c>
      <c r="T222" s="1469">
        <v>14</v>
      </c>
      <c r="U222" s="1664">
        <f>+S222*0.18</f>
        <v>254959.67699999994</v>
      </c>
      <c r="V222" s="47">
        <f>+S222-U222</f>
        <v>1161482.9729999998</v>
      </c>
      <c r="W222" s="18">
        <f>K222+V222</f>
        <v>1161482.9729999998</v>
      </c>
      <c r="X222" s="47">
        <f>W222</f>
        <v>1161482.9729999998</v>
      </c>
      <c r="Y222" s="293"/>
      <c r="Z222" s="18">
        <f>+X222</f>
        <v>1161482.9729999998</v>
      </c>
      <c r="AA222" s="264">
        <v>0.02</v>
      </c>
      <c r="AB222" s="415">
        <f>+Z222*AA222/100</f>
        <v>232.29659459999996</v>
      </c>
      <c r="AC222" s="350"/>
      <c r="AD222" s="350"/>
      <c r="AE222" s="350"/>
      <c r="AF222" s="350"/>
    </row>
    <row r="223" spans="1:32" s="597" customFormat="1" ht="18" customHeight="1" x14ac:dyDescent="0.25">
      <c r="A223" s="269"/>
      <c r="B223" s="269"/>
      <c r="C223" s="285"/>
      <c r="D223" s="273"/>
      <c r="E223" s="273"/>
      <c r="F223" s="268"/>
      <c r="G223" s="269"/>
      <c r="H223" s="266">
        <v>13</v>
      </c>
      <c r="I223" s="18">
        <f>F223*400+G223*100+H223</f>
        <v>13</v>
      </c>
      <c r="J223" s="258">
        <v>2300</v>
      </c>
      <c r="K223" s="39">
        <f>SUM(I223*J223)</f>
        <v>29900</v>
      </c>
      <c r="L223" s="269">
        <v>3</v>
      </c>
      <c r="M223" s="242">
        <v>504</v>
      </c>
      <c r="N223" s="269" t="s">
        <v>74</v>
      </c>
      <c r="O223" s="50">
        <v>3</v>
      </c>
      <c r="P223" s="266">
        <f>4.47*10.5</f>
        <v>46.934999999999995</v>
      </c>
      <c r="Q223" s="62" t="s">
        <v>75</v>
      </c>
      <c r="R223" s="260">
        <v>3100</v>
      </c>
      <c r="S223" s="18">
        <f>+P223*R223</f>
        <v>145498.49999999997</v>
      </c>
      <c r="T223" s="1469">
        <v>14</v>
      </c>
      <c r="U223" s="1664">
        <f>+S223*0.18</f>
        <v>26189.729999999992</v>
      </c>
      <c r="V223" s="47">
        <f>+S223-U223</f>
        <v>119308.76999999997</v>
      </c>
      <c r="W223" s="18">
        <f>K223+V223</f>
        <v>149208.76999999996</v>
      </c>
      <c r="X223" s="47">
        <f>W223</f>
        <v>149208.76999999996</v>
      </c>
      <c r="Y223" s="293"/>
      <c r="Z223" s="18">
        <f>+X223</f>
        <v>149208.76999999996</v>
      </c>
      <c r="AA223" s="264">
        <v>0.3</v>
      </c>
      <c r="AB223" s="410">
        <f>+Z223*AA223/100</f>
        <v>447.62630999999988</v>
      </c>
      <c r="AC223" s="350"/>
      <c r="AD223" s="350"/>
      <c r="AE223" s="350"/>
      <c r="AF223" s="350"/>
    </row>
    <row r="224" spans="1:32" s="597" customFormat="1" ht="18" customHeight="1" x14ac:dyDescent="0.2">
      <c r="A224" s="145"/>
      <c r="B224" s="177"/>
      <c r="C224" s="177"/>
      <c r="D224" s="145"/>
      <c r="E224" s="145"/>
      <c r="F224" s="145"/>
      <c r="G224" s="145"/>
      <c r="H224" s="147"/>
      <c r="I224" s="107"/>
      <c r="J224" s="178"/>
      <c r="K224" s="107"/>
      <c r="L224" s="145"/>
      <c r="M224" s="145"/>
      <c r="N224" s="145"/>
      <c r="O224" s="145"/>
      <c r="P224" s="147"/>
      <c r="Q224" s="148"/>
      <c r="R224" s="437"/>
      <c r="S224" s="107"/>
      <c r="T224" s="179"/>
      <c r="U224" s="178"/>
      <c r="V224" s="107"/>
      <c r="W224" s="107"/>
      <c r="X224" s="470"/>
      <c r="Y224" s="470"/>
      <c r="Z224" s="471"/>
      <c r="AA224" s="471"/>
      <c r="AB224" s="466"/>
      <c r="AC224" s="350"/>
      <c r="AD224" s="350"/>
      <c r="AE224" s="350"/>
      <c r="AF224" s="350"/>
    </row>
    <row r="225" spans="1:32" s="597" customFormat="1" ht="18" customHeight="1" x14ac:dyDescent="0.2">
      <c r="A225" s="145"/>
      <c r="B225" s="177"/>
      <c r="C225" s="177"/>
      <c r="D225" s="145"/>
      <c r="E225" s="145"/>
      <c r="F225" s="145"/>
      <c r="G225" s="145"/>
      <c r="H225" s="147"/>
      <c r="I225" s="107"/>
      <c r="J225" s="178"/>
      <c r="K225" s="107"/>
      <c r="L225" s="145"/>
      <c r="M225" s="145"/>
      <c r="N225" s="145"/>
      <c r="O225" s="145"/>
      <c r="P225" s="147"/>
      <c r="Q225" s="148"/>
      <c r="R225" s="437"/>
      <c r="S225" s="107"/>
      <c r="T225" s="179"/>
      <c r="U225" s="178"/>
      <c r="V225" s="107"/>
      <c r="W225" s="107"/>
      <c r="X225" s="470"/>
      <c r="Y225" s="470"/>
      <c r="Z225" s="471"/>
      <c r="AA225" s="471"/>
      <c r="AB225" s="466"/>
      <c r="AC225" s="350"/>
      <c r="AD225" s="350"/>
      <c r="AE225" s="350"/>
      <c r="AF225" s="350"/>
    </row>
    <row r="226" spans="1:32" s="597" customFormat="1" ht="18" customHeight="1" x14ac:dyDescent="0.2">
      <c r="A226" s="145"/>
      <c r="B226" s="177"/>
      <c r="C226" s="177"/>
      <c r="D226" s="145"/>
      <c r="E226" s="145"/>
      <c r="F226" s="145"/>
      <c r="G226" s="145"/>
      <c r="H226" s="147"/>
      <c r="I226" s="107"/>
      <c r="J226" s="178"/>
      <c r="K226" s="107"/>
      <c r="L226" s="145"/>
      <c r="M226" s="145"/>
      <c r="N226" s="145"/>
      <c r="O226" s="145"/>
      <c r="P226" s="147"/>
      <c r="Q226" s="148"/>
      <c r="R226" s="437"/>
      <c r="S226" s="107"/>
      <c r="T226" s="179"/>
      <c r="U226" s="178"/>
      <c r="V226" s="107"/>
      <c r="W226" s="107"/>
      <c r="X226" s="470"/>
      <c r="Y226" s="470"/>
      <c r="Z226" s="471"/>
      <c r="AA226" s="471"/>
      <c r="AB226" s="466"/>
      <c r="AC226" s="350"/>
      <c r="AD226" s="350"/>
      <c r="AE226" s="350"/>
      <c r="AF226" s="350"/>
    </row>
    <row r="227" spans="1:32" s="597" customFormat="1" ht="18" customHeight="1" x14ac:dyDescent="0.2">
      <c r="A227" s="145"/>
      <c r="B227" s="177"/>
      <c r="C227" s="177"/>
      <c r="D227" s="145"/>
      <c r="E227" s="145"/>
      <c r="F227" s="145"/>
      <c r="G227" s="145"/>
      <c r="H227" s="147"/>
      <c r="I227" s="107"/>
      <c r="J227" s="178"/>
      <c r="K227" s="107"/>
      <c r="L227" s="145"/>
      <c r="M227" s="145"/>
      <c r="N227" s="145"/>
      <c r="O227" s="145"/>
      <c r="P227" s="147"/>
      <c r="Q227" s="148"/>
      <c r="R227" s="437"/>
      <c r="S227" s="107"/>
      <c r="T227" s="179"/>
      <c r="U227" s="178"/>
      <c r="V227" s="107"/>
      <c r="W227" s="107"/>
      <c r="X227" s="470"/>
      <c r="Y227" s="470"/>
      <c r="Z227" s="471"/>
      <c r="AA227" s="471"/>
      <c r="AB227" s="466"/>
      <c r="AC227" s="350"/>
      <c r="AD227" s="350"/>
      <c r="AE227" s="350"/>
      <c r="AF227" s="350"/>
    </row>
    <row r="228" spans="1:32" s="597" customFormat="1" ht="18" customHeight="1" x14ac:dyDescent="0.2">
      <c r="A228" s="145"/>
      <c r="B228" s="177"/>
      <c r="C228" s="177"/>
      <c r="D228" s="145"/>
      <c r="E228" s="145"/>
      <c r="F228" s="145"/>
      <c r="G228" s="145"/>
      <c r="H228" s="147"/>
      <c r="I228" s="107"/>
      <c r="J228" s="178"/>
      <c r="K228" s="107"/>
      <c r="L228" s="145"/>
      <c r="M228" s="145"/>
      <c r="N228" s="145"/>
      <c r="O228" s="145"/>
      <c r="P228" s="147"/>
      <c r="Q228" s="148"/>
      <c r="R228" s="437"/>
      <c r="S228" s="107"/>
      <c r="T228" s="179"/>
      <c r="U228" s="178"/>
      <c r="V228" s="107"/>
      <c r="W228" s="107"/>
      <c r="X228" s="470"/>
      <c r="Y228" s="470"/>
      <c r="Z228" s="471"/>
      <c r="AA228" s="471"/>
      <c r="AB228" s="466"/>
      <c r="AC228" s="350"/>
      <c r="AD228" s="350"/>
      <c r="AE228" s="350"/>
      <c r="AF228" s="350"/>
    </row>
    <row r="229" spans="1:32" s="597" customFormat="1" ht="18" customHeight="1" x14ac:dyDescent="0.2">
      <c r="A229" s="145"/>
      <c r="B229" s="177"/>
      <c r="C229" s="177"/>
      <c r="D229" s="145"/>
      <c r="E229" s="145"/>
      <c r="F229" s="145"/>
      <c r="G229" s="145"/>
      <c r="H229" s="147"/>
      <c r="I229" s="107"/>
      <c r="J229" s="178"/>
      <c r="K229" s="107"/>
      <c r="L229" s="145"/>
      <c r="M229" s="145"/>
      <c r="N229" s="145"/>
      <c r="O229" s="145"/>
      <c r="P229" s="147"/>
      <c r="Q229" s="148"/>
      <c r="R229" s="437"/>
      <c r="S229" s="107"/>
      <c r="T229" s="179"/>
      <c r="U229" s="178"/>
      <c r="V229" s="107"/>
      <c r="W229" s="107"/>
      <c r="X229" s="470"/>
      <c r="Y229" s="470"/>
      <c r="Z229" s="471"/>
      <c r="AA229" s="471"/>
      <c r="AB229" s="466"/>
      <c r="AC229" s="350"/>
      <c r="AD229" s="350"/>
      <c r="AE229" s="350"/>
      <c r="AF229" s="350"/>
    </row>
    <row r="230" spans="1:32" s="597" customFormat="1" ht="18" customHeight="1" x14ac:dyDescent="0.2">
      <c r="A230" s="145"/>
      <c r="B230" s="177"/>
      <c r="C230" s="177"/>
      <c r="D230" s="145"/>
      <c r="E230" s="145"/>
      <c r="F230" s="145"/>
      <c r="G230" s="145"/>
      <c r="H230" s="147"/>
      <c r="I230" s="107"/>
      <c r="J230" s="178"/>
      <c r="K230" s="107"/>
      <c r="L230" s="145"/>
      <c r="M230" s="145"/>
      <c r="N230" s="145"/>
      <c r="O230" s="145"/>
      <c r="P230" s="147"/>
      <c r="Q230" s="148"/>
      <c r="R230" s="437"/>
      <c r="S230" s="107"/>
      <c r="T230" s="179"/>
      <c r="U230" s="178"/>
      <c r="V230" s="107"/>
      <c r="W230" s="107"/>
      <c r="X230" s="470"/>
      <c r="Y230" s="470"/>
      <c r="Z230" s="471"/>
      <c r="AA230" s="471"/>
      <c r="AB230" s="466"/>
      <c r="AC230" s="350"/>
      <c r="AD230" s="350"/>
      <c r="AE230" s="350"/>
      <c r="AF230" s="350"/>
    </row>
    <row r="231" spans="1:32" s="597" customFormat="1" ht="18" customHeight="1" x14ac:dyDescent="0.2">
      <c r="A231" s="145"/>
      <c r="B231" s="177"/>
      <c r="C231" s="177"/>
      <c r="D231" s="145"/>
      <c r="E231" s="145"/>
      <c r="F231" s="145"/>
      <c r="G231" s="145"/>
      <c r="H231" s="147"/>
      <c r="I231" s="107"/>
      <c r="J231" s="178"/>
      <c r="K231" s="107"/>
      <c r="L231" s="145"/>
      <c r="M231" s="145"/>
      <c r="N231" s="145"/>
      <c r="O231" s="145"/>
      <c r="P231" s="147"/>
      <c r="Q231" s="148"/>
      <c r="R231" s="437"/>
      <c r="S231" s="107"/>
      <c r="T231" s="179"/>
      <c r="U231" s="178"/>
      <c r="V231" s="107"/>
      <c r="W231" s="107"/>
      <c r="X231" s="470"/>
      <c r="Y231" s="470"/>
      <c r="Z231" s="471"/>
      <c r="AA231" s="471"/>
      <c r="AB231" s="466"/>
      <c r="AC231" s="350"/>
      <c r="AD231" s="350"/>
      <c r="AE231" s="350"/>
      <c r="AF231" s="350"/>
    </row>
    <row r="232" spans="1:32" s="597" customFormat="1" ht="18" customHeight="1" x14ac:dyDescent="0.2">
      <c r="A232" s="145"/>
      <c r="B232" s="177"/>
      <c r="C232" s="177"/>
      <c r="D232" s="145"/>
      <c r="E232" s="145"/>
      <c r="F232" s="145"/>
      <c r="G232" s="145"/>
      <c r="H232" s="147"/>
      <c r="I232" s="107"/>
      <c r="J232" s="178"/>
      <c r="K232" s="107"/>
      <c r="L232" s="145"/>
      <c r="M232" s="145"/>
      <c r="N232" s="145"/>
      <c r="O232" s="145"/>
      <c r="P232" s="147"/>
      <c r="Q232" s="148"/>
      <c r="R232" s="437"/>
      <c r="S232" s="107"/>
      <c r="T232" s="179"/>
      <c r="U232" s="178"/>
      <c r="V232" s="107"/>
      <c r="W232" s="107"/>
      <c r="X232" s="470"/>
      <c r="Y232" s="470"/>
      <c r="Z232" s="471"/>
      <c r="AA232" s="471"/>
      <c r="AB232" s="466"/>
      <c r="AC232" s="351"/>
      <c r="AD232" s="351"/>
      <c r="AE232" s="351"/>
      <c r="AF232" s="351"/>
    </row>
    <row r="233" spans="1:32" s="597" customFormat="1" ht="18" customHeight="1" x14ac:dyDescent="0.2">
      <c r="A233" s="88"/>
      <c r="B233" s="180"/>
      <c r="C233" s="180"/>
      <c r="D233" s="88"/>
      <c r="E233" s="88"/>
      <c r="F233" s="88"/>
      <c r="G233" s="88"/>
      <c r="H233" s="120"/>
      <c r="I233" s="121"/>
      <c r="J233" s="181"/>
      <c r="K233" s="121"/>
      <c r="L233" s="88"/>
      <c r="M233" s="88"/>
      <c r="N233" s="88"/>
      <c r="O233" s="88"/>
      <c r="P233" s="88"/>
      <c r="Q233" s="129"/>
      <c r="R233" s="445"/>
      <c r="S233" s="121"/>
      <c r="T233" s="182"/>
      <c r="U233" s="181"/>
      <c r="V233" s="121"/>
      <c r="W233" s="121"/>
      <c r="X233" s="472"/>
      <c r="Y233" s="472"/>
      <c r="Z233" s="473"/>
      <c r="AA233" s="473"/>
      <c r="AB233" s="410"/>
      <c r="AC233" s="349"/>
      <c r="AD233" s="349"/>
      <c r="AE233" s="349"/>
      <c r="AF233" s="349"/>
    </row>
    <row r="234" spans="1:32" s="597" customFormat="1" ht="18" customHeight="1" x14ac:dyDescent="0.2">
      <c r="A234" s="1850"/>
      <c r="B234" s="1850"/>
      <c r="C234" s="1850"/>
      <c r="D234" s="1850"/>
      <c r="E234" s="1850"/>
      <c r="F234" s="1850"/>
      <c r="G234" s="1850"/>
      <c r="H234" s="1851"/>
      <c r="I234" s="1852"/>
      <c r="J234" s="1853"/>
      <c r="K234" s="1852"/>
      <c r="L234" s="1852"/>
      <c r="M234" s="1852"/>
      <c r="N234" s="1852"/>
      <c r="O234" s="1852"/>
      <c r="P234" s="1852"/>
      <c r="Q234" s="1852"/>
      <c r="R234" s="1854"/>
      <c r="S234" s="1852"/>
      <c r="T234" s="1855"/>
      <c r="U234" s="1853"/>
      <c r="V234" s="1852"/>
      <c r="W234" s="1852"/>
      <c r="X234" s="1856"/>
      <c r="Y234" s="1856"/>
      <c r="Z234" s="1857"/>
      <c r="AA234" s="1857"/>
      <c r="AB234" s="1847">
        <f>SUM(AB219:AB233)</f>
        <v>679.92290459999981</v>
      </c>
    </row>
    <row r="235" spans="1:32" s="597" customFormat="1" ht="18" customHeight="1" x14ac:dyDescent="0.2">
      <c r="A235" s="2690" t="s">
        <v>76</v>
      </c>
      <c r="B235" s="2690"/>
      <c r="C235" s="2691" t="s">
        <v>77</v>
      </c>
      <c r="D235" s="2691"/>
      <c r="E235" s="2691"/>
      <c r="F235" s="2691"/>
      <c r="G235" s="2691"/>
      <c r="H235" s="2691"/>
      <c r="I235" s="604" t="s">
        <v>78</v>
      </c>
      <c r="J235" s="604"/>
      <c r="K235" s="604"/>
      <c r="L235" s="604"/>
      <c r="M235" s="604"/>
      <c r="N235" s="604"/>
      <c r="AB235" s="598"/>
    </row>
    <row r="236" spans="1:32" s="597" customFormat="1" ht="18" customHeight="1" x14ac:dyDescent="0.2">
      <c r="A236" s="604"/>
      <c r="B236" s="605"/>
      <c r="C236" s="604"/>
      <c r="D236" s="604"/>
      <c r="E236" s="604"/>
      <c r="F236" s="604"/>
      <c r="G236" s="604"/>
      <c r="H236" s="604"/>
      <c r="I236" s="604" t="s">
        <v>79</v>
      </c>
      <c r="J236" s="604"/>
      <c r="K236" s="604"/>
      <c r="L236" s="604"/>
      <c r="M236" s="604"/>
      <c r="N236" s="604"/>
      <c r="AB236" s="598"/>
    </row>
    <row r="237" spans="1:32" s="597" customFormat="1" ht="18" customHeight="1" x14ac:dyDescent="0.2">
      <c r="A237" s="604"/>
      <c r="B237" s="605"/>
      <c r="C237" s="604"/>
      <c r="D237" s="604"/>
      <c r="E237" s="604"/>
      <c r="F237" s="604"/>
      <c r="G237" s="604"/>
      <c r="H237" s="604"/>
      <c r="I237" s="604" t="s">
        <v>80</v>
      </c>
      <c r="J237" s="604"/>
      <c r="K237" s="604"/>
      <c r="L237" s="604"/>
      <c r="M237" s="604"/>
      <c r="N237" s="604"/>
      <c r="AB237" s="598"/>
    </row>
    <row r="238" spans="1:32" s="597" customFormat="1" ht="18" customHeight="1" x14ac:dyDescent="0.2">
      <c r="A238" s="604"/>
      <c r="B238" s="605"/>
      <c r="C238" s="604"/>
      <c r="D238" s="604"/>
      <c r="E238" s="604"/>
      <c r="F238" s="604"/>
      <c r="G238" s="604"/>
      <c r="H238" s="604"/>
      <c r="I238" s="604" t="s">
        <v>81</v>
      </c>
      <c r="J238" s="604"/>
      <c r="K238" s="604"/>
      <c r="L238" s="604"/>
      <c r="M238" s="604"/>
      <c r="N238" s="604"/>
      <c r="AB238" s="598"/>
    </row>
    <row r="239" spans="1:32" s="597" customFormat="1" ht="18" customHeight="1" x14ac:dyDescent="0.2">
      <c r="A239" s="604"/>
      <c r="B239" s="605"/>
      <c r="C239" s="604"/>
      <c r="D239" s="604"/>
      <c r="E239" s="604"/>
      <c r="F239" s="604"/>
      <c r="G239" s="604"/>
      <c r="H239" s="604"/>
      <c r="I239" s="604" t="s">
        <v>88</v>
      </c>
      <c r="J239" s="604"/>
      <c r="K239" s="604"/>
      <c r="L239" s="604"/>
      <c r="M239" s="604"/>
      <c r="N239" s="604"/>
      <c r="AB239" s="598"/>
      <c r="AC239" s="339"/>
      <c r="AD239" s="339"/>
      <c r="AE239" s="339"/>
      <c r="AF239" s="339"/>
    </row>
    <row r="240" spans="1:32" s="1162" customFormat="1" ht="18" customHeight="1" x14ac:dyDescent="0.2">
      <c r="A240" s="1160"/>
      <c r="B240" s="1160"/>
      <c r="C240" s="1160"/>
      <c r="D240" s="1160"/>
      <c r="E240" s="1160"/>
      <c r="F240" s="1160"/>
      <c r="G240" s="1160"/>
      <c r="H240" s="1160"/>
      <c r="I240" s="1160"/>
      <c r="J240" s="1160"/>
      <c r="K240" s="1160"/>
      <c r="L240" s="1160"/>
      <c r="M240" s="1160"/>
      <c r="N240" s="1160"/>
      <c r="O240" s="1160"/>
      <c r="P240" s="1160"/>
      <c r="Q240" s="1160"/>
      <c r="R240" s="1160"/>
      <c r="S240" s="1160"/>
      <c r="T240" s="1160"/>
      <c r="U240" s="1160"/>
      <c r="V240" s="1160"/>
      <c r="W240" s="1160"/>
      <c r="X240" s="1160"/>
      <c r="Y240" s="1160"/>
      <c r="Z240" s="1160"/>
      <c r="AA240" s="2748" t="s">
        <v>0</v>
      </c>
      <c r="AB240" s="2748"/>
      <c r="AC240" s="1161"/>
      <c r="AD240" s="1161"/>
      <c r="AE240" s="1161"/>
      <c r="AF240" s="1161"/>
    </row>
    <row r="241" spans="1:32" s="1162" customFormat="1" ht="18" customHeight="1" x14ac:dyDescent="0.2">
      <c r="A241" s="2749" t="s">
        <v>1</v>
      </c>
      <c r="B241" s="2749"/>
      <c r="C241" s="2749"/>
      <c r="D241" s="2749"/>
      <c r="E241" s="2749"/>
      <c r="F241" s="2749"/>
      <c r="G241" s="2749"/>
      <c r="H241" s="2749"/>
      <c r="I241" s="2749"/>
      <c r="J241" s="2749"/>
      <c r="K241" s="2749"/>
      <c r="L241" s="2749"/>
      <c r="M241" s="2749"/>
      <c r="N241" s="2749"/>
      <c r="O241" s="2749"/>
      <c r="P241" s="2749"/>
      <c r="Q241" s="2749"/>
      <c r="R241" s="2749"/>
      <c r="S241" s="2749"/>
      <c r="T241" s="2749"/>
      <c r="U241" s="2749"/>
      <c r="V241" s="2749"/>
      <c r="W241" s="2749"/>
      <c r="X241" s="2749"/>
      <c r="Y241" s="2749"/>
      <c r="Z241" s="2749"/>
      <c r="AA241" s="2749"/>
      <c r="AB241" s="2749"/>
      <c r="AC241" s="1164"/>
      <c r="AD241" s="1164"/>
      <c r="AE241" s="1164"/>
      <c r="AF241" s="1164"/>
    </row>
    <row r="242" spans="1:32" s="1162" customFormat="1" ht="18" customHeight="1" x14ac:dyDescent="0.2">
      <c r="A242" s="2704" t="s">
        <v>465</v>
      </c>
      <c r="B242" s="2704"/>
      <c r="C242" s="2704"/>
      <c r="D242" s="2704"/>
      <c r="E242" s="2704"/>
      <c r="F242" s="2704"/>
      <c r="G242" s="2704"/>
      <c r="H242" s="2704"/>
      <c r="I242" s="2704"/>
      <c r="J242" s="2704"/>
      <c r="K242" s="2704"/>
      <c r="L242" s="2704"/>
      <c r="M242" s="2704"/>
      <c r="N242" s="2704"/>
      <c r="O242" s="2704"/>
      <c r="P242" s="2704"/>
      <c r="Q242" s="2704"/>
      <c r="R242" s="2704"/>
      <c r="S242" s="2704"/>
      <c r="T242" s="2704"/>
      <c r="U242" s="2704"/>
      <c r="V242" s="2704"/>
      <c r="W242" s="2704"/>
      <c r="X242" s="2704"/>
      <c r="Y242" s="2704"/>
      <c r="Z242" s="2704"/>
      <c r="AA242" s="2704"/>
      <c r="AB242" s="2740"/>
      <c r="AC242" s="1165" t="s">
        <v>8</v>
      </c>
      <c r="AD242" s="1166"/>
      <c r="AE242" s="1166"/>
      <c r="AF242" s="1167"/>
    </row>
    <row r="243" spans="1:32" s="1162" customFormat="1" ht="18" customHeight="1" x14ac:dyDescent="0.2">
      <c r="A243" s="2746" t="s">
        <v>2</v>
      </c>
      <c r="B243" s="1168"/>
      <c r="C243" s="2746" t="s">
        <v>3</v>
      </c>
      <c r="D243" s="1168"/>
      <c r="E243" s="1168"/>
      <c r="F243" s="2751" t="s">
        <v>4</v>
      </c>
      <c r="G243" s="2751"/>
      <c r="H243" s="2751"/>
      <c r="I243" s="2752"/>
      <c r="J243" s="2752"/>
      <c r="K243" s="2753"/>
      <c r="L243" s="1169"/>
      <c r="M243" s="2754" t="s">
        <v>5</v>
      </c>
      <c r="N243" s="2754"/>
      <c r="O243" s="2754"/>
      <c r="P243" s="2754"/>
      <c r="Q243" s="2755"/>
      <c r="R243" s="2755"/>
      <c r="S243" s="2755"/>
      <c r="T243" s="2755"/>
      <c r="U243" s="2755"/>
      <c r="V243" s="2756"/>
      <c r="W243" s="1170" t="s">
        <v>6</v>
      </c>
      <c r="X243" s="1171" t="s">
        <v>7</v>
      </c>
      <c r="Y243" s="1172"/>
      <c r="Z243" s="1172"/>
      <c r="AA243" s="1171"/>
      <c r="AB243" s="1173"/>
      <c r="AC243" s="1174" t="s">
        <v>20</v>
      </c>
      <c r="AD243" s="1175"/>
      <c r="AE243" s="1176" t="s">
        <v>21</v>
      </c>
      <c r="AF243" s="1177" t="s">
        <v>22</v>
      </c>
    </row>
    <row r="244" spans="1:32" s="1162" customFormat="1" ht="18" customHeight="1" x14ac:dyDescent="0.2">
      <c r="A244" s="2747"/>
      <c r="B244" s="1179"/>
      <c r="C244" s="2747"/>
      <c r="D244" s="1178" t="s">
        <v>9</v>
      </c>
      <c r="E244" s="1180" t="s">
        <v>10</v>
      </c>
      <c r="F244" s="2757" t="s">
        <v>11</v>
      </c>
      <c r="G244" s="2752"/>
      <c r="H244" s="2753"/>
      <c r="I244" s="1168"/>
      <c r="J244" s="1181" t="s">
        <v>12</v>
      </c>
      <c r="K244" s="1168"/>
      <c r="L244" s="2754" t="s">
        <v>2</v>
      </c>
      <c r="M244" s="1182"/>
      <c r="N244" s="1182"/>
      <c r="O244" s="1182"/>
      <c r="P244" s="1183"/>
      <c r="Q244" s="1184" t="s">
        <v>13</v>
      </c>
      <c r="R244" s="1185" t="s">
        <v>12</v>
      </c>
      <c r="S244" s="1182" t="s">
        <v>6</v>
      </c>
      <c r="T244" s="2763" t="s">
        <v>14</v>
      </c>
      <c r="U244" s="2764"/>
      <c r="V244" s="1187" t="s">
        <v>7</v>
      </c>
      <c r="W244" s="1188" t="s">
        <v>15</v>
      </c>
      <c r="X244" s="1189" t="s">
        <v>16</v>
      </c>
      <c r="Y244" s="1189" t="s">
        <v>17</v>
      </c>
      <c r="Z244" s="1189" t="s">
        <v>18</v>
      </c>
      <c r="AA244" s="1189"/>
      <c r="AB244" s="1190" t="s">
        <v>19</v>
      </c>
      <c r="AC244" s="1174" t="s">
        <v>35</v>
      </c>
      <c r="AD244" s="1176" t="s">
        <v>36</v>
      </c>
      <c r="AE244" s="1176" t="s">
        <v>37</v>
      </c>
      <c r="AF244" s="1177" t="s">
        <v>38</v>
      </c>
    </row>
    <row r="245" spans="1:32" s="1162" customFormat="1" ht="18" customHeight="1" x14ac:dyDescent="0.2">
      <c r="A245" s="2747"/>
      <c r="B245" s="1178" t="s">
        <v>23</v>
      </c>
      <c r="C245" s="2747"/>
      <c r="D245" s="1178" t="s">
        <v>24</v>
      </c>
      <c r="E245" s="1180" t="s">
        <v>25</v>
      </c>
      <c r="F245" s="2758"/>
      <c r="G245" s="2759"/>
      <c r="H245" s="2760"/>
      <c r="I245" s="1178" t="s">
        <v>26</v>
      </c>
      <c r="J245" s="1191" t="s">
        <v>15</v>
      </c>
      <c r="K245" s="1192" t="s">
        <v>6</v>
      </c>
      <c r="L245" s="2761"/>
      <c r="M245" s="1193" t="s">
        <v>27</v>
      </c>
      <c r="N245" s="1193" t="s">
        <v>10</v>
      </c>
      <c r="O245" s="1194" t="s">
        <v>10</v>
      </c>
      <c r="P245" s="1195" t="s">
        <v>28</v>
      </c>
      <c r="Q245" s="1196" t="s">
        <v>29</v>
      </c>
      <c r="R245" s="1195" t="s">
        <v>15</v>
      </c>
      <c r="S245" s="1197" t="s">
        <v>15</v>
      </c>
      <c r="T245" s="2765"/>
      <c r="U245" s="2766"/>
      <c r="V245" s="1187" t="s">
        <v>30</v>
      </c>
      <c r="W245" s="1188" t="s">
        <v>31</v>
      </c>
      <c r="X245" s="1189" t="s">
        <v>30</v>
      </c>
      <c r="Y245" s="1189" t="s">
        <v>32</v>
      </c>
      <c r="Z245" s="1189" t="s">
        <v>7</v>
      </c>
      <c r="AA245" s="1189" t="s">
        <v>33</v>
      </c>
      <c r="AB245" s="1190" t="s">
        <v>34</v>
      </c>
      <c r="AC245" s="1176" t="s">
        <v>58</v>
      </c>
      <c r="AD245" s="1176" t="s">
        <v>59</v>
      </c>
      <c r="AE245" s="1176" t="s">
        <v>59</v>
      </c>
      <c r="AF245" s="1177" t="s">
        <v>60</v>
      </c>
    </row>
    <row r="246" spans="1:32" s="1162" customFormat="1" ht="18" customHeight="1" x14ac:dyDescent="0.2">
      <c r="A246" s="2747"/>
      <c r="B246" s="1178" t="s">
        <v>39</v>
      </c>
      <c r="C246" s="2747"/>
      <c r="D246" s="1178" t="s">
        <v>40</v>
      </c>
      <c r="E246" s="1180" t="s">
        <v>41</v>
      </c>
      <c r="F246" s="2746" t="s">
        <v>42</v>
      </c>
      <c r="G246" s="2746" t="s">
        <v>43</v>
      </c>
      <c r="H246" s="2767" t="s">
        <v>44</v>
      </c>
      <c r="I246" s="1178" t="s">
        <v>45</v>
      </c>
      <c r="J246" s="1191" t="s">
        <v>46</v>
      </c>
      <c r="K246" s="1192" t="s">
        <v>47</v>
      </c>
      <c r="L246" s="2761"/>
      <c r="M246" s="1193" t="s">
        <v>30</v>
      </c>
      <c r="N246" s="1193" t="s">
        <v>30</v>
      </c>
      <c r="O246" s="1194" t="s">
        <v>25</v>
      </c>
      <c r="P246" s="1195" t="s">
        <v>30</v>
      </c>
      <c r="Q246" s="1196" t="s">
        <v>48</v>
      </c>
      <c r="R246" s="1195" t="s">
        <v>49</v>
      </c>
      <c r="S246" s="1197" t="s">
        <v>30</v>
      </c>
      <c r="T246" s="1198" t="s">
        <v>50</v>
      </c>
      <c r="U246" s="1186" t="s">
        <v>13</v>
      </c>
      <c r="V246" s="1187" t="s">
        <v>51</v>
      </c>
      <c r="W246" s="1188" t="s">
        <v>52</v>
      </c>
      <c r="X246" s="1189" t="s">
        <v>53</v>
      </c>
      <c r="Y246" s="1189" t="s">
        <v>54</v>
      </c>
      <c r="Z246" s="1189" t="s">
        <v>55</v>
      </c>
      <c r="AA246" s="1189" t="s">
        <v>56</v>
      </c>
      <c r="AB246" s="1190" t="s">
        <v>57</v>
      </c>
      <c r="AC246" s="1176" t="s">
        <v>59</v>
      </c>
      <c r="AD246" s="1176"/>
      <c r="AE246" s="1176"/>
      <c r="AF246" s="1177" t="s">
        <v>59</v>
      </c>
    </row>
    <row r="247" spans="1:32" s="1162" customFormat="1" ht="18" customHeight="1" x14ac:dyDescent="0.2">
      <c r="A247" s="2747"/>
      <c r="B247" s="1178" t="s">
        <v>61</v>
      </c>
      <c r="C247" s="2747"/>
      <c r="D247" s="1178" t="s">
        <v>62</v>
      </c>
      <c r="E247" s="1180" t="s">
        <v>63</v>
      </c>
      <c r="F247" s="2747"/>
      <c r="G247" s="2747"/>
      <c r="H247" s="2768"/>
      <c r="I247" s="1178" t="s">
        <v>64</v>
      </c>
      <c r="J247" s="1191" t="s">
        <v>59</v>
      </c>
      <c r="K247" s="1192" t="s">
        <v>59</v>
      </c>
      <c r="L247" s="2761"/>
      <c r="M247" s="1193"/>
      <c r="N247" s="1193"/>
      <c r="O247" s="1194" t="s">
        <v>41</v>
      </c>
      <c r="P247" s="1195" t="s">
        <v>65</v>
      </c>
      <c r="Q247" s="1196" t="s">
        <v>66</v>
      </c>
      <c r="R247" s="1195" t="s">
        <v>67</v>
      </c>
      <c r="S247" s="1197" t="s">
        <v>59</v>
      </c>
      <c r="T247" s="1199" t="s">
        <v>68</v>
      </c>
      <c r="U247" s="1187" t="s">
        <v>14</v>
      </c>
      <c r="V247" s="1187" t="s">
        <v>14</v>
      </c>
      <c r="W247" s="1188" t="s">
        <v>30</v>
      </c>
      <c r="X247" s="1200" t="s">
        <v>69</v>
      </c>
      <c r="Y247" s="1200" t="s">
        <v>70</v>
      </c>
      <c r="Z247" s="1189" t="s">
        <v>71</v>
      </c>
      <c r="AA247" s="1189" t="s">
        <v>72</v>
      </c>
      <c r="AB247" s="1190" t="s">
        <v>59</v>
      </c>
      <c r="AC247" s="1201"/>
      <c r="AD247" s="1201"/>
      <c r="AE247" s="1201"/>
      <c r="AF247" s="1202"/>
    </row>
    <row r="248" spans="1:32" s="1162" customFormat="1" ht="18" customHeight="1" x14ac:dyDescent="0.2">
      <c r="A248" s="2750"/>
      <c r="B248" s="1204"/>
      <c r="C248" s="2750"/>
      <c r="D248" s="1204"/>
      <c r="E248" s="1203"/>
      <c r="F248" s="1204"/>
      <c r="G248" s="1204"/>
      <c r="H248" s="1205"/>
      <c r="I248" s="1203"/>
      <c r="J248" s="1206"/>
      <c r="K248" s="1207"/>
      <c r="L248" s="2762"/>
      <c r="M248" s="1208"/>
      <c r="N248" s="1208"/>
      <c r="O248" s="1208" t="s">
        <v>63</v>
      </c>
      <c r="P248" s="1209"/>
      <c r="Q248" s="1210" t="s">
        <v>72</v>
      </c>
      <c r="R248" s="1211" t="s">
        <v>59</v>
      </c>
      <c r="S248" s="1212"/>
      <c r="T248" s="1211" t="s">
        <v>73</v>
      </c>
      <c r="U248" s="1212" t="s">
        <v>59</v>
      </c>
      <c r="V248" s="1213" t="s">
        <v>59</v>
      </c>
      <c r="W248" s="1214" t="s">
        <v>59</v>
      </c>
      <c r="X248" s="1215" t="s">
        <v>59</v>
      </c>
      <c r="Y248" s="1215" t="s">
        <v>59</v>
      </c>
      <c r="Z248" s="1215" t="s">
        <v>59</v>
      </c>
      <c r="AA248" s="1216"/>
      <c r="AB248" s="1217"/>
      <c r="AC248" s="1218"/>
      <c r="AD248" s="1219">
        <f>AB249-AC248</f>
        <v>0</v>
      </c>
      <c r="AE248" s="1219">
        <f>IF(AD248&lt;=0,0,AD248*25/100)</f>
        <v>0</v>
      </c>
      <c r="AF248" s="1219">
        <f>IF(AC248+AE248&gt;AB249,AB249,AC248+AE248)</f>
        <v>0</v>
      </c>
    </row>
    <row r="249" spans="1:32" s="1162" customFormat="1" ht="18" customHeight="1" x14ac:dyDescent="0.2">
      <c r="A249" s="1220">
        <v>1</v>
      </c>
      <c r="B249" s="1221">
        <v>2269</v>
      </c>
      <c r="C249" s="1221">
        <v>64</v>
      </c>
      <c r="D249" s="1221" t="s">
        <v>91</v>
      </c>
      <c r="E249" s="1221">
        <v>5</v>
      </c>
      <c r="F249" s="1221">
        <v>0</v>
      </c>
      <c r="G249" s="1221">
        <v>2</v>
      </c>
      <c r="H249" s="1222">
        <v>15.1</v>
      </c>
      <c r="I249" s="1223">
        <f>F249*400+G249*100+H249</f>
        <v>215.1</v>
      </c>
      <c r="J249" s="1224">
        <v>2300</v>
      </c>
      <c r="K249" s="1225">
        <f>SUM(I249*J249)</f>
        <v>494730</v>
      </c>
      <c r="L249" s="1226">
        <v>1</v>
      </c>
      <c r="M249" s="1227" t="s">
        <v>260</v>
      </c>
      <c r="N249" s="1228" t="s">
        <v>74</v>
      </c>
      <c r="O249" s="1228">
        <v>2</v>
      </c>
      <c r="P249" s="1229">
        <f>31.6*23.1</f>
        <v>729.96</v>
      </c>
      <c r="Q249" s="1230" t="s">
        <v>85</v>
      </c>
      <c r="R249" s="1231">
        <v>8650</v>
      </c>
      <c r="S249" s="1232">
        <f>+P249*R249</f>
        <v>6314154</v>
      </c>
      <c r="T249" s="1962">
        <v>43</v>
      </c>
      <c r="U249" s="1486">
        <f>+S249*0.76</f>
        <v>4798757.04</v>
      </c>
      <c r="V249" s="1233">
        <f>SUM(S249-U249)</f>
        <v>1515396.96</v>
      </c>
      <c r="W249" s="1232">
        <f>K249+V249</f>
        <v>2010126.96</v>
      </c>
      <c r="X249" s="1233">
        <f>W249</f>
        <v>2010126.96</v>
      </c>
      <c r="Y249" s="1234" t="s">
        <v>89</v>
      </c>
      <c r="Z249" s="1232">
        <v>0</v>
      </c>
      <c r="AA249" s="1235">
        <v>0.02</v>
      </c>
      <c r="AB249" s="1236">
        <f>+Z249*AA249/100</f>
        <v>0</v>
      </c>
    </row>
    <row r="250" spans="1:32" s="1162" customFormat="1" ht="18" customHeight="1" x14ac:dyDescent="0.2">
      <c r="A250" s="1237"/>
      <c r="B250" s="1238"/>
      <c r="C250" s="1238"/>
      <c r="D250" s="1238"/>
      <c r="E250" s="1238"/>
      <c r="F250" s="1238"/>
      <c r="G250" s="1238"/>
      <c r="H250" s="1239">
        <v>20.9</v>
      </c>
      <c r="I250" s="1240">
        <f>F250*400+G250*100+H250</f>
        <v>20.9</v>
      </c>
      <c r="J250" s="1241">
        <v>2300</v>
      </c>
      <c r="K250" s="1242">
        <f>SUM(I250*J250)</f>
        <v>48070</v>
      </c>
      <c r="L250" s="1226"/>
      <c r="M250" s="1227"/>
      <c r="N250" s="1228" t="s">
        <v>74</v>
      </c>
      <c r="O250" s="1228">
        <v>3</v>
      </c>
      <c r="P250" s="1229">
        <v>83.6</v>
      </c>
      <c r="Q250" s="1230" t="s">
        <v>233</v>
      </c>
      <c r="R250" s="1231">
        <v>8650</v>
      </c>
      <c r="S250" s="1232">
        <f>+P250*R250</f>
        <v>723140</v>
      </c>
      <c r="T250" s="1962">
        <v>43</v>
      </c>
      <c r="U250" s="1486">
        <f>+S250*0.76</f>
        <v>549586.4</v>
      </c>
      <c r="V250" s="1233">
        <f>SUM(S250-U250)</f>
        <v>173553.59999999998</v>
      </c>
      <c r="W250" s="1232">
        <f>K250+V250</f>
        <v>221623.59999999998</v>
      </c>
      <c r="X250" s="1233">
        <f>W250</f>
        <v>221623.59999999998</v>
      </c>
      <c r="Y250" s="1234"/>
      <c r="Z250" s="1232">
        <f>+X250</f>
        <v>221623.59999999998</v>
      </c>
      <c r="AA250" s="1235">
        <v>0.3</v>
      </c>
      <c r="AB250" s="1243">
        <f>+Z250*AA250/100</f>
        <v>664.87079999999992</v>
      </c>
      <c r="AC250" s="1244"/>
      <c r="AD250" s="1244"/>
      <c r="AE250" s="1244"/>
      <c r="AF250" s="1244"/>
    </row>
    <row r="251" spans="1:32" s="1162" customFormat="1" ht="18" customHeight="1" x14ac:dyDescent="0.2">
      <c r="A251" s="1245"/>
      <c r="B251" s="1246"/>
      <c r="C251" s="1246"/>
      <c r="D251" s="1245"/>
      <c r="E251" s="1245"/>
      <c r="F251" s="1245"/>
      <c r="G251" s="1245"/>
      <c r="H251" s="1247"/>
      <c r="I251" s="1248"/>
      <c r="J251" s="1249"/>
      <c r="K251" s="1248"/>
      <c r="L251" s="1227"/>
      <c r="M251" s="1245"/>
      <c r="N251" s="1250"/>
      <c r="O251" s="1245"/>
      <c r="P251" s="1250"/>
      <c r="Q251" s="1251"/>
      <c r="R251" s="1252"/>
      <c r="S251" s="1253"/>
      <c r="T251" s="1254"/>
      <c r="U251" s="1253"/>
      <c r="V251" s="1253"/>
      <c r="W251" s="1253"/>
      <c r="X251" s="1255"/>
      <c r="Y251" s="1253"/>
      <c r="Z251" s="1253"/>
      <c r="AA251" s="1256"/>
      <c r="AB251" s="1243"/>
      <c r="AC251" s="1244"/>
      <c r="AD251" s="1244"/>
      <c r="AE251" s="1244"/>
      <c r="AF251" s="1244"/>
    </row>
    <row r="252" spans="1:32" s="1162" customFormat="1" ht="18" customHeight="1" x14ac:dyDescent="0.2">
      <c r="A252" s="1245"/>
      <c r="B252" s="1246"/>
      <c r="C252" s="1246"/>
      <c r="D252" s="1245"/>
      <c r="E252" s="1245"/>
      <c r="F252" s="1245"/>
      <c r="G252" s="1245"/>
      <c r="H252" s="1247"/>
      <c r="I252" s="1248"/>
      <c r="J252" s="1249"/>
      <c r="K252" s="1248"/>
      <c r="L252" s="1227"/>
      <c r="M252" s="1245"/>
      <c r="N252" s="1250"/>
      <c r="O252" s="1257"/>
      <c r="P252" s="1258"/>
      <c r="Q252" s="1251"/>
      <c r="R252" s="1252"/>
      <c r="S252" s="1253"/>
      <c r="T252" s="1254"/>
      <c r="U252" s="1253"/>
      <c r="V252" s="1253"/>
      <c r="W252" s="1253"/>
      <c r="X252" s="1255"/>
      <c r="Y252" s="1253"/>
      <c r="Z252" s="1253"/>
      <c r="AA252" s="1256"/>
      <c r="AB252" s="1243"/>
      <c r="AC252" s="1244"/>
      <c r="AD252" s="1244"/>
      <c r="AE252" s="1244"/>
      <c r="AF252" s="1244"/>
    </row>
    <row r="253" spans="1:32" s="1162" customFormat="1" ht="18" customHeight="1" x14ac:dyDescent="0.2">
      <c r="A253" s="1245"/>
      <c r="B253" s="1246"/>
      <c r="C253" s="1246"/>
      <c r="D253" s="1245"/>
      <c r="E253" s="1245"/>
      <c r="F253" s="1245"/>
      <c r="G253" s="1245"/>
      <c r="H253" s="1247"/>
      <c r="I253" s="1248"/>
      <c r="J253" s="1249"/>
      <c r="K253" s="1248"/>
      <c r="L253" s="1245"/>
      <c r="M253" s="1245"/>
      <c r="N253" s="1245"/>
      <c r="O253" s="1245"/>
      <c r="P253" s="1259"/>
      <c r="Q253" s="1260"/>
      <c r="R253" s="1261"/>
      <c r="S253" s="1248"/>
      <c r="T253" s="1262"/>
      <c r="U253" s="1249"/>
      <c r="V253" s="1248"/>
      <c r="W253" s="1248"/>
      <c r="X253" s="1263"/>
      <c r="Y253" s="1263"/>
      <c r="Z253" s="1264"/>
      <c r="AA253" s="1264"/>
      <c r="AB253" s="1265"/>
      <c r="AC253" s="1244"/>
      <c r="AD253" s="1244"/>
      <c r="AE253" s="1244"/>
      <c r="AF253" s="1244"/>
    </row>
    <row r="254" spans="1:32" s="1162" customFormat="1" ht="18" customHeight="1" x14ac:dyDescent="0.2">
      <c r="A254" s="1245"/>
      <c r="B254" s="1246"/>
      <c r="C254" s="1246"/>
      <c r="D254" s="1245"/>
      <c r="E254" s="1245"/>
      <c r="F254" s="1245"/>
      <c r="G254" s="1245"/>
      <c r="H254" s="1247"/>
      <c r="I254" s="1248"/>
      <c r="J254" s="1249"/>
      <c r="K254" s="1248"/>
      <c r="L254" s="1245"/>
      <c r="M254" s="1245"/>
      <c r="N254" s="1245"/>
      <c r="O254" s="1245"/>
      <c r="P254" s="1247"/>
      <c r="Q254" s="1260"/>
      <c r="R254" s="1261"/>
      <c r="S254" s="1248"/>
      <c r="T254" s="1262"/>
      <c r="U254" s="1249"/>
      <c r="V254" s="1248"/>
      <c r="W254" s="1248"/>
      <c r="X254" s="1263"/>
      <c r="Y254" s="1263"/>
      <c r="Z254" s="1264"/>
      <c r="AA254" s="1264"/>
      <c r="AB254" s="1265"/>
      <c r="AC254" s="1244"/>
      <c r="AD254" s="1244"/>
      <c r="AE254" s="1244"/>
      <c r="AF254" s="1244"/>
    </row>
    <row r="255" spans="1:32" s="1162" customFormat="1" ht="18" customHeight="1" x14ac:dyDescent="0.2">
      <c r="A255" s="1245"/>
      <c r="B255" s="1246"/>
      <c r="C255" s="1246"/>
      <c r="D255" s="1245"/>
      <c r="E255" s="1245"/>
      <c r="F255" s="1245"/>
      <c r="G255" s="1245"/>
      <c r="H255" s="1247"/>
      <c r="I255" s="1248"/>
      <c r="J255" s="1249"/>
      <c r="K255" s="1248"/>
      <c r="L255" s="1245"/>
      <c r="M255" s="1245"/>
      <c r="N255" s="1245"/>
      <c r="O255" s="1245"/>
      <c r="P255" s="1247"/>
      <c r="Q255" s="1260"/>
      <c r="R255" s="1261"/>
      <c r="S255" s="1248"/>
      <c r="T255" s="1262"/>
      <c r="U255" s="1249"/>
      <c r="V255" s="1248"/>
      <c r="W255" s="1248"/>
      <c r="X255" s="1263"/>
      <c r="Y255" s="1263"/>
      <c r="Z255" s="1264"/>
      <c r="AA255" s="1264"/>
      <c r="AB255" s="1265"/>
      <c r="AC255" s="1244"/>
      <c r="AD255" s="1244"/>
      <c r="AE255" s="1244"/>
      <c r="AF255" s="1244"/>
    </row>
    <row r="256" spans="1:32" s="1162" customFormat="1" ht="18" customHeight="1" x14ac:dyDescent="0.2">
      <c r="A256" s="1245"/>
      <c r="B256" s="1246"/>
      <c r="C256" s="1246"/>
      <c r="D256" s="1245"/>
      <c r="E256" s="1245"/>
      <c r="F256" s="1245"/>
      <c r="G256" s="1245"/>
      <c r="H256" s="1247"/>
      <c r="I256" s="1248"/>
      <c r="J256" s="1249"/>
      <c r="K256" s="1248"/>
      <c r="L256" s="1245"/>
      <c r="M256" s="1245"/>
      <c r="N256" s="1245"/>
      <c r="O256" s="1245"/>
      <c r="P256" s="1247"/>
      <c r="Q256" s="1260"/>
      <c r="R256" s="1261"/>
      <c r="S256" s="1248"/>
      <c r="T256" s="1262"/>
      <c r="U256" s="1249"/>
      <c r="V256" s="1248"/>
      <c r="W256" s="1248"/>
      <c r="X256" s="1263"/>
      <c r="Y256" s="1263"/>
      <c r="Z256" s="1264"/>
      <c r="AA256" s="1264"/>
      <c r="AB256" s="1265"/>
      <c r="AC256" s="1244"/>
      <c r="AD256" s="1244"/>
      <c r="AE256" s="1244"/>
      <c r="AF256" s="1244"/>
    </row>
    <row r="257" spans="1:32" s="1162" customFormat="1" ht="18" customHeight="1" x14ac:dyDescent="0.2">
      <c r="A257" s="1245"/>
      <c r="B257" s="1246"/>
      <c r="C257" s="1246"/>
      <c r="D257" s="1245"/>
      <c r="E257" s="1245"/>
      <c r="F257" s="1245"/>
      <c r="G257" s="1245"/>
      <c r="H257" s="1247"/>
      <c r="I257" s="1248"/>
      <c r="J257" s="1249"/>
      <c r="K257" s="1248"/>
      <c r="L257" s="1245"/>
      <c r="M257" s="1245"/>
      <c r="N257" s="1245"/>
      <c r="O257" s="1245"/>
      <c r="P257" s="1247"/>
      <c r="Q257" s="1260"/>
      <c r="R257" s="1261"/>
      <c r="S257" s="1248"/>
      <c r="T257" s="1262"/>
      <c r="U257" s="1249"/>
      <c r="V257" s="1248"/>
      <c r="W257" s="1248"/>
      <c r="X257" s="1263"/>
      <c r="Y257" s="1263"/>
      <c r="Z257" s="1264"/>
      <c r="AA257" s="1264"/>
      <c r="AB257" s="1265"/>
      <c r="AC257" s="1244"/>
      <c r="AD257" s="1244"/>
      <c r="AE257" s="1244"/>
      <c r="AF257" s="1244"/>
    </row>
    <row r="258" spans="1:32" s="1162" customFormat="1" ht="18" customHeight="1" x14ac:dyDescent="0.2">
      <c r="A258" s="1245"/>
      <c r="B258" s="1246"/>
      <c r="C258" s="1246"/>
      <c r="D258" s="1245"/>
      <c r="E258" s="1245"/>
      <c r="F258" s="1245"/>
      <c r="G258" s="1245"/>
      <c r="H258" s="1247"/>
      <c r="I258" s="1248"/>
      <c r="J258" s="1249"/>
      <c r="K258" s="1248"/>
      <c r="L258" s="1245"/>
      <c r="M258" s="1245"/>
      <c r="N258" s="1245"/>
      <c r="O258" s="1245"/>
      <c r="P258" s="1247"/>
      <c r="Q258" s="1260"/>
      <c r="R258" s="1261"/>
      <c r="S258" s="1248"/>
      <c r="T258" s="1262"/>
      <c r="U258" s="1249"/>
      <c r="V258" s="1248"/>
      <c r="W258" s="1248"/>
      <c r="X258" s="1263"/>
      <c r="Y258" s="1263"/>
      <c r="Z258" s="1264"/>
      <c r="AA258" s="1264"/>
      <c r="AB258" s="1265"/>
      <c r="AC258" s="1244"/>
      <c r="AD258" s="1244"/>
      <c r="AE258" s="1244"/>
      <c r="AF258" s="1244"/>
    </row>
    <row r="259" spans="1:32" s="1162" customFormat="1" ht="18" customHeight="1" x14ac:dyDescent="0.2">
      <c r="A259" s="1245"/>
      <c r="B259" s="1246"/>
      <c r="C259" s="1246"/>
      <c r="D259" s="1245"/>
      <c r="E259" s="1245"/>
      <c r="F259" s="1245"/>
      <c r="G259" s="1245"/>
      <c r="H259" s="1247"/>
      <c r="I259" s="1248"/>
      <c r="J259" s="1249"/>
      <c r="K259" s="1248"/>
      <c r="L259" s="1245"/>
      <c r="M259" s="1245"/>
      <c r="N259" s="1245"/>
      <c r="O259" s="1245"/>
      <c r="P259" s="1247"/>
      <c r="Q259" s="1260"/>
      <c r="R259" s="1261"/>
      <c r="S259" s="1248"/>
      <c r="T259" s="1262"/>
      <c r="U259" s="1249"/>
      <c r="V259" s="1248"/>
      <c r="W259" s="1248"/>
      <c r="X259" s="1263"/>
      <c r="Y259" s="1263"/>
      <c r="Z259" s="1264"/>
      <c r="AA259" s="1264"/>
      <c r="AB259" s="1265"/>
      <c r="AC259" s="1244"/>
      <c r="AD259" s="1244"/>
      <c r="AE259" s="1244"/>
      <c r="AF259" s="1244"/>
    </row>
    <row r="260" spans="1:32" s="1162" customFormat="1" ht="18" customHeight="1" x14ac:dyDescent="0.2">
      <c r="A260" s="1245"/>
      <c r="B260" s="1246"/>
      <c r="C260" s="1246"/>
      <c r="D260" s="1245"/>
      <c r="E260" s="1245"/>
      <c r="F260" s="1245"/>
      <c r="G260" s="1245"/>
      <c r="H260" s="1247"/>
      <c r="I260" s="1248"/>
      <c r="J260" s="1249"/>
      <c r="K260" s="1248"/>
      <c r="L260" s="1245"/>
      <c r="M260" s="1245"/>
      <c r="N260" s="1245"/>
      <c r="O260" s="1245"/>
      <c r="P260" s="1247"/>
      <c r="Q260" s="1260"/>
      <c r="R260" s="1261"/>
      <c r="S260" s="1248"/>
      <c r="T260" s="1262"/>
      <c r="U260" s="1249"/>
      <c r="V260" s="1248"/>
      <c r="W260" s="1248"/>
      <c r="X260" s="1263"/>
      <c r="Y260" s="1263"/>
      <c r="Z260" s="1264"/>
      <c r="AA260" s="1264"/>
      <c r="AB260" s="1265"/>
      <c r="AC260" s="1244"/>
      <c r="AD260" s="1244"/>
      <c r="AE260" s="1244"/>
      <c r="AF260" s="1244"/>
    </row>
    <row r="261" spans="1:32" s="1162" customFormat="1" ht="18" customHeight="1" x14ac:dyDescent="0.2">
      <c r="A261" s="1245"/>
      <c r="B261" s="1246"/>
      <c r="C261" s="1246"/>
      <c r="D261" s="1245"/>
      <c r="E261" s="1245"/>
      <c r="F261" s="1245"/>
      <c r="G261" s="1245"/>
      <c r="H261" s="1247"/>
      <c r="I261" s="1248"/>
      <c r="J261" s="1249"/>
      <c r="K261" s="1248"/>
      <c r="L261" s="1245"/>
      <c r="M261" s="1245"/>
      <c r="N261" s="1245"/>
      <c r="O261" s="1245"/>
      <c r="P261" s="1247"/>
      <c r="Q261" s="1260"/>
      <c r="R261" s="1261"/>
      <c r="S261" s="1248"/>
      <c r="T261" s="1262"/>
      <c r="U261" s="1249"/>
      <c r="V261" s="1248"/>
      <c r="W261" s="1248"/>
      <c r="X261" s="1263"/>
      <c r="Y261" s="1263"/>
      <c r="Z261" s="1264"/>
      <c r="AA261" s="1264"/>
      <c r="AB261" s="1265"/>
      <c r="AC261" s="1244"/>
      <c r="AD261" s="1244"/>
      <c r="AE261" s="1244"/>
      <c r="AF261" s="1244"/>
    </row>
    <row r="262" spans="1:32" s="1162" customFormat="1" ht="18" customHeight="1" x14ac:dyDescent="0.2">
      <c r="A262" s="1245"/>
      <c r="B262" s="1246"/>
      <c r="C262" s="1246"/>
      <c r="D262" s="1245"/>
      <c r="E262" s="1245"/>
      <c r="F262" s="1245"/>
      <c r="G262" s="1245"/>
      <c r="H262" s="1247"/>
      <c r="I262" s="1248"/>
      <c r="J262" s="1249"/>
      <c r="K262" s="1248"/>
      <c r="L262" s="1245"/>
      <c r="M262" s="1245"/>
      <c r="N262" s="1245"/>
      <c r="O262" s="1245"/>
      <c r="P262" s="1247"/>
      <c r="Q262" s="1260"/>
      <c r="R262" s="1261"/>
      <c r="S262" s="1248"/>
      <c r="T262" s="1262"/>
      <c r="U262" s="1249"/>
      <c r="V262" s="1248"/>
      <c r="W262" s="1248"/>
      <c r="X262" s="1263"/>
      <c r="Y262" s="1263"/>
      <c r="Z262" s="1264"/>
      <c r="AA262" s="1264"/>
      <c r="AB262" s="1265"/>
      <c r="AC262" s="1266"/>
      <c r="AD262" s="1266"/>
      <c r="AE262" s="1266"/>
      <c r="AF262" s="1266"/>
    </row>
    <row r="263" spans="1:32" s="1162" customFormat="1" ht="18" customHeight="1" x14ac:dyDescent="0.2">
      <c r="A263" s="1257"/>
      <c r="B263" s="1267"/>
      <c r="C263" s="1267"/>
      <c r="D263" s="1257"/>
      <c r="E263" s="1257"/>
      <c r="F263" s="1257"/>
      <c r="G263" s="1257"/>
      <c r="H263" s="1259"/>
      <c r="I263" s="1268"/>
      <c r="J263" s="1269"/>
      <c r="K263" s="1268"/>
      <c r="L263" s="1257"/>
      <c r="M263" s="1257"/>
      <c r="N263" s="1257"/>
      <c r="O263" s="1257"/>
      <c r="P263" s="1257"/>
      <c r="Q263" s="1270"/>
      <c r="R263" s="1271"/>
      <c r="S263" s="1268"/>
      <c r="T263" s="1272"/>
      <c r="U263" s="1269"/>
      <c r="V263" s="1268"/>
      <c r="W263" s="1268"/>
      <c r="X263" s="1273"/>
      <c r="Y263" s="1273"/>
      <c r="Z263" s="1274"/>
      <c r="AA263" s="1274"/>
      <c r="AB263" s="1275"/>
      <c r="AC263" s="1276"/>
      <c r="AD263" s="1276"/>
      <c r="AE263" s="1276"/>
      <c r="AF263" s="1276"/>
    </row>
    <row r="264" spans="1:32" s="1162" customFormat="1" ht="18" customHeight="1" x14ac:dyDescent="0.2">
      <c r="A264" s="1963"/>
      <c r="B264" s="1963"/>
      <c r="C264" s="1963"/>
      <c r="D264" s="1963"/>
      <c r="E264" s="1963"/>
      <c r="F264" s="1963"/>
      <c r="G264" s="1963"/>
      <c r="H264" s="1964"/>
      <c r="I264" s="1965"/>
      <c r="J264" s="1966"/>
      <c r="K264" s="1965"/>
      <c r="L264" s="1965"/>
      <c r="M264" s="1965"/>
      <c r="N264" s="1965"/>
      <c r="O264" s="1965"/>
      <c r="P264" s="1965"/>
      <c r="Q264" s="1965"/>
      <c r="R264" s="1967"/>
      <c r="S264" s="1965"/>
      <c r="T264" s="1968"/>
      <c r="U264" s="1966"/>
      <c r="V264" s="1965"/>
      <c r="W264" s="1965"/>
      <c r="X264" s="1969"/>
      <c r="Y264" s="1969"/>
      <c r="Z264" s="1970"/>
      <c r="AA264" s="1970"/>
      <c r="AB264" s="1971">
        <f>SUM(AB249:AB263)</f>
        <v>664.87079999999992</v>
      </c>
    </row>
    <row r="265" spans="1:32" s="1162" customFormat="1" ht="18" customHeight="1" x14ac:dyDescent="0.2">
      <c r="A265" s="2769" t="s">
        <v>76</v>
      </c>
      <c r="B265" s="2769"/>
      <c r="C265" s="2770" t="s">
        <v>77</v>
      </c>
      <c r="D265" s="2770"/>
      <c r="E265" s="2770"/>
      <c r="F265" s="2770"/>
      <c r="G265" s="2770"/>
      <c r="H265" s="2770"/>
      <c r="I265" s="1277" t="s">
        <v>78</v>
      </c>
      <c r="J265" s="1277"/>
      <c r="K265" s="1277"/>
      <c r="L265" s="1277"/>
      <c r="M265" s="1277"/>
      <c r="N265" s="1277"/>
      <c r="AB265" s="1163"/>
    </row>
    <row r="266" spans="1:32" s="1162" customFormat="1" ht="18" customHeight="1" x14ac:dyDescent="0.2">
      <c r="A266" s="1277"/>
      <c r="B266" s="1278"/>
      <c r="C266" s="1277"/>
      <c r="D266" s="1277"/>
      <c r="E266" s="1277"/>
      <c r="F266" s="1277"/>
      <c r="G266" s="1277"/>
      <c r="H266" s="1277"/>
      <c r="I266" s="1277" t="s">
        <v>79</v>
      </c>
      <c r="J266" s="1277"/>
      <c r="K266" s="1277"/>
      <c r="L266" s="1277"/>
      <c r="M266" s="1277"/>
      <c r="N266" s="1277"/>
      <c r="AB266" s="1163"/>
    </row>
    <row r="267" spans="1:32" s="1162" customFormat="1" ht="18" customHeight="1" x14ac:dyDescent="0.2">
      <c r="A267" s="1277"/>
      <c r="B267" s="1278"/>
      <c r="C267" s="1277"/>
      <c r="D267" s="1277"/>
      <c r="E267" s="1277"/>
      <c r="F267" s="1277"/>
      <c r="G267" s="1277"/>
      <c r="H267" s="1277"/>
      <c r="I267" s="1277" t="s">
        <v>80</v>
      </c>
      <c r="J267" s="1277"/>
      <c r="K267" s="1277"/>
      <c r="L267" s="1277"/>
      <c r="M267" s="1277"/>
      <c r="N267" s="1277"/>
      <c r="AB267" s="1163"/>
    </row>
    <row r="268" spans="1:32" s="1162" customFormat="1" ht="18" customHeight="1" x14ac:dyDescent="0.2">
      <c r="A268" s="1277"/>
      <c r="B268" s="1278"/>
      <c r="C268" s="1277"/>
      <c r="D268" s="1277"/>
      <c r="E268" s="1277"/>
      <c r="F268" s="1277"/>
      <c r="G268" s="1277"/>
      <c r="H268" s="1277"/>
      <c r="I268" s="1277" t="s">
        <v>81</v>
      </c>
      <c r="J268" s="1277"/>
      <c r="K268" s="1277"/>
      <c r="L268" s="1277"/>
      <c r="M268" s="1277"/>
      <c r="N268" s="1277"/>
      <c r="AB268" s="1163"/>
    </row>
    <row r="269" spans="1:32" s="1162" customFormat="1" ht="18" customHeight="1" x14ac:dyDescent="0.2">
      <c r="A269" s="1277"/>
      <c r="B269" s="1278"/>
      <c r="C269" s="1277"/>
      <c r="D269" s="1277"/>
      <c r="E269" s="1277"/>
      <c r="F269" s="1277"/>
      <c r="G269" s="1277"/>
      <c r="H269" s="1277"/>
      <c r="I269" s="1277" t="s">
        <v>88</v>
      </c>
      <c r="J269" s="1277"/>
      <c r="K269" s="1277"/>
      <c r="L269" s="1277"/>
      <c r="M269" s="1277"/>
      <c r="N269" s="1277"/>
      <c r="AB269" s="1163"/>
      <c r="AC269" s="1160"/>
      <c r="AD269" s="1160"/>
      <c r="AE269" s="1160"/>
      <c r="AF269" s="1160"/>
    </row>
    <row r="270" spans="1:32" s="597" customFormat="1" ht="18" customHeight="1" x14ac:dyDescent="0.2">
      <c r="A270" s="339"/>
      <c r="B270" s="339"/>
      <c r="C270" s="339"/>
      <c r="D270" s="339"/>
      <c r="E270" s="339"/>
      <c r="F270" s="339"/>
      <c r="G270" s="339"/>
      <c r="H270" s="339"/>
      <c r="I270" s="339"/>
      <c r="J270" s="339"/>
      <c r="K270" s="339"/>
      <c r="L270" s="339"/>
      <c r="M270" s="339"/>
      <c r="N270" s="339"/>
      <c r="O270" s="339"/>
      <c r="P270" s="339"/>
      <c r="Q270" s="339"/>
      <c r="R270" s="339"/>
      <c r="S270" s="339"/>
      <c r="T270" s="339"/>
      <c r="U270" s="339"/>
      <c r="V270" s="339"/>
      <c r="W270" s="339"/>
      <c r="X270" s="339"/>
      <c r="Y270" s="339"/>
      <c r="Z270" s="339"/>
      <c r="AA270" s="2702" t="s">
        <v>0</v>
      </c>
      <c r="AB270" s="2702"/>
      <c r="AC270" s="344"/>
      <c r="AD270" s="344"/>
      <c r="AE270" s="344"/>
      <c r="AF270" s="344"/>
    </row>
    <row r="271" spans="1:32" s="597" customFormat="1" ht="18" customHeight="1" x14ac:dyDescent="0.2">
      <c r="A271" s="2703" t="s">
        <v>1</v>
      </c>
      <c r="B271" s="2703"/>
      <c r="C271" s="2703"/>
      <c r="D271" s="2703"/>
      <c r="E271" s="2703"/>
      <c r="F271" s="2703"/>
      <c r="G271" s="2703"/>
      <c r="H271" s="2703"/>
      <c r="I271" s="2703"/>
      <c r="J271" s="2703"/>
      <c r="K271" s="2703"/>
      <c r="L271" s="2703"/>
      <c r="M271" s="2703"/>
      <c r="N271" s="2703"/>
      <c r="O271" s="2703"/>
      <c r="P271" s="2703"/>
      <c r="Q271" s="2703"/>
      <c r="R271" s="2703"/>
      <c r="S271" s="2703"/>
      <c r="T271" s="2703"/>
      <c r="U271" s="2703"/>
      <c r="V271" s="2703"/>
      <c r="W271" s="2703"/>
      <c r="X271" s="2703"/>
      <c r="Y271" s="2703"/>
      <c r="Z271" s="2703"/>
      <c r="AA271" s="2703"/>
      <c r="AB271" s="2703"/>
      <c r="AC271" s="599"/>
      <c r="AD271" s="599"/>
      <c r="AE271" s="599"/>
      <c r="AF271" s="599"/>
    </row>
    <row r="272" spans="1:32" s="597" customFormat="1" ht="18" customHeight="1" x14ac:dyDescent="0.2">
      <c r="A272" s="2704" t="s">
        <v>466</v>
      </c>
      <c r="B272" s="2704"/>
      <c r="C272" s="2704"/>
      <c r="D272" s="2704"/>
      <c r="E272" s="2704"/>
      <c r="F272" s="2704"/>
      <c r="G272" s="2704"/>
      <c r="H272" s="2704"/>
      <c r="I272" s="2704"/>
      <c r="J272" s="2704"/>
      <c r="K272" s="2704"/>
      <c r="L272" s="2704"/>
      <c r="M272" s="2704"/>
      <c r="N272" s="2704"/>
      <c r="O272" s="2704"/>
      <c r="P272" s="2704"/>
      <c r="Q272" s="2704"/>
      <c r="R272" s="2704"/>
      <c r="S272" s="2704"/>
      <c r="T272" s="2704"/>
      <c r="U272" s="2704"/>
      <c r="V272" s="2704"/>
      <c r="W272" s="2704"/>
      <c r="X272" s="2704"/>
      <c r="Y272" s="2704"/>
      <c r="Z272" s="2704"/>
      <c r="AA272" s="2704"/>
      <c r="AB272" s="2740"/>
      <c r="AC272" s="516" t="s">
        <v>8</v>
      </c>
      <c r="AD272" s="346"/>
      <c r="AE272" s="346"/>
      <c r="AF272" s="600"/>
    </row>
    <row r="273" spans="1:32" s="597" customFormat="1" ht="18" customHeight="1" x14ac:dyDescent="0.2">
      <c r="A273" s="2686" t="s">
        <v>2</v>
      </c>
      <c r="B273" s="360"/>
      <c r="C273" s="2686" t="s">
        <v>3</v>
      </c>
      <c r="D273" s="360"/>
      <c r="E273" s="360"/>
      <c r="F273" s="2693" t="s">
        <v>4</v>
      </c>
      <c r="G273" s="2693"/>
      <c r="H273" s="2693"/>
      <c r="I273" s="2694"/>
      <c r="J273" s="2694"/>
      <c r="K273" s="2695"/>
      <c r="L273" s="361"/>
      <c r="M273" s="2679" t="s">
        <v>5</v>
      </c>
      <c r="N273" s="2679"/>
      <c r="O273" s="2679"/>
      <c r="P273" s="2679"/>
      <c r="Q273" s="2696"/>
      <c r="R273" s="2696"/>
      <c r="S273" s="2696"/>
      <c r="T273" s="2696"/>
      <c r="U273" s="2696"/>
      <c r="V273" s="2697"/>
      <c r="W273" s="362" t="s">
        <v>6</v>
      </c>
      <c r="X273" s="363" t="s">
        <v>7</v>
      </c>
      <c r="Y273" s="364"/>
      <c r="Z273" s="364"/>
      <c r="AA273" s="363"/>
      <c r="AB273" s="365"/>
      <c r="AC273" s="528" t="s">
        <v>20</v>
      </c>
      <c r="AD273" s="601"/>
      <c r="AE273" s="347" t="s">
        <v>21</v>
      </c>
      <c r="AF273" s="340" t="s">
        <v>22</v>
      </c>
    </row>
    <row r="274" spans="1:32" s="597" customFormat="1" ht="18" customHeight="1" x14ac:dyDescent="0.2">
      <c r="A274" s="2687"/>
      <c r="B274" s="367"/>
      <c r="C274" s="2687"/>
      <c r="D274" s="366" t="s">
        <v>9</v>
      </c>
      <c r="E274" s="368" t="s">
        <v>10</v>
      </c>
      <c r="F274" s="2698" t="s">
        <v>11</v>
      </c>
      <c r="G274" s="2694"/>
      <c r="H274" s="2695"/>
      <c r="I274" s="360"/>
      <c r="J274" s="369" t="s">
        <v>12</v>
      </c>
      <c r="K274" s="360"/>
      <c r="L274" s="2679" t="s">
        <v>2</v>
      </c>
      <c r="M274" s="370"/>
      <c r="N274" s="370"/>
      <c r="O274" s="370"/>
      <c r="P274" s="371"/>
      <c r="Q274" s="372" t="s">
        <v>13</v>
      </c>
      <c r="R274" s="373" t="s">
        <v>12</v>
      </c>
      <c r="S274" s="370" t="s">
        <v>6</v>
      </c>
      <c r="T274" s="2682" t="s">
        <v>14</v>
      </c>
      <c r="U274" s="2683"/>
      <c r="V274" s="375" t="s">
        <v>7</v>
      </c>
      <c r="W274" s="376" t="s">
        <v>15</v>
      </c>
      <c r="X274" s="377" t="s">
        <v>16</v>
      </c>
      <c r="Y274" s="377" t="s">
        <v>17</v>
      </c>
      <c r="Z274" s="377" t="s">
        <v>18</v>
      </c>
      <c r="AA274" s="377"/>
      <c r="AB274" s="378" t="s">
        <v>19</v>
      </c>
      <c r="AC274" s="528" t="s">
        <v>35</v>
      </c>
      <c r="AD274" s="347" t="s">
        <v>36</v>
      </c>
      <c r="AE274" s="347" t="s">
        <v>37</v>
      </c>
      <c r="AF274" s="340" t="s">
        <v>38</v>
      </c>
    </row>
    <row r="275" spans="1:32" s="597" customFormat="1" ht="18" customHeight="1" x14ac:dyDescent="0.2">
      <c r="A275" s="2687"/>
      <c r="B275" s="366" t="s">
        <v>23</v>
      </c>
      <c r="C275" s="2687"/>
      <c r="D275" s="366" t="s">
        <v>24</v>
      </c>
      <c r="E275" s="368" t="s">
        <v>25</v>
      </c>
      <c r="F275" s="2699"/>
      <c r="G275" s="2700"/>
      <c r="H275" s="2701"/>
      <c r="I275" s="366" t="s">
        <v>26</v>
      </c>
      <c r="J275" s="379" t="s">
        <v>15</v>
      </c>
      <c r="K275" s="380" t="s">
        <v>6</v>
      </c>
      <c r="L275" s="2680"/>
      <c r="M275" s="381" t="s">
        <v>27</v>
      </c>
      <c r="N275" s="381" t="s">
        <v>10</v>
      </c>
      <c r="O275" s="382" t="s">
        <v>10</v>
      </c>
      <c r="P275" s="383" t="s">
        <v>28</v>
      </c>
      <c r="Q275" s="384" t="s">
        <v>29</v>
      </c>
      <c r="R275" s="383" t="s">
        <v>15</v>
      </c>
      <c r="S275" s="385" t="s">
        <v>15</v>
      </c>
      <c r="T275" s="2684"/>
      <c r="U275" s="2685"/>
      <c r="V275" s="375" t="s">
        <v>30</v>
      </c>
      <c r="W275" s="376" t="s">
        <v>31</v>
      </c>
      <c r="X275" s="377" t="s">
        <v>30</v>
      </c>
      <c r="Y275" s="377" t="s">
        <v>32</v>
      </c>
      <c r="Z275" s="377" t="s">
        <v>7</v>
      </c>
      <c r="AA275" s="377" t="s">
        <v>33</v>
      </c>
      <c r="AB275" s="378" t="s">
        <v>34</v>
      </c>
      <c r="AC275" s="347" t="s">
        <v>58</v>
      </c>
      <c r="AD275" s="347" t="s">
        <v>59</v>
      </c>
      <c r="AE275" s="347" t="s">
        <v>59</v>
      </c>
      <c r="AF275" s="340" t="s">
        <v>60</v>
      </c>
    </row>
    <row r="276" spans="1:32" s="597" customFormat="1" ht="18" customHeight="1" x14ac:dyDescent="0.2">
      <c r="A276" s="2687"/>
      <c r="B276" s="366" t="s">
        <v>39</v>
      </c>
      <c r="C276" s="2687"/>
      <c r="D276" s="366" t="s">
        <v>40</v>
      </c>
      <c r="E276" s="368" t="s">
        <v>41</v>
      </c>
      <c r="F276" s="2686" t="s">
        <v>42</v>
      </c>
      <c r="G276" s="2686" t="s">
        <v>43</v>
      </c>
      <c r="H276" s="2688" t="s">
        <v>44</v>
      </c>
      <c r="I276" s="366" t="s">
        <v>45</v>
      </c>
      <c r="J276" s="379" t="s">
        <v>46</v>
      </c>
      <c r="K276" s="380" t="s">
        <v>47</v>
      </c>
      <c r="L276" s="2680"/>
      <c r="M276" s="381" t="s">
        <v>30</v>
      </c>
      <c r="N276" s="381" t="s">
        <v>30</v>
      </c>
      <c r="O276" s="382" t="s">
        <v>25</v>
      </c>
      <c r="P276" s="383" t="s">
        <v>30</v>
      </c>
      <c r="Q276" s="384" t="s">
        <v>48</v>
      </c>
      <c r="R276" s="383" t="s">
        <v>49</v>
      </c>
      <c r="S276" s="385" t="s">
        <v>30</v>
      </c>
      <c r="T276" s="386" t="s">
        <v>50</v>
      </c>
      <c r="U276" s="374" t="s">
        <v>13</v>
      </c>
      <c r="V276" s="375" t="s">
        <v>51</v>
      </c>
      <c r="W276" s="376" t="s">
        <v>52</v>
      </c>
      <c r="X276" s="377" t="s">
        <v>53</v>
      </c>
      <c r="Y276" s="377" t="s">
        <v>54</v>
      </c>
      <c r="Z276" s="377" t="s">
        <v>55</v>
      </c>
      <c r="AA276" s="377" t="s">
        <v>56</v>
      </c>
      <c r="AB276" s="378" t="s">
        <v>57</v>
      </c>
      <c r="AC276" s="347" t="s">
        <v>59</v>
      </c>
      <c r="AD276" s="347"/>
      <c r="AE276" s="347"/>
      <c r="AF276" s="340" t="s">
        <v>59</v>
      </c>
    </row>
    <row r="277" spans="1:32" s="597" customFormat="1" ht="18" customHeight="1" x14ac:dyDescent="0.2">
      <c r="A277" s="2687"/>
      <c r="B277" s="366" t="s">
        <v>61</v>
      </c>
      <c r="C277" s="2687"/>
      <c r="D277" s="366" t="s">
        <v>62</v>
      </c>
      <c r="E277" s="368" t="s">
        <v>63</v>
      </c>
      <c r="F277" s="2687"/>
      <c r="G277" s="2687"/>
      <c r="H277" s="2689"/>
      <c r="I277" s="366" t="s">
        <v>64</v>
      </c>
      <c r="J277" s="379" t="s">
        <v>59</v>
      </c>
      <c r="K277" s="380" t="s">
        <v>59</v>
      </c>
      <c r="L277" s="2680"/>
      <c r="M277" s="381"/>
      <c r="N277" s="381"/>
      <c r="O277" s="382" t="s">
        <v>41</v>
      </c>
      <c r="P277" s="383" t="s">
        <v>65</v>
      </c>
      <c r="Q277" s="384" t="s">
        <v>66</v>
      </c>
      <c r="R277" s="383" t="s">
        <v>67</v>
      </c>
      <c r="S277" s="385" t="s">
        <v>59</v>
      </c>
      <c r="T277" s="387" t="s">
        <v>68</v>
      </c>
      <c r="U277" s="375" t="s">
        <v>14</v>
      </c>
      <c r="V277" s="375" t="s">
        <v>14</v>
      </c>
      <c r="W277" s="376" t="s">
        <v>30</v>
      </c>
      <c r="X277" s="388" t="s">
        <v>69</v>
      </c>
      <c r="Y277" s="388" t="s">
        <v>70</v>
      </c>
      <c r="Z277" s="377" t="s">
        <v>71</v>
      </c>
      <c r="AA277" s="377" t="s">
        <v>72</v>
      </c>
      <c r="AB277" s="378" t="s">
        <v>59</v>
      </c>
      <c r="AC277" s="348"/>
      <c r="AD277" s="348"/>
      <c r="AE277" s="348"/>
      <c r="AF277" s="341"/>
    </row>
    <row r="278" spans="1:32" s="597" customFormat="1" ht="18" customHeight="1" x14ac:dyDescent="0.2">
      <c r="A278" s="2692"/>
      <c r="B278" s="390"/>
      <c r="C278" s="2692"/>
      <c r="D278" s="390"/>
      <c r="E278" s="389"/>
      <c r="F278" s="390"/>
      <c r="G278" s="390"/>
      <c r="H278" s="391"/>
      <c r="I278" s="389"/>
      <c r="J278" s="392"/>
      <c r="K278" s="393"/>
      <c r="L278" s="2681"/>
      <c r="M278" s="394"/>
      <c r="N278" s="394"/>
      <c r="O278" s="394" t="s">
        <v>63</v>
      </c>
      <c r="P278" s="395"/>
      <c r="Q278" s="396" t="s">
        <v>72</v>
      </c>
      <c r="R278" s="397" t="s">
        <v>59</v>
      </c>
      <c r="S278" s="398"/>
      <c r="T278" s="397" t="s">
        <v>73</v>
      </c>
      <c r="U278" s="398" t="s">
        <v>59</v>
      </c>
      <c r="V278" s="399" t="s">
        <v>59</v>
      </c>
      <c r="W278" s="400" t="s">
        <v>59</v>
      </c>
      <c r="X278" s="401" t="s">
        <v>59</v>
      </c>
      <c r="Y278" s="401" t="s">
        <v>59</v>
      </c>
      <c r="Z278" s="401" t="s">
        <v>59</v>
      </c>
      <c r="AA278" s="402"/>
      <c r="AB278" s="403"/>
      <c r="AC278" s="602"/>
      <c r="AD278" s="603">
        <f>AB279-AC278</f>
        <v>0</v>
      </c>
      <c r="AE278" s="603">
        <f>IF(AD278&lt;=0,0,AD278*25/100)</f>
        <v>0</v>
      </c>
      <c r="AF278" s="603">
        <f>IF(AC278+AE278&gt;AB279,AB279,AC278+AE278)</f>
        <v>0</v>
      </c>
    </row>
    <row r="279" spans="1:32" s="597" customFormat="1" ht="18" customHeight="1" x14ac:dyDescent="0.2">
      <c r="A279" s="53">
        <v>1</v>
      </c>
      <c r="B279" s="41">
        <v>48749</v>
      </c>
      <c r="C279" s="41">
        <v>818</v>
      </c>
      <c r="D279" s="41" t="s">
        <v>91</v>
      </c>
      <c r="E279" s="41">
        <v>1</v>
      </c>
      <c r="F279" s="41">
        <v>2</v>
      </c>
      <c r="G279" s="41">
        <v>0</v>
      </c>
      <c r="H279" s="267">
        <v>0</v>
      </c>
      <c r="I279" s="44">
        <f>F279*400+G279*100+H279</f>
        <v>800</v>
      </c>
      <c r="J279" s="263">
        <v>280</v>
      </c>
      <c r="K279" s="46">
        <f>SUM(I279*J279)</f>
        <v>224000</v>
      </c>
      <c r="L279" s="16"/>
      <c r="M279" s="82"/>
      <c r="N279" s="41"/>
      <c r="O279" s="16">
        <v>1</v>
      </c>
      <c r="P279" s="41"/>
      <c r="Q279" s="14"/>
      <c r="R279" s="553"/>
      <c r="S279" s="44"/>
      <c r="T279" s="57"/>
      <c r="U279" s="42"/>
      <c r="V279" s="44"/>
      <c r="W279" s="44">
        <f>K279+V279</f>
        <v>224000</v>
      </c>
      <c r="X279" s="42">
        <f>W279</f>
        <v>224000</v>
      </c>
      <c r="Y279" s="18" t="s">
        <v>87</v>
      </c>
      <c r="Z279" s="18">
        <v>0</v>
      </c>
      <c r="AA279" s="264">
        <v>0.01</v>
      </c>
      <c r="AB279" s="465">
        <f>+Z279*AA279/100</f>
        <v>0</v>
      </c>
      <c r="AC279" s="602"/>
      <c r="AD279" s="603">
        <f>AB280-AC279</f>
        <v>0</v>
      </c>
      <c r="AE279" s="603">
        <f>IF(AD279&lt;=0,0,AD279*25/100)</f>
        <v>0</v>
      </c>
      <c r="AF279" s="603">
        <f>IF(AC279+AE279&gt;AB280,AB280,AC279+AE279)</f>
        <v>0</v>
      </c>
    </row>
    <row r="280" spans="1:32" s="597" customFormat="1" ht="18" customHeight="1" x14ac:dyDescent="0.25">
      <c r="A280" s="242">
        <v>2</v>
      </c>
      <c r="B280" s="15">
        <v>2273</v>
      </c>
      <c r="C280" s="15">
        <v>545</v>
      </c>
      <c r="D280" s="15" t="s">
        <v>91</v>
      </c>
      <c r="E280" s="15">
        <v>5</v>
      </c>
      <c r="F280" s="15">
        <v>0</v>
      </c>
      <c r="G280" s="15">
        <v>2</v>
      </c>
      <c r="H280" s="284">
        <v>54</v>
      </c>
      <c r="I280" s="18">
        <f>F280*400+G280*100+H280</f>
        <v>254</v>
      </c>
      <c r="J280" s="258">
        <v>2300</v>
      </c>
      <c r="K280" s="39">
        <f>SUM(I280*J280)</f>
        <v>584200</v>
      </c>
      <c r="L280" s="50">
        <v>22</v>
      </c>
      <c r="M280" s="145">
        <v>106</v>
      </c>
      <c r="N280" s="269" t="s">
        <v>74</v>
      </c>
      <c r="O280" s="50">
        <v>2</v>
      </c>
      <c r="P280" s="15">
        <v>80</v>
      </c>
      <c r="Q280" s="76" t="s">
        <v>75</v>
      </c>
      <c r="R280" s="260">
        <v>7950</v>
      </c>
      <c r="S280" s="18">
        <f>P280*R280</f>
        <v>636000</v>
      </c>
      <c r="T280" s="1662">
        <v>1</v>
      </c>
      <c r="U280" s="1663">
        <f>+S280*0.01</f>
        <v>6360</v>
      </c>
      <c r="V280" s="18">
        <f>SUM(S280-U280)</f>
        <v>629640</v>
      </c>
      <c r="W280" s="18">
        <f>K280+V280</f>
        <v>1213840</v>
      </c>
      <c r="X280" s="18">
        <f>W280</f>
        <v>1213840</v>
      </c>
      <c r="Y280" s="18" t="s">
        <v>87</v>
      </c>
      <c r="Z280" s="18">
        <v>0</v>
      </c>
      <c r="AA280" s="264">
        <v>0.02</v>
      </c>
      <c r="AB280" s="410"/>
      <c r="AC280" s="350"/>
      <c r="AD280" s="350"/>
      <c r="AE280" s="350"/>
      <c r="AF280" s="350"/>
    </row>
    <row r="281" spans="1:32" s="597" customFormat="1" ht="18" customHeight="1" x14ac:dyDescent="0.25">
      <c r="A281" s="242"/>
      <c r="B281" s="269"/>
      <c r="C281" s="285"/>
      <c r="D281" s="273"/>
      <c r="E281" s="273"/>
      <c r="F281" s="268"/>
      <c r="G281" s="269"/>
      <c r="H281" s="266">
        <v>8</v>
      </c>
      <c r="I281" s="18">
        <f>F281*400+G281*100+H281</f>
        <v>8</v>
      </c>
      <c r="J281" s="258">
        <v>2300</v>
      </c>
      <c r="K281" s="39">
        <f>SUM(I281*J281)</f>
        <v>18400</v>
      </c>
      <c r="L281" s="269"/>
      <c r="M281" s="242">
        <v>103</v>
      </c>
      <c r="N281" s="269" t="s">
        <v>74</v>
      </c>
      <c r="O281" s="50">
        <v>3</v>
      </c>
      <c r="P281" s="266">
        <f>7.6*4.18</f>
        <v>31.767999999999997</v>
      </c>
      <c r="Q281" s="76" t="s">
        <v>75</v>
      </c>
      <c r="R281" s="260">
        <v>9050</v>
      </c>
      <c r="S281" s="18">
        <f>P281*R281</f>
        <v>287500.39999999997</v>
      </c>
      <c r="T281" s="1662">
        <v>28</v>
      </c>
      <c r="U281" s="1663">
        <f>+S281*0.46</f>
        <v>132250.18399999998</v>
      </c>
      <c r="V281" s="18">
        <f>SUM(S281-U281)</f>
        <v>155250.21599999999</v>
      </c>
      <c r="W281" s="18">
        <f>K281+V281</f>
        <v>173650.21599999999</v>
      </c>
      <c r="X281" s="18">
        <f>W281</f>
        <v>173650.21599999999</v>
      </c>
      <c r="Y281" s="18"/>
      <c r="Z281" s="18">
        <f>+X281</f>
        <v>173650.21599999999</v>
      </c>
      <c r="AA281" s="264">
        <v>0.3</v>
      </c>
      <c r="AB281" s="466">
        <f>+Z281*AA281/100</f>
        <v>520.95064799999989</v>
      </c>
      <c r="AC281" s="350"/>
      <c r="AD281" s="350"/>
      <c r="AE281" s="350"/>
      <c r="AF281" s="350"/>
    </row>
    <row r="282" spans="1:32" s="597" customFormat="1" ht="18" customHeight="1" x14ac:dyDescent="0.2">
      <c r="A282" s="145"/>
      <c r="B282" s="177"/>
      <c r="C282" s="177"/>
      <c r="D282" s="145"/>
      <c r="E282" s="145"/>
      <c r="F282" s="145"/>
      <c r="G282" s="145"/>
      <c r="H282" s="147"/>
      <c r="I282" s="107"/>
      <c r="J282" s="178"/>
      <c r="K282" s="107"/>
      <c r="L282" s="145"/>
      <c r="M282" s="145"/>
      <c r="N282" s="145"/>
      <c r="O282" s="145"/>
      <c r="P282" s="147"/>
      <c r="Q282" s="148"/>
      <c r="R282" s="437"/>
      <c r="S282" s="107"/>
      <c r="T282" s="179"/>
      <c r="U282" s="178"/>
      <c r="V282" s="107"/>
      <c r="W282" s="107"/>
      <c r="X282" s="470"/>
      <c r="Y282" s="470"/>
      <c r="Z282" s="471"/>
      <c r="AA282" s="471"/>
      <c r="AB282" s="466"/>
      <c r="AC282" s="350"/>
      <c r="AD282" s="350"/>
      <c r="AE282" s="350"/>
      <c r="AF282" s="350"/>
    </row>
    <row r="283" spans="1:32" s="597" customFormat="1" ht="18" customHeight="1" x14ac:dyDescent="0.2">
      <c r="A283" s="145"/>
      <c r="B283" s="177"/>
      <c r="C283" s="177"/>
      <c r="D283" s="145"/>
      <c r="E283" s="145"/>
      <c r="F283" s="145"/>
      <c r="G283" s="145"/>
      <c r="H283" s="147"/>
      <c r="I283" s="107"/>
      <c r="J283" s="178"/>
      <c r="K283" s="107"/>
      <c r="L283" s="145"/>
      <c r="M283" s="145"/>
      <c r="N283" s="145"/>
      <c r="O283" s="145"/>
      <c r="P283" s="147"/>
      <c r="Q283" s="148"/>
      <c r="R283" s="437"/>
      <c r="S283" s="107"/>
      <c r="T283" s="179"/>
      <c r="U283" s="178"/>
      <c r="V283" s="107"/>
      <c r="W283" s="107"/>
      <c r="X283" s="470"/>
      <c r="Y283" s="470"/>
      <c r="Z283" s="471"/>
      <c r="AA283" s="471"/>
      <c r="AB283" s="466"/>
      <c r="AC283" s="350"/>
      <c r="AD283" s="350"/>
      <c r="AE283" s="350"/>
      <c r="AF283" s="350"/>
    </row>
    <row r="284" spans="1:32" s="597" customFormat="1" ht="18" customHeight="1" x14ac:dyDescent="0.2">
      <c r="A284" s="145"/>
      <c r="B284" s="177"/>
      <c r="C284" s="177"/>
      <c r="D284" s="145"/>
      <c r="E284" s="145"/>
      <c r="F284" s="145"/>
      <c r="G284" s="145"/>
      <c r="H284" s="147"/>
      <c r="I284" s="107"/>
      <c r="J284" s="178"/>
      <c r="K284" s="107"/>
      <c r="L284" s="145"/>
      <c r="M284" s="145"/>
      <c r="N284" s="145"/>
      <c r="O284" s="145"/>
      <c r="P284" s="147"/>
      <c r="Q284" s="148"/>
      <c r="R284" s="437"/>
      <c r="S284" s="107"/>
      <c r="T284" s="179"/>
      <c r="U284" s="178"/>
      <c r="V284" s="107"/>
      <c r="W284" s="107"/>
      <c r="X284" s="470"/>
      <c r="Y284" s="470"/>
      <c r="Z284" s="471"/>
      <c r="AA284" s="471"/>
      <c r="AB284" s="466"/>
      <c r="AC284" s="350"/>
      <c r="AD284" s="350"/>
      <c r="AE284" s="350"/>
      <c r="AF284" s="350"/>
    </row>
    <row r="285" spans="1:32" s="597" customFormat="1" ht="18" customHeight="1" x14ac:dyDescent="0.2">
      <c r="A285" s="145"/>
      <c r="B285" s="177"/>
      <c r="C285" s="177"/>
      <c r="D285" s="145"/>
      <c r="E285" s="145"/>
      <c r="F285" s="145"/>
      <c r="G285" s="145"/>
      <c r="H285" s="147"/>
      <c r="I285" s="107"/>
      <c r="J285" s="178"/>
      <c r="K285" s="107"/>
      <c r="L285" s="145"/>
      <c r="M285" s="145"/>
      <c r="N285" s="145"/>
      <c r="O285" s="145"/>
      <c r="P285" s="147"/>
      <c r="Q285" s="148"/>
      <c r="R285" s="437"/>
      <c r="S285" s="107"/>
      <c r="T285" s="179"/>
      <c r="U285" s="178"/>
      <c r="V285" s="107"/>
      <c r="W285" s="107"/>
      <c r="X285" s="470"/>
      <c r="Y285" s="470"/>
      <c r="Z285" s="471"/>
      <c r="AA285" s="471"/>
      <c r="AB285" s="466"/>
      <c r="AC285" s="350"/>
      <c r="AD285" s="350"/>
      <c r="AE285" s="350"/>
      <c r="AF285" s="350"/>
    </row>
    <row r="286" spans="1:32" s="597" customFormat="1" ht="18" customHeight="1" x14ac:dyDescent="0.2">
      <c r="A286" s="145"/>
      <c r="B286" s="177"/>
      <c r="C286" s="177"/>
      <c r="D286" s="145"/>
      <c r="E286" s="145"/>
      <c r="F286" s="145"/>
      <c r="G286" s="145"/>
      <c r="H286" s="147"/>
      <c r="I286" s="107"/>
      <c r="J286" s="178"/>
      <c r="K286" s="107"/>
      <c r="L286" s="145"/>
      <c r="M286" s="145"/>
      <c r="N286" s="145"/>
      <c r="O286" s="145"/>
      <c r="P286" s="147"/>
      <c r="Q286" s="148"/>
      <c r="R286" s="437"/>
      <c r="S286" s="107"/>
      <c r="T286" s="179"/>
      <c r="U286" s="178"/>
      <c r="V286" s="107"/>
      <c r="W286" s="107"/>
      <c r="X286" s="470"/>
      <c r="Y286" s="470"/>
      <c r="Z286" s="471"/>
      <c r="AA286" s="471"/>
      <c r="AB286" s="466"/>
      <c r="AC286" s="350"/>
      <c r="AD286" s="350"/>
      <c r="AE286" s="350"/>
      <c r="AF286" s="350"/>
    </row>
    <row r="287" spans="1:32" s="597" customFormat="1" ht="18" customHeight="1" x14ac:dyDescent="0.2">
      <c r="A287" s="145"/>
      <c r="B287" s="177"/>
      <c r="C287" s="177"/>
      <c r="D287" s="145"/>
      <c r="E287" s="145"/>
      <c r="F287" s="145"/>
      <c r="G287" s="145"/>
      <c r="H287" s="147"/>
      <c r="I287" s="107"/>
      <c r="J287" s="178"/>
      <c r="K287" s="107"/>
      <c r="L287" s="145"/>
      <c r="M287" s="145"/>
      <c r="N287" s="145"/>
      <c r="O287" s="145"/>
      <c r="P287" s="147"/>
      <c r="Q287" s="148"/>
      <c r="R287" s="437"/>
      <c r="S287" s="107"/>
      <c r="T287" s="179"/>
      <c r="U287" s="178"/>
      <c r="V287" s="107"/>
      <c r="W287" s="107"/>
      <c r="X287" s="470"/>
      <c r="Y287" s="470"/>
      <c r="Z287" s="471"/>
      <c r="AA287" s="471"/>
      <c r="AB287" s="466"/>
      <c r="AC287" s="350"/>
      <c r="AD287" s="350"/>
      <c r="AE287" s="350"/>
      <c r="AF287" s="350"/>
    </row>
    <row r="288" spans="1:32" s="597" customFormat="1" ht="18" customHeight="1" x14ac:dyDescent="0.2">
      <c r="A288" s="145"/>
      <c r="B288" s="177"/>
      <c r="C288" s="177"/>
      <c r="D288" s="145"/>
      <c r="E288" s="145"/>
      <c r="F288" s="145"/>
      <c r="G288" s="145"/>
      <c r="H288" s="147"/>
      <c r="I288" s="107"/>
      <c r="J288" s="178"/>
      <c r="K288" s="107"/>
      <c r="L288" s="145"/>
      <c r="M288" s="145"/>
      <c r="N288" s="145"/>
      <c r="O288" s="145"/>
      <c r="P288" s="147"/>
      <c r="Q288" s="148"/>
      <c r="R288" s="437"/>
      <c r="S288" s="107"/>
      <c r="T288" s="179"/>
      <c r="U288" s="178"/>
      <c r="V288" s="107"/>
      <c r="W288" s="107"/>
      <c r="X288" s="470"/>
      <c r="Y288" s="470"/>
      <c r="Z288" s="471"/>
      <c r="AA288" s="471"/>
      <c r="AB288" s="466"/>
      <c r="AC288" s="350"/>
      <c r="AD288" s="350"/>
      <c r="AE288" s="350"/>
      <c r="AF288" s="350"/>
    </row>
    <row r="289" spans="1:32" s="597" customFormat="1" ht="18" customHeight="1" x14ac:dyDescent="0.2">
      <c r="A289" s="145"/>
      <c r="B289" s="177"/>
      <c r="C289" s="177"/>
      <c r="D289" s="145"/>
      <c r="E289" s="145"/>
      <c r="F289" s="145"/>
      <c r="G289" s="145"/>
      <c r="H289" s="147"/>
      <c r="I289" s="107"/>
      <c r="J289" s="178"/>
      <c r="K289" s="107"/>
      <c r="L289" s="145"/>
      <c r="M289" s="145"/>
      <c r="N289" s="145"/>
      <c r="O289" s="145"/>
      <c r="P289" s="147"/>
      <c r="Q289" s="148"/>
      <c r="R289" s="437"/>
      <c r="S289" s="107"/>
      <c r="T289" s="179"/>
      <c r="U289" s="178"/>
      <c r="V289" s="107"/>
      <c r="W289" s="107"/>
      <c r="X289" s="470"/>
      <c r="Y289" s="470"/>
      <c r="Z289" s="471"/>
      <c r="AA289" s="471"/>
      <c r="AB289" s="466"/>
      <c r="AC289" s="350"/>
      <c r="AD289" s="350"/>
      <c r="AE289" s="350"/>
      <c r="AF289" s="350"/>
    </row>
    <row r="290" spans="1:32" s="597" customFormat="1" ht="18" customHeight="1" x14ac:dyDescent="0.2">
      <c r="A290" s="145"/>
      <c r="B290" s="177"/>
      <c r="C290" s="177"/>
      <c r="D290" s="145"/>
      <c r="E290" s="145"/>
      <c r="F290" s="145"/>
      <c r="G290" s="145"/>
      <c r="H290" s="147"/>
      <c r="I290" s="107"/>
      <c r="J290" s="178"/>
      <c r="K290" s="107"/>
      <c r="L290" s="145"/>
      <c r="M290" s="145"/>
      <c r="N290" s="145"/>
      <c r="O290" s="145"/>
      <c r="P290" s="147"/>
      <c r="Q290" s="148"/>
      <c r="R290" s="437"/>
      <c r="S290" s="107"/>
      <c r="T290" s="179"/>
      <c r="U290" s="178"/>
      <c r="V290" s="107"/>
      <c r="W290" s="107"/>
      <c r="X290" s="470"/>
      <c r="Y290" s="470"/>
      <c r="Z290" s="471"/>
      <c r="AA290" s="471"/>
      <c r="AB290" s="466"/>
      <c r="AC290" s="350"/>
      <c r="AD290" s="350"/>
      <c r="AE290" s="350"/>
      <c r="AF290" s="350"/>
    </row>
    <row r="291" spans="1:32" s="597" customFormat="1" ht="18" customHeight="1" x14ac:dyDescent="0.2">
      <c r="A291" s="145"/>
      <c r="B291" s="177"/>
      <c r="C291" s="177"/>
      <c r="D291" s="145"/>
      <c r="E291" s="145"/>
      <c r="F291" s="145"/>
      <c r="G291" s="145"/>
      <c r="H291" s="147"/>
      <c r="I291" s="107"/>
      <c r="J291" s="178"/>
      <c r="K291" s="107"/>
      <c r="L291" s="145"/>
      <c r="M291" s="145"/>
      <c r="N291" s="145"/>
      <c r="O291" s="145"/>
      <c r="P291" s="147"/>
      <c r="Q291" s="148"/>
      <c r="R291" s="437"/>
      <c r="S291" s="107"/>
      <c r="T291" s="179"/>
      <c r="U291" s="178"/>
      <c r="V291" s="107"/>
      <c r="W291" s="107"/>
      <c r="X291" s="470"/>
      <c r="Y291" s="470"/>
      <c r="Z291" s="471"/>
      <c r="AA291" s="471"/>
      <c r="AB291" s="466"/>
      <c r="AC291" s="350"/>
      <c r="AD291" s="350"/>
      <c r="AE291" s="350"/>
      <c r="AF291" s="350"/>
    </row>
    <row r="292" spans="1:32" s="597" customFormat="1" ht="18" customHeight="1" x14ac:dyDescent="0.2">
      <c r="A292" s="145"/>
      <c r="B292" s="177"/>
      <c r="C292" s="177"/>
      <c r="D292" s="145"/>
      <c r="E292" s="145"/>
      <c r="F292" s="145"/>
      <c r="G292" s="145"/>
      <c r="H292" s="147"/>
      <c r="I292" s="107"/>
      <c r="J292" s="178"/>
      <c r="K292" s="107"/>
      <c r="L292" s="145"/>
      <c r="M292" s="145"/>
      <c r="N292" s="145"/>
      <c r="O292" s="145"/>
      <c r="P292" s="147"/>
      <c r="Q292" s="148"/>
      <c r="R292" s="437"/>
      <c r="S292" s="107"/>
      <c r="T292" s="179"/>
      <c r="U292" s="178"/>
      <c r="V292" s="107"/>
      <c r="W292" s="107"/>
      <c r="X292" s="470"/>
      <c r="Y292" s="470"/>
      <c r="Z292" s="471"/>
      <c r="AA292" s="471"/>
      <c r="AB292" s="466"/>
      <c r="AC292" s="351"/>
      <c r="AD292" s="351"/>
      <c r="AE292" s="351"/>
      <c r="AF292" s="351"/>
    </row>
    <row r="293" spans="1:32" s="597" customFormat="1" ht="18" customHeight="1" x14ac:dyDescent="0.2">
      <c r="A293" s="88"/>
      <c r="B293" s="180"/>
      <c r="C293" s="180"/>
      <c r="D293" s="88"/>
      <c r="E293" s="88"/>
      <c r="F293" s="88"/>
      <c r="G293" s="88"/>
      <c r="H293" s="120"/>
      <c r="I293" s="121"/>
      <c r="J293" s="181"/>
      <c r="K293" s="121"/>
      <c r="L293" s="88"/>
      <c r="M293" s="88"/>
      <c r="N293" s="88"/>
      <c r="O293" s="88"/>
      <c r="P293" s="88"/>
      <c r="Q293" s="129"/>
      <c r="R293" s="445"/>
      <c r="S293" s="121"/>
      <c r="T293" s="182"/>
      <c r="U293" s="181"/>
      <c r="V293" s="121"/>
      <c r="W293" s="121"/>
      <c r="X293" s="472"/>
      <c r="Y293" s="472"/>
      <c r="Z293" s="473"/>
      <c r="AA293" s="473"/>
      <c r="AB293" s="410"/>
      <c r="AC293" s="349"/>
      <c r="AD293" s="349"/>
      <c r="AE293" s="349"/>
      <c r="AF293" s="349"/>
    </row>
    <row r="294" spans="1:32" s="597" customFormat="1" ht="18" customHeight="1" x14ac:dyDescent="0.2">
      <c r="A294" s="1850"/>
      <c r="B294" s="1850"/>
      <c r="C294" s="1850"/>
      <c r="D294" s="1850"/>
      <c r="E294" s="1850"/>
      <c r="F294" s="1850"/>
      <c r="G294" s="1850"/>
      <c r="H294" s="1851"/>
      <c r="I294" s="1852"/>
      <c r="J294" s="1853"/>
      <c r="K294" s="1852"/>
      <c r="L294" s="1852"/>
      <c r="M294" s="1852"/>
      <c r="N294" s="1852"/>
      <c r="O294" s="1852"/>
      <c r="P294" s="1852"/>
      <c r="Q294" s="1852"/>
      <c r="R294" s="1854"/>
      <c r="S294" s="1852"/>
      <c r="T294" s="1855"/>
      <c r="U294" s="1853"/>
      <c r="V294" s="1852"/>
      <c r="W294" s="1852"/>
      <c r="X294" s="1856"/>
      <c r="Y294" s="1856"/>
      <c r="Z294" s="1857"/>
      <c r="AA294" s="1857"/>
      <c r="AB294" s="1847">
        <f>SUM(AB279:AB293)</f>
        <v>520.95064799999989</v>
      </c>
    </row>
    <row r="295" spans="1:32" s="597" customFormat="1" ht="18" customHeight="1" x14ac:dyDescent="0.2">
      <c r="A295" s="2690" t="s">
        <v>76</v>
      </c>
      <c r="B295" s="2690"/>
      <c r="C295" s="2691" t="s">
        <v>77</v>
      </c>
      <c r="D295" s="2691"/>
      <c r="E295" s="2691"/>
      <c r="F295" s="2691"/>
      <c r="G295" s="2691"/>
      <c r="H295" s="2691"/>
      <c r="I295" s="604" t="s">
        <v>78</v>
      </c>
      <c r="J295" s="604"/>
      <c r="K295" s="604"/>
      <c r="L295" s="604"/>
      <c r="M295" s="604"/>
      <c r="N295" s="604"/>
      <c r="AB295" s="598"/>
    </row>
    <row r="296" spans="1:32" s="597" customFormat="1" ht="18" customHeight="1" x14ac:dyDescent="0.2">
      <c r="A296" s="604"/>
      <c r="B296" s="605"/>
      <c r="C296" s="604"/>
      <c r="D296" s="604"/>
      <c r="E296" s="604"/>
      <c r="F296" s="604"/>
      <c r="G296" s="604"/>
      <c r="H296" s="604"/>
      <c r="I296" s="604" t="s">
        <v>79</v>
      </c>
      <c r="J296" s="604"/>
      <c r="K296" s="604"/>
      <c r="L296" s="604"/>
      <c r="M296" s="604"/>
      <c r="N296" s="604"/>
      <c r="AB296" s="598"/>
    </row>
    <row r="297" spans="1:32" s="597" customFormat="1" ht="18" customHeight="1" x14ac:dyDescent="0.2">
      <c r="A297" s="604"/>
      <c r="B297" s="605"/>
      <c r="C297" s="604"/>
      <c r="D297" s="604"/>
      <c r="E297" s="604"/>
      <c r="F297" s="604"/>
      <c r="G297" s="604"/>
      <c r="H297" s="604"/>
      <c r="I297" s="604" t="s">
        <v>80</v>
      </c>
      <c r="J297" s="604"/>
      <c r="K297" s="604"/>
      <c r="L297" s="604"/>
      <c r="M297" s="604"/>
      <c r="N297" s="604"/>
      <c r="AB297" s="598"/>
    </row>
    <row r="298" spans="1:32" s="597" customFormat="1" ht="18" customHeight="1" x14ac:dyDescent="0.2">
      <c r="A298" s="604"/>
      <c r="B298" s="605"/>
      <c r="C298" s="604"/>
      <c r="D298" s="604"/>
      <c r="E298" s="604"/>
      <c r="F298" s="604"/>
      <c r="G298" s="604"/>
      <c r="H298" s="604"/>
      <c r="I298" s="604" t="s">
        <v>81</v>
      </c>
      <c r="J298" s="604"/>
      <c r="K298" s="604"/>
      <c r="L298" s="604"/>
      <c r="M298" s="604"/>
      <c r="N298" s="604"/>
      <c r="AB298" s="598"/>
    </row>
    <row r="299" spans="1:32" s="597" customFormat="1" ht="18" customHeight="1" x14ac:dyDescent="0.2">
      <c r="A299" s="604"/>
      <c r="B299" s="605"/>
      <c r="C299" s="604"/>
      <c r="D299" s="604"/>
      <c r="E299" s="604"/>
      <c r="F299" s="604"/>
      <c r="G299" s="604"/>
      <c r="H299" s="604"/>
      <c r="I299" s="604" t="s">
        <v>88</v>
      </c>
      <c r="J299" s="604"/>
      <c r="K299" s="604"/>
      <c r="L299" s="604"/>
      <c r="M299" s="604"/>
      <c r="N299" s="604"/>
      <c r="AB299" s="598"/>
      <c r="AC299" s="339"/>
      <c r="AD299" s="339"/>
      <c r="AE299" s="339"/>
      <c r="AF299" s="339"/>
    </row>
    <row r="300" spans="1:32" s="597" customFormat="1" ht="18" customHeight="1" x14ac:dyDescent="0.2">
      <c r="A300" s="344"/>
      <c r="B300" s="344"/>
      <c r="C300" s="344"/>
      <c r="D300" s="344"/>
      <c r="E300" s="344"/>
      <c r="F300" s="344"/>
      <c r="G300" s="344"/>
      <c r="H300" s="344"/>
      <c r="I300" s="344"/>
      <c r="J300" s="344"/>
      <c r="K300" s="344"/>
      <c r="L300" s="344"/>
      <c r="M300" s="344"/>
      <c r="N300" s="344"/>
      <c r="O300" s="344"/>
      <c r="P300" s="344"/>
      <c r="Q300" s="344"/>
      <c r="R300" s="344"/>
      <c r="S300" s="344"/>
      <c r="T300" s="344"/>
      <c r="U300" s="344"/>
      <c r="V300" s="344"/>
      <c r="W300" s="344"/>
      <c r="X300" s="344"/>
      <c r="Y300" s="344"/>
      <c r="Z300" s="344"/>
      <c r="AA300" s="2703" t="s">
        <v>0</v>
      </c>
      <c r="AB300" s="2703"/>
      <c r="AC300" s="344"/>
      <c r="AD300" s="344"/>
      <c r="AE300" s="344"/>
      <c r="AF300" s="344"/>
    </row>
    <row r="301" spans="1:32" s="597" customFormat="1" ht="18" customHeight="1" x14ac:dyDescent="0.2">
      <c r="A301" s="2703" t="s">
        <v>1</v>
      </c>
      <c r="B301" s="2703"/>
      <c r="C301" s="2703"/>
      <c r="D301" s="2703"/>
      <c r="E301" s="2703"/>
      <c r="F301" s="2703"/>
      <c r="G301" s="2703"/>
      <c r="H301" s="2703"/>
      <c r="I301" s="2703"/>
      <c r="J301" s="2703"/>
      <c r="K301" s="2703"/>
      <c r="L301" s="2703"/>
      <c r="M301" s="2703"/>
      <c r="N301" s="2703"/>
      <c r="O301" s="2703"/>
      <c r="P301" s="2703"/>
      <c r="Q301" s="2703"/>
      <c r="R301" s="2703"/>
      <c r="S301" s="2703"/>
      <c r="T301" s="2703"/>
      <c r="U301" s="2703"/>
      <c r="V301" s="2703"/>
      <c r="W301" s="2703"/>
      <c r="X301" s="2703"/>
      <c r="Y301" s="2703"/>
      <c r="Z301" s="2703"/>
      <c r="AA301" s="2703"/>
      <c r="AB301" s="2703"/>
      <c r="AC301" s="599"/>
      <c r="AD301" s="599"/>
      <c r="AE301" s="599"/>
      <c r="AF301" s="599"/>
    </row>
    <row r="302" spans="1:32" s="597" customFormat="1" ht="18" customHeight="1" x14ac:dyDescent="0.2">
      <c r="A302" s="2704" t="s">
        <v>467</v>
      </c>
      <c r="B302" s="2704"/>
      <c r="C302" s="2704"/>
      <c r="D302" s="2704"/>
      <c r="E302" s="2704"/>
      <c r="F302" s="2704"/>
      <c r="G302" s="2704"/>
      <c r="H302" s="2704"/>
      <c r="I302" s="2704"/>
      <c r="J302" s="2704"/>
      <c r="K302" s="2704"/>
      <c r="L302" s="2704"/>
      <c r="M302" s="2704"/>
      <c r="N302" s="2704"/>
      <c r="O302" s="2704"/>
      <c r="P302" s="2704"/>
      <c r="Q302" s="2704"/>
      <c r="R302" s="2704"/>
      <c r="S302" s="2704"/>
      <c r="T302" s="2704"/>
      <c r="U302" s="2704"/>
      <c r="V302" s="2704"/>
      <c r="W302" s="2704"/>
      <c r="X302" s="2704"/>
      <c r="Y302" s="2704"/>
      <c r="Z302" s="2704"/>
      <c r="AA302" s="2704"/>
      <c r="AB302" s="2740"/>
      <c r="AC302" s="516" t="s">
        <v>8</v>
      </c>
      <c r="AD302" s="346"/>
      <c r="AE302" s="346"/>
      <c r="AF302" s="600"/>
    </row>
    <row r="303" spans="1:32" s="597" customFormat="1" ht="18" customHeight="1" x14ac:dyDescent="0.2">
      <c r="A303" s="2686" t="s">
        <v>2</v>
      </c>
      <c r="B303" s="360"/>
      <c r="C303" s="2686" t="s">
        <v>3</v>
      </c>
      <c r="D303" s="360"/>
      <c r="E303" s="360"/>
      <c r="F303" s="2693" t="s">
        <v>4</v>
      </c>
      <c r="G303" s="2693"/>
      <c r="H303" s="2693"/>
      <c r="I303" s="2694"/>
      <c r="J303" s="2694"/>
      <c r="K303" s="2695"/>
      <c r="L303" s="361"/>
      <c r="M303" s="2679" t="s">
        <v>5</v>
      </c>
      <c r="N303" s="2679"/>
      <c r="O303" s="2679"/>
      <c r="P303" s="2679"/>
      <c r="Q303" s="2696"/>
      <c r="R303" s="2696"/>
      <c r="S303" s="2696"/>
      <c r="T303" s="2696"/>
      <c r="U303" s="2696"/>
      <c r="V303" s="2697"/>
      <c r="W303" s="362" t="s">
        <v>6</v>
      </c>
      <c r="X303" s="363" t="s">
        <v>7</v>
      </c>
      <c r="Y303" s="364"/>
      <c r="Z303" s="364"/>
      <c r="AA303" s="363"/>
      <c r="AB303" s="365"/>
      <c r="AC303" s="528" t="s">
        <v>20</v>
      </c>
      <c r="AD303" s="601"/>
      <c r="AE303" s="347" t="s">
        <v>21</v>
      </c>
      <c r="AF303" s="340" t="s">
        <v>22</v>
      </c>
    </row>
    <row r="304" spans="1:32" s="597" customFormat="1" ht="18" customHeight="1" x14ac:dyDescent="0.2">
      <c r="A304" s="2687"/>
      <c r="B304" s="367"/>
      <c r="C304" s="2687"/>
      <c r="D304" s="366" t="s">
        <v>9</v>
      </c>
      <c r="E304" s="368" t="s">
        <v>10</v>
      </c>
      <c r="F304" s="2698" t="s">
        <v>11</v>
      </c>
      <c r="G304" s="2694"/>
      <c r="H304" s="2695"/>
      <c r="I304" s="360"/>
      <c r="J304" s="369" t="s">
        <v>12</v>
      </c>
      <c r="K304" s="360"/>
      <c r="L304" s="2679" t="s">
        <v>2</v>
      </c>
      <c r="M304" s="370"/>
      <c r="N304" s="370"/>
      <c r="O304" s="370"/>
      <c r="P304" s="371"/>
      <c r="Q304" s="372" t="s">
        <v>13</v>
      </c>
      <c r="R304" s="373" t="s">
        <v>12</v>
      </c>
      <c r="S304" s="370" t="s">
        <v>6</v>
      </c>
      <c r="T304" s="2682" t="s">
        <v>14</v>
      </c>
      <c r="U304" s="2683"/>
      <c r="V304" s="375" t="s">
        <v>7</v>
      </c>
      <c r="W304" s="376" t="s">
        <v>15</v>
      </c>
      <c r="X304" s="377" t="s">
        <v>16</v>
      </c>
      <c r="Y304" s="377" t="s">
        <v>17</v>
      </c>
      <c r="Z304" s="377" t="s">
        <v>18</v>
      </c>
      <c r="AA304" s="377"/>
      <c r="AB304" s="378" t="s">
        <v>19</v>
      </c>
      <c r="AC304" s="528" t="s">
        <v>35</v>
      </c>
      <c r="AD304" s="347" t="s">
        <v>36</v>
      </c>
      <c r="AE304" s="347" t="s">
        <v>37</v>
      </c>
      <c r="AF304" s="340" t="s">
        <v>38</v>
      </c>
    </row>
    <row r="305" spans="1:32" s="597" customFormat="1" ht="18" customHeight="1" x14ac:dyDescent="0.2">
      <c r="A305" s="2687"/>
      <c r="B305" s="366" t="s">
        <v>23</v>
      </c>
      <c r="C305" s="2687"/>
      <c r="D305" s="366" t="s">
        <v>24</v>
      </c>
      <c r="E305" s="368" t="s">
        <v>25</v>
      </c>
      <c r="F305" s="2699"/>
      <c r="G305" s="2700"/>
      <c r="H305" s="2701"/>
      <c r="I305" s="366" t="s">
        <v>26</v>
      </c>
      <c r="J305" s="379" t="s">
        <v>15</v>
      </c>
      <c r="K305" s="380" t="s">
        <v>6</v>
      </c>
      <c r="L305" s="2680"/>
      <c r="M305" s="381" t="s">
        <v>27</v>
      </c>
      <c r="N305" s="381" t="s">
        <v>10</v>
      </c>
      <c r="O305" s="382" t="s">
        <v>10</v>
      </c>
      <c r="P305" s="383" t="s">
        <v>28</v>
      </c>
      <c r="Q305" s="384" t="s">
        <v>29</v>
      </c>
      <c r="R305" s="383" t="s">
        <v>15</v>
      </c>
      <c r="S305" s="385" t="s">
        <v>15</v>
      </c>
      <c r="T305" s="2684"/>
      <c r="U305" s="2685"/>
      <c r="V305" s="375" t="s">
        <v>30</v>
      </c>
      <c r="W305" s="376" t="s">
        <v>31</v>
      </c>
      <c r="X305" s="377" t="s">
        <v>30</v>
      </c>
      <c r="Y305" s="377" t="s">
        <v>32</v>
      </c>
      <c r="Z305" s="377" t="s">
        <v>7</v>
      </c>
      <c r="AA305" s="377" t="s">
        <v>33</v>
      </c>
      <c r="AB305" s="378" t="s">
        <v>34</v>
      </c>
      <c r="AC305" s="347" t="s">
        <v>58</v>
      </c>
      <c r="AD305" s="347" t="s">
        <v>59</v>
      </c>
      <c r="AE305" s="347" t="s">
        <v>59</v>
      </c>
      <c r="AF305" s="340" t="s">
        <v>60</v>
      </c>
    </row>
    <row r="306" spans="1:32" s="597" customFormat="1" ht="18" customHeight="1" x14ac:dyDescent="0.2">
      <c r="A306" s="2687"/>
      <c r="B306" s="366" t="s">
        <v>39</v>
      </c>
      <c r="C306" s="2687"/>
      <c r="D306" s="366" t="s">
        <v>40</v>
      </c>
      <c r="E306" s="368" t="s">
        <v>41</v>
      </c>
      <c r="F306" s="2686" t="s">
        <v>42</v>
      </c>
      <c r="G306" s="2686" t="s">
        <v>43</v>
      </c>
      <c r="H306" s="2688" t="s">
        <v>44</v>
      </c>
      <c r="I306" s="366" t="s">
        <v>45</v>
      </c>
      <c r="J306" s="379" t="s">
        <v>46</v>
      </c>
      <c r="K306" s="380" t="s">
        <v>47</v>
      </c>
      <c r="L306" s="2680"/>
      <c r="M306" s="381" t="s">
        <v>30</v>
      </c>
      <c r="N306" s="381" t="s">
        <v>30</v>
      </c>
      <c r="O306" s="382" t="s">
        <v>25</v>
      </c>
      <c r="P306" s="383" t="s">
        <v>30</v>
      </c>
      <c r="Q306" s="384" t="s">
        <v>48</v>
      </c>
      <c r="R306" s="383" t="s">
        <v>49</v>
      </c>
      <c r="S306" s="385" t="s">
        <v>30</v>
      </c>
      <c r="T306" s="386" t="s">
        <v>50</v>
      </c>
      <c r="U306" s="374" t="s">
        <v>13</v>
      </c>
      <c r="V306" s="375" t="s">
        <v>51</v>
      </c>
      <c r="W306" s="376" t="s">
        <v>52</v>
      </c>
      <c r="X306" s="377" t="s">
        <v>53</v>
      </c>
      <c r="Y306" s="377" t="s">
        <v>54</v>
      </c>
      <c r="Z306" s="377" t="s">
        <v>55</v>
      </c>
      <c r="AA306" s="377" t="s">
        <v>56</v>
      </c>
      <c r="AB306" s="378" t="s">
        <v>57</v>
      </c>
      <c r="AC306" s="347" t="s">
        <v>59</v>
      </c>
      <c r="AD306" s="347"/>
      <c r="AE306" s="347"/>
      <c r="AF306" s="340" t="s">
        <v>59</v>
      </c>
    </row>
    <row r="307" spans="1:32" s="597" customFormat="1" ht="18" customHeight="1" x14ac:dyDescent="0.2">
      <c r="A307" s="2687"/>
      <c r="B307" s="366" t="s">
        <v>61</v>
      </c>
      <c r="C307" s="2687"/>
      <c r="D307" s="366" t="s">
        <v>62</v>
      </c>
      <c r="E307" s="368" t="s">
        <v>63</v>
      </c>
      <c r="F307" s="2687"/>
      <c r="G307" s="2687"/>
      <c r="H307" s="2689"/>
      <c r="I307" s="366" t="s">
        <v>64</v>
      </c>
      <c r="J307" s="379" t="s">
        <v>59</v>
      </c>
      <c r="K307" s="380" t="s">
        <v>59</v>
      </c>
      <c r="L307" s="2680"/>
      <c r="M307" s="381"/>
      <c r="N307" s="381"/>
      <c r="O307" s="382" t="s">
        <v>41</v>
      </c>
      <c r="P307" s="383" t="s">
        <v>65</v>
      </c>
      <c r="Q307" s="384" t="s">
        <v>66</v>
      </c>
      <c r="R307" s="383" t="s">
        <v>67</v>
      </c>
      <c r="S307" s="385" t="s">
        <v>59</v>
      </c>
      <c r="T307" s="387" t="s">
        <v>68</v>
      </c>
      <c r="U307" s="375" t="s">
        <v>14</v>
      </c>
      <c r="V307" s="375" t="s">
        <v>14</v>
      </c>
      <c r="W307" s="376" t="s">
        <v>30</v>
      </c>
      <c r="X307" s="388" t="s">
        <v>69</v>
      </c>
      <c r="Y307" s="388" t="s">
        <v>70</v>
      </c>
      <c r="Z307" s="377" t="s">
        <v>71</v>
      </c>
      <c r="AA307" s="377" t="s">
        <v>72</v>
      </c>
      <c r="AB307" s="378" t="s">
        <v>59</v>
      </c>
      <c r="AC307" s="348"/>
      <c r="AD307" s="348"/>
      <c r="AE307" s="348"/>
      <c r="AF307" s="341"/>
    </row>
    <row r="308" spans="1:32" s="597" customFormat="1" ht="18" customHeight="1" x14ac:dyDescent="0.2">
      <c r="A308" s="2692"/>
      <c r="B308" s="390"/>
      <c r="C308" s="2692"/>
      <c r="D308" s="390"/>
      <c r="E308" s="389"/>
      <c r="F308" s="390"/>
      <c r="G308" s="390"/>
      <c r="H308" s="391"/>
      <c r="I308" s="389"/>
      <c r="J308" s="392"/>
      <c r="K308" s="393"/>
      <c r="L308" s="2681"/>
      <c r="M308" s="394"/>
      <c r="N308" s="394"/>
      <c r="O308" s="394" t="s">
        <v>63</v>
      </c>
      <c r="P308" s="395"/>
      <c r="Q308" s="396" t="s">
        <v>72</v>
      </c>
      <c r="R308" s="397" t="s">
        <v>59</v>
      </c>
      <c r="S308" s="398"/>
      <c r="T308" s="397" t="s">
        <v>73</v>
      </c>
      <c r="U308" s="398" t="s">
        <v>59</v>
      </c>
      <c r="V308" s="399" t="s">
        <v>59</v>
      </c>
      <c r="W308" s="400" t="s">
        <v>59</v>
      </c>
      <c r="X308" s="401" t="s">
        <v>59</v>
      </c>
      <c r="Y308" s="401" t="s">
        <v>59</v>
      </c>
      <c r="Z308" s="401" t="s">
        <v>59</v>
      </c>
      <c r="AA308" s="402"/>
      <c r="AB308" s="403"/>
      <c r="AC308" s="602"/>
      <c r="AD308" s="603">
        <f>AB309-AC308</f>
        <v>0</v>
      </c>
      <c r="AE308" s="603">
        <f>IF(AD308&lt;=0,0,AD308*25/100)</f>
        <v>0</v>
      </c>
      <c r="AF308" s="603">
        <f>IF(AC308+AE308&gt;AB309,AB309,AC308+AE308)</f>
        <v>0</v>
      </c>
    </row>
    <row r="309" spans="1:32" s="597" customFormat="1" ht="18" customHeight="1" x14ac:dyDescent="0.25">
      <c r="A309" s="53">
        <v>1</v>
      </c>
      <c r="B309" s="333">
        <v>37725</v>
      </c>
      <c r="C309" s="41">
        <v>727</v>
      </c>
      <c r="D309" s="41" t="s">
        <v>91</v>
      </c>
      <c r="E309" s="15">
        <v>5</v>
      </c>
      <c r="F309" s="41">
        <v>0</v>
      </c>
      <c r="G309" s="41">
        <v>1</v>
      </c>
      <c r="H309" s="267">
        <v>89</v>
      </c>
      <c r="I309" s="18">
        <f>+F309*400+G309*100+H309</f>
        <v>189</v>
      </c>
      <c r="J309" s="258">
        <v>2300</v>
      </c>
      <c r="K309" s="39">
        <f>SUM(I309*J309)</f>
        <v>434700</v>
      </c>
      <c r="L309" s="41">
        <v>1</v>
      </c>
      <c r="M309" s="957">
        <v>103</v>
      </c>
      <c r="N309" s="769" t="s">
        <v>74</v>
      </c>
      <c r="O309" s="294">
        <v>2</v>
      </c>
      <c r="P309" s="41">
        <f>10.49*20.8</f>
        <v>218.19200000000001</v>
      </c>
      <c r="Q309" s="62" t="s">
        <v>75</v>
      </c>
      <c r="R309" s="260">
        <v>9050</v>
      </c>
      <c r="S309" s="18">
        <f>+P309*R309</f>
        <v>1974637.6</v>
      </c>
      <c r="T309" s="1469">
        <v>9</v>
      </c>
      <c r="U309" s="1664">
        <f>+S309*0.09</f>
        <v>177717.38399999999</v>
      </c>
      <c r="V309" s="47">
        <f>+S309-U309</f>
        <v>1796920.216</v>
      </c>
      <c r="W309" s="18">
        <f>K309+V309</f>
        <v>2231620.216</v>
      </c>
      <c r="X309" s="47">
        <f>+W309</f>
        <v>2231620.216</v>
      </c>
      <c r="Y309" s="18" t="s">
        <v>89</v>
      </c>
      <c r="Z309" s="18">
        <v>0</v>
      </c>
      <c r="AA309" s="264">
        <v>0.02</v>
      </c>
      <c r="AB309" s="465">
        <f>+Z309*AA309/100</f>
        <v>0</v>
      </c>
      <c r="AC309" s="350"/>
      <c r="AD309" s="350"/>
      <c r="AE309" s="350"/>
      <c r="AF309" s="350"/>
    </row>
    <row r="310" spans="1:32" s="597" customFormat="1" ht="18" customHeight="1" x14ac:dyDescent="0.25">
      <c r="A310" s="242"/>
      <c r="B310" s="269"/>
      <c r="C310" s="285"/>
      <c r="D310" s="273"/>
      <c r="E310" s="273"/>
      <c r="F310" s="268"/>
      <c r="G310" s="269"/>
      <c r="H310" s="266">
        <v>57.58</v>
      </c>
      <c r="I310" s="18">
        <f>+F310*400+G310*100+H310</f>
        <v>57.58</v>
      </c>
      <c r="J310" s="258">
        <v>2300</v>
      </c>
      <c r="K310" s="39">
        <f>SUM(I310*J310)</f>
        <v>132434</v>
      </c>
      <c r="L310" s="273">
        <v>2</v>
      </c>
      <c r="M310" s="957">
        <v>106</v>
      </c>
      <c r="N310" s="238" t="s">
        <v>96</v>
      </c>
      <c r="O310" s="269">
        <v>2</v>
      </c>
      <c r="P310" s="266">
        <f>11.29*20.4</f>
        <v>230.31599999999997</v>
      </c>
      <c r="Q310" s="285" t="s">
        <v>75</v>
      </c>
      <c r="R310" s="260">
        <v>7950</v>
      </c>
      <c r="S310" s="18">
        <f>+P310*R310</f>
        <v>1831012.1999999997</v>
      </c>
      <c r="T310" s="1469">
        <v>9</v>
      </c>
      <c r="U310" s="1664">
        <f>+S310*0.26</f>
        <v>476063.17199999996</v>
      </c>
      <c r="V310" s="47">
        <f>+S310-U310</f>
        <v>1354949.0279999997</v>
      </c>
      <c r="W310" s="18">
        <f>K310+V310</f>
        <v>1487383.0279999997</v>
      </c>
      <c r="X310" s="47">
        <f>+W310</f>
        <v>1487383.0279999997</v>
      </c>
      <c r="Y310" s="18" t="s">
        <v>125</v>
      </c>
      <c r="Z310" s="18">
        <v>0</v>
      </c>
      <c r="AA310" s="264">
        <v>0.02</v>
      </c>
      <c r="AB310" s="416"/>
      <c r="AC310" s="350"/>
      <c r="AD310" s="350"/>
      <c r="AE310" s="350"/>
      <c r="AF310" s="350"/>
    </row>
    <row r="311" spans="1:32" s="597" customFormat="1" ht="18" customHeight="1" x14ac:dyDescent="0.25">
      <c r="A311" s="242"/>
      <c r="B311" s="269"/>
      <c r="C311" s="285"/>
      <c r="D311" s="273"/>
      <c r="E311" s="273"/>
      <c r="F311" s="268"/>
      <c r="G311" s="269"/>
      <c r="H311" s="266">
        <v>1.75</v>
      </c>
      <c r="I311" s="18">
        <f>+F311*400+G311*100+H311</f>
        <v>1.75</v>
      </c>
      <c r="J311" s="258">
        <v>2300</v>
      </c>
      <c r="K311" s="39">
        <f>SUM(I311*J311)</f>
        <v>4025</v>
      </c>
      <c r="L311" s="269">
        <v>3</v>
      </c>
      <c r="M311" s="242">
        <v>103</v>
      </c>
      <c r="N311" s="269" t="s">
        <v>74</v>
      </c>
      <c r="O311" s="269">
        <v>3</v>
      </c>
      <c r="P311" s="266">
        <v>15</v>
      </c>
      <c r="Q311" s="285" t="s">
        <v>75</v>
      </c>
      <c r="R311" s="260">
        <v>9050</v>
      </c>
      <c r="S311" s="18">
        <f>+P311*R311</f>
        <v>135750</v>
      </c>
      <c r="T311" s="1469">
        <v>5</v>
      </c>
      <c r="U311" s="1664">
        <f>+S311*0.05</f>
        <v>6787.5</v>
      </c>
      <c r="V311" s="47">
        <f>+S311-U311</f>
        <v>128962.5</v>
      </c>
      <c r="W311" s="18">
        <f>V311+K311</f>
        <v>132987.5</v>
      </c>
      <c r="X311" s="47">
        <f>+W311</f>
        <v>132987.5</v>
      </c>
      <c r="Y311" s="18"/>
      <c r="Z311" s="18">
        <f>+X311</f>
        <v>132987.5</v>
      </c>
      <c r="AA311" s="264">
        <v>0.3</v>
      </c>
      <c r="AB311" s="415">
        <f>+Z311*AA311/100</f>
        <v>398.96249999999998</v>
      </c>
      <c r="AC311" s="350"/>
      <c r="AD311" s="350"/>
      <c r="AE311" s="350"/>
      <c r="AF311" s="350"/>
    </row>
    <row r="312" spans="1:32" s="597" customFormat="1" ht="18" customHeight="1" x14ac:dyDescent="0.25">
      <c r="A312" s="242"/>
      <c r="B312" s="269"/>
      <c r="C312" s="285"/>
      <c r="D312" s="273"/>
      <c r="E312" s="273"/>
      <c r="F312" s="268"/>
      <c r="G312" s="269"/>
      <c r="H312" s="266">
        <v>2.25</v>
      </c>
      <c r="I312" s="18">
        <f>+F312*400+G312*100+H312</f>
        <v>2.25</v>
      </c>
      <c r="J312" s="258">
        <v>2300</v>
      </c>
      <c r="K312" s="39">
        <f>SUM(I312*J312)</f>
        <v>5175</v>
      </c>
      <c r="L312" s="269">
        <v>4</v>
      </c>
      <c r="M312" s="242">
        <v>504</v>
      </c>
      <c r="N312" s="269" t="s">
        <v>74</v>
      </c>
      <c r="O312" s="269">
        <v>3</v>
      </c>
      <c r="P312" s="266">
        <f>3*3</f>
        <v>9</v>
      </c>
      <c r="Q312" s="285" t="s">
        <v>75</v>
      </c>
      <c r="R312" s="260">
        <v>3100</v>
      </c>
      <c r="S312" s="18">
        <f>+P312*R312</f>
        <v>27900</v>
      </c>
      <c r="T312" s="1469">
        <v>6</v>
      </c>
      <c r="U312" s="1664">
        <f>+S312*0.06</f>
        <v>1674</v>
      </c>
      <c r="V312" s="47">
        <f>+S312-U312</f>
        <v>26226</v>
      </c>
      <c r="W312" s="18">
        <f>V312+K312</f>
        <v>31401</v>
      </c>
      <c r="X312" s="47">
        <f>+W312</f>
        <v>31401</v>
      </c>
      <c r="Y312" s="18"/>
      <c r="Z312" s="18">
        <f>+X312</f>
        <v>31401</v>
      </c>
      <c r="AA312" s="264">
        <v>0.3</v>
      </c>
      <c r="AB312" s="410">
        <f>+Z312*AA312/100</f>
        <v>94.202999999999989</v>
      </c>
      <c r="AC312" s="350"/>
      <c r="AD312" s="350"/>
      <c r="AE312" s="350"/>
      <c r="AF312" s="350"/>
    </row>
    <row r="313" spans="1:32" s="597" customFormat="1" ht="18" customHeight="1" x14ac:dyDescent="0.2">
      <c r="A313" s="242"/>
      <c r="B313" s="242"/>
      <c r="C313" s="496"/>
      <c r="D313" s="85"/>
      <c r="E313" s="85"/>
      <c r="F313" s="411"/>
      <c r="G313" s="242"/>
      <c r="H313" s="497"/>
      <c r="I313" s="77"/>
      <c r="J313" s="761"/>
      <c r="K313" s="762"/>
      <c r="L313" s="75"/>
      <c r="M313" s="145"/>
      <c r="N313" s="145"/>
      <c r="O313" s="61"/>
      <c r="P313" s="145"/>
      <c r="Q313" s="174"/>
      <c r="R313" s="408"/>
      <c r="S313" s="77"/>
      <c r="T313" s="135"/>
      <c r="U313" s="74"/>
      <c r="V313" s="74"/>
      <c r="W313" s="77"/>
      <c r="X313" s="74"/>
      <c r="Y313" s="77"/>
      <c r="Z313" s="77"/>
      <c r="AA313" s="409"/>
      <c r="AB313" s="416"/>
      <c r="AC313" s="350"/>
      <c r="AD313" s="350"/>
      <c r="AE313" s="350"/>
      <c r="AF313" s="350"/>
    </row>
    <row r="314" spans="1:32" s="597" customFormat="1" ht="18" customHeight="1" x14ac:dyDescent="0.2">
      <c r="A314" s="242"/>
      <c r="B314" s="242"/>
      <c r="C314" s="496"/>
      <c r="D314" s="85"/>
      <c r="E314" s="85"/>
      <c r="F314" s="411"/>
      <c r="G314" s="242"/>
      <c r="H314" s="497"/>
      <c r="I314" s="77"/>
      <c r="J314" s="761"/>
      <c r="K314" s="762"/>
      <c r="L314" s="242"/>
      <c r="M314" s="145"/>
      <c r="N314" s="145"/>
      <c r="O314" s="61"/>
      <c r="P314" s="497"/>
      <c r="Q314" s="174"/>
      <c r="R314" s="408"/>
      <c r="S314" s="77"/>
      <c r="T314" s="135"/>
      <c r="U314" s="74"/>
      <c r="V314" s="74"/>
      <c r="W314" s="77"/>
      <c r="X314" s="74"/>
      <c r="Y314" s="77"/>
      <c r="Z314" s="77"/>
      <c r="AA314" s="409"/>
      <c r="AB314" s="415"/>
      <c r="AC314" s="350"/>
      <c r="AD314" s="350"/>
      <c r="AE314" s="350"/>
      <c r="AF314" s="350"/>
    </row>
    <row r="315" spans="1:32" s="597" customFormat="1" ht="18" customHeight="1" x14ac:dyDescent="0.2">
      <c r="A315" s="242"/>
      <c r="B315" s="242"/>
      <c r="C315" s="496"/>
      <c r="D315" s="85"/>
      <c r="E315" s="85"/>
      <c r="F315" s="411"/>
      <c r="G315" s="242"/>
      <c r="H315" s="497"/>
      <c r="I315" s="77"/>
      <c r="J315" s="761"/>
      <c r="K315" s="762"/>
      <c r="L315" s="242"/>
      <c r="M315" s="145"/>
      <c r="N315" s="145"/>
      <c r="O315" s="61"/>
      <c r="P315" s="497"/>
      <c r="Q315" s="174"/>
      <c r="R315" s="408"/>
      <c r="S315" s="77"/>
      <c r="T315" s="135"/>
      <c r="U315" s="74"/>
      <c r="V315" s="74"/>
      <c r="W315" s="77"/>
      <c r="X315" s="74"/>
      <c r="Y315" s="77"/>
      <c r="Z315" s="77"/>
      <c r="AA315" s="409"/>
      <c r="AB315" s="410"/>
      <c r="AC315" s="350"/>
      <c r="AD315" s="350"/>
      <c r="AE315" s="350"/>
      <c r="AF315" s="350"/>
    </row>
    <row r="316" spans="1:32" s="597" customFormat="1" ht="18" customHeight="1" x14ac:dyDescent="0.2">
      <c r="A316" s="145"/>
      <c r="B316" s="177"/>
      <c r="C316" s="177"/>
      <c r="D316" s="145"/>
      <c r="E316" s="145"/>
      <c r="F316" s="145"/>
      <c r="G316" s="145"/>
      <c r="H316" s="147"/>
      <c r="I316" s="107"/>
      <c r="J316" s="178"/>
      <c r="K316" s="107"/>
      <c r="L316" s="145"/>
      <c r="M316" s="145"/>
      <c r="N316" s="145"/>
      <c r="O316" s="145"/>
      <c r="P316" s="147"/>
      <c r="Q316" s="148"/>
      <c r="R316" s="437"/>
      <c r="S316" s="107"/>
      <c r="T316" s="179"/>
      <c r="U316" s="178"/>
      <c r="V316" s="107"/>
      <c r="W316" s="107"/>
      <c r="X316" s="470"/>
      <c r="Y316" s="470"/>
      <c r="Z316" s="471"/>
      <c r="AA316" s="471"/>
      <c r="AB316" s="466"/>
      <c r="AC316" s="350"/>
      <c r="AD316" s="350"/>
      <c r="AE316" s="350"/>
      <c r="AF316" s="350"/>
    </row>
    <row r="317" spans="1:32" s="597" customFormat="1" ht="18" customHeight="1" x14ac:dyDescent="0.2">
      <c r="A317" s="145"/>
      <c r="B317" s="177"/>
      <c r="C317" s="177"/>
      <c r="D317" s="145"/>
      <c r="E317" s="145"/>
      <c r="F317" s="145"/>
      <c r="G317" s="145"/>
      <c r="H317" s="147"/>
      <c r="I317" s="107"/>
      <c r="J317" s="178"/>
      <c r="K317" s="107"/>
      <c r="L317" s="145"/>
      <c r="M317" s="145"/>
      <c r="N317" s="145"/>
      <c r="O317" s="145"/>
      <c r="P317" s="147"/>
      <c r="Q317" s="148"/>
      <c r="R317" s="437"/>
      <c r="S317" s="107"/>
      <c r="T317" s="179"/>
      <c r="U317" s="178"/>
      <c r="V317" s="107"/>
      <c r="W317" s="107"/>
      <c r="X317" s="470"/>
      <c r="Y317" s="470"/>
      <c r="Z317" s="471"/>
      <c r="AA317" s="471"/>
      <c r="AB317" s="466"/>
      <c r="AC317" s="350"/>
      <c r="AD317" s="350"/>
      <c r="AE317" s="350"/>
      <c r="AF317" s="350"/>
    </row>
    <row r="318" spans="1:32" s="597" customFormat="1" ht="18" customHeight="1" x14ac:dyDescent="0.2">
      <c r="A318" s="145"/>
      <c r="B318" s="177"/>
      <c r="C318" s="177"/>
      <c r="D318" s="145"/>
      <c r="E318" s="145"/>
      <c r="F318" s="145"/>
      <c r="G318" s="145"/>
      <c r="H318" s="147"/>
      <c r="I318" s="107"/>
      <c r="J318" s="178"/>
      <c r="K318" s="107"/>
      <c r="L318" s="145"/>
      <c r="M318" s="145"/>
      <c r="N318" s="145"/>
      <c r="O318" s="145"/>
      <c r="P318" s="147"/>
      <c r="Q318" s="148"/>
      <c r="R318" s="437"/>
      <c r="S318" s="107"/>
      <c r="T318" s="179"/>
      <c r="U318" s="178"/>
      <c r="V318" s="107"/>
      <c r="W318" s="107"/>
      <c r="X318" s="470"/>
      <c r="Y318" s="470"/>
      <c r="Z318" s="471"/>
      <c r="AA318" s="471"/>
      <c r="AB318" s="466"/>
      <c r="AC318" s="350"/>
      <c r="AD318" s="350"/>
      <c r="AE318" s="350"/>
      <c r="AF318" s="350"/>
    </row>
    <row r="319" spans="1:32" s="597" customFormat="1" ht="18" customHeight="1" x14ac:dyDescent="0.2">
      <c r="A319" s="145"/>
      <c r="B319" s="177"/>
      <c r="C319" s="177"/>
      <c r="D319" s="145"/>
      <c r="E319" s="145"/>
      <c r="F319" s="145"/>
      <c r="G319" s="145"/>
      <c r="H319" s="147"/>
      <c r="I319" s="107"/>
      <c r="J319" s="178"/>
      <c r="K319" s="107"/>
      <c r="L319" s="145"/>
      <c r="M319" s="145"/>
      <c r="N319" s="145"/>
      <c r="O319" s="145"/>
      <c r="P319" s="147"/>
      <c r="Q319" s="148"/>
      <c r="R319" s="437"/>
      <c r="S319" s="107"/>
      <c r="T319" s="179"/>
      <c r="U319" s="178"/>
      <c r="V319" s="107"/>
      <c r="W319" s="107"/>
      <c r="X319" s="470"/>
      <c r="Y319" s="470"/>
      <c r="Z319" s="471"/>
      <c r="AA319" s="471"/>
      <c r="AB319" s="466"/>
      <c r="AC319" s="350"/>
      <c r="AD319" s="350"/>
      <c r="AE319" s="350"/>
      <c r="AF319" s="350"/>
    </row>
    <row r="320" spans="1:32" s="597" customFormat="1" ht="18" customHeight="1" x14ac:dyDescent="0.2">
      <c r="A320" s="145"/>
      <c r="B320" s="177"/>
      <c r="C320" s="177"/>
      <c r="D320" s="145"/>
      <c r="E320" s="145"/>
      <c r="F320" s="145"/>
      <c r="G320" s="145"/>
      <c r="H320" s="147"/>
      <c r="I320" s="107"/>
      <c r="J320" s="178"/>
      <c r="K320" s="107"/>
      <c r="L320" s="145"/>
      <c r="M320" s="145"/>
      <c r="N320" s="145"/>
      <c r="O320" s="145"/>
      <c r="P320" s="147"/>
      <c r="Q320" s="148"/>
      <c r="R320" s="437"/>
      <c r="S320" s="107"/>
      <c r="T320" s="179"/>
      <c r="U320" s="178"/>
      <c r="V320" s="107"/>
      <c r="W320" s="107"/>
      <c r="X320" s="470"/>
      <c r="Y320" s="470"/>
      <c r="Z320" s="471"/>
      <c r="AA320" s="471"/>
      <c r="AB320" s="466"/>
      <c r="AC320" s="350"/>
      <c r="AD320" s="350"/>
      <c r="AE320" s="350"/>
      <c r="AF320" s="350"/>
    </row>
    <row r="321" spans="1:32" s="597" customFormat="1" ht="18" customHeight="1" x14ac:dyDescent="0.2">
      <c r="A321" s="145"/>
      <c r="B321" s="177"/>
      <c r="C321" s="177"/>
      <c r="D321" s="145"/>
      <c r="E321" s="145"/>
      <c r="F321" s="145"/>
      <c r="G321" s="145"/>
      <c r="H321" s="147"/>
      <c r="I321" s="107"/>
      <c r="J321" s="178"/>
      <c r="K321" s="107"/>
      <c r="L321" s="145"/>
      <c r="M321" s="145"/>
      <c r="N321" s="145"/>
      <c r="O321" s="145"/>
      <c r="P321" s="147"/>
      <c r="Q321" s="148"/>
      <c r="R321" s="437"/>
      <c r="S321" s="107"/>
      <c r="T321" s="179"/>
      <c r="U321" s="178"/>
      <c r="V321" s="107"/>
      <c r="W321" s="107"/>
      <c r="X321" s="470"/>
      <c r="Y321" s="470"/>
      <c r="Z321" s="471"/>
      <c r="AA321" s="471"/>
      <c r="AB321" s="466"/>
      <c r="AC321" s="350"/>
      <c r="AD321" s="350"/>
      <c r="AE321" s="350"/>
      <c r="AF321" s="350"/>
    </row>
    <row r="322" spans="1:32" s="597" customFormat="1" ht="18" customHeight="1" x14ac:dyDescent="0.2">
      <c r="A322" s="145"/>
      <c r="B322" s="177"/>
      <c r="C322" s="177"/>
      <c r="D322" s="145"/>
      <c r="E322" s="145"/>
      <c r="F322" s="145"/>
      <c r="G322" s="145"/>
      <c r="H322" s="147"/>
      <c r="I322" s="107"/>
      <c r="J322" s="178"/>
      <c r="K322" s="107"/>
      <c r="L322" s="145"/>
      <c r="M322" s="145"/>
      <c r="N322" s="145"/>
      <c r="O322" s="145"/>
      <c r="P322" s="147"/>
      <c r="Q322" s="148"/>
      <c r="R322" s="437"/>
      <c r="S322" s="107"/>
      <c r="T322" s="179"/>
      <c r="U322" s="178"/>
      <c r="V322" s="107"/>
      <c r="W322" s="107"/>
      <c r="X322" s="470"/>
      <c r="Y322" s="470"/>
      <c r="Z322" s="471"/>
      <c r="AA322" s="471"/>
      <c r="AB322" s="466"/>
      <c r="AC322" s="351"/>
      <c r="AD322" s="351"/>
      <c r="AE322" s="351"/>
      <c r="AF322" s="351"/>
    </row>
    <row r="323" spans="1:32" s="597" customFormat="1" ht="18" customHeight="1" x14ac:dyDescent="0.2">
      <c r="A323" s="88"/>
      <c r="B323" s="180"/>
      <c r="C323" s="180"/>
      <c r="D323" s="88"/>
      <c r="E323" s="88"/>
      <c r="F323" s="88"/>
      <c r="G323" s="88"/>
      <c r="H323" s="120"/>
      <c r="I323" s="121"/>
      <c r="J323" s="181"/>
      <c r="K323" s="121"/>
      <c r="L323" s="88" t="s">
        <v>90</v>
      </c>
      <c r="M323" s="88"/>
      <c r="N323" s="88"/>
      <c r="O323" s="88"/>
      <c r="P323" s="88"/>
      <c r="Q323" s="129"/>
      <c r="R323" s="445"/>
      <c r="S323" s="121"/>
      <c r="T323" s="182"/>
      <c r="U323" s="181"/>
      <c r="V323" s="121"/>
      <c r="W323" s="121"/>
      <c r="X323" s="472"/>
      <c r="Y323" s="472"/>
      <c r="Z323" s="473"/>
      <c r="AA323" s="473"/>
      <c r="AB323" s="410"/>
      <c r="AC323" s="349"/>
      <c r="AD323" s="349"/>
      <c r="AE323" s="349"/>
      <c r="AF323" s="349"/>
    </row>
    <row r="324" spans="1:32" s="597" customFormat="1" ht="18" customHeight="1" x14ac:dyDescent="0.2">
      <c r="A324" s="1850"/>
      <c r="B324" s="1850"/>
      <c r="C324" s="1850"/>
      <c r="D324" s="1850"/>
      <c r="E324" s="1850"/>
      <c r="F324" s="1850"/>
      <c r="G324" s="1850"/>
      <c r="H324" s="1851"/>
      <c r="I324" s="1852"/>
      <c r="J324" s="1853"/>
      <c r="K324" s="1852"/>
      <c r="L324" s="1852"/>
      <c r="M324" s="1852"/>
      <c r="N324" s="1852"/>
      <c r="O324" s="1852"/>
      <c r="P324" s="1852"/>
      <c r="Q324" s="1852"/>
      <c r="R324" s="1854"/>
      <c r="S324" s="1852"/>
      <c r="T324" s="1855"/>
      <c r="U324" s="1853"/>
      <c r="V324" s="1852"/>
      <c r="W324" s="1852"/>
      <c r="X324" s="1856"/>
      <c r="Y324" s="1856"/>
      <c r="Z324" s="1857"/>
      <c r="AA324" s="1857"/>
      <c r="AB324" s="1847">
        <f>SUM(AB309:AB323)</f>
        <v>493.16549999999995</v>
      </c>
    </row>
    <row r="325" spans="1:32" s="597" customFormat="1" ht="18" customHeight="1" x14ac:dyDescent="0.2">
      <c r="A325" s="2690" t="s">
        <v>76</v>
      </c>
      <c r="B325" s="2690"/>
      <c r="C325" s="2691" t="s">
        <v>77</v>
      </c>
      <c r="D325" s="2691"/>
      <c r="E325" s="2691"/>
      <c r="F325" s="2691"/>
      <c r="G325" s="2691"/>
      <c r="H325" s="2691"/>
      <c r="I325" s="604" t="s">
        <v>78</v>
      </c>
      <c r="J325" s="604"/>
      <c r="K325" s="604"/>
      <c r="L325" s="604"/>
      <c r="M325" s="604"/>
      <c r="N325" s="604"/>
      <c r="AB325" s="598"/>
    </row>
    <row r="326" spans="1:32" s="597" customFormat="1" ht="18" customHeight="1" x14ac:dyDescent="0.2">
      <c r="A326" s="604"/>
      <c r="B326" s="605"/>
      <c r="C326" s="604"/>
      <c r="D326" s="604"/>
      <c r="E326" s="604"/>
      <c r="F326" s="604"/>
      <c r="G326" s="604"/>
      <c r="H326" s="604"/>
      <c r="I326" s="604" t="s">
        <v>79</v>
      </c>
      <c r="J326" s="604"/>
      <c r="K326" s="604"/>
      <c r="L326" s="604"/>
      <c r="M326" s="604"/>
      <c r="N326" s="604"/>
      <c r="AB326" s="598"/>
    </row>
    <row r="327" spans="1:32" s="597" customFormat="1" ht="18" customHeight="1" x14ac:dyDescent="0.2">
      <c r="A327" s="604"/>
      <c r="B327" s="605"/>
      <c r="C327" s="604"/>
      <c r="D327" s="604"/>
      <c r="E327" s="604"/>
      <c r="F327" s="604"/>
      <c r="G327" s="604"/>
      <c r="H327" s="604"/>
      <c r="I327" s="604" t="s">
        <v>80</v>
      </c>
      <c r="J327" s="604"/>
      <c r="K327" s="604"/>
      <c r="L327" s="604"/>
      <c r="M327" s="604"/>
      <c r="N327" s="604"/>
      <c r="AB327" s="598"/>
    </row>
    <row r="328" spans="1:32" s="597" customFormat="1" ht="18" customHeight="1" x14ac:dyDescent="0.2">
      <c r="A328" s="604"/>
      <c r="B328" s="605"/>
      <c r="C328" s="604"/>
      <c r="D328" s="604"/>
      <c r="E328" s="604"/>
      <c r="F328" s="604"/>
      <c r="G328" s="604"/>
      <c r="H328" s="604"/>
      <c r="I328" s="604" t="s">
        <v>81</v>
      </c>
      <c r="J328" s="604"/>
      <c r="K328" s="604"/>
      <c r="L328" s="604"/>
      <c r="M328" s="604"/>
      <c r="N328" s="604"/>
      <c r="AB328" s="598"/>
    </row>
    <row r="329" spans="1:32" s="597" customFormat="1" ht="18" customHeight="1" x14ac:dyDescent="0.2">
      <c r="A329" s="604"/>
      <c r="B329" s="605"/>
      <c r="C329" s="604"/>
      <c r="D329" s="604"/>
      <c r="E329" s="604"/>
      <c r="F329" s="604"/>
      <c r="G329" s="604"/>
      <c r="H329" s="604"/>
      <c r="I329" s="604" t="s">
        <v>88</v>
      </c>
      <c r="J329" s="604"/>
      <c r="K329" s="604"/>
      <c r="L329" s="604"/>
      <c r="M329" s="604"/>
      <c r="N329" s="604"/>
      <c r="AB329" s="598"/>
    </row>
    <row r="330" spans="1:32" s="597" customFormat="1" ht="18" customHeight="1" x14ac:dyDescent="0.2">
      <c r="A330" s="339"/>
      <c r="B330" s="339"/>
      <c r="C330" s="339"/>
      <c r="D330" s="339"/>
      <c r="E330" s="339"/>
      <c r="F330" s="339"/>
      <c r="G330" s="339"/>
      <c r="H330" s="339"/>
      <c r="I330" s="339"/>
      <c r="J330" s="339"/>
      <c r="K330" s="339"/>
      <c r="L330" s="339"/>
      <c r="M330" s="339"/>
      <c r="N330" s="339"/>
      <c r="O330" s="339"/>
      <c r="P330" s="339"/>
      <c r="Q330" s="339"/>
      <c r="R330" s="339"/>
      <c r="S330" s="339"/>
      <c r="T330" s="339"/>
      <c r="U330" s="339"/>
      <c r="V330" s="339"/>
      <c r="W330" s="339"/>
      <c r="X330" s="339"/>
      <c r="Y330" s="339"/>
      <c r="Z330" s="339"/>
      <c r="AA330" s="2702" t="s">
        <v>0</v>
      </c>
      <c r="AB330" s="2702"/>
      <c r="AC330" s="344"/>
      <c r="AD330" s="344"/>
      <c r="AE330" s="344"/>
      <c r="AF330" s="344"/>
    </row>
    <row r="331" spans="1:32" s="597" customFormat="1" ht="18" customHeight="1" x14ac:dyDescent="0.2">
      <c r="A331" s="2703" t="s">
        <v>1</v>
      </c>
      <c r="B331" s="2703"/>
      <c r="C331" s="2703"/>
      <c r="D331" s="2703"/>
      <c r="E331" s="2703"/>
      <c r="F331" s="2703"/>
      <c r="G331" s="2703"/>
      <c r="H331" s="2703"/>
      <c r="I331" s="2703"/>
      <c r="J331" s="2703"/>
      <c r="K331" s="2703"/>
      <c r="L331" s="2703"/>
      <c r="M331" s="2703"/>
      <c r="N331" s="2703"/>
      <c r="O331" s="2703"/>
      <c r="P331" s="2703"/>
      <c r="Q331" s="2703"/>
      <c r="R331" s="2703"/>
      <c r="S331" s="2703"/>
      <c r="T331" s="2703"/>
      <c r="U331" s="2703"/>
      <c r="V331" s="2703"/>
      <c r="W331" s="2703"/>
      <c r="X331" s="2703"/>
      <c r="Y331" s="2703"/>
      <c r="Z331" s="2703"/>
      <c r="AA331" s="2703"/>
      <c r="AB331" s="2703"/>
      <c r="AC331" s="599"/>
      <c r="AD331" s="599"/>
      <c r="AE331" s="599"/>
      <c r="AF331" s="599"/>
    </row>
    <row r="332" spans="1:32" s="597" customFormat="1" ht="18" customHeight="1" x14ac:dyDescent="0.2">
      <c r="A332" s="2704" t="s">
        <v>468</v>
      </c>
      <c r="B332" s="2704"/>
      <c r="C332" s="2704"/>
      <c r="D332" s="2704"/>
      <c r="E332" s="2704"/>
      <c r="F332" s="2704"/>
      <c r="G332" s="2704"/>
      <c r="H332" s="2704"/>
      <c r="I332" s="2704"/>
      <c r="J332" s="2704"/>
      <c r="K332" s="2704"/>
      <c r="L332" s="2704"/>
      <c r="M332" s="2704"/>
      <c r="N332" s="2704"/>
      <c r="O332" s="2704"/>
      <c r="P332" s="2704"/>
      <c r="Q332" s="2704"/>
      <c r="R332" s="2704"/>
      <c r="S332" s="2704"/>
      <c r="T332" s="2704"/>
      <c r="U332" s="2704"/>
      <c r="V332" s="2704"/>
      <c r="W332" s="2704"/>
      <c r="X332" s="2704"/>
      <c r="Y332" s="2704"/>
      <c r="Z332" s="2704"/>
      <c r="AA332" s="2704"/>
      <c r="AB332" s="2704"/>
      <c r="AC332" s="794" t="s">
        <v>8</v>
      </c>
      <c r="AD332" s="346"/>
      <c r="AE332" s="346"/>
      <c r="AF332" s="795"/>
    </row>
    <row r="333" spans="1:32" s="597" customFormat="1" ht="18" customHeight="1" x14ac:dyDescent="0.2">
      <c r="A333" s="2686" t="s">
        <v>2</v>
      </c>
      <c r="B333" s="360"/>
      <c r="C333" s="2686" t="s">
        <v>3</v>
      </c>
      <c r="D333" s="360"/>
      <c r="E333" s="360"/>
      <c r="F333" s="2693" t="s">
        <v>4</v>
      </c>
      <c r="G333" s="2693"/>
      <c r="H333" s="2693"/>
      <c r="I333" s="2694"/>
      <c r="J333" s="2694"/>
      <c r="K333" s="2695"/>
      <c r="L333" s="361"/>
      <c r="M333" s="2679" t="s">
        <v>5</v>
      </c>
      <c r="N333" s="2679"/>
      <c r="O333" s="2679"/>
      <c r="P333" s="2679"/>
      <c r="Q333" s="2696"/>
      <c r="R333" s="2696"/>
      <c r="S333" s="2696"/>
      <c r="T333" s="2696"/>
      <c r="U333" s="2696"/>
      <c r="V333" s="2697"/>
      <c r="W333" s="362" t="s">
        <v>6</v>
      </c>
      <c r="X333" s="363" t="s">
        <v>7</v>
      </c>
      <c r="Y333" s="364"/>
      <c r="Z333" s="364"/>
      <c r="AA333" s="363"/>
      <c r="AB333" s="365"/>
      <c r="AC333" s="528" t="s">
        <v>20</v>
      </c>
      <c r="AD333" s="601"/>
      <c r="AE333" s="347" t="s">
        <v>21</v>
      </c>
      <c r="AF333" s="340" t="s">
        <v>22</v>
      </c>
    </row>
    <row r="334" spans="1:32" s="597" customFormat="1" ht="18" customHeight="1" x14ac:dyDescent="0.2">
      <c r="A334" s="2687"/>
      <c r="B334" s="367"/>
      <c r="C334" s="2687"/>
      <c r="D334" s="366" t="s">
        <v>9</v>
      </c>
      <c r="E334" s="368" t="s">
        <v>10</v>
      </c>
      <c r="F334" s="2698" t="s">
        <v>11</v>
      </c>
      <c r="G334" s="2694"/>
      <c r="H334" s="2695"/>
      <c r="I334" s="360"/>
      <c r="J334" s="369" t="s">
        <v>12</v>
      </c>
      <c r="K334" s="360"/>
      <c r="L334" s="2679" t="s">
        <v>2</v>
      </c>
      <c r="M334" s="370"/>
      <c r="N334" s="370"/>
      <c r="O334" s="370"/>
      <c r="P334" s="371"/>
      <c r="Q334" s="372" t="s">
        <v>13</v>
      </c>
      <c r="R334" s="373" t="s">
        <v>12</v>
      </c>
      <c r="S334" s="370" t="s">
        <v>6</v>
      </c>
      <c r="T334" s="2682" t="s">
        <v>14</v>
      </c>
      <c r="U334" s="2683"/>
      <c r="V334" s="375" t="s">
        <v>7</v>
      </c>
      <c r="W334" s="376" t="s">
        <v>15</v>
      </c>
      <c r="X334" s="377" t="s">
        <v>16</v>
      </c>
      <c r="Y334" s="377" t="s">
        <v>17</v>
      </c>
      <c r="Z334" s="377" t="s">
        <v>18</v>
      </c>
      <c r="AA334" s="377"/>
      <c r="AB334" s="378" t="s">
        <v>19</v>
      </c>
      <c r="AC334" s="528" t="s">
        <v>35</v>
      </c>
      <c r="AD334" s="347" t="s">
        <v>36</v>
      </c>
      <c r="AE334" s="347" t="s">
        <v>37</v>
      </c>
      <c r="AF334" s="340" t="s">
        <v>38</v>
      </c>
    </row>
    <row r="335" spans="1:32" s="597" customFormat="1" ht="18" customHeight="1" x14ac:dyDescent="0.2">
      <c r="A335" s="2687"/>
      <c r="B335" s="366" t="s">
        <v>23</v>
      </c>
      <c r="C335" s="2687"/>
      <c r="D335" s="366" t="s">
        <v>24</v>
      </c>
      <c r="E335" s="368" t="s">
        <v>25</v>
      </c>
      <c r="F335" s="2699"/>
      <c r="G335" s="2700"/>
      <c r="H335" s="2701"/>
      <c r="I335" s="366" t="s">
        <v>26</v>
      </c>
      <c r="J335" s="379" t="s">
        <v>15</v>
      </c>
      <c r="K335" s="380" t="s">
        <v>6</v>
      </c>
      <c r="L335" s="2680"/>
      <c r="M335" s="381" t="s">
        <v>27</v>
      </c>
      <c r="N335" s="381" t="s">
        <v>10</v>
      </c>
      <c r="O335" s="382" t="s">
        <v>10</v>
      </c>
      <c r="P335" s="383" t="s">
        <v>28</v>
      </c>
      <c r="Q335" s="384" t="s">
        <v>29</v>
      </c>
      <c r="R335" s="383" t="s">
        <v>15</v>
      </c>
      <c r="S335" s="385" t="s">
        <v>15</v>
      </c>
      <c r="T335" s="2684"/>
      <c r="U335" s="2685"/>
      <c r="V335" s="375" t="s">
        <v>30</v>
      </c>
      <c r="W335" s="376" t="s">
        <v>31</v>
      </c>
      <c r="X335" s="377" t="s">
        <v>30</v>
      </c>
      <c r="Y335" s="377" t="s">
        <v>32</v>
      </c>
      <c r="Z335" s="377" t="s">
        <v>7</v>
      </c>
      <c r="AA335" s="377" t="s">
        <v>33</v>
      </c>
      <c r="AB335" s="378" t="s">
        <v>34</v>
      </c>
      <c r="AC335" s="347" t="s">
        <v>58</v>
      </c>
      <c r="AD335" s="347" t="s">
        <v>59</v>
      </c>
      <c r="AE335" s="347" t="s">
        <v>59</v>
      </c>
      <c r="AF335" s="340" t="s">
        <v>60</v>
      </c>
    </row>
    <row r="336" spans="1:32" s="597" customFormat="1" ht="18" customHeight="1" x14ac:dyDescent="0.2">
      <c r="A336" s="2687"/>
      <c r="B336" s="366" t="s">
        <v>39</v>
      </c>
      <c r="C336" s="2687"/>
      <c r="D336" s="366" t="s">
        <v>40</v>
      </c>
      <c r="E336" s="368" t="s">
        <v>41</v>
      </c>
      <c r="F336" s="2686" t="s">
        <v>42</v>
      </c>
      <c r="G336" s="2686" t="s">
        <v>43</v>
      </c>
      <c r="H336" s="2688" t="s">
        <v>44</v>
      </c>
      <c r="I336" s="366" t="s">
        <v>45</v>
      </c>
      <c r="J336" s="379" t="s">
        <v>46</v>
      </c>
      <c r="K336" s="380" t="s">
        <v>47</v>
      </c>
      <c r="L336" s="2680"/>
      <c r="M336" s="381" t="s">
        <v>30</v>
      </c>
      <c r="N336" s="381" t="s">
        <v>30</v>
      </c>
      <c r="O336" s="382" t="s">
        <v>25</v>
      </c>
      <c r="P336" s="383" t="s">
        <v>30</v>
      </c>
      <c r="Q336" s="384" t="s">
        <v>48</v>
      </c>
      <c r="R336" s="383" t="s">
        <v>49</v>
      </c>
      <c r="S336" s="385" t="s">
        <v>30</v>
      </c>
      <c r="T336" s="386" t="s">
        <v>50</v>
      </c>
      <c r="U336" s="374" t="s">
        <v>13</v>
      </c>
      <c r="V336" s="375" t="s">
        <v>51</v>
      </c>
      <c r="W336" s="376" t="s">
        <v>52</v>
      </c>
      <c r="X336" s="377" t="s">
        <v>53</v>
      </c>
      <c r="Y336" s="377" t="s">
        <v>54</v>
      </c>
      <c r="Z336" s="377" t="s">
        <v>55</v>
      </c>
      <c r="AA336" s="377" t="s">
        <v>56</v>
      </c>
      <c r="AB336" s="378" t="s">
        <v>57</v>
      </c>
      <c r="AC336" s="347" t="s">
        <v>59</v>
      </c>
      <c r="AD336" s="347"/>
      <c r="AE336" s="347"/>
      <c r="AF336" s="340" t="s">
        <v>59</v>
      </c>
    </row>
    <row r="337" spans="1:32" s="597" customFormat="1" ht="18" customHeight="1" x14ac:dyDescent="0.2">
      <c r="A337" s="2687"/>
      <c r="B337" s="366" t="s">
        <v>61</v>
      </c>
      <c r="C337" s="2687"/>
      <c r="D337" s="366" t="s">
        <v>62</v>
      </c>
      <c r="E337" s="368" t="s">
        <v>63</v>
      </c>
      <c r="F337" s="2687"/>
      <c r="G337" s="2687"/>
      <c r="H337" s="2689"/>
      <c r="I337" s="366" t="s">
        <v>64</v>
      </c>
      <c r="J337" s="379" t="s">
        <v>59</v>
      </c>
      <c r="K337" s="380" t="s">
        <v>59</v>
      </c>
      <c r="L337" s="2680"/>
      <c r="M337" s="381"/>
      <c r="N337" s="381"/>
      <c r="O337" s="382" t="s">
        <v>41</v>
      </c>
      <c r="P337" s="383" t="s">
        <v>65</v>
      </c>
      <c r="Q337" s="384" t="s">
        <v>66</v>
      </c>
      <c r="R337" s="383" t="s">
        <v>67</v>
      </c>
      <c r="S337" s="385" t="s">
        <v>59</v>
      </c>
      <c r="T337" s="387" t="s">
        <v>68</v>
      </c>
      <c r="U337" s="375" t="s">
        <v>14</v>
      </c>
      <c r="V337" s="375" t="s">
        <v>14</v>
      </c>
      <c r="W337" s="376" t="s">
        <v>30</v>
      </c>
      <c r="X337" s="388" t="s">
        <v>69</v>
      </c>
      <c r="Y337" s="388" t="s">
        <v>70</v>
      </c>
      <c r="Z337" s="377" t="s">
        <v>71</v>
      </c>
      <c r="AA337" s="377" t="s">
        <v>72</v>
      </c>
      <c r="AB337" s="378" t="s">
        <v>59</v>
      </c>
      <c r="AC337" s="348"/>
      <c r="AD337" s="348"/>
      <c r="AE337" s="348"/>
      <c r="AF337" s="341"/>
    </row>
    <row r="338" spans="1:32" s="597" customFormat="1" ht="18" customHeight="1" x14ac:dyDescent="0.2">
      <c r="A338" s="2692"/>
      <c r="B338" s="390"/>
      <c r="C338" s="2692"/>
      <c r="D338" s="390"/>
      <c r="E338" s="389"/>
      <c r="F338" s="390"/>
      <c r="G338" s="390"/>
      <c r="H338" s="391"/>
      <c r="I338" s="389"/>
      <c r="J338" s="392"/>
      <c r="K338" s="393"/>
      <c r="L338" s="2681"/>
      <c r="M338" s="394"/>
      <c r="N338" s="394"/>
      <c r="O338" s="394" t="s">
        <v>63</v>
      </c>
      <c r="P338" s="395"/>
      <c r="Q338" s="396" t="s">
        <v>72</v>
      </c>
      <c r="R338" s="397" t="s">
        <v>59</v>
      </c>
      <c r="S338" s="398"/>
      <c r="T338" s="397" t="s">
        <v>73</v>
      </c>
      <c r="U338" s="398" t="s">
        <v>59</v>
      </c>
      <c r="V338" s="399" t="s">
        <v>59</v>
      </c>
      <c r="W338" s="400" t="s">
        <v>59</v>
      </c>
      <c r="X338" s="401" t="s">
        <v>59</v>
      </c>
      <c r="Y338" s="401" t="s">
        <v>59</v>
      </c>
      <c r="Z338" s="401" t="s">
        <v>59</v>
      </c>
      <c r="AA338" s="402"/>
      <c r="AB338" s="403"/>
      <c r="AC338" s="602"/>
      <c r="AD338" s="603">
        <f>AB339-AC338</f>
        <v>0</v>
      </c>
      <c r="AE338" s="603">
        <f>IF(AD338&lt;=0,0,AD338*25/100)</f>
        <v>0</v>
      </c>
      <c r="AF338" s="603">
        <f>IF(AC338+AE338&gt;AB339,AB339,AC338+AE338)</f>
        <v>0</v>
      </c>
    </row>
    <row r="339" spans="1:32" s="597" customFormat="1" ht="18" customHeight="1" x14ac:dyDescent="0.25">
      <c r="A339" s="16">
        <v>1</v>
      </c>
      <c r="B339" s="333">
        <v>2608</v>
      </c>
      <c r="C339" s="41">
        <v>497</v>
      </c>
      <c r="D339" s="41" t="s">
        <v>91</v>
      </c>
      <c r="E339" s="41">
        <v>1</v>
      </c>
      <c r="F339" s="41">
        <v>4</v>
      </c>
      <c r="G339" s="41">
        <v>2</v>
      </c>
      <c r="H339" s="267">
        <v>47.7</v>
      </c>
      <c r="I339" s="44">
        <f>F339*400+G339*100+H339</f>
        <v>1847.7</v>
      </c>
      <c r="J339" s="263">
        <v>540</v>
      </c>
      <c r="K339" s="46">
        <f>SUM(I339*J339)</f>
        <v>997758</v>
      </c>
      <c r="L339" s="16"/>
      <c r="M339" s="82"/>
      <c r="N339" s="41"/>
      <c r="O339" s="16">
        <v>1</v>
      </c>
      <c r="P339" s="41"/>
      <c r="Q339" s="14"/>
      <c r="R339" s="553"/>
      <c r="S339" s="44"/>
      <c r="T339" s="57"/>
      <c r="U339" s="44"/>
      <c r="V339" s="42"/>
      <c r="W339" s="18">
        <f t="shared" ref="W339:W348" si="8">K339+V339</f>
        <v>997758</v>
      </c>
      <c r="X339" s="47">
        <f t="shared" ref="X339:X348" si="9">W339</f>
        <v>997758</v>
      </c>
      <c r="Y339" s="18" t="s">
        <v>87</v>
      </c>
      <c r="Z339" s="18">
        <v>0</v>
      </c>
      <c r="AA339" s="264">
        <v>0.01</v>
      </c>
      <c r="AB339" s="406">
        <f>(Z339*AA339)</f>
        <v>0</v>
      </c>
      <c r="AC339" s="350"/>
      <c r="AD339" s="350"/>
      <c r="AE339" s="350"/>
      <c r="AF339" s="350"/>
    </row>
    <row r="340" spans="1:32" s="597" customFormat="1" ht="18" customHeight="1" x14ac:dyDescent="0.25">
      <c r="A340" s="50"/>
      <c r="B340" s="287"/>
      <c r="C340" s="27"/>
      <c r="D340" s="27"/>
      <c r="E340" s="15">
        <v>2</v>
      </c>
      <c r="F340" s="15">
        <v>0</v>
      </c>
      <c r="G340" s="15">
        <v>1</v>
      </c>
      <c r="H340" s="284">
        <v>44</v>
      </c>
      <c r="I340" s="18">
        <f>F340*400+G340*100+H340</f>
        <v>144</v>
      </c>
      <c r="J340" s="258">
        <v>540</v>
      </c>
      <c r="K340" s="39">
        <f>SUM(I340*J340)</f>
        <v>77760</v>
      </c>
      <c r="L340" s="45">
        <v>1</v>
      </c>
      <c r="M340" s="88">
        <v>401</v>
      </c>
      <c r="N340" s="27" t="s">
        <v>74</v>
      </c>
      <c r="O340" s="45">
        <v>2</v>
      </c>
      <c r="P340" s="27">
        <f>32.8*8.3</f>
        <v>272.24</v>
      </c>
      <c r="Q340" s="62" t="s">
        <v>75</v>
      </c>
      <c r="R340" s="283">
        <v>8000</v>
      </c>
      <c r="S340" s="47">
        <f>+P340*R340</f>
        <v>2177920</v>
      </c>
      <c r="T340" s="1469">
        <v>5</v>
      </c>
      <c r="U340" s="1670">
        <f>+S340*0.05</f>
        <v>108896</v>
      </c>
      <c r="V340" s="18">
        <f>+S340-U340</f>
        <v>2069024</v>
      </c>
      <c r="W340" s="18">
        <f t="shared" si="8"/>
        <v>2146784</v>
      </c>
      <c r="X340" s="47">
        <f t="shared" si="9"/>
        <v>2146784</v>
      </c>
      <c r="Y340" s="18"/>
      <c r="Z340" s="18">
        <f>+X340</f>
        <v>2146784</v>
      </c>
      <c r="AA340" s="264">
        <v>0.02</v>
      </c>
      <c r="AB340" s="410">
        <f t="shared" ref="AB340:AB348" si="10">+Z340*AA340/100</f>
        <v>429.35680000000002</v>
      </c>
      <c r="AC340" s="350"/>
      <c r="AD340" s="350"/>
      <c r="AE340" s="350"/>
      <c r="AF340" s="350"/>
    </row>
    <row r="341" spans="1:32" s="597" customFormat="1" ht="18" customHeight="1" x14ac:dyDescent="0.25">
      <c r="A341" s="269">
        <v>2</v>
      </c>
      <c r="B341" s="273">
        <v>11420</v>
      </c>
      <c r="C341" s="15">
        <v>499</v>
      </c>
      <c r="D341" s="270" t="s">
        <v>91</v>
      </c>
      <c r="E341" s="15">
        <v>2</v>
      </c>
      <c r="F341" s="27">
        <v>1</v>
      </c>
      <c r="G341" s="27">
        <v>1</v>
      </c>
      <c r="H341" s="557">
        <v>32</v>
      </c>
      <c r="I341" s="18">
        <f>F341*400+G341*100+H341</f>
        <v>532</v>
      </c>
      <c r="J341" s="258">
        <v>1500</v>
      </c>
      <c r="K341" s="39">
        <f>SUM(I341*J341)</f>
        <v>798000</v>
      </c>
      <c r="L341" s="50">
        <v>2</v>
      </c>
      <c r="M341" s="231">
        <v>401</v>
      </c>
      <c r="N341" s="270" t="s">
        <v>74</v>
      </c>
      <c r="O341" s="58">
        <v>2</v>
      </c>
      <c r="P341" s="270">
        <f>34.94*4</f>
        <v>139.76</v>
      </c>
      <c r="Q341" s="76" t="s">
        <v>75</v>
      </c>
      <c r="R341" s="283">
        <v>8000</v>
      </c>
      <c r="S341" s="18">
        <f t="shared" ref="S341:S347" si="11">P341*R341</f>
        <v>1118080</v>
      </c>
      <c r="T341" s="1662">
        <v>5</v>
      </c>
      <c r="U341" s="1670">
        <f>+S341*0.05</f>
        <v>55904</v>
      </c>
      <c r="V341" s="47">
        <f t="shared" ref="V341:V347" si="12">SUM(S341-U341)</f>
        <v>1062176</v>
      </c>
      <c r="W341" s="18">
        <f t="shared" si="8"/>
        <v>1860176</v>
      </c>
      <c r="X341" s="47">
        <f t="shared" si="9"/>
        <v>1860176</v>
      </c>
      <c r="Y341" s="18"/>
      <c r="Z341" s="18">
        <f>+X341</f>
        <v>1860176</v>
      </c>
      <c r="AA341" s="264">
        <v>0.02</v>
      </c>
      <c r="AB341" s="410">
        <f t="shared" si="10"/>
        <v>372.03520000000003</v>
      </c>
      <c r="AC341" s="350"/>
      <c r="AD341" s="350"/>
      <c r="AE341" s="350"/>
      <c r="AF341" s="350"/>
    </row>
    <row r="342" spans="1:32" s="597" customFormat="1" ht="18" customHeight="1" x14ac:dyDescent="0.25">
      <c r="A342" s="269"/>
      <c r="B342" s="269"/>
      <c r="C342" s="285"/>
      <c r="D342" s="273"/>
      <c r="E342" s="15"/>
      <c r="F342" s="27"/>
      <c r="G342" s="27"/>
      <c r="H342" s="557"/>
      <c r="I342" s="18"/>
      <c r="J342" s="258"/>
      <c r="K342" s="39"/>
      <c r="L342" s="45">
        <v>3</v>
      </c>
      <c r="M342" s="231">
        <v>401</v>
      </c>
      <c r="N342" s="270" t="s">
        <v>74</v>
      </c>
      <c r="O342" s="58">
        <v>2</v>
      </c>
      <c r="P342" s="270">
        <f>17.3*6</f>
        <v>103.80000000000001</v>
      </c>
      <c r="Q342" s="62" t="s">
        <v>75</v>
      </c>
      <c r="R342" s="283">
        <v>8000</v>
      </c>
      <c r="S342" s="18">
        <f t="shared" si="11"/>
        <v>830400.00000000012</v>
      </c>
      <c r="T342" s="1469">
        <v>5</v>
      </c>
      <c r="U342" s="1670">
        <f>+S342*0.05</f>
        <v>41520.000000000007</v>
      </c>
      <c r="V342" s="47">
        <f t="shared" si="12"/>
        <v>788880.00000000012</v>
      </c>
      <c r="W342" s="18">
        <f t="shared" si="8"/>
        <v>788880.00000000012</v>
      </c>
      <c r="X342" s="47">
        <f t="shared" si="9"/>
        <v>788880.00000000012</v>
      </c>
      <c r="Y342" s="18"/>
      <c r="Z342" s="18">
        <f>+X342</f>
        <v>788880.00000000012</v>
      </c>
      <c r="AA342" s="264">
        <v>0.02</v>
      </c>
      <c r="AB342" s="410">
        <f t="shared" si="10"/>
        <v>157.77600000000001</v>
      </c>
      <c r="AC342" s="350"/>
      <c r="AD342" s="350"/>
      <c r="AE342" s="350"/>
      <c r="AF342" s="350"/>
    </row>
    <row r="343" spans="1:32" s="597" customFormat="1" ht="18" customHeight="1" x14ac:dyDescent="0.25">
      <c r="A343" s="269"/>
      <c r="B343" s="269"/>
      <c r="C343" s="285"/>
      <c r="D343" s="273"/>
      <c r="E343" s="15"/>
      <c r="F343" s="27"/>
      <c r="G343" s="27"/>
      <c r="H343" s="557"/>
      <c r="I343" s="18"/>
      <c r="J343" s="258"/>
      <c r="K343" s="39"/>
      <c r="L343" s="45">
        <v>4</v>
      </c>
      <c r="M343" s="145">
        <v>401</v>
      </c>
      <c r="N343" s="15" t="s">
        <v>74</v>
      </c>
      <c r="O343" s="50">
        <v>2</v>
      </c>
      <c r="P343" s="15">
        <f>14.2*8.3</f>
        <v>117.86</v>
      </c>
      <c r="Q343" s="62" t="s">
        <v>75</v>
      </c>
      <c r="R343" s="283">
        <v>8000</v>
      </c>
      <c r="S343" s="18">
        <f t="shared" si="11"/>
        <v>942880</v>
      </c>
      <c r="T343" s="1469">
        <v>5</v>
      </c>
      <c r="U343" s="1670">
        <f>+S343*0.05</f>
        <v>47144</v>
      </c>
      <c r="V343" s="47">
        <f t="shared" si="12"/>
        <v>895736</v>
      </c>
      <c r="W343" s="18">
        <f t="shared" si="8"/>
        <v>895736</v>
      </c>
      <c r="X343" s="47">
        <f t="shared" si="9"/>
        <v>895736</v>
      </c>
      <c r="Y343" s="18"/>
      <c r="Z343" s="18">
        <f>+X343</f>
        <v>895736</v>
      </c>
      <c r="AA343" s="264">
        <v>0.02</v>
      </c>
      <c r="AB343" s="410">
        <f t="shared" si="10"/>
        <v>179.1472</v>
      </c>
      <c r="AC343" s="350"/>
      <c r="AD343" s="350"/>
      <c r="AE343" s="350"/>
      <c r="AF343" s="350"/>
    </row>
    <row r="344" spans="1:32" s="597" customFormat="1" ht="18" customHeight="1" x14ac:dyDescent="0.25">
      <c r="A344" s="269"/>
      <c r="B344" s="269"/>
      <c r="C344" s="285"/>
      <c r="D344" s="273"/>
      <c r="E344" s="15"/>
      <c r="F344" s="27"/>
      <c r="G344" s="27"/>
      <c r="H344" s="557"/>
      <c r="I344" s="18"/>
      <c r="J344" s="258"/>
      <c r="K344" s="39"/>
      <c r="L344" s="45">
        <v>5</v>
      </c>
      <c r="M344" s="145">
        <v>401</v>
      </c>
      <c r="N344" s="15" t="s">
        <v>74</v>
      </c>
      <c r="O344" s="50">
        <v>2</v>
      </c>
      <c r="P344" s="15">
        <f>32.8*8.3</f>
        <v>272.24</v>
      </c>
      <c r="Q344" s="62" t="s">
        <v>75</v>
      </c>
      <c r="R344" s="283">
        <v>8000</v>
      </c>
      <c r="S344" s="18">
        <f t="shared" si="11"/>
        <v>2177920</v>
      </c>
      <c r="T344" s="1469">
        <v>5</v>
      </c>
      <c r="U344" s="1670">
        <f>+S344*0.05</f>
        <v>108896</v>
      </c>
      <c r="V344" s="47">
        <f t="shared" si="12"/>
        <v>2069024</v>
      </c>
      <c r="W344" s="18">
        <f t="shared" si="8"/>
        <v>2069024</v>
      </c>
      <c r="X344" s="47">
        <f t="shared" si="9"/>
        <v>2069024</v>
      </c>
      <c r="Y344" s="18"/>
      <c r="Z344" s="18">
        <f>+X344</f>
        <v>2069024</v>
      </c>
      <c r="AA344" s="264">
        <v>0.02</v>
      </c>
      <c r="AB344" s="410">
        <f t="shared" si="10"/>
        <v>413.80480000000006</v>
      </c>
      <c r="AC344" s="350"/>
      <c r="AD344" s="350"/>
      <c r="AE344" s="350"/>
      <c r="AF344" s="350"/>
    </row>
    <row r="345" spans="1:32" s="597" customFormat="1" ht="18" customHeight="1" x14ac:dyDescent="0.25">
      <c r="A345" s="269">
        <v>3</v>
      </c>
      <c r="B345" s="269">
        <v>11421</v>
      </c>
      <c r="C345" s="334" t="s">
        <v>103</v>
      </c>
      <c r="D345" s="270" t="s">
        <v>91</v>
      </c>
      <c r="E345" s="15">
        <v>5</v>
      </c>
      <c r="F345" s="27">
        <v>3</v>
      </c>
      <c r="G345" s="27">
        <v>0</v>
      </c>
      <c r="H345" s="557">
        <v>0</v>
      </c>
      <c r="I345" s="18">
        <f>F345*400+G345*100+H345</f>
        <v>1200</v>
      </c>
      <c r="J345" s="258">
        <v>1500</v>
      </c>
      <c r="K345" s="39">
        <f>SUM(I345*J345)</f>
        <v>1800000</v>
      </c>
      <c r="L345" s="269">
        <v>6</v>
      </c>
      <c r="M345" s="145">
        <v>106</v>
      </c>
      <c r="N345" s="15" t="s">
        <v>96</v>
      </c>
      <c r="O345" s="50">
        <v>2</v>
      </c>
      <c r="P345" s="266">
        <f>12.33*13</f>
        <v>160.29</v>
      </c>
      <c r="Q345" s="62" t="s">
        <v>75</v>
      </c>
      <c r="R345" s="260">
        <v>7950</v>
      </c>
      <c r="S345" s="18">
        <f t="shared" si="11"/>
        <v>1274305.5</v>
      </c>
      <c r="T345" s="1469">
        <v>11</v>
      </c>
      <c r="U345" s="1664">
        <f>S345*34/100</f>
        <v>433263.87</v>
      </c>
      <c r="V345" s="47">
        <f t="shared" si="12"/>
        <v>841041.63</v>
      </c>
      <c r="W345" s="18">
        <f t="shared" si="8"/>
        <v>2641041.63</v>
      </c>
      <c r="X345" s="47">
        <f t="shared" si="9"/>
        <v>2641041.63</v>
      </c>
      <c r="Y345" s="18" t="s">
        <v>87</v>
      </c>
      <c r="Z345" s="18"/>
      <c r="AA345" s="264">
        <v>0.02</v>
      </c>
      <c r="AB345" s="410">
        <f t="shared" si="10"/>
        <v>0</v>
      </c>
      <c r="AC345" s="350"/>
      <c r="AD345" s="350"/>
      <c r="AE345" s="350"/>
      <c r="AF345" s="350"/>
    </row>
    <row r="346" spans="1:32" s="597" customFormat="1" ht="18" customHeight="1" x14ac:dyDescent="0.25">
      <c r="A346" s="269"/>
      <c r="B346" s="269"/>
      <c r="C346" s="285"/>
      <c r="D346" s="273"/>
      <c r="E346" s="273"/>
      <c r="F346" s="268"/>
      <c r="G346" s="269"/>
      <c r="H346" s="266"/>
      <c r="I346" s="18"/>
      <c r="J346" s="258"/>
      <c r="K346" s="39"/>
      <c r="L346" s="269">
        <v>7</v>
      </c>
      <c r="M346" s="145">
        <v>504</v>
      </c>
      <c r="N346" s="15" t="s">
        <v>74</v>
      </c>
      <c r="O346" s="50">
        <v>2</v>
      </c>
      <c r="P346" s="266">
        <v>1236.9000000000001</v>
      </c>
      <c r="Q346" s="62" t="s">
        <v>75</v>
      </c>
      <c r="R346" s="260">
        <v>3100</v>
      </c>
      <c r="S346" s="18">
        <f t="shared" si="11"/>
        <v>3834390.0000000005</v>
      </c>
      <c r="T346" s="1469">
        <v>11</v>
      </c>
      <c r="U346" s="1664">
        <f>S346*12/100</f>
        <v>460126.80000000005</v>
      </c>
      <c r="V346" s="47">
        <f t="shared" si="12"/>
        <v>3374263.2</v>
      </c>
      <c r="W346" s="18">
        <f t="shared" si="8"/>
        <v>3374263.2</v>
      </c>
      <c r="X346" s="47">
        <f t="shared" si="9"/>
        <v>3374263.2</v>
      </c>
      <c r="Y346" s="18"/>
      <c r="Z346" s="18">
        <f>+X346</f>
        <v>3374263.2</v>
      </c>
      <c r="AA346" s="264">
        <v>0.02</v>
      </c>
      <c r="AB346" s="410">
        <f t="shared" si="10"/>
        <v>674.85264000000006</v>
      </c>
      <c r="AC346" s="350"/>
      <c r="AD346" s="350"/>
      <c r="AE346" s="350"/>
      <c r="AF346" s="350"/>
    </row>
    <row r="347" spans="1:32" s="597" customFormat="1" ht="18" customHeight="1" x14ac:dyDescent="0.25">
      <c r="A347" s="269"/>
      <c r="B347" s="269"/>
      <c r="C347" s="285"/>
      <c r="D347" s="273"/>
      <c r="E347" s="273"/>
      <c r="F347" s="268"/>
      <c r="G347" s="269"/>
      <c r="H347" s="266"/>
      <c r="I347" s="18"/>
      <c r="J347" s="258"/>
      <c r="K347" s="39"/>
      <c r="L347" s="269">
        <v>8</v>
      </c>
      <c r="M347" s="242">
        <v>504</v>
      </c>
      <c r="N347" s="15" t="s">
        <v>74</v>
      </c>
      <c r="O347" s="50">
        <v>2</v>
      </c>
      <c r="P347" s="266">
        <f>19.88*5.93</f>
        <v>117.88839999999999</v>
      </c>
      <c r="Q347" s="62" t="s">
        <v>75</v>
      </c>
      <c r="R347" s="260">
        <v>3100</v>
      </c>
      <c r="S347" s="18">
        <f t="shared" si="11"/>
        <v>365454.04</v>
      </c>
      <c r="T347" s="1469">
        <v>11</v>
      </c>
      <c r="U347" s="1664">
        <f>S347*12/100</f>
        <v>43854.484799999998</v>
      </c>
      <c r="V347" s="47">
        <f t="shared" si="12"/>
        <v>321599.5552</v>
      </c>
      <c r="W347" s="18">
        <f t="shared" si="8"/>
        <v>321599.5552</v>
      </c>
      <c r="X347" s="47">
        <f t="shared" si="9"/>
        <v>321599.5552</v>
      </c>
      <c r="Y347" s="18"/>
      <c r="Z347" s="18">
        <f>+X347</f>
        <v>321599.5552</v>
      </c>
      <c r="AA347" s="264">
        <v>0.02</v>
      </c>
      <c r="AB347" s="410">
        <f t="shared" si="10"/>
        <v>64.319911040000008</v>
      </c>
      <c r="AC347" s="350"/>
      <c r="AD347" s="350"/>
      <c r="AE347" s="350"/>
      <c r="AF347" s="350"/>
    </row>
    <row r="348" spans="1:32" s="597" customFormat="1" ht="18" customHeight="1" x14ac:dyDescent="0.25">
      <c r="A348" s="269">
        <v>4</v>
      </c>
      <c r="B348" s="269">
        <v>2611</v>
      </c>
      <c r="C348" s="285" t="s">
        <v>104</v>
      </c>
      <c r="D348" s="273" t="s">
        <v>95</v>
      </c>
      <c r="E348" s="273">
        <v>4</v>
      </c>
      <c r="F348" s="268">
        <v>0</v>
      </c>
      <c r="G348" s="269">
        <v>0</v>
      </c>
      <c r="H348" s="266">
        <v>92.5</v>
      </c>
      <c r="I348" s="18">
        <f>F348*400+G348*100+H348</f>
        <v>92.5</v>
      </c>
      <c r="J348" s="258">
        <v>880</v>
      </c>
      <c r="K348" s="39">
        <f>SUM(I348*J348)</f>
        <v>81400</v>
      </c>
      <c r="L348" s="269"/>
      <c r="M348" s="242"/>
      <c r="N348" s="269"/>
      <c r="O348" s="269"/>
      <c r="P348" s="266"/>
      <c r="Q348" s="285"/>
      <c r="R348" s="436"/>
      <c r="S348" s="282"/>
      <c r="T348" s="286"/>
      <c r="U348" s="282"/>
      <c r="V348" s="282"/>
      <c r="W348" s="18">
        <f t="shared" si="8"/>
        <v>81400</v>
      </c>
      <c r="X348" s="47">
        <f t="shared" si="9"/>
        <v>81400</v>
      </c>
      <c r="Y348" s="282"/>
      <c r="Z348" s="282">
        <f>+X348</f>
        <v>81400</v>
      </c>
      <c r="AA348" s="264">
        <v>0.6</v>
      </c>
      <c r="AB348" s="410">
        <f t="shared" si="10"/>
        <v>488.4</v>
      </c>
      <c r="AC348" s="350"/>
      <c r="AD348" s="350"/>
      <c r="AE348" s="350"/>
      <c r="AF348" s="350"/>
    </row>
    <row r="349" spans="1:32" s="597" customFormat="1" ht="18" customHeight="1" x14ac:dyDescent="0.2">
      <c r="A349" s="145"/>
      <c r="B349" s="1088"/>
      <c r="C349" s="177"/>
      <c r="D349" s="145"/>
      <c r="E349" s="145"/>
      <c r="F349" s="145"/>
      <c r="G349" s="145"/>
      <c r="H349" s="147"/>
      <c r="I349" s="107"/>
      <c r="J349" s="178"/>
      <c r="K349" s="107"/>
      <c r="L349" s="145"/>
      <c r="M349" s="145"/>
      <c r="N349" s="145"/>
      <c r="O349" s="145"/>
      <c r="P349" s="147"/>
      <c r="Q349" s="148"/>
      <c r="R349" s="437"/>
      <c r="S349" s="107"/>
      <c r="T349" s="179"/>
      <c r="U349" s="178"/>
      <c r="V349" s="107"/>
      <c r="W349" s="107"/>
      <c r="X349" s="470"/>
      <c r="Y349" s="470"/>
      <c r="Z349" s="471"/>
      <c r="AA349" s="471"/>
      <c r="AB349" s="466"/>
      <c r="AC349" s="350"/>
      <c r="AD349" s="350"/>
      <c r="AE349" s="350"/>
      <c r="AF349" s="350"/>
    </row>
    <row r="350" spans="1:32" s="597" customFormat="1" ht="18" customHeight="1" x14ac:dyDescent="0.2">
      <c r="A350" s="145"/>
      <c r="B350" s="177"/>
      <c r="C350" s="177"/>
      <c r="D350" s="145"/>
      <c r="E350" s="145"/>
      <c r="F350" s="145"/>
      <c r="G350" s="145"/>
      <c r="H350" s="147"/>
      <c r="I350" s="107"/>
      <c r="J350" s="178"/>
      <c r="K350" s="107"/>
      <c r="L350" s="145"/>
      <c r="M350" s="145"/>
      <c r="N350" s="145"/>
      <c r="O350" s="145"/>
      <c r="P350" s="147"/>
      <c r="Q350" s="148"/>
      <c r="R350" s="437"/>
      <c r="S350" s="107"/>
      <c r="T350" s="179"/>
      <c r="U350" s="178"/>
      <c r="V350" s="107"/>
      <c r="W350" s="107"/>
      <c r="X350" s="470"/>
      <c r="Y350" s="470"/>
      <c r="Z350" s="471"/>
      <c r="AA350" s="471"/>
      <c r="AB350" s="466"/>
      <c r="AC350" s="350"/>
      <c r="AD350" s="350"/>
      <c r="AE350" s="350"/>
      <c r="AF350" s="350"/>
    </row>
    <row r="351" spans="1:32" s="597" customFormat="1" ht="18" customHeight="1" x14ac:dyDescent="0.2">
      <c r="A351" s="145"/>
      <c r="B351" s="177"/>
      <c r="C351" s="177"/>
      <c r="D351" s="145"/>
      <c r="E351" s="145"/>
      <c r="F351" s="145"/>
      <c r="G351" s="145"/>
      <c r="H351" s="147"/>
      <c r="I351" s="107"/>
      <c r="J351" s="178"/>
      <c r="K351" s="107"/>
      <c r="L351" s="145"/>
      <c r="M351" s="145"/>
      <c r="N351" s="145"/>
      <c r="O351" s="145"/>
      <c r="P351" s="147"/>
      <c r="Q351" s="148"/>
      <c r="R351" s="437"/>
      <c r="S351" s="107"/>
      <c r="T351" s="179"/>
      <c r="U351" s="178"/>
      <c r="V351" s="107"/>
      <c r="W351" s="107"/>
      <c r="X351" s="470"/>
      <c r="Y351" s="470"/>
      <c r="Z351" s="471"/>
      <c r="AA351" s="471"/>
      <c r="AB351" s="466"/>
      <c r="AC351" s="350"/>
      <c r="AD351" s="350"/>
      <c r="AE351" s="350"/>
      <c r="AF351" s="350"/>
    </row>
    <row r="352" spans="1:32" s="597" customFormat="1" ht="18" customHeight="1" x14ac:dyDescent="0.2">
      <c r="A352" s="145"/>
      <c r="B352" s="177"/>
      <c r="C352" s="177"/>
      <c r="D352" s="145"/>
      <c r="E352" s="145"/>
      <c r="F352" s="145"/>
      <c r="G352" s="145"/>
      <c r="H352" s="147"/>
      <c r="I352" s="107"/>
      <c r="J352" s="178"/>
      <c r="K352" s="107"/>
      <c r="L352" s="145"/>
      <c r="M352" s="145"/>
      <c r="N352" s="145"/>
      <c r="O352" s="145"/>
      <c r="P352" s="147"/>
      <c r="Q352" s="148"/>
      <c r="R352" s="437"/>
      <c r="S352" s="107"/>
      <c r="T352" s="179"/>
      <c r="U352" s="178"/>
      <c r="V352" s="107"/>
      <c r="W352" s="107"/>
      <c r="X352" s="470"/>
      <c r="Y352" s="470"/>
      <c r="Z352" s="471"/>
      <c r="AA352" s="471"/>
      <c r="AB352" s="466"/>
      <c r="AC352" s="351"/>
      <c r="AD352" s="351"/>
      <c r="AE352" s="351"/>
      <c r="AF352" s="351"/>
    </row>
    <row r="353" spans="1:32" s="597" customFormat="1" ht="18" customHeight="1" x14ac:dyDescent="0.2">
      <c r="A353" s="88"/>
      <c r="B353" s="180"/>
      <c r="C353" s="180"/>
      <c r="D353" s="88"/>
      <c r="E353" s="88"/>
      <c r="F353" s="88"/>
      <c r="G353" s="88"/>
      <c r="H353" s="120"/>
      <c r="I353" s="121"/>
      <c r="J353" s="181"/>
      <c r="K353" s="121"/>
      <c r="L353" s="88"/>
      <c r="M353" s="88"/>
      <c r="N353" s="88"/>
      <c r="O353" s="88"/>
      <c r="P353" s="88"/>
      <c r="Q353" s="129"/>
      <c r="R353" s="445"/>
      <c r="S353" s="121"/>
      <c r="T353" s="182"/>
      <c r="U353" s="181"/>
      <c r="V353" s="121"/>
      <c r="W353" s="121"/>
      <c r="X353" s="472"/>
      <c r="Y353" s="472"/>
      <c r="Z353" s="473"/>
      <c r="AA353" s="473"/>
      <c r="AB353" s="410"/>
      <c r="AC353" s="349"/>
      <c r="AD353" s="349"/>
      <c r="AE353" s="349"/>
      <c r="AF353" s="349"/>
    </row>
    <row r="354" spans="1:32" s="597" customFormat="1" ht="18" customHeight="1" x14ac:dyDescent="0.2">
      <c r="A354" s="1850"/>
      <c r="B354" s="1850"/>
      <c r="C354" s="1850"/>
      <c r="D354" s="1850"/>
      <c r="E354" s="1850"/>
      <c r="F354" s="1850"/>
      <c r="G354" s="1850"/>
      <c r="H354" s="1851"/>
      <c r="I354" s="1852"/>
      <c r="J354" s="1853"/>
      <c r="K354" s="1852"/>
      <c r="L354" s="1852"/>
      <c r="M354" s="1852"/>
      <c r="N354" s="1852"/>
      <c r="O354" s="1852"/>
      <c r="P354" s="1852"/>
      <c r="Q354" s="1852"/>
      <c r="R354" s="1854"/>
      <c r="S354" s="1852"/>
      <c r="T354" s="1855"/>
      <c r="U354" s="1853"/>
      <c r="V354" s="1852"/>
      <c r="W354" s="1852"/>
      <c r="X354" s="1856"/>
      <c r="Y354" s="1856"/>
      <c r="Z354" s="1857"/>
      <c r="AA354" s="1857"/>
      <c r="AB354" s="1847">
        <f>SUM(AB339:AB353)</f>
        <v>2779.6925510400001</v>
      </c>
    </row>
    <row r="355" spans="1:32" s="597" customFormat="1" ht="18" customHeight="1" x14ac:dyDescent="0.2">
      <c r="A355" s="2690" t="s">
        <v>76</v>
      </c>
      <c r="B355" s="2690"/>
      <c r="C355" s="2691" t="s">
        <v>77</v>
      </c>
      <c r="D355" s="2691"/>
      <c r="E355" s="2691"/>
      <c r="F355" s="2691"/>
      <c r="G355" s="2691"/>
      <c r="H355" s="2691"/>
      <c r="I355" s="604" t="s">
        <v>78</v>
      </c>
      <c r="J355" s="604"/>
      <c r="K355" s="604"/>
      <c r="L355" s="604"/>
      <c r="M355" s="604"/>
      <c r="N355" s="604"/>
      <c r="AB355" s="598"/>
    </row>
    <row r="356" spans="1:32" s="597" customFormat="1" ht="18" customHeight="1" x14ac:dyDescent="0.2">
      <c r="A356" s="604"/>
      <c r="B356" s="605"/>
      <c r="C356" s="604"/>
      <c r="D356" s="604"/>
      <c r="E356" s="604"/>
      <c r="F356" s="604"/>
      <c r="G356" s="604"/>
      <c r="H356" s="604"/>
      <c r="I356" s="604" t="s">
        <v>79</v>
      </c>
      <c r="J356" s="604"/>
      <c r="K356" s="604"/>
      <c r="L356" s="604"/>
      <c r="M356" s="604"/>
      <c r="N356" s="604"/>
      <c r="AB356" s="598"/>
    </row>
    <row r="357" spans="1:32" s="597" customFormat="1" ht="18" customHeight="1" x14ac:dyDescent="0.2">
      <c r="A357" s="604"/>
      <c r="B357" s="605"/>
      <c r="C357" s="604"/>
      <c r="D357" s="604"/>
      <c r="E357" s="604"/>
      <c r="F357" s="604"/>
      <c r="G357" s="604"/>
      <c r="H357" s="604"/>
      <c r="I357" s="604" t="s">
        <v>80</v>
      </c>
      <c r="J357" s="604"/>
      <c r="K357" s="604"/>
      <c r="L357" s="604"/>
      <c r="M357" s="604"/>
      <c r="N357" s="604"/>
      <c r="AB357" s="598"/>
    </row>
    <row r="358" spans="1:32" s="597" customFormat="1" ht="18" customHeight="1" x14ac:dyDescent="0.2">
      <c r="A358" s="604"/>
      <c r="B358" s="605"/>
      <c r="C358" s="604"/>
      <c r="D358" s="604"/>
      <c r="E358" s="604"/>
      <c r="F358" s="604"/>
      <c r="G358" s="604"/>
      <c r="H358" s="604"/>
      <c r="I358" s="604" t="s">
        <v>81</v>
      </c>
      <c r="J358" s="604"/>
      <c r="K358" s="604"/>
      <c r="L358" s="604"/>
      <c r="M358" s="604"/>
      <c r="N358" s="604"/>
      <c r="AB358" s="598"/>
    </row>
    <row r="359" spans="1:32" s="597" customFormat="1" ht="18" customHeight="1" x14ac:dyDescent="0.2">
      <c r="A359" s="604"/>
      <c r="B359" s="605"/>
      <c r="C359" s="604"/>
      <c r="D359" s="604"/>
      <c r="E359" s="604"/>
      <c r="F359" s="604"/>
      <c r="G359" s="604"/>
      <c r="H359" s="604"/>
      <c r="I359" s="604" t="s">
        <v>88</v>
      </c>
      <c r="J359" s="604"/>
      <c r="K359" s="604"/>
      <c r="L359" s="604"/>
      <c r="M359" s="604"/>
      <c r="N359" s="604"/>
      <c r="AB359" s="598"/>
      <c r="AC359" s="339"/>
      <c r="AD359" s="339"/>
      <c r="AE359" s="339"/>
      <c r="AF359" s="339"/>
    </row>
    <row r="360" spans="1:32" s="597" customFormat="1" ht="18" customHeight="1" x14ac:dyDescent="0.2">
      <c r="A360" s="339"/>
      <c r="B360" s="339"/>
      <c r="C360" s="339"/>
      <c r="D360" s="339"/>
      <c r="E360" s="339"/>
      <c r="F360" s="339"/>
      <c r="G360" s="339"/>
      <c r="H360" s="339"/>
      <c r="I360" s="339"/>
      <c r="J360" s="339"/>
      <c r="K360" s="339"/>
      <c r="L360" s="339"/>
      <c r="M360" s="339"/>
      <c r="N360" s="339"/>
      <c r="O360" s="339"/>
      <c r="P360" s="339"/>
      <c r="Q360" s="339"/>
      <c r="R360" s="339"/>
      <c r="S360" s="339"/>
      <c r="T360" s="339"/>
      <c r="U360" s="339"/>
      <c r="V360" s="339"/>
      <c r="W360" s="339"/>
      <c r="X360" s="339"/>
      <c r="Y360" s="339"/>
      <c r="Z360" s="339"/>
      <c r="AA360" s="2702" t="s">
        <v>0</v>
      </c>
      <c r="AB360" s="2702"/>
      <c r="AC360" s="344"/>
      <c r="AD360" s="344"/>
      <c r="AE360" s="344"/>
      <c r="AF360" s="344"/>
    </row>
    <row r="361" spans="1:32" s="597" customFormat="1" ht="18" customHeight="1" x14ac:dyDescent="0.2">
      <c r="A361" s="2703" t="s">
        <v>1</v>
      </c>
      <c r="B361" s="2703"/>
      <c r="C361" s="2703"/>
      <c r="D361" s="2703"/>
      <c r="E361" s="2703"/>
      <c r="F361" s="2703"/>
      <c r="G361" s="2703"/>
      <c r="H361" s="2703"/>
      <c r="I361" s="2703"/>
      <c r="J361" s="2703"/>
      <c r="K361" s="2703"/>
      <c r="L361" s="2703"/>
      <c r="M361" s="2703"/>
      <c r="N361" s="2703"/>
      <c r="O361" s="2703"/>
      <c r="P361" s="2703"/>
      <c r="Q361" s="2703"/>
      <c r="R361" s="2703"/>
      <c r="S361" s="2703"/>
      <c r="T361" s="2703"/>
      <c r="U361" s="2703"/>
      <c r="V361" s="2703"/>
      <c r="W361" s="2703"/>
      <c r="X361" s="2703"/>
      <c r="Y361" s="2703"/>
      <c r="Z361" s="2703"/>
      <c r="AA361" s="2703"/>
      <c r="AB361" s="2703"/>
      <c r="AC361" s="599"/>
      <c r="AD361" s="599"/>
      <c r="AE361" s="599"/>
      <c r="AF361" s="599"/>
    </row>
    <row r="362" spans="1:32" s="597" customFormat="1" ht="18" customHeight="1" x14ac:dyDescent="0.2">
      <c r="A362" s="2704" t="s">
        <v>336</v>
      </c>
      <c r="B362" s="2704"/>
      <c r="C362" s="2704"/>
      <c r="D362" s="2704"/>
      <c r="E362" s="2704"/>
      <c r="F362" s="2704"/>
      <c r="G362" s="2704"/>
      <c r="H362" s="2704"/>
      <c r="I362" s="2704"/>
      <c r="J362" s="2704"/>
      <c r="K362" s="2704"/>
      <c r="L362" s="2704"/>
      <c r="M362" s="2704"/>
      <c r="N362" s="2704"/>
      <c r="O362" s="2704"/>
      <c r="P362" s="2704"/>
      <c r="Q362" s="2704"/>
      <c r="R362" s="2704"/>
      <c r="S362" s="2704"/>
      <c r="T362" s="2704"/>
      <c r="U362" s="2704"/>
      <c r="V362" s="2704"/>
      <c r="W362" s="2704"/>
      <c r="X362" s="2704"/>
      <c r="Y362" s="2704"/>
      <c r="Z362" s="2704"/>
      <c r="AA362" s="2704"/>
      <c r="AB362" s="2704"/>
      <c r="AC362" s="794" t="s">
        <v>8</v>
      </c>
      <c r="AD362" s="346"/>
      <c r="AE362" s="346"/>
      <c r="AF362" s="795"/>
    </row>
    <row r="363" spans="1:32" s="597" customFormat="1" ht="18" customHeight="1" x14ac:dyDescent="0.2">
      <c r="A363" s="2686" t="s">
        <v>2</v>
      </c>
      <c r="B363" s="360"/>
      <c r="C363" s="2686" t="s">
        <v>3</v>
      </c>
      <c r="D363" s="360"/>
      <c r="E363" s="360"/>
      <c r="F363" s="2693" t="s">
        <v>4</v>
      </c>
      <c r="G363" s="2693"/>
      <c r="H363" s="2693"/>
      <c r="I363" s="2694"/>
      <c r="J363" s="2694"/>
      <c r="K363" s="2695"/>
      <c r="L363" s="361"/>
      <c r="M363" s="2679" t="s">
        <v>5</v>
      </c>
      <c r="N363" s="2679"/>
      <c r="O363" s="2679"/>
      <c r="P363" s="2679"/>
      <c r="Q363" s="2696"/>
      <c r="R363" s="2696"/>
      <c r="S363" s="2696"/>
      <c r="T363" s="2696"/>
      <c r="U363" s="2696"/>
      <c r="V363" s="2697"/>
      <c r="W363" s="362" t="s">
        <v>6</v>
      </c>
      <c r="X363" s="363" t="s">
        <v>7</v>
      </c>
      <c r="Y363" s="364"/>
      <c r="Z363" s="364"/>
      <c r="AA363" s="363"/>
      <c r="AB363" s="365"/>
      <c r="AC363" s="528" t="s">
        <v>20</v>
      </c>
      <c r="AD363" s="601"/>
      <c r="AE363" s="347" t="s">
        <v>21</v>
      </c>
      <c r="AF363" s="340" t="s">
        <v>22</v>
      </c>
    </row>
    <row r="364" spans="1:32" s="597" customFormat="1" ht="18" customHeight="1" x14ac:dyDescent="0.2">
      <c r="A364" s="2687"/>
      <c r="B364" s="367"/>
      <c r="C364" s="2687"/>
      <c r="D364" s="366" t="s">
        <v>9</v>
      </c>
      <c r="E364" s="368" t="s">
        <v>10</v>
      </c>
      <c r="F364" s="2698" t="s">
        <v>11</v>
      </c>
      <c r="G364" s="2694"/>
      <c r="H364" s="2695"/>
      <c r="I364" s="360"/>
      <c r="J364" s="369" t="s">
        <v>12</v>
      </c>
      <c r="K364" s="360"/>
      <c r="L364" s="2679" t="s">
        <v>2</v>
      </c>
      <c r="M364" s="370"/>
      <c r="N364" s="370"/>
      <c r="O364" s="370"/>
      <c r="P364" s="371"/>
      <c r="Q364" s="372" t="s">
        <v>13</v>
      </c>
      <c r="R364" s="373" t="s">
        <v>12</v>
      </c>
      <c r="S364" s="370" t="s">
        <v>6</v>
      </c>
      <c r="T364" s="2682" t="s">
        <v>14</v>
      </c>
      <c r="U364" s="2683"/>
      <c r="V364" s="375" t="s">
        <v>7</v>
      </c>
      <c r="W364" s="376" t="s">
        <v>15</v>
      </c>
      <c r="X364" s="377" t="s">
        <v>16</v>
      </c>
      <c r="Y364" s="377" t="s">
        <v>17</v>
      </c>
      <c r="Z364" s="377" t="s">
        <v>18</v>
      </c>
      <c r="AA364" s="377"/>
      <c r="AB364" s="378" t="s">
        <v>19</v>
      </c>
      <c r="AC364" s="528" t="s">
        <v>35</v>
      </c>
      <c r="AD364" s="347" t="s">
        <v>36</v>
      </c>
      <c r="AE364" s="347" t="s">
        <v>37</v>
      </c>
      <c r="AF364" s="340" t="s">
        <v>38</v>
      </c>
    </row>
    <row r="365" spans="1:32" s="597" customFormat="1" ht="18" customHeight="1" x14ac:dyDescent="0.2">
      <c r="A365" s="2687"/>
      <c r="B365" s="366" t="s">
        <v>23</v>
      </c>
      <c r="C365" s="2687"/>
      <c r="D365" s="366" t="s">
        <v>24</v>
      </c>
      <c r="E365" s="368" t="s">
        <v>25</v>
      </c>
      <c r="F365" s="2699"/>
      <c r="G365" s="2700"/>
      <c r="H365" s="2701"/>
      <c r="I365" s="366" t="s">
        <v>26</v>
      </c>
      <c r="J365" s="379" t="s">
        <v>15</v>
      </c>
      <c r="K365" s="380" t="s">
        <v>6</v>
      </c>
      <c r="L365" s="2680"/>
      <c r="M365" s="381" t="s">
        <v>27</v>
      </c>
      <c r="N365" s="381" t="s">
        <v>10</v>
      </c>
      <c r="O365" s="382" t="s">
        <v>10</v>
      </c>
      <c r="P365" s="383" t="s">
        <v>28</v>
      </c>
      <c r="Q365" s="384" t="s">
        <v>29</v>
      </c>
      <c r="R365" s="383" t="s">
        <v>15</v>
      </c>
      <c r="S365" s="385" t="s">
        <v>15</v>
      </c>
      <c r="T365" s="2684"/>
      <c r="U365" s="2685"/>
      <c r="V365" s="375" t="s">
        <v>30</v>
      </c>
      <c r="W365" s="376" t="s">
        <v>31</v>
      </c>
      <c r="X365" s="377" t="s">
        <v>30</v>
      </c>
      <c r="Y365" s="377" t="s">
        <v>32</v>
      </c>
      <c r="Z365" s="377" t="s">
        <v>7</v>
      </c>
      <c r="AA365" s="377" t="s">
        <v>33</v>
      </c>
      <c r="AB365" s="378" t="s">
        <v>34</v>
      </c>
      <c r="AC365" s="347" t="s">
        <v>58</v>
      </c>
      <c r="AD365" s="347" t="s">
        <v>59</v>
      </c>
      <c r="AE365" s="347" t="s">
        <v>59</v>
      </c>
      <c r="AF365" s="340" t="s">
        <v>60</v>
      </c>
    </row>
    <row r="366" spans="1:32" s="597" customFormat="1" ht="18" customHeight="1" x14ac:dyDescent="0.2">
      <c r="A366" s="2687"/>
      <c r="B366" s="366" t="s">
        <v>39</v>
      </c>
      <c r="C366" s="2687"/>
      <c r="D366" s="366" t="s">
        <v>40</v>
      </c>
      <c r="E366" s="368" t="s">
        <v>41</v>
      </c>
      <c r="F366" s="2686" t="s">
        <v>42</v>
      </c>
      <c r="G366" s="2686" t="s">
        <v>43</v>
      </c>
      <c r="H366" s="2688" t="s">
        <v>44</v>
      </c>
      <c r="I366" s="366" t="s">
        <v>45</v>
      </c>
      <c r="J366" s="379" t="s">
        <v>46</v>
      </c>
      <c r="K366" s="380" t="s">
        <v>47</v>
      </c>
      <c r="L366" s="2680"/>
      <c r="M366" s="381" t="s">
        <v>30</v>
      </c>
      <c r="N366" s="381" t="s">
        <v>30</v>
      </c>
      <c r="O366" s="382" t="s">
        <v>25</v>
      </c>
      <c r="P366" s="383" t="s">
        <v>30</v>
      </c>
      <c r="Q366" s="384" t="s">
        <v>48</v>
      </c>
      <c r="R366" s="383" t="s">
        <v>49</v>
      </c>
      <c r="S366" s="385" t="s">
        <v>30</v>
      </c>
      <c r="T366" s="386" t="s">
        <v>50</v>
      </c>
      <c r="U366" s="374" t="s">
        <v>13</v>
      </c>
      <c r="V366" s="375" t="s">
        <v>51</v>
      </c>
      <c r="W366" s="376" t="s">
        <v>52</v>
      </c>
      <c r="X366" s="377" t="s">
        <v>53</v>
      </c>
      <c r="Y366" s="377" t="s">
        <v>54</v>
      </c>
      <c r="Z366" s="377" t="s">
        <v>55</v>
      </c>
      <c r="AA366" s="377" t="s">
        <v>56</v>
      </c>
      <c r="AB366" s="378" t="s">
        <v>57</v>
      </c>
      <c r="AC366" s="347" t="s">
        <v>59</v>
      </c>
      <c r="AD366" s="347"/>
      <c r="AE366" s="347"/>
      <c r="AF366" s="340" t="s">
        <v>59</v>
      </c>
    </row>
    <row r="367" spans="1:32" s="597" customFormat="1" ht="18" customHeight="1" x14ac:dyDescent="0.2">
      <c r="A367" s="2687"/>
      <c r="B367" s="366" t="s">
        <v>61</v>
      </c>
      <c r="C367" s="2687"/>
      <c r="D367" s="366" t="s">
        <v>62</v>
      </c>
      <c r="E367" s="368" t="s">
        <v>63</v>
      </c>
      <c r="F367" s="2687"/>
      <c r="G367" s="2687"/>
      <c r="H367" s="2689"/>
      <c r="I367" s="366" t="s">
        <v>64</v>
      </c>
      <c r="J367" s="379" t="s">
        <v>59</v>
      </c>
      <c r="K367" s="380" t="s">
        <v>59</v>
      </c>
      <c r="L367" s="2680"/>
      <c r="M367" s="381"/>
      <c r="N367" s="381"/>
      <c r="O367" s="382" t="s">
        <v>41</v>
      </c>
      <c r="P367" s="383" t="s">
        <v>65</v>
      </c>
      <c r="Q367" s="384" t="s">
        <v>66</v>
      </c>
      <c r="R367" s="383" t="s">
        <v>67</v>
      </c>
      <c r="S367" s="385" t="s">
        <v>59</v>
      </c>
      <c r="T367" s="387" t="s">
        <v>68</v>
      </c>
      <c r="U367" s="375" t="s">
        <v>14</v>
      </c>
      <c r="V367" s="375" t="s">
        <v>14</v>
      </c>
      <c r="W367" s="376" t="s">
        <v>30</v>
      </c>
      <c r="X367" s="388" t="s">
        <v>69</v>
      </c>
      <c r="Y367" s="388" t="s">
        <v>70</v>
      </c>
      <c r="Z367" s="377" t="s">
        <v>71</v>
      </c>
      <c r="AA367" s="377" t="s">
        <v>72</v>
      </c>
      <c r="AB367" s="378" t="s">
        <v>59</v>
      </c>
      <c r="AC367" s="348"/>
      <c r="AD367" s="348"/>
      <c r="AE367" s="348"/>
      <c r="AF367" s="341"/>
    </row>
    <row r="368" spans="1:32" s="597" customFormat="1" ht="18" customHeight="1" x14ac:dyDescent="0.2">
      <c r="A368" s="2692"/>
      <c r="B368" s="390"/>
      <c r="C368" s="2692"/>
      <c r="D368" s="390"/>
      <c r="E368" s="389"/>
      <c r="F368" s="390"/>
      <c r="G368" s="390"/>
      <c r="H368" s="391"/>
      <c r="I368" s="389"/>
      <c r="J368" s="392"/>
      <c r="K368" s="393"/>
      <c r="L368" s="2681"/>
      <c r="M368" s="394"/>
      <c r="N368" s="394"/>
      <c r="O368" s="394" t="s">
        <v>63</v>
      </c>
      <c r="P368" s="395"/>
      <c r="Q368" s="396" t="s">
        <v>72</v>
      </c>
      <c r="R368" s="397" t="s">
        <v>59</v>
      </c>
      <c r="S368" s="398"/>
      <c r="T368" s="397" t="s">
        <v>73</v>
      </c>
      <c r="U368" s="398" t="s">
        <v>59</v>
      </c>
      <c r="V368" s="399" t="s">
        <v>59</v>
      </c>
      <c r="W368" s="400" t="s">
        <v>59</v>
      </c>
      <c r="X368" s="401" t="s">
        <v>59</v>
      </c>
      <c r="Y368" s="401" t="s">
        <v>59</v>
      </c>
      <c r="Z368" s="401" t="s">
        <v>59</v>
      </c>
      <c r="AA368" s="402"/>
      <c r="AB368" s="403"/>
      <c r="AC368" s="602"/>
      <c r="AD368" s="603">
        <f>AB369-AC368</f>
        <v>101.91</v>
      </c>
      <c r="AE368" s="603">
        <f>IF(AD368&lt;=0,0,AD368*25/100)</f>
        <v>25.477499999999999</v>
      </c>
      <c r="AF368" s="603">
        <f>IF(AC368+AE368&gt;AB369,AB369,AC368+AE368)</f>
        <v>25.477499999999999</v>
      </c>
    </row>
    <row r="369" spans="1:32" s="597" customFormat="1" ht="18" customHeight="1" x14ac:dyDescent="0.25">
      <c r="A369" s="16">
        <v>1</v>
      </c>
      <c r="B369" s="333">
        <v>2280</v>
      </c>
      <c r="C369" s="41">
        <v>550</v>
      </c>
      <c r="D369" s="41" t="s">
        <v>91</v>
      </c>
      <c r="E369" s="41">
        <v>2</v>
      </c>
      <c r="F369" s="1615">
        <v>0</v>
      </c>
      <c r="G369" s="1615">
        <v>2</v>
      </c>
      <c r="H369" s="1616">
        <v>67</v>
      </c>
      <c r="I369" s="44">
        <f>F369*400+G369*100+H369</f>
        <v>267</v>
      </c>
      <c r="J369" s="1668">
        <v>1000</v>
      </c>
      <c r="K369" s="60">
        <f>SUM(I369*J369)</f>
        <v>267000</v>
      </c>
      <c r="L369" s="62" t="s">
        <v>274</v>
      </c>
      <c r="M369" s="88">
        <v>101</v>
      </c>
      <c r="N369" s="27" t="s">
        <v>82</v>
      </c>
      <c r="O369" s="45">
        <v>2</v>
      </c>
      <c r="P369" s="27">
        <f>7*10</f>
        <v>70</v>
      </c>
      <c r="Q369" s="62" t="s">
        <v>75</v>
      </c>
      <c r="R369" s="283">
        <v>7700</v>
      </c>
      <c r="S369" s="47">
        <f>+P369*R369</f>
        <v>539000</v>
      </c>
      <c r="T369" s="1469">
        <v>13</v>
      </c>
      <c r="U369" s="1670">
        <f>+S369*0.55</f>
        <v>296450</v>
      </c>
      <c r="V369" s="18">
        <f>+S369-U369</f>
        <v>242550</v>
      </c>
      <c r="W369" s="18">
        <f>K369+V369</f>
        <v>509550</v>
      </c>
      <c r="X369" s="47">
        <f>W369</f>
        <v>509550</v>
      </c>
      <c r="Y369" s="18"/>
      <c r="Z369" s="18">
        <f>+X369</f>
        <v>509550</v>
      </c>
      <c r="AA369" s="264">
        <v>0.02</v>
      </c>
      <c r="AB369" s="465">
        <f>+Z369*AA369/100</f>
        <v>101.91</v>
      </c>
      <c r="AC369" s="602"/>
      <c r="AD369" s="603"/>
      <c r="AE369" s="603"/>
      <c r="AF369" s="603"/>
    </row>
    <row r="370" spans="1:32" s="597" customFormat="1" ht="18" customHeight="1" x14ac:dyDescent="0.25">
      <c r="A370" s="50"/>
      <c r="B370" s="287"/>
      <c r="C370" s="27"/>
      <c r="D370" s="27"/>
      <c r="E370" s="15"/>
      <c r="F370" s="15"/>
      <c r="G370" s="15"/>
      <c r="H370" s="284"/>
      <c r="I370" s="18"/>
      <c r="J370" s="1669"/>
      <c r="K370" s="1078"/>
      <c r="L370" s="62"/>
      <c r="M370" s="88">
        <v>101</v>
      </c>
      <c r="N370" s="27" t="s">
        <v>275</v>
      </c>
      <c r="O370" s="45">
        <v>2</v>
      </c>
      <c r="P370" s="27">
        <f>6*6</f>
        <v>36</v>
      </c>
      <c r="Q370" s="62" t="s">
        <v>75</v>
      </c>
      <c r="R370" s="283">
        <v>7700</v>
      </c>
      <c r="S370" s="47">
        <f>+P370*R370</f>
        <v>277200</v>
      </c>
      <c r="T370" s="1469">
        <v>13</v>
      </c>
      <c r="U370" s="1670">
        <f>+S370*0.55</f>
        <v>152460</v>
      </c>
      <c r="V370" s="18">
        <f>+S370-U370</f>
        <v>124740</v>
      </c>
      <c r="W370" s="18">
        <f>K370+V370</f>
        <v>124740</v>
      </c>
      <c r="X370" s="47">
        <f>W370</f>
        <v>124740</v>
      </c>
      <c r="Y370" s="18"/>
      <c r="Z370" s="18">
        <f>+X370</f>
        <v>124740</v>
      </c>
      <c r="AA370" s="264">
        <v>0.02</v>
      </c>
      <c r="AB370" s="410">
        <f>+Z370*AA370/100</f>
        <v>24.948</v>
      </c>
      <c r="AC370" s="350"/>
      <c r="AD370" s="350"/>
      <c r="AE370" s="350"/>
      <c r="AF370" s="350"/>
    </row>
    <row r="371" spans="1:32" s="597" customFormat="1" ht="18" customHeight="1" x14ac:dyDescent="0.25">
      <c r="A371" s="269">
        <v>2</v>
      </c>
      <c r="B371" s="269">
        <v>8665</v>
      </c>
      <c r="C371" s="285" t="s">
        <v>105</v>
      </c>
      <c r="D371" s="273" t="s">
        <v>276</v>
      </c>
      <c r="E371" s="15">
        <v>2</v>
      </c>
      <c r="F371" s="1649">
        <v>0</v>
      </c>
      <c r="G371" s="1649">
        <v>3</v>
      </c>
      <c r="H371" s="1661">
        <v>63.7</v>
      </c>
      <c r="I371" s="18">
        <f>F371*400+G371*100+H371</f>
        <v>363.7</v>
      </c>
      <c r="J371" s="1669">
        <v>1700</v>
      </c>
      <c r="K371" s="39">
        <f>SUM(I371*J371)</f>
        <v>618290</v>
      </c>
      <c r="L371" s="62"/>
      <c r="M371" s="88">
        <v>103</v>
      </c>
      <c r="N371" s="27" t="s">
        <v>74</v>
      </c>
      <c r="O371" s="45">
        <v>2</v>
      </c>
      <c r="P371" s="27">
        <f>18.75*9.8</f>
        <v>183.75</v>
      </c>
      <c r="Q371" s="32" t="s">
        <v>75</v>
      </c>
      <c r="R371" s="260">
        <v>9050</v>
      </c>
      <c r="S371" s="18">
        <f>+P371*R371</f>
        <v>1662937.5</v>
      </c>
      <c r="T371" s="1469">
        <v>14</v>
      </c>
      <c r="U371" s="1670">
        <f>+S371*0.18</f>
        <v>299328.75</v>
      </c>
      <c r="V371" s="18">
        <f>+S371-U371</f>
        <v>1363608.75</v>
      </c>
      <c r="W371" s="18">
        <f>K371+V371</f>
        <v>1981898.75</v>
      </c>
      <c r="X371" s="47">
        <f>W371</f>
        <v>1981898.75</v>
      </c>
      <c r="Y371" s="18" t="s">
        <v>87</v>
      </c>
      <c r="Z371" s="18"/>
      <c r="AA371" s="264">
        <v>0.02</v>
      </c>
      <c r="AB371" s="410">
        <f>+Z371*AA371/100</f>
        <v>0</v>
      </c>
      <c r="AC371" s="350"/>
      <c r="AD371" s="350"/>
      <c r="AE371" s="350"/>
      <c r="AF371" s="350"/>
    </row>
    <row r="372" spans="1:32" s="597" customFormat="1" ht="18" customHeight="1" x14ac:dyDescent="0.25">
      <c r="A372" s="269"/>
      <c r="B372" s="269"/>
      <c r="C372" s="285"/>
      <c r="D372" s="273"/>
      <c r="E372" s="15"/>
      <c r="F372" s="1649"/>
      <c r="G372" s="1649"/>
      <c r="H372" s="1661"/>
      <c r="I372" s="18">
        <f>F372*400+G372*100+H372</f>
        <v>0</v>
      </c>
      <c r="J372" s="1669"/>
      <c r="K372" s="39">
        <f>SUM(I372*J372)</f>
        <v>0</v>
      </c>
      <c r="L372" s="62"/>
      <c r="M372" s="145">
        <v>101</v>
      </c>
      <c r="N372" s="15" t="s">
        <v>82</v>
      </c>
      <c r="O372" s="50">
        <v>2</v>
      </c>
      <c r="P372" s="15">
        <v>64</v>
      </c>
      <c r="Q372" s="76" t="s">
        <v>75</v>
      </c>
      <c r="R372" s="260">
        <v>7700</v>
      </c>
      <c r="S372" s="18">
        <f>+P372*R372</f>
        <v>492800</v>
      </c>
      <c r="T372" s="1469">
        <v>13</v>
      </c>
      <c r="U372" s="1670">
        <f>+S372*0.55</f>
        <v>271040</v>
      </c>
      <c r="V372" s="18">
        <f>+S372-U372</f>
        <v>221760</v>
      </c>
      <c r="W372" s="18">
        <f>K372+V372</f>
        <v>221760</v>
      </c>
      <c r="X372" s="47">
        <f>W372</f>
        <v>221760</v>
      </c>
      <c r="Y372" s="18" t="s">
        <v>213</v>
      </c>
      <c r="Z372" s="18">
        <v>0</v>
      </c>
      <c r="AA372" s="264">
        <v>0.02</v>
      </c>
      <c r="AB372" s="410">
        <f>+Z372*AA372/100</f>
        <v>0</v>
      </c>
      <c r="AC372" s="350"/>
      <c r="AD372" s="350"/>
      <c r="AE372" s="350"/>
      <c r="AF372" s="350"/>
    </row>
    <row r="373" spans="1:32" s="597" customFormat="1" ht="18" customHeight="1" x14ac:dyDescent="0.25">
      <c r="A373" s="269"/>
      <c r="B373" s="269"/>
      <c r="C373" s="285"/>
      <c r="D373" s="273"/>
      <c r="E373" s="15"/>
      <c r="F373" s="1649"/>
      <c r="G373" s="1649"/>
      <c r="H373" s="1661">
        <v>29.29</v>
      </c>
      <c r="I373" s="18">
        <f>F373*400+G373*100+H373</f>
        <v>29.29</v>
      </c>
      <c r="J373" s="1669">
        <v>1700</v>
      </c>
      <c r="K373" s="39">
        <f>SUM(I373*J373)</f>
        <v>49793</v>
      </c>
      <c r="L373" s="45"/>
      <c r="M373" s="145">
        <v>504</v>
      </c>
      <c r="N373" s="15" t="s">
        <v>74</v>
      </c>
      <c r="O373" s="50">
        <v>3</v>
      </c>
      <c r="P373" s="15">
        <v>117.15</v>
      </c>
      <c r="Q373" s="62" t="s">
        <v>75</v>
      </c>
      <c r="R373" s="260">
        <v>3100</v>
      </c>
      <c r="S373" s="18">
        <f>+P373*R373</f>
        <v>363165</v>
      </c>
      <c r="T373" s="1469">
        <v>14</v>
      </c>
      <c r="U373" s="1670">
        <f>+S373*0.18</f>
        <v>65369.7</v>
      </c>
      <c r="V373" s="18">
        <f>+S373-U373</f>
        <v>297795.3</v>
      </c>
      <c r="W373" s="18">
        <f>K373+V373</f>
        <v>347588.3</v>
      </c>
      <c r="X373" s="47">
        <f>W373</f>
        <v>347588.3</v>
      </c>
      <c r="Y373" s="18"/>
      <c r="Z373" s="18">
        <f>+X373</f>
        <v>347588.3</v>
      </c>
      <c r="AA373" s="264">
        <v>0.3</v>
      </c>
      <c r="AB373" s="410">
        <f>+Z373*AA373/100</f>
        <v>1042.7648999999999</v>
      </c>
      <c r="AC373" s="350"/>
      <c r="AD373" s="350"/>
      <c r="AE373" s="350"/>
      <c r="AF373" s="350"/>
    </row>
    <row r="374" spans="1:32" s="597" customFormat="1" ht="18" customHeight="1" x14ac:dyDescent="0.2">
      <c r="A374" s="145"/>
      <c r="B374" s="177"/>
      <c r="C374" s="177"/>
      <c r="D374" s="145"/>
      <c r="E374" s="145"/>
      <c r="F374" s="145"/>
      <c r="G374" s="145"/>
      <c r="H374" s="147"/>
      <c r="I374" s="107"/>
      <c r="J374" s="178"/>
      <c r="K374" s="107"/>
      <c r="L374" s="145"/>
      <c r="M374" s="145"/>
      <c r="N374" s="145"/>
      <c r="O374" s="145"/>
      <c r="P374" s="147"/>
      <c r="Q374" s="148"/>
      <c r="R374" s="437"/>
      <c r="S374" s="107"/>
      <c r="T374" s="179"/>
      <c r="U374" s="178"/>
      <c r="V374" s="107"/>
      <c r="W374" s="107"/>
      <c r="X374" s="470"/>
      <c r="Y374" s="470"/>
      <c r="Z374" s="471"/>
      <c r="AA374" s="471"/>
      <c r="AB374" s="466"/>
      <c r="AC374" s="350"/>
      <c r="AD374" s="350"/>
      <c r="AE374" s="350"/>
      <c r="AF374" s="350"/>
    </row>
    <row r="375" spans="1:32" s="597" customFormat="1" ht="18" customHeight="1" x14ac:dyDescent="0.2">
      <c r="A375" s="145"/>
      <c r="B375" s="177"/>
      <c r="C375" s="177"/>
      <c r="D375" s="145"/>
      <c r="E375" s="145"/>
      <c r="F375" s="145"/>
      <c r="G375" s="145"/>
      <c r="H375" s="147"/>
      <c r="I375" s="107"/>
      <c r="J375" s="178"/>
      <c r="K375" s="107"/>
      <c r="L375" s="145"/>
      <c r="M375" s="145"/>
      <c r="N375" s="145"/>
      <c r="O375" s="145"/>
      <c r="P375" s="147"/>
      <c r="Q375" s="148"/>
      <c r="R375" s="437"/>
      <c r="S375" s="107"/>
      <c r="T375" s="179"/>
      <c r="U375" s="178"/>
      <c r="V375" s="107"/>
      <c r="W375" s="107"/>
      <c r="X375" s="470"/>
      <c r="Y375" s="470"/>
      <c r="Z375" s="471"/>
      <c r="AA375" s="471"/>
      <c r="AB375" s="466"/>
      <c r="AC375" s="350"/>
      <c r="AD375" s="350"/>
      <c r="AE375" s="350"/>
      <c r="AF375" s="350"/>
    </row>
    <row r="376" spans="1:32" s="597" customFormat="1" ht="18" customHeight="1" x14ac:dyDescent="0.2">
      <c r="A376" s="145"/>
      <c r="B376" s="177"/>
      <c r="C376" s="177"/>
      <c r="D376" s="145"/>
      <c r="E376" s="145"/>
      <c r="F376" s="145"/>
      <c r="G376" s="145"/>
      <c r="H376" s="147"/>
      <c r="I376" s="107"/>
      <c r="J376" s="178"/>
      <c r="K376" s="107"/>
      <c r="L376" s="145"/>
      <c r="M376" s="145"/>
      <c r="N376" s="145"/>
      <c r="O376" s="145"/>
      <c r="P376" s="147"/>
      <c r="Q376" s="148"/>
      <c r="R376" s="437"/>
      <c r="S376" s="107"/>
      <c r="T376" s="179"/>
      <c r="U376" s="178"/>
      <c r="V376" s="107"/>
      <c r="W376" s="107"/>
      <c r="X376" s="470"/>
      <c r="Y376" s="470"/>
      <c r="Z376" s="471"/>
      <c r="AA376" s="471"/>
      <c r="AB376" s="466"/>
      <c r="AC376" s="350"/>
      <c r="AD376" s="350"/>
      <c r="AE376" s="350"/>
      <c r="AF376" s="350"/>
    </row>
    <row r="377" spans="1:32" s="597" customFormat="1" ht="18" customHeight="1" x14ac:dyDescent="0.2">
      <c r="A377" s="145"/>
      <c r="B377" s="177"/>
      <c r="C377" s="177"/>
      <c r="D377" s="145"/>
      <c r="E377" s="145"/>
      <c r="F377" s="145"/>
      <c r="G377" s="145"/>
      <c r="H377" s="147"/>
      <c r="I377" s="107"/>
      <c r="J377" s="178"/>
      <c r="K377" s="107"/>
      <c r="L377" s="145"/>
      <c r="M377" s="145"/>
      <c r="N377" s="145"/>
      <c r="O377" s="145"/>
      <c r="P377" s="147"/>
      <c r="Q377" s="148"/>
      <c r="R377" s="437"/>
      <c r="S377" s="107"/>
      <c r="T377" s="179"/>
      <c r="U377" s="178"/>
      <c r="V377" s="107"/>
      <c r="W377" s="107"/>
      <c r="X377" s="470"/>
      <c r="Y377" s="470"/>
      <c r="Z377" s="471"/>
      <c r="AA377" s="471"/>
      <c r="AB377" s="466"/>
      <c r="AC377" s="350"/>
      <c r="AD377" s="350"/>
      <c r="AE377" s="350"/>
      <c r="AF377" s="350"/>
    </row>
    <row r="378" spans="1:32" s="597" customFormat="1" ht="18" customHeight="1" x14ac:dyDescent="0.2">
      <c r="A378" s="145"/>
      <c r="B378" s="177"/>
      <c r="C378" s="177"/>
      <c r="D378" s="145"/>
      <c r="E378" s="145"/>
      <c r="F378" s="145"/>
      <c r="G378" s="145"/>
      <c r="H378" s="147"/>
      <c r="I378" s="107"/>
      <c r="J378" s="178"/>
      <c r="K378" s="107"/>
      <c r="L378" s="145"/>
      <c r="M378" s="1667" t="s">
        <v>338</v>
      </c>
      <c r="N378" s="145"/>
      <c r="O378" s="145"/>
      <c r="P378" s="147"/>
      <c r="Q378" s="148"/>
      <c r="R378" s="437"/>
      <c r="S378" s="107"/>
      <c r="T378" s="179"/>
      <c r="U378" s="178"/>
      <c r="V378" s="107"/>
      <c r="W378" s="107"/>
      <c r="X378" s="470"/>
      <c r="Y378" s="470"/>
      <c r="Z378" s="471"/>
      <c r="AA378" s="471"/>
      <c r="AB378" s="466"/>
      <c r="AC378" s="350"/>
      <c r="AD378" s="350"/>
      <c r="AE378" s="350"/>
      <c r="AF378" s="350"/>
    </row>
    <row r="379" spans="1:32" s="597" customFormat="1" ht="18" customHeight="1" x14ac:dyDescent="0.2">
      <c r="A379" s="145"/>
      <c r="B379" s="177"/>
      <c r="C379" s="177"/>
      <c r="D379" s="145"/>
      <c r="E379" s="145"/>
      <c r="F379" s="145"/>
      <c r="G379" s="145"/>
      <c r="H379" s="147"/>
      <c r="I379" s="107"/>
      <c r="J379" s="178"/>
      <c r="K379" s="107"/>
      <c r="L379" s="145"/>
      <c r="M379" s="115">
        <v>101</v>
      </c>
      <c r="N379" s="1492" t="s">
        <v>82</v>
      </c>
      <c r="O379" s="1497">
        <v>2</v>
      </c>
      <c r="P379" s="1492">
        <f>6*6</f>
        <v>36</v>
      </c>
      <c r="Q379" s="1507" t="s">
        <v>75</v>
      </c>
      <c r="R379" s="1665">
        <v>7700</v>
      </c>
      <c r="S379" s="1664">
        <f>+P379*R379</f>
        <v>277200</v>
      </c>
      <c r="T379" s="1666" t="s">
        <v>337</v>
      </c>
      <c r="U379" s="30"/>
      <c r="V379" s="18"/>
      <c r="W379" s="18"/>
      <c r="X379" s="47"/>
      <c r="Y379" s="18"/>
      <c r="Z379" s="18"/>
      <c r="AA379" s="264"/>
      <c r="AB379" s="410"/>
      <c r="AC379" s="350"/>
      <c r="AD379" s="350"/>
      <c r="AE379" s="350"/>
      <c r="AF379" s="350"/>
    </row>
    <row r="380" spans="1:32" s="597" customFormat="1" ht="18" customHeight="1" x14ac:dyDescent="0.2">
      <c r="A380" s="145"/>
      <c r="B380" s="177"/>
      <c r="C380" s="177"/>
      <c r="D380" s="145"/>
      <c r="E380" s="145"/>
      <c r="F380" s="145"/>
      <c r="G380" s="145"/>
      <c r="H380" s="147"/>
      <c r="I380" s="107"/>
      <c r="J380" s="178"/>
      <c r="K380" s="107"/>
      <c r="L380" s="145"/>
      <c r="M380" s="145"/>
      <c r="N380" s="145"/>
      <c r="O380" s="145"/>
      <c r="P380" s="147"/>
      <c r="Q380" s="148"/>
      <c r="R380" s="437"/>
      <c r="S380" s="107"/>
      <c r="T380" s="179"/>
      <c r="U380" s="178"/>
      <c r="V380" s="107"/>
      <c r="W380" s="107"/>
      <c r="X380" s="470"/>
      <c r="Y380" s="470"/>
      <c r="Z380" s="471"/>
      <c r="AA380" s="471"/>
      <c r="AB380" s="466"/>
      <c r="AC380" s="350"/>
      <c r="AD380" s="350"/>
      <c r="AE380" s="350"/>
      <c r="AF380" s="350"/>
    </row>
    <row r="381" spans="1:32" s="597" customFormat="1" ht="18" customHeight="1" x14ac:dyDescent="0.2">
      <c r="A381" s="145"/>
      <c r="B381" s="177"/>
      <c r="C381" s="177"/>
      <c r="D381" s="145"/>
      <c r="E381" s="145"/>
      <c r="F381" s="145"/>
      <c r="G381" s="145"/>
      <c r="H381" s="147"/>
      <c r="I381" s="107"/>
      <c r="J381" s="178"/>
      <c r="K381" s="107"/>
      <c r="L381" s="145"/>
      <c r="M381" s="145"/>
      <c r="N381" s="145"/>
      <c r="O381" s="145"/>
      <c r="P381" s="147"/>
      <c r="Q381" s="148"/>
      <c r="R381" s="437"/>
      <c r="S381" s="107"/>
      <c r="T381" s="179"/>
      <c r="U381" s="178"/>
      <c r="V381" s="107"/>
      <c r="W381" s="107"/>
      <c r="X381" s="470"/>
      <c r="Y381" s="470"/>
      <c r="Z381" s="471"/>
      <c r="AA381" s="471"/>
      <c r="AB381" s="466"/>
      <c r="AC381" s="351"/>
      <c r="AD381" s="351"/>
      <c r="AE381" s="351"/>
      <c r="AF381" s="351"/>
    </row>
    <row r="382" spans="1:32" s="597" customFormat="1" ht="18" customHeight="1" x14ac:dyDescent="0.2">
      <c r="A382" s="88"/>
      <c r="B382" s="180"/>
      <c r="C382" s="180"/>
      <c r="D382" s="88"/>
      <c r="E382" s="88"/>
      <c r="F382" s="88"/>
      <c r="G382" s="88"/>
      <c r="H382" s="120"/>
      <c r="I382" s="121"/>
      <c r="J382" s="181"/>
      <c r="K382" s="121"/>
      <c r="L382" s="88"/>
      <c r="M382" s="88"/>
      <c r="N382" s="88"/>
      <c r="O382" s="88"/>
      <c r="P382" s="88"/>
      <c r="Q382" s="129"/>
      <c r="R382" s="445"/>
      <c r="S382" s="121"/>
      <c r="T382" s="182"/>
      <c r="U382" s="181"/>
      <c r="V382" s="121"/>
      <c r="W382" s="121"/>
      <c r="X382" s="472"/>
      <c r="Y382" s="472"/>
      <c r="Z382" s="473"/>
      <c r="AA382" s="473"/>
      <c r="AB382" s="466"/>
      <c r="AC382" s="349"/>
      <c r="AD382" s="349"/>
      <c r="AE382" s="349"/>
      <c r="AF382" s="349"/>
    </row>
    <row r="383" spans="1:32" s="597" customFormat="1" ht="18" customHeight="1" x14ac:dyDescent="0.2">
      <c r="A383" s="1850"/>
      <c r="B383" s="1850"/>
      <c r="C383" s="1850"/>
      <c r="D383" s="1850"/>
      <c r="E383" s="1850"/>
      <c r="F383" s="1850"/>
      <c r="G383" s="1850"/>
      <c r="H383" s="1851"/>
      <c r="I383" s="1852"/>
      <c r="J383" s="1853"/>
      <c r="K383" s="1852"/>
      <c r="L383" s="1852"/>
      <c r="M383" s="1852"/>
      <c r="N383" s="1852"/>
      <c r="O383" s="1852"/>
      <c r="P383" s="1852"/>
      <c r="Q383" s="1852"/>
      <c r="R383" s="1854"/>
      <c r="S383" s="1852"/>
      <c r="T383" s="1855"/>
      <c r="U383" s="1853"/>
      <c r="V383" s="1852"/>
      <c r="W383" s="1852"/>
      <c r="X383" s="1856"/>
      <c r="Y383" s="1856"/>
      <c r="Z383" s="1857"/>
      <c r="AA383" s="1857"/>
      <c r="AB383" s="1849">
        <f>SUM(AB369:AB382)</f>
        <v>1169.6228999999998</v>
      </c>
    </row>
    <row r="384" spans="1:32" s="597" customFormat="1" ht="18" customHeight="1" x14ac:dyDescent="0.2">
      <c r="A384" s="2690" t="s">
        <v>76</v>
      </c>
      <c r="B384" s="2690"/>
      <c r="C384" s="2691" t="s">
        <v>77</v>
      </c>
      <c r="D384" s="2691"/>
      <c r="E384" s="2691"/>
      <c r="F384" s="2691"/>
      <c r="G384" s="2691"/>
      <c r="H384" s="2691"/>
      <c r="I384" s="604" t="s">
        <v>78</v>
      </c>
      <c r="J384" s="604"/>
      <c r="K384" s="604"/>
      <c r="L384" s="604"/>
      <c r="M384" s="604"/>
      <c r="N384" s="604"/>
      <c r="AB384" s="598"/>
    </row>
    <row r="385" spans="1:32" s="597" customFormat="1" ht="18" customHeight="1" x14ac:dyDescent="0.2">
      <c r="A385" s="604"/>
      <c r="B385" s="605"/>
      <c r="C385" s="604"/>
      <c r="D385" s="604"/>
      <c r="E385" s="604"/>
      <c r="F385" s="604"/>
      <c r="G385" s="604"/>
      <c r="H385" s="604"/>
      <c r="I385" s="604" t="s">
        <v>79</v>
      </c>
      <c r="J385" s="604"/>
      <c r="K385" s="604"/>
      <c r="L385" s="604"/>
      <c r="M385" s="604"/>
      <c r="N385" s="604"/>
      <c r="AB385" s="598"/>
    </row>
    <row r="386" spans="1:32" s="597" customFormat="1" ht="18" customHeight="1" x14ac:dyDescent="0.2">
      <c r="A386" s="604"/>
      <c r="B386" s="605"/>
      <c r="C386" s="604"/>
      <c r="D386" s="604"/>
      <c r="E386" s="604"/>
      <c r="F386" s="604"/>
      <c r="G386" s="604"/>
      <c r="H386" s="604"/>
      <c r="I386" s="604" t="s">
        <v>80</v>
      </c>
      <c r="J386" s="604"/>
      <c r="K386" s="604"/>
      <c r="L386" s="604"/>
      <c r="M386" s="604"/>
      <c r="N386" s="604"/>
      <c r="AB386" s="598"/>
    </row>
    <row r="387" spans="1:32" s="597" customFormat="1" ht="18" customHeight="1" x14ac:dyDescent="0.2">
      <c r="A387" s="604"/>
      <c r="B387" s="605"/>
      <c r="C387" s="604"/>
      <c r="D387" s="604"/>
      <c r="E387" s="604"/>
      <c r="F387" s="604"/>
      <c r="G387" s="604"/>
      <c r="H387" s="604"/>
      <c r="I387" s="604" t="s">
        <v>81</v>
      </c>
      <c r="J387" s="604"/>
      <c r="K387" s="604"/>
      <c r="L387" s="604"/>
      <c r="M387" s="604"/>
      <c r="N387" s="604"/>
      <c r="AB387" s="598"/>
    </row>
    <row r="388" spans="1:32" s="597" customFormat="1" ht="18" customHeight="1" x14ac:dyDescent="0.2">
      <c r="A388" s="604"/>
      <c r="B388" s="605"/>
      <c r="C388" s="604"/>
      <c r="D388" s="604"/>
      <c r="E388" s="604"/>
      <c r="F388" s="604"/>
      <c r="G388" s="604"/>
      <c r="H388" s="604"/>
      <c r="I388" s="604" t="s">
        <v>88</v>
      </c>
      <c r="J388" s="604"/>
      <c r="K388" s="604"/>
      <c r="L388" s="604"/>
      <c r="M388" s="604"/>
      <c r="N388" s="604"/>
      <c r="AB388" s="598"/>
      <c r="AC388" s="339"/>
      <c r="AD388" s="339"/>
      <c r="AE388" s="339"/>
      <c r="AF388" s="339"/>
    </row>
    <row r="389" spans="1:32" s="597" customFormat="1" ht="18" customHeight="1" x14ac:dyDescent="0.2">
      <c r="A389" s="339"/>
      <c r="B389" s="339"/>
      <c r="C389" s="339"/>
      <c r="D389" s="339"/>
      <c r="E389" s="339"/>
      <c r="F389" s="339"/>
      <c r="G389" s="339"/>
      <c r="H389" s="339"/>
      <c r="I389" s="339"/>
      <c r="J389" s="339"/>
      <c r="K389" s="339"/>
      <c r="L389" s="339"/>
      <c r="M389" s="339"/>
      <c r="N389" s="339"/>
      <c r="O389" s="339"/>
      <c r="P389" s="339"/>
      <c r="Q389" s="339"/>
      <c r="R389" s="339"/>
      <c r="S389" s="339"/>
      <c r="T389" s="339"/>
      <c r="U389" s="339"/>
      <c r="V389" s="339"/>
      <c r="W389" s="339"/>
      <c r="X389" s="339"/>
      <c r="Y389" s="339"/>
      <c r="Z389" s="339"/>
      <c r="AA389" s="2702" t="s">
        <v>0</v>
      </c>
      <c r="AB389" s="2702"/>
      <c r="AC389" s="344"/>
      <c r="AD389" s="344"/>
      <c r="AE389" s="344"/>
      <c r="AF389" s="344"/>
    </row>
    <row r="390" spans="1:32" s="597" customFormat="1" ht="18" customHeight="1" x14ac:dyDescent="0.2">
      <c r="A390" s="2703" t="s">
        <v>1</v>
      </c>
      <c r="B390" s="2703"/>
      <c r="C390" s="2703"/>
      <c r="D390" s="2703"/>
      <c r="E390" s="2703"/>
      <c r="F390" s="2703"/>
      <c r="G390" s="2703"/>
      <c r="H390" s="2703"/>
      <c r="I390" s="2703"/>
      <c r="J390" s="2703"/>
      <c r="K390" s="2703"/>
      <c r="L390" s="2703"/>
      <c r="M390" s="2703"/>
      <c r="N390" s="2703"/>
      <c r="O390" s="2703"/>
      <c r="P390" s="2703"/>
      <c r="Q390" s="2703"/>
      <c r="R390" s="2703"/>
      <c r="S390" s="2703"/>
      <c r="T390" s="2703"/>
      <c r="U390" s="2703"/>
      <c r="V390" s="2703"/>
      <c r="W390" s="2703"/>
      <c r="X390" s="2703"/>
      <c r="Y390" s="2703"/>
      <c r="Z390" s="2703"/>
      <c r="AA390" s="2703"/>
      <c r="AB390" s="2703"/>
      <c r="AC390" s="599"/>
      <c r="AD390" s="599"/>
      <c r="AE390" s="599"/>
      <c r="AF390" s="599"/>
    </row>
    <row r="391" spans="1:32" s="597" customFormat="1" ht="18" customHeight="1" x14ac:dyDescent="0.2">
      <c r="A391" s="2704" t="s">
        <v>469</v>
      </c>
      <c r="B391" s="2704"/>
      <c r="C391" s="2704"/>
      <c r="D391" s="2704"/>
      <c r="E391" s="2704"/>
      <c r="F391" s="2704"/>
      <c r="G391" s="2704"/>
      <c r="H391" s="2704"/>
      <c r="I391" s="2704"/>
      <c r="J391" s="2704"/>
      <c r="K391" s="2704"/>
      <c r="L391" s="2704"/>
      <c r="M391" s="2704"/>
      <c r="N391" s="2704"/>
      <c r="O391" s="2704"/>
      <c r="P391" s="2704"/>
      <c r="Q391" s="2704"/>
      <c r="R391" s="2704"/>
      <c r="S391" s="2704"/>
      <c r="T391" s="2704"/>
      <c r="U391" s="2704"/>
      <c r="V391" s="2704"/>
      <c r="W391" s="2704"/>
      <c r="X391" s="2704"/>
      <c r="Y391" s="2704"/>
      <c r="Z391" s="2704"/>
      <c r="AA391" s="2704"/>
      <c r="AB391" s="2704"/>
      <c r="AC391" s="794" t="s">
        <v>8</v>
      </c>
      <c r="AD391" s="346"/>
      <c r="AE391" s="346"/>
      <c r="AF391" s="600"/>
    </row>
    <row r="392" spans="1:32" s="597" customFormat="1" ht="18" customHeight="1" x14ac:dyDescent="0.2">
      <c r="A392" s="2686" t="s">
        <v>2</v>
      </c>
      <c r="B392" s="360"/>
      <c r="C392" s="2686" t="s">
        <v>3</v>
      </c>
      <c r="D392" s="360"/>
      <c r="E392" s="360"/>
      <c r="F392" s="2693" t="s">
        <v>4</v>
      </c>
      <c r="G392" s="2693"/>
      <c r="H392" s="2693"/>
      <c r="I392" s="2694"/>
      <c r="J392" s="2694"/>
      <c r="K392" s="2695"/>
      <c r="L392" s="361"/>
      <c r="M392" s="2679" t="s">
        <v>5</v>
      </c>
      <c r="N392" s="2679"/>
      <c r="O392" s="2679"/>
      <c r="P392" s="2679"/>
      <c r="Q392" s="2696"/>
      <c r="R392" s="2696"/>
      <c r="S392" s="2696"/>
      <c r="T392" s="2696"/>
      <c r="U392" s="2696"/>
      <c r="V392" s="2697"/>
      <c r="W392" s="362" t="s">
        <v>6</v>
      </c>
      <c r="X392" s="363" t="s">
        <v>7</v>
      </c>
      <c r="Y392" s="364"/>
      <c r="Z392" s="364"/>
      <c r="AA392" s="363"/>
      <c r="AB392" s="365"/>
      <c r="AC392" s="528" t="s">
        <v>20</v>
      </c>
      <c r="AD392" s="601"/>
      <c r="AE392" s="347" t="s">
        <v>21</v>
      </c>
      <c r="AF392" s="340" t="s">
        <v>22</v>
      </c>
    </row>
    <row r="393" spans="1:32" s="597" customFormat="1" ht="18" customHeight="1" x14ac:dyDescent="0.2">
      <c r="A393" s="2687"/>
      <c r="B393" s="367"/>
      <c r="C393" s="2687"/>
      <c r="D393" s="366" t="s">
        <v>9</v>
      </c>
      <c r="E393" s="368" t="s">
        <v>10</v>
      </c>
      <c r="F393" s="2698" t="s">
        <v>11</v>
      </c>
      <c r="G393" s="2694"/>
      <c r="H393" s="2695"/>
      <c r="I393" s="360"/>
      <c r="J393" s="369" t="s">
        <v>12</v>
      </c>
      <c r="K393" s="360"/>
      <c r="L393" s="2679" t="s">
        <v>2</v>
      </c>
      <c r="M393" s="370"/>
      <c r="N393" s="370"/>
      <c r="O393" s="370"/>
      <c r="P393" s="371"/>
      <c r="Q393" s="372" t="s">
        <v>13</v>
      </c>
      <c r="R393" s="373" t="s">
        <v>12</v>
      </c>
      <c r="S393" s="370" t="s">
        <v>6</v>
      </c>
      <c r="T393" s="2682" t="s">
        <v>14</v>
      </c>
      <c r="U393" s="2683"/>
      <c r="V393" s="375" t="s">
        <v>7</v>
      </c>
      <c r="W393" s="376" t="s">
        <v>15</v>
      </c>
      <c r="X393" s="377" t="s">
        <v>16</v>
      </c>
      <c r="Y393" s="377" t="s">
        <v>17</v>
      </c>
      <c r="Z393" s="377" t="s">
        <v>18</v>
      </c>
      <c r="AA393" s="377"/>
      <c r="AB393" s="378" t="s">
        <v>19</v>
      </c>
      <c r="AC393" s="528" t="s">
        <v>35</v>
      </c>
      <c r="AD393" s="347" t="s">
        <v>36</v>
      </c>
      <c r="AE393" s="347" t="s">
        <v>37</v>
      </c>
      <c r="AF393" s="340" t="s">
        <v>38</v>
      </c>
    </row>
    <row r="394" spans="1:32" s="597" customFormat="1" ht="18" customHeight="1" x14ac:dyDescent="0.2">
      <c r="A394" s="2687"/>
      <c r="B394" s="366" t="s">
        <v>23</v>
      </c>
      <c r="C394" s="2687"/>
      <c r="D394" s="366" t="s">
        <v>24</v>
      </c>
      <c r="E394" s="368" t="s">
        <v>25</v>
      </c>
      <c r="F394" s="2699"/>
      <c r="G394" s="2700"/>
      <c r="H394" s="2701"/>
      <c r="I394" s="366" t="s">
        <v>26</v>
      </c>
      <c r="J394" s="379" t="s">
        <v>15</v>
      </c>
      <c r="K394" s="380" t="s">
        <v>6</v>
      </c>
      <c r="L394" s="2680"/>
      <c r="M394" s="381" t="s">
        <v>27</v>
      </c>
      <c r="N394" s="381" t="s">
        <v>10</v>
      </c>
      <c r="O394" s="382" t="s">
        <v>10</v>
      </c>
      <c r="P394" s="383" t="s">
        <v>28</v>
      </c>
      <c r="Q394" s="384" t="s">
        <v>29</v>
      </c>
      <c r="R394" s="383" t="s">
        <v>15</v>
      </c>
      <c r="S394" s="385" t="s">
        <v>15</v>
      </c>
      <c r="T394" s="2684"/>
      <c r="U394" s="2685"/>
      <c r="V394" s="375" t="s">
        <v>30</v>
      </c>
      <c r="W394" s="376" t="s">
        <v>31</v>
      </c>
      <c r="X394" s="377" t="s">
        <v>30</v>
      </c>
      <c r="Y394" s="377" t="s">
        <v>32</v>
      </c>
      <c r="Z394" s="377" t="s">
        <v>7</v>
      </c>
      <c r="AA394" s="377" t="s">
        <v>33</v>
      </c>
      <c r="AB394" s="378" t="s">
        <v>34</v>
      </c>
      <c r="AC394" s="347" t="s">
        <v>58</v>
      </c>
      <c r="AD394" s="347" t="s">
        <v>59</v>
      </c>
      <c r="AE394" s="347" t="s">
        <v>59</v>
      </c>
      <c r="AF394" s="340" t="s">
        <v>60</v>
      </c>
    </row>
    <row r="395" spans="1:32" s="597" customFormat="1" ht="18" customHeight="1" x14ac:dyDescent="0.2">
      <c r="A395" s="2687"/>
      <c r="B395" s="366" t="s">
        <v>39</v>
      </c>
      <c r="C395" s="2687"/>
      <c r="D395" s="366" t="s">
        <v>40</v>
      </c>
      <c r="E395" s="368" t="s">
        <v>41</v>
      </c>
      <c r="F395" s="2686" t="s">
        <v>42</v>
      </c>
      <c r="G395" s="2686" t="s">
        <v>43</v>
      </c>
      <c r="H395" s="2688" t="s">
        <v>44</v>
      </c>
      <c r="I395" s="366" t="s">
        <v>45</v>
      </c>
      <c r="J395" s="379" t="s">
        <v>46</v>
      </c>
      <c r="K395" s="380" t="s">
        <v>47</v>
      </c>
      <c r="L395" s="2680"/>
      <c r="M395" s="381" t="s">
        <v>30</v>
      </c>
      <c r="N395" s="381" t="s">
        <v>30</v>
      </c>
      <c r="O395" s="382" t="s">
        <v>25</v>
      </c>
      <c r="P395" s="383" t="s">
        <v>30</v>
      </c>
      <c r="Q395" s="384" t="s">
        <v>48</v>
      </c>
      <c r="R395" s="383" t="s">
        <v>49</v>
      </c>
      <c r="S395" s="385" t="s">
        <v>30</v>
      </c>
      <c r="T395" s="386" t="s">
        <v>50</v>
      </c>
      <c r="U395" s="374" t="s">
        <v>13</v>
      </c>
      <c r="V395" s="375" t="s">
        <v>51</v>
      </c>
      <c r="W395" s="376" t="s">
        <v>52</v>
      </c>
      <c r="X395" s="377" t="s">
        <v>53</v>
      </c>
      <c r="Y395" s="377" t="s">
        <v>54</v>
      </c>
      <c r="Z395" s="377" t="s">
        <v>55</v>
      </c>
      <c r="AA395" s="377" t="s">
        <v>56</v>
      </c>
      <c r="AB395" s="378" t="s">
        <v>57</v>
      </c>
      <c r="AC395" s="347" t="s">
        <v>59</v>
      </c>
      <c r="AD395" s="347"/>
      <c r="AE395" s="347"/>
      <c r="AF395" s="340" t="s">
        <v>59</v>
      </c>
    </row>
    <row r="396" spans="1:32" s="597" customFormat="1" ht="18" customHeight="1" x14ac:dyDescent="0.2">
      <c r="A396" s="2687"/>
      <c r="B396" s="366" t="s">
        <v>61</v>
      </c>
      <c r="C396" s="2687"/>
      <c r="D396" s="366" t="s">
        <v>62</v>
      </c>
      <c r="E396" s="368" t="s">
        <v>63</v>
      </c>
      <c r="F396" s="2687"/>
      <c r="G396" s="2687"/>
      <c r="H396" s="2689"/>
      <c r="I396" s="366" t="s">
        <v>64</v>
      </c>
      <c r="J396" s="379" t="s">
        <v>59</v>
      </c>
      <c r="K396" s="380" t="s">
        <v>59</v>
      </c>
      <c r="L396" s="2680"/>
      <c r="M396" s="381"/>
      <c r="N396" s="381"/>
      <c r="O396" s="382" t="s">
        <v>41</v>
      </c>
      <c r="P396" s="383" t="s">
        <v>65</v>
      </c>
      <c r="Q396" s="384" t="s">
        <v>66</v>
      </c>
      <c r="R396" s="383" t="s">
        <v>67</v>
      </c>
      <c r="S396" s="385" t="s">
        <v>59</v>
      </c>
      <c r="T396" s="387" t="s">
        <v>68</v>
      </c>
      <c r="U396" s="375" t="s">
        <v>14</v>
      </c>
      <c r="V396" s="375" t="s">
        <v>14</v>
      </c>
      <c r="W396" s="376" t="s">
        <v>30</v>
      </c>
      <c r="X396" s="388" t="s">
        <v>69</v>
      </c>
      <c r="Y396" s="388" t="s">
        <v>70</v>
      </c>
      <c r="Z396" s="377" t="s">
        <v>71</v>
      </c>
      <c r="AA396" s="377" t="s">
        <v>72</v>
      </c>
      <c r="AB396" s="378" t="s">
        <v>59</v>
      </c>
      <c r="AC396" s="348"/>
      <c r="AD396" s="348"/>
      <c r="AE396" s="348"/>
      <c r="AF396" s="341"/>
    </row>
    <row r="397" spans="1:32" s="597" customFormat="1" ht="18" customHeight="1" x14ac:dyDescent="0.2">
      <c r="A397" s="2692"/>
      <c r="B397" s="390"/>
      <c r="C397" s="2692"/>
      <c r="D397" s="390"/>
      <c r="E397" s="389"/>
      <c r="F397" s="390"/>
      <c r="G397" s="390"/>
      <c r="H397" s="391"/>
      <c r="I397" s="389"/>
      <c r="J397" s="392"/>
      <c r="K397" s="393"/>
      <c r="L397" s="2681"/>
      <c r="M397" s="394"/>
      <c r="N397" s="394"/>
      <c r="O397" s="394" t="s">
        <v>63</v>
      </c>
      <c r="P397" s="395"/>
      <c r="Q397" s="396" t="s">
        <v>72</v>
      </c>
      <c r="R397" s="397" t="s">
        <v>59</v>
      </c>
      <c r="S397" s="398"/>
      <c r="T397" s="397" t="s">
        <v>73</v>
      </c>
      <c r="U397" s="398" t="s">
        <v>59</v>
      </c>
      <c r="V397" s="399" t="s">
        <v>59</v>
      </c>
      <c r="W397" s="400" t="s">
        <v>59</v>
      </c>
      <c r="X397" s="401" t="s">
        <v>59</v>
      </c>
      <c r="Y397" s="401" t="s">
        <v>59</v>
      </c>
      <c r="Z397" s="401" t="s">
        <v>59</v>
      </c>
      <c r="AA397" s="402"/>
      <c r="AB397" s="403"/>
      <c r="AC397" s="602"/>
      <c r="AD397" s="603">
        <f>AB398-AC397</f>
        <v>0</v>
      </c>
      <c r="AE397" s="603">
        <f>IF(AD397&lt;=0,0,AD397*25/100)</f>
        <v>0</v>
      </c>
      <c r="AF397" s="603">
        <f>IF(AC397+AE397&gt;AB398,AB398,AC397+AE397)</f>
        <v>0</v>
      </c>
    </row>
    <row r="398" spans="1:32" s="597" customFormat="1" ht="18" customHeight="1" x14ac:dyDescent="0.25">
      <c r="A398" s="41">
        <v>1</v>
      </c>
      <c r="B398" s="287">
        <v>2601</v>
      </c>
      <c r="C398" s="15">
        <v>492</v>
      </c>
      <c r="D398" s="15" t="s">
        <v>95</v>
      </c>
      <c r="E398" s="15">
        <v>1</v>
      </c>
      <c r="F398" s="15">
        <v>2</v>
      </c>
      <c r="G398" s="15">
        <v>1</v>
      </c>
      <c r="H398" s="284">
        <v>88</v>
      </c>
      <c r="I398" s="18">
        <f>F398*400+G398*100+H398</f>
        <v>988</v>
      </c>
      <c r="J398" s="23">
        <v>280</v>
      </c>
      <c r="K398" s="39">
        <f>SUM(I398*J398)</f>
        <v>276640</v>
      </c>
      <c r="L398" s="50"/>
      <c r="M398" s="145"/>
      <c r="N398" s="15"/>
      <c r="O398" s="294">
        <v>1</v>
      </c>
      <c r="P398" s="15"/>
      <c r="Q398" s="25"/>
      <c r="R398" s="290"/>
      <c r="S398" s="39"/>
      <c r="T398" s="15"/>
      <c r="U398" s="23"/>
      <c r="V398" s="18"/>
      <c r="W398" s="30">
        <f>K398+V398</f>
        <v>276640</v>
      </c>
      <c r="X398" s="23">
        <f>W398</f>
        <v>276640</v>
      </c>
      <c r="Y398" s="23" t="s">
        <v>89</v>
      </c>
      <c r="Z398" s="23">
        <v>0</v>
      </c>
      <c r="AA398" s="264">
        <v>0.01</v>
      </c>
      <c r="AB398" s="465">
        <f>(Z398*AA398)</f>
        <v>0</v>
      </c>
      <c r="AC398" s="602"/>
      <c r="AD398" s="603">
        <f>AB399-AC398</f>
        <v>0</v>
      </c>
      <c r="AE398" s="603">
        <f>IF(AD398&lt;=0,0,AD398*25/100)</f>
        <v>0</v>
      </c>
      <c r="AF398" s="603">
        <f>IF(AC398+AE398&gt;AB399,AB399,AC398+AE398)</f>
        <v>0</v>
      </c>
    </row>
    <row r="399" spans="1:32" s="597" customFormat="1" ht="18" customHeight="1" x14ac:dyDescent="0.25">
      <c r="A399" s="15">
        <v>2</v>
      </c>
      <c r="B399" s="287">
        <v>53931</v>
      </c>
      <c r="C399" s="15">
        <v>913</v>
      </c>
      <c r="D399" s="15" t="s">
        <v>91</v>
      </c>
      <c r="E399" s="15">
        <v>1</v>
      </c>
      <c r="F399" s="15">
        <v>1</v>
      </c>
      <c r="G399" s="15">
        <v>1</v>
      </c>
      <c r="H399" s="284">
        <v>18</v>
      </c>
      <c r="I399" s="18">
        <f>F399*400+G399*100+H399</f>
        <v>518</v>
      </c>
      <c r="J399" s="23">
        <v>1300</v>
      </c>
      <c r="K399" s="39">
        <f>SUM(I399*J399)</f>
        <v>673400</v>
      </c>
      <c r="L399" s="50"/>
      <c r="M399" s="145"/>
      <c r="N399" s="15"/>
      <c r="O399" s="294">
        <v>1</v>
      </c>
      <c r="P399" s="15"/>
      <c r="Q399" s="25"/>
      <c r="R399" s="290"/>
      <c r="S399" s="39"/>
      <c r="T399" s="15"/>
      <c r="U399" s="23"/>
      <c r="V399" s="18"/>
      <c r="W399" s="30">
        <f>K399+V399</f>
        <v>673400</v>
      </c>
      <c r="X399" s="23">
        <f>W399</f>
        <v>673400</v>
      </c>
      <c r="Y399" s="23" t="s">
        <v>89</v>
      </c>
      <c r="Z399" s="23">
        <v>0</v>
      </c>
      <c r="AA399" s="264">
        <v>0.01</v>
      </c>
      <c r="AB399" s="466">
        <f>(Z399*AA399)</f>
        <v>0</v>
      </c>
      <c r="AC399" s="350"/>
      <c r="AD399" s="350"/>
      <c r="AE399" s="350"/>
      <c r="AF399" s="350"/>
    </row>
    <row r="400" spans="1:32" s="597" customFormat="1" ht="18" customHeight="1" x14ac:dyDescent="0.25">
      <c r="A400" s="27">
        <v>3</v>
      </c>
      <c r="B400" s="287">
        <v>54570</v>
      </c>
      <c r="C400" s="15">
        <v>916</v>
      </c>
      <c r="D400" s="15" t="s">
        <v>91</v>
      </c>
      <c r="E400" s="15">
        <v>4</v>
      </c>
      <c r="F400" s="15">
        <v>0</v>
      </c>
      <c r="G400" s="15">
        <v>1</v>
      </c>
      <c r="H400" s="284">
        <v>0</v>
      </c>
      <c r="I400" s="18">
        <f>F400*400+G400*100+H400</f>
        <v>100</v>
      </c>
      <c r="J400" s="23">
        <v>1700</v>
      </c>
      <c r="K400" s="39">
        <f>SUM(I400*J400)</f>
        <v>170000</v>
      </c>
      <c r="L400" s="50"/>
      <c r="M400" s="145"/>
      <c r="N400" s="15"/>
      <c r="O400" s="294">
        <v>4</v>
      </c>
      <c r="P400" s="15"/>
      <c r="Q400" s="25"/>
      <c r="R400" s="290"/>
      <c r="S400" s="39"/>
      <c r="T400" s="15"/>
      <c r="U400" s="23"/>
      <c r="V400" s="18"/>
      <c r="W400" s="30">
        <f>K400+V400</f>
        <v>170000</v>
      </c>
      <c r="X400" s="23">
        <f>W400</f>
        <v>170000</v>
      </c>
      <c r="Y400" s="23"/>
      <c r="Z400" s="23">
        <f>+X400</f>
        <v>170000</v>
      </c>
      <c r="AA400" s="264">
        <v>0.3</v>
      </c>
      <c r="AB400" s="466">
        <f>+Z400*AA400/100</f>
        <v>510</v>
      </c>
      <c r="AC400" s="350"/>
      <c r="AD400" s="350"/>
      <c r="AE400" s="350"/>
      <c r="AF400" s="350"/>
    </row>
    <row r="401" spans="1:32" s="597" customFormat="1" ht="18" customHeight="1" x14ac:dyDescent="0.25">
      <c r="A401" s="269">
        <v>4</v>
      </c>
      <c r="B401" s="269">
        <v>25985</v>
      </c>
      <c r="C401" s="285" t="s">
        <v>106</v>
      </c>
      <c r="D401" s="273" t="s">
        <v>91</v>
      </c>
      <c r="E401" s="273">
        <v>2</v>
      </c>
      <c r="F401" s="268">
        <v>1</v>
      </c>
      <c r="G401" s="269">
        <v>0</v>
      </c>
      <c r="H401" s="266">
        <v>11</v>
      </c>
      <c r="I401" s="18">
        <f>F401*400+G401*100+H401</f>
        <v>411</v>
      </c>
      <c r="J401" s="23">
        <v>1500</v>
      </c>
      <c r="K401" s="39">
        <f>SUM(I401*J401)</f>
        <v>616500</v>
      </c>
      <c r="L401" s="45">
        <v>1</v>
      </c>
      <c r="M401" s="145">
        <v>103</v>
      </c>
      <c r="N401" s="15" t="s">
        <v>74</v>
      </c>
      <c r="O401" s="50">
        <v>2</v>
      </c>
      <c r="P401" s="15">
        <f>7.47*8</f>
        <v>59.76</v>
      </c>
      <c r="Q401" s="76" t="s">
        <v>75</v>
      </c>
      <c r="R401" s="260">
        <v>9050</v>
      </c>
      <c r="S401" s="18">
        <f>+P401*R401</f>
        <v>540828</v>
      </c>
      <c r="T401" s="1508">
        <v>46</v>
      </c>
      <c r="U401" s="1663">
        <f>+S401*0.76</f>
        <v>411029.28</v>
      </c>
      <c r="V401" s="47">
        <f>S401-U401</f>
        <v>129798.71999999997</v>
      </c>
      <c r="W401" s="18">
        <f>K401+V401</f>
        <v>746298.72</v>
      </c>
      <c r="X401" s="47">
        <f>W401</f>
        <v>746298.72</v>
      </c>
      <c r="Y401" s="18"/>
      <c r="Z401" s="23">
        <f>+X401</f>
        <v>746298.72</v>
      </c>
      <c r="AA401" s="264">
        <v>0.02</v>
      </c>
      <c r="AB401" s="466">
        <f>+Z401*AA401/100</f>
        <v>149.25974399999998</v>
      </c>
      <c r="AC401" s="350"/>
      <c r="AD401" s="350"/>
      <c r="AE401" s="350"/>
      <c r="AF401" s="350"/>
    </row>
    <row r="402" spans="1:32" s="597" customFormat="1" ht="18" customHeight="1" x14ac:dyDescent="0.25">
      <c r="A402" s="269"/>
      <c r="B402" s="269"/>
      <c r="C402" s="285"/>
      <c r="D402" s="273"/>
      <c r="E402" s="273"/>
      <c r="F402" s="268"/>
      <c r="G402" s="269"/>
      <c r="H402" s="266"/>
      <c r="I402" s="18"/>
      <c r="J402" s="261"/>
      <c r="K402" s="262"/>
      <c r="L402" s="269">
        <v>2</v>
      </c>
      <c r="M402" s="242">
        <v>103</v>
      </c>
      <c r="N402" s="15" t="s">
        <v>74</v>
      </c>
      <c r="O402" s="50">
        <v>2</v>
      </c>
      <c r="P402" s="15">
        <f>7.47*8</f>
        <v>59.76</v>
      </c>
      <c r="Q402" s="76" t="s">
        <v>237</v>
      </c>
      <c r="R402" s="436">
        <v>9050</v>
      </c>
      <c r="S402" s="18">
        <f>+P402*R402</f>
        <v>540828</v>
      </c>
      <c r="T402" s="1508">
        <v>46</v>
      </c>
      <c r="U402" s="1663">
        <f>+S402*0.76</f>
        <v>411029.28</v>
      </c>
      <c r="V402" s="47">
        <f>+S402-U402</f>
        <v>129798.71999999997</v>
      </c>
      <c r="W402" s="18">
        <f>K402+V402</f>
        <v>129798.71999999997</v>
      </c>
      <c r="X402" s="47">
        <f>W402</f>
        <v>129798.71999999997</v>
      </c>
      <c r="Y402" s="282"/>
      <c r="Z402" s="23">
        <f>+X402</f>
        <v>129798.71999999997</v>
      </c>
      <c r="AA402" s="1015">
        <v>0.02</v>
      </c>
      <c r="AB402" s="466">
        <f>+Z402*AA402/100</f>
        <v>25.959743999999997</v>
      </c>
      <c r="AC402" s="350"/>
      <c r="AD402" s="350"/>
      <c r="AE402" s="350"/>
      <c r="AF402" s="350"/>
    </row>
    <row r="403" spans="1:32" s="597" customFormat="1" ht="18" customHeight="1" x14ac:dyDescent="0.2">
      <c r="A403" s="145"/>
      <c r="B403" s="177"/>
      <c r="C403" s="177"/>
      <c r="D403" s="145"/>
      <c r="E403" s="145"/>
      <c r="F403" s="145"/>
      <c r="G403" s="145"/>
      <c r="H403" s="147"/>
      <c r="I403" s="107"/>
      <c r="J403" s="178"/>
      <c r="K403" s="107"/>
      <c r="L403" s="145"/>
      <c r="M403" s="145"/>
      <c r="N403" s="145"/>
      <c r="O403" s="145"/>
      <c r="P403" s="147"/>
      <c r="Q403" s="148"/>
      <c r="R403" s="437"/>
      <c r="S403" s="107"/>
      <c r="T403" s="179"/>
      <c r="U403" s="178"/>
      <c r="V403" s="107"/>
      <c r="W403" s="107"/>
      <c r="X403" s="470"/>
      <c r="Y403" s="470"/>
      <c r="Z403" s="471"/>
      <c r="AA403" s="471"/>
      <c r="AB403" s="466"/>
      <c r="AC403" s="350"/>
      <c r="AD403" s="350"/>
      <c r="AE403" s="350"/>
      <c r="AF403" s="350"/>
    </row>
    <row r="404" spans="1:32" s="597" customFormat="1" ht="18" customHeight="1" x14ac:dyDescent="0.2">
      <c r="A404" s="145"/>
      <c r="B404" s="177"/>
      <c r="C404" s="177"/>
      <c r="D404" s="145"/>
      <c r="E404" s="145"/>
      <c r="F404" s="145"/>
      <c r="G404" s="145"/>
      <c r="H404" s="147"/>
      <c r="I404" s="107"/>
      <c r="J404" s="178"/>
      <c r="K404" s="107"/>
      <c r="L404" s="145"/>
      <c r="M404" s="145"/>
      <c r="N404" s="145"/>
      <c r="O404" s="145"/>
      <c r="P404" s="147"/>
      <c r="Q404" s="148"/>
      <c r="R404" s="437"/>
      <c r="S404" s="107"/>
      <c r="T404" s="179"/>
      <c r="U404" s="178"/>
      <c r="V404" s="107"/>
      <c r="W404" s="107"/>
      <c r="X404" s="470"/>
      <c r="Y404" s="470"/>
      <c r="Z404" s="471"/>
      <c r="AA404" s="471"/>
      <c r="AB404" s="466"/>
      <c r="AC404" s="350"/>
      <c r="AD404" s="350"/>
      <c r="AE404" s="350"/>
      <c r="AF404" s="350"/>
    </row>
    <row r="405" spans="1:32" s="597" customFormat="1" ht="18" customHeight="1" x14ac:dyDescent="0.2">
      <c r="A405" s="145"/>
      <c r="B405" s="177"/>
      <c r="C405" s="177"/>
      <c r="D405" s="145"/>
      <c r="E405" s="145"/>
      <c r="F405" s="145"/>
      <c r="G405" s="145"/>
      <c r="H405" s="147"/>
      <c r="I405" s="107"/>
      <c r="J405" s="178"/>
      <c r="K405" s="107"/>
      <c r="L405" s="145"/>
      <c r="M405" s="145"/>
      <c r="N405" s="145"/>
      <c r="O405" s="145"/>
      <c r="P405" s="147"/>
      <c r="Q405" s="148"/>
      <c r="R405" s="437"/>
      <c r="S405" s="107"/>
      <c r="T405" s="179"/>
      <c r="U405" s="178"/>
      <c r="V405" s="107"/>
      <c r="W405" s="107"/>
      <c r="X405" s="470"/>
      <c r="Y405" s="470"/>
      <c r="Z405" s="471"/>
      <c r="AA405" s="471"/>
      <c r="AB405" s="466"/>
      <c r="AC405" s="350"/>
      <c r="AD405" s="350"/>
      <c r="AE405" s="350"/>
      <c r="AF405" s="350"/>
    </row>
    <row r="406" spans="1:32" s="597" customFormat="1" ht="18" customHeight="1" x14ac:dyDescent="0.2">
      <c r="A406" s="145"/>
      <c r="B406" s="177"/>
      <c r="C406" s="177"/>
      <c r="D406" s="145"/>
      <c r="E406" s="145"/>
      <c r="F406" s="145"/>
      <c r="G406" s="145"/>
      <c r="H406" s="147"/>
      <c r="I406" s="107"/>
      <c r="J406" s="178"/>
      <c r="K406" s="107"/>
      <c r="L406" s="145"/>
      <c r="M406" s="145"/>
      <c r="N406" s="145"/>
      <c r="O406" s="145"/>
      <c r="P406" s="147"/>
      <c r="Q406" s="148"/>
      <c r="R406" s="437"/>
      <c r="S406" s="107"/>
      <c r="T406" s="179"/>
      <c r="U406" s="178"/>
      <c r="V406" s="107"/>
      <c r="W406" s="107"/>
      <c r="X406" s="470"/>
      <c r="Y406" s="470"/>
      <c r="Z406" s="471"/>
      <c r="AA406" s="471"/>
      <c r="AB406" s="466"/>
      <c r="AC406" s="350"/>
      <c r="AD406" s="350"/>
      <c r="AE406" s="350"/>
      <c r="AF406" s="350"/>
    </row>
    <row r="407" spans="1:32" s="597" customFormat="1" ht="18" customHeight="1" x14ac:dyDescent="0.2">
      <c r="A407" s="145"/>
      <c r="B407" s="177"/>
      <c r="C407" s="177"/>
      <c r="D407" s="145"/>
      <c r="E407" s="145"/>
      <c r="F407" s="145"/>
      <c r="G407" s="145"/>
      <c r="H407" s="147"/>
      <c r="I407" s="107"/>
      <c r="J407" s="178"/>
      <c r="K407" s="107"/>
      <c r="L407" s="145"/>
      <c r="M407" s="145"/>
      <c r="N407" s="145"/>
      <c r="O407" s="145"/>
      <c r="P407" s="147"/>
      <c r="Q407" s="148"/>
      <c r="R407" s="437"/>
      <c r="S407" s="107"/>
      <c r="T407" s="179"/>
      <c r="U407" s="178"/>
      <c r="V407" s="107"/>
      <c r="W407" s="107"/>
      <c r="X407" s="470"/>
      <c r="Y407" s="470"/>
      <c r="Z407" s="471"/>
      <c r="AA407" s="471"/>
      <c r="AB407" s="466"/>
      <c r="AC407" s="350"/>
      <c r="AD407" s="350"/>
      <c r="AE407" s="350"/>
      <c r="AF407" s="350"/>
    </row>
    <row r="408" spans="1:32" s="597" customFormat="1" ht="18" customHeight="1" x14ac:dyDescent="0.2">
      <c r="A408" s="145"/>
      <c r="B408" s="177"/>
      <c r="C408" s="177"/>
      <c r="D408" s="145"/>
      <c r="E408" s="145"/>
      <c r="F408" s="145"/>
      <c r="G408" s="145"/>
      <c r="H408" s="147"/>
      <c r="I408" s="107"/>
      <c r="J408" s="178"/>
      <c r="K408" s="107"/>
      <c r="L408" s="145"/>
      <c r="M408" s="145"/>
      <c r="N408" s="145"/>
      <c r="O408" s="145"/>
      <c r="P408" s="147"/>
      <c r="Q408" s="148"/>
      <c r="R408" s="437"/>
      <c r="S408" s="107"/>
      <c r="T408" s="179"/>
      <c r="U408" s="178"/>
      <c r="V408" s="107"/>
      <c r="W408" s="107"/>
      <c r="X408" s="470"/>
      <c r="Y408" s="470"/>
      <c r="Z408" s="471"/>
      <c r="AA408" s="471"/>
      <c r="AB408" s="466"/>
      <c r="AC408" s="350"/>
      <c r="AD408" s="350"/>
      <c r="AE408" s="350"/>
      <c r="AF408" s="350"/>
    </row>
    <row r="409" spans="1:32" s="597" customFormat="1" ht="18" customHeight="1" x14ac:dyDescent="0.2">
      <c r="A409" s="145"/>
      <c r="B409" s="177"/>
      <c r="C409" s="177"/>
      <c r="D409" s="145"/>
      <c r="E409" s="145"/>
      <c r="F409" s="145"/>
      <c r="G409" s="145"/>
      <c r="H409" s="147"/>
      <c r="I409" s="107"/>
      <c r="J409" s="178"/>
      <c r="K409" s="107"/>
      <c r="L409" s="145"/>
      <c r="M409" s="145"/>
      <c r="N409" s="145"/>
      <c r="O409" s="145"/>
      <c r="P409" s="147"/>
      <c r="Q409" s="148"/>
      <c r="R409" s="437"/>
      <c r="S409" s="107"/>
      <c r="T409" s="179"/>
      <c r="U409" s="178"/>
      <c r="V409" s="107"/>
      <c r="W409" s="107"/>
      <c r="X409" s="470"/>
      <c r="Y409" s="470"/>
      <c r="Z409" s="471"/>
      <c r="AA409" s="471"/>
      <c r="AB409" s="466"/>
      <c r="AC409" s="350"/>
      <c r="AD409" s="350"/>
      <c r="AE409" s="350"/>
      <c r="AF409" s="350"/>
    </row>
    <row r="410" spans="1:32" s="597" customFormat="1" ht="18" customHeight="1" x14ac:dyDescent="0.2">
      <c r="A410" s="145"/>
      <c r="B410" s="177"/>
      <c r="C410" s="177"/>
      <c r="D410" s="145"/>
      <c r="E410" s="145"/>
      <c r="F410" s="145"/>
      <c r="G410" s="145"/>
      <c r="H410" s="147"/>
      <c r="I410" s="107"/>
      <c r="J410" s="178"/>
      <c r="K410" s="107"/>
      <c r="L410" s="145"/>
      <c r="M410" s="145"/>
      <c r="N410" s="145"/>
      <c r="O410" s="145"/>
      <c r="P410" s="147"/>
      <c r="Q410" s="148"/>
      <c r="R410" s="437"/>
      <c r="S410" s="107"/>
      <c r="T410" s="179"/>
      <c r="U410" s="178"/>
      <c r="V410" s="107"/>
      <c r="W410" s="107"/>
      <c r="X410" s="470"/>
      <c r="Y410" s="470"/>
      <c r="Z410" s="471"/>
      <c r="AA410" s="471"/>
      <c r="AB410" s="466"/>
      <c r="AC410" s="350"/>
      <c r="AD410" s="350"/>
      <c r="AE410" s="350"/>
      <c r="AF410" s="350"/>
    </row>
    <row r="411" spans="1:32" s="597" customFormat="1" ht="18" customHeight="1" x14ac:dyDescent="0.2">
      <c r="A411" s="145"/>
      <c r="B411" s="177"/>
      <c r="C411" s="177"/>
      <c r="D411" s="145"/>
      <c r="E411" s="145"/>
      <c r="F411" s="145"/>
      <c r="G411" s="145"/>
      <c r="H411" s="147"/>
      <c r="I411" s="107"/>
      <c r="J411" s="178"/>
      <c r="K411" s="107"/>
      <c r="L411" s="145"/>
      <c r="M411" s="145"/>
      <c r="N411" s="145"/>
      <c r="O411" s="145"/>
      <c r="P411" s="147"/>
      <c r="Q411" s="148"/>
      <c r="R411" s="437"/>
      <c r="S411" s="107"/>
      <c r="T411" s="179"/>
      <c r="U411" s="178"/>
      <c r="V411" s="107"/>
      <c r="W411" s="107"/>
      <c r="X411" s="470"/>
      <c r="Y411" s="470"/>
      <c r="Z411" s="471"/>
      <c r="AA411" s="471"/>
      <c r="AB411" s="466"/>
      <c r="AC411" s="351"/>
      <c r="AD411" s="351"/>
      <c r="AE411" s="351"/>
      <c r="AF411" s="351"/>
    </row>
    <row r="412" spans="1:32" s="597" customFormat="1" ht="18" customHeight="1" x14ac:dyDescent="0.2">
      <c r="A412" s="88"/>
      <c r="B412" s="180"/>
      <c r="C412" s="180"/>
      <c r="D412" s="88"/>
      <c r="E412" s="88"/>
      <c r="F412" s="88"/>
      <c r="G412" s="88"/>
      <c r="H412" s="120"/>
      <c r="I412" s="121"/>
      <c r="J412" s="181"/>
      <c r="K412" s="121"/>
      <c r="L412" s="88"/>
      <c r="M412" s="88"/>
      <c r="N412" s="88"/>
      <c r="O412" s="88"/>
      <c r="P412" s="88"/>
      <c r="Q412" s="129"/>
      <c r="R412" s="445"/>
      <c r="S412" s="121"/>
      <c r="T412" s="182"/>
      <c r="U412" s="181"/>
      <c r="V412" s="121"/>
      <c r="W412" s="121"/>
      <c r="X412" s="472"/>
      <c r="Y412" s="472"/>
      <c r="Z412" s="473"/>
      <c r="AA412" s="473"/>
      <c r="AB412" s="410"/>
      <c r="AC412" s="349"/>
      <c r="AD412" s="349"/>
      <c r="AE412" s="349"/>
      <c r="AF412" s="349"/>
    </row>
    <row r="413" spans="1:32" s="597" customFormat="1" ht="18" customHeight="1" x14ac:dyDescent="0.2">
      <c r="A413" s="1850"/>
      <c r="B413" s="1850"/>
      <c r="C413" s="1850"/>
      <c r="D413" s="1850"/>
      <c r="E413" s="1850"/>
      <c r="F413" s="1850"/>
      <c r="G413" s="1850"/>
      <c r="H413" s="1851"/>
      <c r="I413" s="1852"/>
      <c r="J413" s="1853"/>
      <c r="K413" s="1852"/>
      <c r="L413" s="1852"/>
      <c r="M413" s="1852"/>
      <c r="N413" s="1852"/>
      <c r="O413" s="1852"/>
      <c r="P413" s="1852"/>
      <c r="Q413" s="1852"/>
      <c r="R413" s="1854"/>
      <c r="S413" s="1852"/>
      <c r="T413" s="1855"/>
      <c r="U413" s="1853"/>
      <c r="V413" s="1852"/>
      <c r="W413" s="1852"/>
      <c r="X413" s="1856"/>
      <c r="Y413" s="1856"/>
      <c r="Z413" s="1857"/>
      <c r="AA413" s="1857"/>
      <c r="AB413" s="1847">
        <f>SUM(AB398:AB412)</f>
        <v>685.21948799999996</v>
      </c>
    </row>
    <row r="414" spans="1:32" s="597" customFormat="1" ht="18" customHeight="1" x14ac:dyDescent="0.2">
      <c r="A414" s="2690" t="s">
        <v>76</v>
      </c>
      <c r="B414" s="2690"/>
      <c r="C414" s="2691" t="s">
        <v>77</v>
      </c>
      <c r="D414" s="2691"/>
      <c r="E414" s="2691"/>
      <c r="F414" s="2691"/>
      <c r="G414" s="2691"/>
      <c r="H414" s="2691"/>
      <c r="I414" s="604" t="s">
        <v>78</v>
      </c>
      <c r="J414" s="604"/>
      <c r="K414" s="604"/>
      <c r="L414" s="604"/>
      <c r="M414" s="604"/>
      <c r="N414" s="604"/>
      <c r="AB414" s="598"/>
    </row>
    <row r="415" spans="1:32" s="597" customFormat="1" ht="18" customHeight="1" x14ac:dyDescent="0.2">
      <c r="A415" s="604"/>
      <c r="B415" s="605"/>
      <c r="C415" s="604"/>
      <c r="D415" s="604"/>
      <c r="E415" s="604"/>
      <c r="F415" s="604"/>
      <c r="G415" s="604"/>
      <c r="H415" s="604"/>
      <c r="I415" s="604" t="s">
        <v>79</v>
      </c>
      <c r="J415" s="604"/>
      <c r="K415" s="604"/>
      <c r="L415" s="604"/>
      <c r="M415" s="604"/>
      <c r="N415" s="604"/>
      <c r="AB415" s="598"/>
    </row>
    <row r="416" spans="1:32" s="597" customFormat="1" ht="18" customHeight="1" x14ac:dyDescent="0.2">
      <c r="A416" s="604"/>
      <c r="B416" s="605"/>
      <c r="C416" s="604"/>
      <c r="D416" s="604"/>
      <c r="E416" s="604"/>
      <c r="F416" s="604"/>
      <c r="G416" s="604"/>
      <c r="H416" s="604"/>
      <c r="I416" s="604" t="s">
        <v>80</v>
      </c>
      <c r="J416" s="604"/>
      <c r="K416" s="604"/>
      <c r="L416" s="604"/>
      <c r="M416" s="604"/>
      <c r="N416" s="604"/>
      <c r="AB416" s="598"/>
    </row>
    <row r="417" spans="1:32" s="597" customFormat="1" ht="18" customHeight="1" x14ac:dyDescent="0.2">
      <c r="A417" s="604"/>
      <c r="B417" s="605"/>
      <c r="C417" s="604"/>
      <c r="D417" s="604"/>
      <c r="E417" s="604"/>
      <c r="F417" s="604"/>
      <c r="G417" s="604"/>
      <c r="H417" s="604"/>
      <c r="I417" s="604" t="s">
        <v>81</v>
      </c>
      <c r="J417" s="604"/>
      <c r="K417" s="604"/>
      <c r="L417" s="604"/>
      <c r="M417" s="604"/>
      <c r="N417" s="604"/>
      <c r="AB417" s="598"/>
    </row>
    <row r="418" spans="1:32" s="597" customFormat="1" ht="18" customHeight="1" x14ac:dyDescent="0.2">
      <c r="A418" s="604"/>
      <c r="B418" s="605"/>
      <c r="C418" s="604"/>
      <c r="D418" s="604"/>
      <c r="E418" s="604"/>
      <c r="F418" s="604"/>
      <c r="G418" s="604"/>
      <c r="H418" s="604"/>
      <c r="I418" s="604" t="s">
        <v>88</v>
      </c>
      <c r="J418" s="604"/>
      <c r="K418" s="604"/>
      <c r="L418" s="604"/>
      <c r="M418" s="604"/>
      <c r="N418" s="604"/>
      <c r="AB418" s="598"/>
      <c r="AC418" s="339"/>
      <c r="AD418" s="339"/>
      <c r="AE418" s="339"/>
      <c r="AF418" s="339"/>
    </row>
    <row r="419" spans="1:32" s="597" customFormat="1" ht="18" customHeight="1" x14ac:dyDescent="0.2">
      <c r="A419" s="344"/>
      <c r="B419" s="344"/>
      <c r="C419" s="344"/>
      <c r="D419" s="344"/>
      <c r="E419" s="344"/>
      <c r="F419" s="344"/>
      <c r="G419" s="344"/>
      <c r="H419" s="344"/>
      <c r="I419" s="344"/>
      <c r="J419" s="344"/>
      <c r="K419" s="344"/>
      <c r="L419" s="344"/>
      <c r="M419" s="344"/>
      <c r="N419" s="344"/>
      <c r="O419" s="344"/>
      <c r="P419" s="344"/>
      <c r="Q419" s="344"/>
      <c r="R419" s="344"/>
      <c r="S419" s="344"/>
      <c r="T419" s="344"/>
      <c r="U419" s="344"/>
      <c r="V419" s="344"/>
      <c r="W419" s="344"/>
      <c r="X419" s="344"/>
      <c r="Y419" s="344"/>
      <c r="Z419" s="344"/>
      <c r="AA419" s="2703" t="s">
        <v>0</v>
      </c>
      <c r="AB419" s="2703"/>
      <c r="AC419" s="344"/>
      <c r="AD419" s="344"/>
      <c r="AE419" s="344"/>
      <c r="AF419" s="344"/>
    </row>
    <row r="420" spans="1:32" s="597" customFormat="1" ht="18" customHeight="1" x14ac:dyDescent="0.2">
      <c r="A420" s="2703" t="s">
        <v>1</v>
      </c>
      <c r="B420" s="2703"/>
      <c r="C420" s="2703"/>
      <c r="D420" s="2703"/>
      <c r="E420" s="2703"/>
      <c r="F420" s="2703"/>
      <c r="G420" s="2703"/>
      <c r="H420" s="2703"/>
      <c r="I420" s="2703"/>
      <c r="J420" s="2703"/>
      <c r="K420" s="2703"/>
      <c r="L420" s="2703"/>
      <c r="M420" s="2703"/>
      <c r="N420" s="2703"/>
      <c r="O420" s="2703"/>
      <c r="P420" s="2703"/>
      <c r="Q420" s="2703"/>
      <c r="R420" s="2703"/>
      <c r="S420" s="2703"/>
      <c r="T420" s="2703"/>
      <c r="U420" s="2703"/>
      <c r="V420" s="2703"/>
      <c r="W420" s="2703"/>
      <c r="X420" s="2703"/>
      <c r="Y420" s="2703"/>
      <c r="Z420" s="2703"/>
      <c r="AA420" s="2703"/>
      <c r="AB420" s="2703"/>
      <c r="AC420" s="599"/>
      <c r="AD420" s="599"/>
      <c r="AE420" s="599"/>
      <c r="AF420" s="599"/>
    </row>
    <row r="421" spans="1:32" s="597" customFormat="1" ht="18" customHeight="1" x14ac:dyDescent="0.2">
      <c r="A421" s="2704" t="s">
        <v>470</v>
      </c>
      <c r="B421" s="2704"/>
      <c r="C421" s="2704"/>
      <c r="D421" s="2704"/>
      <c r="E421" s="2704"/>
      <c r="F421" s="2704"/>
      <c r="G421" s="2704"/>
      <c r="H421" s="2704"/>
      <c r="I421" s="2704"/>
      <c r="J421" s="2704"/>
      <c r="K421" s="2704"/>
      <c r="L421" s="2704"/>
      <c r="M421" s="2704"/>
      <c r="N421" s="2704"/>
      <c r="O421" s="2704"/>
      <c r="P421" s="2704"/>
      <c r="Q421" s="2704"/>
      <c r="R421" s="2704"/>
      <c r="S421" s="2704"/>
      <c r="T421" s="2704"/>
      <c r="U421" s="2704"/>
      <c r="V421" s="2704"/>
      <c r="W421" s="2704"/>
      <c r="X421" s="2704"/>
      <c r="Y421" s="2704"/>
      <c r="Z421" s="2704"/>
      <c r="AA421" s="2704"/>
      <c r="AB421" s="2704"/>
      <c r="AC421" s="794" t="s">
        <v>8</v>
      </c>
      <c r="AD421" s="346"/>
      <c r="AE421" s="346"/>
      <c r="AF421" s="600"/>
    </row>
    <row r="422" spans="1:32" s="597" customFormat="1" ht="18" customHeight="1" x14ac:dyDescent="0.2">
      <c r="A422" s="2686" t="s">
        <v>2</v>
      </c>
      <c r="B422" s="360"/>
      <c r="C422" s="2686" t="s">
        <v>3</v>
      </c>
      <c r="D422" s="360"/>
      <c r="E422" s="360"/>
      <c r="F422" s="2693" t="s">
        <v>4</v>
      </c>
      <c r="G422" s="2693"/>
      <c r="H422" s="2693"/>
      <c r="I422" s="2694"/>
      <c r="J422" s="2694"/>
      <c r="K422" s="2695"/>
      <c r="L422" s="361"/>
      <c r="M422" s="2679" t="s">
        <v>5</v>
      </c>
      <c r="N422" s="2679"/>
      <c r="O422" s="2679"/>
      <c r="P422" s="2679"/>
      <c r="Q422" s="2696"/>
      <c r="R422" s="2696"/>
      <c r="S422" s="2696"/>
      <c r="T422" s="2696"/>
      <c r="U422" s="2696"/>
      <c r="V422" s="2697"/>
      <c r="W422" s="362" t="s">
        <v>6</v>
      </c>
      <c r="X422" s="363" t="s">
        <v>7</v>
      </c>
      <c r="Y422" s="364"/>
      <c r="Z422" s="364"/>
      <c r="AA422" s="363"/>
      <c r="AB422" s="365"/>
      <c r="AC422" s="528" t="s">
        <v>20</v>
      </c>
      <c r="AD422" s="601"/>
      <c r="AE422" s="347" t="s">
        <v>21</v>
      </c>
      <c r="AF422" s="340" t="s">
        <v>22</v>
      </c>
    </row>
    <row r="423" spans="1:32" s="597" customFormat="1" ht="18" customHeight="1" x14ac:dyDescent="0.2">
      <c r="A423" s="2687"/>
      <c r="B423" s="367"/>
      <c r="C423" s="2687"/>
      <c r="D423" s="366" t="s">
        <v>9</v>
      </c>
      <c r="E423" s="368" t="s">
        <v>10</v>
      </c>
      <c r="F423" s="2698" t="s">
        <v>11</v>
      </c>
      <c r="G423" s="2694"/>
      <c r="H423" s="2695"/>
      <c r="I423" s="360"/>
      <c r="J423" s="369" t="s">
        <v>12</v>
      </c>
      <c r="K423" s="360"/>
      <c r="L423" s="2679" t="s">
        <v>2</v>
      </c>
      <c r="M423" s="370"/>
      <c r="N423" s="370"/>
      <c r="O423" s="370"/>
      <c r="P423" s="371"/>
      <c r="Q423" s="372" t="s">
        <v>13</v>
      </c>
      <c r="R423" s="373" t="s">
        <v>12</v>
      </c>
      <c r="S423" s="370" t="s">
        <v>6</v>
      </c>
      <c r="T423" s="2682" t="s">
        <v>14</v>
      </c>
      <c r="U423" s="2683"/>
      <c r="V423" s="375" t="s">
        <v>7</v>
      </c>
      <c r="W423" s="376" t="s">
        <v>15</v>
      </c>
      <c r="X423" s="377" t="s">
        <v>16</v>
      </c>
      <c r="Y423" s="377" t="s">
        <v>17</v>
      </c>
      <c r="Z423" s="377" t="s">
        <v>18</v>
      </c>
      <c r="AA423" s="377"/>
      <c r="AB423" s="378" t="s">
        <v>19</v>
      </c>
      <c r="AC423" s="528" t="s">
        <v>35</v>
      </c>
      <c r="AD423" s="347" t="s">
        <v>36</v>
      </c>
      <c r="AE423" s="347" t="s">
        <v>37</v>
      </c>
      <c r="AF423" s="340" t="s">
        <v>38</v>
      </c>
    </row>
    <row r="424" spans="1:32" s="597" customFormat="1" ht="18" customHeight="1" x14ac:dyDescent="0.2">
      <c r="A424" s="2687"/>
      <c r="B424" s="366" t="s">
        <v>23</v>
      </c>
      <c r="C424" s="2687"/>
      <c r="D424" s="366" t="s">
        <v>24</v>
      </c>
      <c r="E424" s="368" t="s">
        <v>25</v>
      </c>
      <c r="F424" s="2699"/>
      <c r="G424" s="2700"/>
      <c r="H424" s="2701"/>
      <c r="I424" s="366" t="s">
        <v>26</v>
      </c>
      <c r="J424" s="379" t="s">
        <v>15</v>
      </c>
      <c r="K424" s="380" t="s">
        <v>6</v>
      </c>
      <c r="L424" s="2680"/>
      <c r="M424" s="381" t="s">
        <v>27</v>
      </c>
      <c r="N424" s="381" t="s">
        <v>10</v>
      </c>
      <c r="O424" s="382" t="s">
        <v>10</v>
      </c>
      <c r="P424" s="383" t="s">
        <v>28</v>
      </c>
      <c r="Q424" s="384" t="s">
        <v>29</v>
      </c>
      <c r="R424" s="383" t="s">
        <v>15</v>
      </c>
      <c r="S424" s="385" t="s">
        <v>15</v>
      </c>
      <c r="T424" s="2684"/>
      <c r="U424" s="2685"/>
      <c r="V424" s="375" t="s">
        <v>30</v>
      </c>
      <c r="W424" s="376" t="s">
        <v>31</v>
      </c>
      <c r="X424" s="377" t="s">
        <v>30</v>
      </c>
      <c r="Y424" s="377" t="s">
        <v>32</v>
      </c>
      <c r="Z424" s="377" t="s">
        <v>7</v>
      </c>
      <c r="AA424" s="377" t="s">
        <v>33</v>
      </c>
      <c r="AB424" s="378" t="s">
        <v>34</v>
      </c>
      <c r="AC424" s="347" t="s">
        <v>58</v>
      </c>
      <c r="AD424" s="347" t="s">
        <v>59</v>
      </c>
      <c r="AE424" s="347" t="s">
        <v>59</v>
      </c>
      <c r="AF424" s="340" t="s">
        <v>60</v>
      </c>
    </row>
    <row r="425" spans="1:32" s="597" customFormat="1" ht="18" customHeight="1" x14ac:dyDescent="0.2">
      <c r="A425" s="2687"/>
      <c r="B425" s="366" t="s">
        <v>39</v>
      </c>
      <c r="C425" s="2687"/>
      <c r="D425" s="366" t="s">
        <v>40</v>
      </c>
      <c r="E425" s="368" t="s">
        <v>41</v>
      </c>
      <c r="F425" s="2686" t="s">
        <v>42</v>
      </c>
      <c r="G425" s="2686" t="s">
        <v>43</v>
      </c>
      <c r="H425" s="2688" t="s">
        <v>44</v>
      </c>
      <c r="I425" s="366" t="s">
        <v>45</v>
      </c>
      <c r="J425" s="379" t="s">
        <v>46</v>
      </c>
      <c r="K425" s="380" t="s">
        <v>47</v>
      </c>
      <c r="L425" s="2680"/>
      <c r="M425" s="381" t="s">
        <v>30</v>
      </c>
      <c r="N425" s="381" t="s">
        <v>30</v>
      </c>
      <c r="O425" s="382" t="s">
        <v>25</v>
      </c>
      <c r="P425" s="383" t="s">
        <v>30</v>
      </c>
      <c r="Q425" s="384" t="s">
        <v>48</v>
      </c>
      <c r="R425" s="383" t="s">
        <v>49</v>
      </c>
      <c r="S425" s="385" t="s">
        <v>30</v>
      </c>
      <c r="T425" s="386" t="s">
        <v>50</v>
      </c>
      <c r="U425" s="374" t="s">
        <v>13</v>
      </c>
      <c r="V425" s="375" t="s">
        <v>51</v>
      </c>
      <c r="W425" s="376" t="s">
        <v>52</v>
      </c>
      <c r="X425" s="377" t="s">
        <v>53</v>
      </c>
      <c r="Y425" s="377" t="s">
        <v>54</v>
      </c>
      <c r="Z425" s="377" t="s">
        <v>55</v>
      </c>
      <c r="AA425" s="377" t="s">
        <v>56</v>
      </c>
      <c r="AB425" s="378" t="s">
        <v>57</v>
      </c>
      <c r="AC425" s="347" t="s">
        <v>59</v>
      </c>
      <c r="AD425" s="347"/>
      <c r="AE425" s="347"/>
      <c r="AF425" s="340" t="s">
        <v>59</v>
      </c>
    </row>
    <row r="426" spans="1:32" s="597" customFormat="1" ht="18" customHeight="1" x14ac:dyDescent="0.2">
      <c r="A426" s="2687"/>
      <c r="B426" s="366" t="s">
        <v>61</v>
      </c>
      <c r="C426" s="2687"/>
      <c r="D426" s="366" t="s">
        <v>62</v>
      </c>
      <c r="E426" s="368" t="s">
        <v>63</v>
      </c>
      <c r="F426" s="2687"/>
      <c r="G426" s="2687"/>
      <c r="H426" s="2689"/>
      <c r="I426" s="366" t="s">
        <v>64</v>
      </c>
      <c r="J426" s="379" t="s">
        <v>59</v>
      </c>
      <c r="K426" s="380" t="s">
        <v>59</v>
      </c>
      <c r="L426" s="2680"/>
      <c r="M426" s="381"/>
      <c r="N426" s="381"/>
      <c r="O426" s="382" t="s">
        <v>41</v>
      </c>
      <c r="P426" s="383" t="s">
        <v>65</v>
      </c>
      <c r="Q426" s="384" t="s">
        <v>66</v>
      </c>
      <c r="R426" s="383" t="s">
        <v>67</v>
      </c>
      <c r="S426" s="385" t="s">
        <v>59</v>
      </c>
      <c r="T426" s="387" t="s">
        <v>68</v>
      </c>
      <c r="U426" s="375" t="s">
        <v>14</v>
      </c>
      <c r="V426" s="375" t="s">
        <v>14</v>
      </c>
      <c r="W426" s="376" t="s">
        <v>30</v>
      </c>
      <c r="X426" s="388" t="s">
        <v>69</v>
      </c>
      <c r="Y426" s="388" t="s">
        <v>70</v>
      </c>
      <c r="Z426" s="377" t="s">
        <v>71</v>
      </c>
      <c r="AA426" s="377" t="s">
        <v>72</v>
      </c>
      <c r="AB426" s="378" t="s">
        <v>59</v>
      </c>
      <c r="AC426" s="348"/>
      <c r="AD426" s="348"/>
      <c r="AE426" s="348"/>
      <c r="AF426" s="341"/>
    </row>
    <row r="427" spans="1:32" s="597" customFormat="1" ht="18" customHeight="1" x14ac:dyDescent="0.2">
      <c r="A427" s="2692"/>
      <c r="B427" s="390"/>
      <c r="C427" s="2692"/>
      <c r="D427" s="390"/>
      <c r="E427" s="389"/>
      <c r="F427" s="390"/>
      <c r="G427" s="390"/>
      <c r="H427" s="391"/>
      <c r="I427" s="389"/>
      <c r="J427" s="392"/>
      <c r="K427" s="393"/>
      <c r="L427" s="2681"/>
      <c r="M427" s="394"/>
      <c r="N427" s="394"/>
      <c r="O427" s="394" t="s">
        <v>63</v>
      </c>
      <c r="P427" s="395"/>
      <c r="Q427" s="396" t="s">
        <v>72</v>
      </c>
      <c r="R427" s="397" t="s">
        <v>59</v>
      </c>
      <c r="S427" s="398"/>
      <c r="T427" s="397" t="s">
        <v>73</v>
      </c>
      <c r="U427" s="398" t="s">
        <v>59</v>
      </c>
      <c r="V427" s="399" t="s">
        <v>59</v>
      </c>
      <c r="W427" s="400" t="s">
        <v>59</v>
      </c>
      <c r="X427" s="401" t="s">
        <v>59</v>
      </c>
      <c r="Y427" s="401" t="s">
        <v>59</v>
      </c>
      <c r="Z427" s="401" t="s">
        <v>59</v>
      </c>
      <c r="AA427" s="402"/>
      <c r="AB427" s="403"/>
      <c r="AC427" s="602"/>
      <c r="AD427" s="603">
        <f>AB428-AC427</f>
        <v>0</v>
      </c>
      <c r="AE427" s="603">
        <f>IF(AD427&lt;=0,0,AD427*25/100)</f>
        <v>0</v>
      </c>
      <c r="AF427" s="603">
        <f>IF(AC427+AE427&gt;AB428,AB428,AC427+AE427)</f>
        <v>0</v>
      </c>
    </row>
    <row r="428" spans="1:32" s="597" customFormat="1" ht="18" customHeight="1" x14ac:dyDescent="0.25">
      <c r="A428" s="16">
        <v>1</v>
      </c>
      <c r="B428" s="333">
        <v>20194</v>
      </c>
      <c r="C428" s="41">
        <v>271</v>
      </c>
      <c r="D428" s="41" t="s">
        <v>91</v>
      </c>
      <c r="E428" s="41">
        <v>1</v>
      </c>
      <c r="F428" s="41">
        <v>1</v>
      </c>
      <c r="G428" s="41">
        <v>2</v>
      </c>
      <c r="H428" s="267">
        <v>38</v>
      </c>
      <c r="I428" s="42">
        <f>F428*400+G428*100+H428</f>
        <v>638</v>
      </c>
      <c r="J428" s="23">
        <v>430</v>
      </c>
      <c r="K428" s="39">
        <f>SUM(I428*J428)</f>
        <v>274340</v>
      </c>
      <c r="L428" s="45"/>
      <c r="M428" s="61"/>
      <c r="N428" s="50"/>
      <c r="O428" s="50">
        <v>1</v>
      </c>
      <c r="P428" s="19"/>
      <c r="Q428" s="62"/>
      <c r="R428" s="260"/>
      <c r="S428" s="18"/>
      <c r="T428" s="20"/>
      <c r="U428" s="47"/>
      <c r="V428" s="47"/>
      <c r="W428" s="18">
        <f t="shared" ref="W428:W439" si="13">K428+V428</f>
        <v>274340</v>
      </c>
      <c r="X428" s="47">
        <f t="shared" ref="X428:X439" si="14">W428</f>
        <v>274340</v>
      </c>
      <c r="Y428" s="18" t="s">
        <v>87</v>
      </c>
      <c r="Z428" s="18">
        <v>0</v>
      </c>
      <c r="AA428" s="264">
        <v>0.01</v>
      </c>
      <c r="AB428" s="406">
        <f t="shared" ref="AB428:AB439" si="15">+Z428*AA428/100</f>
        <v>0</v>
      </c>
      <c r="AC428" s="603"/>
      <c r="AD428" s="603"/>
      <c r="AE428" s="603"/>
      <c r="AF428" s="603"/>
    </row>
    <row r="429" spans="1:32" s="597" customFormat="1" ht="18" customHeight="1" x14ac:dyDescent="0.25">
      <c r="A429" s="45">
        <v>2</v>
      </c>
      <c r="B429" s="273">
        <v>20196</v>
      </c>
      <c r="C429" s="27">
        <v>273</v>
      </c>
      <c r="D429" s="27" t="s">
        <v>91</v>
      </c>
      <c r="E429" s="27">
        <v>1</v>
      </c>
      <c r="F429" s="27">
        <v>1</v>
      </c>
      <c r="G429" s="27">
        <v>1</v>
      </c>
      <c r="H429" s="557">
        <v>92</v>
      </c>
      <c r="I429" s="18">
        <f>F429*400+G429*100+H429</f>
        <v>592</v>
      </c>
      <c r="J429" s="23">
        <v>430</v>
      </c>
      <c r="K429" s="39">
        <f>SUM(I429*J429)</f>
        <v>254560</v>
      </c>
      <c r="L429" s="45"/>
      <c r="M429" s="61"/>
      <c r="N429" s="50"/>
      <c r="O429" s="50">
        <v>1</v>
      </c>
      <c r="P429" s="19"/>
      <c r="Q429" s="62"/>
      <c r="R429" s="260"/>
      <c r="S429" s="18"/>
      <c r="T429" s="20"/>
      <c r="U429" s="47"/>
      <c r="V429" s="47"/>
      <c r="W429" s="18">
        <f t="shared" si="13"/>
        <v>254560</v>
      </c>
      <c r="X429" s="47">
        <f t="shared" si="14"/>
        <v>254560</v>
      </c>
      <c r="Y429" s="18" t="s">
        <v>87</v>
      </c>
      <c r="Z429" s="18">
        <v>0</v>
      </c>
      <c r="AA429" s="264">
        <v>0.01</v>
      </c>
      <c r="AB429" s="415">
        <f t="shared" si="15"/>
        <v>0</v>
      </c>
      <c r="AC429" s="353"/>
      <c r="AD429" s="353"/>
      <c r="AE429" s="353"/>
      <c r="AF429" s="353"/>
    </row>
    <row r="430" spans="1:32" s="1030" customFormat="1" ht="18" customHeight="1" x14ac:dyDescent="0.25">
      <c r="A430" s="2279">
        <v>3</v>
      </c>
      <c r="B430" s="2280">
        <v>20967</v>
      </c>
      <c r="C430" s="2281">
        <v>283</v>
      </c>
      <c r="D430" s="2281" t="s">
        <v>91</v>
      </c>
      <c r="E430" s="2281">
        <v>2</v>
      </c>
      <c r="F430" s="2281">
        <v>2</v>
      </c>
      <c r="G430" s="2281">
        <v>3</v>
      </c>
      <c r="H430" s="2282">
        <v>36</v>
      </c>
      <c r="I430" s="2283">
        <f>F430*400+G430*100+H430</f>
        <v>1136</v>
      </c>
      <c r="J430" s="2284">
        <v>1300</v>
      </c>
      <c r="K430" s="2285">
        <f>SUM(I430*J430)</f>
        <v>1476800</v>
      </c>
      <c r="L430" s="2279">
        <v>1</v>
      </c>
      <c r="M430" s="2286">
        <v>103</v>
      </c>
      <c r="N430" s="2287" t="s">
        <v>74</v>
      </c>
      <c r="O430" s="2287">
        <v>2</v>
      </c>
      <c r="P430" s="2288">
        <f>24.36*19.13</f>
        <v>466.00679999999994</v>
      </c>
      <c r="Q430" s="2289" t="s">
        <v>75</v>
      </c>
      <c r="R430" s="2290">
        <v>9050</v>
      </c>
      <c r="S430" s="2283">
        <f>+P430*R430</f>
        <v>4217361.5399999991</v>
      </c>
      <c r="T430" s="2291">
        <v>18</v>
      </c>
      <c r="U430" s="2292">
        <f>+S430*26/100</f>
        <v>1096514.0003999998</v>
      </c>
      <c r="V430" s="2293">
        <f>+S430-U430</f>
        <v>3120847.5395999993</v>
      </c>
      <c r="W430" s="2283">
        <f t="shared" si="13"/>
        <v>4597647.5395999998</v>
      </c>
      <c r="X430" s="2293">
        <f t="shared" si="14"/>
        <v>4597647.5395999998</v>
      </c>
      <c r="Y430" s="2283" t="s">
        <v>87</v>
      </c>
      <c r="Z430" s="2283">
        <v>0</v>
      </c>
      <c r="AA430" s="2294">
        <v>0.02</v>
      </c>
      <c r="AB430" s="2295">
        <f t="shared" si="15"/>
        <v>0</v>
      </c>
      <c r="AC430" s="2296"/>
      <c r="AD430" s="2296"/>
      <c r="AE430" s="2296"/>
      <c r="AF430" s="2296"/>
    </row>
    <row r="431" spans="1:32" s="1030" customFormat="1" ht="18" customHeight="1" x14ac:dyDescent="0.25">
      <c r="A431" s="2287"/>
      <c r="B431" s="2280"/>
      <c r="C431" s="2281"/>
      <c r="D431" s="2281"/>
      <c r="E431" s="2281"/>
      <c r="F431" s="2281"/>
      <c r="G431" s="2281"/>
      <c r="H431" s="2282"/>
      <c r="I431" s="2283"/>
      <c r="J431" s="2284"/>
      <c r="K431" s="2285"/>
      <c r="L431" s="2279">
        <v>2</v>
      </c>
      <c r="M431" s="2286">
        <v>103</v>
      </c>
      <c r="N431" s="2287" t="s">
        <v>74</v>
      </c>
      <c r="O431" s="2287">
        <v>2</v>
      </c>
      <c r="P431" s="2288">
        <f>27.8*18.21</f>
        <v>506.23800000000006</v>
      </c>
      <c r="Q431" s="2289" t="s">
        <v>75</v>
      </c>
      <c r="R431" s="2290">
        <v>9050</v>
      </c>
      <c r="S431" s="2283">
        <f>+P431*R431</f>
        <v>4581453.9000000004</v>
      </c>
      <c r="T431" s="2291">
        <v>18</v>
      </c>
      <c r="U431" s="2292">
        <f>+S431*26/100</f>
        <v>1191178.014</v>
      </c>
      <c r="V431" s="2293">
        <f>+S431-U431</f>
        <v>3390275.8860000004</v>
      </c>
      <c r="W431" s="2283">
        <f t="shared" si="13"/>
        <v>3390275.8860000004</v>
      </c>
      <c r="X431" s="2293">
        <f t="shared" si="14"/>
        <v>3390275.8860000004</v>
      </c>
      <c r="Y431" s="2283"/>
      <c r="Z431" s="2283">
        <f>X431</f>
        <v>3390275.8860000004</v>
      </c>
      <c r="AA431" s="2294">
        <v>0.02</v>
      </c>
      <c r="AB431" s="2295">
        <f t="shared" si="15"/>
        <v>678.0551772</v>
      </c>
      <c r="AC431" s="2297"/>
      <c r="AD431" s="2297"/>
      <c r="AE431" s="2297"/>
      <c r="AF431" s="2297"/>
    </row>
    <row r="432" spans="1:32" s="1030" customFormat="1" ht="18" customHeight="1" x14ac:dyDescent="0.25">
      <c r="A432" s="2287"/>
      <c r="B432" s="2280"/>
      <c r="C432" s="2281"/>
      <c r="D432" s="2281"/>
      <c r="E432" s="2281"/>
      <c r="F432" s="2281"/>
      <c r="G432" s="2281"/>
      <c r="H432" s="2282"/>
      <c r="I432" s="2283"/>
      <c r="J432" s="2284"/>
      <c r="K432" s="2285"/>
      <c r="L432" s="2279">
        <v>3</v>
      </c>
      <c r="M432" s="2286">
        <v>504</v>
      </c>
      <c r="N432" s="2287" t="s">
        <v>74</v>
      </c>
      <c r="O432" s="2287">
        <v>2</v>
      </c>
      <c r="P432" s="2288">
        <f>14*9.5</f>
        <v>133</v>
      </c>
      <c r="Q432" s="2289" t="s">
        <v>75</v>
      </c>
      <c r="R432" s="2290">
        <v>3100</v>
      </c>
      <c r="S432" s="2283">
        <f>+P432*R432</f>
        <v>412300</v>
      </c>
      <c r="T432" s="2291">
        <v>8</v>
      </c>
      <c r="U432" s="2292">
        <f>+S432*8/100</f>
        <v>32984</v>
      </c>
      <c r="V432" s="2293">
        <f>+S432-U432</f>
        <v>379316</v>
      </c>
      <c r="W432" s="2283">
        <f t="shared" si="13"/>
        <v>379316</v>
      </c>
      <c r="X432" s="2293">
        <f t="shared" si="14"/>
        <v>379316</v>
      </c>
      <c r="Y432" s="2283"/>
      <c r="Z432" s="2283">
        <f>+X432</f>
        <v>379316</v>
      </c>
      <c r="AA432" s="2294">
        <v>0.02</v>
      </c>
      <c r="AB432" s="2295">
        <f t="shared" si="15"/>
        <v>75.863199999999992</v>
      </c>
      <c r="AC432" s="2298"/>
      <c r="AD432" s="2299"/>
      <c r="AE432" s="2299"/>
      <c r="AF432" s="2299"/>
    </row>
    <row r="433" spans="1:32" s="1030" customFormat="1" ht="18" customHeight="1" x14ac:dyDescent="0.25">
      <c r="A433" s="2287"/>
      <c r="B433" s="2280"/>
      <c r="C433" s="2281"/>
      <c r="D433" s="2281"/>
      <c r="E433" s="2281"/>
      <c r="F433" s="2281"/>
      <c r="G433" s="2281"/>
      <c r="H433" s="2282"/>
      <c r="I433" s="2283"/>
      <c r="J433" s="2284"/>
      <c r="K433" s="2285"/>
      <c r="L433" s="2279">
        <v>4</v>
      </c>
      <c r="M433" s="2286">
        <v>504</v>
      </c>
      <c r="N433" s="2287" t="s">
        <v>74</v>
      </c>
      <c r="O433" s="2287">
        <v>2</v>
      </c>
      <c r="P433" s="2288">
        <f>16.75*7.9</f>
        <v>132.32500000000002</v>
      </c>
      <c r="Q433" s="2289" t="s">
        <v>75</v>
      </c>
      <c r="R433" s="2290">
        <v>3100</v>
      </c>
      <c r="S433" s="2283">
        <f>+P433*R433</f>
        <v>410207.50000000006</v>
      </c>
      <c r="T433" s="2291">
        <v>8</v>
      </c>
      <c r="U433" s="2292">
        <f>+S433*8/100</f>
        <v>32816.600000000006</v>
      </c>
      <c r="V433" s="2293">
        <f>+S433-U433</f>
        <v>377390.9</v>
      </c>
      <c r="W433" s="2283">
        <f t="shared" si="13"/>
        <v>377390.9</v>
      </c>
      <c r="X433" s="2293">
        <f t="shared" si="14"/>
        <v>377390.9</v>
      </c>
      <c r="Y433" s="2283"/>
      <c r="Z433" s="2283">
        <f>+X433</f>
        <v>377390.9</v>
      </c>
      <c r="AA433" s="2294">
        <v>0.02</v>
      </c>
      <c r="AB433" s="2295">
        <f t="shared" si="15"/>
        <v>75.478180000000009</v>
      </c>
      <c r="AC433" s="2297"/>
      <c r="AD433" s="2297"/>
      <c r="AE433" s="2297"/>
      <c r="AF433" s="2297"/>
    </row>
    <row r="434" spans="1:32" s="597" customFormat="1" ht="18" customHeight="1" x14ac:dyDescent="0.25">
      <c r="A434" s="50">
        <v>4</v>
      </c>
      <c r="B434" s="273">
        <v>28425</v>
      </c>
      <c r="C434" s="27">
        <v>469</v>
      </c>
      <c r="D434" s="27" t="s">
        <v>91</v>
      </c>
      <c r="E434" s="27">
        <v>2</v>
      </c>
      <c r="F434" s="27">
        <v>1</v>
      </c>
      <c r="G434" s="27">
        <v>1</v>
      </c>
      <c r="H434" s="557">
        <v>36</v>
      </c>
      <c r="I434" s="18">
        <f t="shared" ref="I434:I439" si="16">F434*400+G434*100+H434</f>
        <v>536</v>
      </c>
      <c r="J434" s="23">
        <v>1700</v>
      </c>
      <c r="K434" s="39">
        <f t="shared" ref="K434:K439" si="17">SUM(I434*J434)</f>
        <v>911200</v>
      </c>
      <c r="L434" s="45">
        <v>5</v>
      </c>
      <c r="M434" s="61">
        <v>101</v>
      </c>
      <c r="N434" s="50" t="s">
        <v>82</v>
      </c>
      <c r="O434" s="50">
        <v>2</v>
      </c>
      <c r="P434" s="19">
        <f>10*6.5</f>
        <v>65</v>
      </c>
      <c r="Q434" s="62" t="s">
        <v>75</v>
      </c>
      <c r="R434" s="260">
        <v>7700</v>
      </c>
      <c r="S434" s="18">
        <f>+P434*R434</f>
        <v>500500</v>
      </c>
      <c r="T434" s="1469">
        <v>35</v>
      </c>
      <c r="U434" s="1664">
        <f>+S434*93/100</f>
        <v>465465</v>
      </c>
      <c r="V434" s="47">
        <f>+S434-U434</f>
        <v>35035</v>
      </c>
      <c r="W434" s="18">
        <f t="shared" si="13"/>
        <v>946235</v>
      </c>
      <c r="X434" s="47">
        <f t="shared" si="14"/>
        <v>946235</v>
      </c>
      <c r="Y434" s="18"/>
      <c r="Z434" s="18">
        <f>+X434</f>
        <v>946235</v>
      </c>
      <c r="AA434" s="264">
        <v>0.02</v>
      </c>
      <c r="AB434" s="415">
        <f t="shared" si="15"/>
        <v>189.24700000000001</v>
      </c>
      <c r="AC434" s="350"/>
      <c r="AD434" s="350"/>
      <c r="AE434" s="350"/>
      <c r="AF434" s="350"/>
    </row>
    <row r="435" spans="1:32" s="597" customFormat="1" ht="18" customHeight="1" x14ac:dyDescent="0.25">
      <c r="A435" s="269">
        <v>5</v>
      </c>
      <c r="B435" s="273">
        <v>25289</v>
      </c>
      <c r="C435" s="27">
        <v>997</v>
      </c>
      <c r="D435" s="27" t="s">
        <v>86</v>
      </c>
      <c r="E435" s="27">
        <v>1</v>
      </c>
      <c r="F435" s="27">
        <v>0</v>
      </c>
      <c r="G435" s="27">
        <v>0</v>
      </c>
      <c r="H435" s="557">
        <v>64</v>
      </c>
      <c r="I435" s="30">
        <f t="shared" si="16"/>
        <v>64</v>
      </c>
      <c r="J435" s="23">
        <v>1100</v>
      </c>
      <c r="K435" s="39">
        <f t="shared" si="17"/>
        <v>70400</v>
      </c>
      <c r="L435" s="45"/>
      <c r="M435" s="61"/>
      <c r="N435" s="50"/>
      <c r="O435" s="50">
        <v>1</v>
      </c>
      <c r="P435" s="19"/>
      <c r="Q435" s="62"/>
      <c r="R435" s="260"/>
      <c r="S435" s="18"/>
      <c r="T435" s="20"/>
      <c r="U435" s="47"/>
      <c r="V435" s="47"/>
      <c r="W435" s="18">
        <f t="shared" si="13"/>
        <v>70400</v>
      </c>
      <c r="X435" s="47">
        <f t="shared" si="14"/>
        <v>70400</v>
      </c>
      <c r="Y435" s="18" t="s">
        <v>87</v>
      </c>
      <c r="Z435" s="18">
        <v>0</v>
      </c>
      <c r="AA435" s="264">
        <v>0.01</v>
      </c>
      <c r="AB435" s="415">
        <f t="shared" si="15"/>
        <v>0</v>
      </c>
      <c r="AC435" s="350"/>
      <c r="AD435" s="350"/>
      <c r="AE435" s="350"/>
      <c r="AF435" s="350"/>
    </row>
    <row r="436" spans="1:32" s="597" customFormat="1" ht="18" customHeight="1" x14ac:dyDescent="0.25">
      <c r="A436" s="269">
        <v>6</v>
      </c>
      <c r="B436" s="287">
        <v>25287</v>
      </c>
      <c r="C436" s="15">
        <v>975</v>
      </c>
      <c r="D436" s="15" t="s">
        <v>86</v>
      </c>
      <c r="E436" s="15">
        <v>1</v>
      </c>
      <c r="F436" s="15">
        <v>0</v>
      </c>
      <c r="G436" s="15">
        <v>0</v>
      </c>
      <c r="H436" s="284">
        <v>60</v>
      </c>
      <c r="I436" s="18">
        <f t="shared" si="16"/>
        <v>60</v>
      </c>
      <c r="J436" s="23">
        <v>1100</v>
      </c>
      <c r="K436" s="39">
        <f t="shared" si="17"/>
        <v>66000</v>
      </c>
      <c r="L436" s="45"/>
      <c r="M436" s="61"/>
      <c r="N436" s="50"/>
      <c r="O436" s="50">
        <v>1</v>
      </c>
      <c r="P436" s="19"/>
      <c r="Q436" s="62"/>
      <c r="R436" s="260"/>
      <c r="S436" s="18"/>
      <c r="T436" s="20"/>
      <c r="U436" s="47"/>
      <c r="V436" s="47"/>
      <c r="W436" s="18">
        <f t="shared" si="13"/>
        <v>66000</v>
      </c>
      <c r="X436" s="47">
        <f t="shared" si="14"/>
        <v>66000</v>
      </c>
      <c r="Y436" s="18" t="s">
        <v>87</v>
      </c>
      <c r="Z436" s="18">
        <v>0</v>
      </c>
      <c r="AA436" s="264">
        <v>0.01</v>
      </c>
      <c r="AB436" s="415">
        <f t="shared" si="15"/>
        <v>0</v>
      </c>
      <c r="AC436" s="350"/>
      <c r="AD436" s="350"/>
      <c r="AE436" s="350"/>
      <c r="AF436" s="350"/>
    </row>
    <row r="437" spans="1:32" s="597" customFormat="1" ht="18" customHeight="1" x14ac:dyDescent="0.25">
      <c r="A437" s="269">
        <v>7</v>
      </c>
      <c r="B437" s="287">
        <v>25291</v>
      </c>
      <c r="C437" s="15">
        <v>979</v>
      </c>
      <c r="D437" s="15" t="s">
        <v>86</v>
      </c>
      <c r="E437" s="15">
        <v>1</v>
      </c>
      <c r="F437" s="15">
        <v>0</v>
      </c>
      <c r="G437" s="15">
        <v>1</v>
      </c>
      <c r="H437" s="284">
        <v>28</v>
      </c>
      <c r="I437" s="18">
        <f t="shared" si="16"/>
        <v>128</v>
      </c>
      <c r="J437" s="23">
        <v>1100</v>
      </c>
      <c r="K437" s="39">
        <f t="shared" si="17"/>
        <v>140800</v>
      </c>
      <c r="L437" s="45"/>
      <c r="M437" s="61"/>
      <c r="N437" s="50"/>
      <c r="O437" s="50">
        <v>1</v>
      </c>
      <c r="P437" s="19"/>
      <c r="Q437" s="62"/>
      <c r="R437" s="260"/>
      <c r="S437" s="18"/>
      <c r="T437" s="20"/>
      <c r="U437" s="47"/>
      <c r="V437" s="47"/>
      <c r="W437" s="18">
        <f t="shared" si="13"/>
        <v>140800</v>
      </c>
      <c r="X437" s="47">
        <f t="shared" si="14"/>
        <v>140800</v>
      </c>
      <c r="Y437" s="18" t="s">
        <v>87</v>
      </c>
      <c r="Z437" s="18">
        <v>0</v>
      </c>
      <c r="AA437" s="264">
        <v>0.01</v>
      </c>
      <c r="AB437" s="415">
        <f t="shared" si="15"/>
        <v>0</v>
      </c>
      <c r="AC437" s="350"/>
      <c r="AD437" s="350"/>
      <c r="AE437" s="350"/>
      <c r="AF437" s="350"/>
    </row>
    <row r="438" spans="1:32" s="597" customFormat="1" ht="18" customHeight="1" x14ac:dyDescent="0.25">
      <c r="A438" s="269">
        <v>8</v>
      </c>
      <c r="B438" s="289">
        <v>22364</v>
      </c>
      <c r="C438" s="796">
        <v>259</v>
      </c>
      <c r="D438" s="15" t="s">
        <v>84</v>
      </c>
      <c r="E438" s="273">
        <v>1</v>
      </c>
      <c r="F438" s="268">
        <v>2</v>
      </c>
      <c r="G438" s="269">
        <v>3</v>
      </c>
      <c r="H438" s="266">
        <v>39</v>
      </c>
      <c r="I438" s="18">
        <f t="shared" si="16"/>
        <v>1139</v>
      </c>
      <c r="J438" s="261">
        <v>430</v>
      </c>
      <c r="K438" s="262">
        <f t="shared" si="17"/>
        <v>489770</v>
      </c>
      <c r="L438" s="269"/>
      <c r="M438" s="242"/>
      <c r="N438" s="269"/>
      <c r="O438" s="50">
        <v>1</v>
      </c>
      <c r="P438" s="266"/>
      <c r="Q438" s="285"/>
      <c r="R438" s="436"/>
      <c r="S438" s="282"/>
      <c r="T438" s="286"/>
      <c r="U438" s="282"/>
      <c r="V438" s="282"/>
      <c r="W438" s="18">
        <f t="shared" si="13"/>
        <v>489770</v>
      </c>
      <c r="X438" s="47">
        <f t="shared" si="14"/>
        <v>489770</v>
      </c>
      <c r="Y438" s="18" t="s">
        <v>87</v>
      </c>
      <c r="Z438" s="18">
        <v>0</v>
      </c>
      <c r="AA438" s="264">
        <v>0.01</v>
      </c>
      <c r="AB438" s="415">
        <f t="shared" si="15"/>
        <v>0</v>
      </c>
      <c r="AC438" s="350"/>
      <c r="AD438" s="350"/>
      <c r="AE438" s="350"/>
      <c r="AF438" s="350"/>
    </row>
    <row r="439" spans="1:32" s="597" customFormat="1" ht="18" customHeight="1" x14ac:dyDescent="0.25">
      <c r="A439" s="269">
        <v>9</v>
      </c>
      <c r="B439" s="289">
        <v>54030</v>
      </c>
      <c r="C439" s="796">
        <v>907</v>
      </c>
      <c r="D439" s="15" t="s">
        <v>91</v>
      </c>
      <c r="E439" s="273">
        <v>1</v>
      </c>
      <c r="F439" s="268">
        <v>1</v>
      </c>
      <c r="G439" s="269"/>
      <c r="H439" s="266">
        <v>47.3</v>
      </c>
      <c r="I439" s="18">
        <f t="shared" si="16"/>
        <v>447.3</v>
      </c>
      <c r="J439" s="261">
        <v>430</v>
      </c>
      <c r="K439" s="262">
        <f t="shared" si="17"/>
        <v>192339</v>
      </c>
      <c r="L439" s="269"/>
      <c r="M439" s="242"/>
      <c r="N439" s="269"/>
      <c r="O439" s="50">
        <v>1</v>
      </c>
      <c r="P439" s="266"/>
      <c r="Q439" s="285"/>
      <c r="R439" s="436"/>
      <c r="S439" s="282"/>
      <c r="T439" s="286"/>
      <c r="U439" s="282"/>
      <c r="V439" s="282"/>
      <c r="W439" s="18">
        <f t="shared" si="13"/>
        <v>192339</v>
      </c>
      <c r="X439" s="47">
        <f t="shared" si="14"/>
        <v>192339</v>
      </c>
      <c r="Y439" s="18" t="s">
        <v>87</v>
      </c>
      <c r="Z439" s="18">
        <v>0</v>
      </c>
      <c r="AA439" s="264">
        <v>0.01</v>
      </c>
      <c r="AB439" s="415">
        <f t="shared" si="15"/>
        <v>0</v>
      </c>
      <c r="AC439" s="350"/>
      <c r="AD439" s="350"/>
      <c r="AE439" s="350"/>
      <c r="AF439" s="350"/>
    </row>
    <row r="440" spans="1:32" s="597" customFormat="1" ht="18" customHeight="1" x14ac:dyDescent="0.2">
      <c r="A440" s="145"/>
      <c r="B440" s="177"/>
      <c r="C440" s="177"/>
      <c r="D440" s="145"/>
      <c r="E440" s="145"/>
      <c r="F440" s="145"/>
      <c r="G440" s="145"/>
      <c r="H440" s="147"/>
      <c r="I440" s="107"/>
      <c r="J440" s="178"/>
      <c r="K440" s="107"/>
      <c r="L440" s="145"/>
      <c r="M440" s="145"/>
      <c r="N440" s="145"/>
      <c r="O440" s="145"/>
      <c r="P440" s="147"/>
      <c r="Q440" s="148"/>
      <c r="R440" s="437"/>
      <c r="S440" s="107"/>
      <c r="T440" s="179"/>
      <c r="U440" s="178"/>
      <c r="V440" s="107"/>
      <c r="W440" s="107"/>
      <c r="X440" s="470"/>
      <c r="Y440" s="470"/>
      <c r="Z440" s="471"/>
      <c r="AA440" s="471"/>
      <c r="AB440" s="466"/>
      <c r="AC440" s="350"/>
      <c r="AD440" s="350"/>
      <c r="AE440" s="350"/>
      <c r="AF440" s="350"/>
    </row>
    <row r="441" spans="1:32" s="597" customFormat="1" ht="18" customHeight="1" x14ac:dyDescent="0.2">
      <c r="A441" s="145"/>
      <c r="B441" s="177"/>
      <c r="C441" s="177"/>
      <c r="D441" s="145"/>
      <c r="E441" s="145"/>
      <c r="F441" s="145"/>
      <c r="G441" s="145"/>
      <c r="H441" s="147"/>
      <c r="I441" s="107"/>
      <c r="J441" s="178"/>
      <c r="K441" s="107"/>
      <c r="L441" s="145"/>
      <c r="M441" s="145"/>
      <c r="N441" s="145"/>
      <c r="O441" s="145"/>
      <c r="P441" s="147"/>
      <c r="Q441" s="148"/>
      <c r="R441" s="437"/>
      <c r="S441" s="107"/>
      <c r="T441" s="179"/>
      <c r="U441" s="178"/>
      <c r="V441" s="107"/>
      <c r="W441" s="107"/>
      <c r="X441" s="470"/>
      <c r="Y441" s="470"/>
      <c r="Z441" s="471"/>
      <c r="AA441" s="471"/>
      <c r="AB441" s="466"/>
      <c r="AC441" s="351"/>
      <c r="AD441" s="351"/>
      <c r="AE441" s="351"/>
      <c r="AF441" s="351"/>
    </row>
    <row r="442" spans="1:32" s="597" customFormat="1" ht="18" customHeight="1" x14ac:dyDescent="0.2">
      <c r="A442" s="88"/>
      <c r="B442" s="180"/>
      <c r="C442" s="180"/>
      <c r="D442" s="88"/>
      <c r="E442" s="88"/>
      <c r="F442" s="88"/>
      <c r="G442" s="88"/>
      <c r="H442" s="120"/>
      <c r="I442" s="121"/>
      <c r="J442" s="181"/>
      <c r="K442" s="121"/>
      <c r="L442" s="88"/>
      <c r="M442" s="88"/>
      <c r="N442" s="88"/>
      <c r="O442" s="88"/>
      <c r="P442" s="88"/>
      <c r="Q442" s="129"/>
      <c r="R442" s="445"/>
      <c r="S442" s="121"/>
      <c r="T442" s="182"/>
      <c r="U442" s="181"/>
      <c r="V442" s="121"/>
      <c r="W442" s="121"/>
      <c r="X442" s="472"/>
      <c r="Y442" s="472"/>
      <c r="Z442" s="473"/>
      <c r="AA442" s="473"/>
      <c r="AB442" s="410"/>
      <c r="AC442" s="349"/>
      <c r="AD442" s="349"/>
      <c r="AE442" s="349"/>
      <c r="AF442" s="349"/>
    </row>
    <row r="443" spans="1:32" s="597" customFormat="1" ht="18" customHeight="1" x14ac:dyDescent="0.2">
      <c r="A443" s="1850"/>
      <c r="B443" s="1850"/>
      <c r="C443" s="1850"/>
      <c r="D443" s="1850"/>
      <c r="E443" s="1850"/>
      <c r="F443" s="1850"/>
      <c r="G443" s="1850"/>
      <c r="H443" s="1851"/>
      <c r="I443" s="1852"/>
      <c r="J443" s="1853"/>
      <c r="K443" s="1852"/>
      <c r="L443" s="1852"/>
      <c r="M443" s="1852"/>
      <c r="N443" s="1852"/>
      <c r="O443" s="1852"/>
      <c r="P443" s="1852"/>
      <c r="Q443" s="1852"/>
      <c r="R443" s="1854"/>
      <c r="S443" s="1852"/>
      <c r="T443" s="1855"/>
      <c r="U443" s="1853"/>
      <c r="V443" s="1852"/>
      <c r="W443" s="1852"/>
      <c r="X443" s="1856"/>
      <c r="Y443" s="1856"/>
      <c r="Z443" s="1857"/>
      <c r="AA443" s="1857"/>
      <c r="AB443" s="1847">
        <f>SUM(AB428:AB442)</f>
        <v>1018.6435572</v>
      </c>
    </row>
    <row r="444" spans="1:32" s="597" customFormat="1" ht="18" customHeight="1" x14ac:dyDescent="0.2">
      <c r="A444" s="2690" t="s">
        <v>76</v>
      </c>
      <c r="B444" s="2690"/>
      <c r="C444" s="2691" t="s">
        <v>77</v>
      </c>
      <c r="D444" s="2691"/>
      <c r="E444" s="2691"/>
      <c r="F444" s="2691"/>
      <c r="G444" s="2691"/>
      <c r="H444" s="2691"/>
      <c r="I444" s="604" t="s">
        <v>78</v>
      </c>
      <c r="J444" s="604"/>
      <c r="K444" s="604"/>
      <c r="L444" s="604"/>
      <c r="M444" s="604"/>
      <c r="N444" s="604"/>
      <c r="AB444" s="598"/>
    </row>
    <row r="445" spans="1:32" s="597" customFormat="1" ht="18" customHeight="1" x14ac:dyDescent="0.2">
      <c r="A445" s="604"/>
      <c r="B445" s="605"/>
      <c r="C445" s="604"/>
      <c r="D445" s="604"/>
      <c r="E445" s="604"/>
      <c r="F445" s="604"/>
      <c r="G445" s="604"/>
      <c r="H445" s="604"/>
      <c r="I445" s="604" t="s">
        <v>79</v>
      </c>
      <c r="J445" s="604"/>
      <c r="K445" s="604"/>
      <c r="L445" s="604"/>
      <c r="M445" s="604"/>
      <c r="N445" s="604"/>
      <c r="AB445" s="598"/>
    </row>
    <row r="446" spans="1:32" s="597" customFormat="1" ht="18" customHeight="1" x14ac:dyDescent="0.2">
      <c r="A446" s="604"/>
      <c r="B446" s="605"/>
      <c r="C446" s="604"/>
      <c r="D446" s="604"/>
      <c r="E446" s="604"/>
      <c r="F446" s="604"/>
      <c r="G446" s="604"/>
      <c r="H446" s="604"/>
      <c r="I446" s="604" t="s">
        <v>80</v>
      </c>
      <c r="J446" s="604"/>
      <c r="K446" s="604"/>
      <c r="L446" s="604"/>
      <c r="M446" s="604"/>
      <c r="N446" s="604"/>
      <c r="AB446" s="598"/>
    </row>
    <row r="447" spans="1:32" s="597" customFormat="1" ht="18" customHeight="1" x14ac:dyDescent="0.2">
      <c r="A447" s="604"/>
      <c r="B447" s="605"/>
      <c r="C447" s="604"/>
      <c r="D447" s="604"/>
      <c r="E447" s="604"/>
      <c r="F447" s="604"/>
      <c r="G447" s="604"/>
      <c r="H447" s="604"/>
      <c r="I447" s="604" t="s">
        <v>81</v>
      </c>
      <c r="J447" s="604"/>
      <c r="K447" s="604"/>
      <c r="L447" s="604"/>
      <c r="M447" s="604"/>
      <c r="N447" s="604"/>
      <c r="AB447" s="598"/>
    </row>
    <row r="448" spans="1:32" s="597" customFormat="1" ht="18" customHeight="1" x14ac:dyDescent="0.2">
      <c r="A448" s="604"/>
      <c r="B448" s="605"/>
      <c r="C448" s="604"/>
      <c r="D448" s="604"/>
      <c r="E448" s="604"/>
      <c r="F448" s="604"/>
      <c r="G448" s="604"/>
      <c r="H448" s="604"/>
      <c r="I448" s="604" t="s">
        <v>88</v>
      </c>
      <c r="J448" s="604"/>
      <c r="K448" s="604"/>
      <c r="L448" s="604"/>
      <c r="M448" s="604"/>
      <c r="N448" s="604"/>
      <c r="AB448" s="598"/>
      <c r="AC448" s="339"/>
      <c r="AD448" s="339"/>
      <c r="AE448" s="339"/>
      <c r="AF448" s="339"/>
    </row>
    <row r="449" spans="1:32" s="597" customFormat="1" ht="18" customHeight="1" x14ac:dyDescent="0.2">
      <c r="A449" s="339"/>
      <c r="B449" s="339"/>
      <c r="C449" s="339"/>
      <c r="D449" s="339"/>
      <c r="E449" s="339"/>
      <c r="F449" s="339"/>
      <c r="G449" s="339"/>
      <c r="H449" s="339"/>
      <c r="I449" s="339"/>
      <c r="J449" s="339"/>
      <c r="K449" s="339"/>
      <c r="L449" s="339"/>
      <c r="M449" s="339"/>
      <c r="N449" s="339"/>
      <c r="O449" s="339"/>
      <c r="P449" s="339"/>
      <c r="Q449" s="339"/>
      <c r="R449" s="339"/>
      <c r="S449" s="339"/>
      <c r="T449" s="339"/>
      <c r="U449" s="339"/>
      <c r="V449" s="339"/>
      <c r="W449" s="339"/>
      <c r="X449" s="339"/>
      <c r="Y449" s="339"/>
      <c r="Z449" s="339"/>
      <c r="AA449" s="2702" t="s">
        <v>0</v>
      </c>
      <c r="AB449" s="2702"/>
      <c r="AC449" s="344"/>
      <c r="AD449" s="344"/>
      <c r="AE449" s="344"/>
      <c r="AF449" s="344"/>
    </row>
    <row r="450" spans="1:32" s="597" customFormat="1" ht="18" customHeight="1" x14ac:dyDescent="0.2">
      <c r="A450" s="2703" t="s">
        <v>1</v>
      </c>
      <c r="B450" s="2703"/>
      <c r="C450" s="2703"/>
      <c r="D450" s="2703"/>
      <c r="E450" s="2703"/>
      <c r="F450" s="2703"/>
      <c r="G450" s="2703"/>
      <c r="H450" s="2703"/>
      <c r="I450" s="2703"/>
      <c r="J450" s="2703"/>
      <c r="K450" s="2703"/>
      <c r="L450" s="2703"/>
      <c r="M450" s="2703"/>
      <c r="N450" s="2703"/>
      <c r="O450" s="2703"/>
      <c r="P450" s="2703"/>
      <c r="Q450" s="2703"/>
      <c r="R450" s="2703"/>
      <c r="S450" s="2703"/>
      <c r="T450" s="2703"/>
      <c r="U450" s="2703"/>
      <c r="V450" s="2703"/>
      <c r="W450" s="2703"/>
      <c r="X450" s="2703"/>
      <c r="Y450" s="2703"/>
      <c r="Z450" s="2703"/>
      <c r="AA450" s="2703"/>
      <c r="AB450" s="2703"/>
      <c r="AC450" s="599"/>
      <c r="AD450" s="599"/>
      <c r="AE450" s="599"/>
      <c r="AF450" s="599"/>
    </row>
    <row r="451" spans="1:32" s="597" customFormat="1" ht="18" customHeight="1" x14ac:dyDescent="0.2">
      <c r="A451" s="2704" t="s">
        <v>457</v>
      </c>
      <c r="B451" s="2704"/>
      <c r="C451" s="2704"/>
      <c r="D451" s="2704"/>
      <c r="E451" s="2704"/>
      <c r="F451" s="2704"/>
      <c r="G451" s="2704"/>
      <c r="H451" s="2704"/>
      <c r="I451" s="2704"/>
      <c r="J451" s="2704"/>
      <c r="K451" s="2704"/>
      <c r="L451" s="2704"/>
      <c r="M451" s="2704"/>
      <c r="N451" s="2704"/>
      <c r="O451" s="2704"/>
      <c r="P451" s="2704"/>
      <c r="Q451" s="2704"/>
      <c r="R451" s="2704"/>
      <c r="S451" s="2704"/>
      <c r="T451" s="2704"/>
      <c r="U451" s="2704"/>
      <c r="V451" s="2704"/>
      <c r="W451" s="2704"/>
      <c r="X451" s="2704"/>
      <c r="Y451" s="2704"/>
      <c r="Z451" s="2704"/>
      <c r="AA451" s="2704"/>
      <c r="AB451" s="2740"/>
      <c r="AC451" s="516" t="s">
        <v>8</v>
      </c>
      <c r="AD451" s="346"/>
      <c r="AE451" s="346"/>
      <c r="AF451" s="600"/>
    </row>
    <row r="452" spans="1:32" s="597" customFormat="1" ht="18" customHeight="1" x14ac:dyDescent="0.2">
      <c r="A452" s="2686" t="s">
        <v>2</v>
      </c>
      <c r="B452" s="360"/>
      <c r="C452" s="2686" t="s">
        <v>3</v>
      </c>
      <c r="D452" s="360"/>
      <c r="E452" s="360"/>
      <c r="F452" s="2693" t="s">
        <v>4</v>
      </c>
      <c r="G452" s="2693"/>
      <c r="H452" s="2693"/>
      <c r="I452" s="2694"/>
      <c r="J452" s="2694"/>
      <c r="K452" s="2695"/>
      <c r="L452" s="361"/>
      <c r="M452" s="2679" t="s">
        <v>5</v>
      </c>
      <c r="N452" s="2679"/>
      <c r="O452" s="2679"/>
      <c r="P452" s="2679"/>
      <c r="Q452" s="2696"/>
      <c r="R452" s="2696"/>
      <c r="S452" s="2696"/>
      <c r="T452" s="2696"/>
      <c r="U452" s="2696"/>
      <c r="V452" s="2697"/>
      <c r="W452" s="362" t="s">
        <v>6</v>
      </c>
      <c r="X452" s="363" t="s">
        <v>7</v>
      </c>
      <c r="Y452" s="364"/>
      <c r="Z452" s="364"/>
      <c r="AA452" s="363"/>
      <c r="AB452" s="365"/>
      <c r="AC452" s="528" t="s">
        <v>20</v>
      </c>
      <c r="AD452" s="601"/>
      <c r="AE452" s="347" t="s">
        <v>21</v>
      </c>
      <c r="AF452" s="340" t="s">
        <v>22</v>
      </c>
    </row>
    <row r="453" spans="1:32" s="597" customFormat="1" ht="18" customHeight="1" x14ac:dyDescent="0.2">
      <c r="A453" s="2687"/>
      <c r="B453" s="367"/>
      <c r="C453" s="2687"/>
      <c r="D453" s="366" t="s">
        <v>9</v>
      </c>
      <c r="E453" s="368" t="s">
        <v>10</v>
      </c>
      <c r="F453" s="2698" t="s">
        <v>11</v>
      </c>
      <c r="G453" s="2694"/>
      <c r="H453" s="2695"/>
      <c r="I453" s="360"/>
      <c r="J453" s="369" t="s">
        <v>12</v>
      </c>
      <c r="K453" s="360"/>
      <c r="L453" s="2679" t="s">
        <v>2</v>
      </c>
      <c r="M453" s="370"/>
      <c r="N453" s="370"/>
      <c r="O453" s="370"/>
      <c r="P453" s="371"/>
      <c r="Q453" s="372" t="s">
        <v>13</v>
      </c>
      <c r="R453" s="373" t="s">
        <v>12</v>
      </c>
      <c r="S453" s="370" t="s">
        <v>6</v>
      </c>
      <c r="T453" s="2682" t="s">
        <v>14</v>
      </c>
      <c r="U453" s="2683"/>
      <c r="V453" s="375" t="s">
        <v>7</v>
      </c>
      <c r="W453" s="376" t="s">
        <v>15</v>
      </c>
      <c r="X453" s="377" t="s">
        <v>16</v>
      </c>
      <c r="Y453" s="377" t="s">
        <v>17</v>
      </c>
      <c r="Z453" s="377" t="s">
        <v>18</v>
      </c>
      <c r="AA453" s="377"/>
      <c r="AB453" s="378" t="s">
        <v>19</v>
      </c>
      <c r="AC453" s="528" t="s">
        <v>35</v>
      </c>
      <c r="AD453" s="347" t="s">
        <v>36</v>
      </c>
      <c r="AE453" s="347" t="s">
        <v>37</v>
      </c>
      <c r="AF453" s="340" t="s">
        <v>38</v>
      </c>
    </row>
    <row r="454" spans="1:32" s="597" customFormat="1" ht="18" customHeight="1" x14ac:dyDescent="0.2">
      <c r="A454" s="2687"/>
      <c r="B454" s="366" t="s">
        <v>23</v>
      </c>
      <c r="C454" s="2687"/>
      <c r="D454" s="366" t="s">
        <v>24</v>
      </c>
      <c r="E454" s="368" t="s">
        <v>25</v>
      </c>
      <c r="F454" s="2699"/>
      <c r="G454" s="2700"/>
      <c r="H454" s="2701"/>
      <c r="I454" s="366" t="s">
        <v>26</v>
      </c>
      <c r="J454" s="379" t="s">
        <v>15</v>
      </c>
      <c r="K454" s="380" t="s">
        <v>6</v>
      </c>
      <c r="L454" s="2680"/>
      <c r="M454" s="381" t="s">
        <v>27</v>
      </c>
      <c r="N454" s="381" t="s">
        <v>10</v>
      </c>
      <c r="O454" s="382" t="s">
        <v>10</v>
      </c>
      <c r="P454" s="383" t="s">
        <v>28</v>
      </c>
      <c r="Q454" s="384" t="s">
        <v>29</v>
      </c>
      <c r="R454" s="383" t="s">
        <v>15</v>
      </c>
      <c r="S454" s="385" t="s">
        <v>15</v>
      </c>
      <c r="T454" s="2684"/>
      <c r="U454" s="2685"/>
      <c r="V454" s="375" t="s">
        <v>30</v>
      </c>
      <c r="W454" s="376" t="s">
        <v>31</v>
      </c>
      <c r="X454" s="377" t="s">
        <v>30</v>
      </c>
      <c r="Y454" s="377" t="s">
        <v>32</v>
      </c>
      <c r="Z454" s="377" t="s">
        <v>7</v>
      </c>
      <c r="AA454" s="377" t="s">
        <v>33</v>
      </c>
      <c r="AB454" s="378" t="s">
        <v>34</v>
      </c>
      <c r="AC454" s="347" t="s">
        <v>58</v>
      </c>
      <c r="AD454" s="347" t="s">
        <v>59</v>
      </c>
      <c r="AE454" s="347" t="s">
        <v>59</v>
      </c>
      <c r="AF454" s="340" t="s">
        <v>60</v>
      </c>
    </row>
    <row r="455" spans="1:32" s="597" customFormat="1" ht="18" customHeight="1" x14ac:dyDescent="0.2">
      <c r="A455" s="2687"/>
      <c r="B455" s="366" t="s">
        <v>39</v>
      </c>
      <c r="C455" s="2687"/>
      <c r="D455" s="366" t="s">
        <v>40</v>
      </c>
      <c r="E455" s="368" t="s">
        <v>41</v>
      </c>
      <c r="F455" s="2686" t="s">
        <v>42</v>
      </c>
      <c r="G455" s="2686" t="s">
        <v>43</v>
      </c>
      <c r="H455" s="2688" t="s">
        <v>44</v>
      </c>
      <c r="I455" s="366" t="s">
        <v>45</v>
      </c>
      <c r="J455" s="379" t="s">
        <v>46</v>
      </c>
      <c r="K455" s="380" t="s">
        <v>47</v>
      </c>
      <c r="L455" s="2680"/>
      <c r="M455" s="381" t="s">
        <v>30</v>
      </c>
      <c r="N455" s="381" t="s">
        <v>30</v>
      </c>
      <c r="O455" s="382" t="s">
        <v>25</v>
      </c>
      <c r="P455" s="383" t="s">
        <v>30</v>
      </c>
      <c r="Q455" s="384" t="s">
        <v>48</v>
      </c>
      <c r="R455" s="383" t="s">
        <v>49</v>
      </c>
      <c r="S455" s="385" t="s">
        <v>30</v>
      </c>
      <c r="T455" s="386" t="s">
        <v>50</v>
      </c>
      <c r="U455" s="374" t="s">
        <v>13</v>
      </c>
      <c r="V455" s="375" t="s">
        <v>51</v>
      </c>
      <c r="W455" s="376" t="s">
        <v>52</v>
      </c>
      <c r="X455" s="377" t="s">
        <v>53</v>
      </c>
      <c r="Y455" s="377" t="s">
        <v>54</v>
      </c>
      <c r="Z455" s="377" t="s">
        <v>55</v>
      </c>
      <c r="AA455" s="377" t="s">
        <v>56</v>
      </c>
      <c r="AB455" s="378" t="s">
        <v>57</v>
      </c>
      <c r="AC455" s="347" t="s">
        <v>59</v>
      </c>
      <c r="AD455" s="347"/>
      <c r="AE455" s="347"/>
      <c r="AF455" s="340" t="s">
        <v>59</v>
      </c>
    </row>
    <row r="456" spans="1:32" s="597" customFormat="1" ht="18" customHeight="1" x14ac:dyDescent="0.2">
      <c r="A456" s="2687"/>
      <c r="B456" s="366" t="s">
        <v>61</v>
      </c>
      <c r="C456" s="2687"/>
      <c r="D456" s="366" t="s">
        <v>62</v>
      </c>
      <c r="E456" s="368" t="s">
        <v>63</v>
      </c>
      <c r="F456" s="2687"/>
      <c r="G456" s="2687"/>
      <c r="H456" s="2689"/>
      <c r="I456" s="366" t="s">
        <v>64</v>
      </c>
      <c r="J456" s="379" t="s">
        <v>59</v>
      </c>
      <c r="K456" s="380" t="s">
        <v>59</v>
      </c>
      <c r="L456" s="2680"/>
      <c r="M456" s="381"/>
      <c r="N456" s="381"/>
      <c r="O456" s="382" t="s">
        <v>41</v>
      </c>
      <c r="P456" s="383" t="s">
        <v>65</v>
      </c>
      <c r="Q456" s="384" t="s">
        <v>66</v>
      </c>
      <c r="R456" s="383" t="s">
        <v>67</v>
      </c>
      <c r="S456" s="385" t="s">
        <v>59</v>
      </c>
      <c r="T456" s="387" t="s">
        <v>68</v>
      </c>
      <c r="U456" s="375" t="s">
        <v>14</v>
      </c>
      <c r="V456" s="375" t="s">
        <v>14</v>
      </c>
      <c r="W456" s="376" t="s">
        <v>30</v>
      </c>
      <c r="X456" s="388" t="s">
        <v>69</v>
      </c>
      <c r="Y456" s="388" t="s">
        <v>70</v>
      </c>
      <c r="Z456" s="377" t="s">
        <v>71</v>
      </c>
      <c r="AA456" s="377" t="s">
        <v>72</v>
      </c>
      <c r="AB456" s="378" t="s">
        <v>59</v>
      </c>
      <c r="AC456" s="348"/>
      <c r="AD456" s="348"/>
      <c r="AE456" s="348"/>
      <c r="AF456" s="341"/>
    </row>
    <row r="457" spans="1:32" s="597" customFormat="1" ht="18" customHeight="1" x14ac:dyDescent="0.2">
      <c r="A457" s="2692"/>
      <c r="B457" s="390"/>
      <c r="C457" s="2692"/>
      <c r="D457" s="390"/>
      <c r="E457" s="389"/>
      <c r="F457" s="390"/>
      <c r="G457" s="390"/>
      <c r="H457" s="391"/>
      <c r="I457" s="389"/>
      <c r="J457" s="392"/>
      <c r="K457" s="393"/>
      <c r="L457" s="2681"/>
      <c r="M457" s="394"/>
      <c r="N457" s="394"/>
      <c r="O457" s="394" t="s">
        <v>63</v>
      </c>
      <c r="P457" s="395"/>
      <c r="Q457" s="396" t="s">
        <v>72</v>
      </c>
      <c r="R457" s="397" t="s">
        <v>59</v>
      </c>
      <c r="S457" s="398"/>
      <c r="T457" s="397" t="s">
        <v>73</v>
      </c>
      <c r="U457" s="398" t="s">
        <v>59</v>
      </c>
      <c r="V457" s="399" t="s">
        <v>59</v>
      </c>
      <c r="W457" s="400" t="s">
        <v>59</v>
      </c>
      <c r="X457" s="401" t="s">
        <v>59</v>
      </c>
      <c r="Y457" s="401" t="s">
        <v>59</v>
      </c>
      <c r="Z457" s="401" t="s">
        <v>59</v>
      </c>
      <c r="AA457" s="402"/>
      <c r="AB457" s="403"/>
      <c r="AC457" s="602"/>
      <c r="AD457" s="603">
        <f>AB458-AC457</f>
        <v>392.03520000000003</v>
      </c>
      <c r="AE457" s="603">
        <f>IF(AD457&lt;=0,0,AD457*25/100)</f>
        <v>98.008800000000008</v>
      </c>
      <c r="AF457" s="603">
        <f>IF(AC457+AE457&gt;AB458,AB458,AC457+AE457)</f>
        <v>98.008800000000008</v>
      </c>
    </row>
    <row r="458" spans="1:32" s="597" customFormat="1" ht="18" customHeight="1" x14ac:dyDescent="0.25">
      <c r="A458" s="16">
        <v>1</v>
      </c>
      <c r="B458" s="333">
        <v>39694</v>
      </c>
      <c r="C458" s="41">
        <v>734</v>
      </c>
      <c r="D458" s="41" t="s">
        <v>91</v>
      </c>
      <c r="E458" s="15">
        <v>2</v>
      </c>
      <c r="F458" s="41">
        <v>0</v>
      </c>
      <c r="G458" s="41">
        <v>0</v>
      </c>
      <c r="H458" s="267">
        <v>97</v>
      </c>
      <c r="I458" s="18">
        <f>+F458*400+G458*100+H458</f>
        <v>97</v>
      </c>
      <c r="J458" s="23">
        <v>2300</v>
      </c>
      <c r="K458" s="39">
        <f>SUM(I458*J458)</f>
        <v>223100</v>
      </c>
      <c r="L458" s="45">
        <v>92</v>
      </c>
      <c r="M458" s="82">
        <v>401</v>
      </c>
      <c r="N458" s="41" t="s">
        <v>74</v>
      </c>
      <c r="O458" s="16">
        <v>2</v>
      </c>
      <c r="P458" s="41">
        <f>24.2*9.25</f>
        <v>223.85</v>
      </c>
      <c r="Q458" s="62" t="s">
        <v>75</v>
      </c>
      <c r="R458" s="260">
        <v>8000</v>
      </c>
      <c r="S458" s="18">
        <f>P458*R458</f>
        <v>1790800</v>
      </c>
      <c r="T458" s="1469">
        <v>3</v>
      </c>
      <c r="U458" s="1664">
        <f>+S458*0.03</f>
        <v>53724</v>
      </c>
      <c r="V458" s="47">
        <f>+S458-U458</f>
        <v>1737076</v>
      </c>
      <c r="W458" s="18">
        <f>K458+V458</f>
        <v>1960176</v>
      </c>
      <c r="X458" s="47">
        <f>W458</f>
        <v>1960176</v>
      </c>
      <c r="Y458" s="18"/>
      <c r="Z458" s="18">
        <f>+X458</f>
        <v>1960176</v>
      </c>
      <c r="AA458" s="264">
        <v>0.02</v>
      </c>
      <c r="AB458" s="406">
        <f>+Z458*AA458/100</f>
        <v>392.03520000000003</v>
      </c>
      <c r="AC458" s="350"/>
      <c r="AD458" s="350"/>
      <c r="AE458" s="350"/>
      <c r="AF458" s="350"/>
    </row>
    <row r="459" spans="1:32" s="597" customFormat="1" ht="18" customHeight="1" x14ac:dyDescent="0.25">
      <c r="A459" s="269">
        <v>2</v>
      </c>
      <c r="B459" s="273">
        <v>25290</v>
      </c>
      <c r="C459" s="27">
        <v>978</v>
      </c>
      <c r="D459" s="27" t="s">
        <v>86</v>
      </c>
      <c r="E459" s="15">
        <v>4</v>
      </c>
      <c r="F459" s="15">
        <v>0</v>
      </c>
      <c r="G459" s="15">
        <v>0</v>
      </c>
      <c r="H459" s="284">
        <v>60</v>
      </c>
      <c r="I459" s="18">
        <f>+F459*400+G459*100+H459</f>
        <v>60</v>
      </c>
      <c r="J459" s="23">
        <v>1100</v>
      </c>
      <c r="K459" s="39">
        <f>SUM(I459*J459)</f>
        <v>66000</v>
      </c>
      <c r="L459" s="45"/>
      <c r="M459" s="145"/>
      <c r="N459" s="1508" t="s">
        <v>312</v>
      </c>
      <c r="O459" s="1506">
        <v>1</v>
      </c>
      <c r="P459" s="15"/>
      <c r="Q459" s="62"/>
      <c r="R459" s="260"/>
      <c r="S459" s="18">
        <f>P459*R459</f>
        <v>0</v>
      </c>
      <c r="T459" s="20"/>
      <c r="U459" s="47"/>
      <c r="V459" s="47">
        <f>+S459-U459</f>
        <v>0</v>
      </c>
      <c r="W459" s="18">
        <f>K459+V459</f>
        <v>66000</v>
      </c>
      <c r="X459" s="47">
        <f>W459</f>
        <v>66000</v>
      </c>
      <c r="Y459" s="18" t="s">
        <v>87</v>
      </c>
      <c r="Z459" s="18">
        <v>0</v>
      </c>
      <c r="AA459" s="264">
        <v>0.01</v>
      </c>
      <c r="AB459" s="415">
        <f>+Z459*AA459/100</f>
        <v>0</v>
      </c>
      <c r="AC459" s="350"/>
      <c r="AD459" s="350"/>
      <c r="AE459" s="350"/>
      <c r="AF459" s="350"/>
    </row>
    <row r="460" spans="1:32" s="597" customFormat="1" ht="18" customHeight="1" x14ac:dyDescent="0.2">
      <c r="A460" s="242"/>
      <c r="B460" s="88"/>
      <c r="C460" s="88"/>
      <c r="D460" s="88"/>
      <c r="E460" s="145"/>
      <c r="F460" s="145"/>
      <c r="G460" s="145"/>
      <c r="H460" s="407"/>
      <c r="I460" s="77"/>
      <c r="J460" s="107"/>
      <c r="K460" s="78"/>
      <c r="L460" s="75"/>
      <c r="M460" s="145"/>
      <c r="N460" s="145"/>
      <c r="O460" s="61"/>
      <c r="P460" s="145"/>
      <c r="Q460" s="174"/>
      <c r="R460" s="408"/>
      <c r="S460" s="77"/>
      <c r="T460" s="135"/>
      <c r="U460" s="74"/>
      <c r="V460" s="74"/>
      <c r="W460" s="77"/>
      <c r="X460" s="74"/>
      <c r="Y460" s="77"/>
      <c r="Z460" s="77"/>
      <c r="AA460" s="409"/>
      <c r="AB460" s="410"/>
      <c r="AC460" s="350"/>
      <c r="AD460" s="350"/>
      <c r="AE460" s="350"/>
      <c r="AF460" s="350"/>
    </row>
    <row r="461" spans="1:32" s="597" customFormat="1" ht="18" customHeight="1" x14ac:dyDescent="0.2">
      <c r="A461" s="242"/>
      <c r="B461" s="88"/>
      <c r="C461" s="88"/>
      <c r="D461" s="88"/>
      <c r="E461" s="88"/>
      <c r="F461" s="88"/>
      <c r="G461" s="88"/>
      <c r="H461" s="495"/>
      <c r="I461" s="74"/>
      <c r="J461" s="121"/>
      <c r="K461" s="78"/>
      <c r="L461" s="242"/>
      <c r="M461" s="242"/>
      <c r="N461" s="242"/>
      <c r="O461" s="242"/>
      <c r="P461" s="497"/>
      <c r="Q461" s="496"/>
      <c r="R461" s="503"/>
      <c r="S461" s="504"/>
      <c r="T461" s="505"/>
      <c r="U461" s="504"/>
      <c r="V461" s="504"/>
      <c r="W461" s="77"/>
      <c r="X461" s="74"/>
      <c r="Y461" s="676"/>
      <c r="Z461" s="77"/>
      <c r="AA461" s="409"/>
      <c r="AB461" s="416"/>
      <c r="AC461" s="350"/>
      <c r="AD461" s="350"/>
      <c r="AE461" s="350"/>
      <c r="AF461" s="350"/>
    </row>
    <row r="462" spans="1:32" s="597" customFormat="1" ht="18" customHeight="1" x14ac:dyDescent="0.2">
      <c r="A462" s="85"/>
      <c r="B462" s="239"/>
      <c r="C462" s="88"/>
      <c r="D462" s="88"/>
      <c r="E462" s="88"/>
      <c r="F462" s="88"/>
      <c r="G462" s="88"/>
      <c r="H462" s="495"/>
      <c r="I462" s="121"/>
      <c r="J462" s="199"/>
      <c r="K462" s="78"/>
      <c r="L462" s="242"/>
      <c r="M462" s="242"/>
      <c r="N462" s="242"/>
      <c r="O462" s="242"/>
      <c r="P462" s="497"/>
      <c r="Q462" s="496"/>
      <c r="R462" s="503"/>
      <c r="S462" s="504"/>
      <c r="T462" s="505"/>
      <c r="U462" s="504"/>
      <c r="V462" s="504"/>
      <c r="W462" s="77"/>
      <c r="X462" s="74"/>
      <c r="Y462" s="676"/>
      <c r="Z462" s="77"/>
      <c r="AA462" s="409"/>
      <c r="AB462" s="415"/>
      <c r="AC462" s="350"/>
      <c r="AD462" s="350"/>
      <c r="AE462" s="350"/>
      <c r="AF462" s="350"/>
    </row>
    <row r="463" spans="1:32" s="597" customFormat="1" ht="18" customHeight="1" x14ac:dyDescent="0.2">
      <c r="A463" s="145"/>
      <c r="B463" s="177"/>
      <c r="C463" s="177"/>
      <c r="D463" s="145"/>
      <c r="E463" s="145"/>
      <c r="F463" s="145"/>
      <c r="G463" s="145"/>
      <c r="H463" s="147"/>
      <c r="I463" s="107"/>
      <c r="J463" s="178"/>
      <c r="K463" s="107"/>
      <c r="L463" s="145"/>
      <c r="M463" s="145"/>
      <c r="N463" s="145"/>
      <c r="O463" s="145"/>
      <c r="P463" s="147"/>
      <c r="Q463" s="148"/>
      <c r="R463" s="437"/>
      <c r="S463" s="107"/>
      <c r="T463" s="179"/>
      <c r="U463" s="178"/>
      <c r="V463" s="107"/>
      <c r="W463" s="107"/>
      <c r="X463" s="470"/>
      <c r="Y463" s="470"/>
      <c r="Z463" s="471"/>
      <c r="AA463" s="471"/>
      <c r="AB463" s="410"/>
      <c r="AC463" s="350"/>
      <c r="AD463" s="350"/>
      <c r="AE463" s="350"/>
      <c r="AF463" s="350"/>
    </row>
    <row r="464" spans="1:32" s="597" customFormat="1" ht="18" customHeight="1" x14ac:dyDescent="0.2">
      <c r="A464" s="145"/>
      <c r="B464" s="177"/>
      <c r="C464" s="177"/>
      <c r="D464" s="145"/>
      <c r="E464" s="145"/>
      <c r="F464" s="145"/>
      <c r="G464" s="145"/>
      <c r="H464" s="147"/>
      <c r="I464" s="107"/>
      <c r="J464" s="178"/>
      <c r="K464" s="107"/>
      <c r="L464" s="145"/>
      <c r="M464" s="145"/>
      <c r="N464" s="145"/>
      <c r="O464" s="145"/>
      <c r="P464" s="147"/>
      <c r="Q464" s="148"/>
      <c r="R464" s="437"/>
      <c r="S464" s="107"/>
      <c r="T464" s="179"/>
      <c r="U464" s="178"/>
      <c r="V464" s="107"/>
      <c r="W464" s="107"/>
      <c r="X464" s="470"/>
      <c r="Y464" s="470"/>
      <c r="Z464" s="471"/>
      <c r="AA464" s="471"/>
      <c r="AB464" s="466"/>
      <c r="AC464" s="350"/>
      <c r="AD464" s="350"/>
      <c r="AE464" s="350"/>
      <c r="AF464" s="350"/>
    </row>
    <row r="465" spans="1:32" s="597" customFormat="1" ht="18" customHeight="1" x14ac:dyDescent="0.2">
      <c r="A465" s="145"/>
      <c r="B465" s="177"/>
      <c r="C465" s="177"/>
      <c r="D465" s="145"/>
      <c r="E465" s="145"/>
      <c r="F465" s="145"/>
      <c r="G465" s="145"/>
      <c r="H465" s="147"/>
      <c r="I465" s="107"/>
      <c r="J465" s="178"/>
      <c r="K465" s="107"/>
      <c r="L465" s="145"/>
      <c r="M465" s="145"/>
      <c r="N465" s="145"/>
      <c r="O465" s="145"/>
      <c r="P465" s="147"/>
      <c r="Q465" s="148"/>
      <c r="R465" s="437"/>
      <c r="S465" s="107"/>
      <c r="T465" s="179"/>
      <c r="U465" s="178"/>
      <c r="V465" s="107"/>
      <c r="W465" s="107"/>
      <c r="X465" s="470"/>
      <c r="Y465" s="470"/>
      <c r="Z465" s="471"/>
      <c r="AA465" s="471"/>
      <c r="AB465" s="466"/>
      <c r="AC465" s="350"/>
      <c r="AD465" s="350"/>
      <c r="AE465" s="350"/>
      <c r="AF465" s="350"/>
    </row>
    <row r="466" spans="1:32" s="597" customFormat="1" ht="18" customHeight="1" x14ac:dyDescent="0.2">
      <c r="A466" s="145"/>
      <c r="B466" s="177"/>
      <c r="C466" s="177"/>
      <c r="D466" s="145"/>
      <c r="E466" s="145"/>
      <c r="F466" s="145"/>
      <c r="G466" s="145"/>
      <c r="H466" s="147"/>
      <c r="I466" s="107"/>
      <c r="J466" s="178"/>
      <c r="K466" s="107"/>
      <c r="L466" s="145"/>
      <c r="M466" s="145"/>
      <c r="N466" s="145"/>
      <c r="O466" s="145"/>
      <c r="P466" s="147"/>
      <c r="Q466" s="148"/>
      <c r="R466" s="437"/>
      <c r="S466" s="107"/>
      <c r="T466" s="179"/>
      <c r="U466" s="178"/>
      <c r="V466" s="107"/>
      <c r="W466" s="107"/>
      <c r="X466" s="470"/>
      <c r="Y466" s="470"/>
      <c r="Z466" s="471"/>
      <c r="AA466" s="471"/>
      <c r="AB466" s="466"/>
      <c r="AC466" s="350"/>
      <c r="AD466" s="350"/>
      <c r="AE466" s="350"/>
      <c r="AF466" s="350"/>
    </row>
    <row r="467" spans="1:32" s="597" customFormat="1" ht="18" customHeight="1" x14ac:dyDescent="0.2">
      <c r="A467" s="145"/>
      <c r="B467" s="177"/>
      <c r="C467" s="177"/>
      <c r="D467" s="145"/>
      <c r="E467" s="145"/>
      <c r="F467" s="145"/>
      <c r="G467" s="145"/>
      <c r="H467" s="147"/>
      <c r="I467" s="107"/>
      <c r="J467" s="178"/>
      <c r="K467" s="107"/>
      <c r="L467" s="145"/>
      <c r="M467" s="145"/>
      <c r="N467" s="145"/>
      <c r="O467" s="145"/>
      <c r="P467" s="147"/>
      <c r="Q467" s="148"/>
      <c r="R467" s="437"/>
      <c r="S467" s="107"/>
      <c r="T467" s="179"/>
      <c r="U467" s="178"/>
      <c r="V467" s="107"/>
      <c r="W467" s="107"/>
      <c r="X467" s="470"/>
      <c r="Y467" s="470"/>
      <c r="Z467" s="471"/>
      <c r="AA467" s="471"/>
      <c r="AB467" s="466"/>
      <c r="AC467" s="350"/>
      <c r="AD467" s="350"/>
      <c r="AE467" s="350"/>
      <c r="AF467" s="350"/>
    </row>
    <row r="468" spans="1:32" s="597" customFormat="1" ht="18" customHeight="1" x14ac:dyDescent="0.2">
      <c r="A468" s="145"/>
      <c r="B468" s="177"/>
      <c r="C468" s="177"/>
      <c r="D468" s="145"/>
      <c r="E468" s="145"/>
      <c r="F468" s="145"/>
      <c r="G468" s="145"/>
      <c r="H468" s="147"/>
      <c r="I468" s="107"/>
      <c r="J468" s="178"/>
      <c r="K468" s="107"/>
      <c r="L468" s="145"/>
      <c r="M468" s="145"/>
      <c r="N468" s="145"/>
      <c r="O468" s="145"/>
      <c r="P468" s="147"/>
      <c r="Q468" s="148"/>
      <c r="R468" s="437"/>
      <c r="S468" s="107"/>
      <c r="T468" s="179"/>
      <c r="U468" s="178"/>
      <c r="V468" s="107"/>
      <c r="W468" s="107"/>
      <c r="X468" s="470"/>
      <c r="Y468" s="470"/>
      <c r="Z468" s="471"/>
      <c r="AA468" s="471"/>
      <c r="AB468" s="466"/>
      <c r="AC468" s="350"/>
      <c r="AD468" s="350"/>
      <c r="AE468" s="350"/>
      <c r="AF468" s="350"/>
    </row>
    <row r="469" spans="1:32" s="597" customFormat="1" ht="18" customHeight="1" x14ac:dyDescent="0.2">
      <c r="A469" s="145"/>
      <c r="B469" s="177"/>
      <c r="C469" s="177"/>
      <c r="D469" s="145"/>
      <c r="E469" s="145"/>
      <c r="F469" s="145"/>
      <c r="G469" s="145"/>
      <c r="H469" s="147"/>
      <c r="I469" s="107"/>
      <c r="J469" s="178"/>
      <c r="K469" s="107"/>
      <c r="L469" s="145"/>
      <c r="M469" s="145"/>
      <c r="N469" s="145"/>
      <c r="O469" s="145"/>
      <c r="P469" s="147"/>
      <c r="Q469" s="148"/>
      <c r="R469" s="437"/>
      <c r="S469" s="107"/>
      <c r="T469" s="179"/>
      <c r="U469" s="178"/>
      <c r="V469" s="107"/>
      <c r="W469" s="107"/>
      <c r="X469" s="470"/>
      <c r="Y469" s="470"/>
      <c r="Z469" s="471"/>
      <c r="AA469" s="471"/>
      <c r="AB469" s="466"/>
      <c r="AC469" s="350"/>
      <c r="AD469" s="350"/>
      <c r="AE469" s="350"/>
      <c r="AF469" s="350"/>
    </row>
    <row r="470" spans="1:32" s="597" customFormat="1" ht="18" customHeight="1" x14ac:dyDescent="0.2">
      <c r="A470" s="145"/>
      <c r="B470" s="177"/>
      <c r="C470" s="177"/>
      <c r="D470" s="145"/>
      <c r="E470" s="145"/>
      <c r="F470" s="145"/>
      <c r="G470" s="145"/>
      <c r="H470" s="147"/>
      <c r="I470" s="107"/>
      <c r="J470" s="178"/>
      <c r="K470" s="107"/>
      <c r="L470" s="145"/>
      <c r="M470" s="145"/>
      <c r="N470" s="145"/>
      <c r="O470" s="145"/>
      <c r="P470" s="147"/>
      <c r="Q470" s="148"/>
      <c r="R470" s="437"/>
      <c r="S470" s="107"/>
      <c r="T470" s="179"/>
      <c r="U470" s="178"/>
      <c r="V470" s="107"/>
      <c r="W470" s="107"/>
      <c r="X470" s="470"/>
      <c r="Y470" s="470"/>
      <c r="Z470" s="471"/>
      <c r="AA470" s="471"/>
      <c r="AB470" s="466"/>
      <c r="AC470" s="350"/>
      <c r="AD470" s="350"/>
      <c r="AE470" s="350"/>
      <c r="AF470" s="350"/>
    </row>
    <row r="471" spans="1:32" s="597" customFormat="1" ht="18" customHeight="1" x14ac:dyDescent="0.2">
      <c r="A471" s="145"/>
      <c r="B471" s="177"/>
      <c r="C471" s="177"/>
      <c r="D471" s="145"/>
      <c r="E471" s="145"/>
      <c r="F471" s="145"/>
      <c r="G471" s="145"/>
      <c r="H471" s="147"/>
      <c r="I471" s="107"/>
      <c r="J471" s="178"/>
      <c r="K471" s="107"/>
      <c r="L471" s="145"/>
      <c r="M471" s="145"/>
      <c r="N471" s="145"/>
      <c r="O471" s="145"/>
      <c r="P471" s="147"/>
      <c r="Q471" s="148"/>
      <c r="R471" s="437"/>
      <c r="S471" s="107"/>
      <c r="T471" s="179"/>
      <c r="U471" s="178"/>
      <c r="V471" s="107"/>
      <c r="W471" s="107"/>
      <c r="X471" s="470"/>
      <c r="Y471" s="470"/>
      <c r="Z471" s="471"/>
      <c r="AA471" s="471"/>
      <c r="AB471" s="466"/>
      <c r="AC471" s="351"/>
      <c r="AD471" s="351"/>
      <c r="AE471" s="351"/>
      <c r="AF471" s="351"/>
    </row>
    <row r="472" spans="1:32" s="597" customFormat="1" ht="18" customHeight="1" x14ac:dyDescent="0.2">
      <c r="A472" s="88"/>
      <c r="B472" s="180"/>
      <c r="C472" s="180"/>
      <c r="D472" s="88"/>
      <c r="E472" s="88"/>
      <c r="F472" s="88"/>
      <c r="G472" s="88"/>
      <c r="H472" s="120"/>
      <c r="I472" s="121"/>
      <c r="J472" s="181"/>
      <c r="K472" s="121"/>
      <c r="L472" s="88"/>
      <c r="M472" s="88"/>
      <c r="N472" s="88"/>
      <c r="O472" s="88"/>
      <c r="P472" s="88"/>
      <c r="Q472" s="129"/>
      <c r="R472" s="445"/>
      <c r="S472" s="121"/>
      <c r="T472" s="182"/>
      <c r="U472" s="181"/>
      <c r="V472" s="121"/>
      <c r="W472" s="121"/>
      <c r="X472" s="472"/>
      <c r="Y472" s="472"/>
      <c r="Z472" s="473"/>
      <c r="AA472" s="473"/>
      <c r="AB472" s="410"/>
      <c r="AC472" s="349"/>
      <c r="AD472" s="349"/>
      <c r="AE472" s="349"/>
      <c r="AF472" s="349"/>
    </row>
    <row r="473" spans="1:32" s="597" customFormat="1" ht="18" customHeight="1" x14ac:dyDescent="0.2">
      <c r="A473" s="1850"/>
      <c r="B473" s="1850"/>
      <c r="C473" s="1850"/>
      <c r="D473" s="1850"/>
      <c r="E473" s="1850"/>
      <c r="F473" s="1850"/>
      <c r="G473" s="1850"/>
      <c r="H473" s="1851"/>
      <c r="I473" s="1852"/>
      <c r="J473" s="1853"/>
      <c r="K473" s="1852"/>
      <c r="L473" s="1852"/>
      <c r="M473" s="1852"/>
      <c r="N473" s="1852"/>
      <c r="O473" s="1852"/>
      <c r="P473" s="1852"/>
      <c r="Q473" s="1852"/>
      <c r="R473" s="1854"/>
      <c r="S473" s="1852"/>
      <c r="T473" s="1855"/>
      <c r="U473" s="1853"/>
      <c r="V473" s="1852"/>
      <c r="W473" s="1852"/>
      <c r="X473" s="1856"/>
      <c r="Y473" s="1856"/>
      <c r="Z473" s="1857"/>
      <c r="AA473" s="1857"/>
      <c r="AB473" s="1847">
        <f>SUM(AB458:AB472)</f>
        <v>392.03520000000003</v>
      </c>
    </row>
    <row r="474" spans="1:32" s="597" customFormat="1" ht="18" customHeight="1" x14ac:dyDescent="0.2">
      <c r="A474" s="2690" t="s">
        <v>76</v>
      </c>
      <c r="B474" s="2690"/>
      <c r="C474" s="2691" t="s">
        <v>77</v>
      </c>
      <c r="D474" s="2691"/>
      <c r="E474" s="2691"/>
      <c r="F474" s="2691"/>
      <c r="G474" s="2691"/>
      <c r="H474" s="2691"/>
      <c r="I474" s="604" t="s">
        <v>78</v>
      </c>
      <c r="J474" s="604"/>
      <c r="K474" s="604"/>
      <c r="L474" s="604"/>
      <c r="M474" s="604"/>
      <c r="N474" s="604"/>
      <c r="AB474" s="598"/>
    </row>
    <row r="475" spans="1:32" s="597" customFormat="1" ht="18" customHeight="1" x14ac:dyDescent="0.2">
      <c r="A475" s="604"/>
      <c r="B475" s="605"/>
      <c r="C475" s="604"/>
      <c r="D475" s="604"/>
      <c r="E475" s="604"/>
      <c r="F475" s="604"/>
      <c r="G475" s="604"/>
      <c r="H475" s="604"/>
      <c r="I475" s="604" t="s">
        <v>79</v>
      </c>
      <c r="J475" s="604"/>
      <c r="K475" s="604"/>
      <c r="L475" s="604"/>
      <c r="M475" s="604"/>
      <c r="N475" s="604"/>
      <c r="AB475" s="598"/>
    </row>
    <row r="476" spans="1:32" s="597" customFormat="1" ht="18" customHeight="1" x14ac:dyDescent="0.2">
      <c r="A476" s="604"/>
      <c r="B476" s="605"/>
      <c r="C476" s="604"/>
      <c r="D476" s="604"/>
      <c r="E476" s="604"/>
      <c r="F476" s="604"/>
      <c r="G476" s="604"/>
      <c r="H476" s="604"/>
      <c r="I476" s="604" t="s">
        <v>80</v>
      </c>
      <c r="J476" s="604"/>
      <c r="K476" s="604"/>
      <c r="L476" s="604"/>
      <c r="M476" s="604"/>
      <c r="N476" s="604"/>
      <c r="AB476" s="598"/>
    </row>
    <row r="477" spans="1:32" s="597" customFormat="1" ht="18" customHeight="1" x14ac:dyDescent="0.2">
      <c r="A477" s="604"/>
      <c r="B477" s="605"/>
      <c r="C477" s="604"/>
      <c r="D477" s="604"/>
      <c r="E477" s="604"/>
      <c r="F477" s="604"/>
      <c r="G477" s="604"/>
      <c r="H477" s="604"/>
      <c r="I477" s="604" t="s">
        <v>81</v>
      </c>
      <c r="J477" s="604"/>
      <c r="K477" s="604"/>
      <c r="L477" s="604"/>
      <c r="M477" s="604"/>
      <c r="N477" s="604"/>
      <c r="AB477" s="598"/>
    </row>
    <row r="478" spans="1:32" s="597" customFormat="1" ht="18" customHeight="1" x14ac:dyDescent="0.2">
      <c r="A478" s="604"/>
      <c r="B478" s="605"/>
      <c r="C478" s="604"/>
      <c r="D478" s="604"/>
      <c r="E478" s="604"/>
      <c r="F478" s="604"/>
      <c r="G478" s="604"/>
      <c r="H478" s="604"/>
      <c r="I478" s="604" t="s">
        <v>88</v>
      </c>
      <c r="J478" s="604"/>
      <c r="K478" s="604"/>
      <c r="L478" s="604"/>
      <c r="M478" s="604"/>
      <c r="N478" s="604"/>
      <c r="AB478" s="598"/>
      <c r="AC478" s="339"/>
      <c r="AD478" s="339"/>
      <c r="AE478" s="339"/>
      <c r="AF478" s="339"/>
    </row>
    <row r="479" spans="1:32" s="1030" customFormat="1" ht="18" customHeight="1" x14ac:dyDescent="0.2">
      <c r="A479" s="339"/>
      <c r="B479" s="339"/>
      <c r="C479" s="339"/>
      <c r="D479" s="339"/>
      <c r="E479" s="339"/>
      <c r="F479" s="339"/>
      <c r="G479" s="339"/>
      <c r="H479" s="339"/>
      <c r="I479" s="339"/>
      <c r="J479" s="339"/>
      <c r="K479" s="339"/>
      <c r="L479" s="339"/>
      <c r="M479" s="339"/>
      <c r="N479" s="339"/>
      <c r="O479" s="339"/>
      <c r="P479" s="339"/>
      <c r="Q479" s="339"/>
      <c r="R479" s="339"/>
      <c r="S479" s="339"/>
      <c r="T479" s="339"/>
      <c r="U479" s="339"/>
      <c r="V479" s="339"/>
      <c r="W479" s="339"/>
      <c r="X479" s="339"/>
      <c r="Y479" s="339"/>
      <c r="Z479" s="339"/>
      <c r="AA479" s="2702" t="s">
        <v>0</v>
      </c>
      <c r="AB479" s="2702"/>
      <c r="AC479" s="1122"/>
      <c r="AD479" s="1122"/>
      <c r="AE479" s="1122"/>
      <c r="AF479" s="1122"/>
    </row>
    <row r="480" spans="1:32" s="597" customFormat="1" ht="18" customHeight="1" x14ac:dyDescent="0.2">
      <c r="A480" s="2703" t="s">
        <v>1</v>
      </c>
      <c r="B480" s="2703"/>
      <c r="C480" s="2703"/>
      <c r="D480" s="2703"/>
      <c r="E480" s="2703"/>
      <c r="F480" s="2703"/>
      <c r="G480" s="2703"/>
      <c r="H480" s="2703"/>
      <c r="I480" s="2703"/>
      <c r="J480" s="2703"/>
      <c r="K480" s="2703"/>
      <c r="L480" s="2703"/>
      <c r="M480" s="2703"/>
      <c r="N480" s="2703"/>
      <c r="O480" s="2703"/>
      <c r="P480" s="2703"/>
      <c r="Q480" s="2703"/>
      <c r="R480" s="2703"/>
      <c r="S480" s="2703"/>
      <c r="T480" s="2703"/>
      <c r="U480" s="2703"/>
      <c r="V480" s="2703"/>
      <c r="W480" s="2703"/>
      <c r="X480" s="2703"/>
      <c r="Y480" s="2703"/>
      <c r="Z480" s="2703"/>
      <c r="AA480" s="2703"/>
      <c r="AB480" s="2703"/>
      <c r="AC480" s="344"/>
      <c r="AD480" s="344"/>
      <c r="AE480" s="344"/>
      <c r="AF480" s="344"/>
    </row>
    <row r="481" spans="1:32" s="597" customFormat="1" ht="18" customHeight="1" x14ac:dyDescent="0.2">
      <c r="A481" s="2704" t="s">
        <v>471</v>
      </c>
      <c r="B481" s="2704"/>
      <c r="C481" s="2704"/>
      <c r="D481" s="2704"/>
      <c r="E481" s="2704"/>
      <c r="F481" s="2704"/>
      <c r="G481" s="2704"/>
      <c r="H481" s="2704"/>
      <c r="I481" s="2704"/>
      <c r="J481" s="2704"/>
      <c r="K481" s="2704"/>
      <c r="L481" s="2704"/>
      <c r="M481" s="2704"/>
      <c r="N481" s="2704"/>
      <c r="O481" s="2704"/>
      <c r="P481" s="2704"/>
      <c r="Q481" s="2704"/>
      <c r="R481" s="2704"/>
      <c r="S481" s="2704"/>
      <c r="T481" s="2704"/>
      <c r="U481" s="2704"/>
      <c r="V481" s="2704"/>
      <c r="W481" s="2704"/>
      <c r="X481" s="2704"/>
      <c r="Y481" s="2704"/>
      <c r="Z481" s="2704"/>
      <c r="AA481" s="2704"/>
      <c r="AB481" s="2740"/>
      <c r="AC481" s="599"/>
      <c r="AD481" s="599"/>
      <c r="AE481" s="599"/>
      <c r="AF481" s="599"/>
    </row>
    <row r="482" spans="1:32" s="597" customFormat="1" ht="18" customHeight="1" x14ac:dyDescent="0.2">
      <c r="A482" s="2686" t="s">
        <v>2</v>
      </c>
      <c r="B482" s="360"/>
      <c r="C482" s="2686" t="s">
        <v>3</v>
      </c>
      <c r="D482" s="360"/>
      <c r="E482" s="360"/>
      <c r="F482" s="2732" t="s">
        <v>4</v>
      </c>
      <c r="G482" s="2693"/>
      <c r="H482" s="2693"/>
      <c r="I482" s="2693"/>
      <c r="J482" s="2693"/>
      <c r="K482" s="2733"/>
      <c r="L482" s="361"/>
      <c r="M482" s="2696" t="s">
        <v>5</v>
      </c>
      <c r="N482" s="2696"/>
      <c r="O482" s="2696"/>
      <c r="P482" s="2696"/>
      <c r="Q482" s="2696"/>
      <c r="R482" s="2696"/>
      <c r="S482" s="2696"/>
      <c r="T482" s="2696"/>
      <c r="U482" s="2696"/>
      <c r="V482" s="2697"/>
      <c r="W482" s="362" t="s">
        <v>6</v>
      </c>
      <c r="X482" s="363" t="s">
        <v>7</v>
      </c>
      <c r="Y482" s="364"/>
      <c r="Z482" s="364"/>
      <c r="AA482" s="363"/>
      <c r="AB482" s="365"/>
      <c r="AC482" s="516" t="s">
        <v>8</v>
      </c>
      <c r="AD482" s="346"/>
      <c r="AE482" s="346"/>
      <c r="AF482" s="600"/>
    </row>
    <row r="483" spans="1:32" s="597" customFormat="1" ht="18" customHeight="1" x14ac:dyDescent="0.2">
      <c r="A483" s="2687"/>
      <c r="B483" s="367"/>
      <c r="C483" s="2687"/>
      <c r="D483" s="366" t="s">
        <v>9</v>
      </c>
      <c r="E483" s="368" t="s">
        <v>10</v>
      </c>
      <c r="F483" s="2698" t="s">
        <v>11</v>
      </c>
      <c r="G483" s="2694"/>
      <c r="H483" s="2695"/>
      <c r="I483" s="360"/>
      <c r="J483" s="369" t="s">
        <v>12</v>
      </c>
      <c r="K483" s="360"/>
      <c r="L483" s="2734" t="s">
        <v>2</v>
      </c>
      <c r="M483" s="370"/>
      <c r="N483" s="370"/>
      <c r="O483" s="370"/>
      <c r="P483" s="371"/>
      <c r="Q483" s="372" t="s">
        <v>13</v>
      </c>
      <c r="R483" s="373" t="s">
        <v>12</v>
      </c>
      <c r="S483" s="370" t="s">
        <v>6</v>
      </c>
      <c r="T483" s="2682" t="s">
        <v>14</v>
      </c>
      <c r="U483" s="2683"/>
      <c r="V483" s="375" t="s">
        <v>7</v>
      </c>
      <c r="W483" s="376" t="s">
        <v>15</v>
      </c>
      <c r="X483" s="377" t="s">
        <v>16</v>
      </c>
      <c r="Y483" s="377" t="s">
        <v>17</v>
      </c>
      <c r="Z483" s="377" t="s">
        <v>18</v>
      </c>
      <c r="AA483" s="377"/>
      <c r="AB483" s="378" t="s">
        <v>19</v>
      </c>
      <c r="AC483" s="528" t="s">
        <v>20</v>
      </c>
      <c r="AD483" s="601"/>
      <c r="AE483" s="347" t="s">
        <v>21</v>
      </c>
      <c r="AF483" s="340" t="s">
        <v>22</v>
      </c>
    </row>
    <row r="484" spans="1:32" s="597" customFormat="1" ht="18" customHeight="1" x14ac:dyDescent="0.2">
      <c r="A484" s="2687"/>
      <c r="B484" s="366" t="s">
        <v>23</v>
      </c>
      <c r="C484" s="2687"/>
      <c r="D484" s="366" t="s">
        <v>24</v>
      </c>
      <c r="E484" s="368" t="s">
        <v>25</v>
      </c>
      <c r="F484" s="2699"/>
      <c r="G484" s="2700"/>
      <c r="H484" s="2701"/>
      <c r="I484" s="366" t="s">
        <v>26</v>
      </c>
      <c r="J484" s="379" t="s">
        <v>15</v>
      </c>
      <c r="K484" s="380" t="s">
        <v>6</v>
      </c>
      <c r="L484" s="2735"/>
      <c r="M484" s="381" t="s">
        <v>27</v>
      </c>
      <c r="N484" s="381" t="s">
        <v>10</v>
      </c>
      <c r="O484" s="382" t="s">
        <v>10</v>
      </c>
      <c r="P484" s="383" t="s">
        <v>28</v>
      </c>
      <c r="Q484" s="384" t="s">
        <v>29</v>
      </c>
      <c r="R484" s="383" t="s">
        <v>15</v>
      </c>
      <c r="S484" s="385" t="s">
        <v>15</v>
      </c>
      <c r="T484" s="2684"/>
      <c r="U484" s="2685"/>
      <c r="V484" s="375" t="s">
        <v>30</v>
      </c>
      <c r="W484" s="376" t="s">
        <v>31</v>
      </c>
      <c r="X484" s="377" t="s">
        <v>30</v>
      </c>
      <c r="Y484" s="377" t="s">
        <v>32</v>
      </c>
      <c r="Z484" s="377" t="s">
        <v>7</v>
      </c>
      <c r="AA484" s="377" t="s">
        <v>33</v>
      </c>
      <c r="AB484" s="378" t="s">
        <v>34</v>
      </c>
      <c r="AC484" s="528" t="s">
        <v>35</v>
      </c>
      <c r="AD484" s="347" t="s">
        <v>36</v>
      </c>
      <c r="AE484" s="347" t="s">
        <v>37</v>
      </c>
      <c r="AF484" s="340" t="s">
        <v>38</v>
      </c>
    </row>
    <row r="485" spans="1:32" s="597" customFormat="1" ht="18" customHeight="1" x14ac:dyDescent="0.2">
      <c r="A485" s="2687"/>
      <c r="B485" s="366" t="s">
        <v>39</v>
      </c>
      <c r="C485" s="2687"/>
      <c r="D485" s="366" t="s">
        <v>40</v>
      </c>
      <c r="E485" s="368" t="s">
        <v>41</v>
      </c>
      <c r="F485" s="2686" t="s">
        <v>42</v>
      </c>
      <c r="G485" s="2686" t="s">
        <v>43</v>
      </c>
      <c r="H485" s="2688" t="s">
        <v>44</v>
      </c>
      <c r="I485" s="366" t="s">
        <v>45</v>
      </c>
      <c r="J485" s="379" t="s">
        <v>46</v>
      </c>
      <c r="K485" s="380" t="s">
        <v>47</v>
      </c>
      <c r="L485" s="2735"/>
      <c r="M485" s="381" t="s">
        <v>30</v>
      </c>
      <c r="N485" s="381" t="s">
        <v>30</v>
      </c>
      <c r="O485" s="382" t="s">
        <v>25</v>
      </c>
      <c r="P485" s="383" t="s">
        <v>30</v>
      </c>
      <c r="Q485" s="384" t="s">
        <v>48</v>
      </c>
      <c r="R485" s="383" t="s">
        <v>49</v>
      </c>
      <c r="S485" s="385" t="s">
        <v>30</v>
      </c>
      <c r="T485" s="386" t="s">
        <v>50</v>
      </c>
      <c r="U485" s="374" t="s">
        <v>13</v>
      </c>
      <c r="V485" s="375" t="s">
        <v>51</v>
      </c>
      <c r="W485" s="376" t="s">
        <v>52</v>
      </c>
      <c r="X485" s="377" t="s">
        <v>53</v>
      </c>
      <c r="Y485" s="377" t="s">
        <v>54</v>
      </c>
      <c r="Z485" s="377" t="s">
        <v>55</v>
      </c>
      <c r="AA485" s="377" t="s">
        <v>56</v>
      </c>
      <c r="AB485" s="378" t="s">
        <v>57</v>
      </c>
      <c r="AC485" s="347" t="s">
        <v>58</v>
      </c>
      <c r="AD485" s="347" t="s">
        <v>59</v>
      </c>
      <c r="AE485" s="347" t="s">
        <v>59</v>
      </c>
      <c r="AF485" s="340" t="s">
        <v>60</v>
      </c>
    </row>
    <row r="486" spans="1:32" s="597" customFormat="1" ht="18" customHeight="1" x14ac:dyDescent="0.2">
      <c r="A486" s="2687"/>
      <c r="B486" s="366" t="s">
        <v>61</v>
      </c>
      <c r="C486" s="2687"/>
      <c r="D486" s="366" t="s">
        <v>62</v>
      </c>
      <c r="E486" s="368" t="s">
        <v>63</v>
      </c>
      <c r="F486" s="2687"/>
      <c r="G486" s="2687"/>
      <c r="H486" s="2689"/>
      <c r="I486" s="366" t="s">
        <v>64</v>
      </c>
      <c r="J486" s="379" t="s">
        <v>59</v>
      </c>
      <c r="K486" s="380" t="s">
        <v>59</v>
      </c>
      <c r="L486" s="2735"/>
      <c r="M486" s="381"/>
      <c r="N486" s="381"/>
      <c r="O486" s="382" t="s">
        <v>41</v>
      </c>
      <c r="P486" s="383" t="s">
        <v>65</v>
      </c>
      <c r="Q486" s="384" t="s">
        <v>66</v>
      </c>
      <c r="R486" s="383" t="s">
        <v>67</v>
      </c>
      <c r="S486" s="385" t="s">
        <v>59</v>
      </c>
      <c r="T486" s="387" t="s">
        <v>68</v>
      </c>
      <c r="U486" s="375" t="s">
        <v>14</v>
      </c>
      <c r="V486" s="375" t="s">
        <v>14</v>
      </c>
      <c r="W486" s="376" t="s">
        <v>30</v>
      </c>
      <c r="X486" s="388" t="s">
        <v>69</v>
      </c>
      <c r="Y486" s="388" t="s">
        <v>70</v>
      </c>
      <c r="Z486" s="377" t="s">
        <v>71</v>
      </c>
      <c r="AA486" s="377" t="s">
        <v>72</v>
      </c>
      <c r="AB486" s="378" t="s">
        <v>59</v>
      </c>
      <c r="AC486" s="347" t="s">
        <v>59</v>
      </c>
      <c r="AD486" s="347"/>
      <c r="AE486" s="347"/>
      <c r="AF486" s="340" t="s">
        <v>59</v>
      </c>
    </row>
    <row r="487" spans="1:32" s="597" customFormat="1" ht="18" customHeight="1" x14ac:dyDescent="0.2">
      <c r="A487" s="2692"/>
      <c r="B487" s="390"/>
      <c r="C487" s="2692"/>
      <c r="D487" s="390"/>
      <c r="E487" s="389"/>
      <c r="F487" s="390"/>
      <c r="G487" s="390"/>
      <c r="H487" s="391"/>
      <c r="I487" s="389"/>
      <c r="J487" s="392"/>
      <c r="K487" s="393"/>
      <c r="L487" s="2736"/>
      <c r="M487" s="394"/>
      <c r="N487" s="394"/>
      <c r="O487" s="394" t="s">
        <v>63</v>
      </c>
      <c r="P487" s="395"/>
      <c r="Q487" s="396" t="s">
        <v>72</v>
      </c>
      <c r="R487" s="397" t="s">
        <v>59</v>
      </c>
      <c r="S487" s="398"/>
      <c r="T487" s="397" t="s">
        <v>73</v>
      </c>
      <c r="U487" s="398" t="s">
        <v>59</v>
      </c>
      <c r="V487" s="399" t="s">
        <v>59</v>
      </c>
      <c r="W487" s="400" t="s">
        <v>59</v>
      </c>
      <c r="X487" s="401" t="s">
        <v>59</v>
      </c>
      <c r="Y487" s="401" t="s">
        <v>59</v>
      </c>
      <c r="Z487" s="401" t="s">
        <v>59</v>
      </c>
      <c r="AA487" s="402"/>
      <c r="AB487" s="403"/>
      <c r="AC487" s="348"/>
      <c r="AD487" s="348"/>
      <c r="AE487" s="348"/>
      <c r="AF487" s="341"/>
    </row>
    <row r="488" spans="1:32" s="597" customFormat="1" ht="18" customHeight="1" x14ac:dyDescent="0.25">
      <c r="A488" s="41">
        <v>1</v>
      </c>
      <c r="B488" s="287">
        <v>2263</v>
      </c>
      <c r="C488" s="15">
        <v>74</v>
      </c>
      <c r="D488" s="15" t="s">
        <v>91</v>
      </c>
      <c r="E488" s="15">
        <v>1</v>
      </c>
      <c r="F488" s="15">
        <v>1</v>
      </c>
      <c r="G488" s="15">
        <v>2</v>
      </c>
      <c r="H488" s="284">
        <v>0</v>
      </c>
      <c r="I488" s="18">
        <f>F488*400+G488*100+H488</f>
        <v>600</v>
      </c>
      <c r="J488" s="258">
        <v>2000</v>
      </c>
      <c r="K488" s="39">
        <f>SUM(I488*J488)</f>
        <v>1200000</v>
      </c>
      <c r="L488" s="50">
        <v>41</v>
      </c>
      <c r="M488" s="145">
        <v>103</v>
      </c>
      <c r="N488" s="15" t="s">
        <v>74</v>
      </c>
      <c r="O488" s="50">
        <v>2</v>
      </c>
      <c r="P488" s="15">
        <v>349.14</v>
      </c>
      <c r="Q488" s="76" t="s">
        <v>75</v>
      </c>
      <c r="R488" s="260">
        <v>9050</v>
      </c>
      <c r="S488" s="18">
        <f>+P488*R488</f>
        <v>3159717</v>
      </c>
      <c r="T488" s="1662">
        <v>12</v>
      </c>
      <c r="U488" s="1663">
        <f>+S488*0.14</f>
        <v>442360.38000000006</v>
      </c>
      <c r="V488" s="23">
        <f>+S488-U488</f>
        <v>2717356.62</v>
      </c>
      <c r="W488" s="18">
        <f>+K488+V488</f>
        <v>3917356.62</v>
      </c>
      <c r="X488" s="18">
        <f>W488</f>
        <v>3917356.62</v>
      </c>
      <c r="Y488" s="293" t="s">
        <v>87</v>
      </c>
      <c r="Z488" s="18">
        <v>0</v>
      </c>
      <c r="AA488" s="264">
        <v>0.02</v>
      </c>
      <c r="AB488" s="406">
        <f>+Z488*AA488/100</f>
        <v>0</v>
      </c>
      <c r="AC488" s="602"/>
      <c r="AD488" s="603" t="e">
        <f>#REF!-AC488</f>
        <v>#REF!</v>
      </c>
      <c r="AE488" s="603" t="e">
        <f>IF(AD488&lt;=0,0,AD488*25/100)</f>
        <v>#REF!</v>
      </c>
      <c r="AF488" s="603" t="e">
        <f>IF(AC488+AE488&gt;#REF!,#REF!,AC488+AE488)</f>
        <v>#REF!</v>
      </c>
    </row>
    <row r="489" spans="1:32" s="597" customFormat="1" ht="18" customHeight="1" x14ac:dyDescent="0.25">
      <c r="A489" s="50"/>
      <c r="B489" s="287"/>
      <c r="C489" s="15"/>
      <c r="D489" s="15"/>
      <c r="E489" s="15"/>
      <c r="F489" s="15"/>
      <c r="G489" s="15">
        <v>0</v>
      </c>
      <c r="H489" s="284">
        <v>51</v>
      </c>
      <c r="I489" s="18">
        <f>F489*400+G489*100+H489</f>
        <v>51</v>
      </c>
      <c r="J489" s="258">
        <v>2000</v>
      </c>
      <c r="K489" s="39">
        <f>SUM(I489*J489)</f>
        <v>102000</v>
      </c>
      <c r="L489" s="50"/>
      <c r="M489" s="145">
        <v>103</v>
      </c>
      <c r="N489" s="15" t="s">
        <v>74</v>
      </c>
      <c r="O489" s="50">
        <v>2</v>
      </c>
      <c r="P489" s="15">
        <v>141.72999999999999</v>
      </c>
      <c r="Q489" s="76" t="s">
        <v>75</v>
      </c>
      <c r="R489" s="260">
        <v>9050</v>
      </c>
      <c r="S489" s="18">
        <f>+P489*R489</f>
        <v>1282656.5</v>
      </c>
      <c r="T489" s="1662">
        <v>12</v>
      </c>
      <c r="U489" s="1663">
        <f>+S489*0.14</f>
        <v>179571.91</v>
      </c>
      <c r="V489" s="23">
        <f>+S489-U489</f>
        <v>1103084.5900000001</v>
      </c>
      <c r="W489" s="18">
        <f>+K489+V489</f>
        <v>1205084.5900000001</v>
      </c>
      <c r="X489" s="18">
        <f>W489</f>
        <v>1205084.5900000001</v>
      </c>
      <c r="Y489" s="293"/>
      <c r="Z489" s="18">
        <v>0</v>
      </c>
      <c r="AA489" s="264">
        <v>0.02</v>
      </c>
      <c r="AB489" s="410">
        <f>+Z489*AA489/100</f>
        <v>0</v>
      </c>
      <c r="AC489" s="350"/>
      <c r="AD489" s="350"/>
      <c r="AE489" s="350"/>
      <c r="AF489" s="350"/>
    </row>
    <row r="490" spans="1:32" s="597" customFormat="1" ht="18" customHeight="1" x14ac:dyDescent="0.25">
      <c r="A490" s="269">
        <v>2</v>
      </c>
      <c r="B490" s="287">
        <v>2623</v>
      </c>
      <c r="C490" s="15">
        <v>26</v>
      </c>
      <c r="D490" s="15" t="s">
        <v>91</v>
      </c>
      <c r="E490" s="15">
        <v>2</v>
      </c>
      <c r="F490" s="15">
        <v>3</v>
      </c>
      <c r="G490" s="15">
        <v>2</v>
      </c>
      <c r="H490" s="284">
        <v>35</v>
      </c>
      <c r="I490" s="18">
        <f>F490*400+G490*100+H490</f>
        <v>1435</v>
      </c>
      <c r="J490" s="258">
        <v>750</v>
      </c>
      <c r="K490" s="39">
        <f>SUM(I490*J490)</f>
        <v>1076250</v>
      </c>
      <c r="L490" s="50"/>
      <c r="M490" s="145"/>
      <c r="N490" s="15"/>
      <c r="O490" s="50">
        <v>1</v>
      </c>
      <c r="P490" s="15"/>
      <c r="Q490" s="76"/>
      <c r="R490" s="260"/>
      <c r="S490" s="18"/>
      <c r="T490" s="1662"/>
      <c r="U490" s="1663"/>
      <c r="V490" s="23"/>
      <c r="W490" s="18">
        <f>+K490+V490</f>
        <v>1076250</v>
      </c>
      <c r="X490" s="18">
        <f>W490</f>
        <v>1076250</v>
      </c>
      <c r="Y490" s="293" t="s">
        <v>87</v>
      </c>
      <c r="Z490" s="18">
        <v>0</v>
      </c>
      <c r="AA490" s="264">
        <v>0.01</v>
      </c>
      <c r="AB490" s="410">
        <f>+Z490*AA490/100</f>
        <v>0</v>
      </c>
      <c r="AC490" s="350"/>
      <c r="AD490" s="350"/>
      <c r="AE490" s="350"/>
      <c r="AF490" s="350"/>
    </row>
    <row r="491" spans="1:32" s="597" customFormat="1" ht="18" customHeight="1" x14ac:dyDescent="0.25">
      <c r="A491" s="269">
        <v>3</v>
      </c>
      <c r="B491" s="287">
        <v>2622</v>
      </c>
      <c r="C491" s="15">
        <v>15</v>
      </c>
      <c r="D491" s="15" t="s">
        <v>91</v>
      </c>
      <c r="E491" s="15">
        <v>2</v>
      </c>
      <c r="F491" s="15">
        <v>2</v>
      </c>
      <c r="G491" s="15">
        <v>0</v>
      </c>
      <c r="H491" s="284">
        <v>14</v>
      </c>
      <c r="I491" s="18">
        <f>F491*400+G491*100+H491</f>
        <v>814</v>
      </c>
      <c r="J491" s="258">
        <v>1000</v>
      </c>
      <c r="K491" s="39">
        <f>SUM(I491*J491)</f>
        <v>814000</v>
      </c>
      <c r="L491" s="50"/>
      <c r="M491" s="145"/>
      <c r="N491" s="15"/>
      <c r="O491" s="50">
        <v>1</v>
      </c>
      <c r="P491" s="15"/>
      <c r="Q491" s="76"/>
      <c r="R491" s="260"/>
      <c r="S491" s="18"/>
      <c r="T491" s="59"/>
      <c r="U491" s="18"/>
      <c r="V491" s="23"/>
      <c r="W491" s="18">
        <f>+K491+V491</f>
        <v>814000</v>
      </c>
      <c r="X491" s="18">
        <f>W491</f>
        <v>814000</v>
      </c>
      <c r="Y491" s="293" t="s">
        <v>87</v>
      </c>
      <c r="Z491" s="18">
        <v>0</v>
      </c>
      <c r="AA491" s="264">
        <v>0.01</v>
      </c>
      <c r="AB491" s="416">
        <v>0</v>
      </c>
      <c r="AC491" s="350"/>
      <c r="AD491" s="350"/>
      <c r="AE491" s="350"/>
      <c r="AF491" s="350"/>
    </row>
    <row r="492" spans="1:32" s="597" customFormat="1" ht="18" customHeight="1" x14ac:dyDescent="0.2">
      <c r="A492" s="145"/>
      <c r="B492" s="177"/>
      <c r="C492" s="177"/>
      <c r="D492" s="145"/>
      <c r="E492" s="145"/>
      <c r="F492" s="145"/>
      <c r="G492" s="145"/>
      <c r="H492" s="147"/>
      <c r="I492" s="107"/>
      <c r="J492" s="178"/>
      <c r="K492" s="107"/>
      <c r="L492" s="145"/>
      <c r="M492" s="145"/>
      <c r="N492" s="145"/>
      <c r="O492" s="145"/>
      <c r="P492" s="147"/>
      <c r="Q492" s="148"/>
      <c r="R492" s="437"/>
      <c r="S492" s="107"/>
      <c r="T492" s="179"/>
      <c r="U492" s="178"/>
      <c r="V492" s="107"/>
      <c r="W492" s="107"/>
      <c r="X492" s="470"/>
      <c r="Y492" s="470"/>
      <c r="Z492" s="471"/>
      <c r="AA492" s="471"/>
      <c r="AB492" s="466"/>
      <c r="AC492" s="350"/>
      <c r="AD492" s="350"/>
      <c r="AE492" s="350"/>
      <c r="AF492" s="350"/>
    </row>
    <row r="493" spans="1:32" s="597" customFormat="1" ht="18" customHeight="1" x14ac:dyDescent="0.2">
      <c r="A493" s="145"/>
      <c r="B493" s="177"/>
      <c r="C493" s="177"/>
      <c r="D493" s="145"/>
      <c r="E493" s="145"/>
      <c r="F493" s="145"/>
      <c r="G493" s="145"/>
      <c r="H493" s="147"/>
      <c r="I493" s="107"/>
      <c r="J493" s="178"/>
      <c r="K493" s="107"/>
      <c r="L493" s="145"/>
      <c r="M493" s="145"/>
      <c r="N493" s="145"/>
      <c r="O493" s="145"/>
      <c r="P493" s="147"/>
      <c r="Q493" s="148"/>
      <c r="R493" s="437"/>
      <c r="S493" s="107"/>
      <c r="T493" s="179"/>
      <c r="U493" s="178"/>
      <c r="V493" s="107"/>
      <c r="W493" s="107"/>
      <c r="X493" s="470"/>
      <c r="Y493" s="470"/>
      <c r="Z493" s="471"/>
      <c r="AA493" s="471"/>
      <c r="AB493" s="466"/>
      <c r="AC493" s="350"/>
      <c r="AD493" s="350"/>
      <c r="AE493" s="350"/>
      <c r="AF493" s="350"/>
    </row>
    <row r="494" spans="1:32" s="597" customFormat="1" ht="18" customHeight="1" x14ac:dyDescent="0.2">
      <c r="A494" s="145"/>
      <c r="B494" s="177"/>
      <c r="C494" s="177"/>
      <c r="D494" s="145"/>
      <c r="E494" s="145"/>
      <c r="F494" s="145"/>
      <c r="G494" s="145"/>
      <c r="H494" s="147"/>
      <c r="I494" s="107"/>
      <c r="J494" s="178"/>
      <c r="K494" s="107"/>
      <c r="L494" s="145"/>
      <c r="M494" s="145"/>
      <c r="N494" s="145"/>
      <c r="O494" s="145"/>
      <c r="P494" s="147"/>
      <c r="Q494" s="148"/>
      <c r="R494" s="437"/>
      <c r="S494" s="107"/>
      <c r="T494" s="179"/>
      <c r="U494" s="178"/>
      <c r="V494" s="107"/>
      <c r="W494" s="107"/>
      <c r="X494" s="470"/>
      <c r="Y494" s="470"/>
      <c r="Z494" s="471"/>
      <c r="AA494" s="471"/>
      <c r="AB494" s="466"/>
      <c r="AC494" s="350"/>
      <c r="AD494" s="350"/>
      <c r="AE494" s="350"/>
      <c r="AF494" s="350"/>
    </row>
    <row r="495" spans="1:32" s="597" customFormat="1" ht="18" customHeight="1" x14ac:dyDescent="0.2">
      <c r="A495" s="145"/>
      <c r="B495" s="177"/>
      <c r="C495" s="177"/>
      <c r="D495" s="145"/>
      <c r="E495" s="145"/>
      <c r="F495" s="145"/>
      <c r="G495" s="145"/>
      <c r="H495" s="147"/>
      <c r="I495" s="107"/>
      <c r="J495" s="178"/>
      <c r="K495" s="107"/>
      <c r="L495" s="145"/>
      <c r="M495" s="145"/>
      <c r="N495" s="145"/>
      <c r="O495" s="145"/>
      <c r="P495" s="147"/>
      <c r="Q495" s="148"/>
      <c r="R495" s="437"/>
      <c r="S495" s="107"/>
      <c r="T495" s="179"/>
      <c r="U495" s="178"/>
      <c r="V495" s="107"/>
      <c r="W495" s="107"/>
      <c r="X495" s="470"/>
      <c r="Y495" s="470"/>
      <c r="Z495" s="471"/>
      <c r="AA495" s="471"/>
      <c r="AB495" s="466"/>
      <c r="AC495" s="350"/>
      <c r="AD495" s="350"/>
      <c r="AE495" s="350"/>
      <c r="AF495" s="350"/>
    </row>
    <row r="496" spans="1:32" s="597" customFormat="1" ht="18" customHeight="1" x14ac:dyDescent="0.2">
      <c r="A496" s="145"/>
      <c r="B496" s="177"/>
      <c r="C496" s="177"/>
      <c r="D496" s="145"/>
      <c r="E496" s="145"/>
      <c r="F496" s="145"/>
      <c r="G496" s="145"/>
      <c r="H496" s="147"/>
      <c r="I496" s="107"/>
      <c r="J496" s="178"/>
      <c r="K496" s="107"/>
      <c r="L496" s="145"/>
      <c r="M496" s="145"/>
      <c r="N496" s="145"/>
      <c r="O496" s="145"/>
      <c r="P496" s="147"/>
      <c r="Q496" s="148"/>
      <c r="R496" s="437"/>
      <c r="S496" s="107"/>
      <c r="T496" s="179"/>
      <c r="U496" s="178"/>
      <c r="V496" s="107"/>
      <c r="W496" s="107"/>
      <c r="X496" s="470"/>
      <c r="Y496" s="470"/>
      <c r="Z496" s="471"/>
      <c r="AA496" s="471"/>
      <c r="AB496" s="466"/>
      <c r="AC496" s="350"/>
      <c r="AD496" s="350"/>
      <c r="AE496" s="350"/>
      <c r="AF496" s="350"/>
    </row>
    <row r="497" spans="1:32" s="597" customFormat="1" ht="18" customHeight="1" x14ac:dyDescent="0.2">
      <c r="A497" s="145"/>
      <c r="B497" s="177"/>
      <c r="C497" s="177"/>
      <c r="D497" s="145"/>
      <c r="E497" s="145"/>
      <c r="F497" s="145"/>
      <c r="G497" s="145"/>
      <c r="H497" s="147"/>
      <c r="I497" s="107"/>
      <c r="J497" s="178"/>
      <c r="K497" s="107"/>
      <c r="L497" s="145"/>
      <c r="M497" s="145"/>
      <c r="N497" s="145"/>
      <c r="O497" s="145"/>
      <c r="P497" s="147"/>
      <c r="Q497" s="148"/>
      <c r="R497" s="437"/>
      <c r="S497" s="107"/>
      <c r="T497" s="179"/>
      <c r="U497" s="178"/>
      <c r="V497" s="107"/>
      <c r="W497" s="107"/>
      <c r="X497" s="470"/>
      <c r="Y497" s="470"/>
      <c r="Z497" s="471"/>
      <c r="AA497" s="471"/>
      <c r="AB497" s="466"/>
      <c r="AC497" s="350"/>
      <c r="AD497" s="350"/>
      <c r="AE497" s="350"/>
      <c r="AF497" s="350"/>
    </row>
    <row r="498" spans="1:32" s="597" customFormat="1" ht="18" customHeight="1" x14ac:dyDescent="0.2">
      <c r="A498" s="145"/>
      <c r="B498" s="177"/>
      <c r="C498" s="177"/>
      <c r="D498" s="145"/>
      <c r="E498" s="145"/>
      <c r="F498" s="145"/>
      <c r="G498" s="145"/>
      <c r="H498" s="147"/>
      <c r="I498" s="107"/>
      <c r="J498" s="178"/>
      <c r="K498" s="107"/>
      <c r="L498" s="145"/>
      <c r="M498" s="145"/>
      <c r="N498" s="145"/>
      <c r="O498" s="145"/>
      <c r="P498" s="147"/>
      <c r="Q498" s="148"/>
      <c r="R498" s="437"/>
      <c r="S498" s="107"/>
      <c r="T498" s="179"/>
      <c r="U498" s="178"/>
      <c r="V498" s="107"/>
      <c r="W498" s="107"/>
      <c r="X498" s="470"/>
      <c r="Y498" s="470"/>
      <c r="Z498" s="471"/>
      <c r="AA498" s="471"/>
      <c r="AB498" s="466"/>
      <c r="AC498" s="350"/>
      <c r="AD498" s="350"/>
      <c r="AE498" s="350"/>
      <c r="AF498" s="350"/>
    </row>
    <row r="499" spans="1:32" s="597" customFormat="1" ht="18" customHeight="1" x14ac:dyDescent="0.2">
      <c r="A499" s="145"/>
      <c r="B499" s="177"/>
      <c r="C499" s="177"/>
      <c r="D499" s="145"/>
      <c r="E499" s="145"/>
      <c r="F499" s="145"/>
      <c r="G499" s="145"/>
      <c r="H499" s="147"/>
      <c r="I499" s="107"/>
      <c r="J499" s="178"/>
      <c r="K499" s="107"/>
      <c r="L499" s="145"/>
      <c r="M499" s="145"/>
      <c r="N499" s="145"/>
      <c r="O499" s="145"/>
      <c r="P499" s="147"/>
      <c r="Q499" s="148"/>
      <c r="R499" s="437"/>
      <c r="S499" s="107"/>
      <c r="T499" s="179"/>
      <c r="U499" s="178"/>
      <c r="V499" s="107"/>
      <c r="W499" s="107"/>
      <c r="X499" s="470"/>
      <c r="Y499" s="470"/>
      <c r="Z499" s="471"/>
      <c r="AA499" s="471"/>
      <c r="AB499" s="466"/>
      <c r="AC499" s="350"/>
      <c r="AD499" s="350"/>
      <c r="AE499" s="350"/>
      <c r="AF499" s="350"/>
    </row>
    <row r="500" spans="1:32" s="597" customFormat="1" ht="18" customHeight="1" x14ac:dyDescent="0.2">
      <c r="A500" s="145"/>
      <c r="B500" s="177"/>
      <c r="C500" s="177"/>
      <c r="D500" s="145"/>
      <c r="E500" s="145"/>
      <c r="F500" s="145"/>
      <c r="G500" s="145"/>
      <c r="H500" s="147"/>
      <c r="I500" s="107"/>
      <c r="J500" s="178"/>
      <c r="K500" s="107"/>
      <c r="L500" s="145"/>
      <c r="M500" s="145"/>
      <c r="N500" s="145"/>
      <c r="O500" s="145"/>
      <c r="P500" s="147"/>
      <c r="Q500" s="148"/>
      <c r="R500" s="437"/>
      <c r="S500" s="107"/>
      <c r="T500" s="179"/>
      <c r="U500" s="178"/>
      <c r="V500" s="107"/>
      <c r="W500" s="107"/>
      <c r="X500" s="470"/>
      <c r="Y500" s="470"/>
      <c r="Z500" s="471"/>
      <c r="AA500" s="471"/>
      <c r="AB500" s="466"/>
      <c r="AC500" s="350"/>
      <c r="AD500" s="350"/>
      <c r="AE500" s="350"/>
      <c r="AF500" s="350"/>
    </row>
    <row r="501" spans="1:32" s="597" customFormat="1" ht="18" customHeight="1" x14ac:dyDescent="0.2">
      <c r="A501" s="145"/>
      <c r="B501" s="177"/>
      <c r="C501" s="177"/>
      <c r="D501" s="145"/>
      <c r="E501" s="145"/>
      <c r="F501" s="145"/>
      <c r="G501" s="145"/>
      <c r="H501" s="147"/>
      <c r="I501" s="107"/>
      <c r="J501" s="178"/>
      <c r="K501" s="107"/>
      <c r="L501" s="145"/>
      <c r="M501" s="145"/>
      <c r="N501" s="145"/>
      <c r="O501" s="145"/>
      <c r="P501" s="147"/>
      <c r="Q501" s="148"/>
      <c r="R501" s="437"/>
      <c r="S501" s="107"/>
      <c r="T501" s="179"/>
      <c r="U501" s="178"/>
      <c r="V501" s="107"/>
      <c r="W501" s="107"/>
      <c r="X501" s="470"/>
      <c r="Y501" s="470"/>
      <c r="Z501" s="471"/>
      <c r="AA501" s="471"/>
      <c r="AB501" s="466"/>
      <c r="AC501" s="350"/>
      <c r="AD501" s="350"/>
      <c r="AE501" s="350"/>
      <c r="AF501" s="350"/>
    </row>
    <row r="502" spans="1:32" s="597" customFormat="1" ht="18" customHeight="1" x14ac:dyDescent="0.2">
      <c r="A502" s="88"/>
      <c r="B502" s="180"/>
      <c r="C502" s="180"/>
      <c r="D502" s="88"/>
      <c r="E502" s="88"/>
      <c r="F502" s="88"/>
      <c r="G502" s="88"/>
      <c r="H502" s="120"/>
      <c r="I502" s="121"/>
      <c r="J502" s="181"/>
      <c r="K502" s="121"/>
      <c r="L502" s="88"/>
      <c r="M502" s="88"/>
      <c r="N502" s="88"/>
      <c r="O502" s="88"/>
      <c r="P502" s="88"/>
      <c r="Q502" s="129"/>
      <c r="R502" s="445"/>
      <c r="S502" s="121"/>
      <c r="T502" s="182"/>
      <c r="U502" s="181"/>
      <c r="V502" s="121"/>
      <c r="W502" s="121"/>
      <c r="X502" s="472"/>
      <c r="Y502" s="472"/>
      <c r="Z502" s="473"/>
      <c r="AA502" s="473"/>
      <c r="AB502" s="410"/>
      <c r="AC502" s="350"/>
      <c r="AD502" s="350"/>
      <c r="AE502" s="350"/>
      <c r="AF502" s="350"/>
    </row>
    <row r="503" spans="1:32" s="597" customFormat="1" ht="18" customHeight="1" x14ac:dyDescent="0.2">
      <c r="A503" s="183"/>
      <c r="B503" s="183"/>
      <c r="C503" s="183"/>
      <c r="D503" s="183"/>
      <c r="E503" s="183"/>
      <c r="F503" s="183"/>
      <c r="G503" s="183"/>
      <c r="H503" s="184"/>
      <c r="I503" s="185"/>
      <c r="J503" s="186"/>
      <c r="K503" s="185"/>
      <c r="L503" s="185"/>
      <c r="M503" s="185"/>
      <c r="N503" s="185"/>
      <c r="O503" s="185"/>
      <c r="P503" s="185"/>
      <c r="Q503" s="185"/>
      <c r="R503" s="438"/>
      <c r="S503" s="185"/>
      <c r="T503" s="187"/>
      <c r="U503" s="186"/>
      <c r="V503" s="185"/>
      <c r="W503" s="185"/>
      <c r="X503" s="474"/>
      <c r="Y503" s="474"/>
      <c r="Z503" s="475"/>
      <c r="AA503" s="475"/>
      <c r="AB503" s="476">
        <f>SUM(AB488:AB502)</f>
        <v>0</v>
      </c>
      <c r="AC503" s="351"/>
      <c r="AD503" s="351"/>
      <c r="AE503" s="351"/>
      <c r="AF503" s="351"/>
    </row>
    <row r="504" spans="1:32" s="597" customFormat="1" ht="18" customHeight="1" x14ac:dyDescent="0.2">
      <c r="A504" s="2690" t="s">
        <v>76</v>
      </c>
      <c r="B504" s="2690"/>
      <c r="C504" s="2691" t="s">
        <v>77</v>
      </c>
      <c r="D504" s="2691"/>
      <c r="E504" s="2691"/>
      <c r="F504" s="2691"/>
      <c r="G504" s="2691"/>
      <c r="H504" s="2691"/>
      <c r="I504" s="604" t="s">
        <v>78</v>
      </c>
      <c r="J504" s="604"/>
      <c r="K504" s="604"/>
      <c r="L504" s="604"/>
      <c r="M504" s="604"/>
      <c r="N504" s="604"/>
      <c r="AB504" s="598"/>
      <c r="AC504" s="349"/>
      <c r="AD504" s="349"/>
      <c r="AE504" s="349"/>
      <c r="AF504" s="349"/>
    </row>
    <row r="505" spans="1:32" s="597" customFormat="1" ht="18" customHeight="1" x14ac:dyDescent="0.2">
      <c r="A505" s="604"/>
      <c r="B505" s="605"/>
      <c r="C505" s="604"/>
      <c r="D505" s="604"/>
      <c r="E505" s="604"/>
      <c r="F505" s="604"/>
      <c r="G505" s="604"/>
      <c r="H505" s="604"/>
      <c r="I505" s="604" t="s">
        <v>79</v>
      </c>
      <c r="J505" s="604"/>
      <c r="K505" s="604"/>
      <c r="L505" s="604"/>
      <c r="M505" s="604"/>
      <c r="N505" s="604"/>
      <c r="AB505" s="598"/>
    </row>
    <row r="506" spans="1:32" s="597" customFormat="1" ht="18" customHeight="1" x14ac:dyDescent="0.2">
      <c r="A506" s="604"/>
      <c r="B506" s="605"/>
      <c r="C506" s="604"/>
      <c r="D506" s="604"/>
      <c r="E506" s="604"/>
      <c r="F506" s="604"/>
      <c r="G506" s="604"/>
      <c r="H506" s="604"/>
      <c r="I506" s="604" t="s">
        <v>80</v>
      </c>
      <c r="J506" s="604"/>
      <c r="K506" s="604"/>
      <c r="L506" s="604"/>
      <c r="M506" s="604"/>
      <c r="N506" s="604"/>
      <c r="AB506" s="598"/>
    </row>
    <row r="507" spans="1:32" s="597" customFormat="1" ht="18" customHeight="1" x14ac:dyDescent="0.2">
      <c r="A507" s="604"/>
      <c r="B507" s="605"/>
      <c r="C507" s="604"/>
      <c r="D507" s="604"/>
      <c r="E507" s="604"/>
      <c r="F507" s="604"/>
      <c r="G507" s="604"/>
      <c r="H507" s="604"/>
      <c r="I507" s="604" t="s">
        <v>81</v>
      </c>
      <c r="J507" s="604"/>
      <c r="K507" s="604"/>
      <c r="L507" s="604"/>
      <c r="M507" s="604"/>
      <c r="N507" s="604"/>
      <c r="AB507" s="598"/>
    </row>
    <row r="508" spans="1:32" s="597" customFormat="1" ht="18" customHeight="1" x14ac:dyDescent="0.2">
      <c r="A508" s="604"/>
      <c r="B508" s="605"/>
      <c r="C508" s="604"/>
      <c r="D508" s="604"/>
      <c r="E508" s="604"/>
      <c r="F508" s="604"/>
      <c r="G508" s="604"/>
      <c r="H508" s="604"/>
      <c r="I508" s="604" t="s">
        <v>88</v>
      </c>
      <c r="J508" s="604"/>
      <c r="K508" s="604"/>
      <c r="L508" s="604"/>
      <c r="M508" s="604"/>
      <c r="N508" s="604"/>
      <c r="AB508" s="598"/>
    </row>
    <row r="509" spans="1:32" s="597" customFormat="1" ht="18" customHeight="1" x14ac:dyDescent="0.2">
      <c r="A509" s="339"/>
      <c r="B509" s="339"/>
      <c r="C509" s="339"/>
      <c r="D509" s="339"/>
      <c r="E509" s="339"/>
      <c r="F509" s="339"/>
      <c r="G509" s="339"/>
      <c r="H509" s="339"/>
      <c r="I509" s="339"/>
      <c r="J509" s="339"/>
      <c r="K509" s="339"/>
      <c r="L509" s="339"/>
      <c r="M509" s="339"/>
      <c r="N509" s="339"/>
      <c r="O509" s="339"/>
      <c r="P509" s="339"/>
      <c r="Q509" s="339"/>
      <c r="R509" s="339"/>
      <c r="S509" s="339"/>
      <c r="T509" s="339"/>
      <c r="U509" s="339"/>
      <c r="V509" s="339"/>
      <c r="W509" s="339"/>
      <c r="X509" s="339"/>
      <c r="Y509" s="339"/>
      <c r="Z509" s="339"/>
      <c r="AA509" s="2702" t="s">
        <v>0</v>
      </c>
      <c r="AB509" s="2702"/>
    </row>
    <row r="510" spans="1:32" s="597" customFormat="1" ht="18" customHeight="1" x14ac:dyDescent="0.2">
      <c r="A510" s="2703" t="s">
        <v>1</v>
      </c>
      <c r="B510" s="2703"/>
      <c r="C510" s="2703"/>
      <c r="D510" s="2703"/>
      <c r="E510" s="2703"/>
      <c r="F510" s="2703"/>
      <c r="G510" s="2703"/>
      <c r="H510" s="2703"/>
      <c r="I510" s="2703"/>
      <c r="J510" s="2703"/>
      <c r="K510" s="2703"/>
      <c r="L510" s="2703"/>
      <c r="M510" s="2703"/>
      <c r="N510" s="2703"/>
      <c r="O510" s="2703"/>
      <c r="P510" s="2703"/>
      <c r="Q510" s="2703"/>
      <c r="R510" s="2703"/>
      <c r="S510" s="2703"/>
      <c r="T510" s="2703"/>
      <c r="U510" s="2703"/>
      <c r="V510" s="2703"/>
      <c r="W510" s="2703"/>
      <c r="X510" s="2703"/>
      <c r="Y510" s="2703"/>
      <c r="Z510" s="2703"/>
      <c r="AA510" s="2703"/>
      <c r="AB510" s="2703"/>
    </row>
    <row r="511" spans="1:32" s="597" customFormat="1" ht="18" customHeight="1" x14ac:dyDescent="0.2">
      <c r="A511" s="2704" t="s">
        <v>472</v>
      </c>
      <c r="B511" s="2704"/>
      <c r="C511" s="2704"/>
      <c r="D511" s="2704"/>
      <c r="E511" s="2704"/>
      <c r="F511" s="2704"/>
      <c r="G511" s="2704"/>
      <c r="H511" s="2704"/>
      <c r="I511" s="2704"/>
      <c r="J511" s="2704"/>
      <c r="K511" s="2704"/>
      <c r="L511" s="2704"/>
      <c r="M511" s="2704"/>
      <c r="N511" s="2704"/>
      <c r="O511" s="2704"/>
      <c r="P511" s="2704"/>
      <c r="Q511" s="2704"/>
      <c r="R511" s="2704"/>
      <c r="S511" s="2704"/>
      <c r="T511" s="2704"/>
      <c r="U511" s="2704"/>
      <c r="V511" s="2704"/>
      <c r="W511" s="2704"/>
      <c r="X511" s="2704"/>
      <c r="Y511" s="2704"/>
      <c r="Z511" s="2704"/>
      <c r="AA511" s="2704"/>
      <c r="AB511" s="2740"/>
    </row>
    <row r="512" spans="1:32" s="597" customFormat="1" ht="18" customHeight="1" x14ac:dyDescent="0.2">
      <c r="A512" s="2686" t="s">
        <v>2</v>
      </c>
      <c r="B512" s="360"/>
      <c r="C512" s="2686" t="s">
        <v>3</v>
      </c>
      <c r="D512" s="360"/>
      <c r="E512" s="360"/>
      <c r="F512" s="2732" t="s">
        <v>4</v>
      </c>
      <c r="G512" s="2693"/>
      <c r="H512" s="2693"/>
      <c r="I512" s="2693"/>
      <c r="J512" s="2693"/>
      <c r="K512" s="2733"/>
      <c r="L512" s="361"/>
      <c r="M512" s="2696" t="s">
        <v>5</v>
      </c>
      <c r="N512" s="2696"/>
      <c r="O512" s="2696"/>
      <c r="P512" s="2696"/>
      <c r="Q512" s="2696"/>
      <c r="R512" s="2696"/>
      <c r="S512" s="2696"/>
      <c r="T512" s="2696"/>
      <c r="U512" s="2696"/>
      <c r="V512" s="2697"/>
      <c r="W512" s="362" t="s">
        <v>6</v>
      </c>
      <c r="X512" s="363" t="s">
        <v>7</v>
      </c>
      <c r="Y512" s="364"/>
      <c r="Z512" s="364"/>
      <c r="AA512" s="363"/>
      <c r="AB512" s="365"/>
    </row>
    <row r="513" spans="1:32" s="597" customFormat="1" ht="18" customHeight="1" x14ac:dyDescent="0.2">
      <c r="A513" s="2687"/>
      <c r="B513" s="367"/>
      <c r="C513" s="2687"/>
      <c r="D513" s="366" t="s">
        <v>9</v>
      </c>
      <c r="E513" s="368" t="s">
        <v>10</v>
      </c>
      <c r="F513" s="2698" t="s">
        <v>11</v>
      </c>
      <c r="G513" s="2694"/>
      <c r="H513" s="2695"/>
      <c r="I513" s="360"/>
      <c r="J513" s="369" t="s">
        <v>12</v>
      </c>
      <c r="K513" s="360"/>
      <c r="L513" s="2734" t="s">
        <v>2</v>
      </c>
      <c r="M513" s="370"/>
      <c r="N513" s="370"/>
      <c r="O513" s="370"/>
      <c r="P513" s="371"/>
      <c r="Q513" s="372" t="s">
        <v>13</v>
      </c>
      <c r="R513" s="373" t="s">
        <v>12</v>
      </c>
      <c r="S513" s="370" t="s">
        <v>6</v>
      </c>
      <c r="T513" s="2682" t="s">
        <v>14</v>
      </c>
      <c r="U513" s="2683"/>
      <c r="V513" s="375" t="s">
        <v>7</v>
      </c>
      <c r="W513" s="376" t="s">
        <v>15</v>
      </c>
      <c r="X513" s="377" t="s">
        <v>16</v>
      </c>
      <c r="Y513" s="377" t="s">
        <v>17</v>
      </c>
      <c r="Z513" s="377" t="s">
        <v>18</v>
      </c>
      <c r="AA513" s="377"/>
      <c r="AB513" s="378" t="s">
        <v>19</v>
      </c>
    </row>
    <row r="514" spans="1:32" s="597" customFormat="1" ht="18" customHeight="1" x14ac:dyDescent="0.2">
      <c r="A514" s="2687"/>
      <c r="B514" s="366" t="s">
        <v>23</v>
      </c>
      <c r="C514" s="2687"/>
      <c r="D514" s="366" t="s">
        <v>24</v>
      </c>
      <c r="E514" s="368" t="s">
        <v>25</v>
      </c>
      <c r="F514" s="2699"/>
      <c r="G514" s="2700"/>
      <c r="H514" s="2701"/>
      <c r="I514" s="366" t="s">
        <v>26</v>
      </c>
      <c r="J514" s="379" t="s">
        <v>15</v>
      </c>
      <c r="K514" s="380" t="s">
        <v>6</v>
      </c>
      <c r="L514" s="2735"/>
      <c r="M514" s="381" t="s">
        <v>27</v>
      </c>
      <c r="N514" s="381" t="s">
        <v>10</v>
      </c>
      <c r="O514" s="382" t="s">
        <v>10</v>
      </c>
      <c r="P514" s="383" t="s">
        <v>28</v>
      </c>
      <c r="Q514" s="384" t="s">
        <v>29</v>
      </c>
      <c r="R514" s="383" t="s">
        <v>15</v>
      </c>
      <c r="S514" s="385" t="s">
        <v>15</v>
      </c>
      <c r="T514" s="2684"/>
      <c r="U514" s="2685"/>
      <c r="V514" s="375" t="s">
        <v>30</v>
      </c>
      <c r="W514" s="376" t="s">
        <v>31</v>
      </c>
      <c r="X514" s="377" t="s">
        <v>30</v>
      </c>
      <c r="Y514" s="377" t="s">
        <v>32</v>
      </c>
      <c r="Z514" s="377" t="s">
        <v>7</v>
      </c>
      <c r="AA514" s="377" t="s">
        <v>33</v>
      </c>
      <c r="AB514" s="378" t="s">
        <v>34</v>
      </c>
    </row>
    <row r="515" spans="1:32" s="597" customFormat="1" ht="18" customHeight="1" x14ac:dyDescent="0.2">
      <c r="A515" s="2687"/>
      <c r="B515" s="366" t="s">
        <v>39</v>
      </c>
      <c r="C515" s="2687"/>
      <c r="D515" s="366" t="s">
        <v>40</v>
      </c>
      <c r="E515" s="368" t="s">
        <v>41</v>
      </c>
      <c r="F515" s="2686" t="s">
        <v>42</v>
      </c>
      <c r="G515" s="2686" t="s">
        <v>43</v>
      </c>
      <c r="H515" s="2688" t="s">
        <v>44</v>
      </c>
      <c r="I515" s="366" t="s">
        <v>45</v>
      </c>
      <c r="J515" s="379" t="s">
        <v>46</v>
      </c>
      <c r="K515" s="380" t="s">
        <v>47</v>
      </c>
      <c r="L515" s="2735"/>
      <c r="M515" s="381" t="s">
        <v>30</v>
      </c>
      <c r="N515" s="381" t="s">
        <v>30</v>
      </c>
      <c r="O515" s="382" t="s">
        <v>25</v>
      </c>
      <c r="P515" s="383" t="s">
        <v>30</v>
      </c>
      <c r="Q515" s="384" t="s">
        <v>48</v>
      </c>
      <c r="R515" s="383" t="s">
        <v>49</v>
      </c>
      <c r="S515" s="385" t="s">
        <v>30</v>
      </c>
      <c r="T515" s="386" t="s">
        <v>50</v>
      </c>
      <c r="U515" s="374" t="s">
        <v>13</v>
      </c>
      <c r="V515" s="375" t="s">
        <v>51</v>
      </c>
      <c r="W515" s="376" t="s">
        <v>52</v>
      </c>
      <c r="X515" s="377" t="s">
        <v>53</v>
      </c>
      <c r="Y515" s="377" t="s">
        <v>54</v>
      </c>
      <c r="Z515" s="377" t="s">
        <v>55</v>
      </c>
      <c r="AA515" s="377" t="s">
        <v>56</v>
      </c>
      <c r="AB515" s="378" t="s">
        <v>57</v>
      </c>
    </row>
    <row r="516" spans="1:32" s="597" customFormat="1" ht="18" customHeight="1" x14ac:dyDescent="0.2">
      <c r="A516" s="2687"/>
      <c r="B516" s="366" t="s">
        <v>61</v>
      </c>
      <c r="C516" s="2687"/>
      <c r="D516" s="366" t="s">
        <v>62</v>
      </c>
      <c r="E516" s="368" t="s">
        <v>63</v>
      </c>
      <c r="F516" s="2687"/>
      <c r="G516" s="2687"/>
      <c r="H516" s="2689"/>
      <c r="I516" s="366" t="s">
        <v>64</v>
      </c>
      <c r="J516" s="379" t="s">
        <v>59</v>
      </c>
      <c r="K516" s="380" t="s">
        <v>59</v>
      </c>
      <c r="L516" s="2735"/>
      <c r="M516" s="381"/>
      <c r="N516" s="381"/>
      <c r="O516" s="382" t="s">
        <v>41</v>
      </c>
      <c r="P516" s="383" t="s">
        <v>65</v>
      </c>
      <c r="Q516" s="384" t="s">
        <v>66</v>
      </c>
      <c r="R516" s="383" t="s">
        <v>67</v>
      </c>
      <c r="S516" s="385" t="s">
        <v>59</v>
      </c>
      <c r="T516" s="387" t="s">
        <v>68</v>
      </c>
      <c r="U516" s="375" t="s">
        <v>14</v>
      </c>
      <c r="V516" s="375" t="s">
        <v>14</v>
      </c>
      <c r="W516" s="376" t="s">
        <v>30</v>
      </c>
      <c r="X516" s="388" t="s">
        <v>69</v>
      </c>
      <c r="Y516" s="388" t="s">
        <v>70</v>
      </c>
      <c r="Z516" s="377" t="s">
        <v>71</v>
      </c>
      <c r="AA516" s="377" t="s">
        <v>72</v>
      </c>
      <c r="AB516" s="378" t="s">
        <v>59</v>
      </c>
    </row>
    <row r="517" spans="1:32" s="597" customFormat="1" ht="18" customHeight="1" x14ac:dyDescent="0.2">
      <c r="A517" s="2692"/>
      <c r="B517" s="390"/>
      <c r="C517" s="2692"/>
      <c r="D517" s="390"/>
      <c r="E517" s="389"/>
      <c r="F517" s="390"/>
      <c r="G517" s="390"/>
      <c r="H517" s="391"/>
      <c r="I517" s="389"/>
      <c r="J517" s="392"/>
      <c r="K517" s="393"/>
      <c r="L517" s="2736"/>
      <c r="M517" s="394"/>
      <c r="N517" s="394"/>
      <c r="O517" s="394" t="s">
        <v>63</v>
      </c>
      <c r="P517" s="395"/>
      <c r="Q517" s="396" t="s">
        <v>72</v>
      </c>
      <c r="R517" s="397" t="s">
        <v>59</v>
      </c>
      <c r="S517" s="398"/>
      <c r="T517" s="397" t="s">
        <v>73</v>
      </c>
      <c r="U517" s="398" t="s">
        <v>59</v>
      </c>
      <c r="V517" s="399" t="s">
        <v>59</v>
      </c>
      <c r="W517" s="400" t="s">
        <v>59</v>
      </c>
      <c r="X517" s="401" t="s">
        <v>59</v>
      </c>
      <c r="Y517" s="401" t="s">
        <v>59</v>
      </c>
      <c r="Z517" s="401" t="s">
        <v>59</v>
      </c>
      <c r="AA517" s="402"/>
      <c r="AB517" s="403"/>
    </row>
    <row r="518" spans="1:32" s="597" customFormat="1" ht="18" customHeight="1" x14ac:dyDescent="0.25">
      <c r="A518" s="41">
        <v>1</v>
      </c>
      <c r="B518" s="287">
        <v>2263</v>
      </c>
      <c r="C518" s="287">
        <v>74</v>
      </c>
      <c r="D518" s="15" t="s">
        <v>91</v>
      </c>
      <c r="E518" s="15">
        <v>1</v>
      </c>
      <c r="F518" s="15">
        <v>1</v>
      </c>
      <c r="G518" s="15">
        <v>2</v>
      </c>
      <c r="H518" s="284">
        <v>0</v>
      </c>
      <c r="I518" s="18">
        <f>F518*400+G518*100+H518</f>
        <v>600</v>
      </c>
      <c r="J518" s="258">
        <v>2000</v>
      </c>
      <c r="K518" s="39">
        <f>SUM(I518*J518)</f>
        <v>1200000</v>
      </c>
      <c r="L518" s="50">
        <v>41</v>
      </c>
      <c r="M518" s="145">
        <v>103</v>
      </c>
      <c r="N518" s="15" t="s">
        <v>74</v>
      </c>
      <c r="O518" s="50">
        <v>2</v>
      </c>
      <c r="P518" s="15">
        <v>349.14</v>
      </c>
      <c r="Q518" s="76" t="s">
        <v>75</v>
      </c>
      <c r="R518" s="260">
        <v>9050</v>
      </c>
      <c r="S518" s="18">
        <f>+P518*R518</f>
        <v>3159717</v>
      </c>
      <c r="T518" s="1662">
        <v>12</v>
      </c>
      <c r="U518" s="1663">
        <f>+S518*0.14</f>
        <v>442360.38000000006</v>
      </c>
      <c r="V518" s="23">
        <f>+S518-U518</f>
        <v>2717356.62</v>
      </c>
      <c r="W518" s="18">
        <f>+K518+V518</f>
        <v>3917356.62</v>
      </c>
      <c r="X518" s="18">
        <f>W518</f>
        <v>3917356.62</v>
      </c>
      <c r="Y518" s="293" t="s">
        <v>87</v>
      </c>
      <c r="Z518" s="18">
        <v>0</v>
      </c>
      <c r="AA518" s="264">
        <v>0.02</v>
      </c>
      <c r="AB518" s="406">
        <f>+Z518*AA518/100</f>
        <v>0</v>
      </c>
      <c r="AC518" s="602"/>
      <c r="AD518" s="603" t="e">
        <f>#REF!-AC518</f>
        <v>#REF!</v>
      </c>
      <c r="AE518" s="603" t="e">
        <f>IF(AD518&lt;=0,0,AD518*25/100)</f>
        <v>#REF!</v>
      </c>
      <c r="AF518" s="603" t="e">
        <f>IF(AC518+AE518&gt;#REF!,#REF!,AC518+AE518)</f>
        <v>#REF!</v>
      </c>
    </row>
    <row r="519" spans="1:32" s="597" customFormat="1" ht="18" customHeight="1" x14ac:dyDescent="0.2">
      <c r="A519" s="50"/>
      <c r="B519" s="15"/>
      <c r="C519" s="15"/>
      <c r="D519" s="15"/>
      <c r="E519" s="15"/>
      <c r="F519" s="15"/>
      <c r="G519" s="15">
        <v>0</v>
      </c>
      <c r="H519" s="284">
        <v>51</v>
      </c>
      <c r="I519" s="18">
        <f>F519*400+G519*100+H519</f>
        <v>51</v>
      </c>
      <c r="J519" s="258">
        <v>2000</v>
      </c>
      <c r="K519" s="39">
        <f>SUM(I519*J519)</f>
        <v>102000</v>
      </c>
      <c r="L519" s="50">
        <v>9849</v>
      </c>
      <c r="M519" s="145">
        <v>103</v>
      </c>
      <c r="N519" s="15" t="s">
        <v>74</v>
      </c>
      <c r="O519" s="50">
        <v>2</v>
      </c>
      <c r="P519" s="15">
        <v>141.72999999999999</v>
      </c>
      <c r="Q519" s="76" t="s">
        <v>75</v>
      </c>
      <c r="R519" s="260">
        <v>9050</v>
      </c>
      <c r="S519" s="18">
        <f>+P519*R519</f>
        <v>1282656.5</v>
      </c>
      <c r="T519" s="1662">
        <v>12</v>
      </c>
      <c r="U519" s="1663">
        <f>+S519*0.14</f>
        <v>179571.91</v>
      </c>
      <c r="V519" s="23">
        <f>+S519-U519</f>
        <v>1103084.5900000001</v>
      </c>
      <c r="W519" s="18">
        <f>+K519+V519</f>
        <v>1205084.5900000001</v>
      </c>
      <c r="X519" s="18">
        <f>W519</f>
        <v>1205084.5900000001</v>
      </c>
      <c r="Y519" s="293"/>
      <c r="Z519" s="18">
        <f>+X519</f>
        <v>1205084.5900000001</v>
      </c>
      <c r="AA519" s="264">
        <v>0.02</v>
      </c>
      <c r="AB519" s="410">
        <f>+Z519*AA519/100</f>
        <v>241.016918</v>
      </c>
      <c r="AC519" s="350"/>
      <c r="AD519" s="350"/>
      <c r="AE519" s="350"/>
      <c r="AF519" s="350"/>
    </row>
    <row r="520" spans="1:32" s="597" customFormat="1" ht="18" customHeight="1" x14ac:dyDescent="0.2">
      <c r="A520" s="145"/>
      <c r="B520" s="177"/>
      <c r="C520" s="177"/>
      <c r="D520" s="145"/>
      <c r="E520" s="145"/>
      <c r="F520" s="145"/>
      <c r="G520" s="145"/>
      <c r="H520" s="147"/>
      <c r="I520" s="107"/>
      <c r="J520" s="178"/>
      <c r="K520" s="107"/>
      <c r="L520" s="145"/>
      <c r="M520" s="145"/>
      <c r="N520" s="145"/>
      <c r="O520" s="145"/>
      <c r="P520" s="147"/>
      <c r="Q520" s="148"/>
      <c r="R520" s="437"/>
      <c r="S520" s="107"/>
      <c r="T520" s="179"/>
      <c r="U520" s="178"/>
      <c r="V520" s="107"/>
      <c r="W520" s="107"/>
      <c r="X520" s="470"/>
      <c r="Y520" s="470"/>
      <c r="Z520" s="471"/>
      <c r="AA520" s="471"/>
      <c r="AB520" s="466"/>
    </row>
    <row r="521" spans="1:32" s="597" customFormat="1" ht="18" customHeight="1" x14ac:dyDescent="0.2">
      <c r="A521" s="145"/>
      <c r="B521" s="177"/>
      <c r="C521" s="177"/>
      <c r="D521" s="145"/>
      <c r="E521" s="145"/>
      <c r="F521" s="145"/>
      <c r="G521" s="145"/>
      <c r="H521" s="147"/>
      <c r="I521" s="107"/>
      <c r="J521" s="178"/>
      <c r="K521" s="107"/>
      <c r="L521" s="145"/>
      <c r="M521" s="145"/>
      <c r="N521" s="145"/>
      <c r="O521" s="145"/>
      <c r="P521" s="147"/>
      <c r="Q521" s="148"/>
      <c r="R521" s="437"/>
      <c r="S521" s="107"/>
      <c r="T521" s="179"/>
      <c r="U521" s="178"/>
      <c r="V521" s="107"/>
      <c r="W521" s="107"/>
      <c r="X521" s="470"/>
      <c r="Y521" s="470"/>
      <c r="Z521" s="471"/>
      <c r="AA521" s="471"/>
      <c r="AB521" s="466"/>
    </row>
    <row r="522" spans="1:32" s="597" customFormat="1" ht="18" customHeight="1" x14ac:dyDescent="0.2">
      <c r="A522" s="145"/>
      <c r="B522" s="177"/>
      <c r="C522" s="177"/>
      <c r="D522" s="145"/>
      <c r="E522" s="145"/>
      <c r="F522" s="145"/>
      <c r="G522" s="145"/>
      <c r="H522" s="147"/>
      <c r="I522" s="107"/>
      <c r="J522" s="178"/>
      <c r="K522" s="107"/>
      <c r="L522" s="145"/>
      <c r="M522" s="145"/>
      <c r="N522" s="145"/>
      <c r="O522" s="145"/>
      <c r="P522" s="147"/>
      <c r="Q522" s="148"/>
      <c r="R522" s="437"/>
      <c r="S522" s="107"/>
      <c r="T522" s="179"/>
      <c r="U522" s="178"/>
      <c r="V522" s="107"/>
      <c r="W522" s="107"/>
      <c r="X522" s="470"/>
      <c r="Y522" s="470"/>
      <c r="Z522" s="471"/>
      <c r="AA522" s="471"/>
      <c r="AB522" s="466"/>
    </row>
    <row r="523" spans="1:32" s="597" customFormat="1" ht="18" customHeight="1" x14ac:dyDescent="0.2">
      <c r="A523" s="145"/>
      <c r="B523" s="177"/>
      <c r="C523" s="177"/>
      <c r="D523" s="145"/>
      <c r="E523" s="145"/>
      <c r="F523" s="145"/>
      <c r="G523" s="145"/>
      <c r="H523" s="147"/>
      <c r="I523" s="107"/>
      <c r="J523" s="178"/>
      <c r="K523" s="107"/>
      <c r="L523" s="145"/>
      <c r="M523" s="145"/>
      <c r="N523" s="145"/>
      <c r="O523" s="145"/>
      <c r="P523" s="147"/>
      <c r="Q523" s="148"/>
      <c r="R523" s="437"/>
      <c r="S523" s="107"/>
      <c r="T523" s="179"/>
      <c r="U523" s="178"/>
      <c r="V523" s="107"/>
      <c r="W523" s="107"/>
      <c r="X523" s="470"/>
      <c r="Y523" s="470"/>
      <c r="Z523" s="471"/>
      <c r="AA523" s="471"/>
      <c r="AB523" s="466"/>
    </row>
    <row r="524" spans="1:32" s="597" customFormat="1" ht="18" customHeight="1" x14ac:dyDescent="0.2">
      <c r="A524" s="145"/>
      <c r="B524" s="177"/>
      <c r="C524" s="177"/>
      <c r="D524" s="145"/>
      <c r="E524" s="145"/>
      <c r="F524" s="145"/>
      <c r="G524" s="145"/>
      <c r="H524" s="147"/>
      <c r="I524" s="107"/>
      <c r="J524" s="178"/>
      <c r="K524" s="107"/>
      <c r="L524" s="145"/>
      <c r="M524" s="145"/>
      <c r="N524" s="145"/>
      <c r="O524" s="145"/>
      <c r="P524" s="147"/>
      <c r="Q524" s="148"/>
      <c r="R524" s="437"/>
      <c r="S524" s="107"/>
      <c r="T524" s="179"/>
      <c r="U524" s="178"/>
      <c r="V524" s="107"/>
      <c r="W524" s="107"/>
      <c r="X524" s="470"/>
      <c r="Y524" s="470"/>
      <c r="Z524" s="471"/>
      <c r="AA524" s="471"/>
      <c r="AB524" s="466"/>
    </row>
    <row r="525" spans="1:32" s="597" customFormat="1" ht="18" customHeight="1" x14ac:dyDescent="0.2">
      <c r="A525" s="145"/>
      <c r="B525" s="177"/>
      <c r="C525" s="177"/>
      <c r="D525" s="145"/>
      <c r="E525" s="145"/>
      <c r="F525" s="145"/>
      <c r="G525" s="145"/>
      <c r="H525" s="147"/>
      <c r="I525" s="107"/>
      <c r="J525" s="178"/>
      <c r="K525" s="107"/>
      <c r="L525" s="145"/>
      <c r="M525" s="145"/>
      <c r="N525" s="145"/>
      <c r="O525" s="145"/>
      <c r="P525" s="147"/>
      <c r="Q525" s="148"/>
      <c r="R525" s="437"/>
      <c r="S525" s="107"/>
      <c r="T525" s="179"/>
      <c r="U525" s="178"/>
      <c r="V525" s="107"/>
      <c r="W525" s="107"/>
      <c r="X525" s="470"/>
      <c r="Y525" s="470"/>
      <c r="Z525" s="471"/>
      <c r="AA525" s="471"/>
      <c r="AB525" s="466"/>
    </row>
    <row r="526" spans="1:32" s="597" customFormat="1" ht="18" customHeight="1" x14ac:dyDescent="0.2">
      <c r="A526" s="145"/>
      <c r="B526" s="177"/>
      <c r="C526" s="177"/>
      <c r="D526" s="145"/>
      <c r="E526" s="145"/>
      <c r="F526" s="145"/>
      <c r="G526" s="145"/>
      <c r="H526" s="147"/>
      <c r="I526" s="107"/>
      <c r="J526" s="178"/>
      <c r="K526" s="107"/>
      <c r="L526" s="145"/>
      <c r="M526" s="145"/>
      <c r="N526" s="145"/>
      <c r="O526" s="145"/>
      <c r="P526" s="147"/>
      <c r="Q526" s="148"/>
      <c r="R526" s="437"/>
      <c r="S526" s="107"/>
      <c r="T526" s="179"/>
      <c r="U526" s="178"/>
      <c r="V526" s="107"/>
      <c r="W526" s="107"/>
      <c r="X526" s="470"/>
      <c r="Y526" s="470"/>
      <c r="Z526" s="471"/>
      <c r="AA526" s="471"/>
      <c r="AB526" s="466"/>
    </row>
    <row r="527" spans="1:32" s="597" customFormat="1" ht="18" customHeight="1" x14ac:dyDescent="0.2">
      <c r="A527" s="145"/>
      <c r="B527" s="177"/>
      <c r="C527" s="177"/>
      <c r="D527" s="145"/>
      <c r="E527" s="145"/>
      <c r="F527" s="145"/>
      <c r="G527" s="145"/>
      <c r="H527" s="147"/>
      <c r="I527" s="107"/>
      <c r="J527" s="178"/>
      <c r="K527" s="107"/>
      <c r="L527" s="145"/>
      <c r="M527" s="145"/>
      <c r="N527" s="145"/>
      <c r="O527" s="145"/>
      <c r="P527" s="147"/>
      <c r="Q527" s="148"/>
      <c r="R527" s="437"/>
      <c r="S527" s="107"/>
      <c r="T527" s="179"/>
      <c r="U527" s="178"/>
      <c r="V527" s="107"/>
      <c r="W527" s="107"/>
      <c r="X527" s="470"/>
      <c r="Y527" s="470"/>
      <c r="Z527" s="471"/>
      <c r="AA527" s="471"/>
      <c r="AB527" s="466"/>
    </row>
    <row r="528" spans="1:32" s="597" customFormat="1" ht="18" customHeight="1" x14ac:dyDescent="0.2">
      <c r="A528" s="145"/>
      <c r="B528" s="177"/>
      <c r="C528" s="177"/>
      <c r="D528" s="145"/>
      <c r="E528" s="145"/>
      <c r="F528" s="145"/>
      <c r="G528" s="145"/>
      <c r="H528" s="147"/>
      <c r="I528" s="107"/>
      <c r="J528" s="178"/>
      <c r="K528" s="107"/>
      <c r="L528" s="145"/>
      <c r="M528" s="145"/>
      <c r="N528" s="145"/>
      <c r="O528" s="145"/>
      <c r="P528" s="147"/>
      <c r="Q528" s="148"/>
      <c r="R528" s="437"/>
      <c r="S528" s="107"/>
      <c r="T528" s="179"/>
      <c r="U528" s="178"/>
      <c r="V528" s="107"/>
      <c r="W528" s="107"/>
      <c r="X528" s="470"/>
      <c r="Y528" s="470"/>
      <c r="Z528" s="471"/>
      <c r="AA528" s="471"/>
      <c r="AB528" s="466"/>
    </row>
    <row r="529" spans="1:32" s="597" customFormat="1" ht="18" customHeight="1" x14ac:dyDescent="0.2">
      <c r="A529" s="145"/>
      <c r="B529" s="177"/>
      <c r="C529" s="177"/>
      <c r="D529" s="145"/>
      <c r="E529" s="145"/>
      <c r="F529" s="145"/>
      <c r="G529" s="145"/>
      <c r="H529" s="147"/>
      <c r="I529" s="107"/>
      <c r="J529" s="178"/>
      <c r="K529" s="107"/>
      <c r="L529" s="145"/>
      <c r="M529" s="145"/>
      <c r="N529" s="145"/>
      <c r="O529" s="145"/>
      <c r="P529" s="147"/>
      <c r="Q529" s="148"/>
      <c r="R529" s="437"/>
      <c r="S529" s="107"/>
      <c r="T529" s="179"/>
      <c r="U529" s="178"/>
      <c r="V529" s="107"/>
      <c r="W529" s="107"/>
      <c r="X529" s="470"/>
      <c r="Y529" s="470"/>
      <c r="Z529" s="471"/>
      <c r="AA529" s="471"/>
      <c r="AB529" s="466"/>
    </row>
    <row r="530" spans="1:32" s="597" customFormat="1" ht="18" customHeight="1" x14ac:dyDescent="0.2">
      <c r="A530" s="145"/>
      <c r="B530" s="177"/>
      <c r="C530" s="177"/>
      <c r="D530" s="145"/>
      <c r="E530" s="145"/>
      <c r="F530" s="145"/>
      <c r="G530" s="145"/>
      <c r="H530" s="147"/>
      <c r="I530" s="107"/>
      <c r="J530" s="178"/>
      <c r="K530" s="107"/>
      <c r="L530" s="145"/>
      <c r="M530" s="145"/>
      <c r="N530" s="145"/>
      <c r="O530" s="145"/>
      <c r="P530" s="147"/>
      <c r="Q530" s="148"/>
      <c r="R530" s="437"/>
      <c r="S530" s="107"/>
      <c r="T530" s="179"/>
      <c r="U530" s="178"/>
      <c r="V530" s="107"/>
      <c r="W530" s="107"/>
      <c r="X530" s="470"/>
      <c r="Y530" s="470"/>
      <c r="Z530" s="471"/>
      <c r="AA530" s="471"/>
      <c r="AB530" s="466"/>
    </row>
    <row r="531" spans="1:32" s="597" customFormat="1" ht="18" customHeight="1" x14ac:dyDescent="0.2">
      <c r="A531" s="145"/>
      <c r="B531" s="177"/>
      <c r="C531" s="177"/>
      <c r="D531" s="145"/>
      <c r="E531" s="145"/>
      <c r="F531" s="145"/>
      <c r="G531" s="145"/>
      <c r="H531" s="147"/>
      <c r="I531" s="107"/>
      <c r="J531" s="178"/>
      <c r="K531" s="107"/>
      <c r="L531" s="145"/>
      <c r="M531" s="145"/>
      <c r="N531" s="145"/>
      <c r="O531" s="145"/>
      <c r="P531" s="147"/>
      <c r="Q531" s="148"/>
      <c r="R531" s="437"/>
      <c r="S531" s="107"/>
      <c r="T531" s="179"/>
      <c r="U531" s="178"/>
      <c r="V531" s="107"/>
      <c r="W531" s="107"/>
      <c r="X531" s="470"/>
      <c r="Y531" s="470"/>
      <c r="Z531" s="471"/>
      <c r="AA531" s="471"/>
      <c r="AB531" s="466"/>
    </row>
    <row r="532" spans="1:32" s="597" customFormat="1" ht="18" customHeight="1" x14ac:dyDescent="0.2">
      <c r="A532" s="88"/>
      <c r="B532" s="180"/>
      <c r="C532" s="180"/>
      <c r="D532" s="88"/>
      <c r="E532" s="88"/>
      <c r="F532" s="88"/>
      <c r="G532" s="88"/>
      <c r="H532" s="120"/>
      <c r="I532" s="121"/>
      <c r="J532" s="181"/>
      <c r="K532" s="121"/>
      <c r="L532" s="88"/>
      <c r="M532" s="88"/>
      <c r="N532" s="88"/>
      <c r="O532" s="88"/>
      <c r="P532" s="88"/>
      <c r="Q532" s="129"/>
      <c r="R532" s="445"/>
      <c r="S532" s="121"/>
      <c r="T532" s="182"/>
      <c r="U532" s="181"/>
      <c r="V532" s="121"/>
      <c r="W532" s="121"/>
      <c r="X532" s="472"/>
      <c r="Y532" s="472"/>
      <c r="Z532" s="473"/>
      <c r="AA532" s="473"/>
      <c r="AB532" s="410"/>
    </row>
    <row r="533" spans="1:32" s="597" customFormat="1" ht="18" customHeight="1" x14ac:dyDescent="0.2">
      <c r="A533" s="1850"/>
      <c r="B533" s="1850"/>
      <c r="C533" s="1850"/>
      <c r="D533" s="1850"/>
      <c r="E533" s="1850"/>
      <c r="F533" s="1850"/>
      <c r="G533" s="1850"/>
      <c r="H533" s="1851"/>
      <c r="I533" s="1852"/>
      <c r="J533" s="1853"/>
      <c r="K533" s="1852"/>
      <c r="L533" s="1852"/>
      <c r="M533" s="1852"/>
      <c r="N533" s="1852"/>
      <c r="O533" s="1852"/>
      <c r="P533" s="1852"/>
      <c r="Q533" s="1852"/>
      <c r="R533" s="1854"/>
      <c r="S533" s="1852"/>
      <c r="T533" s="1855"/>
      <c r="U533" s="1853"/>
      <c r="V533" s="1852"/>
      <c r="W533" s="1852"/>
      <c r="X533" s="1856"/>
      <c r="Y533" s="1856"/>
      <c r="Z533" s="1857"/>
      <c r="AA533" s="1857"/>
      <c r="AB533" s="1847">
        <f>SUM(AB518:AB532)</f>
        <v>241.016918</v>
      </c>
    </row>
    <row r="534" spans="1:32" s="597" customFormat="1" ht="18" customHeight="1" x14ac:dyDescent="0.2">
      <c r="A534" s="2690" t="s">
        <v>76</v>
      </c>
      <c r="B534" s="2690"/>
      <c r="C534" s="2691" t="s">
        <v>77</v>
      </c>
      <c r="D534" s="2691"/>
      <c r="E534" s="2691"/>
      <c r="F534" s="2691"/>
      <c r="G534" s="2691"/>
      <c r="H534" s="2691"/>
      <c r="I534" s="604" t="s">
        <v>78</v>
      </c>
      <c r="J534" s="604"/>
      <c r="K534" s="604"/>
      <c r="L534" s="604"/>
      <c r="M534" s="604"/>
      <c r="N534" s="604"/>
      <c r="AB534" s="598"/>
    </row>
    <row r="535" spans="1:32" s="597" customFormat="1" ht="18" customHeight="1" x14ac:dyDescent="0.2">
      <c r="A535" s="604"/>
      <c r="B535" s="605"/>
      <c r="C535" s="604"/>
      <c r="D535" s="604"/>
      <c r="E535" s="604"/>
      <c r="F535" s="604"/>
      <c r="G535" s="604"/>
      <c r="H535" s="604"/>
      <c r="I535" s="604" t="s">
        <v>79</v>
      </c>
      <c r="J535" s="604"/>
      <c r="K535" s="604"/>
      <c r="L535" s="604"/>
      <c r="M535" s="604"/>
      <c r="N535" s="604"/>
      <c r="AB535" s="598"/>
    </row>
    <row r="536" spans="1:32" s="597" customFormat="1" ht="18" customHeight="1" x14ac:dyDescent="0.2">
      <c r="A536" s="604"/>
      <c r="B536" s="605"/>
      <c r="C536" s="604"/>
      <c r="D536" s="604"/>
      <c r="E536" s="604"/>
      <c r="F536" s="604"/>
      <c r="G536" s="604"/>
      <c r="H536" s="604"/>
      <c r="I536" s="604" t="s">
        <v>80</v>
      </c>
      <c r="J536" s="604"/>
      <c r="K536" s="604"/>
      <c r="L536" s="604"/>
      <c r="M536" s="604"/>
      <c r="N536" s="604"/>
      <c r="AB536" s="598"/>
    </row>
    <row r="537" spans="1:32" s="597" customFormat="1" ht="18" customHeight="1" x14ac:dyDescent="0.2">
      <c r="A537" s="604"/>
      <c r="B537" s="605"/>
      <c r="C537" s="604"/>
      <c r="D537" s="604"/>
      <c r="E537" s="604"/>
      <c r="F537" s="604"/>
      <c r="G537" s="604"/>
      <c r="H537" s="604"/>
      <c r="I537" s="604" t="s">
        <v>81</v>
      </c>
      <c r="J537" s="604"/>
      <c r="K537" s="604"/>
      <c r="L537" s="604"/>
      <c r="M537" s="604"/>
      <c r="N537" s="604"/>
      <c r="AB537" s="598"/>
    </row>
    <row r="538" spans="1:32" s="597" customFormat="1" ht="18" customHeight="1" x14ac:dyDescent="0.2">
      <c r="A538" s="604"/>
      <c r="B538" s="605"/>
      <c r="C538" s="604"/>
      <c r="D538" s="604"/>
      <c r="E538" s="604"/>
      <c r="F538" s="604"/>
      <c r="G538" s="604"/>
      <c r="H538" s="604"/>
      <c r="I538" s="604" t="s">
        <v>88</v>
      </c>
      <c r="J538" s="604"/>
      <c r="K538" s="604"/>
      <c r="L538" s="604"/>
      <c r="M538" s="604"/>
      <c r="N538" s="604"/>
      <c r="AB538" s="598"/>
    </row>
    <row r="539" spans="1:32" s="597" customFormat="1" ht="18" customHeight="1" x14ac:dyDescent="0.2">
      <c r="A539" s="339"/>
      <c r="B539" s="339"/>
      <c r="C539" s="339"/>
      <c r="D539" s="339"/>
      <c r="E539" s="339"/>
      <c r="F539" s="339"/>
      <c r="G539" s="339"/>
      <c r="H539" s="339"/>
      <c r="I539" s="339"/>
      <c r="J539" s="339"/>
      <c r="K539" s="339"/>
      <c r="L539" s="339"/>
      <c r="M539" s="339"/>
      <c r="N539" s="339"/>
      <c r="O539" s="339"/>
      <c r="P539" s="339"/>
      <c r="Q539" s="339"/>
      <c r="R539" s="339"/>
      <c r="S539" s="339"/>
      <c r="T539" s="339"/>
      <c r="U539" s="339"/>
      <c r="V539" s="339"/>
      <c r="W539" s="339"/>
      <c r="X539" s="339"/>
      <c r="Y539" s="339"/>
      <c r="Z539" s="339"/>
      <c r="AA539" s="2702" t="s">
        <v>0</v>
      </c>
      <c r="AB539" s="2702"/>
    </row>
    <row r="540" spans="1:32" s="597" customFormat="1" ht="18" customHeight="1" x14ac:dyDescent="0.2">
      <c r="A540" s="2703" t="s">
        <v>1</v>
      </c>
      <c r="B540" s="2703"/>
      <c r="C540" s="2703"/>
      <c r="D540" s="2703"/>
      <c r="E540" s="2703"/>
      <c r="F540" s="2703"/>
      <c r="G540" s="2703"/>
      <c r="H540" s="2703"/>
      <c r="I540" s="2703"/>
      <c r="J540" s="2703"/>
      <c r="K540" s="2703"/>
      <c r="L540" s="2703"/>
      <c r="M540" s="2703"/>
      <c r="N540" s="2703"/>
      <c r="O540" s="2703"/>
      <c r="P540" s="2703"/>
      <c r="Q540" s="2703"/>
      <c r="R540" s="2703"/>
      <c r="S540" s="2703"/>
      <c r="T540" s="2703"/>
      <c r="U540" s="2703"/>
      <c r="V540" s="2703"/>
      <c r="W540" s="2703"/>
      <c r="X540" s="2703"/>
      <c r="Y540" s="2703"/>
      <c r="Z540" s="2703"/>
      <c r="AA540" s="2703"/>
      <c r="AB540" s="2703"/>
      <c r="AC540" s="339"/>
      <c r="AD540" s="339"/>
      <c r="AE540" s="339"/>
      <c r="AF540" s="339"/>
    </row>
    <row r="541" spans="1:32" s="597" customFormat="1" ht="18" customHeight="1" x14ac:dyDescent="0.2">
      <c r="A541" s="2743" t="s">
        <v>301</v>
      </c>
      <c r="B541" s="2743"/>
      <c r="C541" s="2743"/>
      <c r="D541" s="2743"/>
      <c r="E541" s="2743"/>
      <c r="F541" s="2743"/>
      <c r="G541" s="2743"/>
      <c r="H541" s="2743"/>
      <c r="I541" s="2743"/>
      <c r="J541" s="2743"/>
      <c r="K541" s="2743"/>
      <c r="L541" s="2743"/>
      <c r="M541" s="2743"/>
      <c r="N541" s="2743"/>
      <c r="O541" s="2743"/>
      <c r="P541" s="2743"/>
      <c r="Q541" s="2743"/>
      <c r="R541" s="2743"/>
      <c r="S541" s="2743"/>
      <c r="T541" s="2743"/>
      <c r="U541" s="2743"/>
      <c r="V541" s="2743"/>
      <c r="W541" s="2743"/>
      <c r="X541" s="2743"/>
      <c r="Y541" s="2743"/>
      <c r="Z541" s="2743"/>
      <c r="AA541" s="2743"/>
      <c r="AB541" s="2743"/>
      <c r="AC541" s="344"/>
      <c r="AD541" s="344"/>
      <c r="AE541" s="344"/>
      <c r="AF541" s="344"/>
    </row>
    <row r="542" spans="1:32" s="597" customFormat="1" ht="18" customHeight="1" x14ac:dyDescent="0.2">
      <c r="A542" s="2686" t="s">
        <v>2</v>
      </c>
      <c r="B542" s="360"/>
      <c r="C542" s="2686" t="s">
        <v>3</v>
      </c>
      <c r="D542" s="360"/>
      <c r="E542" s="360"/>
      <c r="F542" s="2693" t="s">
        <v>4</v>
      </c>
      <c r="G542" s="2693"/>
      <c r="H542" s="2693"/>
      <c r="I542" s="2694"/>
      <c r="J542" s="2694"/>
      <c r="K542" s="2695"/>
      <c r="L542" s="361"/>
      <c r="M542" s="2679" t="s">
        <v>5</v>
      </c>
      <c r="N542" s="2679"/>
      <c r="O542" s="2679"/>
      <c r="P542" s="2679"/>
      <c r="Q542" s="2696"/>
      <c r="R542" s="2696"/>
      <c r="S542" s="2696"/>
      <c r="T542" s="2696"/>
      <c r="U542" s="2696"/>
      <c r="V542" s="2697"/>
      <c r="W542" s="362" t="s">
        <v>6</v>
      </c>
      <c r="X542" s="363" t="s">
        <v>7</v>
      </c>
      <c r="Y542" s="364"/>
      <c r="Z542" s="364"/>
      <c r="AA542" s="363"/>
      <c r="AB542" s="365"/>
      <c r="AC542" s="599"/>
      <c r="AD542" s="599"/>
      <c r="AE542" s="599"/>
      <c r="AF542" s="599"/>
    </row>
    <row r="543" spans="1:32" s="597" customFormat="1" ht="18" customHeight="1" x14ac:dyDescent="0.2">
      <c r="A543" s="2687"/>
      <c r="B543" s="367"/>
      <c r="C543" s="2687"/>
      <c r="D543" s="366" t="s">
        <v>9</v>
      </c>
      <c r="E543" s="368" t="s">
        <v>10</v>
      </c>
      <c r="F543" s="2698" t="s">
        <v>11</v>
      </c>
      <c r="G543" s="2694"/>
      <c r="H543" s="2695"/>
      <c r="I543" s="360"/>
      <c r="J543" s="369" t="s">
        <v>12</v>
      </c>
      <c r="K543" s="360"/>
      <c r="L543" s="2679" t="s">
        <v>2</v>
      </c>
      <c r="M543" s="370"/>
      <c r="N543" s="370"/>
      <c r="O543" s="370"/>
      <c r="P543" s="371"/>
      <c r="Q543" s="372" t="s">
        <v>13</v>
      </c>
      <c r="R543" s="373" t="s">
        <v>12</v>
      </c>
      <c r="S543" s="370" t="s">
        <v>6</v>
      </c>
      <c r="T543" s="2682" t="s">
        <v>14</v>
      </c>
      <c r="U543" s="2683"/>
      <c r="V543" s="375" t="s">
        <v>7</v>
      </c>
      <c r="W543" s="376" t="s">
        <v>15</v>
      </c>
      <c r="X543" s="377" t="s">
        <v>16</v>
      </c>
      <c r="Y543" s="377" t="s">
        <v>17</v>
      </c>
      <c r="Z543" s="377" t="s">
        <v>18</v>
      </c>
      <c r="AA543" s="377"/>
      <c r="AB543" s="378" t="s">
        <v>19</v>
      </c>
      <c r="AC543" s="516" t="s">
        <v>8</v>
      </c>
      <c r="AD543" s="346"/>
      <c r="AE543" s="346"/>
      <c r="AF543" s="600"/>
    </row>
    <row r="544" spans="1:32" s="597" customFormat="1" ht="18" customHeight="1" x14ac:dyDescent="0.2">
      <c r="A544" s="2687"/>
      <c r="B544" s="366" t="s">
        <v>23</v>
      </c>
      <c r="C544" s="2687"/>
      <c r="D544" s="366" t="s">
        <v>24</v>
      </c>
      <c r="E544" s="368" t="s">
        <v>25</v>
      </c>
      <c r="F544" s="2699"/>
      <c r="G544" s="2700"/>
      <c r="H544" s="2701"/>
      <c r="I544" s="366" t="s">
        <v>26</v>
      </c>
      <c r="J544" s="379" t="s">
        <v>15</v>
      </c>
      <c r="K544" s="380" t="s">
        <v>6</v>
      </c>
      <c r="L544" s="2680"/>
      <c r="M544" s="381" t="s">
        <v>27</v>
      </c>
      <c r="N544" s="381" t="s">
        <v>10</v>
      </c>
      <c r="O544" s="382" t="s">
        <v>10</v>
      </c>
      <c r="P544" s="383" t="s">
        <v>28</v>
      </c>
      <c r="Q544" s="384" t="s">
        <v>29</v>
      </c>
      <c r="R544" s="383" t="s">
        <v>15</v>
      </c>
      <c r="S544" s="385" t="s">
        <v>15</v>
      </c>
      <c r="T544" s="2684"/>
      <c r="U544" s="2685"/>
      <c r="V544" s="375" t="s">
        <v>30</v>
      </c>
      <c r="W544" s="376" t="s">
        <v>31</v>
      </c>
      <c r="X544" s="377" t="s">
        <v>30</v>
      </c>
      <c r="Y544" s="377" t="s">
        <v>32</v>
      </c>
      <c r="Z544" s="377" t="s">
        <v>7</v>
      </c>
      <c r="AA544" s="377" t="s">
        <v>33</v>
      </c>
      <c r="AB544" s="378" t="s">
        <v>34</v>
      </c>
      <c r="AC544" s="528" t="s">
        <v>20</v>
      </c>
      <c r="AD544" s="601"/>
      <c r="AE544" s="347" t="s">
        <v>21</v>
      </c>
      <c r="AF544" s="340" t="s">
        <v>22</v>
      </c>
    </row>
    <row r="545" spans="1:32" s="597" customFormat="1" ht="18" customHeight="1" x14ac:dyDescent="0.2">
      <c r="A545" s="2687"/>
      <c r="B545" s="366" t="s">
        <v>39</v>
      </c>
      <c r="C545" s="2687"/>
      <c r="D545" s="366" t="s">
        <v>40</v>
      </c>
      <c r="E545" s="368" t="s">
        <v>41</v>
      </c>
      <c r="F545" s="2686" t="s">
        <v>42</v>
      </c>
      <c r="G545" s="2686" t="s">
        <v>43</v>
      </c>
      <c r="H545" s="2688" t="s">
        <v>44</v>
      </c>
      <c r="I545" s="366" t="s">
        <v>45</v>
      </c>
      <c r="J545" s="379" t="s">
        <v>46</v>
      </c>
      <c r="K545" s="380" t="s">
        <v>47</v>
      </c>
      <c r="L545" s="2680"/>
      <c r="M545" s="381" t="s">
        <v>30</v>
      </c>
      <c r="N545" s="381" t="s">
        <v>30</v>
      </c>
      <c r="O545" s="382" t="s">
        <v>25</v>
      </c>
      <c r="P545" s="383" t="s">
        <v>30</v>
      </c>
      <c r="Q545" s="384" t="s">
        <v>48</v>
      </c>
      <c r="R545" s="383" t="s">
        <v>49</v>
      </c>
      <c r="S545" s="385" t="s">
        <v>30</v>
      </c>
      <c r="T545" s="386" t="s">
        <v>50</v>
      </c>
      <c r="U545" s="374" t="s">
        <v>13</v>
      </c>
      <c r="V545" s="375" t="s">
        <v>51</v>
      </c>
      <c r="W545" s="376" t="s">
        <v>52</v>
      </c>
      <c r="X545" s="377" t="s">
        <v>53</v>
      </c>
      <c r="Y545" s="377" t="s">
        <v>54</v>
      </c>
      <c r="Z545" s="377" t="s">
        <v>55</v>
      </c>
      <c r="AA545" s="377" t="s">
        <v>56</v>
      </c>
      <c r="AB545" s="378" t="s">
        <v>57</v>
      </c>
      <c r="AC545" s="528" t="s">
        <v>35</v>
      </c>
      <c r="AD545" s="347" t="s">
        <v>36</v>
      </c>
      <c r="AE545" s="347" t="s">
        <v>37</v>
      </c>
      <c r="AF545" s="340" t="s">
        <v>38</v>
      </c>
    </row>
    <row r="546" spans="1:32" s="597" customFormat="1" ht="18" customHeight="1" x14ac:dyDescent="0.2">
      <c r="A546" s="2687"/>
      <c r="B546" s="366" t="s">
        <v>61</v>
      </c>
      <c r="C546" s="2687"/>
      <c r="D546" s="366" t="s">
        <v>62</v>
      </c>
      <c r="E546" s="368" t="s">
        <v>63</v>
      </c>
      <c r="F546" s="2687"/>
      <c r="G546" s="2687"/>
      <c r="H546" s="2689"/>
      <c r="I546" s="366" t="s">
        <v>64</v>
      </c>
      <c r="J546" s="379" t="s">
        <v>59</v>
      </c>
      <c r="K546" s="380" t="s">
        <v>59</v>
      </c>
      <c r="L546" s="2680"/>
      <c r="M546" s="381"/>
      <c r="N546" s="381"/>
      <c r="O546" s="382" t="s">
        <v>41</v>
      </c>
      <c r="P546" s="383" t="s">
        <v>65</v>
      </c>
      <c r="Q546" s="384" t="s">
        <v>66</v>
      </c>
      <c r="R546" s="383" t="s">
        <v>67</v>
      </c>
      <c r="S546" s="385" t="s">
        <v>59</v>
      </c>
      <c r="T546" s="387" t="s">
        <v>68</v>
      </c>
      <c r="U546" s="375" t="s">
        <v>14</v>
      </c>
      <c r="V546" s="375" t="s">
        <v>14</v>
      </c>
      <c r="W546" s="376" t="s">
        <v>30</v>
      </c>
      <c r="X546" s="388" t="s">
        <v>69</v>
      </c>
      <c r="Y546" s="388" t="s">
        <v>70</v>
      </c>
      <c r="Z546" s="377" t="s">
        <v>71</v>
      </c>
      <c r="AA546" s="377" t="s">
        <v>72</v>
      </c>
      <c r="AB546" s="378" t="s">
        <v>59</v>
      </c>
      <c r="AC546" s="347" t="s">
        <v>58</v>
      </c>
      <c r="AD546" s="347" t="s">
        <v>59</v>
      </c>
      <c r="AE546" s="347" t="s">
        <v>59</v>
      </c>
      <c r="AF546" s="340" t="s">
        <v>60</v>
      </c>
    </row>
    <row r="547" spans="1:32" s="597" customFormat="1" ht="18" customHeight="1" x14ac:dyDescent="0.2">
      <c r="A547" s="2692"/>
      <c r="B547" s="390"/>
      <c r="C547" s="2692"/>
      <c r="D547" s="390"/>
      <c r="E547" s="389"/>
      <c r="F547" s="390"/>
      <c r="G547" s="390"/>
      <c r="H547" s="391"/>
      <c r="I547" s="389"/>
      <c r="J547" s="392"/>
      <c r="K547" s="393"/>
      <c r="L547" s="2681"/>
      <c r="M547" s="394"/>
      <c r="N547" s="394"/>
      <c r="O547" s="394" t="s">
        <v>63</v>
      </c>
      <c r="P547" s="395"/>
      <c r="Q547" s="396" t="s">
        <v>72</v>
      </c>
      <c r="R547" s="397" t="s">
        <v>59</v>
      </c>
      <c r="S547" s="398"/>
      <c r="T547" s="397" t="s">
        <v>73</v>
      </c>
      <c r="U547" s="398" t="s">
        <v>59</v>
      </c>
      <c r="V547" s="399" t="s">
        <v>59</v>
      </c>
      <c r="W547" s="400" t="s">
        <v>59</v>
      </c>
      <c r="X547" s="401" t="s">
        <v>59</v>
      </c>
      <c r="Y547" s="401" t="s">
        <v>59</v>
      </c>
      <c r="Z547" s="401" t="s">
        <v>59</v>
      </c>
      <c r="AA547" s="402"/>
      <c r="AB547" s="403"/>
      <c r="AC547" s="347" t="s">
        <v>59</v>
      </c>
      <c r="AD547" s="347"/>
      <c r="AE547" s="347"/>
      <c r="AF547" s="340" t="s">
        <v>59</v>
      </c>
    </row>
    <row r="548" spans="1:32" s="597" customFormat="1" ht="18" customHeight="1" x14ac:dyDescent="0.25">
      <c r="A548" s="16">
        <v>1</v>
      </c>
      <c r="B548" s="333">
        <v>50139</v>
      </c>
      <c r="C548" s="41">
        <v>830</v>
      </c>
      <c r="D548" s="259" t="s">
        <v>91</v>
      </c>
      <c r="E548" s="15">
        <v>4</v>
      </c>
      <c r="F548" s="41">
        <v>0</v>
      </c>
      <c r="G548" s="41">
        <v>0</v>
      </c>
      <c r="H548" s="267">
        <v>76</v>
      </c>
      <c r="I548" s="18">
        <f>F548*400+G548*100+H548</f>
        <v>76</v>
      </c>
      <c r="J548" s="23">
        <v>2300</v>
      </c>
      <c r="K548" s="39">
        <f>SUM(I548*J548)</f>
        <v>174800</v>
      </c>
      <c r="L548" s="45"/>
      <c r="M548" s="61"/>
      <c r="N548" s="50"/>
      <c r="O548" s="50"/>
      <c r="P548" s="19"/>
      <c r="Q548" s="62"/>
      <c r="R548" s="260"/>
      <c r="S548" s="18"/>
      <c r="T548" s="20"/>
      <c r="U548" s="47"/>
      <c r="V548" s="47"/>
      <c r="W548" s="18">
        <f>K548+V548</f>
        <v>174800</v>
      </c>
      <c r="X548" s="47">
        <f>W548</f>
        <v>174800</v>
      </c>
      <c r="Y548" s="293"/>
      <c r="Z548" s="18">
        <f>+X548</f>
        <v>174800</v>
      </c>
      <c r="AA548" s="264">
        <v>0.6</v>
      </c>
      <c r="AB548" s="465">
        <f>+Z548*AA548/100</f>
        <v>1048.8</v>
      </c>
      <c r="AC548" s="348"/>
      <c r="AD548" s="348"/>
      <c r="AE548" s="348"/>
      <c r="AF548" s="341"/>
    </row>
    <row r="549" spans="1:32" s="597" customFormat="1" ht="18" customHeight="1" x14ac:dyDescent="0.25">
      <c r="A549" s="269">
        <v>2</v>
      </c>
      <c r="B549" s="1324">
        <v>2276</v>
      </c>
      <c r="C549" s="231">
        <v>546</v>
      </c>
      <c r="D549" s="27" t="s">
        <v>91</v>
      </c>
      <c r="E549" s="273">
        <v>1</v>
      </c>
      <c r="F549" s="268">
        <v>0</v>
      </c>
      <c r="G549" s="269">
        <v>0</v>
      </c>
      <c r="H549" s="266">
        <v>88</v>
      </c>
      <c r="I549" s="18">
        <f>F549*400+G549*100+H549</f>
        <v>88</v>
      </c>
      <c r="J549" s="30">
        <v>1000</v>
      </c>
      <c r="K549" s="39">
        <f>SUM(I549*J549)</f>
        <v>88000</v>
      </c>
      <c r="L549" s="269"/>
      <c r="M549" s="242"/>
      <c r="N549" s="269"/>
      <c r="O549" s="269">
        <v>1</v>
      </c>
      <c r="P549" s="266"/>
      <c r="Q549" s="285"/>
      <c r="R549" s="436"/>
      <c r="S549" s="282"/>
      <c r="T549" s="286"/>
      <c r="U549" s="282"/>
      <c r="V549" s="282"/>
      <c r="W549" s="18">
        <f>K549+V549</f>
        <v>88000</v>
      </c>
      <c r="X549" s="47">
        <f>W549</f>
        <v>88000</v>
      </c>
      <c r="Y549" s="768" t="s">
        <v>87</v>
      </c>
      <c r="Z549" s="18">
        <v>0</v>
      </c>
      <c r="AA549" s="264">
        <v>0.01</v>
      </c>
      <c r="AB549" s="466"/>
      <c r="AC549" s="602"/>
      <c r="AD549" s="603" t="e">
        <f>#REF!-AC549</f>
        <v>#REF!</v>
      </c>
      <c r="AE549" s="603" t="e">
        <f>IF(AD549&lt;=0,0,AD549*25/100)</f>
        <v>#REF!</v>
      </c>
      <c r="AF549" s="603" t="e">
        <f>IF(AC549+AE549&gt;#REF!,#REF!,AC549+AE549)</f>
        <v>#REF!</v>
      </c>
    </row>
    <row r="550" spans="1:32" s="597" customFormat="1" ht="18" customHeight="1" x14ac:dyDescent="0.2">
      <c r="A550" s="88"/>
      <c r="B550" s="496"/>
      <c r="C550" s="174"/>
      <c r="D550" s="88"/>
      <c r="E550" s="88"/>
      <c r="F550" s="418"/>
      <c r="G550" s="75"/>
      <c r="H550" s="188"/>
      <c r="I550" s="74"/>
      <c r="J550" s="694"/>
      <c r="K550" s="159"/>
      <c r="L550" s="88"/>
      <c r="M550" s="121"/>
      <c r="N550" s="121"/>
      <c r="O550" s="121"/>
      <c r="P550" s="121"/>
      <c r="Q550" s="129"/>
      <c r="R550" s="121"/>
      <c r="S550" s="121"/>
      <c r="T550" s="121"/>
      <c r="U550" s="121"/>
      <c r="V550" s="121"/>
      <c r="W550" s="121"/>
      <c r="X550" s="472"/>
      <c r="Y550" s="472"/>
      <c r="Z550" s="473"/>
      <c r="AA550" s="193"/>
      <c r="AB550" s="410"/>
      <c r="AC550" s="350"/>
      <c r="AD550" s="350"/>
      <c r="AE550" s="350"/>
      <c r="AF550" s="350"/>
    </row>
    <row r="551" spans="1:32" s="597" customFormat="1" ht="18" customHeight="1" x14ac:dyDescent="0.2">
      <c r="A551" s="145"/>
      <c r="B551" s="177"/>
      <c r="C551" s="177"/>
      <c r="D551" s="145"/>
      <c r="E551" s="145"/>
      <c r="F551" s="145"/>
      <c r="G551" s="145"/>
      <c r="H551" s="147"/>
      <c r="I551" s="107"/>
      <c r="J551" s="178"/>
      <c r="K551" s="107"/>
      <c r="L551" s="145"/>
      <c r="M551" s="145"/>
      <c r="N551" s="145"/>
      <c r="O551" s="145"/>
      <c r="P551" s="147"/>
      <c r="Q551" s="148"/>
      <c r="R551" s="437"/>
      <c r="S551" s="107"/>
      <c r="T551" s="179"/>
      <c r="U551" s="178"/>
      <c r="V551" s="107"/>
      <c r="W551" s="107"/>
      <c r="X551" s="470"/>
      <c r="Y551" s="470"/>
      <c r="Z551" s="471"/>
      <c r="AA551" s="471"/>
      <c r="AB551" s="466"/>
      <c r="AC551" s="350"/>
      <c r="AD551" s="350"/>
      <c r="AE551" s="350"/>
      <c r="AF551" s="350"/>
    </row>
    <row r="552" spans="1:32" s="597" customFormat="1" ht="18" customHeight="1" x14ac:dyDescent="0.2">
      <c r="A552" s="145"/>
      <c r="B552" s="177"/>
      <c r="C552" s="177"/>
      <c r="D552" s="145"/>
      <c r="E552" s="145"/>
      <c r="F552" s="145"/>
      <c r="G552" s="145"/>
      <c r="H552" s="147"/>
      <c r="I552" s="107"/>
      <c r="J552" s="178"/>
      <c r="K552" s="107"/>
      <c r="L552" s="145"/>
      <c r="M552" s="145"/>
      <c r="N552" s="145"/>
      <c r="O552" s="145"/>
      <c r="P552" s="147"/>
      <c r="Q552" s="148"/>
      <c r="R552" s="437"/>
      <c r="S552" s="107"/>
      <c r="T552" s="179"/>
      <c r="U552" s="178"/>
      <c r="V552" s="107"/>
      <c r="W552" s="107"/>
      <c r="X552" s="470"/>
      <c r="Y552" s="470"/>
      <c r="Z552" s="471"/>
      <c r="AA552" s="471"/>
      <c r="AB552" s="466"/>
      <c r="AC552" s="350"/>
      <c r="AD552" s="350"/>
      <c r="AE552" s="350"/>
      <c r="AF552" s="350"/>
    </row>
    <row r="553" spans="1:32" s="597" customFormat="1" ht="18" customHeight="1" x14ac:dyDescent="0.2">
      <c r="A553" s="145"/>
      <c r="B553" s="177"/>
      <c r="C553" s="177"/>
      <c r="D553" s="145"/>
      <c r="E553" s="145"/>
      <c r="F553" s="145"/>
      <c r="G553" s="145"/>
      <c r="H553" s="147"/>
      <c r="I553" s="107"/>
      <c r="J553" s="178"/>
      <c r="K553" s="107"/>
      <c r="L553" s="145"/>
      <c r="M553" s="145"/>
      <c r="N553" s="145"/>
      <c r="O553" s="145"/>
      <c r="P553" s="147"/>
      <c r="Q553" s="148"/>
      <c r="R553" s="437"/>
      <c r="S553" s="107"/>
      <c r="T553" s="179"/>
      <c r="U553" s="178"/>
      <c r="V553" s="107"/>
      <c r="W553" s="107"/>
      <c r="X553" s="470"/>
      <c r="Y553" s="470"/>
      <c r="Z553" s="471"/>
      <c r="AA553" s="471"/>
      <c r="AB553" s="466"/>
      <c r="AC553" s="350"/>
      <c r="AD553" s="350"/>
      <c r="AE553" s="350"/>
      <c r="AF553" s="350"/>
    </row>
    <row r="554" spans="1:32" s="597" customFormat="1" ht="18" customHeight="1" x14ac:dyDescent="0.2">
      <c r="A554" s="145"/>
      <c r="B554" s="177"/>
      <c r="C554" s="177"/>
      <c r="D554" s="145"/>
      <c r="E554" s="145"/>
      <c r="F554" s="145"/>
      <c r="G554" s="145"/>
      <c r="H554" s="147"/>
      <c r="I554" s="107"/>
      <c r="J554" s="178"/>
      <c r="K554" s="107"/>
      <c r="L554" s="145"/>
      <c r="M554" s="145"/>
      <c r="N554" s="145"/>
      <c r="O554" s="145"/>
      <c r="P554" s="147"/>
      <c r="Q554" s="148"/>
      <c r="R554" s="437"/>
      <c r="S554" s="107"/>
      <c r="T554" s="179"/>
      <c r="U554" s="178"/>
      <c r="V554" s="107"/>
      <c r="W554" s="107"/>
      <c r="X554" s="470"/>
      <c r="Y554" s="470"/>
      <c r="Z554" s="471"/>
      <c r="AA554" s="471"/>
      <c r="AB554" s="466"/>
      <c r="AC554" s="350"/>
      <c r="AD554" s="350"/>
      <c r="AE554" s="350"/>
      <c r="AF554" s="350"/>
    </row>
    <row r="555" spans="1:32" s="597" customFormat="1" ht="18" customHeight="1" x14ac:dyDescent="0.2">
      <c r="A555" s="145"/>
      <c r="B555" s="177"/>
      <c r="C555" s="177"/>
      <c r="D555" s="145"/>
      <c r="E555" s="145"/>
      <c r="F555" s="145"/>
      <c r="G555" s="145"/>
      <c r="H555" s="147"/>
      <c r="I555" s="107"/>
      <c r="J555" s="178"/>
      <c r="K555" s="107"/>
      <c r="L555" s="145"/>
      <c r="M555" s="145"/>
      <c r="N555" s="145"/>
      <c r="O555" s="145"/>
      <c r="P555" s="147"/>
      <c r="Q555" s="148"/>
      <c r="R555" s="437"/>
      <c r="S555" s="107"/>
      <c r="T555" s="179"/>
      <c r="U555" s="178"/>
      <c r="V555" s="107"/>
      <c r="W555" s="107"/>
      <c r="X555" s="470"/>
      <c r="Y555" s="470"/>
      <c r="Z555" s="471"/>
      <c r="AA555" s="471"/>
      <c r="AB555" s="466"/>
      <c r="AC555" s="350"/>
      <c r="AD555" s="350"/>
      <c r="AE555" s="350"/>
      <c r="AF555" s="350"/>
    </row>
    <row r="556" spans="1:32" s="597" customFormat="1" ht="18" customHeight="1" x14ac:dyDescent="0.2">
      <c r="A556" s="145"/>
      <c r="B556" s="177"/>
      <c r="C556" s="177"/>
      <c r="D556" s="145"/>
      <c r="E556" s="145"/>
      <c r="F556" s="145"/>
      <c r="G556" s="145"/>
      <c r="H556" s="147"/>
      <c r="I556" s="107"/>
      <c r="J556" s="178"/>
      <c r="K556" s="107"/>
      <c r="L556" s="145"/>
      <c r="M556" s="145"/>
      <c r="N556" s="145"/>
      <c r="O556" s="145"/>
      <c r="P556" s="147"/>
      <c r="Q556" s="148"/>
      <c r="R556" s="437"/>
      <c r="S556" s="107"/>
      <c r="T556" s="179"/>
      <c r="U556" s="178"/>
      <c r="V556" s="107"/>
      <c r="W556" s="107"/>
      <c r="X556" s="470"/>
      <c r="Y556" s="470"/>
      <c r="Z556" s="471"/>
      <c r="AA556" s="471"/>
      <c r="AB556" s="466"/>
      <c r="AC556" s="350"/>
      <c r="AD556" s="350"/>
      <c r="AE556" s="350"/>
      <c r="AF556" s="350"/>
    </row>
    <row r="557" spans="1:32" s="597" customFormat="1" ht="18" customHeight="1" x14ac:dyDescent="0.2">
      <c r="A557" s="145"/>
      <c r="B557" s="177"/>
      <c r="C557" s="177"/>
      <c r="D557" s="145"/>
      <c r="E557" s="145"/>
      <c r="F557" s="145"/>
      <c r="G557" s="145"/>
      <c r="H557" s="147"/>
      <c r="I557" s="107"/>
      <c r="J557" s="178"/>
      <c r="K557" s="107"/>
      <c r="L557" s="145"/>
      <c r="M557" s="145"/>
      <c r="N557" s="145"/>
      <c r="O557" s="145"/>
      <c r="P557" s="147"/>
      <c r="Q557" s="148"/>
      <c r="R557" s="437"/>
      <c r="S557" s="107"/>
      <c r="T557" s="179"/>
      <c r="U557" s="178"/>
      <c r="V557" s="107"/>
      <c r="W557" s="107"/>
      <c r="X557" s="470"/>
      <c r="Y557" s="470"/>
      <c r="Z557" s="471"/>
      <c r="AA557" s="471"/>
      <c r="AB557" s="466"/>
      <c r="AC557" s="350"/>
      <c r="AD557" s="350"/>
      <c r="AE557" s="350"/>
      <c r="AF557" s="350"/>
    </row>
    <row r="558" spans="1:32" s="597" customFormat="1" ht="18" customHeight="1" x14ac:dyDescent="0.2">
      <c r="A558" s="145"/>
      <c r="B558" s="177"/>
      <c r="C558" s="177"/>
      <c r="D558" s="145"/>
      <c r="E558" s="145"/>
      <c r="F558" s="145"/>
      <c r="G558" s="145"/>
      <c r="H558" s="147"/>
      <c r="I558" s="107"/>
      <c r="J558" s="178"/>
      <c r="K558" s="107"/>
      <c r="L558" s="145"/>
      <c r="M558" s="145"/>
      <c r="N558" s="145"/>
      <c r="O558" s="145"/>
      <c r="P558" s="147"/>
      <c r="Q558" s="148"/>
      <c r="R558" s="437"/>
      <c r="S558" s="107"/>
      <c r="T558" s="179"/>
      <c r="U558" s="178"/>
      <c r="V558" s="107"/>
      <c r="W558" s="107"/>
      <c r="X558" s="470"/>
      <c r="Y558" s="470"/>
      <c r="Z558" s="471"/>
      <c r="AA558" s="471"/>
      <c r="AB558" s="466"/>
      <c r="AC558" s="350"/>
      <c r="AD558" s="350"/>
      <c r="AE558" s="350"/>
      <c r="AF558" s="350"/>
    </row>
    <row r="559" spans="1:32" s="597" customFormat="1" ht="18" customHeight="1" x14ac:dyDescent="0.2">
      <c r="A559" s="145"/>
      <c r="B559" s="177"/>
      <c r="C559" s="177"/>
      <c r="D559" s="145"/>
      <c r="E559" s="145"/>
      <c r="F559" s="145"/>
      <c r="G559" s="145"/>
      <c r="H559" s="147"/>
      <c r="I559" s="107"/>
      <c r="J559" s="178"/>
      <c r="K559" s="107"/>
      <c r="L559" s="145"/>
      <c r="M559" s="145"/>
      <c r="N559" s="145"/>
      <c r="O559" s="145"/>
      <c r="P559" s="147"/>
      <c r="Q559" s="148"/>
      <c r="R559" s="437"/>
      <c r="S559" s="107"/>
      <c r="T559" s="179"/>
      <c r="U559" s="178"/>
      <c r="V559" s="107"/>
      <c r="W559" s="107"/>
      <c r="X559" s="470"/>
      <c r="Y559" s="470"/>
      <c r="Z559" s="471"/>
      <c r="AA559" s="471"/>
      <c r="AB559" s="466"/>
      <c r="AC559" s="350"/>
      <c r="AD559" s="350"/>
      <c r="AE559" s="350"/>
      <c r="AF559" s="350"/>
    </row>
    <row r="560" spans="1:32" s="597" customFormat="1" ht="18" customHeight="1" x14ac:dyDescent="0.2">
      <c r="A560" s="145"/>
      <c r="B560" s="177"/>
      <c r="C560" s="177"/>
      <c r="D560" s="145"/>
      <c r="E560" s="145"/>
      <c r="F560" s="145"/>
      <c r="G560" s="145"/>
      <c r="H560" s="147"/>
      <c r="I560" s="107"/>
      <c r="J560" s="178"/>
      <c r="K560" s="107"/>
      <c r="L560" s="145"/>
      <c r="M560" s="145"/>
      <c r="N560" s="145"/>
      <c r="O560" s="145"/>
      <c r="P560" s="147"/>
      <c r="Q560" s="148"/>
      <c r="R560" s="437"/>
      <c r="S560" s="107"/>
      <c r="T560" s="179"/>
      <c r="U560" s="178"/>
      <c r="V560" s="107"/>
      <c r="W560" s="107"/>
      <c r="X560" s="470"/>
      <c r="Y560" s="470"/>
      <c r="Z560" s="471"/>
      <c r="AA560" s="471"/>
      <c r="AB560" s="466"/>
      <c r="AC560" s="350"/>
      <c r="AD560" s="350"/>
      <c r="AE560" s="350"/>
      <c r="AF560" s="350"/>
    </row>
    <row r="561" spans="1:32" s="597" customFormat="1" ht="18" customHeight="1" x14ac:dyDescent="0.2">
      <c r="A561" s="145"/>
      <c r="B561" s="177"/>
      <c r="C561" s="177"/>
      <c r="D561" s="145"/>
      <c r="E561" s="145"/>
      <c r="F561" s="145"/>
      <c r="G561" s="145"/>
      <c r="H561" s="147"/>
      <c r="I561" s="107"/>
      <c r="J561" s="178"/>
      <c r="K561" s="107"/>
      <c r="L561" s="145"/>
      <c r="M561" s="145"/>
      <c r="N561" s="145"/>
      <c r="O561" s="145"/>
      <c r="P561" s="147"/>
      <c r="Q561" s="148"/>
      <c r="R561" s="437"/>
      <c r="S561" s="107"/>
      <c r="T561" s="179"/>
      <c r="U561" s="178"/>
      <c r="V561" s="107"/>
      <c r="W561" s="107"/>
      <c r="X561" s="470"/>
      <c r="Y561" s="470"/>
      <c r="Z561" s="471"/>
      <c r="AA561" s="471"/>
      <c r="AB561" s="466"/>
      <c r="AC561" s="350"/>
      <c r="AD561" s="350"/>
      <c r="AE561" s="350"/>
      <c r="AF561" s="350"/>
    </row>
    <row r="562" spans="1:32" s="597" customFormat="1" ht="18" customHeight="1" x14ac:dyDescent="0.2">
      <c r="A562" s="88"/>
      <c r="B562" s="180"/>
      <c r="C562" s="180"/>
      <c r="D562" s="88"/>
      <c r="E562" s="88"/>
      <c r="F562" s="88"/>
      <c r="G562" s="88"/>
      <c r="H562" s="120"/>
      <c r="I562" s="121"/>
      <c r="J562" s="181"/>
      <c r="K562" s="121"/>
      <c r="L562" s="88"/>
      <c r="M562" s="88"/>
      <c r="N562" s="88"/>
      <c r="O562" s="88"/>
      <c r="P562" s="88"/>
      <c r="Q562" s="129"/>
      <c r="R562" s="445"/>
      <c r="S562" s="121"/>
      <c r="T562" s="182"/>
      <c r="U562" s="181"/>
      <c r="V562" s="121"/>
      <c r="W562" s="121"/>
      <c r="X562" s="472"/>
      <c r="Y562" s="472"/>
      <c r="Z562" s="473"/>
      <c r="AA562" s="473"/>
      <c r="AB562" s="410"/>
      <c r="AC562" s="350"/>
      <c r="AD562" s="350"/>
      <c r="AE562" s="350"/>
      <c r="AF562" s="350"/>
    </row>
    <row r="563" spans="1:32" s="597" customFormat="1" ht="18" customHeight="1" x14ac:dyDescent="0.2">
      <c r="A563" s="1850"/>
      <c r="B563" s="1850"/>
      <c r="C563" s="1850"/>
      <c r="D563" s="1850"/>
      <c r="E563" s="1850"/>
      <c r="F563" s="1850"/>
      <c r="G563" s="1850"/>
      <c r="H563" s="1851"/>
      <c r="I563" s="1852"/>
      <c r="J563" s="1853"/>
      <c r="K563" s="1852"/>
      <c r="L563" s="1852"/>
      <c r="M563" s="1852"/>
      <c r="N563" s="1852"/>
      <c r="O563" s="1852"/>
      <c r="P563" s="1852"/>
      <c r="Q563" s="1852"/>
      <c r="R563" s="1854"/>
      <c r="S563" s="1852"/>
      <c r="T563" s="1855"/>
      <c r="U563" s="1853"/>
      <c r="V563" s="1852"/>
      <c r="W563" s="1852"/>
      <c r="X563" s="1856"/>
      <c r="Y563" s="1856"/>
      <c r="Z563" s="1857"/>
      <c r="AA563" s="1857"/>
      <c r="AB563" s="1847">
        <f>SUM(AB548:AB562)</f>
        <v>1048.8</v>
      </c>
      <c r="AC563" s="1972"/>
      <c r="AD563" s="1972"/>
      <c r="AE563" s="1972"/>
      <c r="AF563" s="1972"/>
    </row>
    <row r="564" spans="1:32" s="597" customFormat="1" ht="18" customHeight="1" x14ac:dyDescent="0.2">
      <c r="A564" s="2690" t="s">
        <v>76</v>
      </c>
      <c r="B564" s="2690"/>
      <c r="C564" s="2691" t="s">
        <v>77</v>
      </c>
      <c r="D564" s="2691"/>
      <c r="E564" s="2691"/>
      <c r="F564" s="2691"/>
      <c r="G564" s="2691"/>
      <c r="H564" s="2691"/>
      <c r="I564" s="604" t="s">
        <v>78</v>
      </c>
      <c r="J564" s="604"/>
      <c r="K564" s="604"/>
      <c r="L564" s="604"/>
      <c r="M564" s="604"/>
      <c r="N564" s="604"/>
      <c r="AB564" s="598"/>
      <c r="AC564" s="349"/>
      <c r="AD564" s="349"/>
      <c r="AE564" s="349"/>
      <c r="AF564" s="349"/>
    </row>
    <row r="565" spans="1:32" s="597" customFormat="1" ht="18" customHeight="1" x14ac:dyDescent="0.2">
      <c r="A565" s="604"/>
      <c r="B565" s="605"/>
      <c r="C565" s="604"/>
      <c r="D565" s="604"/>
      <c r="E565" s="604"/>
      <c r="F565" s="604"/>
      <c r="G565" s="604"/>
      <c r="H565" s="604"/>
      <c r="I565" s="604" t="s">
        <v>79</v>
      </c>
      <c r="J565" s="604"/>
      <c r="K565" s="604"/>
      <c r="L565" s="604"/>
      <c r="M565" s="604"/>
      <c r="N565" s="604"/>
      <c r="AB565" s="598"/>
    </row>
    <row r="566" spans="1:32" s="597" customFormat="1" ht="18" customHeight="1" x14ac:dyDescent="0.2">
      <c r="A566" s="604"/>
      <c r="B566" s="605"/>
      <c r="C566" s="604"/>
      <c r="D566" s="604"/>
      <c r="E566" s="604"/>
      <c r="F566" s="604"/>
      <c r="G566" s="604"/>
      <c r="H566" s="604"/>
      <c r="I566" s="604" t="s">
        <v>80</v>
      </c>
      <c r="J566" s="604"/>
      <c r="K566" s="604"/>
      <c r="L566" s="604"/>
      <c r="M566" s="604"/>
      <c r="N566" s="604"/>
      <c r="AB566" s="598"/>
    </row>
    <row r="567" spans="1:32" s="597" customFormat="1" ht="18" customHeight="1" x14ac:dyDescent="0.2">
      <c r="A567" s="604"/>
      <c r="B567" s="605"/>
      <c r="C567" s="604"/>
      <c r="D567" s="604"/>
      <c r="E567" s="604"/>
      <c r="F567" s="604"/>
      <c r="G567" s="604"/>
      <c r="H567" s="604"/>
      <c r="I567" s="604" t="s">
        <v>81</v>
      </c>
      <c r="J567" s="604"/>
      <c r="K567" s="604"/>
      <c r="L567" s="604"/>
      <c r="M567" s="604"/>
      <c r="N567" s="604"/>
      <c r="AB567" s="598"/>
    </row>
    <row r="568" spans="1:32" s="597" customFormat="1" ht="18" customHeight="1" x14ac:dyDescent="0.2">
      <c r="A568" s="604"/>
      <c r="B568" s="605"/>
      <c r="C568" s="604"/>
      <c r="D568" s="604"/>
      <c r="E568" s="604"/>
      <c r="F568" s="604"/>
      <c r="G568" s="604"/>
      <c r="H568" s="604"/>
      <c r="I568" s="604" t="s">
        <v>88</v>
      </c>
      <c r="J568" s="604"/>
      <c r="K568" s="604"/>
      <c r="L568" s="604"/>
      <c r="M568" s="604"/>
      <c r="N568" s="604"/>
      <c r="AB568" s="598"/>
    </row>
    <row r="569" spans="1:32" s="597" customFormat="1" ht="18" customHeight="1" x14ac:dyDescent="0.2">
      <c r="A569" s="344"/>
      <c r="B569" s="344"/>
      <c r="C569" s="344"/>
      <c r="D569" s="344"/>
      <c r="E569" s="344"/>
      <c r="F569" s="344"/>
      <c r="G569" s="344"/>
      <c r="H569" s="344"/>
      <c r="I569" s="344"/>
      <c r="J569" s="344"/>
      <c r="K569" s="344"/>
      <c r="L569" s="344"/>
      <c r="M569" s="344"/>
      <c r="N569" s="344"/>
      <c r="O569" s="344"/>
      <c r="P569" s="344"/>
      <c r="Q569" s="344"/>
      <c r="R569" s="344"/>
      <c r="S569" s="344"/>
      <c r="T569" s="344"/>
      <c r="U569" s="344"/>
      <c r="V569" s="344"/>
      <c r="W569" s="344"/>
      <c r="X569" s="344"/>
      <c r="Y569" s="344"/>
      <c r="Z569" s="344"/>
      <c r="AA569" s="2703" t="s">
        <v>0</v>
      </c>
      <c r="AB569" s="2703"/>
    </row>
    <row r="570" spans="1:32" s="597" customFormat="1" ht="18" customHeight="1" x14ac:dyDescent="0.2">
      <c r="A570" s="2703" t="s">
        <v>1</v>
      </c>
      <c r="B570" s="2703"/>
      <c r="C570" s="2703"/>
      <c r="D570" s="2703"/>
      <c r="E570" s="2703"/>
      <c r="F570" s="2703"/>
      <c r="G570" s="2703"/>
      <c r="H570" s="2703"/>
      <c r="I570" s="2703"/>
      <c r="J570" s="2703"/>
      <c r="K570" s="2703"/>
      <c r="L570" s="2703"/>
      <c r="M570" s="2703"/>
      <c r="N570" s="2703"/>
      <c r="O570" s="2703"/>
      <c r="P570" s="2703"/>
      <c r="Q570" s="2703"/>
      <c r="R570" s="2703"/>
      <c r="S570" s="2703"/>
      <c r="T570" s="2703"/>
      <c r="U570" s="2703"/>
      <c r="V570" s="2703"/>
      <c r="W570" s="2703"/>
      <c r="X570" s="2703"/>
      <c r="Y570" s="2703"/>
      <c r="Z570" s="2703"/>
      <c r="AA570" s="2703"/>
      <c r="AB570" s="2703"/>
      <c r="AC570" s="339"/>
      <c r="AD570" s="339"/>
      <c r="AE570" s="339"/>
      <c r="AF570" s="339"/>
    </row>
    <row r="571" spans="1:32" s="597" customFormat="1" ht="18" customHeight="1" x14ac:dyDescent="0.2">
      <c r="A571" s="2704" t="s">
        <v>473</v>
      </c>
      <c r="B571" s="2704"/>
      <c r="C571" s="2704"/>
      <c r="D571" s="2704"/>
      <c r="E571" s="2704"/>
      <c r="F571" s="2704"/>
      <c r="G571" s="2704"/>
      <c r="H571" s="2704"/>
      <c r="I571" s="2704"/>
      <c r="J571" s="2704"/>
      <c r="K571" s="2704"/>
      <c r="L571" s="2704"/>
      <c r="M571" s="2704"/>
      <c r="N571" s="2704"/>
      <c r="O571" s="2704"/>
      <c r="P571" s="2704"/>
      <c r="Q571" s="2704"/>
      <c r="R571" s="2704"/>
      <c r="S571" s="2704"/>
      <c r="T571" s="2704"/>
      <c r="U571" s="2704"/>
      <c r="V571" s="2704"/>
      <c r="W571" s="2704"/>
      <c r="X571" s="2704"/>
      <c r="Y571" s="2704"/>
      <c r="Z571" s="2704"/>
      <c r="AA571" s="2704"/>
      <c r="AB571" s="2740"/>
      <c r="AC571" s="339"/>
      <c r="AD571" s="339"/>
      <c r="AE571" s="339"/>
      <c r="AF571" s="339"/>
    </row>
    <row r="572" spans="1:32" s="597" customFormat="1" ht="18" customHeight="1" x14ac:dyDescent="0.2">
      <c r="A572" s="2686" t="s">
        <v>2</v>
      </c>
      <c r="B572" s="360"/>
      <c r="C572" s="2686" t="s">
        <v>3</v>
      </c>
      <c r="D572" s="360"/>
      <c r="E572" s="360"/>
      <c r="F572" s="2732" t="s">
        <v>4</v>
      </c>
      <c r="G572" s="2693"/>
      <c r="H572" s="2693"/>
      <c r="I572" s="2693"/>
      <c r="J572" s="2693"/>
      <c r="K572" s="2733"/>
      <c r="L572" s="361"/>
      <c r="M572" s="2696" t="s">
        <v>5</v>
      </c>
      <c r="N572" s="2696"/>
      <c r="O572" s="2696"/>
      <c r="P572" s="2696"/>
      <c r="Q572" s="2696"/>
      <c r="R572" s="2696"/>
      <c r="S572" s="2696"/>
      <c r="T572" s="2696"/>
      <c r="U572" s="2696"/>
      <c r="V572" s="2697"/>
      <c r="W572" s="362" t="s">
        <v>6</v>
      </c>
      <c r="X572" s="363" t="s">
        <v>7</v>
      </c>
      <c r="Y572" s="364"/>
      <c r="Z572" s="364"/>
      <c r="AA572" s="363"/>
      <c r="AB572" s="365"/>
      <c r="AC572" s="339"/>
      <c r="AD572" s="339"/>
      <c r="AE572" s="339"/>
      <c r="AF572" s="339"/>
    </row>
    <row r="573" spans="1:32" s="597" customFormat="1" ht="18" customHeight="1" x14ac:dyDescent="0.2">
      <c r="A573" s="2687"/>
      <c r="B573" s="367"/>
      <c r="C573" s="2687"/>
      <c r="D573" s="366" t="s">
        <v>9</v>
      </c>
      <c r="E573" s="368" t="s">
        <v>10</v>
      </c>
      <c r="F573" s="2698" t="s">
        <v>11</v>
      </c>
      <c r="G573" s="2694"/>
      <c r="H573" s="2695"/>
      <c r="I573" s="360"/>
      <c r="J573" s="369" t="s">
        <v>12</v>
      </c>
      <c r="K573" s="360"/>
      <c r="L573" s="2734" t="s">
        <v>2</v>
      </c>
      <c r="M573" s="370"/>
      <c r="N573" s="370"/>
      <c r="O573" s="370"/>
      <c r="P573" s="371"/>
      <c r="Q573" s="372" t="s">
        <v>13</v>
      </c>
      <c r="R573" s="373" t="s">
        <v>12</v>
      </c>
      <c r="S573" s="370" t="s">
        <v>6</v>
      </c>
      <c r="T573" s="2682" t="s">
        <v>14</v>
      </c>
      <c r="U573" s="2683"/>
      <c r="V573" s="375" t="s">
        <v>7</v>
      </c>
      <c r="W573" s="376" t="s">
        <v>15</v>
      </c>
      <c r="X573" s="377" t="s">
        <v>16</v>
      </c>
      <c r="Y573" s="377" t="s">
        <v>17</v>
      </c>
      <c r="Z573" s="377" t="s">
        <v>18</v>
      </c>
      <c r="AA573" s="377"/>
      <c r="AB573" s="378" t="s">
        <v>19</v>
      </c>
      <c r="AC573" s="339"/>
      <c r="AD573" s="339"/>
      <c r="AE573" s="339"/>
      <c r="AF573" s="339"/>
    </row>
    <row r="574" spans="1:32" s="597" customFormat="1" ht="18" customHeight="1" x14ac:dyDescent="0.2">
      <c r="A574" s="2687"/>
      <c r="B574" s="366" t="s">
        <v>23</v>
      </c>
      <c r="C574" s="2687"/>
      <c r="D574" s="366" t="s">
        <v>24</v>
      </c>
      <c r="E574" s="368" t="s">
        <v>25</v>
      </c>
      <c r="F574" s="2699"/>
      <c r="G574" s="2700"/>
      <c r="H574" s="2701"/>
      <c r="I574" s="366" t="s">
        <v>26</v>
      </c>
      <c r="J574" s="379" t="s">
        <v>15</v>
      </c>
      <c r="K574" s="380" t="s">
        <v>6</v>
      </c>
      <c r="L574" s="2735"/>
      <c r="M574" s="381" t="s">
        <v>27</v>
      </c>
      <c r="N574" s="381" t="s">
        <v>10</v>
      </c>
      <c r="O574" s="382" t="s">
        <v>10</v>
      </c>
      <c r="P574" s="383" t="s">
        <v>28</v>
      </c>
      <c r="Q574" s="384" t="s">
        <v>29</v>
      </c>
      <c r="R574" s="383" t="s">
        <v>15</v>
      </c>
      <c r="S574" s="385" t="s">
        <v>15</v>
      </c>
      <c r="T574" s="2684"/>
      <c r="U574" s="2685"/>
      <c r="V574" s="375" t="s">
        <v>30</v>
      </c>
      <c r="W574" s="376" t="s">
        <v>31</v>
      </c>
      <c r="X574" s="377" t="s">
        <v>30</v>
      </c>
      <c r="Y574" s="377" t="s">
        <v>32</v>
      </c>
      <c r="Z574" s="377" t="s">
        <v>7</v>
      </c>
      <c r="AA574" s="377" t="s">
        <v>33</v>
      </c>
      <c r="AB574" s="378" t="s">
        <v>34</v>
      </c>
      <c r="AC574" s="339"/>
      <c r="AD574" s="339"/>
      <c r="AE574" s="339"/>
      <c r="AF574" s="339"/>
    </row>
    <row r="575" spans="1:32" s="597" customFormat="1" ht="18" customHeight="1" x14ac:dyDescent="0.2">
      <c r="A575" s="2687"/>
      <c r="B575" s="366" t="s">
        <v>39</v>
      </c>
      <c r="C575" s="2687"/>
      <c r="D575" s="366" t="s">
        <v>40</v>
      </c>
      <c r="E575" s="368" t="s">
        <v>41</v>
      </c>
      <c r="F575" s="2686" t="s">
        <v>42</v>
      </c>
      <c r="G575" s="2686" t="s">
        <v>43</v>
      </c>
      <c r="H575" s="2688" t="s">
        <v>44</v>
      </c>
      <c r="I575" s="366" t="s">
        <v>45</v>
      </c>
      <c r="J575" s="379" t="s">
        <v>46</v>
      </c>
      <c r="K575" s="380" t="s">
        <v>47</v>
      </c>
      <c r="L575" s="2735"/>
      <c r="M575" s="381" t="s">
        <v>30</v>
      </c>
      <c r="N575" s="381" t="s">
        <v>30</v>
      </c>
      <c r="O575" s="382" t="s">
        <v>25</v>
      </c>
      <c r="P575" s="383" t="s">
        <v>30</v>
      </c>
      <c r="Q575" s="384" t="s">
        <v>48</v>
      </c>
      <c r="R575" s="383" t="s">
        <v>49</v>
      </c>
      <c r="S575" s="385" t="s">
        <v>30</v>
      </c>
      <c r="T575" s="386" t="s">
        <v>50</v>
      </c>
      <c r="U575" s="374" t="s">
        <v>13</v>
      </c>
      <c r="V575" s="375" t="s">
        <v>51</v>
      </c>
      <c r="W575" s="376" t="s">
        <v>52</v>
      </c>
      <c r="X575" s="377" t="s">
        <v>53</v>
      </c>
      <c r="Y575" s="377" t="s">
        <v>54</v>
      </c>
      <c r="Z575" s="377" t="s">
        <v>55</v>
      </c>
      <c r="AA575" s="377" t="s">
        <v>56</v>
      </c>
      <c r="AB575" s="378" t="s">
        <v>57</v>
      </c>
      <c r="AC575" s="339"/>
      <c r="AD575" s="339"/>
      <c r="AE575" s="339"/>
      <c r="AF575" s="339"/>
    </row>
    <row r="576" spans="1:32" s="597" customFormat="1" ht="18" customHeight="1" x14ac:dyDescent="0.2">
      <c r="A576" s="2687"/>
      <c r="B576" s="366" t="s">
        <v>61</v>
      </c>
      <c r="C576" s="2687"/>
      <c r="D576" s="366" t="s">
        <v>62</v>
      </c>
      <c r="E576" s="368" t="s">
        <v>63</v>
      </c>
      <c r="F576" s="2687"/>
      <c r="G576" s="2687"/>
      <c r="H576" s="2689"/>
      <c r="I576" s="366" t="s">
        <v>64</v>
      </c>
      <c r="J576" s="379" t="s">
        <v>59</v>
      </c>
      <c r="K576" s="380" t="s">
        <v>59</v>
      </c>
      <c r="L576" s="2735"/>
      <c r="M576" s="381"/>
      <c r="N576" s="381"/>
      <c r="O576" s="382" t="s">
        <v>41</v>
      </c>
      <c r="P576" s="383" t="s">
        <v>65</v>
      </c>
      <c r="Q576" s="384" t="s">
        <v>66</v>
      </c>
      <c r="R576" s="383" t="s">
        <v>67</v>
      </c>
      <c r="S576" s="385" t="s">
        <v>59</v>
      </c>
      <c r="T576" s="387" t="s">
        <v>68</v>
      </c>
      <c r="U576" s="375" t="s">
        <v>14</v>
      </c>
      <c r="V576" s="375" t="s">
        <v>14</v>
      </c>
      <c r="W576" s="376" t="s">
        <v>30</v>
      </c>
      <c r="X576" s="388" t="s">
        <v>69</v>
      </c>
      <c r="Y576" s="388" t="s">
        <v>70</v>
      </c>
      <c r="Z576" s="377" t="s">
        <v>71</v>
      </c>
      <c r="AA576" s="377" t="s">
        <v>72</v>
      </c>
      <c r="AB576" s="378" t="s">
        <v>59</v>
      </c>
      <c r="AC576" s="339"/>
      <c r="AD576" s="339"/>
      <c r="AE576" s="339"/>
      <c r="AF576" s="339"/>
    </row>
    <row r="577" spans="1:32" s="597" customFormat="1" ht="18" customHeight="1" x14ac:dyDescent="0.2">
      <c r="A577" s="2692"/>
      <c r="B577" s="390"/>
      <c r="C577" s="2692"/>
      <c r="D577" s="390"/>
      <c r="E577" s="389"/>
      <c r="F577" s="390"/>
      <c r="G577" s="390"/>
      <c r="H577" s="391"/>
      <c r="I577" s="389"/>
      <c r="J577" s="392"/>
      <c r="K577" s="393"/>
      <c r="L577" s="2736"/>
      <c r="M577" s="394"/>
      <c r="N577" s="394"/>
      <c r="O577" s="394" t="s">
        <v>63</v>
      </c>
      <c r="P577" s="395"/>
      <c r="Q577" s="396" t="s">
        <v>72</v>
      </c>
      <c r="R577" s="397" t="s">
        <v>59</v>
      </c>
      <c r="S577" s="398"/>
      <c r="T577" s="397" t="s">
        <v>73</v>
      </c>
      <c r="U577" s="398" t="s">
        <v>59</v>
      </c>
      <c r="V577" s="399" t="s">
        <v>59</v>
      </c>
      <c r="W577" s="400" t="s">
        <v>59</v>
      </c>
      <c r="X577" s="401" t="s">
        <v>59</v>
      </c>
      <c r="Y577" s="401" t="s">
        <v>59</v>
      </c>
      <c r="Z577" s="401" t="s">
        <v>59</v>
      </c>
      <c r="AA577" s="402"/>
      <c r="AB577" s="403"/>
      <c r="AC577" s="339"/>
      <c r="AD577" s="339"/>
      <c r="AE577" s="339"/>
      <c r="AF577" s="339"/>
    </row>
    <row r="578" spans="1:32" s="597" customFormat="1" ht="18" customHeight="1" x14ac:dyDescent="0.25">
      <c r="A578" s="16">
        <v>1</v>
      </c>
      <c r="B578" s="333">
        <v>2192</v>
      </c>
      <c r="C578" s="41">
        <v>247</v>
      </c>
      <c r="D578" s="41" t="s">
        <v>95</v>
      </c>
      <c r="E578" s="41">
        <v>1</v>
      </c>
      <c r="F578" s="41">
        <v>7</v>
      </c>
      <c r="G578" s="41">
        <v>0</v>
      </c>
      <c r="H578" s="267">
        <v>0</v>
      </c>
      <c r="I578" s="44">
        <f>F578*400+G578*100+H578</f>
        <v>2800</v>
      </c>
      <c r="J578" s="42">
        <v>1400</v>
      </c>
      <c r="K578" s="60">
        <f>SUM(I578*J578)</f>
        <v>3920000</v>
      </c>
      <c r="L578" s="480"/>
      <c r="M578" s="481"/>
      <c r="N578" s="480"/>
      <c r="O578" s="15">
        <v>1</v>
      </c>
      <c r="P578" s="483"/>
      <c r="Q578" s="483"/>
      <c r="R578" s="485"/>
      <c r="S578" s="485"/>
      <c r="T578" s="483"/>
      <c r="U578" s="485"/>
      <c r="V578" s="94">
        <f>+S578-U578</f>
        <v>0</v>
      </c>
      <c r="W578" s="94">
        <f>+K578</f>
        <v>3920000</v>
      </c>
      <c r="X578" s="94">
        <f>W578</f>
        <v>3920000</v>
      </c>
      <c r="Y578" s="94" t="s">
        <v>87</v>
      </c>
      <c r="Z578" s="94">
        <v>0</v>
      </c>
      <c r="AA578" s="414">
        <v>0.01</v>
      </c>
      <c r="AB578" s="465">
        <f>+Z578*AA578/100</f>
        <v>0</v>
      </c>
      <c r="AC578" s="339"/>
      <c r="AD578" s="339"/>
      <c r="AE578" s="339"/>
      <c r="AF578" s="339"/>
    </row>
    <row r="579" spans="1:32" s="597" customFormat="1" ht="18" customHeight="1" x14ac:dyDescent="0.25">
      <c r="A579" s="294"/>
      <c r="B579" s="287"/>
      <c r="C579" s="15"/>
      <c r="D579" s="15"/>
      <c r="E579" s="15">
        <v>2</v>
      </c>
      <c r="F579" s="15"/>
      <c r="G579" s="15">
        <v>1</v>
      </c>
      <c r="H579" s="284">
        <v>52</v>
      </c>
      <c r="I579" s="18">
        <f>F579*400+G579*100+H579</f>
        <v>152</v>
      </c>
      <c r="J579" s="23">
        <v>1400</v>
      </c>
      <c r="K579" s="39">
        <f>SUM(I579*J579)</f>
        <v>212800</v>
      </c>
      <c r="L579" s="145">
        <v>1</v>
      </c>
      <c r="M579" s="145">
        <v>103</v>
      </c>
      <c r="N579" s="145" t="s">
        <v>74</v>
      </c>
      <c r="O579" s="15">
        <v>2</v>
      </c>
      <c r="P579" s="145">
        <v>198.13</v>
      </c>
      <c r="Q579" s="148" t="s">
        <v>75</v>
      </c>
      <c r="R579" s="441">
        <v>9050</v>
      </c>
      <c r="S579" s="94">
        <f>+P579*R579</f>
        <v>1793076.5</v>
      </c>
      <c r="T579" s="109">
        <v>2</v>
      </c>
      <c r="U579" s="94">
        <f>+S579*0.02</f>
        <v>35861.53</v>
      </c>
      <c r="V579" s="94">
        <f>+S579-U579</f>
        <v>1757214.97</v>
      </c>
      <c r="W579" s="94">
        <f>+K579+V579</f>
        <v>1970014.97</v>
      </c>
      <c r="X579" s="94">
        <f>W579</f>
        <v>1970014.97</v>
      </c>
      <c r="Y579" s="94" t="s">
        <v>87</v>
      </c>
      <c r="Z579" s="94">
        <v>0</v>
      </c>
      <c r="AA579" s="414">
        <v>0.02</v>
      </c>
      <c r="AB579" s="410">
        <f>+Z579*AA579/100</f>
        <v>0</v>
      </c>
      <c r="AC579" s="339"/>
      <c r="AD579" s="339"/>
      <c r="AE579" s="339"/>
      <c r="AF579" s="339"/>
    </row>
    <row r="580" spans="1:32" s="597" customFormat="1" ht="18" customHeight="1" x14ac:dyDescent="0.25">
      <c r="A580" s="90">
        <v>2</v>
      </c>
      <c r="B580" s="273">
        <v>2194</v>
      </c>
      <c r="C580" s="27">
        <v>246</v>
      </c>
      <c r="D580" s="27" t="s">
        <v>107</v>
      </c>
      <c r="E580" s="27">
        <v>4</v>
      </c>
      <c r="F580" s="27">
        <v>3</v>
      </c>
      <c r="G580" s="27">
        <v>1</v>
      </c>
      <c r="H580" s="557">
        <v>98</v>
      </c>
      <c r="I580" s="47">
        <f>F580*400+G580*100+H580</f>
        <v>1398</v>
      </c>
      <c r="J580" s="30">
        <v>750</v>
      </c>
      <c r="K580" s="48">
        <f>SUM(I580*J580)</f>
        <v>1048500</v>
      </c>
      <c r="L580" s="88"/>
      <c r="M580" s="88"/>
      <c r="N580" s="88"/>
      <c r="O580" s="27"/>
      <c r="P580" s="88"/>
      <c r="Q580" s="129"/>
      <c r="R580" s="446"/>
      <c r="S580" s="73"/>
      <c r="T580" s="89"/>
      <c r="U580" s="73"/>
      <c r="V580" s="73"/>
      <c r="W580" s="73">
        <f>+K580</f>
        <v>1048500</v>
      </c>
      <c r="X580" s="73">
        <f>W580</f>
        <v>1048500</v>
      </c>
      <c r="Y580" s="73">
        <f>V580</f>
        <v>0</v>
      </c>
      <c r="Z580" s="73">
        <f>+X580</f>
        <v>1048500</v>
      </c>
      <c r="AA580" s="414">
        <v>0.3</v>
      </c>
      <c r="AB580" s="410">
        <f>+Z580*AA580/100</f>
        <v>3145.5</v>
      </c>
      <c r="AC580" s="339"/>
      <c r="AD580" s="339"/>
      <c r="AE580" s="339"/>
      <c r="AF580" s="339"/>
    </row>
    <row r="581" spans="1:32" s="597" customFormat="1" ht="18" customHeight="1" x14ac:dyDescent="0.25">
      <c r="A581" s="58">
        <v>3</v>
      </c>
      <c r="B581" s="289">
        <v>25938</v>
      </c>
      <c r="C581" s="270">
        <v>723</v>
      </c>
      <c r="D581" s="270" t="s">
        <v>107</v>
      </c>
      <c r="E581" s="270">
        <v>4</v>
      </c>
      <c r="F581" s="270">
        <v>3</v>
      </c>
      <c r="G581" s="270">
        <v>1</v>
      </c>
      <c r="H581" s="652">
        <v>97</v>
      </c>
      <c r="I581" s="256">
        <f>F581*400+G581*100+H581</f>
        <v>1397</v>
      </c>
      <c r="J581" s="92">
        <v>280</v>
      </c>
      <c r="K581" s="64">
        <f>SUM(I581*J581)</f>
        <v>391160</v>
      </c>
      <c r="L581" s="231"/>
      <c r="M581" s="231"/>
      <c r="N581" s="231"/>
      <c r="O581" s="270"/>
      <c r="P581" s="231"/>
      <c r="Q581" s="234"/>
      <c r="R581" s="653"/>
      <c r="S581" s="93"/>
      <c r="T581" s="151"/>
      <c r="U581" s="93"/>
      <c r="V581" s="93"/>
      <c r="W581" s="93">
        <f>K581+V581+K582+K583</f>
        <v>391160</v>
      </c>
      <c r="X581" s="93">
        <f>W581</f>
        <v>391160</v>
      </c>
      <c r="Y581" s="93">
        <f>V581</f>
        <v>0</v>
      </c>
      <c r="Z581" s="93">
        <f>+X581</f>
        <v>391160</v>
      </c>
      <c r="AA581" s="409">
        <v>0.3</v>
      </c>
      <c r="AB581" s="410">
        <f>+Z581*AA581/100</f>
        <v>1173.48</v>
      </c>
      <c r="AC581" s="339"/>
      <c r="AD581" s="339"/>
      <c r="AE581" s="339"/>
      <c r="AF581" s="339"/>
    </row>
    <row r="582" spans="1:32" s="597" customFormat="1" ht="18" customHeight="1" x14ac:dyDescent="0.2">
      <c r="A582" s="145"/>
      <c r="B582" s="145"/>
      <c r="C582" s="145"/>
      <c r="D582" s="145"/>
      <c r="E582" s="231"/>
      <c r="F582" s="231"/>
      <c r="G582" s="231"/>
      <c r="H582" s="152"/>
      <c r="I582" s="232"/>
      <c r="J582" s="232"/>
      <c r="K582" s="232"/>
      <c r="L582" s="231"/>
      <c r="M582" s="233"/>
      <c r="N582" s="231"/>
      <c r="O582" s="231"/>
      <c r="P582" s="654"/>
      <c r="Q582" s="234"/>
      <c r="R582" s="655"/>
      <c r="S582" s="232"/>
      <c r="T582" s="65"/>
      <c r="U582" s="232"/>
      <c r="V582" s="232"/>
      <c r="W582" s="232"/>
      <c r="X582" s="656"/>
      <c r="Y582" s="235"/>
      <c r="Z582" s="657"/>
      <c r="AA582" s="236"/>
      <c r="AB582" s="658"/>
      <c r="AC582" s="339"/>
      <c r="AD582" s="339"/>
      <c r="AE582" s="339"/>
      <c r="AF582" s="339"/>
    </row>
    <row r="583" spans="1:32" s="597" customFormat="1" ht="18" customHeight="1" x14ac:dyDescent="0.2">
      <c r="A583" s="145"/>
      <c r="B583" s="145"/>
      <c r="C583" s="145"/>
      <c r="D583" s="88"/>
      <c r="E583" s="239"/>
      <c r="F583" s="88"/>
      <c r="G583" s="88"/>
      <c r="H583" s="120"/>
      <c r="I583" s="181"/>
      <c r="J583" s="181"/>
      <c r="K583" s="181"/>
      <c r="L583" s="88"/>
      <c r="M583" s="237"/>
      <c r="N583" s="88"/>
      <c r="O583" s="88"/>
      <c r="P583" s="188"/>
      <c r="Q583" s="129"/>
      <c r="R583" s="445"/>
      <c r="S583" s="181"/>
      <c r="T583" s="75"/>
      <c r="U583" s="181"/>
      <c r="V583" s="181"/>
      <c r="W583" s="181"/>
      <c r="X583" s="472"/>
      <c r="Y583" s="192"/>
      <c r="Z583" s="659"/>
      <c r="AA583" s="193"/>
      <c r="AB583" s="660"/>
      <c r="AC583" s="339"/>
      <c r="AD583" s="339"/>
      <c r="AE583" s="339"/>
      <c r="AF583" s="339"/>
    </row>
    <row r="584" spans="1:32" s="597" customFormat="1" ht="18" customHeight="1" x14ac:dyDescent="0.2">
      <c r="A584" s="145"/>
      <c r="B584" s="145"/>
      <c r="C584" s="145"/>
      <c r="D584" s="145"/>
      <c r="E584" s="88"/>
      <c r="F584" s="88"/>
      <c r="G584" s="88"/>
      <c r="H584" s="120"/>
      <c r="I584" s="181"/>
      <c r="J584" s="181"/>
      <c r="K584" s="181"/>
      <c r="L584" s="88"/>
      <c r="M584" s="237"/>
      <c r="N584" s="88"/>
      <c r="O584" s="88"/>
      <c r="P584" s="88"/>
      <c r="Q584" s="129"/>
      <c r="R584" s="445"/>
      <c r="S584" s="181"/>
      <c r="T584" s="88"/>
      <c r="U584" s="181"/>
      <c r="V584" s="181"/>
      <c r="W584" s="181"/>
      <c r="X584" s="472"/>
      <c r="Y584" s="192"/>
      <c r="Z584" s="659"/>
      <c r="AA584" s="193"/>
      <c r="AB584" s="660"/>
      <c r="AC584" s="339"/>
      <c r="AD584" s="339"/>
      <c r="AE584" s="339"/>
      <c r="AF584" s="339"/>
    </row>
    <row r="585" spans="1:32" s="597" customFormat="1" ht="18" customHeight="1" x14ac:dyDescent="0.2">
      <c r="A585" s="145"/>
      <c r="B585" s="177"/>
      <c r="C585" s="177"/>
      <c r="D585" s="145"/>
      <c r="E585" s="145"/>
      <c r="F585" s="145"/>
      <c r="G585" s="145"/>
      <c r="H585" s="147"/>
      <c r="I585" s="107"/>
      <c r="J585" s="178"/>
      <c r="K585" s="107"/>
      <c r="L585" s="145"/>
      <c r="M585" s="145"/>
      <c r="N585" s="145"/>
      <c r="O585" s="145"/>
      <c r="P585" s="147"/>
      <c r="Q585" s="148"/>
      <c r="R585" s="437"/>
      <c r="S585" s="107"/>
      <c r="T585" s="179"/>
      <c r="U585" s="178"/>
      <c r="V585" s="107"/>
      <c r="W585" s="107"/>
      <c r="X585" s="470"/>
      <c r="Y585" s="470"/>
      <c r="Z585" s="471"/>
      <c r="AA585" s="471"/>
      <c r="AB585" s="466"/>
      <c r="AC585" s="339"/>
      <c r="AD585" s="339"/>
      <c r="AE585" s="339"/>
      <c r="AF585" s="339"/>
    </row>
    <row r="586" spans="1:32" s="597" customFormat="1" ht="18" customHeight="1" x14ac:dyDescent="0.2">
      <c r="A586" s="145"/>
      <c r="B586" s="177"/>
      <c r="C586" s="177"/>
      <c r="D586" s="145"/>
      <c r="E586" s="145"/>
      <c r="F586" s="145"/>
      <c r="G586" s="145"/>
      <c r="H586" s="147"/>
      <c r="I586" s="107"/>
      <c r="J586" s="178"/>
      <c r="K586" s="107"/>
      <c r="L586" s="145"/>
      <c r="M586" s="145"/>
      <c r="N586" s="145"/>
      <c r="O586" s="145"/>
      <c r="P586" s="147"/>
      <c r="Q586" s="148"/>
      <c r="R586" s="437"/>
      <c r="S586" s="107"/>
      <c r="T586" s="179"/>
      <c r="U586" s="178"/>
      <c r="V586" s="107"/>
      <c r="W586" s="107"/>
      <c r="X586" s="470"/>
      <c r="Y586" s="470"/>
      <c r="Z586" s="471"/>
      <c r="AA586" s="471"/>
      <c r="AB586" s="466"/>
      <c r="AC586" s="339"/>
      <c r="AD586" s="339"/>
      <c r="AE586" s="339"/>
      <c r="AF586" s="339"/>
    </row>
    <row r="587" spans="1:32" s="665" customFormat="1" ht="18" customHeight="1" x14ac:dyDescent="0.2">
      <c r="A587" s="177"/>
      <c r="B587" s="177"/>
      <c r="C587" s="177"/>
      <c r="D587" s="177"/>
      <c r="E587" s="177"/>
      <c r="F587" s="177"/>
      <c r="G587" s="177"/>
      <c r="H587" s="274"/>
      <c r="I587" s="275"/>
      <c r="J587" s="275"/>
      <c r="K587" s="275"/>
      <c r="L587" s="177"/>
      <c r="M587" s="177"/>
      <c r="N587" s="177"/>
      <c r="O587" s="177"/>
      <c r="P587" s="274"/>
      <c r="Q587" s="276"/>
      <c r="R587" s="661"/>
      <c r="S587" s="275"/>
      <c r="T587" s="277"/>
      <c r="U587" s="275"/>
      <c r="V587" s="275"/>
      <c r="W587" s="275"/>
      <c r="X587" s="662"/>
      <c r="Y587" s="662"/>
      <c r="Z587" s="663"/>
      <c r="AA587" s="663"/>
      <c r="AB587" s="664"/>
      <c r="AC587" s="339"/>
      <c r="AD587" s="339"/>
      <c r="AE587" s="339"/>
      <c r="AF587" s="339"/>
    </row>
    <row r="588" spans="1:32" s="597" customFormat="1" ht="18" customHeight="1" x14ac:dyDescent="0.2">
      <c r="A588" s="145"/>
      <c r="B588" s="177"/>
      <c r="C588" s="177"/>
      <c r="D588" s="145"/>
      <c r="E588" s="145"/>
      <c r="F588" s="145"/>
      <c r="G588" s="145"/>
      <c r="H588" s="147"/>
      <c r="I588" s="107"/>
      <c r="J588" s="178"/>
      <c r="K588" s="107"/>
      <c r="L588" s="145"/>
      <c r="M588" s="145"/>
      <c r="N588" s="145"/>
      <c r="O588" s="145"/>
      <c r="P588" s="147"/>
      <c r="Q588" s="148"/>
      <c r="R588" s="437"/>
      <c r="S588" s="107"/>
      <c r="T588" s="179"/>
      <c r="U588" s="178"/>
      <c r="V588" s="107"/>
      <c r="W588" s="107"/>
      <c r="X588" s="470"/>
      <c r="Y588" s="470"/>
      <c r="Z588" s="471"/>
      <c r="AA588" s="471"/>
      <c r="AB588" s="466"/>
      <c r="AC588" s="339"/>
      <c r="AD588" s="339"/>
      <c r="AE588" s="339"/>
      <c r="AF588" s="339"/>
    </row>
    <row r="589" spans="1:32" s="597" customFormat="1" ht="18" customHeight="1" x14ac:dyDescent="0.2">
      <c r="A589" s="145"/>
      <c r="B589" s="177"/>
      <c r="C589" s="177"/>
      <c r="D589" s="145"/>
      <c r="E589" s="145"/>
      <c r="F589" s="145"/>
      <c r="G589" s="145"/>
      <c r="H589" s="147"/>
      <c r="I589" s="107"/>
      <c r="J589" s="178"/>
      <c r="K589" s="107"/>
      <c r="L589" s="145"/>
      <c r="M589" s="145"/>
      <c r="N589" s="145"/>
      <c r="O589" s="145"/>
      <c r="P589" s="147"/>
      <c r="Q589" s="148"/>
      <c r="R589" s="437"/>
      <c r="S589" s="107"/>
      <c r="T589" s="179"/>
      <c r="U589" s="178"/>
      <c r="V589" s="107"/>
      <c r="W589" s="107"/>
      <c r="X589" s="470"/>
      <c r="Y589" s="470"/>
      <c r="Z589" s="471"/>
      <c r="AA589" s="471"/>
      <c r="AB589" s="466"/>
      <c r="AC589" s="339"/>
      <c r="AD589" s="339"/>
      <c r="AE589" s="339"/>
      <c r="AF589" s="339"/>
    </row>
    <row r="590" spans="1:32" s="597" customFormat="1" ht="18" customHeight="1" x14ac:dyDescent="0.2">
      <c r="A590" s="145"/>
      <c r="B590" s="177"/>
      <c r="C590" s="177"/>
      <c r="D590" s="145"/>
      <c r="E590" s="145"/>
      <c r="F590" s="145"/>
      <c r="G590" s="145"/>
      <c r="H590" s="147"/>
      <c r="I590" s="107"/>
      <c r="J590" s="178"/>
      <c r="K590" s="107"/>
      <c r="L590" s="145"/>
      <c r="M590" s="145"/>
      <c r="N590" s="145"/>
      <c r="O590" s="145"/>
      <c r="P590" s="147"/>
      <c r="Q590" s="148"/>
      <c r="R590" s="437"/>
      <c r="S590" s="107"/>
      <c r="T590" s="179"/>
      <c r="U590" s="178"/>
      <c r="V590" s="107"/>
      <c r="W590" s="107"/>
      <c r="X590" s="470"/>
      <c r="Y590" s="470"/>
      <c r="Z590" s="471"/>
      <c r="AA590" s="471"/>
      <c r="AB590" s="466"/>
      <c r="AC590" s="339"/>
      <c r="AD590" s="339"/>
      <c r="AE590" s="339"/>
      <c r="AF590" s="339"/>
    </row>
    <row r="591" spans="1:32" s="597" customFormat="1" ht="18" customHeight="1" x14ac:dyDescent="0.2">
      <c r="A591" s="145"/>
      <c r="B591" s="177"/>
      <c r="C591" s="177"/>
      <c r="D591" s="145"/>
      <c r="E591" s="145"/>
      <c r="F591" s="145"/>
      <c r="G591" s="145"/>
      <c r="H591" s="147"/>
      <c r="I591" s="107"/>
      <c r="J591" s="178"/>
      <c r="K591" s="107"/>
      <c r="L591" s="145"/>
      <c r="M591" s="145"/>
      <c r="N591" s="145"/>
      <c r="O591" s="145"/>
      <c r="P591" s="147"/>
      <c r="Q591" s="148"/>
      <c r="R591" s="437"/>
      <c r="S591" s="107"/>
      <c r="T591" s="179"/>
      <c r="U591" s="178"/>
      <c r="V591" s="107"/>
      <c r="W591" s="107"/>
      <c r="X591" s="470"/>
      <c r="Y591" s="470"/>
      <c r="Z591" s="471"/>
      <c r="AA591" s="471"/>
      <c r="AB591" s="466"/>
      <c r="AC591" s="339"/>
      <c r="AD591" s="339"/>
      <c r="AE591" s="339"/>
      <c r="AF591" s="339"/>
    </row>
    <row r="592" spans="1:32" s="597" customFormat="1" ht="18" customHeight="1" x14ac:dyDescent="0.2">
      <c r="A592" s="88"/>
      <c r="B592" s="180"/>
      <c r="C592" s="180"/>
      <c r="D592" s="88"/>
      <c r="E592" s="88"/>
      <c r="F592" s="88"/>
      <c r="G592" s="88"/>
      <c r="H592" s="120"/>
      <c r="I592" s="121"/>
      <c r="J592" s="181"/>
      <c r="K592" s="121"/>
      <c r="L592" s="88"/>
      <c r="M592" s="88"/>
      <c r="N592" s="88"/>
      <c r="O592" s="88"/>
      <c r="P592" s="88"/>
      <c r="Q592" s="129"/>
      <c r="R592" s="445"/>
      <c r="S592" s="121"/>
      <c r="T592" s="182"/>
      <c r="U592" s="181"/>
      <c r="V592" s="121"/>
      <c r="W592" s="121"/>
      <c r="X592" s="472"/>
      <c r="Y592" s="472"/>
      <c r="Z592" s="473"/>
      <c r="AA592" s="473"/>
      <c r="AB592" s="410"/>
      <c r="AC592" s="339"/>
      <c r="AD592" s="339"/>
      <c r="AE592" s="339"/>
      <c r="AF592" s="339"/>
    </row>
    <row r="593" spans="1:32" s="597" customFormat="1" ht="18" customHeight="1" x14ac:dyDescent="0.2">
      <c r="A593" s="1850"/>
      <c r="B593" s="1850"/>
      <c r="C593" s="1850"/>
      <c r="D593" s="1850"/>
      <c r="E593" s="1850"/>
      <c r="F593" s="1850"/>
      <c r="G593" s="1850"/>
      <c r="H593" s="1851"/>
      <c r="I593" s="1852"/>
      <c r="J593" s="1853"/>
      <c r="K593" s="1852"/>
      <c r="L593" s="1852"/>
      <c r="M593" s="1852"/>
      <c r="N593" s="1852"/>
      <c r="O593" s="1852"/>
      <c r="P593" s="1852"/>
      <c r="Q593" s="1852"/>
      <c r="R593" s="1854"/>
      <c r="S593" s="1852"/>
      <c r="T593" s="1855"/>
      <c r="U593" s="1853"/>
      <c r="V593" s="1852"/>
      <c r="W593" s="1852"/>
      <c r="X593" s="1856"/>
      <c r="Y593" s="1856"/>
      <c r="Z593" s="1857"/>
      <c r="AA593" s="1857"/>
      <c r="AB593" s="1847">
        <f>SUM(AB578:AB592)</f>
        <v>4318.9799999999996</v>
      </c>
      <c r="AC593" s="1973"/>
      <c r="AD593" s="1973"/>
      <c r="AE593" s="1973"/>
      <c r="AF593" s="1973"/>
    </row>
    <row r="594" spans="1:32" s="597" customFormat="1" ht="18" customHeight="1" x14ac:dyDescent="0.2">
      <c r="A594" s="2744" t="s">
        <v>76</v>
      </c>
      <c r="B594" s="2744"/>
      <c r="C594" s="2745" t="s">
        <v>77</v>
      </c>
      <c r="D594" s="2745"/>
      <c r="E594" s="2745"/>
      <c r="F594" s="2745"/>
      <c r="G594" s="2745"/>
      <c r="H594" s="2745"/>
      <c r="I594" s="604" t="s">
        <v>78</v>
      </c>
      <c r="J594" s="604"/>
      <c r="K594" s="604"/>
      <c r="L594" s="604"/>
      <c r="M594" s="604"/>
      <c r="N594" s="604"/>
      <c r="AB594" s="598"/>
      <c r="AC594" s="339"/>
      <c r="AD594" s="339"/>
      <c r="AE594" s="339"/>
      <c r="AF594" s="339"/>
    </row>
    <row r="595" spans="1:32" s="597" customFormat="1" ht="18" customHeight="1" x14ac:dyDescent="0.2">
      <c r="A595" s="604"/>
      <c r="B595" s="605"/>
      <c r="C595" s="604"/>
      <c r="D595" s="604"/>
      <c r="E595" s="604"/>
      <c r="F595" s="604"/>
      <c r="G595" s="604"/>
      <c r="H595" s="604"/>
      <c r="I595" s="604" t="s">
        <v>79</v>
      </c>
      <c r="J595" s="604"/>
      <c r="K595" s="604"/>
      <c r="L595" s="604"/>
      <c r="M595" s="604"/>
      <c r="N595" s="604"/>
      <c r="AB595" s="598"/>
      <c r="AC595" s="339"/>
      <c r="AD595" s="339"/>
      <c r="AE595" s="339"/>
      <c r="AF595" s="339"/>
    </row>
    <row r="596" spans="1:32" s="597" customFormat="1" ht="18" customHeight="1" x14ac:dyDescent="0.2">
      <c r="A596" s="604"/>
      <c r="B596" s="605"/>
      <c r="C596" s="604"/>
      <c r="D596" s="604"/>
      <c r="E596" s="604"/>
      <c r="F596" s="604"/>
      <c r="G596" s="604"/>
      <c r="H596" s="604"/>
      <c r="I596" s="604" t="s">
        <v>80</v>
      </c>
      <c r="J596" s="604"/>
      <c r="K596" s="604"/>
      <c r="L596" s="604"/>
      <c r="M596" s="604"/>
      <c r="N596" s="604"/>
      <c r="AB596" s="598"/>
      <c r="AC596" s="339"/>
      <c r="AD596" s="339"/>
      <c r="AE596" s="339"/>
      <c r="AF596" s="339"/>
    </row>
    <row r="597" spans="1:32" s="597" customFormat="1" ht="18" customHeight="1" x14ac:dyDescent="0.2">
      <c r="A597" s="604"/>
      <c r="B597" s="605"/>
      <c r="C597" s="604"/>
      <c r="D597" s="604"/>
      <c r="E597" s="604"/>
      <c r="F597" s="604"/>
      <c r="G597" s="604"/>
      <c r="H597" s="604"/>
      <c r="I597" s="604" t="s">
        <v>81</v>
      </c>
      <c r="J597" s="604"/>
      <c r="K597" s="604"/>
      <c r="L597" s="604"/>
      <c r="M597" s="604"/>
      <c r="N597" s="604"/>
      <c r="AB597" s="598"/>
      <c r="AC597" s="339"/>
      <c r="AD597" s="339"/>
      <c r="AE597" s="339"/>
      <c r="AF597" s="339"/>
    </row>
    <row r="598" spans="1:32" s="597" customFormat="1" ht="18" customHeight="1" x14ac:dyDescent="0.2">
      <c r="A598" s="604"/>
      <c r="B598" s="605"/>
      <c r="C598" s="604"/>
      <c r="D598" s="604"/>
      <c r="E598" s="604"/>
      <c r="F598" s="604"/>
      <c r="G598" s="604"/>
      <c r="H598" s="604"/>
      <c r="I598" s="604" t="s">
        <v>88</v>
      </c>
      <c r="J598" s="604"/>
      <c r="K598" s="604"/>
      <c r="L598" s="604"/>
      <c r="M598" s="604"/>
      <c r="N598" s="604"/>
      <c r="AB598" s="598"/>
      <c r="AC598" s="339"/>
      <c r="AD598" s="339"/>
      <c r="AE598" s="339"/>
      <c r="AF598" s="339"/>
    </row>
    <row r="599" spans="1:32" s="597" customFormat="1" ht="18" customHeight="1" x14ac:dyDescent="0.2">
      <c r="A599" s="604"/>
      <c r="B599" s="605"/>
      <c r="C599" s="604"/>
      <c r="D599" s="604"/>
      <c r="E599" s="604"/>
      <c r="F599" s="604"/>
      <c r="G599" s="604"/>
      <c r="H599" s="604"/>
      <c r="I599" s="604" t="s">
        <v>88</v>
      </c>
      <c r="J599" s="604"/>
      <c r="K599" s="604"/>
      <c r="L599" s="604"/>
      <c r="M599" s="604"/>
      <c r="N599" s="604"/>
      <c r="AB599" s="598"/>
      <c r="AC599" s="339"/>
      <c r="AD599" s="339"/>
      <c r="AE599" s="339"/>
      <c r="AF599" s="339"/>
    </row>
    <row r="600" spans="1:32" s="597" customFormat="1" ht="18" customHeight="1" x14ac:dyDescent="0.2">
      <c r="A600" s="339"/>
      <c r="B600" s="339"/>
      <c r="C600" s="339"/>
      <c r="D600" s="339"/>
      <c r="E600" s="339"/>
      <c r="F600" s="339"/>
      <c r="G600" s="339"/>
      <c r="H600" s="339"/>
      <c r="I600" s="339"/>
      <c r="J600" s="339"/>
      <c r="K600" s="339"/>
      <c r="L600" s="339"/>
      <c r="M600" s="339"/>
      <c r="N600" s="339"/>
      <c r="O600" s="339"/>
      <c r="P600" s="339"/>
      <c r="Q600" s="339"/>
      <c r="R600" s="339"/>
      <c r="S600" s="339"/>
      <c r="T600" s="339"/>
      <c r="U600" s="339"/>
      <c r="V600" s="339"/>
      <c r="W600" s="339"/>
      <c r="X600" s="339"/>
      <c r="Y600" s="339"/>
      <c r="Z600" s="339"/>
      <c r="AA600" s="2702" t="s">
        <v>0</v>
      </c>
      <c r="AB600" s="2702"/>
    </row>
    <row r="601" spans="1:32" s="597" customFormat="1" ht="18" customHeight="1" x14ac:dyDescent="0.2">
      <c r="A601" s="2703" t="s">
        <v>1</v>
      </c>
      <c r="B601" s="2703"/>
      <c r="C601" s="2703"/>
      <c r="D601" s="2703"/>
      <c r="E601" s="2703"/>
      <c r="F601" s="2703"/>
      <c r="G601" s="2703"/>
      <c r="H601" s="2703"/>
      <c r="I601" s="2703"/>
      <c r="J601" s="2703"/>
      <c r="K601" s="2703"/>
      <c r="L601" s="2703"/>
      <c r="M601" s="2703"/>
      <c r="N601" s="2703"/>
      <c r="O601" s="2703"/>
      <c r="P601" s="2703"/>
      <c r="Q601" s="2703"/>
      <c r="R601" s="2703"/>
      <c r="S601" s="2703"/>
      <c r="T601" s="2703"/>
      <c r="U601" s="2703"/>
      <c r="V601" s="2703"/>
      <c r="W601" s="2703"/>
      <c r="X601" s="2703"/>
      <c r="Y601" s="2703"/>
      <c r="Z601" s="2703"/>
      <c r="AA601" s="2703"/>
      <c r="AB601" s="2703"/>
      <c r="AC601" s="339"/>
      <c r="AD601" s="339"/>
      <c r="AE601" s="339"/>
      <c r="AF601" s="339"/>
    </row>
    <row r="602" spans="1:32" s="597" customFormat="1" ht="18" customHeight="1" x14ac:dyDescent="0.2">
      <c r="A602" s="2704" t="s">
        <v>475</v>
      </c>
      <c r="B602" s="2704"/>
      <c r="C602" s="2704"/>
      <c r="D602" s="2704"/>
      <c r="E602" s="2704"/>
      <c r="F602" s="2704"/>
      <c r="G602" s="2704"/>
      <c r="H602" s="2704"/>
      <c r="I602" s="2704"/>
      <c r="J602" s="2704"/>
      <c r="K602" s="2704"/>
      <c r="L602" s="2704"/>
      <c r="M602" s="2704"/>
      <c r="N602" s="2704"/>
      <c r="O602" s="2704"/>
      <c r="P602" s="2704"/>
      <c r="Q602" s="2704"/>
      <c r="R602" s="2704"/>
      <c r="S602" s="2704"/>
      <c r="T602" s="2704"/>
      <c r="U602" s="2704"/>
      <c r="V602" s="2704"/>
      <c r="W602" s="2704"/>
      <c r="X602" s="2704"/>
      <c r="Y602" s="2704"/>
      <c r="Z602" s="2704"/>
      <c r="AA602" s="2704"/>
      <c r="AB602" s="2704"/>
      <c r="AC602" s="344"/>
      <c r="AD602" s="344"/>
      <c r="AE602" s="344"/>
      <c r="AF602" s="344"/>
    </row>
    <row r="603" spans="1:32" s="597" customFormat="1" ht="18" customHeight="1" x14ac:dyDescent="0.2">
      <c r="A603" s="2686" t="s">
        <v>2</v>
      </c>
      <c r="B603" s="360"/>
      <c r="C603" s="2686" t="s">
        <v>3</v>
      </c>
      <c r="D603" s="360"/>
      <c r="E603" s="360"/>
      <c r="F603" s="2693" t="s">
        <v>4</v>
      </c>
      <c r="G603" s="2693"/>
      <c r="H603" s="2693"/>
      <c r="I603" s="2694"/>
      <c r="J603" s="2694"/>
      <c r="K603" s="2695"/>
      <c r="L603" s="361"/>
      <c r="M603" s="2679" t="s">
        <v>5</v>
      </c>
      <c r="N603" s="2679"/>
      <c r="O603" s="2679"/>
      <c r="P603" s="2679"/>
      <c r="Q603" s="2696"/>
      <c r="R603" s="2696"/>
      <c r="S603" s="2696"/>
      <c r="T603" s="2696"/>
      <c r="U603" s="2696"/>
      <c r="V603" s="2697"/>
      <c r="W603" s="362" t="s">
        <v>6</v>
      </c>
      <c r="X603" s="363" t="s">
        <v>7</v>
      </c>
      <c r="Y603" s="364"/>
      <c r="Z603" s="364"/>
      <c r="AA603" s="363"/>
      <c r="AB603" s="365"/>
      <c r="AC603" s="599"/>
      <c r="AD603" s="599"/>
      <c r="AE603" s="599"/>
      <c r="AF603" s="599"/>
    </row>
    <row r="604" spans="1:32" s="597" customFormat="1" ht="18" customHeight="1" x14ac:dyDescent="0.2">
      <c r="A604" s="2687"/>
      <c r="B604" s="367"/>
      <c r="C604" s="2687"/>
      <c r="D604" s="366" t="s">
        <v>9</v>
      </c>
      <c r="E604" s="368" t="s">
        <v>10</v>
      </c>
      <c r="F604" s="2698" t="s">
        <v>11</v>
      </c>
      <c r="G604" s="2694"/>
      <c r="H604" s="2695"/>
      <c r="I604" s="360"/>
      <c r="J604" s="369" t="s">
        <v>12</v>
      </c>
      <c r="K604" s="360"/>
      <c r="L604" s="2679" t="s">
        <v>2</v>
      </c>
      <c r="M604" s="370"/>
      <c r="N604" s="370"/>
      <c r="O604" s="370"/>
      <c r="P604" s="371"/>
      <c r="Q604" s="372" t="s">
        <v>13</v>
      </c>
      <c r="R604" s="373" t="s">
        <v>12</v>
      </c>
      <c r="S604" s="370" t="s">
        <v>6</v>
      </c>
      <c r="T604" s="2682" t="s">
        <v>14</v>
      </c>
      <c r="U604" s="2683"/>
      <c r="V604" s="375" t="s">
        <v>7</v>
      </c>
      <c r="W604" s="376" t="s">
        <v>15</v>
      </c>
      <c r="X604" s="377" t="s">
        <v>16</v>
      </c>
      <c r="Y604" s="377" t="s">
        <v>17</v>
      </c>
      <c r="Z604" s="377" t="s">
        <v>18</v>
      </c>
      <c r="AA604" s="377"/>
      <c r="AB604" s="378" t="s">
        <v>19</v>
      </c>
      <c r="AC604" s="516" t="s">
        <v>8</v>
      </c>
      <c r="AD604" s="346"/>
      <c r="AE604" s="346"/>
      <c r="AF604" s="600"/>
    </row>
    <row r="605" spans="1:32" s="597" customFormat="1" ht="18" customHeight="1" x14ac:dyDescent="0.2">
      <c r="A605" s="2687"/>
      <c r="B605" s="366" t="s">
        <v>23</v>
      </c>
      <c r="C605" s="2687"/>
      <c r="D605" s="366" t="s">
        <v>24</v>
      </c>
      <c r="E605" s="368" t="s">
        <v>25</v>
      </c>
      <c r="F605" s="2699"/>
      <c r="G605" s="2700"/>
      <c r="H605" s="2701"/>
      <c r="I605" s="366" t="s">
        <v>26</v>
      </c>
      <c r="J605" s="379" t="s">
        <v>15</v>
      </c>
      <c r="K605" s="380" t="s">
        <v>6</v>
      </c>
      <c r="L605" s="2680"/>
      <c r="M605" s="381" t="s">
        <v>27</v>
      </c>
      <c r="N605" s="381" t="s">
        <v>10</v>
      </c>
      <c r="O605" s="382" t="s">
        <v>10</v>
      </c>
      <c r="P605" s="383" t="s">
        <v>28</v>
      </c>
      <c r="Q605" s="384" t="s">
        <v>29</v>
      </c>
      <c r="R605" s="383" t="s">
        <v>15</v>
      </c>
      <c r="S605" s="385" t="s">
        <v>15</v>
      </c>
      <c r="T605" s="2684"/>
      <c r="U605" s="2685"/>
      <c r="V605" s="375" t="s">
        <v>30</v>
      </c>
      <c r="W605" s="376" t="s">
        <v>31</v>
      </c>
      <c r="X605" s="377" t="s">
        <v>30</v>
      </c>
      <c r="Y605" s="377" t="s">
        <v>32</v>
      </c>
      <c r="Z605" s="377" t="s">
        <v>7</v>
      </c>
      <c r="AA605" s="377" t="s">
        <v>33</v>
      </c>
      <c r="AB605" s="378" t="s">
        <v>34</v>
      </c>
      <c r="AC605" s="528" t="s">
        <v>20</v>
      </c>
      <c r="AD605" s="601"/>
      <c r="AE605" s="347" t="s">
        <v>21</v>
      </c>
      <c r="AF605" s="340" t="s">
        <v>22</v>
      </c>
    </row>
    <row r="606" spans="1:32" s="597" customFormat="1" ht="18" customHeight="1" x14ac:dyDescent="0.2">
      <c r="A606" s="2687"/>
      <c r="B606" s="366" t="s">
        <v>39</v>
      </c>
      <c r="C606" s="2687"/>
      <c r="D606" s="366" t="s">
        <v>40</v>
      </c>
      <c r="E606" s="368" t="s">
        <v>41</v>
      </c>
      <c r="F606" s="2686" t="s">
        <v>42</v>
      </c>
      <c r="G606" s="2686" t="s">
        <v>43</v>
      </c>
      <c r="H606" s="2688" t="s">
        <v>44</v>
      </c>
      <c r="I606" s="366" t="s">
        <v>45</v>
      </c>
      <c r="J606" s="379" t="s">
        <v>46</v>
      </c>
      <c r="K606" s="380" t="s">
        <v>47</v>
      </c>
      <c r="L606" s="2680"/>
      <c r="M606" s="381" t="s">
        <v>30</v>
      </c>
      <c r="N606" s="381" t="s">
        <v>30</v>
      </c>
      <c r="O606" s="382" t="s">
        <v>25</v>
      </c>
      <c r="P606" s="383" t="s">
        <v>30</v>
      </c>
      <c r="Q606" s="384" t="s">
        <v>48</v>
      </c>
      <c r="R606" s="383" t="s">
        <v>49</v>
      </c>
      <c r="S606" s="385" t="s">
        <v>30</v>
      </c>
      <c r="T606" s="386" t="s">
        <v>50</v>
      </c>
      <c r="U606" s="374" t="s">
        <v>13</v>
      </c>
      <c r="V606" s="375" t="s">
        <v>51</v>
      </c>
      <c r="W606" s="376" t="s">
        <v>52</v>
      </c>
      <c r="X606" s="377" t="s">
        <v>53</v>
      </c>
      <c r="Y606" s="377" t="s">
        <v>54</v>
      </c>
      <c r="Z606" s="377" t="s">
        <v>55</v>
      </c>
      <c r="AA606" s="377" t="s">
        <v>56</v>
      </c>
      <c r="AB606" s="378" t="s">
        <v>57</v>
      </c>
      <c r="AC606" s="528" t="s">
        <v>35</v>
      </c>
      <c r="AD606" s="347" t="s">
        <v>36</v>
      </c>
      <c r="AE606" s="347" t="s">
        <v>37</v>
      </c>
      <c r="AF606" s="340" t="s">
        <v>38</v>
      </c>
    </row>
    <row r="607" spans="1:32" s="597" customFormat="1" ht="18" customHeight="1" x14ac:dyDescent="0.2">
      <c r="A607" s="2687"/>
      <c r="B607" s="366" t="s">
        <v>61</v>
      </c>
      <c r="C607" s="2687"/>
      <c r="D607" s="366" t="s">
        <v>62</v>
      </c>
      <c r="E607" s="368" t="s">
        <v>63</v>
      </c>
      <c r="F607" s="2687"/>
      <c r="G607" s="2687"/>
      <c r="H607" s="2689"/>
      <c r="I607" s="366" t="s">
        <v>64</v>
      </c>
      <c r="J607" s="379" t="s">
        <v>59</v>
      </c>
      <c r="K607" s="380" t="s">
        <v>59</v>
      </c>
      <c r="L607" s="2680"/>
      <c r="M607" s="381"/>
      <c r="N607" s="381"/>
      <c r="O607" s="382" t="s">
        <v>41</v>
      </c>
      <c r="P607" s="383" t="s">
        <v>65</v>
      </c>
      <c r="Q607" s="384" t="s">
        <v>66</v>
      </c>
      <c r="R607" s="383" t="s">
        <v>67</v>
      </c>
      <c r="S607" s="385" t="s">
        <v>59</v>
      </c>
      <c r="T607" s="387" t="s">
        <v>68</v>
      </c>
      <c r="U607" s="375" t="s">
        <v>14</v>
      </c>
      <c r="V607" s="375" t="s">
        <v>14</v>
      </c>
      <c r="W607" s="376" t="s">
        <v>30</v>
      </c>
      <c r="X607" s="388" t="s">
        <v>69</v>
      </c>
      <c r="Y607" s="388" t="s">
        <v>70</v>
      </c>
      <c r="Z607" s="377" t="s">
        <v>71</v>
      </c>
      <c r="AA607" s="377" t="s">
        <v>72</v>
      </c>
      <c r="AB607" s="378" t="s">
        <v>59</v>
      </c>
      <c r="AC607" s="347" t="s">
        <v>58</v>
      </c>
      <c r="AD607" s="347" t="s">
        <v>59</v>
      </c>
      <c r="AE607" s="347" t="s">
        <v>59</v>
      </c>
      <c r="AF607" s="340" t="s">
        <v>60</v>
      </c>
    </row>
    <row r="608" spans="1:32" s="597" customFormat="1" ht="18" customHeight="1" x14ac:dyDescent="0.2">
      <c r="A608" s="2692"/>
      <c r="B608" s="390"/>
      <c r="C608" s="2692"/>
      <c r="D608" s="390"/>
      <c r="E608" s="389"/>
      <c r="F608" s="390"/>
      <c r="G608" s="390"/>
      <c r="H608" s="391"/>
      <c r="I608" s="389"/>
      <c r="J608" s="392"/>
      <c r="K608" s="393"/>
      <c r="L608" s="2681"/>
      <c r="M608" s="394"/>
      <c r="N608" s="394"/>
      <c r="O608" s="394" t="s">
        <v>63</v>
      </c>
      <c r="P608" s="395"/>
      <c r="Q608" s="396" t="s">
        <v>72</v>
      </c>
      <c r="R608" s="397" t="s">
        <v>59</v>
      </c>
      <c r="S608" s="398"/>
      <c r="T608" s="397" t="s">
        <v>73</v>
      </c>
      <c r="U608" s="398" t="s">
        <v>59</v>
      </c>
      <c r="V608" s="399" t="s">
        <v>59</v>
      </c>
      <c r="W608" s="400" t="s">
        <v>59</v>
      </c>
      <c r="X608" s="401" t="s">
        <v>59</v>
      </c>
      <c r="Y608" s="401" t="s">
        <v>59</v>
      </c>
      <c r="Z608" s="401" t="s">
        <v>59</v>
      </c>
      <c r="AA608" s="402"/>
      <c r="AB608" s="403"/>
      <c r="AC608" s="347" t="s">
        <v>59</v>
      </c>
      <c r="AD608" s="347"/>
      <c r="AE608" s="347"/>
      <c r="AF608" s="340" t="s">
        <v>59</v>
      </c>
    </row>
    <row r="609" spans="1:32" s="597" customFormat="1" ht="18" customHeight="1" x14ac:dyDescent="0.25">
      <c r="A609" s="254">
        <v>1</v>
      </c>
      <c r="B609" s="95">
        <v>64455</v>
      </c>
      <c r="C609" s="333">
        <v>1893</v>
      </c>
      <c r="D609" s="333" t="s">
        <v>91</v>
      </c>
      <c r="E609" s="333">
        <v>4</v>
      </c>
      <c r="F609" s="700">
        <v>0</v>
      </c>
      <c r="G609" s="95">
        <v>1</v>
      </c>
      <c r="H609" s="700">
        <v>63.3</v>
      </c>
      <c r="I609" s="252">
        <f t="shared" ref="I609:I615" si="18">F609*400+G609*100+H609</f>
        <v>163.30000000000001</v>
      </c>
      <c r="J609" s="720">
        <v>630</v>
      </c>
      <c r="K609" s="253">
        <f t="shared" ref="K609:K615" si="19">SUM(I609*J609)</f>
        <v>102879</v>
      </c>
      <c r="L609" s="95"/>
      <c r="M609" s="95"/>
      <c r="N609" s="95"/>
      <c r="O609" s="333"/>
      <c r="P609" s="95"/>
      <c r="Q609" s="721"/>
      <c r="R609" s="722"/>
      <c r="S609" s="96"/>
      <c r="T609" s="97"/>
      <c r="U609" s="96"/>
      <c r="V609" s="96"/>
      <c r="W609" s="96">
        <f t="shared" ref="W609:W615" si="20">K609</f>
        <v>102879</v>
      </c>
      <c r="X609" s="96">
        <f t="shared" ref="X609:X615" si="21">W609</f>
        <v>102879</v>
      </c>
      <c r="Y609" s="96">
        <f t="shared" ref="Y609:Y615" si="22">V609</f>
        <v>0</v>
      </c>
      <c r="Z609" s="96">
        <f t="shared" ref="Z609:Z615" si="23">+X609</f>
        <v>102879</v>
      </c>
      <c r="AA609" s="723">
        <v>0.6</v>
      </c>
      <c r="AB609" s="465">
        <f t="shared" ref="AB609:AB615" si="24">+Z609*AA609/100</f>
        <v>617.27399999999989</v>
      </c>
      <c r="AC609" s="348"/>
      <c r="AD609" s="348"/>
      <c r="AE609" s="348"/>
      <c r="AF609" s="341"/>
    </row>
    <row r="610" spans="1:32" s="597" customFormat="1" ht="18" customHeight="1" x14ac:dyDescent="0.25">
      <c r="A610" s="287">
        <v>2</v>
      </c>
      <c r="B610" s="85">
        <v>64456</v>
      </c>
      <c r="C610" s="273">
        <v>1894</v>
      </c>
      <c r="D610" s="273" t="s">
        <v>91</v>
      </c>
      <c r="E610" s="273">
        <v>4</v>
      </c>
      <c r="F610" s="411">
        <v>0</v>
      </c>
      <c r="G610" s="85">
        <v>1</v>
      </c>
      <c r="H610" s="411">
        <v>64.2</v>
      </c>
      <c r="I610" s="282">
        <f t="shared" si="18"/>
        <v>164.2</v>
      </c>
      <c r="J610" s="261">
        <v>630</v>
      </c>
      <c r="K610" s="262">
        <f t="shared" si="19"/>
        <v>103446</v>
      </c>
      <c r="L610" s="85"/>
      <c r="M610" s="85"/>
      <c r="N610" s="85"/>
      <c r="O610" s="273"/>
      <c r="P610" s="85"/>
      <c r="Q610" s="724"/>
      <c r="R610" s="725"/>
      <c r="S610" s="83"/>
      <c r="T610" s="98"/>
      <c r="U610" s="83"/>
      <c r="V610" s="83"/>
      <c r="W610" s="83">
        <f t="shared" si="20"/>
        <v>103446</v>
      </c>
      <c r="X610" s="83">
        <f t="shared" si="21"/>
        <v>103446</v>
      </c>
      <c r="Y610" s="83">
        <f t="shared" si="22"/>
        <v>0</v>
      </c>
      <c r="Z610" s="83">
        <f t="shared" si="23"/>
        <v>103446</v>
      </c>
      <c r="AA610" s="726">
        <v>0.6</v>
      </c>
      <c r="AB610" s="410">
        <f t="shared" si="24"/>
        <v>620.67599999999993</v>
      </c>
      <c r="AC610" s="602"/>
      <c r="AD610" s="603" t="e">
        <f>#REF!-AC610</f>
        <v>#REF!</v>
      </c>
      <c r="AE610" s="603" t="e">
        <f>IF(AD610&lt;=0,0,AD610*25/100)</f>
        <v>#REF!</v>
      </c>
      <c r="AF610" s="603" t="e">
        <f>IF(AC610+AE610&gt;#REF!,#REF!,AC610+AE610)</f>
        <v>#REF!</v>
      </c>
    </row>
    <row r="611" spans="1:32" s="597" customFormat="1" ht="18" customHeight="1" x14ac:dyDescent="0.25">
      <c r="A611" s="269">
        <v>3</v>
      </c>
      <c r="B611" s="85">
        <v>64457</v>
      </c>
      <c r="C611" s="285" t="s">
        <v>108</v>
      </c>
      <c r="D611" s="273" t="s">
        <v>91</v>
      </c>
      <c r="E611" s="273">
        <v>4</v>
      </c>
      <c r="F611" s="411">
        <v>0</v>
      </c>
      <c r="G611" s="85">
        <v>1</v>
      </c>
      <c r="H611" s="411">
        <v>65</v>
      </c>
      <c r="I611" s="282">
        <f t="shared" si="18"/>
        <v>165</v>
      </c>
      <c r="J611" s="261">
        <v>630</v>
      </c>
      <c r="K611" s="262">
        <f t="shared" si="19"/>
        <v>103950</v>
      </c>
      <c r="L611" s="85"/>
      <c r="M611" s="85"/>
      <c r="N611" s="85"/>
      <c r="O611" s="273"/>
      <c r="P611" s="85"/>
      <c r="Q611" s="724"/>
      <c r="R611" s="725"/>
      <c r="S611" s="83"/>
      <c r="T611" s="98"/>
      <c r="U611" s="83"/>
      <c r="V611" s="83"/>
      <c r="W611" s="83">
        <f t="shared" si="20"/>
        <v>103950</v>
      </c>
      <c r="X611" s="83">
        <f t="shared" si="21"/>
        <v>103950</v>
      </c>
      <c r="Y611" s="83">
        <f t="shared" si="22"/>
        <v>0</v>
      </c>
      <c r="Z611" s="83">
        <f t="shared" si="23"/>
        <v>103950</v>
      </c>
      <c r="AA611" s="726">
        <v>0.6</v>
      </c>
      <c r="AB611" s="410">
        <f t="shared" si="24"/>
        <v>623.70000000000005</v>
      </c>
      <c r="AC611" s="602"/>
      <c r="AD611" s="603"/>
      <c r="AE611" s="603"/>
      <c r="AF611" s="603"/>
    </row>
    <row r="612" spans="1:32" s="597" customFormat="1" ht="18" customHeight="1" x14ac:dyDescent="0.25">
      <c r="A612" s="269">
        <v>4</v>
      </c>
      <c r="B612" s="85">
        <v>64458</v>
      </c>
      <c r="C612" s="285" t="s">
        <v>109</v>
      </c>
      <c r="D612" s="273" t="s">
        <v>91</v>
      </c>
      <c r="E612" s="273">
        <v>4</v>
      </c>
      <c r="F612" s="411">
        <v>0</v>
      </c>
      <c r="G612" s="85">
        <v>1</v>
      </c>
      <c r="H612" s="411">
        <v>65.8</v>
      </c>
      <c r="I612" s="282">
        <f t="shared" si="18"/>
        <v>165.8</v>
      </c>
      <c r="J612" s="261">
        <v>630</v>
      </c>
      <c r="K612" s="262">
        <f t="shared" si="19"/>
        <v>104454</v>
      </c>
      <c r="L612" s="85"/>
      <c r="M612" s="85"/>
      <c r="N612" s="85"/>
      <c r="O612" s="273"/>
      <c r="P612" s="85"/>
      <c r="Q612" s="724"/>
      <c r="R612" s="725"/>
      <c r="S612" s="83"/>
      <c r="T612" s="98"/>
      <c r="U612" s="83"/>
      <c r="V612" s="83"/>
      <c r="W612" s="83">
        <f t="shared" si="20"/>
        <v>104454</v>
      </c>
      <c r="X612" s="83">
        <f t="shared" si="21"/>
        <v>104454</v>
      </c>
      <c r="Y612" s="83">
        <f t="shared" si="22"/>
        <v>0</v>
      </c>
      <c r="Z612" s="83">
        <f t="shared" si="23"/>
        <v>104454</v>
      </c>
      <c r="AA612" s="726">
        <v>0.6</v>
      </c>
      <c r="AB612" s="410">
        <f t="shared" si="24"/>
        <v>626.72399999999993</v>
      </c>
      <c r="AC612" s="602"/>
      <c r="AD612" s="603"/>
      <c r="AE612" s="603"/>
      <c r="AF612" s="603"/>
    </row>
    <row r="613" spans="1:32" s="597" customFormat="1" ht="18" customHeight="1" x14ac:dyDescent="0.25">
      <c r="A613" s="269">
        <v>5</v>
      </c>
      <c r="B613" s="85">
        <v>64459</v>
      </c>
      <c r="C613" s="285" t="s">
        <v>110</v>
      </c>
      <c r="D613" s="273" t="s">
        <v>91</v>
      </c>
      <c r="E613" s="273">
        <v>4</v>
      </c>
      <c r="F613" s="411">
        <v>0</v>
      </c>
      <c r="G613" s="85">
        <v>3</v>
      </c>
      <c r="H613" s="411">
        <v>33.299999999999997</v>
      </c>
      <c r="I613" s="282">
        <f t="shared" si="18"/>
        <v>333.3</v>
      </c>
      <c r="J613" s="261">
        <v>630</v>
      </c>
      <c r="K613" s="262">
        <f t="shared" si="19"/>
        <v>209979</v>
      </c>
      <c r="L613" s="85"/>
      <c r="M613" s="85"/>
      <c r="N613" s="85"/>
      <c r="O613" s="273"/>
      <c r="P613" s="85"/>
      <c r="Q613" s="724"/>
      <c r="R613" s="725"/>
      <c r="S613" s="83"/>
      <c r="T613" s="98"/>
      <c r="U613" s="83"/>
      <c r="V613" s="83"/>
      <c r="W613" s="83">
        <f t="shared" si="20"/>
        <v>209979</v>
      </c>
      <c r="X613" s="83">
        <f t="shared" si="21"/>
        <v>209979</v>
      </c>
      <c r="Y613" s="83">
        <f t="shared" si="22"/>
        <v>0</v>
      </c>
      <c r="Z613" s="83">
        <f t="shared" si="23"/>
        <v>209979</v>
      </c>
      <c r="AA613" s="726">
        <v>0.6</v>
      </c>
      <c r="AB613" s="410">
        <f t="shared" si="24"/>
        <v>1259.874</v>
      </c>
      <c r="AC613" s="350"/>
      <c r="AD613" s="350"/>
      <c r="AE613" s="350"/>
      <c r="AF613" s="350"/>
    </row>
    <row r="614" spans="1:32" s="597" customFormat="1" ht="18" customHeight="1" x14ac:dyDescent="0.25">
      <c r="A614" s="269">
        <v>6</v>
      </c>
      <c r="B614" s="85">
        <v>64460</v>
      </c>
      <c r="C614" s="285" t="s">
        <v>111</v>
      </c>
      <c r="D614" s="273" t="s">
        <v>91</v>
      </c>
      <c r="E614" s="273">
        <v>4</v>
      </c>
      <c r="F614" s="411">
        <v>0</v>
      </c>
      <c r="G614" s="85">
        <v>2</v>
      </c>
      <c r="H614" s="411">
        <v>8.4</v>
      </c>
      <c r="I614" s="282">
        <f t="shared" si="18"/>
        <v>208.4</v>
      </c>
      <c r="J614" s="261">
        <v>630</v>
      </c>
      <c r="K614" s="1467">
        <f t="shared" si="19"/>
        <v>131292</v>
      </c>
      <c r="L614" s="85"/>
      <c r="M614" s="85"/>
      <c r="N614" s="85"/>
      <c r="O614" s="273"/>
      <c r="P614" s="85"/>
      <c r="Q614" s="724"/>
      <c r="R614" s="725"/>
      <c r="S614" s="83"/>
      <c r="T614" s="98"/>
      <c r="U614" s="83"/>
      <c r="V614" s="83"/>
      <c r="W614" s="83">
        <f t="shared" si="20"/>
        <v>131292</v>
      </c>
      <c r="X614" s="83">
        <f t="shared" si="21"/>
        <v>131292</v>
      </c>
      <c r="Y614" s="83">
        <f t="shared" si="22"/>
        <v>0</v>
      </c>
      <c r="Z614" s="83">
        <f t="shared" si="23"/>
        <v>131292</v>
      </c>
      <c r="AA614" s="726">
        <v>0.6</v>
      </c>
      <c r="AB614" s="410">
        <f t="shared" si="24"/>
        <v>787.75199999999995</v>
      </c>
      <c r="AC614" s="350"/>
      <c r="AD614" s="350"/>
      <c r="AE614" s="350"/>
      <c r="AF614" s="350"/>
    </row>
    <row r="615" spans="1:32" s="597" customFormat="1" ht="18" customHeight="1" x14ac:dyDescent="0.25">
      <c r="A615" s="269">
        <v>7</v>
      </c>
      <c r="B615" s="85">
        <v>64462</v>
      </c>
      <c r="C615" s="285" t="s">
        <v>113</v>
      </c>
      <c r="D615" s="273" t="s">
        <v>91</v>
      </c>
      <c r="E615" s="273">
        <v>4</v>
      </c>
      <c r="F615" s="268">
        <v>0</v>
      </c>
      <c r="G615" s="273">
        <v>2</v>
      </c>
      <c r="H615" s="268">
        <v>1</v>
      </c>
      <c r="I615" s="261">
        <f t="shared" si="18"/>
        <v>201</v>
      </c>
      <c r="J615" s="261">
        <v>2000</v>
      </c>
      <c r="K615" s="1467">
        <f t="shared" si="19"/>
        <v>402000</v>
      </c>
      <c r="L615" s="85"/>
      <c r="M615" s="85"/>
      <c r="N615" s="85"/>
      <c r="O615" s="273"/>
      <c r="P615" s="85"/>
      <c r="Q615" s="724"/>
      <c r="R615" s="725"/>
      <c r="S615" s="83"/>
      <c r="T615" s="98"/>
      <c r="U615" s="83"/>
      <c r="V615" s="83"/>
      <c r="W615" s="83">
        <f t="shared" si="20"/>
        <v>402000</v>
      </c>
      <c r="X615" s="83">
        <f t="shared" si="21"/>
        <v>402000</v>
      </c>
      <c r="Y615" s="83">
        <f t="shared" si="22"/>
        <v>0</v>
      </c>
      <c r="Z615" s="83">
        <f t="shared" si="23"/>
        <v>402000</v>
      </c>
      <c r="AA615" s="726">
        <v>0.6</v>
      </c>
      <c r="AB615" s="410">
        <f t="shared" si="24"/>
        <v>2412</v>
      </c>
      <c r="AC615" s="350"/>
      <c r="AD615" s="350"/>
      <c r="AE615" s="350"/>
      <c r="AF615" s="350"/>
    </row>
    <row r="616" spans="1:32" s="597" customFormat="1" ht="18" customHeight="1" x14ac:dyDescent="0.25">
      <c r="A616" s="269"/>
      <c r="B616" s="85"/>
      <c r="C616" s="285"/>
      <c r="D616" s="273"/>
      <c r="E616" s="273"/>
      <c r="F616" s="268"/>
      <c r="G616" s="273"/>
      <c r="H616" s="268"/>
      <c r="I616" s="261"/>
      <c r="J616" s="261"/>
      <c r="K616" s="1467"/>
      <c r="L616" s="85"/>
      <c r="M616" s="85"/>
      <c r="N616" s="85"/>
      <c r="O616" s="273"/>
      <c r="P616" s="85"/>
      <c r="Q616" s="724"/>
      <c r="R616" s="725"/>
      <c r="S616" s="83"/>
      <c r="T616" s="98"/>
      <c r="U616" s="83"/>
      <c r="V616" s="83"/>
      <c r="W616" s="83"/>
      <c r="X616" s="83"/>
      <c r="Y616" s="83"/>
      <c r="Z616" s="83"/>
      <c r="AA616" s="726"/>
      <c r="AB616" s="410"/>
      <c r="AC616" s="350"/>
      <c r="AD616" s="350"/>
      <c r="AE616" s="350"/>
      <c r="AF616" s="350"/>
    </row>
    <row r="617" spans="1:32" s="597" customFormat="1" ht="18" customHeight="1" x14ac:dyDescent="0.2">
      <c r="A617" s="88"/>
      <c r="B617" s="180"/>
      <c r="C617" s="180"/>
      <c r="D617" s="88"/>
      <c r="E617" s="88"/>
      <c r="F617" s="88"/>
      <c r="G617" s="88"/>
      <c r="H617" s="120"/>
      <c r="I617" s="121"/>
      <c r="J617" s="181"/>
      <c r="K617" s="121"/>
      <c r="L617" s="88"/>
      <c r="M617" s="88"/>
      <c r="N617" s="88"/>
      <c r="O617" s="88"/>
      <c r="P617" s="120"/>
      <c r="Q617" s="129"/>
      <c r="R617" s="445"/>
      <c r="S617" s="121"/>
      <c r="T617" s="182"/>
      <c r="U617" s="181"/>
      <c r="V617" s="121"/>
      <c r="W617" s="121"/>
      <c r="X617" s="472"/>
      <c r="Y617" s="472"/>
      <c r="Z617" s="473"/>
      <c r="AA617" s="473"/>
      <c r="AB617" s="410"/>
      <c r="AC617" s="350"/>
      <c r="AD617" s="350"/>
      <c r="AE617" s="350"/>
      <c r="AF617" s="350"/>
    </row>
    <row r="618" spans="1:32" s="597" customFormat="1" ht="18" customHeight="1" x14ac:dyDescent="0.2">
      <c r="A618" s="88"/>
      <c r="B618" s="180"/>
      <c r="C618" s="180"/>
      <c r="D618" s="88"/>
      <c r="E618" s="88"/>
      <c r="F618" s="88"/>
      <c r="G618" s="88"/>
      <c r="H618" s="120"/>
      <c r="I618" s="121"/>
      <c r="J618" s="181"/>
      <c r="K618" s="121"/>
      <c r="L618" s="145"/>
      <c r="M618" s="145"/>
      <c r="N618" s="145"/>
      <c r="O618" s="145"/>
      <c r="P618" s="147"/>
      <c r="Q618" s="148"/>
      <c r="R618" s="437"/>
      <c r="S618" s="107"/>
      <c r="T618" s="179"/>
      <c r="U618" s="178"/>
      <c r="V618" s="107"/>
      <c r="W618" s="107"/>
      <c r="X618" s="470"/>
      <c r="Y618" s="470"/>
      <c r="Z618" s="471"/>
      <c r="AA618" s="471"/>
      <c r="AB618" s="466"/>
      <c r="AC618" s="350"/>
      <c r="AD618" s="350"/>
      <c r="AE618" s="350"/>
      <c r="AF618" s="350"/>
    </row>
    <row r="619" spans="1:32" s="597" customFormat="1" ht="18" customHeight="1" x14ac:dyDescent="0.2">
      <c r="A619" s="1950"/>
      <c r="B619" s="177"/>
      <c r="C619" s="177"/>
      <c r="D619" s="1950"/>
      <c r="E619" s="1950"/>
      <c r="F619" s="1950"/>
      <c r="G619" s="1950"/>
      <c r="H619" s="1953"/>
      <c r="I619" s="1951"/>
      <c r="J619" s="178"/>
      <c r="K619" s="1951"/>
      <c r="L619" s="1950"/>
      <c r="M619" s="1950"/>
      <c r="N619" s="1950"/>
      <c r="O619" s="1950"/>
      <c r="P619" s="1953"/>
      <c r="Q619" s="1952"/>
      <c r="R619" s="437"/>
      <c r="S619" s="1951"/>
      <c r="T619" s="179"/>
      <c r="U619" s="178"/>
      <c r="V619" s="1951"/>
      <c r="W619" s="1951"/>
      <c r="X619" s="470"/>
      <c r="Y619" s="470"/>
      <c r="Z619" s="471"/>
      <c r="AA619" s="471"/>
      <c r="AB619" s="466"/>
      <c r="AC619" s="350"/>
      <c r="AD619" s="350"/>
      <c r="AE619" s="350"/>
      <c r="AF619" s="350"/>
    </row>
    <row r="620" spans="1:32" s="597" customFormat="1" ht="18" customHeight="1" x14ac:dyDescent="0.2">
      <c r="A620" s="1950"/>
      <c r="B620" s="177"/>
      <c r="C620" s="177"/>
      <c r="D620" s="1950"/>
      <c r="E620" s="1950"/>
      <c r="F620" s="1950"/>
      <c r="G620" s="1950"/>
      <c r="H620" s="1953"/>
      <c r="I620" s="1951"/>
      <c r="J620" s="178"/>
      <c r="K620" s="1951"/>
      <c r="L620" s="1950"/>
      <c r="M620" s="1950"/>
      <c r="N620" s="1950"/>
      <c r="O620" s="1950"/>
      <c r="P620" s="1953"/>
      <c r="Q620" s="1952"/>
      <c r="R620" s="437"/>
      <c r="S620" s="1951"/>
      <c r="T620" s="179"/>
      <c r="U620" s="178"/>
      <c r="V620" s="1951"/>
      <c r="W620" s="1951"/>
      <c r="X620" s="470"/>
      <c r="Y620" s="470"/>
      <c r="Z620" s="471"/>
      <c r="AA620" s="471"/>
      <c r="AB620" s="466"/>
      <c r="AC620" s="350"/>
      <c r="AD620" s="350"/>
      <c r="AE620" s="350"/>
      <c r="AF620" s="350"/>
    </row>
    <row r="621" spans="1:32" s="597" customFormat="1" ht="18" customHeight="1" x14ac:dyDescent="0.2">
      <c r="A621" s="1950"/>
      <c r="B621" s="177"/>
      <c r="C621" s="177"/>
      <c r="D621" s="1950"/>
      <c r="E621" s="1950"/>
      <c r="F621" s="1950"/>
      <c r="G621" s="1950"/>
      <c r="H621" s="1953"/>
      <c r="I621" s="1951"/>
      <c r="J621" s="178"/>
      <c r="K621" s="1951"/>
      <c r="L621" s="1950"/>
      <c r="M621" s="1950"/>
      <c r="N621" s="1950"/>
      <c r="O621" s="1950"/>
      <c r="P621" s="1953"/>
      <c r="Q621" s="1952"/>
      <c r="R621" s="437"/>
      <c r="S621" s="1951"/>
      <c r="T621" s="179"/>
      <c r="U621" s="178"/>
      <c r="V621" s="1951"/>
      <c r="W621" s="1951"/>
      <c r="X621" s="470"/>
      <c r="Y621" s="470"/>
      <c r="Z621" s="471"/>
      <c r="AA621" s="471"/>
      <c r="AB621" s="466"/>
      <c r="AC621" s="350"/>
      <c r="AD621" s="350"/>
      <c r="AE621" s="350"/>
      <c r="AF621" s="350"/>
    </row>
    <row r="622" spans="1:32" s="597" customFormat="1" ht="18" customHeight="1" x14ac:dyDescent="0.2">
      <c r="A622" s="1950"/>
      <c r="B622" s="177"/>
      <c r="C622" s="177"/>
      <c r="D622" s="1950"/>
      <c r="E622" s="1950"/>
      <c r="F622" s="1950"/>
      <c r="G622" s="1950"/>
      <c r="H622" s="1953"/>
      <c r="I622" s="1951"/>
      <c r="J622" s="178"/>
      <c r="K622" s="1951"/>
      <c r="L622" s="1950"/>
      <c r="M622" s="1950"/>
      <c r="N622" s="1950"/>
      <c r="O622" s="1950"/>
      <c r="P622" s="1953"/>
      <c r="Q622" s="1952"/>
      <c r="R622" s="437"/>
      <c r="S622" s="1951"/>
      <c r="T622" s="179"/>
      <c r="U622" s="178"/>
      <c r="V622" s="1951"/>
      <c r="W622" s="1951"/>
      <c r="X622" s="470"/>
      <c r="Y622" s="470"/>
      <c r="Z622" s="471"/>
      <c r="AA622" s="471"/>
      <c r="AB622" s="466"/>
      <c r="AC622" s="350"/>
      <c r="AD622" s="350"/>
      <c r="AE622" s="350"/>
      <c r="AF622" s="350"/>
    </row>
    <row r="623" spans="1:32" s="597" customFormat="1" ht="18" customHeight="1" x14ac:dyDescent="0.2">
      <c r="A623" s="1950"/>
      <c r="B623" s="177"/>
      <c r="C623" s="177"/>
      <c r="D623" s="1950"/>
      <c r="E623" s="1950"/>
      <c r="F623" s="1950"/>
      <c r="G623" s="1950"/>
      <c r="H623" s="1953"/>
      <c r="I623" s="1951"/>
      <c r="J623" s="178"/>
      <c r="K623" s="1951"/>
      <c r="L623" s="1950"/>
      <c r="M623" s="1950"/>
      <c r="N623" s="1950"/>
      <c r="O623" s="1950"/>
      <c r="P623" s="1953"/>
      <c r="Q623" s="1952"/>
      <c r="R623" s="437"/>
      <c r="S623" s="1951"/>
      <c r="T623" s="179"/>
      <c r="U623" s="178"/>
      <c r="V623" s="1951"/>
      <c r="W623" s="1951"/>
      <c r="X623" s="470"/>
      <c r="Y623" s="470"/>
      <c r="Z623" s="471"/>
      <c r="AA623" s="471"/>
      <c r="AB623" s="466"/>
      <c r="AC623" s="350"/>
      <c r="AD623" s="350"/>
      <c r="AE623" s="350"/>
      <c r="AF623" s="350"/>
    </row>
    <row r="624" spans="1:32" s="597" customFormat="1" ht="18" customHeight="1" x14ac:dyDescent="0.2">
      <c r="A624" s="1950"/>
      <c r="B624" s="177"/>
      <c r="C624" s="177"/>
      <c r="D624" s="1950"/>
      <c r="E624" s="1950"/>
      <c r="F624" s="1950"/>
      <c r="G624" s="1950"/>
      <c r="H624" s="1953"/>
      <c r="I624" s="1951"/>
      <c r="J624" s="178"/>
      <c r="K624" s="1951"/>
      <c r="L624" s="1950"/>
      <c r="M624" s="1950"/>
      <c r="N624" s="1950"/>
      <c r="O624" s="1950"/>
      <c r="P624" s="1953"/>
      <c r="Q624" s="1952"/>
      <c r="R624" s="437"/>
      <c r="S624" s="1951"/>
      <c r="T624" s="179"/>
      <c r="U624" s="178"/>
      <c r="V624" s="1951"/>
      <c r="W624" s="1951"/>
      <c r="X624" s="470"/>
      <c r="Y624" s="470"/>
      <c r="Z624" s="471"/>
      <c r="AA624" s="471"/>
      <c r="AB624" s="466"/>
      <c r="AC624" s="350"/>
      <c r="AD624" s="350"/>
      <c r="AE624" s="350"/>
      <c r="AF624" s="350"/>
    </row>
    <row r="625" spans="1:32" s="597" customFormat="1" ht="18" customHeight="1" x14ac:dyDescent="0.2">
      <c r="A625" s="1950"/>
      <c r="B625" s="177"/>
      <c r="C625" s="177"/>
      <c r="D625" s="1950"/>
      <c r="E625" s="1950"/>
      <c r="F625" s="1950"/>
      <c r="G625" s="1950"/>
      <c r="H625" s="1953"/>
      <c r="I625" s="1951"/>
      <c r="J625" s="178"/>
      <c r="K625" s="1951"/>
      <c r="L625" s="1950"/>
      <c r="M625" s="1950"/>
      <c r="N625" s="1950"/>
      <c r="O625" s="1950"/>
      <c r="P625" s="1953"/>
      <c r="Q625" s="1952"/>
      <c r="R625" s="437"/>
      <c r="S625" s="1951"/>
      <c r="T625" s="179"/>
      <c r="U625" s="178"/>
      <c r="V625" s="1951"/>
      <c r="W625" s="1951"/>
      <c r="X625" s="470"/>
      <c r="Y625" s="470"/>
      <c r="Z625" s="471"/>
      <c r="AA625" s="471"/>
      <c r="AB625" s="466"/>
      <c r="AC625" s="350"/>
      <c r="AD625" s="350"/>
      <c r="AE625" s="350"/>
      <c r="AF625" s="350"/>
    </row>
    <row r="626" spans="1:32" s="597" customFormat="1" ht="18" customHeight="1" x14ac:dyDescent="0.2">
      <c r="A626" s="1950"/>
      <c r="B626" s="177"/>
      <c r="C626" s="177"/>
      <c r="D626" s="1950"/>
      <c r="E626" s="1950"/>
      <c r="F626" s="1950"/>
      <c r="G626" s="1950"/>
      <c r="H626" s="1953"/>
      <c r="I626" s="1951"/>
      <c r="J626" s="178"/>
      <c r="K626" s="1951"/>
      <c r="L626" s="1950"/>
      <c r="M626" s="1950"/>
      <c r="N626" s="1950"/>
      <c r="O626" s="1950"/>
      <c r="P626" s="1953"/>
      <c r="Q626" s="1952"/>
      <c r="R626" s="437"/>
      <c r="S626" s="1951"/>
      <c r="T626" s="179"/>
      <c r="U626" s="178"/>
      <c r="V626" s="1951"/>
      <c r="W626" s="1951"/>
      <c r="X626" s="470"/>
      <c r="Y626" s="470"/>
      <c r="Z626" s="471"/>
      <c r="AA626" s="471"/>
      <c r="AB626" s="466"/>
      <c r="AC626" s="350"/>
      <c r="AD626" s="350"/>
      <c r="AE626" s="350"/>
      <c r="AF626" s="350"/>
    </row>
    <row r="627" spans="1:32" s="597" customFormat="1" ht="18" customHeight="1" x14ac:dyDescent="0.2">
      <c r="A627" s="1950"/>
      <c r="B627" s="177"/>
      <c r="C627" s="177"/>
      <c r="D627" s="1950"/>
      <c r="E627" s="1950"/>
      <c r="F627" s="1950"/>
      <c r="G627" s="1950"/>
      <c r="H627" s="1953"/>
      <c r="I627" s="1951"/>
      <c r="J627" s="178"/>
      <c r="K627" s="1951"/>
      <c r="L627" s="1950"/>
      <c r="M627" s="1950"/>
      <c r="N627" s="1950"/>
      <c r="O627" s="1950"/>
      <c r="P627" s="1953"/>
      <c r="Q627" s="1952"/>
      <c r="R627" s="437"/>
      <c r="S627" s="1951"/>
      <c r="T627" s="179"/>
      <c r="U627" s="178"/>
      <c r="V627" s="1951"/>
      <c r="W627" s="1951"/>
      <c r="X627" s="470"/>
      <c r="Y627" s="470"/>
      <c r="Z627" s="471"/>
      <c r="AA627" s="471"/>
      <c r="AB627" s="466"/>
      <c r="AC627" s="350"/>
      <c r="AD627" s="350"/>
      <c r="AE627" s="350"/>
      <c r="AF627" s="350"/>
    </row>
    <row r="628" spans="1:32" s="597" customFormat="1" ht="18" customHeight="1" x14ac:dyDescent="0.2">
      <c r="A628" s="1950"/>
      <c r="B628" s="177"/>
      <c r="C628" s="177"/>
      <c r="D628" s="1950"/>
      <c r="E628" s="1950"/>
      <c r="F628" s="1950"/>
      <c r="G628" s="1950"/>
      <c r="H628" s="1953"/>
      <c r="I628" s="1951"/>
      <c r="J628" s="178"/>
      <c r="K628" s="1951"/>
      <c r="L628" s="1950"/>
      <c r="M628" s="1950"/>
      <c r="N628" s="1950"/>
      <c r="O628" s="1950"/>
      <c r="P628" s="1953"/>
      <c r="Q628" s="1952"/>
      <c r="R628" s="437"/>
      <c r="S628" s="1951"/>
      <c r="T628" s="179"/>
      <c r="U628" s="178"/>
      <c r="V628" s="1951"/>
      <c r="W628" s="1951"/>
      <c r="X628" s="470"/>
      <c r="Y628" s="470"/>
      <c r="Z628" s="471"/>
      <c r="AA628" s="471"/>
      <c r="AB628" s="466"/>
      <c r="AC628" s="350"/>
      <c r="AD628" s="350"/>
      <c r="AE628" s="350"/>
      <c r="AF628" s="350"/>
    </row>
    <row r="629" spans="1:32" s="597" customFormat="1" ht="18" customHeight="1" x14ac:dyDescent="0.2">
      <c r="A629" s="1950"/>
      <c r="B629" s="177"/>
      <c r="C629" s="177"/>
      <c r="D629" s="1950"/>
      <c r="E629" s="1950"/>
      <c r="F629" s="1950"/>
      <c r="G629" s="1950"/>
      <c r="H629" s="1953"/>
      <c r="I629" s="1951"/>
      <c r="J629" s="178"/>
      <c r="K629" s="1951"/>
      <c r="L629" s="1950"/>
      <c r="M629" s="1950"/>
      <c r="N629" s="1950"/>
      <c r="O629" s="1950"/>
      <c r="P629" s="1953"/>
      <c r="Q629" s="1952"/>
      <c r="R629" s="437"/>
      <c r="S629" s="1951"/>
      <c r="T629" s="179"/>
      <c r="U629" s="178"/>
      <c r="V629" s="1951"/>
      <c r="W629" s="1951"/>
      <c r="X629" s="470"/>
      <c r="Y629" s="470"/>
      <c r="Z629" s="471"/>
      <c r="AA629" s="471"/>
      <c r="AB629" s="466"/>
      <c r="AC629" s="350"/>
      <c r="AD629" s="350"/>
      <c r="AE629" s="350"/>
      <c r="AF629" s="350"/>
    </row>
    <row r="630" spans="1:32" s="597" customFormat="1" ht="18" customHeight="1" x14ac:dyDescent="0.2">
      <c r="A630" s="1950"/>
      <c r="B630" s="177"/>
      <c r="C630" s="177"/>
      <c r="D630" s="1950"/>
      <c r="E630" s="1950"/>
      <c r="F630" s="1950"/>
      <c r="G630" s="1950"/>
      <c r="H630" s="1953"/>
      <c r="I630" s="1951"/>
      <c r="J630" s="178"/>
      <c r="K630" s="1951"/>
      <c r="L630" s="1950"/>
      <c r="M630" s="1950"/>
      <c r="N630" s="1950"/>
      <c r="O630" s="1950"/>
      <c r="P630" s="1953"/>
      <c r="Q630" s="1952"/>
      <c r="R630" s="437"/>
      <c r="S630" s="1951"/>
      <c r="T630" s="179"/>
      <c r="U630" s="178"/>
      <c r="V630" s="1951"/>
      <c r="W630" s="1951"/>
      <c r="X630" s="470"/>
      <c r="Y630" s="470"/>
      <c r="Z630" s="471"/>
      <c r="AA630" s="471"/>
      <c r="AB630" s="466"/>
      <c r="AC630" s="350"/>
      <c r="AD630" s="350"/>
      <c r="AE630" s="350"/>
      <c r="AF630" s="350"/>
    </row>
    <row r="631" spans="1:32" s="597" customFormat="1" ht="18" customHeight="1" x14ac:dyDescent="0.2">
      <c r="A631" s="1950"/>
      <c r="B631" s="177"/>
      <c r="C631" s="177"/>
      <c r="D631" s="1950"/>
      <c r="E631" s="1950"/>
      <c r="F631" s="1950"/>
      <c r="G631" s="1950"/>
      <c r="H631" s="1953"/>
      <c r="I631" s="1951"/>
      <c r="J631" s="178"/>
      <c r="K631" s="1951"/>
      <c r="L631" s="1950"/>
      <c r="M631" s="1950"/>
      <c r="N631" s="1950"/>
      <c r="O631" s="1950"/>
      <c r="P631" s="1953"/>
      <c r="Q631" s="1952"/>
      <c r="R631" s="437"/>
      <c r="S631" s="1951"/>
      <c r="T631" s="179"/>
      <c r="U631" s="178"/>
      <c r="V631" s="1951"/>
      <c r="W631" s="1951"/>
      <c r="X631" s="470"/>
      <c r="Y631" s="470"/>
      <c r="Z631" s="471"/>
      <c r="AA631" s="471"/>
      <c r="AB631" s="466"/>
      <c r="AC631" s="350"/>
      <c r="AD631" s="350"/>
      <c r="AE631" s="350"/>
      <c r="AF631" s="350"/>
    </row>
    <row r="632" spans="1:32" s="597" customFormat="1" ht="18" customHeight="1" x14ac:dyDescent="0.2">
      <c r="A632" s="145"/>
      <c r="B632" s="177"/>
      <c r="C632" s="177"/>
      <c r="D632" s="145"/>
      <c r="E632" s="145"/>
      <c r="F632" s="145"/>
      <c r="G632" s="145"/>
      <c r="H632" s="147"/>
      <c r="I632" s="107"/>
      <c r="J632" s="178"/>
      <c r="K632" s="107"/>
      <c r="L632" s="145"/>
      <c r="M632" s="145"/>
      <c r="N632" s="145"/>
      <c r="O632" s="145"/>
      <c r="P632" s="147"/>
      <c r="Q632" s="148"/>
      <c r="R632" s="437"/>
      <c r="S632" s="107"/>
      <c r="T632" s="179"/>
      <c r="U632" s="178"/>
      <c r="V632" s="107"/>
      <c r="W632" s="107"/>
      <c r="X632" s="470"/>
      <c r="Y632" s="470"/>
      <c r="Z632" s="471"/>
      <c r="AA632" s="471"/>
      <c r="AB632" s="466"/>
      <c r="AC632" s="350"/>
      <c r="AD632" s="350"/>
      <c r="AE632" s="350"/>
      <c r="AF632" s="350"/>
    </row>
    <row r="633" spans="1:32" s="597" customFormat="1" ht="18" customHeight="1" x14ac:dyDescent="0.2">
      <c r="A633" s="145"/>
      <c r="B633" s="177"/>
      <c r="C633" s="177"/>
      <c r="D633" s="145"/>
      <c r="E633" s="145"/>
      <c r="F633" s="145"/>
      <c r="G633" s="145"/>
      <c r="H633" s="147"/>
      <c r="I633" s="107"/>
      <c r="J633" s="178"/>
      <c r="K633" s="107"/>
      <c r="L633" s="145"/>
      <c r="M633" s="145"/>
      <c r="N633" s="145"/>
      <c r="O633" s="145"/>
      <c r="P633" s="147"/>
      <c r="Q633" s="148"/>
      <c r="R633" s="437"/>
      <c r="S633" s="107"/>
      <c r="T633" s="179"/>
      <c r="U633" s="178"/>
      <c r="V633" s="107"/>
      <c r="W633" s="107"/>
      <c r="X633" s="470"/>
      <c r="Y633" s="470"/>
      <c r="Z633" s="471"/>
      <c r="AA633" s="471"/>
      <c r="AB633" s="466"/>
      <c r="AC633" s="350"/>
      <c r="AD633" s="350"/>
      <c r="AE633" s="350"/>
      <c r="AF633" s="350"/>
    </row>
    <row r="634" spans="1:32" s="597" customFormat="1" ht="18" customHeight="1" x14ac:dyDescent="0.2">
      <c r="A634" s="145"/>
      <c r="B634" s="177"/>
      <c r="C634" s="177"/>
      <c r="D634" s="145"/>
      <c r="E634" s="145"/>
      <c r="F634" s="145"/>
      <c r="G634" s="145"/>
      <c r="H634" s="147"/>
      <c r="I634" s="107"/>
      <c r="J634" s="178"/>
      <c r="K634" s="107"/>
      <c r="L634" s="145"/>
      <c r="M634" s="145"/>
      <c r="N634" s="145"/>
      <c r="O634" s="145"/>
      <c r="P634" s="147"/>
      <c r="Q634" s="148"/>
      <c r="R634" s="437"/>
      <c r="S634" s="107"/>
      <c r="T634" s="179"/>
      <c r="U634" s="178"/>
      <c r="V634" s="107"/>
      <c r="W634" s="107"/>
      <c r="X634" s="470"/>
      <c r="Y634" s="470"/>
      <c r="Z634" s="471"/>
      <c r="AA634" s="471"/>
      <c r="AB634" s="466"/>
      <c r="AC634" s="350"/>
      <c r="AD634" s="350"/>
      <c r="AE634" s="350"/>
      <c r="AF634" s="350"/>
    </row>
    <row r="635" spans="1:32" s="597" customFormat="1" ht="18" customHeight="1" x14ac:dyDescent="0.2">
      <c r="A635" s="145"/>
      <c r="B635" s="177"/>
      <c r="C635" s="177"/>
      <c r="D635" s="145"/>
      <c r="E635" s="145"/>
      <c r="F635" s="145"/>
      <c r="G635" s="145"/>
      <c r="H635" s="147"/>
      <c r="I635" s="107"/>
      <c r="J635" s="178"/>
      <c r="K635" s="107"/>
      <c r="L635" s="145"/>
      <c r="M635" s="145"/>
      <c r="N635" s="145"/>
      <c r="O635" s="145"/>
      <c r="P635" s="147"/>
      <c r="Q635" s="148"/>
      <c r="R635" s="437"/>
      <c r="S635" s="107"/>
      <c r="T635" s="179"/>
      <c r="U635" s="178"/>
      <c r="V635" s="107"/>
      <c r="W635" s="107"/>
      <c r="X635" s="470"/>
      <c r="Y635" s="470"/>
      <c r="Z635" s="471"/>
      <c r="AA635" s="471"/>
      <c r="AB635" s="466"/>
      <c r="AC635" s="350"/>
      <c r="AD635" s="350"/>
      <c r="AE635" s="350"/>
      <c r="AF635" s="350"/>
    </row>
    <row r="636" spans="1:32" s="597" customFormat="1" ht="18" customHeight="1" x14ac:dyDescent="0.2">
      <c r="A636" s="88"/>
      <c r="B636" s="180"/>
      <c r="C636" s="180"/>
      <c r="D636" s="88"/>
      <c r="E636" s="88"/>
      <c r="F636" s="88"/>
      <c r="G636" s="88"/>
      <c r="H636" s="120"/>
      <c r="I636" s="121"/>
      <c r="J636" s="181"/>
      <c r="K636" s="121"/>
      <c r="L636" s="88"/>
      <c r="M636" s="88"/>
      <c r="N636" s="88"/>
      <c r="O636" s="88"/>
      <c r="P636" s="88"/>
      <c r="Q636" s="129"/>
      <c r="R636" s="445"/>
      <c r="S636" s="121"/>
      <c r="T636" s="182"/>
      <c r="U636" s="181"/>
      <c r="V636" s="121"/>
      <c r="W636" s="121"/>
      <c r="X636" s="472"/>
      <c r="Y636" s="472"/>
      <c r="Z636" s="473"/>
      <c r="AA636" s="473"/>
      <c r="AB636" s="410"/>
      <c r="AC636" s="350"/>
      <c r="AD636" s="350"/>
      <c r="AE636" s="350"/>
      <c r="AF636" s="350"/>
    </row>
    <row r="637" spans="1:32" s="597" customFormat="1" ht="18" customHeight="1" x14ac:dyDescent="0.2">
      <c r="A637" s="183"/>
      <c r="B637" s="183"/>
      <c r="C637" s="183"/>
      <c r="D637" s="183"/>
      <c r="E637" s="183"/>
      <c r="F637" s="183"/>
      <c r="G637" s="183"/>
      <c r="H637" s="184"/>
      <c r="I637" s="185"/>
      <c r="J637" s="186"/>
      <c r="K637" s="185"/>
      <c r="L637" s="185"/>
      <c r="M637" s="185"/>
      <c r="N637" s="185"/>
      <c r="O637" s="185"/>
      <c r="P637" s="185"/>
      <c r="Q637" s="185"/>
      <c r="R637" s="438"/>
      <c r="S637" s="185"/>
      <c r="T637" s="187"/>
      <c r="U637" s="186"/>
      <c r="V637" s="185"/>
      <c r="W637" s="185"/>
      <c r="X637" s="474"/>
      <c r="Y637" s="474"/>
      <c r="Z637" s="475"/>
      <c r="AA637" s="475"/>
      <c r="AB637" s="476">
        <f>SUM(AB609:AB636)</f>
        <v>6948</v>
      </c>
      <c r="AC637" s="351"/>
      <c r="AD637" s="351"/>
      <c r="AE637" s="351"/>
      <c r="AF637" s="351"/>
    </row>
    <row r="638" spans="1:32" s="597" customFormat="1" ht="18" customHeight="1" x14ac:dyDescent="0.2">
      <c r="A638" s="2690" t="s">
        <v>76</v>
      </c>
      <c r="B638" s="2690"/>
      <c r="C638" s="2691" t="s">
        <v>77</v>
      </c>
      <c r="D638" s="2691"/>
      <c r="E638" s="2691"/>
      <c r="F638" s="2691"/>
      <c r="G638" s="2691"/>
      <c r="H638" s="2691"/>
      <c r="I638" s="604" t="s">
        <v>78</v>
      </c>
      <c r="J638" s="604"/>
      <c r="K638" s="604"/>
      <c r="L638" s="604"/>
      <c r="M638" s="604"/>
      <c r="N638" s="604"/>
      <c r="AB638" s="598"/>
      <c r="AC638" s="349"/>
      <c r="AD638" s="349"/>
      <c r="AE638" s="349"/>
      <c r="AF638" s="349"/>
    </row>
    <row r="639" spans="1:32" s="597" customFormat="1" ht="18" customHeight="1" x14ac:dyDescent="0.2">
      <c r="A639" s="604"/>
      <c r="B639" s="605"/>
      <c r="C639" s="604"/>
      <c r="D639" s="604"/>
      <c r="E639" s="604"/>
      <c r="F639" s="604"/>
      <c r="G639" s="604"/>
      <c r="H639" s="604"/>
      <c r="I639" s="604" t="s">
        <v>79</v>
      </c>
      <c r="J639" s="604"/>
      <c r="K639" s="604"/>
      <c r="L639" s="604"/>
      <c r="M639" s="604"/>
      <c r="N639" s="604"/>
      <c r="AB639" s="598"/>
    </row>
    <row r="640" spans="1:32" s="597" customFormat="1" ht="18" customHeight="1" x14ac:dyDescent="0.2">
      <c r="A640" s="604"/>
      <c r="B640" s="605"/>
      <c r="C640" s="604"/>
      <c r="D640" s="604"/>
      <c r="E640" s="604"/>
      <c r="F640" s="604"/>
      <c r="G640" s="604"/>
      <c r="H640" s="604"/>
      <c r="I640" s="604" t="s">
        <v>80</v>
      </c>
      <c r="J640" s="604"/>
      <c r="K640" s="604"/>
      <c r="L640" s="604"/>
      <c r="M640" s="604"/>
      <c r="N640" s="604"/>
      <c r="AB640" s="598"/>
    </row>
    <row r="641" spans="1:32" s="597" customFormat="1" ht="18" customHeight="1" x14ac:dyDescent="0.2">
      <c r="A641" s="604"/>
      <c r="B641" s="605"/>
      <c r="C641" s="604"/>
      <c r="D641" s="604"/>
      <c r="E641" s="604"/>
      <c r="F641" s="604"/>
      <c r="G641" s="604"/>
      <c r="H641" s="604"/>
      <c r="I641" s="604" t="s">
        <v>81</v>
      </c>
      <c r="J641" s="604"/>
      <c r="K641" s="604"/>
      <c r="L641" s="604"/>
      <c r="M641" s="604"/>
      <c r="N641" s="604"/>
      <c r="AB641" s="598"/>
    </row>
    <row r="642" spans="1:32" s="597" customFormat="1" ht="18" customHeight="1" x14ac:dyDescent="0.2">
      <c r="A642" s="604"/>
      <c r="B642" s="605"/>
      <c r="C642" s="604"/>
      <c r="D642" s="604"/>
      <c r="E642" s="604"/>
      <c r="F642" s="604"/>
      <c r="G642" s="604"/>
      <c r="H642" s="604"/>
      <c r="I642" s="604" t="s">
        <v>88</v>
      </c>
      <c r="J642" s="604"/>
      <c r="K642" s="604"/>
      <c r="L642" s="604"/>
      <c r="M642" s="604"/>
      <c r="N642" s="604"/>
      <c r="AB642" s="598"/>
    </row>
    <row r="643" spans="1:32" ht="18" customHeight="1" x14ac:dyDescent="0.2">
      <c r="A643" s="822"/>
      <c r="B643" s="822"/>
      <c r="C643" s="822"/>
      <c r="D643" s="822"/>
      <c r="E643" s="822"/>
      <c r="F643" s="822"/>
      <c r="G643" s="822"/>
      <c r="H643" s="822"/>
      <c r="I643" s="822"/>
      <c r="J643" s="822"/>
      <c r="K643" s="822"/>
      <c r="L643" s="822"/>
      <c r="M643" s="822"/>
      <c r="N643" s="822"/>
      <c r="O643" s="822"/>
      <c r="P643" s="822"/>
      <c r="Q643" s="822"/>
      <c r="R643" s="822"/>
      <c r="S643" s="822"/>
      <c r="T643" s="822"/>
      <c r="U643" s="822"/>
      <c r="V643" s="822"/>
      <c r="W643" s="822"/>
      <c r="X643" s="822"/>
      <c r="Y643" s="822"/>
      <c r="Z643" s="822"/>
      <c r="AA643" s="2739" t="s">
        <v>0</v>
      </c>
      <c r="AB643" s="2739"/>
    </row>
    <row r="644" spans="1:32" ht="18" customHeight="1" x14ac:dyDescent="0.2">
      <c r="A644" s="2707" t="s">
        <v>1</v>
      </c>
      <c r="B644" s="2707"/>
      <c r="C644" s="2707"/>
      <c r="D644" s="2707"/>
      <c r="E644" s="2707"/>
      <c r="F644" s="2707"/>
      <c r="G644" s="2707"/>
      <c r="H644" s="2707"/>
      <c r="I644" s="2707"/>
      <c r="J644" s="2707"/>
      <c r="K644" s="2707"/>
      <c r="L644" s="2707"/>
      <c r="M644" s="2707"/>
      <c r="N644" s="2707"/>
      <c r="O644" s="2707"/>
      <c r="P644" s="2707"/>
      <c r="Q644" s="2707"/>
      <c r="R644" s="2707"/>
      <c r="S644" s="2707"/>
      <c r="T644" s="2707"/>
      <c r="U644" s="2707"/>
      <c r="V644" s="2707"/>
      <c r="W644" s="2707"/>
      <c r="X644" s="2707"/>
      <c r="Y644" s="2707"/>
      <c r="Z644" s="2707"/>
      <c r="AA644" s="2707"/>
      <c r="AB644" s="2707"/>
    </row>
    <row r="645" spans="1:32" ht="18" customHeight="1" x14ac:dyDescent="0.2">
      <c r="A645" s="2742" t="s">
        <v>310</v>
      </c>
      <c r="B645" s="2742"/>
      <c r="C645" s="2742"/>
      <c r="D645" s="2742"/>
      <c r="E645" s="2742"/>
      <c r="F645" s="2742"/>
      <c r="G645" s="2742"/>
      <c r="H645" s="2742"/>
      <c r="I645" s="2742"/>
      <c r="J645" s="2742"/>
      <c r="K645" s="2742"/>
      <c r="L645" s="2742"/>
      <c r="M645" s="2742"/>
      <c r="N645" s="2742"/>
      <c r="O645" s="2742"/>
      <c r="P645" s="2742"/>
      <c r="Q645" s="2742"/>
      <c r="R645" s="2742"/>
      <c r="S645" s="2742"/>
      <c r="T645" s="2742"/>
      <c r="U645" s="2742"/>
      <c r="V645" s="2742"/>
      <c r="W645" s="2742"/>
      <c r="X645" s="2742"/>
      <c r="Y645" s="2742"/>
      <c r="Z645" s="2742"/>
      <c r="AA645" s="2742"/>
      <c r="AB645" s="2742"/>
    </row>
    <row r="646" spans="1:32" ht="18" customHeight="1" x14ac:dyDescent="0.2">
      <c r="A646" s="2709" t="s">
        <v>2</v>
      </c>
      <c r="B646" s="160"/>
      <c r="C646" s="2709" t="s">
        <v>3</v>
      </c>
      <c r="D646" s="160"/>
      <c r="E646" s="160"/>
      <c r="F646" s="2712" t="s">
        <v>4</v>
      </c>
      <c r="G646" s="2712"/>
      <c r="H646" s="2712"/>
      <c r="I646" s="2713"/>
      <c r="J646" s="2713"/>
      <c r="K646" s="2714"/>
      <c r="L646" s="2"/>
      <c r="M646" s="2715" t="s">
        <v>5</v>
      </c>
      <c r="N646" s="2715"/>
      <c r="O646" s="2715"/>
      <c r="P646" s="2715"/>
      <c r="Q646" s="2716"/>
      <c r="R646" s="2716"/>
      <c r="S646" s="2716"/>
      <c r="T646" s="2716"/>
      <c r="U646" s="2716"/>
      <c r="V646" s="2717"/>
      <c r="W646" s="161" t="s">
        <v>6</v>
      </c>
      <c r="X646" s="162" t="s">
        <v>7</v>
      </c>
      <c r="Y646" s="163"/>
      <c r="Z646" s="163"/>
      <c r="AA646" s="162"/>
      <c r="AB646" s="206"/>
    </row>
    <row r="647" spans="1:32" ht="18" customHeight="1" x14ac:dyDescent="0.2">
      <c r="A647" s="2710"/>
      <c r="B647" s="4"/>
      <c r="C647" s="2710"/>
      <c r="D647" s="106" t="s">
        <v>9</v>
      </c>
      <c r="E647" s="207" t="s">
        <v>10</v>
      </c>
      <c r="F647" s="2718" t="s">
        <v>11</v>
      </c>
      <c r="G647" s="2713"/>
      <c r="H647" s="2714"/>
      <c r="I647" s="160"/>
      <c r="J647" s="208" t="s">
        <v>12</v>
      </c>
      <c r="K647" s="160"/>
      <c r="L647" s="2715" t="s">
        <v>2</v>
      </c>
      <c r="M647" s="141"/>
      <c r="N647" s="141"/>
      <c r="O647" s="141"/>
      <c r="P647" s="164"/>
      <c r="Q647" s="209" t="s">
        <v>13</v>
      </c>
      <c r="R647" s="210" t="s">
        <v>12</v>
      </c>
      <c r="S647" s="141" t="s">
        <v>6</v>
      </c>
      <c r="T647" s="2724" t="s">
        <v>14</v>
      </c>
      <c r="U647" s="2725"/>
      <c r="V647" s="165" t="s">
        <v>7</v>
      </c>
      <c r="W647" s="166" t="s">
        <v>15</v>
      </c>
      <c r="X647" s="5" t="s">
        <v>16</v>
      </c>
      <c r="Y647" s="5" t="s">
        <v>17</v>
      </c>
      <c r="Z647" s="5" t="s">
        <v>18</v>
      </c>
      <c r="AA647" s="5"/>
      <c r="AB647" s="55" t="s">
        <v>19</v>
      </c>
    </row>
    <row r="648" spans="1:32" ht="18" customHeight="1" x14ac:dyDescent="0.2">
      <c r="A648" s="2710"/>
      <c r="B648" s="106" t="s">
        <v>23</v>
      </c>
      <c r="C648" s="2710"/>
      <c r="D648" s="106" t="s">
        <v>24</v>
      </c>
      <c r="E648" s="207" t="s">
        <v>25</v>
      </c>
      <c r="F648" s="2719"/>
      <c r="G648" s="2720"/>
      <c r="H648" s="2721"/>
      <c r="I648" s="106" t="s">
        <v>26</v>
      </c>
      <c r="J648" s="211" t="s">
        <v>15</v>
      </c>
      <c r="K648" s="140" t="s">
        <v>6</v>
      </c>
      <c r="L648" s="2722"/>
      <c r="M648" s="142" t="s">
        <v>27</v>
      </c>
      <c r="N648" s="142" t="s">
        <v>10</v>
      </c>
      <c r="O648" s="212" t="s">
        <v>10</v>
      </c>
      <c r="P648" s="213" t="s">
        <v>28</v>
      </c>
      <c r="Q648" s="214" t="s">
        <v>29</v>
      </c>
      <c r="R648" s="213" t="s">
        <v>15</v>
      </c>
      <c r="S648" s="8" t="s">
        <v>15</v>
      </c>
      <c r="T648" s="2726"/>
      <c r="U648" s="2727"/>
      <c r="V648" s="165" t="s">
        <v>30</v>
      </c>
      <c r="W648" s="166" t="s">
        <v>31</v>
      </c>
      <c r="X648" s="5" t="s">
        <v>30</v>
      </c>
      <c r="Y648" s="5" t="s">
        <v>32</v>
      </c>
      <c r="Z648" s="5" t="s">
        <v>7</v>
      </c>
      <c r="AA648" s="5" t="s">
        <v>33</v>
      </c>
      <c r="AB648" s="55" t="s">
        <v>34</v>
      </c>
    </row>
    <row r="649" spans="1:32" ht="18" customHeight="1" x14ac:dyDescent="0.2">
      <c r="A649" s="2710"/>
      <c r="B649" s="106" t="s">
        <v>39</v>
      </c>
      <c r="C649" s="2710"/>
      <c r="D649" s="106" t="s">
        <v>40</v>
      </c>
      <c r="E649" s="207" t="s">
        <v>41</v>
      </c>
      <c r="F649" s="2709" t="s">
        <v>42</v>
      </c>
      <c r="G649" s="2709" t="s">
        <v>43</v>
      </c>
      <c r="H649" s="2728" t="s">
        <v>44</v>
      </c>
      <c r="I649" s="106" t="s">
        <v>45</v>
      </c>
      <c r="J649" s="211" t="s">
        <v>46</v>
      </c>
      <c r="K649" s="140" t="s">
        <v>47</v>
      </c>
      <c r="L649" s="2722"/>
      <c r="M649" s="142" t="s">
        <v>30</v>
      </c>
      <c r="N649" s="142" t="s">
        <v>30</v>
      </c>
      <c r="O649" s="212" t="s">
        <v>25</v>
      </c>
      <c r="P649" s="213" t="s">
        <v>30</v>
      </c>
      <c r="Q649" s="214" t="s">
        <v>48</v>
      </c>
      <c r="R649" s="213" t="s">
        <v>49</v>
      </c>
      <c r="S649" s="8" t="s">
        <v>30</v>
      </c>
      <c r="T649" s="215" t="s">
        <v>50</v>
      </c>
      <c r="U649" s="139" t="s">
        <v>13</v>
      </c>
      <c r="V649" s="165" t="s">
        <v>51</v>
      </c>
      <c r="W649" s="166" t="s">
        <v>52</v>
      </c>
      <c r="X649" s="5" t="s">
        <v>53</v>
      </c>
      <c r="Y649" s="5" t="s">
        <v>54</v>
      </c>
      <c r="Z649" s="5" t="s">
        <v>55</v>
      </c>
      <c r="AA649" s="5" t="s">
        <v>56</v>
      </c>
      <c r="AB649" s="55" t="s">
        <v>57</v>
      </c>
    </row>
    <row r="650" spans="1:32" ht="18" customHeight="1" x14ac:dyDescent="0.2">
      <c r="A650" s="2710"/>
      <c r="B650" s="106" t="s">
        <v>61</v>
      </c>
      <c r="C650" s="2710"/>
      <c r="D650" s="106" t="s">
        <v>62</v>
      </c>
      <c r="E650" s="207" t="s">
        <v>63</v>
      </c>
      <c r="F650" s="2710"/>
      <c r="G650" s="2710"/>
      <c r="H650" s="2729"/>
      <c r="I650" s="106" t="s">
        <v>64</v>
      </c>
      <c r="J650" s="211" t="s">
        <v>59</v>
      </c>
      <c r="K650" s="140" t="s">
        <v>59</v>
      </c>
      <c r="L650" s="2722"/>
      <c r="M650" s="142"/>
      <c r="N650" s="142"/>
      <c r="O650" s="212" t="s">
        <v>41</v>
      </c>
      <c r="P650" s="213" t="s">
        <v>65</v>
      </c>
      <c r="Q650" s="214" t="s">
        <v>66</v>
      </c>
      <c r="R650" s="213" t="s">
        <v>67</v>
      </c>
      <c r="S650" s="8" t="s">
        <v>59</v>
      </c>
      <c r="T650" s="216" t="s">
        <v>68</v>
      </c>
      <c r="U650" s="165" t="s">
        <v>14</v>
      </c>
      <c r="V650" s="165" t="s">
        <v>14</v>
      </c>
      <c r="W650" s="166" t="s">
        <v>30</v>
      </c>
      <c r="X650" s="167" t="s">
        <v>69</v>
      </c>
      <c r="Y650" s="167" t="s">
        <v>70</v>
      </c>
      <c r="Z650" s="5" t="s">
        <v>71</v>
      </c>
      <c r="AA650" s="5" t="s">
        <v>72</v>
      </c>
      <c r="AB650" s="55" t="s">
        <v>59</v>
      </c>
    </row>
    <row r="651" spans="1:32" ht="18" customHeight="1" x14ac:dyDescent="0.2">
      <c r="A651" s="2711"/>
      <c r="B651" s="9"/>
      <c r="C651" s="2711"/>
      <c r="D651" s="9"/>
      <c r="E651" s="138"/>
      <c r="F651" s="9"/>
      <c r="G651" s="9"/>
      <c r="H651" s="10"/>
      <c r="I651" s="138"/>
      <c r="J651" s="217"/>
      <c r="K651" s="168"/>
      <c r="L651" s="2723"/>
      <c r="M651" s="143"/>
      <c r="N651" s="143"/>
      <c r="O651" s="143" t="s">
        <v>63</v>
      </c>
      <c r="P651" s="218"/>
      <c r="Q651" s="219" t="s">
        <v>72</v>
      </c>
      <c r="R651" s="220" t="s">
        <v>59</v>
      </c>
      <c r="S651" s="169"/>
      <c r="T651" s="220" t="s">
        <v>73</v>
      </c>
      <c r="U651" s="169" t="s">
        <v>59</v>
      </c>
      <c r="V651" s="170" t="s">
        <v>59</v>
      </c>
      <c r="W651" s="171" t="s">
        <v>59</v>
      </c>
      <c r="X651" s="172" t="s">
        <v>59</v>
      </c>
      <c r="Y651" s="172" t="s">
        <v>59</v>
      </c>
      <c r="Z651" s="172" t="s">
        <v>59</v>
      </c>
      <c r="AA651" s="11"/>
      <c r="AB651" s="56"/>
    </row>
    <row r="652" spans="1:32" ht="18" customHeight="1" x14ac:dyDescent="0.25">
      <c r="A652" s="269">
        <v>1</v>
      </c>
      <c r="B652" s="85">
        <v>64461</v>
      </c>
      <c r="C652" s="285" t="s">
        <v>112</v>
      </c>
      <c r="D652" s="273" t="s">
        <v>91</v>
      </c>
      <c r="E652" s="273">
        <v>4</v>
      </c>
      <c r="F652" s="268">
        <v>4</v>
      </c>
      <c r="G652" s="273">
        <v>2</v>
      </c>
      <c r="H652" s="268">
        <v>49.3</v>
      </c>
      <c r="I652" s="282">
        <f>F652*400+G652*100+H652</f>
        <v>1849.3</v>
      </c>
      <c r="J652" s="261">
        <v>630</v>
      </c>
      <c r="K652" s="262">
        <f>SUM(I652*J652)</f>
        <v>1165059</v>
      </c>
      <c r="L652" s="85"/>
      <c r="M652" s="85"/>
      <c r="N652" s="85"/>
      <c r="O652" s="273"/>
      <c r="P652" s="85"/>
      <c r="Q652" s="724"/>
      <c r="R652" s="725"/>
      <c r="S652" s="83"/>
      <c r="T652" s="98"/>
      <c r="U652" s="83"/>
      <c r="V652" s="83"/>
      <c r="W652" s="83">
        <f>K652</f>
        <v>1165059</v>
      </c>
      <c r="X652" s="83">
        <f>W652</f>
        <v>1165059</v>
      </c>
      <c r="Y652" s="83">
        <f>V652</f>
        <v>0</v>
      </c>
      <c r="Z652" s="83">
        <f>+X652</f>
        <v>1165059</v>
      </c>
      <c r="AA652" s="726">
        <v>0.3</v>
      </c>
      <c r="AB652" s="410">
        <f>+Z652*AA652/100</f>
        <v>3495.1770000000001</v>
      </c>
      <c r="AC652" s="350"/>
      <c r="AD652" s="350"/>
      <c r="AE652" s="350"/>
      <c r="AF652" s="350"/>
    </row>
    <row r="653" spans="1:32" ht="18" customHeight="1" x14ac:dyDescent="0.25">
      <c r="A653" s="255"/>
      <c r="B653" s="102"/>
      <c r="C653" s="334"/>
      <c r="D653" s="287"/>
      <c r="E653" s="287"/>
      <c r="F653" s="709"/>
      <c r="G653" s="287"/>
      <c r="H653" s="709"/>
      <c r="I653" s="79"/>
      <c r="J653" s="1723"/>
      <c r="K653" s="80"/>
      <c r="L653" s="102"/>
      <c r="M653" s="102"/>
      <c r="N653" s="102"/>
      <c r="O653" s="287"/>
      <c r="P653" s="102"/>
      <c r="Q653" s="909"/>
      <c r="R653" s="1974"/>
      <c r="S653" s="1975"/>
      <c r="T653" s="1976"/>
      <c r="U653" s="1975"/>
      <c r="V653" s="1975"/>
      <c r="W653" s="1975"/>
      <c r="X653" s="1975"/>
      <c r="Y653" s="1975"/>
      <c r="Z653" s="1975"/>
      <c r="AA653" s="788"/>
      <c r="AB653" s="410"/>
      <c r="AC653" s="1977"/>
      <c r="AD653" s="1977"/>
      <c r="AE653" s="1977"/>
      <c r="AF653" s="1977"/>
    </row>
    <row r="654" spans="1:32" ht="18" customHeight="1" x14ac:dyDescent="0.25">
      <c r="A654" s="255"/>
      <c r="B654" s="102"/>
      <c r="C654" s="334"/>
      <c r="D654" s="287"/>
      <c r="E654" s="287"/>
      <c r="F654" s="709"/>
      <c r="G654" s="287"/>
      <c r="H654" s="709"/>
      <c r="I654" s="79"/>
      <c r="J654" s="1723"/>
      <c r="K654" s="80"/>
      <c r="L654" s="102"/>
      <c r="M654" s="102"/>
      <c r="N654" s="102"/>
      <c r="O654" s="287"/>
      <c r="P654" s="102"/>
      <c r="Q654" s="909"/>
      <c r="R654" s="1974"/>
      <c r="S654" s="1975"/>
      <c r="T654" s="1976"/>
      <c r="U654" s="1975"/>
      <c r="V654" s="1975"/>
      <c r="W654" s="1975"/>
      <c r="X654" s="1975"/>
      <c r="Y654" s="1975"/>
      <c r="Z654" s="1975"/>
      <c r="AA654" s="788"/>
      <c r="AB654" s="410"/>
      <c r="AC654" s="1977"/>
      <c r="AD654" s="1977"/>
      <c r="AE654" s="1977"/>
      <c r="AF654" s="1977"/>
    </row>
    <row r="655" spans="1:32" ht="18" customHeight="1" x14ac:dyDescent="0.25">
      <c r="A655" s="255"/>
      <c r="B655" s="102"/>
      <c r="C655" s="334"/>
      <c r="D655" s="287"/>
      <c r="E655" s="287"/>
      <c r="F655" s="709"/>
      <c r="G655" s="287"/>
      <c r="H655" s="709"/>
      <c r="I655" s="79"/>
      <c r="J655" s="1723"/>
      <c r="K655" s="80"/>
      <c r="L655" s="102"/>
      <c r="M655" s="102"/>
      <c r="N655" s="102"/>
      <c r="O655" s="287"/>
      <c r="P655" s="102"/>
      <c r="Q655" s="909"/>
      <c r="R655" s="1974"/>
      <c r="S655" s="1975"/>
      <c r="T655" s="1976"/>
      <c r="U655" s="1975"/>
      <c r="V655" s="1975"/>
      <c r="W655" s="1975"/>
      <c r="X655" s="1975"/>
      <c r="Y655" s="1975"/>
      <c r="Z655" s="1975"/>
      <c r="AA655" s="788"/>
      <c r="AB655" s="410"/>
      <c r="AC655" s="1977"/>
      <c r="AD655" s="1977"/>
      <c r="AE655" s="1977"/>
      <c r="AF655" s="1977"/>
    </row>
    <row r="656" spans="1:32" ht="18" customHeight="1" x14ac:dyDescent="0.25">
      <c r="A656" s="255"/>
      <c r="B656" s="102"/>
      <c r="C656" s="334"/>
      <c r="D656" s="287"/>
      <c r="E656" s="287"/>
      <c r="F656" s="709"/>
      <c r="G656" s="287"/>
      <c r="H656" s="709"/>
      <c r="I656" s="79"/>
      <c r="J656" s="1723"/>
      <c r="K656" s="80"/>
      <c r="L656" s="102"/>
      <c r="M656" s="102"/>
      <c r="N656" s="102"/>
      <c r="O656" s="287"/>
      <c r="P656" s="102"/>
      <c r="Q656" s="909"/>
      <c r="R656" s="1974"/>
      <c r="S656" s="1975"/>
      <c r="T656" s="1976"/>
      <c r="U656" s="1975"/>
      <c r="V656" s="1975"/>
      <c r="W656" s="1975"/>
      <c r="X656" s="1975"/>
      <c r="Y656" s="1975"/>
      <c r="Z656" s="1975"/>
      <c r="AA656" s="788"/>
      <c r="AB656" s="410"/>
      <c r="AC656" s="1977"/>
      <c r="AD656" s="1977"/>
      <c r="AE656" s="1977"/>
      <c r="AF656" s="1977"/>
    </row>
    <row r="657" spans="1:32" ht="18" customHeight="1" x14ac:dyDescent="0.25">
      <c r="A657" s="255"/>
      <c r="B657" s="102"/>
      <c r="C657" s="334"/>
      <c r="D657" s="287"/>
      <c r="E657" s="287"/>
      <c r="F657" s="709"/>
      <c r="G657" s="287"/>
      <c r="H657" s="709"/>
      <c r="I657" s="79"/>
      <c r="J657" s="1723"/>
      <c r="K657" s="80"/>
      <c r="L657" s="102"/>
      <c r="M657" s="102"/>
      <c r="N657" s="102"/>
      <c r="O657" s="287"/>
      <c r="P657" s="102"/>
      <c r="Q657" s="909"/>
      <c r="R657" s="1974"/>
      <c r="S657" s="1975"/>
      <c r="T657" s="1976"/>
      <c r="U657" s="1975"/>
      <c r="V657" s="1975"/>
      <c r="W657" s="1975"/>
      <c r="X657" s="1975"/>
      <c r="Y657" s="1975"/>
      <c r="Z657" s="1975"/>
      <c r="AA657" s="788"/>
      <c r="AB657" s="410"/>
      <c r="AC657" s="1977"/>
      <c r="AD657" s="1977"/>
      <c r="AE657" s="1977"/>
      <c r="AF657" s="1977"/>
    </row>
    <row r="658" spans="1:32" ht="18" customHeight="1" x14ac:dyDescent="0.25">
      <c r="A658" s="255"/>
      <c r="B658" s="102"/>
      <c r="C658" s="334"/>
      <c r="D658" s="287"/>
      <c r="E658" s="287"/>
      <c r="F658" s="709"/>
      <c r="G658" s="287"/>
      <c r="H658" s="709"/>
      <c r="I658" s="79"/>
      <c r="J658" s="1723"/>
      <c r="K658" s="80"/>
      <c r="L658" s="102"/>
      <c r="M658" s="102"/>
      <c r="N658" s="102"/>
      <c r="O658" s="287"/>
      <c r="P658" s="102"/>
      <c r="Q658" s="909"/>
      <c r="R658" s="1974"/>
      <c r="S658" s="1975"/>
      <c r="T658" s="1976"/>
      <c r="U658" s="1975"/>
      <c r="V658" s="1975"/>
      <c r="W658" s="1975"/>
      <c r="X658" s="1975"/>
      <c r="Y658" s="1975"/>
      <c r="Z658" s="1975"/>
      <c r="AA658" s="788"/>
      <c r="AB658" s="410"/>
      <c r="AC658" s="1977"/>
      <c r="AD658" s="1977"/>
      <c r="AE658" s="1977"/>
      <c r="AF658" s="1977"/>
    </row>
    <row r="659" spans="1:32" ht="18" customHeight="1" x14ac:dyDescent="0.25">
      <c r="A659" s="255"/>
      <c r="B659" s="102"/>
      <c r="C659" s="334"/>
      <c r="D659" s="287"/>
      <c r="E659" s="287"/>
      <c r="F659" s="709"/>
      <c r="G659" s="287"/>
      <c r="H659" s="709"/>
      <c r="I659" s="79"/>
      <c r="J659" s="1723"/>
      <c r="K659" s="80"/>
      <c r="L659" s="102"/>
      <c r="M659" s="102"/>
      <c r="N659" s="102"/>
      <c r="O659" s="287"/>
      <c r="P659" s="102"/>
      <c r="Q659" s="909"/>
      <c r="R659" s="1974"/>
      <c r="S659" s="1975"/>
      <c r="T659" s="1976"/>
      <c r="U659" s="1975"/>
      <c r="V659" s="1975"/>
      <c r="W659" s="1975"/>
      <c r="X659" s="1975"/>
      <c r="Y659" s="1975"/>
      <c r="Z659" s="1975"/>
      <c r="AA659" s="788"/>
      <c r="AB659" s="410"/>
      <c r="AC659" s="1977"/>
      <c r="AD659" s="1977"/>
      <c r="AE659" s="1977"/>
      <c r="AF659" s="1977"/>
    </row>
    <row r="660" spans="1:32" ht="18" customHeight="1" x14ac:dyDescent="0.25">
      <c r="A660" s="255"/>
      <c r="B660" s="102"/>
      <c r="C660" s="334"/>
      <c r="D660" s="287"/>
      <c r="E660" s="287"/>
      <c r="F660" s="709"/>
      <c r="G660" s="287"/>
      <c r="H660" s="709"/>
      <c r="I660" s="79"/>
      <c r="J660" s="1723"/>
      <c r="K660" s="80"/>
      <c r="L660" s="102"/>
      <c r="M660" s="102"/>
      <c r="N660" s="102"/>
      <c r="O660" s="287"/>
      <c r="P660" s="102"/>
      <c r="Q660" s="909"/>
      <c r="R660" s="1974"/>
      <c r="S660" s="1975"/>
      <c r="T660" s="1976"/>
      <c r="U660" s="1975"/>
      <c r="V660" s="1975"/>
      <c r="W660" s="1975"/>
      <c r="X660" s="1975"/>
      <c r="Y660" s="1975"/>
      <c r="Z660" s="1975"/>
      <c r="AA660" s="788"/>
      <c r="AB660" s="410"/>
      <c r="AC660" s="1977"/>
      <c r="AD660" s="1977"/>
      <c r="AE660" s="1977"/>
      <c r="AF660" s="1977"/>
    </row>
    <row r="661" spans="1:32" ht="18" customHeight="1" x14ac:dyDescent="0.25">
      <c r="A661" s="255"/>
      <c r="B661" s="102"/>
      <c r="C661" s="334"/>
      <c r="D661" s="287"/>
      <c r="E661" s="287"/>
      <c r="F661" s="709"/>
      <c r="G661" s="287"/>
      <c r="H661" s="709"/>
      <c r="I661" s="79"/>
      <c r="J661" s="1723"/>
      <c r="K661" s="80"/>
      <c r="L661" s="102"/>
      <c r="M661" s="102"/>
      <c r="N661" s="102"/>
      <c r="O661" s="287"/>
      <c r="P661" s="102"/>
      <c r="Q661" s="909"/>
      <c r="R661" s="1974"/>
      <c r="S661" s="1975"/>
      <c r="T661" s="1976"/>
      <c r="U661" s="1975"/>
      <c r="V661" s="1975"/>
      <c r="W661" s="1975"/>
      <c r="X661" s="1975"/>
      <c r="Y661" s="1975"/>
      <c r="Z661" s="1975"/>
      <c r="AA661" s="788"/>
      <c r="AB661" s="410"/>
      <c r="AC661" s="1977"/>
      <c r="AD661" s="1977"/>
      <c r="AE661" s="1977"/>
      <c r="AF661" s="1977"/>
    </row>
    <row r="662" spans="1:32" ht="18" customHeight="1" x14ac:dyDescent="0.25">
      <c r="A662" s="255"/>
      <c r="B662" s="102"/>
      <c r="C662" s="334"/>
      <c r="D662" s="287"/>
      <c r="E662" s="287"/>
      <c r="F662" s="709"/>
      <c r="G662" s="287"/>
      <c r="H662" s="709"/>
      <c r="I662" s="79"/>
      <c r="J662" s="1723"/>
      <c r="K662" s="80"/>
      <c r="L662" s="102"/>
      <c r="M662" s="102"/>
      <c r="N662" s="102"/>
      <c r="O662" s="287"/>
      <c r="P662" s="102"/>
      <c r="Q662" s="909"/>
      <c r="R662" s="1974"/>
      <c r="S662" s="1975"/>
      <c r="T662" s="1976"/>
      <c r="U662" s="1975"/>
      <c r="V662" s="1975"/>
      <c r="W662" s="1975"/>
      <c r="X662" s="1975"/>
      <c r="Y662" s="1975"/>
      <c r="Z662" s="1975"/>
      <c r="AA662" s="788"/>
      <c r="AB662" s="410"/>
      <c r="AC662" s="1977"/>
      <c r="AD662" s="1977"/>
      <c r="AE662" s="1977"/>
      <c r="AF662" s="1977"/>
    </row>
    <row r="663" spans="1:32" ht="18" customHeight="1" x14ac:dyDescent="0.25">
      <c r="A663" s="255"/>
      <c r="B663" s="102"/>
      <c r="C663" s="334"/>
      <c r="D663" s="287"/>
      <c r="E663" s="287"/>
      <c r="F663" s="709"/>
      <c r="G663" s="287"/>
      <c r="H663" s="709"/>
      <c r="I663" s="79"/>
      <c r="J663" s="1723"/>
      <c r="K663" s="80"/>
      <c r="L663" s="102"/>
      <c r="M663" s="102"/>
      <c r="N663" s="102"/>
      <c r="O663" s="287"/>
      <c r="P663" s="102"/>
      <c r="Q663" s="909"/>
      <c r="R663" s="1974"/>
      <c r="S663" s="1975"/>
      <c r="T663" s="1976"/>
      <c r="U663" s="1975"/>
      <c r="V663" s="1975"/>
      <c r="W663" s="1975"/>
      <c r="X663" s="1975"/>
      <c r="Y663" s="1975"/>
      <c r="Z663" s="1975"/>
      <c r="AA663" s="788"/>
      <c r="AB663" s="410"/>
      <c r="AC663" s="1977"/>
      <c r="AD663" s="1977"/>
      <c r="AE663" s="1977"/>
      <c r="AF663" s="1977"/>
    </row>
    <row r="664" spans="1:32" ht="18" customHeight="1" x14ac:dyDescent="0.25">
      <c r="A664" s="255"/>
      <c r="B664" s="102"/>
      <c r="C664" s="334"/>
      <c r="D664" s="287"/>
      <c r="E664" s="287"/>
      <c r="F664" s="709"/>
      <c r="G664" s="287"/>
      <c r="H664" s="709"/>
      <c r="I664" s="79"/>
      <c r="J664" s="1723"/>
      <c r="K664" s="80"/>
      <c r="L664" s="102"/>
      <c r="M664" s="102"/>
      <c r="N664" s="102"/>
      <c r="O664" s="287"/>
      <c r="P664" s="102"/>
      <c r="Q664" s="909"/>
      <c r="R664" s="1974"/>
      <c r="S664" s="1975"/>
      <c r="T664" s="1976"/>
      <c r="U664" s="1975"/>
      <c r="V664" s="1975"/>
      <c r="W664" s="1975"/>
      <c r="X664" s="1975"/>
      <c r="Y664" s="1975"/>
      <c r="Z664" s="1975"/>
      <c r="AA664" s="788"/>
      <c r="AB664" s="410"/>
      <c r="AC664" s="1977"/>
      <c r="AD664" s="1977"/>
      <c r="AE664" s="1977"/>
      <c r="AF664" s="1977"/>
    </row>
    <row r="665" spans="1:32" ht="18" customHeight="1" x14ac:dyDescent="0.25">
      <c r="A665" s="255"/>
      <c r="B665" s="102"/>
      <c r="C665" s="334"/>
      <c r="D665" s="287"/>
      <c r="E665" s="287"/>
      <c r="F665" s="709"/>
      <c r="G665" s="287"/>
      <c r="H665" s="709"/>
      <c r="I665" s="79"/>
      <c r="J665" s="1723"/>
      <c r="K665" s="80"/>
      <c r="L665" s="102"/>
      <c r="M665" s="102"/>
      <c r="N665" s="102"/>
      <c r="O665" s="287"/>
      <c r="P665" s="102"/>
      <c r="Q665" s="909"/>
      <c r="R665" s="1974"/>
      <c r="S665" s="1975"/>
      <c r="T665" s="1976"/>
      <c r="U665" s="1975"/>
      <c r="V665" s="1975"/>
      <c r="W665" s="1975"/>
      <c r="X665" s="1975"/>
      <c r="Y665" s="1975"/>
      <c r="Z665" s="1975"/>
      <c r="AA665" s="788"/>
      <c r="AB665" s="410"/>
      <c r="AC665" s="1977"/>
      <c r="AD665" s="1977"/>
      <c r="AE665" s="1977"/>
      <c r="AF665" s="1977"/>
    </row>
    <row r="666" spans="1:32" ht="18" customHeight="1" x14ac:dyDescent="0.25">
      <c r="A666" s="255"/>
      <c r="B666" s="102"/>
      <c r="C666" s="334"/>
      <c r="D666" s="287"/>
      <c r="E666" s="287"/>
      <c r="F666" s="709"/>
      <c r="G666" s="287"/>
      <c r="H666" s="709"/>
      <c r="I666" s="79"/>
      <c r="J666" s="1723"/>
      <c r="K666" s="80"/>
      <c r="L666" s="102"/>
      <c r="M666" s="102"/>
      <c r="N666" s="102"/>
      <c r="O666" s="287"/>
      <c r="P666" s="102"/>
      <c r="Q666" s="909"/>
      <c r="R666" s="1974"/>
      <c r="S666" s="1975"/>
      <c r="T666" s="1976"/>
      <c r="U666" s="1975"/>
      <c r="V666" s="1975"/>
      <c r="W666" s="1975"/>
      <c r="X666" s="1975"/>
      <c r="Y666" s="1975"/>
      <c r="Z666" s="1975"/>
      <c r="AA666" s="788"/>
      <c r="AB666" s="410"/>
      <c r="AC666" s="1977"/>
      <c r="AD666" s="1977"/>
      <c r="AE666" s="1977"/>
      <c r="AF666" s="1977"/>
    </row>
    <row r="667" spans="1:32" ht="18" customHeight="1" x14ac:dyDescent="0.25">
      <c r="A667" s="255"/>
      <c r="B667" s="102"/>
      <c r="C667" s="334"/>
      <c r="D667" s="287"/>
      <c r="E667" s="287"/>
      <c r="F667" s="709"/>
      <c r="G667" s="287"/>
      <c r="H667" s="709"/>
      <c r="I667" s="79"/>
      <c r="J667" s="1723"/>
      <c r="K667" s="80"/>
      <c r="L667" s="102"/>
      <c r="M667" s="102"/>
      <c r="N667" s="102"/>
      <c r="O667" s="287"/>
      <c r="P667" s="102"/>
      <c r="Q667" s="909"/>
      <c r="R667" s="1974"/>
      <c r="S667" s="1975"/>
      <c r="T667" s="1976"/>
      <c r="U667" s="1975"/>
      <c r="V667" s="1975"/>
      <c r="W667" s="1975"/>
      <c r="X667" s="1975"/>
      <c r="Y667" s="1975"/>
      <c r="Z667" s="1975"/>
      <c r="AA667" s="788"/>
      <c r="AB667" s="410"/>
      <c r="AC667" s="1977"/>
      <c r="AD667" s="1977"/>
      <c r="AE667" s="1977"/>
      <c r="AF667" s="1977"/>
    </row>
    <row r="668" spans="1:32" ht="18" customHeight="1" x14ac:dyDescent="0.25">
      <c r="A668" s="255"/>
      <c r="B668" s="102"/>
      <c r="C668" s="334"/>
      <c r="D668" s="287"/>
      <c r="E668" s="287"/>
      <c r="F668" s="709"/>
      <c r="G668" s="287"/>
      <c r="H668" s="709"/>
      <c r="I668" s="79"/>
      <c r="J668" s="1723"/>
      <c r="K668" s="80"/>
      <c r="L668" s="102"/>
      <c r="M668" s="102"/>
      <c r="N668" s="102"/>
      <c r="O668" s="287"/>
      <c r="P668" s="102"/>
      <c r="Q668" s="909"/>
      <c r="R668" s="1974"/>
      <c r="S668" s="1975"/>
      <c r="T668" s="1976"/>
      <c r="U668" s="1975"/>
      <c r="V668" s="1975"/>
      <c r="W668" s="1975"/>
      <c r="X668" s="1975"/>
      <c r="Y668" s="1975"/>
      <c r="Z668" s="1975"/>
      <c r="AA668" s="788"/>
      <c r="AB668" s="410"/>
      <c r="AC668" s="1977"/>
      <c r="AD668" s="1977"/>
      <c r="AE668" s="1977"/>
      <c r="AF668" s="1977"/>
    </row>
    <row r="669" spans="1:32" ht="18" customHeight="1" x14ac:dyDescent="0.25">
      <c r="A669" s="255"/>
      <c r="B669" s="102"/>
      <c r="C669" s="334"/>
      <c r="D669" s="287"/>
      <c r="E669" s="287"/>
      <c r="F669" s="709"/>
      <c r="G669" s="287"/>
      <c r="H669" s="709"/>
      <c r="I669" s="79"/>
      <c r="J669" s="1723"/>
      <c r="K669" s="80"/>
      <c r="L669" s="102"/>
      <c r="M669" s="102"/>
      <c r="N669" s="102"/>
      <c r="O669" s="287"/>
      <c r="P669" s="102"/>
      <c r="Q669" s="909"/>
      <c r="R669" s="1974"/>
      <c r="S669" s="1975"/>
      <c r="T669" s="1976"/>
      <c r="U669" s="1975"/>
      <c r="V669" s="1975"/>
      <c r="W669" s="1975"/>
      <c r="X669" s="1975"/>
      <c r="Y669" s="1975"/>
      <c r="Z669" s="1975"/>
      <c r="AA669" s="788"/>
      <c r="AB669" s="410"/>
      <c r="AC669" s="1977"/>
      <c r="AD669" s="1977"/>
      <c r="AE669" s="1977"/>
      <c r="AF669" s="1977"/>
    </row>
    <row r="670" spans="1:32" ht="18" customHeight="1" x14ac:dyDescent="0.25">
      <c r="A670" s="255"/>
      <c r="B670" s="102"/>
      <c r="C670" s="334"/>
      <c r="D670" s="287"/>
      <c r="E670" s="287"/>
      <c r="F670" s="709"/>
      <c r="G670" s="287"/>
      <c r="H670" s="709"/>
      <c r="I670" s="79"/>
      <c r="J670" s="1723"/>
      <c r="K670" s="80"/>
      <c r="L670" s="102"/>
      <c r="M670" s="102"/>
      <c r="N670" s="102"/>
      <c r="O670" s="287"/>
      <c r="P670" s="102"/>
      <c r="Q670" s="909"/>
      <c r="R670" s="1974"/>
      <c r="S670" s="1975"/>
      <c r="T670" s="1976"/>
      <c r="U670" s="1975"/>
      <c r="V670" s="1975"/>
      <c r="W670" s="1975"/>
      <c r="X670" s="1975"/>
      <c r="Y670" s="1975"/>
      <c r="Z670" s="1975"/>
      <c r="AA670" s="788"/>
      <c r="AB670" s="410"/>
      <c r="AC670" s="1977"/>
      <c r="AD670" s="1977"/>
      <c r="AE670" s="1977"/>
      <c r="AF670" s="1977"/>
    </row>
    <row r="671" spans="1:32" ht="18" customHeight="1" x14ac:dyDescent="0.25">
      <c r="A671" s="255"/>
      <c r="B671" s="102"/>
      <c r="C671" s="334"/>
      <c r="D671" s="287"/>
      <c r="E671" s="287"/>
      <c r="F671" s="709"/>
      <c r="G671" s="287"/>
      <c r="H671" s="709"/>
      <c r="I671" s="79"/>
      <c r="J671" s="1723"/>
      <c r="K671" s="80"/>
      <c r="L671" s="102"/>
      <c r="M671" s="102"/>
      <c r="N671" s="102"/>
      <c r="O671" s="287"/>
      <c r="P671" s="102"/>
      <c r="Q671" s="909"/>
      <c r="R671" s="1974"/>
      <c r="S671" s="1975"/>
      <c r="T671" s="1976"/>
      <c r="U671" s="1975"/>
      <c r="V671" s="1975"/>
      <c r="W671" s="1975"/>
      <c r="X671" s="1975"/>
      <c r="Y671" s="1975"/>
      <c r="Z671" s="1975"/>
      <c r="AA671" s="788"/>
      <c r="AB671" s="410"/>
      <c r="AC671" s="1977"/>
      <c r="AD671" s="1977"/>
      <c r="AE671" s="1977"/>
      <c r="AF671" s="1977"/>
    </row>
    <row r="672" spans="1:32" ht="18" customHeight="1" x14ac:dyDescent="0.25">
      <c r="A672" s="255"/>
      <c r="B672" s="102"/>
      <c r="C672" s="334"/>
      <c r="D672" s="287"/>
      <c r="E672" s="287"/>
      <c r="F672" s="709"/>
      <c r="G672" s="287"/>
      <c r="H672" s="709"/>
      <c r="I672" s="79"/>
      <c r="J672" s="1723"/>
      <c r="K672" s="80"/>
      <c r="L672" s="102"/>
      <c r="M672" s="102"/>
      <c r="N672" s="102"/>
      <c r="O672" s="287"/>
      <c r="P672" s="102"/>
      <c r="Q672" s="909"/>
      <c r="R672" s="1974"/>
      <c r="S672" s="1975"/>
      <c r="T672" s="1976"/>
      <c r="U672" s="1975"/>
      <c r="V672" s="1975"/>
      <c r="W672" s="1975"/>
      <c r="X672" s="1975"/>
      <c r="Y672" s="1975"/>
      <c r="Z672" s="1975"/>
      <c r="AA672" s="788"/>
      <c r="AB672" s="410"/>
      <c r="AC672" s="1977"/>
      <c r="AD672" s="1977"/>
      <c r="AE672" s="1977"/>
      <c r="AF672" s="1977"/>
    </row>
    <row r="673" spans="1:32" s="597" customFormat="1" ht="18" customHeight="1" x14ac:dyDescent="0.2">
      <c r="A673" s="183"/>
      <c r="B673" s="183"/>
      <c r="C673" s="183"/>
      <c r="D673" s="183"/>
      <c r="E673" s="183"/>
      <c r="F673" s="183"/>
      <c r="G673" s="183"/>
      <c r="H673" s="184"/>
      <c r="I673" s="185"/>
      <c r="J673" s="186"/>
      <c r="K673" s="185"/>
      <c r="L673" s="185"/>
      <c r="M673" s="185"/>
      <c r="N673" s="185"/>
      <c r="O673" s="185"/>
      <c r="P673" s="185"/>
      <c r="Q673" s="185"/>
      <c r="R673" s="438"/>
      <c r="S673" s="185"/>
      <c r="T673" s="187"/>
      <c r="U673" s="186"/>
      <c r="V673" s="185"/>
      <c r="W673" s="185"/>
      <c r="X673" s="474"/>
      <c r="Y673" s="474"/>
      <c r="Z673" s="475"/>
      <c r="AA673" s="475"/>
      <c r="AB673" s="476">
        <f>SUM(AB645:AB672)</f>
        <v>3495.1770000000001</v>
      </c>
      <c r="AC673" s="351"/>
      <c r="AD673" s="351"/>
      <c r="AE673" s="351"/>
      <c r="AF673" s="351"/>
    </row>
    <row r="674" spans="1:32" ht="18" customHeight="1" x14ac:dyDescent="0.2">
      <c r="A674" s="2730" t="s">
        <v>76</v>
      </c>
      <c r="B674" s="2730"/>
      <c r="C674" s="2731" t="s">
        <v>77</v>
      </c>
      <c r="D674" s="2731"/>
      <c r="E674" s="2731"/>
      <c r="F674" s="2731"/>
      <c r="G674" s="2731"/>
      <c r="H674" s="2731"/>
      <c r="I674" s="843" t="s">
        <v>78</v>
      </c>
      <c r="J674" s="843"/>
      <c r="K674" s="843"/>
      <c r="L674" s="843"/>
      <c r="M674" s="843"/>
      <c r="N674" s="843"/>
      <c r="O674" s="844"/>
      <c r="P674" s="844"/>
      <c r="Q674" s="844"/>
      <c r="R674" s="844"/>
      <c r="S674" s="844"/>
      <c r="T674" s="844"/>
      <c r="U674" s="844"/>
      <c r="V674" s="844"/>
      <c r="W674" s="844"/>
      <c r="X674" s="844"/>
      <c r="Y674" s="844"/>
      <c r="Z674" s="844"/>
      <c r="AA674" s="844"/>
      <c r="AB674" s="845"/>
    </row>
    <row r="675" spans="1:32" ht="18" customHeight="1" x14ac:dyDescent="0.2">
      <c r="A675" s="843"/>
      <c r="B675" s="846"/>
      <c r="C675" s="843"/>
      <c r="D675" s="843"/>
      <c r="E675" s="843"/>
      <c r="F675" s="843"/>
      <c r="G675" s="843"/>
      <c r="H675" s="843"/>
      <c r="I675" s="843" t="s">
        <v>79</v>
      </c>
      <c r="J675" s="843"/>
      <c r="K675" s="843"/>
      <c r="L675" s="843"/>
      <c r="M675" s="843"/>
      <c r="N675" s="843"/>
      <c r="O675" s="844"/>
      <c r="P675" s="844"/>
      <c r="Q675" s="844"/>
      <c r="R675" s="844"/>
      <c r="S675" s="844"/>
      <c r="T675" s="844"/>
      <c r="U675" s="844"/>
      <c r="V675" s="844"/>
      <c r="W675" s="844"/>
      <c r="X675" s="844"/>
      <c r="Y675" s="844"/>
      <c r="Z675" s="844"/>
      <c r="AA675" s="844"/>
      <c r="AB675" s="845"/>
    </row>
    <row r="676" spans="1:32" ht="18" customHeight="1" x14ac:dyDescent="0.2">
      <c r="A676" s="843"/>
      <c r="B676" s="846"/>
      <c r="C676" s="843"/>
      <c r="D676" s="843"/>
      <c r="E676" s="843"/>
      <c r="F676" s="843"/>
      <c r="G676" s="843"/>
      <c r="H676" s="843"/>
      <c r="I676" s="843" t="s">
        <v>80</v>
      </c>
      <c r="J676" s="843"/>
      <c r="K676" s="843"/>
      <c r="L676" s="843"/>
      <c r="M676" s="843"/>
      <c r="N676" s="843"/>
      <c r="O676" s="844"/>
      <c r="P676" s="844"/>
      <c r="Q676" s="844"/>
      <c r="R676" s="844"/>
      <c r="S676" s="844"/>
      <c r="T676" s="844"/>
      <c r="U676" s="844"/>
      <c r="V676" s="844"/>
      <c r="W676" s="844"/>
      <c r="X676" s="844"/>
      <c r="Y676" s="844"/>
      <c r="Z676" s="844"/>
      <c r="AA676" s="844"/>
      <c r="AB676" s="845"/>
    </row>
    <row r="677" spans="1:32" ht="18" customHeight="1" x14ac:dyDescent="0.2">
      <c r="A677" s="843"/>
      <c r="B677" s="846"/>
      <c r="C677" s="843"/>
      <c r="D677" s="843"/>
      <c r="E677" s="843"/>
      <c r="F677" s="843"/>
      <c r="G677" s="843"/>
      <c r="H677" s="843"/>
      <c r="I677" s="843" t="s">
        <v>81</v>
      </c>
      <c r="J677" s="843"/>
      <c r="K677" s="843"/>
      <c r="L677" s="843"/>
      <c r="M677" s="843"/>
      <c r="N677" s="843"/>
      <c r="O677" s="844"/>
      <c r="P677" s="844"/>
      <c r="Q677" s="844"/>
      <c r="R677" s="844"/>
      <c r="S677" s="844"/>
      <c r="T677" s="844"/>
      <c r="U677" s="844"/>
      <c r="V677" s="844"/>
      <c r="W677" s="844"/>
      <c r="X677" s="844"/>
      <c r="Y677" s="844"/>
      <c r="Z677" s="844"/>
      <c r="AA677" s="844"/>
      <c r="AB677" s="845"/>
    </row>
    <row r="678" spans="1:32" ht="18" customHeight="1" x14ac:dyDescent="0.2">
      <c r="A678" s="843"/>
      <c r="B678" s="846"/>
      <c r="C678" s="843"/>
      <c r="D678" s="843"/>
      <c r="E678" s="843"/>
      <c r="F678" s="843"/>
      <c r="G678" s="843"/>
      <c r="H678" s="843"/>
      <c r="I678" s="843" t="s">
        <v>88</v>
      </c>
      <c r="J678" s="843"/>
      <c r="K678" s="843"/>
      <c r="L678" s="843"/>
      <c r="M678" s="843"/>
      <c r="N678" s="843"/>
      <c r="O678" s="844"/>
      <c r="P678" s="844"/>
      <c r="Q678" s="844"/>
      <c r="R678" s="844"/>
      <c r="S678" s="844"/>
      <c r="T678" s="844"/>
      <c r="U678" s="844"/>
      <c r="V678" s="844"/>
      <c r="W678" s="844"/>
      <c r="X678" s="844"/>
      <c r="Y678" s="844"/>
      <c r="Z678" s="844"/>
      <c r="AA678" s="844"/>
      <c r="AB678" s="845"/>
    </row>
    <row r="679" spans="1:32" s="597" customFormat="1" ht="18" customHeight="1" x14ac:dyDescent="0.2">
      <c r="A679" s="339"/>
      <c r="B679" s="339"/>
      <c r="C679" s="339"/>
      <c r="D679" s="339"/>
      <c r="E679" s="339"/>
      <c r="F679" s="339"/>
      <c r="G679" s="339"/>
      <c r="H679" s="339"/>
      <c r="I679" s="339"/>
      <c r="J679" s="339"/>
      <c r="K679" s="339"/>
      <c r="L679" s="339"/>
      <c r="M679" s="339"/>
      <c r="N679" s="339"/>
      <c r="O679" s="339"/>
      <c r="P679" s="339"/>
      <c r="Q679" s="339"/>
      <c r="R679" s="339"/>
      <c r="S679" s="339"/>
      <c r="T679" s="339"/>
      <c r="U679" s="339"/>
      <c r="V679" s="339"/>
      <c r="W679" s="339"/>
      <c r="X679" s="339"/>
      <c r="Y679" s="339"/>
      <c r="Z679" s="339"/>
      <c r="AA679" s="2702" t="s">
        <v>0</v>
      </c>
      <c r="AB679" s="2702"/>
    </row>
    <row r="680" spans="1:32" s="597" customFormat="1" ht="18" customHeight="1" x14ac:dyDescent="0.2">
      <c r="A680" s="2703" t="s">
        <v>1</v>
      </c>
      <c r="B680" s="2703"/>
      <c r="C680" s="2703"/>
      <c r="D680" s="2703"/>
      <c r="E680" s="2703"/>
      <c r="F680" s="2703"/>
      <c r="G680" s="2703"/>
      <c r="H680" s="2703"/>
      <c r="I680" s="2703"/>
      <c r="J680" s="2703"/>
      <c r="K680" s="2703"/>
      <c r="L680" s="2703"/>
      <c r="M680" s="2703"/>
      <c r="N680" s="2703"/>
      <c r="O680" s="2703"/>
      <c r="P680" s="2703"/>
      <c r="Q680" s="2703"/>
      <c r="R680" s="2703"/>
      <c r="S680" s="2703"/>
      <c r="T680" s="2703"/>
      <c r="U680" s="2703"/>
      <c r="V680" s="2703"/>
      <c r="W680" s="2703"/>
      <c r="X680" s="2703"/>
      <c r="Y680" s="2703"/>
      <c r="Z680" s="2703"/>
      <c r="AA680" s="2703"/>
      <c r="AB680" s="2703"/>
      <c r="AC680" s="344"/>
      <c r="AD680" s="344"/>
      <c r="AE680" s="344"/>
      <c r="AF680" s="344"/>
    </row>
    <row r="681" spans="1:32" s="597" customFormat="1" ht="18" customHeight="1" x14ac:dyDescent="0.2">
      <c r="A681" s="2704" t="s">
        <v>476</v>
      </c>
      <c r="B681" s="2704"/>
      <c r="C681" s="2704"/>
      <c r="D681" s="2704"/>
      <c r="E681" s="2704"/>
      <c r="F681" s="2704"/>
      <c r="G681" s="2704"/>
      <c r="H681" s="2704"/>
      <c r="I681" s="2704"/>
      <c r="J681" s="2704"/>
      <c r="K681" s="2704"/>
      <c r="L681" s="2704"/>
      <c r="M681" s="2704"/>
      <c r="N681" s="2704"/>
      <c r="O681" s="2704"/>
      <c r="P681" s="2704"/>
      <c r="Q681" s="2704"/>
      <c r="R681" s="2704"/>
      <c r="S681" s="2704"/>
      <c r="T681" s="2704"/>
      <c r="U681" s="2704"/>
      <c r="V681" s="2704"/>
      <c r="W681" s="2704"/>
      <c r="X681" s="2704"/>
      <c r="Y681" s="2704"/>
      <c r="Z681" s="2704"/>
      <c r="AA681" s="2704"/>
      <c r="AB681" s="2704"/>
      <c r="AC681" s="344"/>
      <c r="AD681" s="344"/>
      <c r="AE681" s="344"/>
      <c r="AF681" s="344"/>
    </row>
    <row r="682" spans="1:32" s="597" customFormat="1" ht="18" customHeight="1" x14ac:dyDescent="0.2">
      <c r="A682" s="2686" t="s">
        <v>2</v>
      </c>
      <c r="B682" s="360"/>
      <c r="C682" s="2686" t="s">
        <v>3</v>
      </c>
      <c r="D682" s="360"/>
      <c r="E682" s="360"/>
      <c r="F682" s="2693" t="s">
        <v>4</v>
      </c>
      <c r="G682" s="2693"/>
      <c r="H682" s="2693"/>
      <c r="I682" s="2694"/>
      <c r="J682" s="2694"/>
      <c r="K682" s="2695"/>
      <c r="L682" s="361"/>
      <c r="M682" s="2679" t="s">
        <v>5</v>
      </c>
      <c r="N682" s="2679"/>
      <c r="O682" s="2679"/>
      <c r="P682" s="2679"/>
      <c r="Q682" s="2696"/>
      <c r="R682" s="2696"/>
      <c r="S682" s="2696"/>
      <c r="T682" s="2696"/>
      <c r="U682" s="2696"/>
      <c r="V682" s="2697"/>
      <c r="W682" s="362" t="s">
        <v>6</v>
      </c>
      <c r="X682" s="363" t="s">
        <v>7</v>
      </c>
      <c r="Y682" s="364"/>
      <c r="Z682" s="364"/>
      <c r="AA682" s="363"/>
      <c r="AB682" s="365"/>
      <c r="AC682" s="599"/>
      <c r="AD682" s="599"/>
      <c r="AE682" s="599"/>
      <c r="AF682" s="599"/>
    </row>
    <row r="683" spans="1:32" s="597" customFormat="1" ht="18" customHeight="1" x14ac:dyDescent="0.2">
      <c r="A683" s="2687"/>
      <c r="B683" s="367"/>
      <c r="C683" s="2687"/>
      <c r="D683" s="366" t="s">
        <v>9</v>
      </c>
      <c r="E683" s="368" t="s">
        <v>10</v>
      </c>
      <c r="F683" s="2698" t="s">
        <v>11</v>
      </c>
      <c r="G683" s="2694"/>
      <c r="H683" s="2695"/>
      <c r="I683" s="360"/>
      <c r="J683" s="369" t="s">
        <v>12</v>
      </c>
      <c r="K683" s="360"/>
      <c r="L683" s="2679" t="s">
        <v>2</v>
      </c>
      <c r="M683" s="370"/>
      <c r="N683" s="370"/>
      <c r="O683" s="370"/>
      <c r="P683" s="371"/>
      <c r="Q683" s="372" t="s">
        <v>13</v>
      </c>
      <c r="R683" s="373" t="s">
        <v>12</v>
      </c>
      <c r="S683" s="370" t="s">
        <v>6</v>
      </c>
      <c r="T683" s="2682" t="s">
        <v>14</v>
      </c>
      <c r="U683" s="2683"/>
      <c r="V683" s="375" t="s">
        <v>7</v>
      </c>
      <c r="W683" s="376" t="s">
        <v>15</v>
      </c>
      <c r="X683" s="377" t="s">
        <v>16</v>
      </c>
      <c r="Y683" s="377" t="s">
        <v>17</v>
      </c>
      <c r="Z683" s="377" t="s">
        <v>18</v>
      </c>
      <c r="AA683" s="377"/>
      <c r="AB683" s="378" t="s">
        <v>19</v>
      </c>
      <c r="AC683" s="516" t="s">
        <v>8</v>
      </c>
      <c r="AD683" s="346"/>
      <c r="AE683" s="346"/>
      <c r="AF683" s="600"/>
    </row>
    <row r="684" spans="1:32" s="597" customFormat="1" ht="18" customHeight="1" x14ac:dyDescent="0.2">
      <c r="A684" s="2687"/>
      <c r="B684" s="366" t="s">
        <v>23</v>
      </c>
      <c r="C684" s="2687"/>
      <c r="D684" s="366" t="s">
        <v>24</v>
      </c>
      <c r="E684" s="368" t="s">
        <v>25</v>
      </c>
      <c r="F684" s="2699"/>
      <c r="G684" s="2700"/>
      <c r="H684" s="2701"/>
      <c r="I684" s="366" t="s">
        <v>26</v>
      </c>
      <c r="J684" s="379" t="s">
        <v>15</v>
      </c>
      <c r="K684" s="380" t="s">
        <v>6</v>
      </c>
      <c r="L684" s="2680"/>
      <c r="M684" s="381" t="s">
        <v>27</v>
      </c>
      <c r="N684" s="381" t="s">
        <v>10</v>
      </c>
      <c r="O684" s="382" t="s">
        <v>10</v>
      </c>
      <c r="P684" s="383" t="s">
        <v>28</v>
      </c>
      <c r="Q684" s="384" t="s">
        <v>29</v>
      </c>
      <c r="R684" s="383" t="s">
        <v>15</v>
      </c>
      <c r="S684" s="385" t="s">
        <v>15</v>
      </c>
      <c r="T684" s="2684"/>
      <c r="U684" s="2685"/>
      <c r="V684" s="375" t="s">
        <v>30</v>
      </c>
      <c r="W684" s="376" t="s">
        <v>31</v>
      </c>
      <c r="X684" s="377" t="s">
        <v>30</v>
      </c>
      <c r="Y684" s="377" t="s">
        <v>32</v>
      </c>
      <c r="Z684" s="377" t="s">
        <v>7</v>
      </c>
      <c r="AA684" s="377" t="s">
        <v>33</v>
      </c>
      <c r="AB684" s="378" t="s">
        <v>34</v>
      </c>
      <c r="AC684" s="528" t="s">
        <v>20</v>
      </c>
      <c r="AD684" s="601"/>
      <c r="AE684" s="347" t="s">
        <v>21</v>
      </c>
      <c r="AF684" s="340" t="s">
        <v>22</v>
      </c>
    </row>
    <row r="685" spans="1:32" s="597" customFormat="1" ht="18" customHeight="1" x14ac:dyDescent="0.2">
      <c r="A685" s="2687"/>
      <c r="B685" s="366" t="s">
        <v>39</v>
      </c>
      <c r="C685" s="2687"/>
      <c r="D685" s="366" t="s">
        <v>40</v>
      </c>
      <c r="E685" s="368" t="s">
        <v>41</v>
      </c>
      <c r="F685" s="2686" t="s">
        <v>42</v>
      </c>
      <c r="G685" s="2686" t="s">
        <v>43</v>
      </c>
      <c r="H685" s="2688" t="s">
        <v>44</v>
      </c>
      <c r="I685" s="366" t="s">
        <v>45</v>
      </c>
      <c r="J685" s="379" t="s">
        <v>46</v>
      </c>
      <c r="K685" s="380" t="s">
        <v>47</v>
      </c>
      <c r="L685" s="2680"/>
      <c r="M685" s="381" t="s">
        <v>30</v>
      </c>
      <c r="N685" s="381" t="s">
        <v>30</v>
      </c>
      <c r="O685" s="382" t="s">
        <v>25</v>
      </c>
      <c r="P685" s="383" t="s">
        <v>30</v>
      </c>
      <c r="Q685" s="384" t="s">
        <v>48</v>
      </c>
      <c r="R685" s="383" t="s">
        <v>49</v>
      </c>
      <c r="S685" s="385" t="s">
        <v>30</v>
      </c>
      <c r="T685" s="386" t="s">
        <v>50</v>
      </c>
      <c r="U685" s="374" t="s">
        <v>13</v>
      </c>
      <c r="V685" s="375" t="s">
        <v>51</v>
      </c>
      <c r="W685" s="376" t="s">
        <v>52</v>
      </c>
      <c r="X685" s="377" t="s">
        <v>53</v>
      </c>
      <c r="Y685" s="377" t="s">
        <v>54</v>
      </c>
      <c r="Z685" s="377" t="s">
        <v>55</v>
      </c>
      <c r="AA685" s="377" t="s">
        <v>56</v>
      </c>
      <c r="AB685" s="378" t="s">
        <v>57</v>
      </c>
      <c r="AC685" s="528" t="s">
        <v>35</v>
      </c>
      <c r="AD685" s="347" t="s">
        <v>36</v>
      </c>
      <c r="AE685" s="347" t="s">
        <v>37</v>
      </c>
      <c r="AF685" s="340" t="s">
        <v>38</v>
      </c>
    </row>
    <row r="686" spans="1:32" s="597" customFormat="1" ht="18" customHeight="1" x14ac:dyDescent="0.2">
      <c r="A686" s="2687"/>
      <c r="B686" s="366" t="s">
        <v>61</v>
      </c>
      <c r="C686" s="2687"/>
      <c r="D686" s="366" t="s">
        <v>62</v>
      </c>
      <c r="E686" s="368" t="s">
        <v>63</v>
      </c>
      <c r="F686" s="2687"/>
      <c r="G686" s="2687"/>
      <c r="H686" s="2689"/>
      <c r="I686" s="366" t="s">
        <v>64</v>
      </c>
      <c r="J686" s="379" t="s">
        <v>59</v>
      </c>
      <c r="K686" s="380" t="s">
        <v>59</v>
      </c>
      <c r="L686" s="2680"/>
      <c r="M686" s="381"/>
      <c r="N686" s="381"/>
      <c r="O686" s="382" t="s">
        <v>41</v>
      </c>
      <c r="P686" s="383" t="s">
        <v>65</v>
      </c>
      <c r="Q686" s="384" t="s">
        <v>66</v>
      </c>
      <c r="R686" s="383" t="s">
        <v>67</v>
      </c>
      <c r="S686" s="385" t="s">
        <v>59</v>
      </c>
      <c r="T686" s="387" t="s">
        <v>68</v>
      </c>
      <c r="U686" s="375" t="s">
        <v>14</v>
      </c>
      <c r="V686" s="375" t="s">
        <v>14</v>
      </c>
      <c r="W686" s="376" t="s">
        <v>30</v>
      </c>
      <c r="X686" s="388" t="s">
        <v>69</v>
      </c>
      <c r="Y686" s="388" t="s">
        <v>70</v>
      </c>
      <c r="Z686" s="377" t="s">
        <v>71</v>
      </c>
      <c r="AA686" s="377" t="s">
        <v>72</v>
      </c>
      <c r="AB686" s="378" t="s">
        <v>59</v>
      </c>
      <c r="AC686" s="347" t="s">
        <v>58</v>
      </c>
      <c r="AD686" s="347" t="s">
        <v>59</v>
      </c>
      <c r="AE686" s="347" t="s">
        <v>59</v>
      </c>
      <c r="AF686" s="340" t="s">
        <v>60</v>
      </c>
    </row>
    <row r="687" spans="1:32" s="597" customFormat="1" ht="18" customHeight="1" x14ac:dyDescent="0.2">
      <c r="A687" s="2692"/>
      <c r="B687" s="390"/>
      <c r="C687" s="2692"/>
      <c r="D687" s="390"/>
      <c r="E687" s="389"/>
      <c r="F687" s="390"/>
      <c r="G687" s="390"/>
      <c r="H687" s="391"/>
      <c r="I687" s="389"/>
      <c r="J687" s="392"/>
      <c r="K687" s="393"/>
      <c r="L687" s="2681"/>
      <c r="M687" s="394"/>
      <c r="N687" s="394"/>
      <c r="O687" s="394" t="s">
        <v>63</v>
      </c>
      <c r="P687" s="395"/>
      <c r="Q687" s="396" t="s">
        <v>72</v>
      </c>
      <c r="R687" s="397" t="s">
        <v>59</v>
      </c>
      <c r="S687" s="398"/>
      <c r="T687" s="397" t="s">
        <v>73</v>
      </c>
      <c r="U687" s="398" t="s">
        <v>59</v>
      </c>
      <c r="V687" s="399" t="s">
        <v>59</v>
      </c>
      <c r="W687" s="400" t="s">
        <v>59</v>
      </c>
      <c r="X687" s="401" t="s">
        <v>59</v>
      </c>
      <c r="Y687" s="401" t="s">
        <v>59</v>
      </c>
      <c r="Z687" s="401" t="s">
        <v>59</v>
      </c>
      <c r="AA687" s="402"/>
      <c r="AB687" s="403"/>
      <c r="AC687" s="347" t="s">
        <v>59</v>
      </c>
      <c r="AD687" s="347"/>
      <c r="AE687" s="347"/>
      <c r="AF687" s="340" t="s">
        <v>59</v>
      </c>
    </row>
    <row r="688" spans="1:32" s="597" customFormat="1" ht="18" customHeight="1" x14ac:dyDescent="0.2">
      <c r="A688" s="53">
        <v>1</v>
      </c>
      <c r="B688" s="95">
        <v>27949</v>
      </c>
      <c r="C688" s="82">
        <v>11</v>
      </c>
      <c r="D688" s="82" t="s">
        <v>99</v>
      </c>
      <c r="E688" s="82">
        <v>4</v>
      </c>
      <c r="F688" s="82">
        <v>0</v>
      </c>
      <c r="G688" s="82">
        <v>0</v>
      </c>
      <c r="H688" s="463">
        <v>95</v>
      </c>
      <c r="I688" s="70">
        <f>F688*400+G688*100+H688</f>
        <v>95</v>
      </c>
      <c r="J688" s="123">
        <v>280</v>
      </c>
      <c r="K688" s="124">
        <f>SUM(I688*J688)</f>
        <v>26600</v>
      </c>
      <c r="L688" s="53"/>
      <c r="M688" s="53"/>
      <c r="N688" s="82"/>
      <c r="O688" s="61"/>
      <c r="P688" s="173"/>
      <c r="Q688" s="174"/>
      <c r="R688" s="408"/>
      <c r="S688" s="77"/>
      <c r="T688" s="135"/>
      <c r="U688" s="74">
        <f>S688*T688/100</f>
        <v>0</v>
      </c>
      <c r="V688" s="74">
        <f>SUM(S688-U688)</f>
        <v>0</v>
      </c>
      <c r="W688" s="77">
        <f>K688+V688</f>
        <v>26600</v>
      </c>
      <c r="X688" s="74">
        <f>W688</f>
        <v>26600</v>
      </c>
      <c r="Y688" s="676">
        <v>0</v>
      </c>
      <c r="Z688" s="77">
        <f>X688-Y688</f>
        <v>26600</v>
      </c>
      <c r="AA688" s="409">
        <v>0.3</v>
      </c>
      <c r="AB688" s="465">
        <f>+Z688*AA688/100</f>
        <v>79.8</v>
      </c>
      <c r="AC688" s="348"/>
      <c r="AD688" s="348"/>
      <c r="AE688" s="348"/>
      <c r="AF688" s="341"/>
    </row>
    <row r="689" spans="1:32" s="597" customFormat="1" ht="18" customHeight="1" x14ac:dyDescent="0.2">
      <c r="A689" s="61">
        <v>2</v>
      </c>
      <c r="B689" s="102">
        <v>28651</v>
      </c>
      <c r="C689" s="145">
        <v>41</v>
      </c>
      <c r="D689" s="145" t="s">
        <v>99</v>
      </c>
      <c r="E689" s="145">
        <v>4</v>
      </c>
      <c r="F689" s="145">
        <v>0</v>
      </c>
      <c r="G689" s="145">
        <v>1</v>
      </c>
      <c r="H689" s="407">
        <v>4</v>
      </c>
      <c r="I689" s="77">
        <f>F689*400+G689*100+H689</f>
        <v>104</v>
      </c>
      <c r="J689" s="107">
        <v>280</v>
      </c>
      <c r="K689" s="78">
        <f>SUM(I689*J689)</f>
        <v>29120</v>
      </c>
      <c r="L689" s="61"/>
      <c r="M689" s="61"/>
      <c r="N689" s="61"/>
      <c r="O689" s="61"/>
      <c r="P689" s="173"/>
      <c r="Q689" s="174"/>
      <c r="R689" s="408"/>
      <c r="S689" s="77"/>
      <c r="T689" s="135"/>
      <c r="U689" s="74">
        <f>S689*T689/100</f>
        <v>0</v>
      </c>
      <c r="V689" s="74">
        <f>SUM(S689-U689)</f>
        <v>0</v>
      </c>
      <c r="W689" s="77">
        <f>K689+V689</f>
        <v>29120</v>
      </c>
      <c r="X689" s="74">
        <f>W689</f>
        <v>29120</v>
      </c>
      <c r="Y689" s="676">
        <v>0</v>
      </c>
      <c r="Z689" s="77">
        <f>X689-Y689</f>
        <v>29120</v>
      </c>
      <c r="AA689" s="409">
        <v>0.3</v>
      </c>
      <c r="AB689" s="466">
        <f>+Z689*AA689/100</f>
        <v>87.36</v>
      </c>
      <c r="AC689" s="602"/>
      <c r="AD689" s="603" t="e">
        <f>#REF!-AC689</f>
        <v>#REF!</v>
      </c>
      <c r="AE689" s="603" t="e">
        <f>IF(AD689&lt;=0,0,AD689*25/100)</f>
        <v>#REF!</v>
      </c>
      <c r="AF689" s="603" t="e">
        <f>IF(AC689+AE689&gt;#REF!,#REF!,AC689+AE689)</f>
        <v>#REF!</v>
      </c>
    </row>
    <row r="690" spans="1:32" s="597" customFormat="1" ht="18" customHeight="1" x14ac:dyDescent="0.2">
      <c r="A690" s="145"/>
      <c r="B690" s="177"/>
      <c r="C690" s="177"/>
      <c r="D690" s="145"/>
      <c r="E690" s="145"/>
      <c r="F690" s="145"/>
      <c r="G690" s="145"/>
      <c r="H690" s="147"/>
      <c r="I690" s="107"/>
      <c r="J690" s="178"/>
      <c r="K690" s="107"/>
      <c r="L690" s="145"/>
      <c r="M690" s="145"/>
      <c r="N690" s="145"/>
      <c r="O690" s="145"/>
      <c r="P690" s="147"/>
      <c r="Q690" s="148"/>
      <c r="R690" s="437"/>
      <c r="S690" s="107"/>
      <c r="T690" s="179"/>
      <c r="U690" s="178"/>
      <c r="V690" s="107"/>
      <c r="W690" s="107"/>
      <c r="X690" s="470"/>
      <c r="Y690" s="470"/>
      <c r="Z690" s="471"/>
      <c r="AA690" s="471"/>
      <c r="AB690" s="466"/>
      <c r="AC690" s="602"/>
      <c r="AD690" s="603" t="e">
        <f>#REF!-AC690</f>
        <v>#REF!</v>
      </c>
      <c r="AE690" s="603" t="e">
        <f>IF(AD690&lt;=0,0,AD690*25/100)</f>
        <v>#REF!</v>
      </c>
      <c r="AF690" s="603" t="e">
        <f>IF(AC690+AE690&gt;#REF!,#REF!,AC690+AE690)</f>
        <v>#REF!</v>
      </c>
    </row>
    <row r="691" spans="1:32" s="597" customFormat="1" ht="18" customHeight="1" x14ac:dyDescent="0.2">
      <c r="A691" s="145"/>
      <c r="B691" s="177"/>
      <c r="C691" s="177"/>
      <c r="D691" s="145"/>
      <c r="E691" s="145"/>
      <c r="F691" s="145"/>
      <c r="G691" s="145"/>
      <c r="H691" s="147"/>
      <c r="I691" s="107"/>
      <c r="J691" s="178"/>
      <c r="K691" s="107"/>
      <c r="L691" s="145"/>
      <c r="M691" s="145"/>
      <c r="N691" s="145"/>
      <c r="O691" s="145"/>
      <c r="P691" s="147"/>
      <c r="Q691" s="148"/>
      <c r="R691" s="437"/>
      <c r="S691" s="107"/>
      <c r="T691" s="179"/>
      <c r="U691" s="178"/>
      <c r="V691" s="107"/>
      <c r="W691" s="107"/>
      <c r="X691" s="470"/>
      <c r="Y691" s="470"/>
      <c r="Z691" s="471"/>
      <c r="AA691" s="471"/>
      <c r="AB691" s="466"/>
      <c r="AC691" s="603"/>
      <c r="AD691" s="603"/>
      <c r="AE691" s="603"/>
      <c r="AF691" s="603"/>
    </row>
    <row r="692" spans="1:32" s="597" customFormat="1" ht="18" customHeight="1" x14ac:dyDescent="0.2">
      <c r="A692" s="145"/>
      <c r="B692" s="177"/>
      <c r="C692" s="177"/>
      <c r="D692" s="145"/>
      <c r="E692" s="145"/>
      <c r="F692" s="145"/>
      <c r="G692" s="145"/>
      <c r="H692" s="147"/>
      <c r="I692" s="107"/>
      <c r="J692" s="178"/>
      <c r="K692" s="107"/>
      <c r="L692" s="145"/>
      <c r="M692" s="145"/>
      <c r="N692" s="145"/>
      <c r="O692" s="145"/>
      <c r="P692" s="147"/>
      <c r="Q692" s="148"/>
      <c r="R692" s="437"/>
      <c r="S692" s="107"/>
      <c r="T692" s="179"/>
      <c r="U692" s="178"/>
      <c r="V692" s="107"/>
      <c r="W692" s="107"/>
      <c r="X692" s="470"/>
      <c r="Y692" s="470"/>
      <c r="Z692" s="471"/>
      <c r="AA692" s="471"/>
      <c r="AB692" s="466"/>
      <c r="AC692" s="732"/>
      <c r="AD692" s="603"/>
      <c r="AE692" s="603"/>
      <c r="AF692" s="603"/>
    </row>
    <row r="693" spans="1:32" s="597" customFormat="1" ht="18" customHeight="1" x14ac:dyDescent="0.2">
      <c r="A693" s="145"/>
      <c r="B693" s="177"/>
      <c r="C693" s="177"/>
      <c r="D693" s="145"/>
      <c r="E693" s="145"/>
      <c r="F693" s="145"/>
      <c r="G693" s="145"/>
      <c r="H693" s="147"/>
      <c r="I693" s="107"/>
      <c r="J693" s="178"/>
      <c r="K693" s="107"/>
      <c r="L693" s="145"/>
      <c r="M693" s="145"/>
      <c r="N693" s="145"/>
      <c r="O693" s="145"/>
      <c r="P693" s="147"/>
      <c r="Q693" s="148"/>
      <c r="R693" s="437"/>
      <c r="S693" s="107"/>
      <c r="T693" s="179"/>
      <c r="U693" s="178"/>
      <c r="V693" s="107"/>
      <c r="W693" s="107"/>
      <c r="X693" s="470"/>
      <c r="Y693" s="470"/>
      <c r="Z693" s="471"/>
      <c r="AA693" s="471"/>
      <c r="AB693" s="466"/>
      <c r="AC693" s="603"/>
      <c r="AD693" s="603"/>
      <c r="AE693" s="603"/>
      <c r="AF693" s="603"/>
    </row>
    <row r="694" spans="1:32" s="597" customFormat="1" ht="18" customHeight="1" x14ac:dyDescent="0.2">
      <c r="A694" s="145"/>
      <c r="B694" s="177"/>
      <c r="C694" s="177"/>
      <c r="D694" s="145"/>
      <c r="E694" s="145"/>
      <c r="F694" s="145"/>
      <c r="G694" s="145"/>
      <c r="H694" s="147"/>
      <c r="I694" s="107"/>
      <c r="J694" s="178"/>
      <c r="K694" s="107"/>
      <c r="L694" s="145"/>
      <c r="M694" s="145"/>
      <c r="N694" s="145"/>
      <c r="O694" s="145"/>
      <c r="P694" s="147"/>
      <c r="Q694" s="148"/>
      <c r="R694" s="437"/>
      <c r="S694" s="107"/>
      <c r="T694" s="179"/>
      <c r="U694" s="178"/>
      <c r="V694" s="107"/>
      <c r="W694" s="107"/>
      <c r="X694" s="470"/>
      <c r="Y694" s="470"/>
      <c r="Z694" s="471"/>
      <c r="AA694" s="471"/>
      <c r="AB694" s="466"/>
      <c r="AC694" s="732"/>
      <c r="AD694" s="603"/>
      <c r="AE694" s="603"/>
      <c r="AF694" s="603"/>
    </row>
    <row r="695" spans="1:32" s="597" customFormat="1" ht="18" customHeight="1" x14ac:dyDescent="0.2">
      <c r="A695" s="145"/>
      <c r="B695" s="177"/>
      <c r="C695" s="177"/>
      <c r="D695" s="145"/>
      <c r="E695" s="145"/>
      <c r="F695" s="145"/>
      <c r="G695" s="145"/>
      <c r="H695" s="147"/>
      <c r="I695" s="107"/>
      <c r="J695" s="178"/>
      <c r="K695" s="107"/>
      <c r="L695" s="145"/>
      <c r="M695" s="145"/>
      <c r="N695" s="145"/>
      <c r="O695" s="145"/>
      <c r="P695" s="147"/>
      <c r="Q695" s="148"/>
      <c r="R695" s="437"/>
      <c r="S695" s="107"/>
      <c r="T695" s="179"/>
      <c r="U695" s="178"/>
      <c r="V695" s="107"/>
      <c r="W695" s="107"/>
      <c r="X695" s="470"/>
      <c r="Y695" s="470"/>
      <c r="Z695" s="471"/>
      <c r="AA695" s="471"/>
      <c r="AB695" s="466"/>
      <c r="AC695" s="603"/>
      <c r="AD695" s="603"/>
      <c r="AE695" s="603"/>
      <c r="AF695" s="603"/>
    </row>
    <row r="696" spans="1:32" s="597" customFormat="1" ht="18" customHeight="1" x14ac:dyDescent="0.2">
      <c r="A696" s="145"/>
      <c r="B696" s="177"/>
      <c r="C696" s="177"/>
      <c r="D696" s="145"/>
      <c r="E696" s="145"/>
      <c r="F696" s="145"/>
      <c r="G696" s="145"/>
      <c r="H696" s="147"/>
      <c r="I696" s="107"/>
      <c r="J696" s="178"/>
      <c r="K696" s="107"/>
      <c r="L696" s="145"/>
      <c r="M696" s="145"/>
      <c r="N696" s="145"/>
      <c r="O696" s="145"/>
      <c r="P696" s="147"/>
      <c r="Q696" s="148"/>
      <c r="R696" s="437"/>
      <c r="S696" s="107"/>
      <c r="T696" s="179"/>
      <c r="U696" s="178"/>
      <c r="V696" s="107"/>
      <c r="W696" s="107"/>
      <c r="X696" s="470"/>
      <c r="Y696" s="470"/>
      <c r="Z696" s="471"/>
      <c r="AA696" s="471"/>
      <c r="AB696" s="466"/>
      <c r="AC696" s="350"/>
      <c r="AD696" s="350"/>
      <c r="AE696" s="350"/>
      <c r="AF696" s="350"/>
    </row>
    <row r="697" spans="1:32" s="597" customFormat="1" ht="18" customHeight="1" x14ac:dyDescent="0.2">
      <c r="A697" s="145"/>
      <c r="B697" s="177"/>
      <c r="C697" s="177"/>
      <c r="D697" s="145"/>
      <c r="E697" s="145"/>
      <c r="F697" s="145"/>
      <c r="G697" s="145"/>
      <c r="H697" s="147"/>
      <c r="I697" s="107"/>
      <c r="J697" s="178"/>
      <c r="K697" s="107"/>
      <c r="L697" s="145"/>
      <c r="M697" s="145"/>
      <c r="N697" s="145"/>
      <c r="O697" s="145"/>
      <c r="P697" s="147"/>
      <c r="Q697" s="148"/>
      <c r="R697" s="437"/>
      <c r="S697" s="107"/>
      <c r="T697" s="179"/>
      <c r="U697" s="178"/>
      <c r="V697" s="107"/>
      <c r="W697" s="107"/>
      <c r="X697" s="470"/>
      <c r="Y697" s="470"/>
      <c r="Z697" s="471"/>
      <c r="AA697" s="471"/>
      <c r="AB697" s="466"/>
      <c r="AC697" s="350"/>
      <c r="AD697" s="350"/>
      <c r="AE697" s="350"/>
      <c r="AF697" s="350"/>
    </row>
    <row r="698" spans="1:32" s="597" customFormat="1" ht="18" customHeight="1" x14ac:dyDescent="0.2">
      <c r="A698" s="145"/>
      <c r="B698" s="177"/>
      <c r="C698" s="177"/>
      <c r="D698" s="145"/>
      <c r="E698" s="145"/>
      <c r="F698" s="145"/>
      <c r="G698" s="145"/>
      <c r="H698" s="147"/>
      <c r="I698" s="107"/>
      <c r="J698" s="178"/>
      <c r="K698" s="107"/>
      <c r="L698" s="145"/>
      <c r="M698" s="145"/>
      <c r="N698" s="145"/>
      <c r="O698" s="145"/>
      <c r="P698" s="147"/>
      <c r="Q698" s="148"/>
      <c r="R698" s="437"/>
      <c r="S698" s="107"/>
      <c r="T698" s="179"/>
      <c r="U698" s="178"/>
      <c r="V698" s="107"/>
      <c r="W698" s="107"/>
      <c r="X698" s="470"/>
      <c r="Y698" s="470"/>
      <c r="Z698" s="471"/>
      <c r="AA698" s="471"/>
      <c r="AB698" s="466"/>
      <c r="AC698" s="350"/>
      <c r="AD698" s="350"/>
      <c r="AE698" s="350"/>
      <c r="AF698" s="350"/>
    </row>
    <row r="699" spans="1:32" s="597" customFormat="1" ht="18" customHeight="1" x14ac:dyDescent="0.2">
      <c r="A699" s="145"/>
      <c r="B699" s="177"/>
      <c r="C699" s="177"/>
      <c r="D699" s="145"/>
      <c r="E699" s="145"/>
      <c r="F699" s="145"/>
      <c r="G699" s="145"/>
      <c r="H699" s="147"/>
      <c r="I699" s="107"/>
      <c r="J699" s="178"/>
      <c r="K699" s="107"/>
      <c r="L699" s="145"/>
      <c r="M699" s="145"/>
      <c r="N699" s="145"/>
      <c r="O699" s="145"/>
      <c r="P699" s="147"/>
      <c r="Q699" s="148"/>
      <c r="R699" s="437"/>
      <c r="S699" s="107"/>
      <c r="T699" s="179"/>
      <c r="U699" s="178"/>
      <c r="V699" s="107"/>
      <c r="W699" s="107"/>
      <c r="X699" s="470"/>
      <c r="Y699" s="470"/>
      <c r="Z699" s="471"/>
      <c r="AA699" s="471"/>
      <c r="AB699" s="466"/>
      <c r="AC699" s="350"/>
      <c r="AD699" s="350"/>
      <c r="AE699" s="350"/>
      <c r="AF699" s="350"/>
    </row>
    <row r="700" spans="1:32" s="597" customFormat="1" ht="18" customHeight="1" x14ac:dyDescent="0.2">
      <c r="A700" s="145"/>
      <c r="B700" s="177"/>
      <c r="C700" s="177"/>
      <c r="D700" s="145"/>
      <c r="E700" s="145"/>
      <c r="F700" s="145"/>
      <c r="G700" s="145"/>
      <c r="H700" s="147"/>
      <c r="I700" s="107"/>
      <c r="J700" s="178"/>
      <c r="K700" s="107"/>
      <c r="L700" s="145"/>
      <c r="M700" s="145"/>
      <c r="N700" s="145"/>
      <c r="O700" s="145"/>
      <c r="P700" s="147"/>
      <c r="Q700" s="148"/>
      <c r="R700" s="437"/>
      <c r="S700" s="107"/>
      <c r="T700" s="179"/>
      <c r="U700" s="178"/>
      <c r="V700" s="107"/>
      <c r="W700" s="107"/>
      <c r="X700" s="470"/>
      <c r="Y700" s="470"/>
      <c r="Z700" s="471"/>
      <c r="AA700" s="471"/>
      <c r="AB700" s="466"/>
      <c r="AC700" s="350"/>
      <c r="AD700" s="350"/>
      <c r="AE700" s="350"/>
      <c r="AF700" s="350"/>
    </row>
    <row r="701" spans="1:32" s="597" customFormat="1" ht="18" customHeight="1" x14ac:dyDescent="0.2">
      <c r="A701" s="145"/>
      <c r="B701" s="177"/>
      <c r="C701" s="177"/>
      <c r="D701" s="145"/>
      <c r="E701" s="145"/>
      <c r="F701" s="145"/>
      <c r="G701" s="145"/>
      <c r="H701" s="147"/>
      <c r="I701" s="107"/>
      <c r="J701" s="178"/>
      <c r="K701" s="107"/>
      <c r="L701" s="145"/>
      <c r="M701" s="145"/>
      <c r="N701" s="145"/>
      <c r="O701" s="145"/>
      <c r="P701" s="147"/>
      <c r="Q701" s="148"/>
      <c r="R701" s="437"/>
      <c r="S701" s="107"/>
      <c r="T701" s="179"/>
      <c r="U701" s="178"/>
      <c r="V701" s="107"/>
      <c r="W701" s="107"/>
      <c r="X701" s="470"/>
      <c r="Y701" s="470"/>
      <c r="Z701" s="471"/>
      <c r="AA701" s="471"/>
      <c r="AB701" s="466"/>
      <c r="AC701" s="350"/>
      <c r="AD701" s="350"/>
      <c r="AE701" s="350"/>
      <c r="AF701" s="350"/>
    </row>
    <row r="702" spans="1:32" s="597" customFormat="1" ht="18" customHeight="1" x14ac:dyDescent="0.2">
      <c r="A702" s="88"/>
      <c r="B702" s="180"/>
      <c r="C702" s="180"/>
      <c r="D702" s="88"/>
      <c r="E702" s="88"/>
      <c r="F702" s="88"/>
      <c r="G702" s="88"/>
      <c r="H702" s="120"/>
      <c r="I702" s="121"/>
      <c r="J702" s="181"/>
      <c r="K702" s="121"/>
      <c r="L702" s="88"/>
      <c r="M702" s="88"/>
      <c r="N702" s="88"/>
      <c r="O702" s="88"/>
      <c r="P702" s="88"/>
      <c r="Q702" s="129"/>
      <c r="R702" s="445"/>
      <c r="S702" s="121"/>
      <c r="T702" s="182"/>
      <c r="U702" s="181"/>
      <c r="V702" s="121"/>
      <c r="W702" s="121"/>
      <c r="X702" s="472"/>
      <c r="Y702" s="472"/>
      <c r="Z702" s="473"/>
      <c r="AA702" s="473"/>
      <c r="AB702" s="410"/>
      <c r="AC702" s="350"/>
      <c r="AD702" s="350"/>
      <c r="AE702" s="350"/>
      <c r="AF702" s="350"/>
    </row>
    <row r="703" spans="1:32" s="597" customFormat="1" ht="18" customHeight="1" x14ac:dyDescent="0.2">
      <c r="A703" s="183"/>
      <c r="B703" s="183"/>
      <c r="C703" s="183"/>
      <c r="D703" s="183"/>
      <c r="E703" s="183"/>
      <c r="F703" s="183"/>
      <c r="G703" s="183"/>
      <c r="H703" s="184"/>
      <c r="I703" s="185"/>
      <c r="J703" s="186"/>
      <c r="K703" s="185"/>
      <c r="L703" s="185"/>
      <c r="M703" s="185"/>
      <c r="N703" s="185"/>
      <c r="O703" s="185"/>
      <c r="P703" s="185"/>
      <c r="Q703" s="185"/>
      <c r="R703" s="438"/>
      <c r="S703" s="185"/>
      <c r="T703" s="187"/>
      <c r="U703" s="186"/>
      <c r="V703" s="185"/>
      <c r="W703" s="185"/>
      <c r="X703" s="474"/>
      <c r="Y703" s="474"/>
      <c r="Z703" s="475"/>
      <c r="AA703" s="475"/>
      <c r="AB703" s="476">
        <f>SUM(AB688:AB702)</f>
        <v>167.16</v>
      </c>
      <c r="AC703" s="351"/>
      <c r="AD703" s="351"/>
      <c r="AE703" s="351"/>
      <c r="AF703" s="351"/>
    </row>
    <row r="704" spans="1:32" s="597" customFormat="1" ht="18" customHeight="1" x14ac:dyDescent="0.2">
      <c r="A704" s="2690" t="s">
        <v>76</v>
      </c>
      <c r="B704" s="2690"/>
      <c r="C704" s="2691" t="s">
        <v>77</v>
      </c>
      <c r="D704" s="2691"/>
      <c r="E704" s="2691"/>
      <c r="F704" s="2691"/>
      <c r="G704" s="2691"/>
      <c r="H704" s="2691"/>
      <c r="I704" s="604" t="s">
        <v>78</v>
      </c>
      <c r="J704" s="604"/>
      <c r="K704" s="604"/>
      <c r="L704" s="604"/>
      <c r="M704" s="604"/>
      <c r="N704" s="604"/>
      <c r="AB704" s="598"/>
      <c r="AC704" s="349"/>
      <c r="AD704" s="349"/>
      <c r="AE704" s="349"/>
      <c r="AF704" s="349"/>
    </row>
    <row r="705" spans="1:32" s="597" customFormat="1" ht="18" customHeight="1" x14ac:dyDescent="0.2">
      <c r="A705" s="604"/>
      <c r="B705" s="605"/>
      <c r="C705" s="604"/>
      <c r="D705" s="604"/>
      <c r="E705" s="604"/>
      <c r="F705" s="604"/>
      <c r="G705" s="604"/>
      <c r="H705" s="604"/>
      <c r="I705" s="604" t="s">
        <v>79</v>
      </c>
      <c r="J705" s="604"/>
      <c r="K705" s="604"/>
      <c r="L705" s="604"/>
      <c r="M705" s="604"/>
      <c r="N705" s="604"/>
      <c r="AB705" s="598"/>
    </row>
    <row r="706" spans="1:32" s="597" customFormat="1" ht="18" customHeight="1" x14ac:dyDescent="0.2">
      <c r="A706" s="604"/>
      <c r="B706" s="605"/>
      <c r="C706" s="604"/>
      <c r="D706" s="604"/>
      <c r="E706" s="604"/>
      <c r="F706" s="604"/>
      <c r="G706" s="604"/>
      <c r="H706" s="604"/>
      <c r="I706" s="604" t="s">
        <v>80</v>
      </c>
      <c r="J706" s="604"/>
      <c r="K706" s="604"/>
      <c r="L706" s="604"/>
      <c r="M706" s="604"/>
      <c r="N706" s="604"/>
      <c r="AB706" s="598"/>
    </row>
    <row r="707" spans="1:32" s="597" customFormat="1" ht="18" customHeight="1" x14ac:dyDescent="0.2">
      <c r="A707" s="604"/>
      <c r="B707" s="605"/>
      <c r="C707" s="604"/>
      <c r="D707" s="604"/>
      <c r="E707" s="604"/>
      <c r="F707" s="604"/>
      <c r="G707" s="604"/>
      <c r="H707" s="604"/>
      <c r="I707" s="604" t="s">
        <v>81</v>
      </c>
      <c r="J707" s="604"/>
      <c r="K707" s="604"/>
      <c r="L707" s="604"/>
      <c r="M707" s="604"/>
      <c r="N707" s="604"/>
      <c r="AB707" s="598"/>
    </row>
    <row r="708" spans="1:32" s="597" customFormat="1" ht="18" customHeight="1" x14ac:dyDescent="0.2">
      <c r="A708" s="604"/>
      <c r="B708" s="605"/>
      <c r="C708" s="604"/>
      <c r="D708" s="604"/>
      <c r="E708" s="604"/>
      <c r="F708" s="604"/>
      <c r="G708" s="604"/>
      <c r="H708" s="604"/>
      <c r="I708" s="604" t="s">
        <v>88</v>
      </c>
      <c r="J708" s="604"/>
      <c r="K708" s="604"/>
      <c r="L708" s="604"/>
      <c r="M708" s="604"/>
      <c r="N708" s="604"/>
      <c r="AB708" s="598"/>
    </row>
    <row r="709" spans="1:32" s="597" customFormat="1" ht="18" customHeight="1" x14ac:dyDescent="0.2">
      <c r="A709" s="339"/>
      <c r="B709" s="339"/>
      <c r="C709" s="339"/>
      <c r="D709" s="339"/>
      <c r="E709" s="339"/>
      <c r="F709" s="339"/>
      <c r="G709" s="339"/>
      <c r="H709" s="339"/>
      <c r="I709" s="339"/>
      <c r="J709" s="339"/>
      <c r="K709" s="339"/>
      <c r="L709" s="339"/>
      <c r="M709" s="339"/>
      <c r="N709" s="339"/>
      <c r="O709" s="339"/>
      <c r="P709" s="339"/>
      <c r="Q709" s="339"/>
      <c r="R709" s="339"/>
      <c r="S709" s="339"/>
      <c r="T709" s="339"/>
      <c r="U709" s="339"/>
      <c r="V709" s="339"/>
      <c r="W709" s="339"/>
      <c r="X709" s="339"/>
      <c r="Y709" s="339"/>
      <c r="Z709" s="339"/>
      <c r="AA709" s="2702" t="s">
        <v>0</v>
      </c>
      <c r="AB709" s="2702"/>
    </row>
    <row r="710" spans="1:32" s="597" customFormat="1" ht="18" customHeight="1" x14ac:dyDescent="0.2">
      <c r="A710" s="2703" t="s">
        <v>1</v>
      </c>
      <c r="B710" s="2703"/>
      <c r="C710" s="2703"/>
      <c r="D710" s="2703"/>
      <c r="E710" s="2703"/>
      <c r="F710" s="2703"/>
      <c r="G710" s="2703"/>
      <c r="H710" s="2703"/>
      <c r="I710" s="2703"/>
      <c r="J710" s="2703"/>
      <c r="K710" s="2703"/>
      <c r="L710" s="2703"/>
      <c r="M710" s="2703"/>
      <c r="N710" s="2703"/>
      <c r="O710" s="2703"/>
      <c r="P710" s="2703"/>
      <c r="Q710" s="2703"/>
      <c r="R710" s="2703"/>
      <c r="S710" s="2703"/>
      <c r="T710" s="2703"/>
      <c r="U710" s="2703"/>
      <c r="V710" s="2703"/>
      <c r="W710" s="2703"/>
      <c r="X710" s="2703"/>
      <c r="Y710" s="2703"/>
      <c r="Z710" s="2703"/>
      <c r="AA710" s="2703"/>
      <c r="AB710" s="2703"/>
      <c r="AC710" s="339"/>
      <c r="AD710" s="339"/>
      <c r="AE710" s="339"/>
      <c r="AF710" s="339"/>
    </row>
    <row r="711" spans="1:32" s="597" customFormat="1" ht="18" customHeight="1" x14ac:dyDescent="0.2">
      <c r="A711" s="2704" t="s">
        <v>477</v>
      </c>
      <c r="B711" s="2704"/>
      <c r="C711" s="2704"/>
      <c r="D711" s="2704"/>
      <c r="E711" s="2704"/>
      <c r="F711" s="2704"/>
      <c r="G711" s="2704"/>
      <c r="H711" s="2704"/>
      <c r="I711" s="2704"/>
      <c r="J711" s="2704"/>
      <c r="K711" s="2704"/>
      <c r="L711" s="2704"/>
      <c r="M711" s="2704"/>
      <c r="N711" s="2704"/>
      <c r="O711" s="2704"/>
      <c r="P711" s="2704"/>
      <c r="Q711" s="2704"/>
      <c r="R711" s="2704"/>
      <c r="S711" s="2704"/>
      <c r="T711" s="2704"/>
      <c r="U711" s="2704"/>
      <c r="V711" s="2704"/>
      <c r="W711" s="2704"/>
      <c r="X711" s="2704"/>
      <c r="Y711" s="2704"/>
      <c r="Z711" s="2704"/>
      <c r="AA711" s="2704"/>
      <c r="AB711" s="2704"/>
      <c r="AC711" s="344"/>
      <c r="AD711" s="344"/>
      <c r="AE711" s="344"/>
      <c r="AF711" s="344"/>
    </row>
    <row r="712" spans="1:32" s="597" customFormat="1" ht="18" customHeight="1" x14ac:dyDescent="0.2">
      <c r="A712" s="2686" t="s">
        <v>2</v>
      </c>
      <c r="B712" s="360"/>
      <c r="C712" s="2686" t="s">
        <v>3</v>
      </c>
      <c r="D712" s="360"/>
      <c r="E712" s="360"/>
      <c r="F712" s="2693" t="s">
        <v>4</v>
      </c>
      <c r="G712" s="2693"/>
      <c r="H712" s="2693"/>
      <c r="I712" s="2694"/>
      <c r="J712" s="2694"/>
      <c r="K712" s="2695"/>
      <c r="L712" s="361"/>
      <c r="M712" s="2679" t="s">
        <v>5</v>
      </c>
      <c r="N712" s="2679"/>
      <c r="O712" s="2679"/>
      <c r="P712" s="2679"/>
      <c r="Q712" s="2696"/>
      <c r="R712" s="2696"/>
      <c r="S712" s="2696"/>
      <c r="T712" s="2696"/>
      <c r="U712" s="2696"/>
      <c r="V712" s="2697"/>
      <c r="W712" s="362" t="s">
        <v>6</v>
      </c>
      <c r="X712" s="363" t="s">
        <v>7</v>
      </c>
      <c r="Y712" s="364"/>
      <c r="Z712" s="364"/>
      <c r="AA712" s="363"/>
      <c r="AB712" s="365"/>
      <c r="AC712" s="599"/>
      <c r="AD712" s="599"/>
      <c r="AE712" s="599"/>
      <c r="AF712" s="599"/>
    </row>
    <row r="713" spans="1:32" s="597" customFormat="1" ht="18" customHeight="1" x14ac:dyDescent="0.2">
      <c r="A713" s="2687"/>
      <c r="B713" s="367"/>
      <c r="C713" s="2687"/>
      <c r="D713" s="366" t="s">
        <v>9</v>
      </c>
      <c r="E713" s="368" t="s">
        <v>10</v>
      </c>
      <c r="F713" s="2698" t="s">
        <v>11</v>
      </c>
      <c r="G713" s="2694"/>
      <c r="H713" s="2695"/>
      <c r="I713" s="360"/>
      <c r="J713" s="369" t="s">
        <v>12</v>
      </c>
      <c r="K713" s="360"/>
      <c r="L713" s="2679" t="s">
        <v>2</v>
      </c>
      <c r="M713" s="370"/>
      <c r="N713" s="370"/>
      <c r="O713" s="370"/>
      <c r="P713" s="371"/>
      <c r="Q713" s="372" t="s">
        <v>13</v>
      </c>
      <c r="R713" s="373" t="s">
        <v>12</v>
      </c>
      <c r="S713" s="370" t="s">
        <v>6</v>
      </c>
      <c r="T713" s="2682" t="s">
        <v>14</v>
      </c>
      <c r="U713" s="2683"/>
      <c r="V713" s="375" t="s">
        <v>7</v>
      </c>
      <c r="W713" s="376" t="s">
        <v>15</v>
      </c>
      <c r="X713" s="377" t="s">
        <v>16</v>
      </c>
      <c r="Y713" s="377" t="s">
        <v>17</v>
      </c>
      <c r="Z713" s="377" t="s">
        <v>18</v>
      </c>
      <c r="AA713" s="377"/>
      <c r="AB713" s="378" t="s">
        <v>19</v>
      </c>
      <c r="AC713" s="516" t="s">
        <v>8</v>
      </c>
      <c r="AD713" s="346"/>
      <c r="AE713" s="346"/>
      <c r="AF713" s="600"/>
    </row>
    <row r="714" spans="1:32" s="597" customFormat="1" ht="18" customHeight="1" x14ac:dyDescent="0.2">
      <c r="A714" s="2687"/>
      <c r="B714" s="366" t="s">
        <v>23</v>
      </c>
      <c r="C714" s="2687"/>
      <c r="D714" s="366" t="s">
        <v>24</v>
      </c>
      <c r="E714" s="368" t="s">
        <v>25</v>
      </c>
      <c r="F714" s="2699"/>
      <c r="G714" s="2700"/>
      <c r="H714" s="2701"/>
      <c r="I714" s="366" t="s">
        <v>26</v>
      </c>
      <c r="J714" s="379" t="s">
        <v>15</v>
      </c>
      <c r="K714" s="380" t="s">
        <v>6</v>
      </c>
      <c r="L714" s="2680"/>
      <c r="M714" s="381" t="s">
        <v>27</v>
      </c>
      <c r="N714" s="381" t="s">
        <v>10</v>
      </c>
      <c r="O714" s="382" t="s">
        <v>10</v>
      </c>
      <c r="P714" s="383" t="s">
        <v>28</v>
      </c>
      <c r="Q714" s="384" t="s">
        <v>29</v>
      </c>
      <c r="R714" s="383" t="s">
        <v>15</v>
      </c>
      <c r="S714" s="385" t="s">
        <v>15</v>
      </c>
      <c r="T714" s="2684"/>
      <c r="U714" s="2685"/>
      <c r="V714" s="375" t="s">
        <v>30</v>
      </c>
      <c r="W714" s="376" t="s">
        <v>31</v>
      </c>
      <c r="X714" s="377" t="s">
        <v>30</v>
      </c>
      <c r="Y714" s="377" t="s">
        <v>32</v>
      </c>
      <c r="Z714" s="377" t="s">
        <v>7</v>
      </c>
      <c r="AA714" s="377" t="s">
        <v>33</v>
      </c>
      <c r="AB714" s="378" t="s">
        <v>34</v>
      </c>
      <c r="AC714" s="528" t="s">
        <v>20</v>
      </c>
      <c r="AD714" s="601"/>
      <c r="AE714" s="347" t="s">
        <v>21</v>
      </c>
      <c r="AF714" s="340" t="s">
        <v>22</v>
      </c>
    </row>
    <row r="715" spans="1:32" s="597" customFormat="1" ht="18" customHeight="1" x14ac:dyDescent="0.2">
      <c r="A715" s="2687"/>
      <c r="B715" s="366" t="s">
        <v>39</v>
      </c>
      <c r="C715" s="2687"/>
      <c r="D715" s="366" t="s">
        <v>40</v>
      </c>
      <c r="E715" s="368" t="s">
        <v>41</v>
      </c>
      <c r="F715" s="2686" t="s">
        <v>42</v>
      </c>
      <c r="G715" s="2686" t="s">
        <v>43</v>
      </c>
      <c r="H715" s="2688" t="s">
        <v>44</v>
      </c>
      <c r="I715" s="366" t="s">
        <v>45</v>
      </c>
      <c r="J715" s="379" t="s">
        <v>46</v>
      </c>
      <c r="K715" s="380" t="s">
        <v>47</v>
      </c>
      <c r="L715" s="2680"/>
      <c r="M715" s="381" t="s">
        <v>30</v>
      </c>
      <c r="N715" s="381" t="s">
        <v>30</v>
      </c>
      <c r="O715" s="382" t="s">
        <v>25</v>
      </c>
      <c r="P715" s="383" t="s">
        <v>30</v>
      </c>
      <c r="Q715" s="384" t="s">
        <v>48</v>
      </c>
      <c r="R715" s="383" t="s">
        <v>49</v>
      </c>
      <c r="S715" s="385" t="s">
        <v>30</v>
      </c>
      <c r="T715" s="386" t="s">
        <v>50</v>
      </c>
      <c r="U715" s="374" t="s">
        <v>13</v>
      </c>
      <c r="V715" s="375" t="s">
        <v>51</v>
      </c>
      <c r="W715" s="376" t="s">
        <v>52</v>
      </c>
      <c r="X715" s="377" t="s">
        <v>53</v>
      </c>
      <c r="Y715" s="377" t="s">
        <v>54</v>
      </c>
      <c r="Z715" s="377" t="s">
        <v>55</v>
      </c>
      <c r="AA715" s="377" t="s">
        <v>56</v>
      </c>
      <c r="AB715" s="378" t="s">
        <v>57</v>
      </c>
      <c r="AC715" s="528" t="s">
        <v>35</v>
      </c>
      <c r="AD715" s="347" t="s">
        <v>36</v>
      </c>
      <c r="AE715" s="347" t="s">
        <v>37</v>
      </c>
      <c r="AF715" s="340" t="s">
        <v>38</v>
      </c>
    </row>
    <row r="716" spans="1:32" s="597" customFormat="1" ht="18" customHeight="1" x14ac:dyDescent="0.2">
      <c r="A716" s="2687"/>
      <c r="B716" s="366" t="s">
        <v>61</v>
      </c>
      <c r="C716" s="2687"/>
      <c r="D716" s="366" t="s">
        <v>62</v>
      </c>
      <c r="E716" s="368" t="s">
        <v>63</v>
      </c>
      <c r="F716" s="2687"/>
      <c r="G716" s="2687"/>
      <c r="H716" s="2689"/>
      <c r="I716" s="366" t="s">
        <v>64</v>
      </c>
      <c r="J716" s="379" t="s">
        <v>59</v>
      </c>
      <c r="K716" s="380" t="s">
        <v>59</v>
      </c>
      <c r="L716" s="2680"/>
      <c r="M716" s="381"/>
      <c r="N716" s="381"/>
      <c r="O716" s="382" t="s">
        <v>41</v>
      </c>
      <c r="P716" s="383" t="s">
        <v>65</v>
      </c>
      <c r="Q716" s="384" t="s">
        <v>66</v>
      </c>
      <c r="R716" s="383" t="s">
        <v>67</v>
      </c>
      <c r="S716" s="385" t="s">
        <v>59</v>
      </c>
      <c r="T716" s="387" t="s">
        <v>68</v>
      </c>
      <c r="U716" s="375" t="s">
        <v>14</v>
      </c>
      <c r="V716" s="375" t="s">
        <v>14</v>
      </c>
      <c r="W716" s="376" t="s">
        <v>30</v>
      </c>
      <c r="X716" s="388" t="s">
        <v>69</v>
      </c>
      <c r="Y716" s="388" t="s">
        <v>70</v>
      </c>
      <c r="Z716" s="377" t="s">
        <v>71</v>
      </c>
      <c r="AA716" s="377" t="s">
        <v>72</v>
      </c>
      <c r="AB716" s="378" t="s">
        <v>59</v>
      </c>
      <c r="AC716" s="347" t="s">
        <v>58</v>
      </c>
      <c r="AD716" s="347" t="s">
        <v>59</v>
      </c>
      <c r="AE716" s="347" t="s">
        <v>59</v>
      </c>
      <c r="AF716" s="340" t="s">
        <v>60</v>
      </c>
    </row>
    <row r="717" spans="1:32" s="597" customFormat="1" ht="18" customHeight="1" x14ac:dyDescent="0.2">
      <c r="A717" s="2692"/>
      <c r="B717" s="390"/>
      <c r="C717" s="2692"/>
      <c r="D717" s="390"/>
      <c r="E717" s="389"/>
      <c r="F717" s="390"/>
      <c r="G717" s="390"/>
      <c r="H717" s="391"/>
      <c r="I717" s="389"/>
      <c r="J717" s="392"/>
      <c r="K717" s="393"/>
      <c r="L717" s="2681"/>
      <c r="M717" s="394"/>
      <c r="N717" s="394"/>
      <c r="O717" s="394" t="s">
        <v>63</v>
      </c>
      <c r="P717" s="395"/>
      <c r="Q717" s="396" t="s">
        <v>72</v>
      </c>
      <c r="R717" s="397" t="s">
        <v>59</v>
      </c>
      <c r="S717" s="398"/>
      <c r="T717" s="397" t="s">
        <v>73</v>
      </c>
      <c r="U717" s="398" t="s">
        <v>59</v>
      </c>
      <c r="V717" s="399" t="s">
        <v>59</v>
      </c>
      <c r="W717" s="400" t="s">
        <v>59</v>
      </c>
      <c r="X717" s="401" t="s">
        <v>59</v>
      </c>
      <c r="Y717" s="401" t="s">
        <v>59</v>
      </c>
      <c r="Z717" s="401" t="s">
        <v>59</v>
      </c>
      <c r="AA717" s="402"/>
      <c r="AB717" s="403"/>
      <c r="AC717" s="347" t="s">
        <v>59</v>
      </c>
      <c r="AD717" s="347"/>
      <c r="AE717" s="347"/>
      <c r="AF717" s="340" t="s">
        <v>59</v>
      </c>
    </row>
    <row r="718" spans="1:32" s="597" customFormat="1" ht="18" customHeight="1" x14ac:dyDescent="0.2">
      <c r="A718" s="53">
        <v>1</v>
      </c>
      <c r="B718" s="95">
        <v>27953</v>
      </c>
      <c r="C718" s="82">
        <v>15</v>
      </c>
      <c r="D718" s="82" t="s">
        <v>95</v>
      </c>
      <c r="E718" s="82">
        <v>4</v>
      </c>
      <c r="F718" s="82">
        <v>0</v>
      </c>
      <c r="G718" s="82">
        <v>0</v>
      </c>
      <c r="H718" s="463">
        <v>91</v>
      </c>
      <c r="I718" s="77">
        <f>F718*400+G718*100+H718</f>
        <v>91</v>
      </c>
      <c r="J718" s="107">
        <v>280</v>
      </c>
      <c r="K718" s="78">
        <f>SUM(I718*J718)</f>
        <v>25480</v>
      </c>
      <c r="L718" s="75"/>
      <c r="M718" s="61"/>
      <c r="N718" s="61"/>
      <c r="O718" s="61"/>
      <c r="P718" s="173"/>
      <c r="Q718" s="174"/>
      <c r="R718" s="408"/>
      <c r="S718" s="77"/>
      <c r="T718" s="135"/>
      <c r="U718" s="74">
        <f>S718*T718/100</f>
        <v>0</v>
      </c>
      <c r="V718" s="74">
        <f>SUM(S718-U718)</f>
        <v>0</v>
      </c>
      <c r="W718" s="77">
        <f>K718+V718</f>
        <v>25480</v>
      </c>
      <c r="X718" s="74">
        <f>W718</f>
        <v>25480</v>
      </c>
      <c r="Y718" s="676">
        <v>0</v>
      </c>
      <c r="Z718" s="77">
        <f>X718-Y718</f>
        <v>25480</v>
      </c>
      <c r="AA718" s="409">
        <v>0.6</v>
      </c>
      <c r="AB718" s="465">
        <f>+Z718*AA718/100</f>
        <v>152.88</v>
      </c>
      <c r="AC718" s="348"/>
      <c r="AD718" s="348"/>
      <c r="AE718" s="348"/>
      <c r="AF718" s="341"/>
    </row>
    <row r="719" spans="1:32" s="597" customFormat="1" ht="18" customHeight="1" x14ac:dyDescent="0.2">
      <c r="A719" s="145"/>
      <c r="B719" s="196"/>
      <c r="C719" s="196"/>
      <c r="D719" s="145"/>
      <c r="E719" s="145"/>
      <c r="F719" s="467"/>
      <c r="G719" s="61"/>
      <c r="H719" s="173"/>
      <c r="I719" s="244"/>
      <c r="J719" s="437"/>
      <c r="K719" s="178"/>
      <c r="L719" s="145"/>
      <c r="M719" s="178"/>
      <c r="N719" s="178"/>
      <c r="O719" s="178"/>
      <c r="P719" s="178"/>
      <c r="Q719" s="148"/>
      <c r="R719" s="178"/>
      <c r="S719" s="178"/>
      <c r="T719" s="178"/>
      <c r="U719" s="178"/>
      <c r="V719" s="178"/>
      <c r="W719" s="178"/>
      <c r="X719" s="470"/>
      <c r="Y719" s="245"/>
      <c r="Z719" s="748"/>
      <c r="AA719" s="246"/>
      <c r="AB719" s="744"/>
      <c r="AC719" s="602"/>
      <c r="AD719" s="603" t="e">
        <f>#REF!-AC719</f>
        <v>#REF!</v>
      </c>
      <c r="AE719" s="603" t="e">
        <f>IF(AD719&lt;=0,0,AD719*25/100)</f>
        <v>#REF!</v>
      </c>
      <c r="AF719" s="603" t="e">
        <f>IF(AC719+AE719&gt;#REF!,#REF!,AC719+AE719)</f>
        <v>#REF!</v>
      </c>
    </row>
    <row r="720" spans="1:32" s="597" customFormat="1" ht="18" customHeight="1" x14ac:dyDescent="0.2">
      <c r="A720" s="145"/>
      <c r="B720" s="177"/>
      <c r="C720" s="177"/>
      <c r="D720" s="145"/>
      <c r="E720" s="145"/>
      <c r="F720" s="145"/>
      <c r="G720" s="145"/>
      <c r="H720" s="147"/>
      <c r="I720" s="107"/>
      <c r="J720" s="178"/>
      <c r="K720" s="107"/>
      <c r="L720" s="145"/>
      <c r="M720" s="145"/>
      <c r="N720" s="145"/>
      <c r="O720" s="145"/>
      <c r="P720" s="147"/>
      <c r="Q720" s="148"/>
      <c r="R720" s="437"/>
      <c r="S720" s="107"/>
      <c r="T720" s="179"/>
      <c r="U720" s="178"/>
      <c r="V720" s="107"/>
      <c r="W720" s="107"/>
      <c r="X720" s="470"/>
      <c r="Y720" s="470"/>
      <c r="Z720" s="471"/>
      <c r="AA720" s="471"/>
      <c r="AB720" s="466"/>
      <c r="AC720" s="603"/>
      <c r="AD720" s="603"/>
      <c r="AE720" s="603"/>
      <c r="AF720" s="603"/>
    </row>
    <row r="721" spans="1:32" s="597" customFormat="1" ht="18" customHeight="1" x14ac:dyDescent="0.2">
      <c r="A721" s="145"/>
      <c r="B721" s="177"/>
      <c r="C721" s="177"/>
      <c r="D721" s="145"/>
      <c r="E721" s="145"/>
      <c r="F721" s="145"/>
      <c r="G721" s="145"/>
      <c r="H721" s="147"/>
      <c r="I721" s="107"/>
      <c r="J721" s="178"/>
      <c r="K721" s="107"/>
      <c r="L721" s="145"/>
      <c r="M721" s="145"/>
      <c r="N721" s="145"/>
      <c r="O721" s="145"/>
      <c r="P721" s="147"/>
      <c r="Q721" s="148"/>
      <c r="R721" s="437"/>
      <c r="S721" s="107"/>
      <c r="T721" s="179"/>
      <c r="U721" s="178"/>
      <c r="V721" s="107"/>
      <c r="W721" s="107"/>
      <c r="X721" s="470"/>
      <c r="Y721" s="470"/>
      <c r="Z721" s="471"/>
      <c r="AA721" s="471"/>
      <c r="AB721" s="466"/>
      <c r="AC721" s="603"/>
      <c r="AD721" s="603"/>
      <c r="AE721" s="603"/>
      <c r="AF721" s="603"/>
    </row>
    <row r="722" spans="1:32" s="597" customFormat="1" ht="18" customHeight="1" x14ac:dyDescent="0.2">
      <c r="A722" s="145"/>
      <c r="B722" s="177"/>
      <c r="C722" s="177"/>
      <c r="D722" s="145"/>
      <c r="E722" s="145"/>
      <c r="F722" s="145"/>
      <c r="G722" s="145"/>
      <c r="H722" s="147"/>
      <c r="I722" s="107"/>
      <c r="J722" s="178"/>
      <c r="K722" s="107"/>
      <c r="L722" s="145"/>
      <c r="M722" s="145"/>
      <c r="N722" s="145"/>
      <c r="O722" s="145"/>
      <c r="P722" s="147"/>
      <c r="Q722" s="148"/>
      <c r="R722" s="437"/>
      <c r="S722" s="107"/>
      <c r="T722" s="179"/>
      <c r="U722" s="178"/>
      <c r="V722" s="107"/>
      <c r="W722" s="107"/>
      <c r="X722" s="470"/>
      <c r="Y722" s="470"/>
      <c r="Z722" s="471"/>
      <c r="AA722" s="471"/>
      <c r="AB722" s="466"/>
      <c r="AC722" s="350"/>
      <c r="AD722" s="350"/>
      <c r="AE722" s="350"/>
      <c r="AF722" s="350"/>
    </row>
    <row r="723" spans="1:32" s="597" customFormat="1" ht="18" customHeight="1" x14ac:dyDescent="0.2">
      <c r="A723" s="145"/>
      <c r="B723" s="177"/>
      <c r="C723" s="177"/>
      <c r="D723" s="145"/>
      <c r="E723" s="145"/>
      <c r="F723" s="145"/>
      <c r="G723" s="145"/>
      <c r="H723" s="147"/>
      <c r="I723" s="107"/>
      <c r="J723" s="178"/>
      <c r="K723" s="107"/>
      <c r="L723" s="145"/>
      <c r="M723" s="145"/>
      <c r="N723" s="145"/>
      <c r="O723" s="145"/>
      <c r="P723" s="147"/>
      <c r="Q723" s="148"/>
      <c r="R723" s="437"/>
      <c r="S723" s="107"/>
      <c r="T723" s="179"/>
      <c r="U723" s="178"/>
      <c r="V723" s="107"/>
      <c r="W723" s="107"/>
      <c r="X723" s="470"/>
      <c r="Y723" s="470"/>
      <c r="Z723" s="471"/>
      <c r="AA723" s="471"/>
      <c r="AB723" s="466"/>
      <c r="AC723" s="350"/>
      <c r="AD723" s="350"/>
      <c r="AE723" s="350"/>
      <c r="AF723" s="350"/>
    </row>
    <row r="724" spans="1:32" s="597" customFormat="1" ht="18" customHeight="1" x14ac:dyDescent="0.2">
      <c r="A724" s="145"/>
      <c r="B724" s="177"/>
      <c r="C724" s="177"/>
      <c r="D724" s="145"/>
      <c r="E724" s="145"/>
      <c r="F724" s="145"/>
      <c r="G724" s="145"/>
      <c r="H724" s="147"/>
      <c r="I724" s="107"/>
      <c r="J724" s="178"/>
      <c r="K724" s="107"/>
      <c r="L724" s="145"/>
      <c r="M724" s="145"/>
      <c r="N724" s="145"/>
      <c r="O724" s="145"/>
      <c r="P724" s="147"/>
      <c r="Q724" s="148"/>
      <c r="R724" s="437"/>
      <c r="S724" s="107"/>
      <c r="T724" s="179"/>
      <c r="U724" s="178"/>
      <c r="V724" s="107"/>
      <c r="W724" s="107"/>
      <c r="X724" s="470"/>
      <c r="Y724" s="470"/>
      <c r="Z724" s="471"/>
      <c r="AA724" s="471"/>
      <c r="AB724" s="466"/>
      <c r="AC724" s="350"/>
      <c r="AD724" s="350"/>
      <c r="AE724" s="350"/>
      <c r="AF724" s="350"/>
    </row>
    <row r="725" spans="1:32" s="597" customFormat="1" ht="18" customHeight="1" x14ac:dyDescent="0.2">
      <c r="A725" s="145"/>
      <c r="B725" s="177"/>
      <c r="C725" s="177"/>
      <c r="D725" s="145"/>
      <c r="E725" s="145"/>
      <c r="F725" s="145"/>
      <c r="G725" s="145"/>
      <c r="H725" s="147"/>
      <c r="I725" s="107"/>
      <c r="J725" s="178"/>
      <c r="K725" s="107"/>
      <c r="L725" s="145"/>
      <c r="M725" s="145"/>
      <c r="N725" s="145"/>
      <c r="O725" s="145"/>
      <c r="P725" s="147"/>
      <c r="Q725" s="148"/>
      <c r="R725" s="437"/>
      <c r="S725" s="107"/>
      <c r="T725" s="179"/>
      <c r="U725" s="178"/>
      <c r="V725" s="107"/>
      <c r="W725" s="107"/>
      <c r="X725" s="470"/>
      <c r="Y725" s="470"/>
      <c r="Z725" s="471"/>
      <c r="AA725" s="471"/>
      <c r="AB725" s="466"/>
      <c r="AC725" s="350"/>
      <c r="AD725" s="350"/>
      <c r="AE725" s="350"/>
      <c r="AF725" s="350"/>
    </row>
    <row r="726" spans="1:32" s="597" customFormat="1" ht="18" customHeight="1" x14ac:dyDescent="0.2">
      <c r="A726" s="145"/>
      <c r="B726" s="177"/>
      <c r="C726" s="177"/>
      <c r="D726" s="145"/>
      <c r="E726" s="145"/>
      <c r="F726" s="145"/>
      <c r="G726" s="145"/>
      <c r="H726" s="147"/>
      <c r="I726" s="107"/>
      <c r="J726" s="178"/>
      <c r="K726" s="107"/>
      <c r="L726" s="145"/>
      <c r="M726" s="145"/>
      <c r="N726" s="145"/>
      <c r="O726" s="145"/>
      <c r="P726" s="147"/>
      <c r="Q726" s="148"/>
      <c r="R726" s="437"/>
      <c r="S726" s="107"/>
      <c r="T726" s="179"/>
      <c r="U726" s="178"/>
      <c r="V726" s="107"/>
      <c r="W726" s="107"/>
      <c r="X726" s="470"/>
      <c r="Y726" s="470"/>
      <c r="Z726" s="471"/>
      <c r="AA726" s="471"/>
      <c r="AB726" s="466"/>
      <c r="AC726" s="350"/>
      <c r="AD726" s="350"/>
      <c r="AE726" s="350"/>
      <c r="AF726" s="350"/>
    </row>
    <row r="727" spans="1:32" s="597" customFormat="1" ht="18" customHeight="1" x14ac:dyDescent="0.2">
      <c r="A727" s="145"/>
      <c r="B727" s="177"/>
      <c r="C727" s="177"/>
      <c r="D727" s="145"/>
      <c r="E727" s="145"/>
      <c r="F727" s="145"/>
      <c r="G727" s="145"/>
      <c r="H727" s="147"/>
      <c r="I727" s="107"/>
      <c r="J727" s="178"/>
      <c r="K727" s="107"/>
      <c r="L727" s="145"/>
      <c r="M727" s="145"/>
      <c r="N727" s="145"/>
      <c r="O727" s="145"/>
      <c r="P727" s="147"/>
      <c r="Q727" s="148"/>
      <c r="R727" s="437"/>
      <c r="S727" s="107"/>
      <c r="T727" s="179"/>
      <c r="U727" s="178"/>
      <c r="V727" s="107"/>
      <c r="W727" s="107"/>
      <c r="X727" s="470"/>
      <c r="Y727" s="470"/>
      <c r="Z727" s="471"/>
      <c r="AA727" s="471"/>
      <c r="AB727" s="466"/>
      <c r="AC727" s="350"/>
      <c r="AD727" s="350"/>
      <c r="AE727" s="350"/>
      <c r="AF727" s="350"/>
    </row>
    <row r="728" spans="1:32" s="597" customFormat="1" ht="18" customHeight="1" x14ac:dyDescent="0.2">
      <c r="A728" s="145"/>
      <c r="B728" s="177"/>
      <c r="C728" s="177"/>
      <c r="D728" s="145"/>
      <c r="E728" s="145"/>
      <c r="F728" s="145"/>
      <c r="G728" s="145"/>
      <c r="H728" s="147"/>
      <c r="I728" s="107"/>
      <c r="J728" s="178"/>
      <c r="K728" s="107"/>
      <c r="L728" s="145"/>
      <c r="M728" s="145"/>
      <c r="N728" s="145"/>
      <c r="O728" s="145"/>
      <c r="P728" s="147"/>
      <c r="Q728" s="148"/>
      <c r="R728" s="437"/>
      <c r="S728" s="107"/>
      <c r="T728" s="179"/>
      <c r="U728" s="178"/>
      <c r="V728" s="107"/>
      <c r="W728" s="107"/>
      <c r="X728" s="470"/>
      <c r="Y728" s="470"/>
      <c r="Z728" s="471"/>
      <c r="AA728" s="471"/>
      <c r="AB728" s="466"/>
      <c r="AC728" s="350"/>
      <c r="AD728" s="350"/>
      <c r="AE728" s="350"/>
      <c r="AF728" s="350"/>
    </row>
    <row r="729" spans="1:32" s="597" customFormat="1" ht="18" customHeight="1" x14ac:dyDescent="0.2">
      <c r="A729" s="145"/>
      <c r="B729" s="177"/>
      <c r="C729" s="177"/>
      <c r="D729" s="145"/>
      <c r="E729" s="145"/>
      <c r="F729" s="145"/>
      <c r="G729" s="145"/>
      <c r="H729" s="147"/>
      <c r="I729" s="107"/>
      <c r="J729" s="178"/>
      <c r="K729" s="107"/>
      <c r="L729" s="145"/>
      <c r="M729" s="145"/>
      <c r="N729" s="145"/>
      <c r="O729" s="145"/>
      <c r="P729" s="147"/>
      <c r="Q729" s="148"/>
      <c r="R729" s="437"/>
      <c r="S729" s="107"/>
      <c r="T729" s="179"/>
      <c r="U729" s="178"/>
      <c r="V729" s="107"/>
      <c r="W729" s="107"/>
      <c r="X729" s="470"/>
      <c r="Y729" s="470"/>
      <c r="Z729" s="471"/>
      <c r="AA729" s="471"/>
      <c r="AB729" s="466"/>
      <c r="AC729" s="350"/>
      <c r="AD729" s="350"/>
      <c r="AE729" s="350"/>
      <c r="AF729" s="350"/>
    </row>
    <row r="730" spans="1:32" s="597" customFormat="1" ht="18" customHeight="1" x14ac:dyDescent="0.2">
      <c r="A730" s="145"/>
      <c r="B730" s="177"/>
      <c r="C730" s="177"/>
      <c r="D730" s="145"/>
      <c r="E730" s="145"/>
      <c r="F730" s="145"/>
      <c r="G730" s="145"/>
      <c r="H730" s="147"/>
      <c r="I730" s="107"/>
      <c r="J730" s="178"/>
      <c r="K730" s="107"/>
      <c r="L730" s="145"/>
      <c r="M730" s="145"/>
      <c r="N730" s="145"/>
      <c r="O730" s="145"/>
      <c r="P730" s="147"/>
      <c r="Q730" s="148"/>
      <c r="R730" s="437"/>
      <c r="S730" s="107"/>
      <c r="T730" s="179"/>
      <c r="U730" s="178"/>
      <c r="V730" s="107"/>
      <c r="W730" s="107"/>
      <c r="X730" s="470"/>
      <c r="Y730" s="470"/>
      <c r="Z730" s="471"/>
      <c r="AA730" s="471"/>
      <c r="AB730" s="466"/>
      <c r="AC730" s="350"/>
      <c r="AD730" s="350"/>
      <c r="AE730" s="350"/>
      <c r="AF730" s="350"/>
    </row>
    <row r="731" spans="1:32" s="597" customFormat="1" ht="18" customHeight="1" x14ac:dyDescent="0.2">
      <c r="A731" s="145"/>
      <c r="B731" s="177"/>
      <c r="C731" s="177"/>
      <c r="D731" s="145"/>
      <c r="E731" s="145"/>
      <c r="F731" s="145"/>
      <c r="G731" s="145"/>
      <c r="H731" s="147"/>
      <c r="I731" s="107"/>
      <c r="J731" s="178"/>
      <c r="K731" s="107"/>
      <c r="L731" s="145"/>
      <c r="M731" s="145"/>
      <c r="N731" s="145"/>
      <c r="O731" s="145"/>
      <c r="P731" s="147"/>
      <c r="Q731" s="148"/>
      <c r="R731" s="437"/>
      <c r="S731" s="107"/>
      <c r="T731" s="179"/>
      <c r="U731" s="178"/>
      <c r="V731" s="107"/>
      <c r="W731" s="107"/>
      <c r="X731" s="470"/>
      <c r="Y731" s="470"/>
      <c r="Z731" s="471"/>
      <c r="AA731" s="471"/>
      <c r="AB731" s="466"/>
      <c r="AC731" s="350"/>
      <c r="AD731" s="350"/>
      <c r="AE731" s="350"/>
      <c r="AF731" s="350"/>
    </row>
    <row r="732" spans="1:32" s="597" customFormat="1" ht="18" customHeight="1" x14ac:dyDescent="0.2">
      <c r="A732" s="88"/>
      <c r="B732" s="180"/>
      <c r="C732" s="180"/>
      <c r="D732" s="88"/>
      <c r="E732" s="88"/>
      <c r="F732" s="88"/>
      <c r="G732" s="88"/>
      <c r="H732" s="120"/>
      <c r="I732" s="121"/>
      <c r="J732" s="181"/>
      <c r="K732" s="121"/>
      <c r="L732" s="88"/>
      <c r="M732" s="88"/>
      <c r="N732" s="88"/>
      <c r="O732" s="88"/>
      <c r="P732" s="88"/>
      <c r="Q732" s="129"/>
      <c r="R732" s="445"/>
      <c r="S732" s="121"/>
      <c r="T732" s="182"/>
      <c r="U732" s="181"/>
      <c r="V732" s="121"/>
      <c r="W732" s="121"/>
      <c r="X732" s="472"/>
      <c r="Y732" s="472"/>
      <c r="Z732" s="473"/>
      <c r="AA732" s="473"/>
      <c r="AB732" s="410"/>
      <c r="AC732" s="350"/>
      <c r="AD732" s="350"/>
      <c r="AE732" s="350"/>
      <c r="AF732" s="350"/>
    </row>
    <row r="733" spans="1:32" s="597" customFormat="1" ht="18" customHeight="1" x14ac:dyDescent="0.2">
      <c r="A733" s="1850"/>
      <c r="B733" s="1850"/>
      <c r="C733" s="1850"/>
      <c r="D733" s="1850"/>
      <c r="E733" s="1850"/>
      <c r="F733" s="1850"/>
      <c r="G733" s="1850"/>
      <c r="H733" s="1851"/>
      <c r="I733" s="1852"/>
      <c r="J733" s="1853"/>
      <c r="K733" s="1852"/>
      <c r="L733" s="1852"/>
      <c r="M733" s="1852"/>
      <c r="N733" s="1852"/>
      <c r="O733" s="1852"/>
      <c r="P733" s="1852"/>
      <c r="Q733" s="1852"/>
      <c r="R733" s="1854"/>
      <c r="S733" s="1852"/>
      <c r="T733" s="1855"/>
      <c r="U733" s="1853"/>
      <c r="V733" s="1852"/>
      <c r="W733" s="1852"/>
      <c r="X733" s="1856"/>
      <c r="Y733" s="1856"/>
      <c r="Z733" s="1857"/>
      <c r="AA733" s="1857"/>
      <c r="AB733" s="1847">
        <f>SUM(AB718:AB732)</f>
        <v>152.88</v>
      </c>
      <c r="AC733" s="1972"/>
      <c r="AD733" s="1972"/>
      <c r="AE733" s="1972"/>
      <c r="AF733" s="1972"/>
    </row>
    <row r="734" spans="1:32" s="597" customFormat="1" ht="18" customHeight="1" x14ac:dyDescent="0.2">
      <c r="A734" s="2690" t="s">
        <v>76</v>
      </c>
      <c r="B734" s="2690"/>
      <c r="C734" s="2691" t="s">
        <v>77</v>
      </c>
      <c r="D734" s="2691"/>
      <c r="E734" s="2691"/>
      <c r="F734" s="2691"/>
      <c r="G734" s="2691"/>
      <c r="H734" s="2691"/>
      <c r="I734" s="604" t="s">
        <v>78</v>
      </c>
      <c r="J734" s="604"/>
      <c r="K734" s="604"/>
      <c r="L734" s="604"/>
      <c r="M734" s="604"/>
      <c r="N734" s="604"/>
      <c r="AB734" s="598"/>
      <c r="AC734" s="349"/>
      <c r="AD734" s="349"/>
      <c r="AE734" s="349"/>
      <c r="AF734" s="349"/>
    </row>
    <row r="735" spans="1:32" s="597" customFormat="1" ht="18" customHeight="1" x14ac:dyDescent="0.2">
      <c r="A735" s="604"/>
      <c r="B735" s="605"/>
      <c r="C735" s="604"/>
      <c r="D735" s="604"/>
      <c r="E735" s="604"/>
      <c r="F735" s="604"/>
      <c r="G735" s="604"/>
      <c r="H735" s="604"/>
      <c r="I735" s="604" t="s">
        <v>79</v>
      </c>
      <c r="J735" s="604"/>
      <c r="K735" s="604"/>
      <c r="L735" s="604"/>
      <c r="M735" s="604"/>
      <c r="N735" s="604"/>
      <c r="AB735" s="598"/>
    </row>
    <row r="736" spans="1:32" s="597" customFormat="1" ht="18" customHeight="1" x14ac:dyDescent="0.2">
      <c r="A736" s="604"/>
      <c r="B736" s="605"/>
      <c r="C736" s="604"/>
      <c r="D736" s="604"/>
      <c r="E736" s="604"/>
      <c r="F736" s="604"/>
      <c r="G736" s="604"/>
      <c r="H736" s="604"/>
      <c r="I736" s="604" t="s">
        <v>80</v>
      </c>
      <c r="J736" s="604"/>
      <c r="K736" s="604"/>
      <c r="L736" s="604"/>
      <c r="M736" s="604"/>
      <c r="N736" s="604"/>
      <c r="AB736" s="598"/>
    </row>
    <row r="737" spans="1:32" s="597" customFormat="1" ht="18" customHeight="1" x14ac:dyDescent="0.2">
      <c r="A737" s="604"/>
      <c r="B737" s="605"/>
      <c r="C737" s="604"/>
      <c r="D737" s="604"/>
      <c r="E737" s="604"/>
      <c r="F737" s="604"/>
      <c r="G737" s="604"/>
      <c r="H737" s="604"/>
      <c r="I737" s="604" t="s">
        <v>81</v>
      </c>
      <c r="J737" s="604"/>
      <c r="K737" s="604"/>
      <c r="L737" s="604"/>
      <c r="M737" s="604"/>
      <c r="N737" s="604"/>
      <c r="AB737" s="598"/>
    </row>
    <row r="738" spans="1:32" s="597" customFormat="1" ht="18" customHeight="1" x14ac:dyDescent="0.2">
      <c r="A738" s="604"/>
      <c r="B738" s="605"/>
      <c r="C738" s="604"/>
      <c r="D738" s="604"/>
      <c r="E738" s="604"/>
      <c r="F738" s="604"/>
      <c r="G738" s="604"/>
      <c r="H738" s="604"/>
      <c r="I738" s="604" t="s">
        <v>88</v>
      </c>
      <c r="J738" s="604"/>
      <c r="K738" s="604"/>
      <c r="L738" s="604"/>
      <c r="M738" s="604"/>
      <c r="N738" s="604"/>
      <c r="AB738" s="598"/>
    </row>
    <row r="739" spans="1:32" s="597" customFormat="1" ht="18" customHeight="1" x14ac:dyDescent="0.2">
      <c r="A739" s="339"/>
      <c r="B739" s="339"/>
      <c r="C739" s="339"/>
      <c r="D739" s="339"/>
      <c r="E739" s="339"/>
      <c r="F739" s="339"/>
      <c r="G739" s="339"/>
      <c r="H739" s="339"/>
      <c r="I739" s="339"/>
      <c r="J739" s="339"/>
      <c r="K739" s="339"/>
      <c r="L739" s="339"/>
      <c r="M739" s="339"/>
      <c r="N739" s="339"/>
      <c r="O739" s="339"/>
      <c r="P739" s="339"/>
      <c r="Q739" s="339"/>
      <c r="R739" s="339"/>
      <c r="S739" s="339"/>
      <c r="T739" s="339"/>
      <c r="U739" s="339"/>
      <c r="V739" s="339"/>
      <c r="W739" s="339"/>
      <c r="X739" s="339"/>
      <c r="Y739" s="339"/>
      <c r="Z739" s="339"/>
      <c r="AA739" s="2702" t="s">
        <v>0</v>
      </c>
      <c r="AB739" s="2702"/>
    </row>
    <row r="740" spans="1:32" s="597" customFormat="1" ht="18" customHeight="1" x14ac:dyDescent="0.2">
      <c r="A740" s="2703" t="s">
        <v>1</v>
      </c>
      <c r="B740" s="2703"/>
      <c r="C740" s="2703"/>
      <c r="D740" s="2703"/>
      <c r="E740" s="2703"/>
      <c r="F740" s="2703"/>
      <c r="G740" s="2703"/>
      <c r="H740" s="2703"/>
      <c r="I740" s="2703"/>
      <c r="J740" s="2703"/>
      <c r="K740" s="2703"/>
      <c r="L740" s="2703"/>
      <c r="M740" s="2703"/>
      <c r="N740" s="2703"/>
      <c r="O740" s="2703"/>
      <c r="P740" s="2703"/>
      <c r="Q740" s="2703"/>
      <c r="R740" s="2703"/>
      <c r="S740" s="2703"/>
      <c r="T740" s="2703"/>
      <c r="U740" s="2703"/>
      <c r="V740" s="2703"/>
      <c r="W740" s="2703"/>
      <c r="X740" s="2703"/>
      <c r="Y740" s="2703"/>
      <c r="Z740" s="2703"/>
      <c r="AA740" s="2703"/>
      <c r="AB740" s="2703"/>
      <c r="AC740" s="339"/>
      <c r="AD740" s="339"/>
      <c r="AE740" s="339"/>
      <c r="AF740" s="339"/>
    </row>
    <row r="741" spans="1:32" s="597" customFormat="1" ht="18" customHeight="1" x14ac:dyDescent="0.2">
      <c r="A741" s="2743" t="s">
        <v>302</v>
      </c>
      <c r="B741" s="2743"/>
      <c r="C741" s="2743"/>
      <c r="D741" s="2743"/>
      <c r="E741" s="2743"/>
      <c r="F741" s="2743"/>
      <c r="G741" s="2743"/>
      <c r="H741" s="2743"/>
      <c r="I741" s="2743"/>
      <c r="J741" s="2743"/>
      <c r="K741" s="2743"/>
      <c r="L741" s="2743"/>
      <c r="M741" s="2743"/>
      <c r="N741" s="2743"/>
      <c r="O741" s="2743"/>
      <c r="P741" s="2743"/>
      <c r="Q741" s="2743"/>
      <c r="R741" s="2743"/>
      <c r="S741" s="2743"/>
      <c r="T741" s="2743"/>
      <c r="U741" s="2743"/>
      <c r="V741" s="2743"/>
      <c r="W741" s="2743"/>
      <c r="X741" s="2743"/>
      <c r="Y741" s="2743"/>
      <c r="Z741" s="2743"/>
      <c r="AA741" s="2743"/>
      <c r="AB741" s="2743"/>
      <c r="AC741" s="344"/>
      <c r="AD741" s="344"/>
      <c r="AE741" s="344"/>
      <c r="AF741" s="344"/>
    </row>
    <row r="742" spans="1:32" s="597" customFormat="1" ht="18" customHeight="1" x14ac:dyDescent="0.2">
      <c r="A742" s="2686" t="s">
        <v>2</v>
      </c>
      <c r="B742" s="360"/>
      <c r="C742" s="2686" t="s">
        <v>3</v>
      </c>
      <c r="D742" s="360"/>
      <c r="E742" s="360"/>
      <c r="F742" s="2693" t="s">
        <v>4</v>
      </c>
      <c r="G742" s="2693"/>
      <c r="H742" s="2693"/>
      <c r="I742" s="2694"/>
      <c r="J742" s="2694"/>
      <c r="K742" s="2695"/>
      <c r="L742" s="361"/>
      <c r="M742" s="2679" t="s">
        <v>5</v>
      </c>
      <c r="N742" s="2679"/>
      <c r="O742" s="2679"/>
      <c r="P742" s="2679"/>
      <c r="Q742" s="2696"/>
      <c r="R742" s="2696"/>
      <c r="S742" s="2696"/>
      <c r="T742" s="2696"/>
      <c r="U742" s="2696"/>
      <c r="V742" s="2697"/>
      <c r="W742" s="362" t="s">
        <v>6</v>
      </c>
      <c r="X742" s="363" t="s">
        <v>7</v>
      </c>
      <c r="Y742" s="364"/>
      <c r="Z742" s="364"/>
      <c r="AA742" s="363"/>
      <c r="AB742" s="365"/>
      <c r="AC742" s="599"/>
      <c r="AD742" s="599"/>
      <c r="AE742" s="599"/>
      <c r="AF742" s="599"/>
    </row>
    <row r="743" spans="1:32" s="597" customFormat="1" ht="18" customHeight="1" x14ac:dyDescent="0.2">
      <c r="A743" s="2687"/>
      <c r="B743" s="367"/>
      <c r="C743" s="2687"/>
      <c r="D743" s="366" t="s">
        <v>9</v>
      </c>
      <c r="E743" s="368" t="s">
        <v>10</v>
      </c>
      <c r="F743" s="2698" t="s">
        <v>11</v>
      </c>
      <c r="G743" s="2694"/>
      <c r="H743" s="2695"/>
      <c r="I743" s="360"/>
      <c r="J743" s="369" t="s">
        <v>12</v>
      </c>
      <c r="K743" s="360"/>
      <c r="L743" s="2679" t="s">
        <v>2</v>
      </c>
      <c r="M743" s="370"/>
      <c r="N743" s="370"/>
      <c r="O743" s="370"/>
      <c r="P743" s="371"/>
      <c r="Q743" s="372" t="s">
        <v>13</v>
      </c>
      <c r="R743" s="373" t="s">
        <v>12</v>
      </c>
      <c r="S743" s="370" t="s">
        <v>6</v>
      </c>
      <c r="T743" s="2682" t="s">
        <v>14</v>
      </c>
      <c r="U743" s="2683"/>
      <c r="V743" s="375" t="s">
        <v>7</v>
      </c>
      <c r="W743" s="376" t="s">
        <v>15</v>
      </c>
      <c r="X743" s="377" t="s">
        <v>16</v>
      </c>
      <c r="Y743" s="377" t="s">
        <v>17</v>
      </c>
      <c r="Z743" s="377" t="s">
        <v>18</v>
      </c>
      <c r="AA743" s="377"/>
      <c r="AB743" s="378" t="s">
        <v>19</v>
      </c>
      <c r="AC743" s="516" t="s">
        <v>8</v>
      </c>
      <c r="AD743" s="346"/>
      <c r="AE743" s="346"/>
      <c r="AF743" s="600"/>
    </row>
    <row r="744" spans="1:32" s="597" customFormat="1" ht="18" customHeight="1" x14ac:dyDescent="0.2">
      <c r="A744" s="2687"/>
      <c r="B744" s="366" t="s">
        <v>23</v>
      </c>
      <c r="C744" s="2687"/>
      <c r="D744" s="366" t="s">
        <v>24</v>
      </c>
      <c r="E744" s="368" t="s">
        <v>25</v>
      </c>
      <c r="F744" s="2699"/>
      <c r="G744" s="2700"/>
      <c r="H744" s="2701"/>
      <c r="I744" s="366" t="s">
        <v>26</v>
      </c>
      <c r="J744" s="379" t="s">
        <v>15</v>
      </c>
      <c r="K744" s="380" t="s">
        <v>6</v>
      </c>
      <c r="L744" s="2680"/>
      <c r="M744" s="381" t="s">
        <v>27</v>
      </c>
      <c r="N744" s="381" t="s">
        <v>10</v>
      </c>
      <c r="O744" s="382" t="s">
        <v>10</v>
      </c>
      <c r="P744" s="383" t="s">
        <v>28</v>
      </c>
      <c r="Q744" s="384" t="s">
        <v>29</v>
      </c>
      <c r="R744" s="383" t="s">
        <v>15</v>
      </c>
      <c r="S744" s="385" t="s">
        <v>15</v>
      </c>
      <c r="T744" s="2684"/>
      <c r="U744" s="2685"/>
      <c r="V744" s="375" t="s">
        <v>30</v>
      </c>
      <c r="W744" s="376" t="s">
        <v>31</v>
      </c>
      <c r="X744" s="377" t="s">
        <v>30</v>
      </c>
      <c r="Y744" s="377" t="s">
        <v>32</v>
      </c>
      <c r="Z744" s="377" t="s">
        <v>7</v>
      </c>
      <c r="AA744" s="377" t="s">
        <v>33</v>
      </c>
      <c r="AB744" s="378" t="s">
        <v>34</v>
      </c>
      <c r="AC744" s="528" t="s">
        <v>20</v>
      </c>
      <c r="AD744" s="601"/>
      <c r="AE744" s="347" t="s">
        <v>21</v>
      </c>
      <c r="AF744" s="340" t="s">
        <v>22</v>
      </c>
    </row>
    <row r="745" spans="1:32" s="597" customFormat="1" ht="18" customHeight="1" x14ac:dyDescent="0.2">
      <c r="A745" s="2687"/>
      <c r="B745" s="366" t="s">
        <v>39</v>
      </c>
      <c r="C745" s="2687"/>
      <c r="D745" s="366" t="s">
        <v>40</v>
      </c>
      <c r="E745" s="368" t="s">
        <v>41</v>
      </c>
      <c r="F745" s="2686" t="s">
        <v>42</v>
      </c>
      <c r="G745" s="2686" t="s">
        <v>43</v>
      </c>
      <c r="H745" s="2688" t="s">
        <v>44</v>
      </c>
      <c r="I745" s="366" t="s">
        <v>45</v>
      </c>
      <c r="J745" s="379" t="s">
        <v>46</v>
      </c>
      <c r="K745" s="380" t="s">
        <v>47</v>
      </c>
      <c r="L745" s="2680"/>
      <c r="M745" s="381" t="s">
        <v>30</v>
      </c>
      <c r="N745" s="381" t="s">
        <v>30</v>
      </c>
      <c r="O745" s="382" t="s">
        <v>25</v>
      </c>
      <c r="P745" s="383" t="s">
        <v>30</v>
      </c>
      <c r="Q745" s="384" t="s">
        <v>48</v>
      </c>
      <c r="R745" s="383" t="s">
        <v>49</v>
      </c>
      <c r="S745" s="385" t="s">
        <v>30</v>
      </c>
      <c r="T745" s="386" t="s">
        <v>50</v>
      </c>
      <c r="U745" s="374" t="s">
        <v>13</v>
      </c>
      <c r="V745" s="375" t="s">
        <v>51</v>
      </c>
      <c r="W745" s="376" t="s">
        <v>52</v>
      </c>
      <c r="X745" s="377" t="s">
        <v>53</v>
      </c>
      <c r="Y745" s="377" t="s">
        <v>54</v>
      </c>
      <c r="Z745" s="377" t="s">
        <v>55</v>
      </c>
      <c r="AA745" s="377" t="s">
        <v>56</v>
      </c>
      <c r="AB745" s="378" t="s">
        <v>57</v>
      </c>
      <c r="AC745" s="528" t="s">
        <v>35</v>
      </c>
      <c r="AD745" s="347" t="s">
        <v>36</v>
      </c>
      <c r="AE745" s="347" t="s">
        <v>37</v>
      </c>
      <c r="AF745" s="340" t="s">
        <v>38</v>
      </c>
    </row>
    <row r="746" spans="1:32" s="597" customFormat="1" ht="18" customHeight="1" x14ac:dyDescent="0.2">
      <c r="A746" s="2687"/>
      <c r="B746" s="366" t="s">
        <v>61</v>
      </c>
      <c r="C746" s="2687"/>
      <c r="D746" s="366" t="s">
        <v>62</v>
      </c>
      <c r="E746" s="368" t="s">
        <v>63</v>
      </c>
      <c r="F746" s="2687"/>
      <c r="G746" s="2687"/>
      <c r="H746" s="2689"/>
      <c r="I746" s="366" t="s">
        <v>64</v>
      </c>
      <c r="J746" s="379" t="s">
        <v>59</v>
      </c>
      <c r="K746" s="380" t="s">
        <v>59</v>
      </c>
      <c r="L746" s="2680"/>
      <c r="M746" s="381"/>
      <c r="N746" s="381"/>
      <c r="O746" s="382" t="s">
        <v>41</v>
      </c>
      <c r="P746" s="383" t="s">
        <v>65</v>
      </c>
      <c r="Q746" s="384" t="s">
        <v>66</v>
      </c>
      <c r="R746" s="383" t="s">
        <v>67</v>
      </c>
      <c r="S746" s="385" t="s">
        <v>59</v>
      </c>
      <c r="T746" s="387" t="s">
        <v>68</v>
      </c>
      <c r="U746" s="375" t="s">
        <v>14</v>
      </c>
      <c r="V746" s="375" t="s">
        <v>14</v>
      </c>
      <c r="W746" s="376" t="s">
        <v>30</v>
      </c>
      <c r="X746" s="388" t="s">
        <v>69</v>
      </c>
      <c r="Y746" s="388" t="s">
        <v>70</v>
      </c>
      <c r="Z746" s="377" t="s">
        <v>71</v>
      </c>
      <c r="AA746" s="377" t="s">
        <v>72</v>
      </c>
      <c r="AB746" s="378" t="s">
        <v>59</v>
      </c>
      <c r="AC746" s="347" t="s">
        <v>58</v>
      </c>
      <c r="AD746" s="347" t="s">
        <v>59</v>
      </c>
      <c r="AE746" s="347" t="s">
        <v>59</v>
      </c>
      <c r="AF746" s="340" t="s">
        <v>60</v>
      </c>
    </row>
    <row r="747" spans="1:32" s="597" customFormat="1" ht="18" customHeight="1" x14ac:dyDescent="0.2">
      <c r="A747" s="2692"/>
      <c r="B747" s="390"/>
      <c r="C747" s="2692"/>
      <c r="D747" s="390"/>
      <c r="E747" s="389"/>
      <c r="F747" s="390"/>
      <c r="G747" s="390"/>
      <c r="H747" s="391"/>
      <c r="I747" s="389"/>
      <c r="J747" s="392"/>
      <c r="K747" s="393"/>
      <c r="L747" s="2681"/>
      <c r="M747" s="394"/>
      <c r="N747" s="394"/>
      <c r="O747" s="394" t="s">
        <v>63</v>
      </c>
      <c r="P747" s="395"/>
      <c r="Q747" s="396" t="s">
        <v>72</v>
      </c>
      <c r="R747" s="397" t="s">
        <v>59</v>
      </c>
      <c r="S747" s="398"/>
      <c r="T747" s="397" t="s">
        <v>73</v>
      </c>
      <c r="U747" s="398" t="s">
        <v>59</v>
      </c>
      <c r="V747" s="399" t="s">
        <v>59</v>
      </c>
      <c r="W747" s="400" t="s">
        <v>59</v>
      </c>
      <c r="X747" s="401" t="s">
        <v>59</v>
      </c>
      <c r="Y747" s="401" t="s">
        <v>59</v>
      </c>
      <c r="Z747" s="401" t="s">
        <v>59</v>
      </c>
      <c r="AA747" s="402"/>
      <c r="AB747" s="403"/>
      <c r="AC747" s="347" t="s">
        <v>59</v>
      </c>
      <c r="AD747" s="347"/>
      <c r="AE747" s="347"/>
      <c r="AF747" s="340" t="s">
        <v>59</v>
      </c>
    </row>
    <row r="748" spans="1:32" s="597" customFormat="1" ht="18" customHeight="1" x14ac:dyDescent="0.25">
      <c r="A748" s="16">
        <v>1</v>
      </c>
      <c r="B748" s="273">
        <v>71432</v>
      </c>
      <c r="C748" s="27">
        <v>2098</v>
      </c>
      <c r="D748" s="287" t="s">
        <v>91</v>
      </c>
      <c r="E748" s="270">
        <v>4</v>
      </c>
      <c r="F748" s="268">
        <v>0</v>
      </c>
      <c r="G748" s="269">
        <v>1</v>
      </c>
      <c r="H748" s="266">
        <v>10.8</v>
      </c>
      <c r="I748" s="18">
        <f t="shared" ref="I748:I753" si="25">F748*400+G748*100+H748</f>
        <v>110.8</v>
      </c>
      <c r="J748" s="23">
        <v>2000</v>
      </c>
      <c r="K748" s="39">
        <f t="shared" ref="K748:K753" si="26">SUM(I748*J748)</f>
        <v>221600</v>
      </c>
      <c r="L748" s="269"/>
      <c r="M748" s="242"/>
      <c r="N748" s="269"/>
      <c r="O748" s="50">
        <v>4</v>
      </c>
      <c r="P748" s="266"/>
      <c r="Q748" s="285"/>
      <c r="R748" s="436"/>
      <c r="S748" s="282"/>
      <c r="T748" s="286"/>
      <c r="U748" s="282"/>
      <c r="V748" s="282"/>
      <c r="W748" s="18">
        <f t="shared" ref="W748:W753" si="27">K748+V748</f>
        <v>221600</v>
      </c>
      <c r="X748" s="18">
        <f t="shared" ref="X748:X753" si="28">W748</f>
        <v>221600</v>
      </c>
      <c r="Y748" s="293"/>
      <c r="Z748" s="18">
        <f>+X748</f>
        <v>221600</v>
      </c>
      <c r="AA748" s="264">
        <v>0.3</v>
      </c>
      <c r="AB748" s="465">
        <f>Z748*AA748/100</f>
        <v>664.8</v>
      </c>
      <c r="AC748" s="348"/>
      <c r="AD748" s="348"/>
      <c r="AE748" s="348"/>
      <c r="AF748" s="341"/>
    </row>
    <row r="749" spans="1:32" s="597" customFormat="1" ht="18" customHeight="1" x14ac:dyDescent="0.25">
      <c r="A749" s="50">
        <v>2</v>
      </c>
      <c r="B749" s="273">
        <v>71433</v>
      </c>
      <c r="C749" s="27">
        <v>2099</v>
      </c>
      <c r="D749" s="287" t="s">
        <v>91</v>
      </c>
      <c r="E749" s="270">
        <v>4</v>
      </c>
      <c r="F749" s="268"/>
      <c r="G749" s="269"/>
      <c r="H749" s="266">
        <v>50</v>
      </c>
      <c r="I749" s="18">
        <f t="shared" si="25"/>
        <v>50</v>
      </c>
      <c r="J749" s="23">
        <v>2000</v>
      </c>
      <c r="K749" s="39">
        <f t="shared" si="26"/>
        <v>100000</v>
      </c>
      <c r="L749" s="269"/>
      <c r="M749" s="242"/>
      <c r="N749" s="269"/>
      <c r="O749" s="50">
        <v>4</v>
      </c>
      <c r="P749" s="266"/>
      <c r="Q749" s="285"/>
      <c r="R749" s="436"/>
      <c r="S749" s="282"/>
      <c r="T749" s="286"/>
      <c r="U749" s="282"/>
      <c r="V749" s="282"/>
      <c r="W749" s="18">
        <f t="shared" si="27"/>
        <v>100000</v>
      </c>
      <c r="X749" s="18">
        <f t="shared" si="28"/>
        <v>100000</v>
      </c>
      <c r="Y749" s="293"/>
      <c r="Z749" s="18">
        <f>+X749</f>
        <v>100000</v>
      </c>
      <c r="AA749" s="264">
        <v>0.3</v>
      </c>
      <c r="AB749" s="410">
        <f>Z749*AA749/100</f>
        <v>300</v>
      </c>
      <c r="AC749" s="602"/>
      <c r="AD749" s="603" t="e">
        <f>#REF!-AC749</f>
        <v>#REF!</v>
      </c>
      <c r="AE749" s="603" t="e">
        <f>IF(AD749&lt;=0,0,AD749*25/100)</f>
        <v>#REF!</v>
      </c>
      <c r="AF749" s="603" t="e">
        <f>IF(AC749+AE749&gt;#REF!,#REF!,AC749+AE749)</f>
        <v>#REF!</v>
      </c>
    </row>
    <row r="750" spans="1:32" s="597" customFormat="1" ht="18" customHeight="1" x14ac:dyDescent="0.25">
      <c r="A750" s="50">
        <v>3</v>
      </c>
      <c r="B750" s="273">
        <v>71434</v>
      </c>
      <c r="C750" s="27">
        <v>2100</v>
      </c>
      <c r="D750" s="287" t="s">
        <v>91</v>
      </c>
      <c r="E750" s="270">
        <v>4</v>
      </c>
      <c r="F750" s="268"/>
      <c r="G750" s="269"/>
      <c r="H750" s="266">
        <v>50</v>
      </c>
      <c r="I750" s="18">
        <f t="shared" si="25"/>
        <v>50</v>
      </c>
      <c r="J750" s="23">
        <v>2000</v>
      </c>
      <c r="K750" s="39">
        <f t="shared" si="26"/>
        <v>100000</v>
      </c>
      <c r="L750" s="269"/>
      <c r="M750" s="242"/>
      <c r="N750" s="269"/>
      <c r="O750" s="50">
        <v>4</v>
      </c>
      <c r="P750" s="266"/>
      <c r="Q750" s="285"/>
      <c r="R750" s="436"/>
      <c r="S750" s="282"/>
      <c r="T750" s="286"/>
      <c r="U750" s="282"/>
      <c r="V750" s="282"/>
      <c r="W750" s="18">
        <f t="shared" si="27"/>
        <v>100000</v>
      </c>
      <c r="X750" s="18">
        <f t="shared" si="28"/>
        <v>100000</v>
      </c>
      <c r="Y750" s="293"/>
      <c r="Z750" s="18">
        <f>+X750</f>
        <v>100000</v>
      </c>
      <c r="AA750" s="264">
        <v>0.3</v>
      </c>
      <c r="AB750" s="410">
        <f>Z750*AA750/100</f>
        <v>300</v>
      </c>
      <c r="AC750" s="350"/>
      <c r="AD750" s="350"/>
      <c r="AE750" s="350"/>
      <c r="AF750" s="350"/>
    </row>
    <row r="751" spans="1:32" s="597" customFormat="1" ht="18" customHeight="1" x14ac:dyDescent="0.25">
      <c r="A751" s="50">
        <v>4</v>
      </c>
      <c r="B751" s="273">
        <v>71435</v>
      </c>
      <c r="C751" s="27">
        <v>2101</v>
      </c>
      <c r="D751" s="287" t="s">
        <v>91</v>
      </c>
      <c r="E751" s="270">
        <v>4</v>
      </c>
      <c r="F751" s="268"/>
      <c r="G751" s="269"/>
      <c r="H751" s="266">
        <v>50</v>
      </c>
      <c r="I751" s="18">
        <f t="shared" si="25"/>
        <v>50</v>
      </c>
      <c r="J751" s="23">
        <v>2000</v>
      </c>
      <c r="K751" s="39">
        <f t="shared" si="26"/>
        <v>100000</v>
      </c>
      <c r="L751" s="269"/>
      <c r="M751" s="242"/>
      <c r="N751" s="269"/>
      <c r="O751" s="50">
        <v>4</v>
      </c>
      <c r="P751" s="266"/>
      <c r="Q751" s="285"/>
      <c r="R751" s="436"/>
      <c r="S751" s="282"/>
      <c r="T751" s="286"/>
      <c r="U751" s="282"/>
      <c r="V751" s="282"/>
      <c r="W751" s="18">
        <f t="shared" si="27"/>
        <v>100000</v>
      </c>
      <c r="X751" s="18">
        <f t="shared" si="28"/>
        <v>100000</v>
      </c>
      <c r="Y751" s="293"/>
      <c r="Z751" s="18">
        <f>+X751</f>
        <v>100000</v>
      </c>
      <c r="AA751" s="264">
        <v>0.3</v>
      </c>
      <c r="AB751" s="410">
        <f>Z751*AA751/100</f>
        <v>300</v>
      </c>
      <c r="AC751" s="650"/>
      <c r="AD751" s="350"/>
      <c r="AE751" s="350"/>
      <c r="AF751" s="350"/>
    </row>
    <row r="752" spans="1:32" s="597" customFormat="1" ht="18" customHeight="1" x14ac:dyDescent="0.25">
      <c r="A752" s="50">
        <v>5</v>
      </c>
      <c r="B752" s="273">
        <v>71436</v>
      </c>
      <c r="C752" s="27">
        <v>2102</v>
      </c>
      <c r="D752" s="287" t="s">
        <v>91</v>
      </c>
      <c r="E752" s="270">
        <v>4</v>
      </c>
      <c r="F752" s="268"/>
      <c r="G752" s="269"/>
      <c r="H752" s="266">
        <v>50</v>
      </c>
      <c r="I752" s="18">
        <f t="shared" si="25"/>
        <v>50</v>
      </c>
      <c r="J752" s="23">
        <v>2000</v>
      </c>
      <c r="K752" s="39">
        <f t="shared" si="26"/>
        <v>100000</v>
      </c>
      <c r="L752" s="269"/>
      <c r="M752" s="242"/>
      <c r="N752" s="269"/>
      <c r="O752" s="50">
        <v>4</v>
      </c>
      <c r="P752" s="266"/>
      <c r="Q752" s="285"/>
      <c r="R752" s="436"/>
      <c r="S752" s="282"/>
      <c r="T752" s="286"/>
      <c r="U752" s="282"/>
      <c r="V752" s="282"/>
      <c r="W752" s="18">
        <f t="shared" si="27"/>
        <v>100000</v>
      </c>
      <c r="X752" s="18">
        <f t="shared" si="28"/>
        <v>100000</v>
      </c>
      <c r="Y752" s="293"/>
      <c r="Z752" s="18">
        <f>+X752</f>
        <v>100000</v>
      </c>
      <c r="AA752" s="264">
        <v>0.3</v>
      </c>
      <c r="AB752" s="410">
        <f>Z752*AA752/100</f>
        <v>300</v>
      </c>
      <c r="AC752" s="350"/>
      <c r="AD752" s="350"/>
      <c r="AE752" s="350"/>
      <c r="AF752" s="350"/>
    </row>
    <row r="753" spans="1:32" s="597" customFormat="1" ht="18" customHeight="1" x14ac:dyDescent="0.25">
      <c r="A753" s="50">
        <v>6</v>
      </c>
      <c r="B753" s="273">
        <v>2202</v>
      </c>
      <c r="C753" s="27">
        <v>77</v>
      </c>
      <c r="D753" s="287" t="s">
        <v>91</v>
      </c>
      <c r="E753" s="273">
        <v>2</v>
      </c>
      <c r="F753" s="268">
        <v>1</v>
      </c>
      <c r="G753" s="269">
        <v>0</v>
      </c>
      <c r="H753" s="266">
        <v>60</v>
      </c>
      <c r="I753" s="18">
        <f t="shared" si="25"/>
        <v>460</v>
      </c>
      <c r="J753" s="23">
        <v>2000</v>
      </c>
      <c r="K753" s="39">
        <f t="shared" si="26"/>
        <v>920000</v>
      </c>
      <c r="L753" s="269">
        <v>68</v>
      </c>
      <c r="M753" s="242">
        <v>106</v>
      </c>
      <c r="N753" s="269" t="s">
        <v>96</v>
      </c>
      <c r="O753" s="269">
        <v>2</v>
      </c>
      <c r="P753" s="266">
        <v>189.56</v>
      </c>
      <c r="Q753" s="285" t="s">
        <v>75</v>
      </c>
      <c r="R753" s="436">
        <v>7950</v>
      </c>
      <c r="S753" s="282">
        <f>R753*P753</f>
        <v>1507002</v>
      </c>
      <c r="T753" s="1959">
        <v>36</v>
      </c>
      <c r="U753" s="1960">
        <f>S753*85/100</f>
        <v>1280951.7</v>
      </c>
      <c r="V753" s="282">
        <f>S753-U753</f>
        <v>226050.30000000005</v>
      </c>
      <c r="W753" s="18">
        <f t="shared" si="27"/>
        <v>1146050.3</v>
      </c>
      <c r="X753" s="18">
        <f t="shared" si="28"/>
        <v>1146050.3</v>
      </c>
      <c r="Y753" s="282" t="s">
        <v>213</v>
      </c>
      <c r="Z753" s="18">
        <v>0</v>
      </c>
      <c r="AA753" s="264">
        <v>0.02</v>
      </c>
      <c r="AB753" s="415">
        <f>+Z753*AA753/100</f>
        <v>0</v>
      </c>
      <c r="AC753" s="350"/>
      <c r="AD753" s="350"/>
      <c r="AE753" s="350"/>
      <c r="AF753" s="350"/>
    </row>
    <row r="754" spans="1:32" s="597" customFormat="1" ht="18" customHeight="1" x14ac:dyDescent="0.2">
      <c r="A754" s="50"/>
      <c r="B754" s="15"/>
      <c r="C754" s="15"/>
      <c r="D754" s="15"/>
      <c r="E754" s="15"/>
      <c r="F754" s="15"/>
      <c r="G754" s="15"/>
      <c r="H754" s="284"/>
      <c r="I754" s="18"/>
      <c r="J754" s="23"/>
      <c r="K754" s="39"/>
      <c r="L754" s="50"/>
      <c r="M754" s="61"/>
      <c r="N754" s="50"/>
      <c r="O754" s="50"/>
      <c r="P754" s="19"/>
      <c r="Q754" s="76"/>
      <c r="R754" s="260"/>
      <c r="S754" s="18"/>
      <c r="T754" s="59"/>
      <c r="U754" s="18"/>
      <c r="V754" s="18"/>
      <c r="W754" s="18"/>
      <c r="X754" s="18"/>
      <c r="Y754" s="293"/>
      <c r="Z754" s="18"/>
      <c r="AA754" s="264"/>
      <c r="AB754" s="415"/>
      <c r="AC754" s="350"/>
      <c r="AD754" s="350"/>
      <c r="AE754" s="350"/>
      <c r="AF754" s="350"/>
    </row>
    <row r="755" spans="1:32" s="597" customFormat="1" ht="18" customHeight="1" x14ac:dyDescent="0.2">
      <c r="A755" s="50"/>
      <c r="B755" s="15"/>
      <c r="C755" s="15"/>
      <c r="D755" s="15"/>
      <c r="E755" s="15"/>
      <c r="F755" s="15"/>
      <c r="G755" s="15"/>
      <c r="H755" s="284"/>
      <c r="I755" s="18"/>
      <c r="J755" s="23"/>
      <c r="K755" s="39"/>
      <c r="L755" s="50"/>
      <c r="M755" s="61"/>
      <c r="N755" s="50"/>
      <c r="O755" s="50"/>
      <c r="P755" s="19"/>
      <c r="Q755" s="76"/>
      <c r="R755" s="260"/>
      <c r="S755" s="18"/>
      <c r="T755" s="59"/>
      <c r="U755" s="18"/>
      <c r="V755" s="18"/>
      <c r="W755" s="18"/>
      <c r="X755" s="18"/>
      <c r="Y755" s="293"/>
      <c r="Z755" s="18"/>
      <c r="AA755" s="264"/>
      <c r="AB755" s="415"/>
      <c r="AC755" s="350"/>
      <c r="AD755" s="350"/>
      <c r="AE755" s="350"/>
      <c r="AF755" s="350"/>
    </row>
    <row r="756" spans="1:32" s="597" customFormat="1" ht="18" customHeight="1" x14ac:dyDescent="0.25">
      <c r="A756" s="712"/>
      <c r="B756" s="270"/>
      <c r="C756" s="270"/>
      <c r="D756" s="287"/>
      <c r="E756" s="270"/>
      <c r="F756" s="709"/>
      <c r="G756" s="255"/>
      <c r="H756" s="652"/>
      <c r="I756" s="18"/>
      <c r="J756" s="23"/>
      <c r="K756" s="39"/>
      <c r="L756" s="50"/>
      <c r="M756" s="61"/>
      <c r="N756" s="50"/>
      <c r="O756" s="50"/>
      <c r="P756" s="19"/>
      <c r="Q756" s="76"/>
      <c r="R756" s="260"/>
      <c r="S756" s="18"/>
      <c r="T756" s="59"/>
      <c r="U756" s="18"/>
      <c r="V756" s="18"/>
      <c r="W756" s="18"/>
      <c r="X756" s="18"/>
      <c r="Y756" s="293"/>
      <c r="Z756" s="18"/>
      <c r="AA756" s="264"/>
      <c r="AB756" s="415"/>
      <c r="AC756" s="350"/>
      <c r="AD756" s="350"/>
      <c r="AE756" s="350"/>
      <c r="AF756" s="350"/>
    </row>
    <row r="757" spans="1:32" s="597" customFormat="1" ht="18" customHeight="1" x14ac:dyDescent="0.25">
      <c r="A757" s="273"/>
      <c r="B757" s="27"/>
      <c r="C757" s="27"/>
      <c r="D757" s="287"/>
      <c r="E757" s="270"/>
      <c r="F757" s="268"/>
      <c r="G757" s="269"/>
      <c r="H757" s="266"/>
      <c r="I757" s="18"/>
      <c r="J757" s="23"/>
      <c r="K757" s="39"/>
      <c r="L757" s="269"/>
      <c r="M757" s="242"/>
      <c r="N757" s="269"/>
      <c r="O757" s="50"/>
      <c r="P757" s="266"/>
      <c r="Q757" s="285"/>
      <c r="R757" s="436"/>
      <c r="S757" s="282"/>
      <c r="T757" s="286"/>
      <c r="U757" s="282"/>
      <c r="V757" s="282"/>
      <c r="W757" s="18"/>
      <c r="X757" s="18"/>
      <c r="Y757" s="293"/>
      <c r="Z757" s="18"/>
      <c r="AA757" s="264"/>
      <c r="AB757" s="415"/>
      <c r="AC757" s="350"/>
      <c r="AD757" s="350"/>
      <c r="AE757" s="350"/>
      <c r="AF757" s="350"/>
    </row>
    <row r="758" spans="1:32" s="597" customFormat="1" ht="18" customHeight="1" x14ac:dyDescent="0.25">
      <c r="A758" s="273"/>
      <c r="B758" s="27"/>
      <c r="C758" s="27"/>
      <c r="D758" s="287"/>
      <c r="E758" s="270"/>
      <c r="F758" s="268"/>
      <c r="G758" s="269"/>
      <c r="H758" s="266"/>
      <c r="I758" s="18"/>
      <c r="J758" s="23"/>
      <c r="K758" s="39"/>
      <c r="L758" s="269"/>
      <c r="M758" s="242"/>
      <c r="N758" s="269"/>
      <c r="O758" s="50"/>
      <c r="P758" s="266"/>
      <c r="Q758" s="285"/>
      <c r="R758" s="436"/>
      <c r="S758" s="282"/>
      <c r="T758" s="286"/>
      <c r="U758" s="282"/>
      <c r="V758" s="282"/>
      <c r="W758" s="18"/>
      <c r="X758" s="18"/>
      <c r="Y758" s="293"/>
      <c r="Z758" s="18"/>
      <c r="AA758" s="264"/>
      <c r="AB758" s="415"/>
      <c r="AC758" s="350"/>
      <c r="AD758" s="350"/>
      <c r="AE758" s="350"/>
      <c r="AF758" s="350"/>
    </row>
    <row r="759" spans="1:32" s="597" customFormat="1" ht="18" customHeight="1" x14ac:dyDescent="0.25">
      <c r="A759" s="273"/>
      <c r="B759" s="27"/>
      <c r="C759" s="27"/>
      <c r="D759" s="287"/>
      <c r="E759" s="270"/>
      <c r="F759" s="268"/>
      <c r="G759" s="269"/>
      <c r="H759" s="266"/>
      <c r="I759" s="18"/>
      <c r="J759" s="23"/>
      <c r="K759" s="39"/>
      <c r="L759" s="269"/>
      <c r="M759" s="242"/>
      <c r="N759" s="269"/>
      <c r="O759" s="50"/>
      <c r="P759" s="266"/>
      <c r="Q759" s="285"/>
      <c r="R759" s="436"/>
      <c r="S759" s="282"/>
      <c r="T759" s="286"/>
      <c r="U759" s="282"/>
      <c r="V759" s="282"/>
      <c r="W759" s="18"/>
      <c r="X759" s="18"/>
      <c r="Y759" s="293"/>
      <c r="Z759" s="18"/>
      <c r="AA759" s="264"/>
      <c r="AB759" s="415"/>
      <c r="AC759" s="350"/>
      <c r="AD759" s="350"/>
      <c r="AE759" s="350"/>
      <c r="AF759" s="350"/>
    </row>
    <row r="760" spans="1:32" s="597" customFormat="1" ht="18" customHeight="1" x14ac:dyDescent="0.25">
      <c r="A760" s="273"/>
      <c r="B760" s="27"/>
      <c r="C760" s="27"/>
      <c r="D760" s="287"/>
      <c r="E760" s="270"/>
      <c r="F760" s="268"/>
      <c r="G760" s="269"/>
      <c r="H760" s="266"/>
      <c r="I760" s="18"/>
      <c r="J760" s="23"/>
      <c r="K760" s="39"/>
      <c r="L760" s="269"/>
      <c r="M760" s="242"/>
      <c r="N760" s="269"/>
      <c r="O760" s="50"/>
      <c r="P760" s="266"/>
      <c r="Q760" s="285"/>
      <c r="R760" s="436"/>
      <c r="S760" s="282"/>
      <c r="T760" s="286"/>
      <c r="U760" s="282"/>
      <c r="V760" s="282"/>
      <c r="W760" s="18"/>
      <c r="X760" s="18"/>
      <c r="Y760" s="293"/>
      <c r="Z760" s="18"/>
      <c r="AA760" s="264"/>
      <c r="AB760" s="415"/>
      <c r="AC760" s="350"/>
      <c r="AD760" s="350"/>
      <c r="AE760" s="350"/>
      <c r="AF760" s="350"/>
    </row>
    <row r="761" spans="1:32" s="597" customFormat="1" ht="18" customHeight="1" x14ac:dyDescent="0.25">
      <c r="A761" s="273"/>
      <c r="B761" s="27"/>
      <c r="C761" s="27"/>
      <c r="D761" s="287"/>
      <c r="E761" s="270"/>
      <c r="F761" s="268"/>
      <c r="G761" s="269"/>
      <c r="H761" s="266"/>
      <c r="I761" s="18"/>
      <c r="J761" s="23"/>
      <c r="K761" s="39"/>
      <c r="L761" s="269"/>
      <c r="M761" s="242"/>
      <c r="N761" s="269"/>
      <c r="O761" s="50"/>
      <c r="P761" s="266"/>
      <c r="Q761" s="285"/>
      <c r="R761" s="436"/>
      <c r="S761" s="282"/>
      <c r="T761" s="286"/>
      <c r="U761" s="282"/>
      <c r="V761" s="282"/>
      <c r="W761" s="18"/>
      <c r="X761" s="18"/>
      <c r="Y761" s="293"/>
      <c r="Z761" s="18"/>
      <c r="AA761" s="264"/>
      <c r="AB761" s="415"/>
      <c r="AC761" s="350"/>
      <c r="AD761" s="350"/>
      <c r="AE761" s="350"/>
      <c r="AF761" s="350"/>
    </row>
    <row r="762" spans="1:32" s="597" customFormat="1" ht="18" customHeight="1" x14ac:dyDescent="0.25">
      <c r="A762" s="273"/>
      <c r="B762" s="27"/>
      <c r="C762" s="27"/>
      <c r="D762" s="287"/>
      <c r="E762" s="273"/>
      <c r="F762" s="268"/>
      <c r="G762" s="269"/>
      <c r="H762" s="266"/>
      <c r="I762" s="18"/>
      <c r="J762" s="23"/>
      <c r="K762" s="39"/>
      <c r="L762" s="269"/>
      <c r="M762" s="242"/>
      <c r="N762" s="269"/>
      <c r="O762" s="269"/>
      <c r="P762" s="266"/>
      <c r="Q762" s="285"/>
      <c r="R762" s="436"/>
      <c r="S762" s="282"/>
      <c r="T762" s="286"/>
      <c r="U762" s="282"/>
      <c r="V762" s="282"/>
      <c r="W762" s="18"/>
      <c r="X762" s="18"/>
      <c r="Y762" s="282"/>
      <c r="Z762" s="18"/>
      <c r="AA762" s="264"/>
      <c r="AB762" s="415"/>
      <c r="AC762" s="350"/>
      <c r="AD762" s="350"/>
      <c r="AE762" s="350"/>
      <c r="AF762" s="350"/>
    </row>
    <row r="763" spans="1:32" s="597" customFormat="1" ht="18" customHeight="1" x14ac:dyDescent="0.2">
      <c r="A763" s="1850"/>
      <c r="B763" s="1850"/>
      <c r="C763" s="1850"/>
      <c r="D763" s="1850"/>
      <c r="E763" s="1850"/>
      <c r="F763" s="1850"/>
      <c r="G763" s="1850"/>
      <c r="H763" s="1851"/>
      <c r="I763" s="1852"/>
      <c r="J763" s="1853"/>
      <c r="K763" s="1852"/>
      <c r="L763" s="1852"/>
      <c r="M763" s="1852"/>
      <c r="N763" s="1852"/>
      <c r="O763" s="1852"/>
      <c r="P763" s="1852"/>
      <c r="Q763" s="1852"/>
      <c r="R763" s="1854"/>
      <c r="S763" s="1852"/>
      <c r="T763" s="1855"/>
      <c r="U763" s="1853"/>
      <c r="V763" s="1852"/>
      <c r="W763" s="1852"/>
      <c r="X763" s="1856"/>
      <c r="Y763" s="1856"/>
      <c r="Z763" s="1857"/>
      <c r="AA763" s="1857"/>
      <c r="AB763" s="1847">
        <f>SUM(AB748:AB762)</f>
        <v>1864.8</v>
      </c>
      <c r="AC763" s="1972"/>
      <c r="AD763" s="1972"/>
      <c r="AE763" s="1972"/>
      <c r="AF763" s="1972"/>
    </row>
    <row r="764" spans="1:32" s="597" customFormat="1" ht="18" customHeight="1" x14ac:dyDescent="0.2">
      <c r="A764" s="2690" t="s">
        <v>76</v>
      </c>
      <c r="B764" s="2690"/>
      <c r="C764" s="2691" t="s">
        <v>77</v>
      </c>
      <c r="D764" s="2691"/>
      <c r="E764" s="2691"/>
      <c r="F764" s="2691"/>
      <c r="G764" s="2691"/>
      <c r="H764" s="2691"/>
      <c r="I764" s="604" t="s">
        <v>78</v>
      </c>
      <c r="J764" s="604"/>
      <c r="K764" s="604"/>
      <c r="L764" s="604"/>
      <c r="M764" s="604"/>
      <c r="N764" s="604"/>
      <c r="AB764" s="598"/>
      <c r="AC764" s="349"/>
      <c r="AD764" s="349"/>
      <c r="AE764" s="349"/>
      <c r="AF764" s="349"/>
    </row>
    <row r="765" spans="1:32" s="597" customFormat="1" ht="18" customHeight="1" x14ac:dyDescent="0.2">
      <c r="A765" s="604"/>
      <c r="B765" s="605"/>
      <c r="C765" s="604"/>
      <c r="D765" s="604"/>
      <c r="E765" s="604"/>
      <c r="F765" s="604"/>
      <c r="G765" s="604"/>
      <c r="H765" s="604"/>
      <c r="I765" s="604" t="s">
        <v>79</v>
      </c>
      <c r="J765" s="604"/>
      <c r="K765" s="604"/>
      <c r="L765" s="604"/>
      <c r="M765" s="604"/>
      <c r="N765" s="604"/>
      <c r="AB765" s="598"/>
    </row>
    <row r="766" spans="1:32" s="597" customFormat="1" ht="18" customHeight="1" x14ac:dyDescent="0.2">
      <c r="A766" s="604"/>
      <c r="B766" s="605"/>
      <c r="C766" s="604"/>
      <c r="D766" s="604"/>
      <c r="E766" s="604"/>
      <c r="F766" s="604"/>
      <c r="G766" s="604"/>
      <c r="H766" s="604"/>
      <c r="I766" s="604" t="s">
        <v>80</v>
      </c>
      <c r="J766" s="604"/>
      <c r="K766" s="604"/>
      <c r="L766" s="604"/>
      <c r="M766" s="604"/>
      <c r="N766" s="604"/>
      <c r="AB766" s="598"/>
    </row>
    <row r="767" spans="1:32" s="597" customFormat="1" ht="18" customHeight="1" x14ac:dyDescent="0.2">
      <c r="A767" s="604"/>
      <c r="B767" s="605"/>
      <c r="C767" s="604"/>
      <c r="D767" s="604"/>
      <c r="E767" s="604"/>
      <c r="F767" s="604"/>
      <c r="G767" s="604"/>
      <c r="H767" s="604"/>
      <c r="I767" s="604" t="s">
        <v>81</v>
      </c>
      <c r="J767" s="604"/>
      <c r="K767" s="604"/>
      <c r="L767" s="604"/>
      <c r="M767" s="604"/>
      <c r="N767" s="604"/>
      <c r="AB767" s="598"/>
    </row>
    <row r="768" spans="1:32" s="597" customFormat="1" ht="18" customHeight="1" x14ac:dyDescent="0.2">
      <c r="A768" s="604"/>
      <c r="B768" s="605"/>
      <c r="C768" s="604"/>
      <c r="D768" s="604"/>
      <c r="E768" s="604"/>
      <c r="F768" s="604"/>
      <c r="G768" s="604"/>
      <c r="H768" s="604"/>
      <c r="I768" s="604" t="s">
        <v>88</v>
      </c>
      <c r="J768" s="604"/>
      <c r="K768" s="604"/>
      <c r="L768" s="604"/>
      <c r="M768" s="604"/>
      <c r="N768" s="604"/>
      <c r="AB768" s="598"/>
    </row>
    <row r="799" spans="1:32" s="597" customFormat="1" ht="18" customHeight="1" x14ac:dyDescent="0.2">
      <c r="A799" s="339"/>
      <c r="B799" s="339"/>
      <c r="C799" s="339"/>
      <c r="D799" s="339"/>
      <c r="E799" s="339"/>
      <c r="F799" s="339"/>
      <c r="G799" s="339"/>
      <c r="H799" s="339"/>
      <c r="I799" s="339"/>
      <c r="J799" s="339"/>
      <c r="K799" s="339"/>
      <c r="L799" s="339"/>
      <c r="M799" s="339"/>
      <c r="N799" s="339"/>
      <c r="O799" s="339"/>
      <c r="P799" s="339"/>
      <c r="Q799" s="339"/>
      <c r="R799" s="339"/>
      <c r="S799" s="339"/>
      <c r="T799" s="339"/>
      <c r="U799" s="339"/>
      <c r="V799" s="339"/>
      <c r="W799" s="339"/>
      <c r="X799" s="339"/>
      <c r="Y799" s="339"/>
      <c r="Z799" s="339"/>
      <c r="AA799" s="2702" t="s">
        <v>0</v>
      </c>
      <c r="AB799" s="2702"/>
    </row>
    <row r="800" spans="1:32" s="597" customFormat="1" ht="18" customHeight="1" x14ac:dyDescent="0.2">
      <c r="A800" s="2703" t="s">
        <v>1</v>
      </c>
      <c r="B800" s="2703"/>
      <c r="C800" s="2703"/>
      <c r="D800" s="2703"/>
      <c r="E800" s="2703"/>
      <c r="F800" s="2703"/>
      <c r="G800" s="2703"/>
      <c r="H800" s="2703"/>
      <c r="I800" s="2703"/>
      <c r="J800" s="2703"/>
      <c r="K800" s="2703"/>
      <c r="L800" s="2703"/>
      <c r="M800" s="2703"/>
      <c r="N800" s="2703"/>
      <c r="O800" s="2703"/>
      <c r="P800" s="2703"/>
      <c r="Q800" s="2703"/>
      <c r="R800" s="2703"/>
      <c r="S800" s="2703"/>
      <c r="T800" s="2703"/>
      <c r="U800" s="2703"/>
      <c r="V800" s="2703"/>
      <c r="W800" s="2703"/>
      <c r="X800" s="2703"/>
      <c r="Y800" s="2703"/>
      <c r="Z800" s="2703"/>
      <c r="AA800" s="2703"/>
      <c r="AB800" s="2703"/>
      <c r="AC800" s="339"/>
      <c r="AD800" s="339"/>
      <c r="AE800" s="339"/>
      <c r="AF800" s="339"/>
    </row>
    <row r="801" spans="1:32" s="597" customFormat="1" ht="18" customHeight="1" x14ac:dyDescent="0.2">
      <c r="A801" s="2703" t="s">
        <v>478</v>
      </c>
      <c r="B801" s="2703"/>
      <c r="C801" s="2703"/>
      <c r="D801" s="2703"/>
      <c r="E801" s="2703"/>
      <c r="F801" s="2703"/>
      <c r="G801" s="2703"/>
      <c r="H801" s="2703"/>
      <c r="I801" s="2703"/>
      <c r="J801" s="2703"/>
      <c r="K801" s="2703"/>
      <c r="L801" s="2703"/>
      <c r="M801" s="2703"/>
      <c r="N801" s="2703"/>
      <c r="O801" s="2703"/>
      <c r="P801" s="2703"/>
      <c r="Q801" s="2703"/>
      <c r="R801" s="2703"/>
      <c r="S801" s="2703"/>
      <c r="T801" s="2703"/>
      <c r="U801" s="2703"/>
      <c r="V801" s="2703"/>
      <c r="W801" s="2703"/>
      <c r="X801" s="2703"/>
      <c r="Y801" s="2703"/>
      <c r="Z801" s="2703"/>
      <c r="AA801" s="2703"/>
      <c r="AB801" s="2703"/>
      <c r="AC801" s="344"/>
      <c r="AD801" s="344"/>
      <c r="AE801" s="344"/>
      <c r="AF801" s="344"/>
    </row>
    <row r="802" spans="1:32" s="597" customFormat="1" ht="18" customHeight="1" x14ac:dyDescent="0.2">
      <c r="A802" s="2686" t="s">
        <v>2</v>
      </c>
      <c r="B802" s="360"/>
      <c r="C802" s="2686" t="s">
        <v>3</v>
      </c>
      <c r="D802" s="360"/>
      <c r="E802" s="360"/>
      <c r="F802" s="2693" t="s">
        <v>4</v>
      </c>
      <c r="G802" s="2693"/>
      <c r="H802" s="2693"/>
      <c r="I802" s="2694"/>
      <c r="J802" s="2694"/>
      <c r="K802" s="2695"/>
      <c r="L802" s="361"/>
      <c r="M802" s="2679" t="s">
        <v>5</v>
      </c>
      <c r="N802" s="2679"/>
      <c r="O802" s="2679"/>
      <c r="P802" s="2679"/>
      <c r="Q802" s="2696"/>
      <c r="R802" s="2696"/>
      <c r="S802" s="2696"/>
      <c r="T802" s="2696"/>
      <c r="U802" s="2696"/>
      <c r="V802" s="2697"/>
      <c r="W802" s="362" t="s">
        <v>6</v>
      </c>
      <c r="X802" s="363" t="s">
        <v>7</v>
      </c>
      <c r="Y802" s="364"/>
      <c r="Z802" s="364"/>
      <c r="AA802" s="363"/>
      <c r="AB802" s="365"/>
      <c r="AC802" s="599"/>
      <c r="AD802" s="599"/>
      <c r="AE802" s="599"/>
      <c r="AF802" s="599"/>
    </row>
    <row r="803" spans="1:32" s="597" customFormat="1" ht="18" customHeight="1" x14ac:dyDescent="0.2">
      <c r="A803" s="2687"/>
      <c r="B803" s="367"/>
      <c r="C803" s="2687"/>
      <c r="D803" s="366" t="s">
        <v>9</v>
      </c>
      <c r="E803" s="368" t="s">
        <v>10</v>
      </c>
      <c r="F803" s="2698" t="s">
        <v>11</v>
      </c>
      <c r="G803" s="2694"/>
      <c r="H803" s="2695"/>
      <c r="I803" s="360"/>
      <c r="J803" s="369" t="s">
        <v>12</v>
      </c>
      <c r="K803" s="360"/>
      <c r="L803" s="2679" t="s">
        <v>2</v>
      </c>
      <c r="M803" s="370"/>
      <c r="N803" s="370"/>
      <c r="O803" s="370"/>
      <c r="P803" s="371"/>
      <c r="Q803" s="372" t="s">
        <v>13</v>
      </c>
      <c r="R803" s="373" t="s">
        <v>12</v>
      </c>
      <c r="S803" s="370" t="s">
        <v>6</v>
      </c>
      <c r="T803" s="2682" t="s">
        <v>14</v>
      </c>
      <c r="U803" s="2683"/>
      <c r="V803" s="375" t="s">
        <v>7</v>
      </c>
      <c r="W803" s="376" t="s">
        <v>15</v>
      </c>
      <c r="X803" s="377" t="s">
        <v>16</v>
      </c>
      <c r="Y803" s="377" t="s">
        <v>17</v>
      </c>
      <c r="Z803" s="377" t="s">
        <v>18</v>
      </c>
      <c r="AA803" s="377"/>
      <c r="AB803" s="378" t="s">
        <v>19</v>
      </c>
      <c r="AC803" s="516" t="s">
        <v>8</v>
      </c>
      <c r="AD803" s="346"/>
      <c r="AE803" s="346"/>
      <c r="AF803" s="600"/>
    </row>
    <row r="804" spans="1:32" s="597" customFormat="1" ht="18" customHeight="1" x14ac:dyDescent="0.2">
      <c r="A804" s="2687"/>
      <c r="B804" s="366" t="s">
        <v>23</v>
      </c>
      <c r="C804" s="2687"/>
      <c r="D804" s="366" t="s">
        <v>24</v>
      </c>
      <c r="E804" s="368" t="s">
        <v>25</v>
      </c>
      <c r="F804" s="2699"/>
      <c r="G804" s="2700"/>
      <c r="H804" s="2701"/>
      <c r="I804" s="366" t="s">
        <v>26</v>
      </c>
      <c r="J804" s="379" t="s">
        <v>15</v>
      </c>
      <c r="K804" s="380" t="s">
        <v>6</v>
      </c>
      <c r="L804" s="2680"/>
      <c r="M804" s="381" t="s">
        <v>27</v>
      </c>
      <c r="N804" s="381" t="s">
        <v>10</v>
      </c>
      <c r="O804" s="382" t="s">
        <v>10</v>
      </c>
      <c r="P804" s="383" t="s">
        <v>28</v>
      </c>
      <c r="Q804" s="384" t="s">
        <v>29</v>
      </c>
      <c r="R804" s="383" t="s">
        <v>15</v>
      </c>
      <c r="S804" s="385" t="s">
        <v>15</v>
      </c>
      <c r="T804" s="2684"/>
      <c r="U804" s="2685"/>
      <c r="V804" s="375" t="s">
        <v>30</v>
      </c>
      <c r="W804" s="376" t="s">
        <v>31</v>
      </c>
      <c r="X804" s="377" t="s">
        <v>30</v>
      </c>
      <c r="Y804" s="377" t="s">
        <v>32</v>
      </c>
      <c r="Z804" s="377" t="s">
        <v>7</v>
      </c>
      <c r="AA804" s="377" t="s">
        <v>33</v>
      </c>
      <c r="AB804" s="378" t="s">
        <v>34</v>
      </c>
      <c r="AC804" s="528" t="s">
        <v>20</v>
      </c>
      <c r="AD804" s="601"/>
      <c r="AE804" s="347" t="s">
        <v>21</v>
      </c>
      <c r="AF804" s="340" t="s">
        <v>22</v>
      </c>
    </row>
    <row r="805" spans="1:32" s="597" customFormat="1" ht="18" customHeight="1" x14ac:dyDescent="0.2">
      <c r="A805" s="2687"/>
      <c r="B805" s="366" t="s">
        <v>39</v>
      </c>
      <c r="C805" s="2687"/>
      <c r="D805" s="366" t="s">
        <v>40</v>
      </c>
      <c r="E805" s="368" t="s">
        <v>41</v>
      </c>
      <c r="F805" s="2686" t="s">
        <v>42</v>
      </c>
      <c r="G805" s="2686" t="s">
        <v>43</v>
      </c>
      <c r="H805" s="2688" t="s">
        <v>44</v>
      </c>
      <c r="I805" s="366" t="s">
        <v>45</v>
      </c>
      <c r="J805" s="379" t="s">
        <v>46</v>
      </c>
      <c r="K805" s="380" t="s">
        <v>47</v>
      </c>
      <c r="L805" s="2680"/>
      <c r="M805" s="381" t="s">
        <v>30</v>
      </c>
      <c r="N805" s="381" t="s">
        <v>30</v>
      </c>
      <c r="O805" s="382" t="s">
        <v>25</v>
      </c>
      <c r="P805" s="383" t="s">
        <v>30</v>
      </c>
      <c r="Q805" s="384" t="s">
        <v>48</v>
      </c>
      <c r="R805" s="383" t="s">
        <v>49</v>
      </c>
      <c r="S805" s="385" t="s">
        <v>30</v>
      </c>
      <c r="T805" s="386" t="s">
        <v>50</v>
      </c>
      <c r="U805" s="374" t="s">
        <v>13</v>
      </c>
      <c r="V805" s="375" t="s">
        <v>51</v>
      </c>
      <c r="W805" s="376" t="s">
        <v>52</v>
      </c>
      <c r="X805" s="377" t="s">
        <v>53</v>
      </c>
      <c r="Y805" s="377" t="s">
        <v>54</v>
      </c>
      <c r="Z805" s="377" t="s">
        <v>55</v>
      </c>
      <c r="AA805" s="377" t="s">
        <v>56</v>
      </c>
      <c r="AB805" s="378" t="s">
        <v>57</v>
      </c>
      <c r="AC805" s="528" t="s">
        <v>35</v>
      </c>
      <c r="AD805" s="347" t="s">
        <v>36</v>
      </c>
      <c r="AE805" s="347" t="s">
        <v>37</v>
      </c>
      <c r="AF805" s="340" t="s">
        <v>38</v>
      </c>
    </row>
    <row r="806" spans="1:32" s="597" customFormat="1" ht="18" customHeight="1" x14ac:dyDescent="0.2">
      <c r="A806" s="2687"/>
      <c r="B806" s="366" t="s">
        <v>61</v>
      </c>
      <c r="C806" s="2687"/>
      <c r="D806" s="366" t="s">
        <v>62</v>
      </c>
      <c r="E806" s="368" t="s">
        <v>63</v>
      </c>
      <c r="F806" s="2687"/>
      <c r="G806" s="2687"/>
      <c r="H806" s="2689"/>
      <c r="I806" s="366" t="s">
        <v>64</v>
      </c>
      <c r="J806" s="379" t="s">
        <v>59</v>
      </c>
      <c r="K806" s="380" t="s">
        <v>59</v>
      </c>
      <c r="L806" s="2680"/>
      <c r="M806" s="381"/>
      <c r="N806" s="381"/>
      <c r="O806" s="382" t="s">
        <v>41</v>
      </c>
      <c r="P806" s="383" t="s">
        <v>65</v>
      </c>
      <c r="Q806" s="384" t="s">
        <v>66</v>
      </c>
      <c r="R806" s="383" t="s">
        <v>67</v>
      </c>
      <c r="S806" s="385" t="s">
        <v>59</v>
      </c>
      <c r="T806" s="387" t="s">
        <v>68</v>
      </c>
      <c r="U806" s="375" t="s">
        <v>14</v>
      </c>
      <c r="V806" s="375" t="s">
        <v>14</v>
      </c>
      <c r="W806" s="376" t="s">
        <v>30</v>
      </c>
      <c r="X806" s="388" t="s">
        <v>69</v>
      </c>
      <c r="Y806" s="388" t="s">
        <v>70</v>
      </c>
      <c r="Z806" s="377" t="s">
        <v>71</v>
      </c>
      <c r="AA806" s="377" t="s">
        <v>72</v>
      </c>
      <c r="AB806" s="378" t="s">
        <v>59</v>
      </c>
      <c r="AC806" s="347" t="s">
        <v>58</v>
      </c>
      <c r="AD806" s="347" t="s">
        <v>59</v>
      </c>
      <c r="AE806" s="347" t="s">
        <v>59</v>
      </c>
      <c r="AF806" s="340" t="s">
        <v>60</v>
      </c>
    </row>
    <row r="807" spans="1:32" s="597" customFormat="1" ht="18" customHeight="1" x14ac:dyDescent="0.2">
      <c r="A807" s="2692"/>
      <c r="B807" s="390"/>
      <c r="C807" s="2692"/>
      <c r="D807" s="390"/>
      <c r="E807" s="389"/>
      <c r="F807" s="390"/>
      <c r="G807" s="390"/>
      <c r="H807" s="391"/>
      <c r="I807" s="389"/>
      <c r="J807" s="392"/>
      <c r="K807" s="393"/>
      <c r="L807" s="2681"/>
      <c r="M807" s="394"/>
      <c r="N807" s="394"/>
      <c r="O807" s="394" t="s">
        <v>63</v>
      </c>
      <c r="P807" s="395"/>
      <c r="Q807" s="396" t="s">
        <v>72</v>
      </c>
      <c r="R807" s="397" t="s">
        <v>59</v>
      </c>
      <c r="S807" s="398"/>
      <c r="T807" s="397" t="s">
        <v>73</v>
      </c>
      <c r="U807" s="398" t="s">
        <v>59</v>
      </c>
      <c r="V807" s="399" t="s">
        <v>59</v>
      </c>
      <c r="W807" s="400" t="s">
        <v>59</v>
      </c>
      <c r="X807" s="401" t="s">
        <v>59</v>
      </c>
      <c r="Y807" s="401" t="s">
        <v>59</v>
      </c>
      <c r="Z807" s="401" t="s">
        <v>59</v>
      </c>
      <c r="AA807" s="402"/>
      <c r="AB807" s="403"/>
      <c r="AC807" s="347" t="s">
        <v>59</v>
      </c>
      <c r="AD807" s="347"/>
      <c r="AE807" s="347"/>
      <c r="AF807" s="340" t="s">
        <v>59</v>
      </c>
    </row>
    <row r="808" spans="1:32" s="597" customFormat="1" ht="18" customHeight="1" x14ac:dyDescent="0.2">
      <c r="A808" s="53">
        <v>1</v>
      </c>
      <c r="B808" s="95">
        <v>62330</v>
      </c>
      <c r="C808" s="82">
        <v>1768</v>
      </c>
      <c r="D808" s="82" t="s">
        <v>95</v>
      </c>
      <c r="E808" s="82">
        <v>4</v>
      </c>
      <c r="F808" s="82">
        <v>0</v>
      </c>
      <c r="G808" s="82">
        <v>0</v>
      </c>
      <c r="H808" s="463">
        <v>85</v>
      </c>
      <c r="I808" s="70">
        <f>F808*400+G808*100+H808</f>
        <v>85</v>
      </c>
      <c r="J808" s="123">
        <v>1000</v>
      </c>
      <c r="K808" s="124">
        <f>SUM(I808*J808)</f>
        <v>85000</v>
      </c>
      <c r="L808" s="53"/>
      <c r="M808" s="82"/>
      <c r="N808" s="82"/>
      <c r="O808" s="53"/>
      <c r="P808" s="358"/>
      <c r="Q808" s="197"/>
      <c r="R808" s="444"/>
      <c r="S808" s="70"/>
      <c r="T808" s="82"/>
      <c r="U808" s="70"/>
      <c r="V808" s="70"/>
      <c r="W808" s="70">
        <f>K808+V808</f>
        <v>85000</v>
      </c>
      <c r="X808" s="70">
        <f>W808</f>
        <v>85000</v>
      </c>
      <c r="Y808" s="123"/>
      <c r="Z808" s="70">
        <f>+X808</f>
        <v>85000</v>
      </c>
      <c r="AA808" s="464">
        <v>0.6</v>
      </c>
      <c r="AB808" s="465">
        <f>+Z808*AA808/100</f>
        <v>510</v>
      </c>
      <c r="AC808" s="348"/>
      <c r="AD808" s="348"/>
      <c r="AE808" s="348"/>
      <c r="AF808" s="341"/>
    </row>
    <row r="809" spans="1:32" s="597" customFormat="1" ht="18" customHeight="1" x14ac:dyDescent="0.2">
      <c r="A809" s="61">
        <v>2</v>
      </c>
      <c r="B809" s="102">
        <v>64765</v>
      </c>
      <c r="C809" s="145">
        <v>3532</v>
      </c>
      <c r="D809" s="145" t="s">
        <v>95</v>
      </c>
      <c r="E809" s="145">
        <v>4</v>
      </c>
      <c r="F809" s="145">
        <v>1</v>
      </c>
      <c r="G809" s="145">
        <v>0</v>
      </c>
      <c r="H809" s="407">
        <v>0</v>
      </c>
      <c r="I809" s="77">
        <f>F809*400+G809*100+H809</f>
        <v>400</v>
      </c>
      <c r="J809" s="107">
        <v>1100</v>
      </c>
      <c r="K809" s="78">
        <f>SUM(I809*J809)</f>
        <v>440000</v>
      </c>
      <c r="L809" s="61"/>
      <c r="M809" s="145"/>
      <c r="N809" s="145"/>
      <c r="O809" s="61"/>
      <c r="P809" s="177"/>
      <c r="Q809" s="196"/>
      <c r="R809" s="408"/>
      <c r="S809" s="77"/>
      <c r="T809" s="145"/>
      <c r="U809" s="77"/>
      <c r="V809" s="77"/>
      <c r="W809" s="77">
        <f>K809+V809</f>
        <v>440000</v>
      </c>
      <c r="X809" s="77">
        <f>W809</f>
        <v>440000</v>
      </c>
      <c r="Y809" s="107"/>
      <c r="Z809" s="77">
        <f>+X809</f>
        <v>440000</v>
      </c>
      <c r="AA809" s="409">
        <v>0.6</v>
      </c>
      <c r="AB809" s="416">
        <f>+Z809*AA809/100</f>
        <v>2640</v>
      </c>
      <c r="AC809" s="602"/>
      <c r="AD809" s="603" t="e">
        <f>#REF!-AC809</f>
        <v>#REF!</v>
      </c>
      <c r="AE809" s="603" t="e">
        <f>IF(AD809&lt;=0,0,AD809*25/100)</f>
        <v>#REF!</v>
      </c>
      <c r="AF809" s="603" t="e">
        <f>IF(AC809+AE809&gt;#REF!,#REF!,AC809+AE809)</f>
        <v>#REF!</v>
      </c>
    </row>
    <row r="810" spans="1:32" s="597" customFormat="1" ht="18" customHeight="1" x14ac:dyDescent="0.2">
      <c r="A810" s="145"/>
      <c r="B810" s="177"/>
      <c r="C810" s="177"/>
      <c r="D810" s="145"/>
      <c r="E810" s="145"/>
      <c r="F810" s="145"/>
      <c r="G810" s="145"/>
      <c r="H810" s="147"/>
      <c r="I810" s="107"/>
      <c r="J810" s="178"/>
      <c r="K810" s="107"/>
      <c r="L810" s="145"/>
      <c r="M810" s="145"/>
      <c r="N810" s="145"/>
      <c r="O810" s="145"/>
      <c r="P810" s="147"/>
      <c r="Q810" s="148"/>
      <c r="R810" s="437"/>
      <c r="S810" s="107"/>
      <c r="T810" s="179"/>
      <c r="U810" s="178"/>
      <c r="V810" s="107"/>
      <c r="W810" s="107"/>
      <c r="X810" s="470"/>
      <c r="Y810" s="470"/>
      <c r="Z810" s="471"/>
      <c r="AA810" s="471"/>
      <c r="AB810" s="466"/>
      <c r="AC810" s="350"/>
      <c r="AD810" s="350"/>
      <c r="AE810" s="350"/>
      <c r="AF810" s="350"/>
    </row>
    <row r="811" spans="1:32" s="597" customFormat="1" ht="18" customHeight="1" x14ac:dyDescent="0.2">
      <c r="A811" s="145"/>
      <c r="B811" s="177"/>
      <c r="C811" s="177"/>
      <c r="D811" s="145"/>
      <c r="E811" s="145"/>
      <c r="F811" s="145"/>
      <c r="G811" s="145"/>
      <c r="H811" s="147"/>
      <c r="I811" s="107"/>
      <c r="J811" s="178"/>
      <c r="K811" s="107"/>
      <c r="L811" s="145"/>
      <c r="M811" s="145"/>
      <c r="N811" s="145"/>
      <c r="O811" s="145"/>
      <c r="P811" s="147"/>
      <c r="Q811" s="148"/>
      <c r="R811" s="437"/>
      <c r="S811" s="107"/>
      <c r="T811" s="179"/>
      <c r="U811" s="178"/>
      <c r="V811" s="107"/>
      <c r="W811" s="107"/>
      <c r="X811" s="470"/>
      <c r="Y811" s="470"/>
      <c r="Z811" s="471"/>
      <c r="AA811" s="471"/>
      <c r="AB811" s="466"/>
      <c r="AC811" s="350"/>
      <c r="AD811" s="350"/>
      <c r="AE811" s="350"/>
      <c r="AF811" s="350"/>
    </row>
    <row r="812" spans="1:32" s="597" customFormat="1" ht="18" customHeight="1" x14ac:dyDescent="0.2">
      <c r="A812" s="145"/>
      <c r="B812" s="177"/>
      <c r="C812" s="177"/>
      <c r="D812" s="145"/>
      <c r="E812" s="145"/>
      <c r="F812" s="145"/>
      <c r="G812" s="145"/>
      <c r="H812" s="147"/>
      <c r="I812" s="107"/>
      <c r="J812" s="178"/>
      <c r="K812" s="107"/>
      <c r="L812" s="145"/>
      <c r="M812" s="145"/>
      <c r="N812" s="145"/>
      <c r="O812" s="145"/>
      <c r="P812" s="147"/>
      <c r="Q812" s="148"/>
      <c r="R812" s="437"/>
      <c r="S812" s="107"/>
      <c r="T812" s="179"/>
      <c r="U812" s="178"/>
      <c r="V812" s="107"/>
      <c r="W812" s="107"/>
      <c r="X812" s="470"/>
      <c r="Y812" s="470"/>
      <c r="Z812" s="471"/>
      <c r="AA812" s="471"/>
      <c r="AB812" s="466"/>
      <c r="AC812" s="350"/>
      <c r="AD812" s="350"/>
      <c r="AE812" s="350"/>
      <c r="AF812" s="350"/>
    </row>
    <row r="813" spans="1:32" s="597" customFormat="1" ht="18" customHeight="1" x14ac:dyDescent="0.2">
      <c r="A813" s="145"/>
      <c r="B813" s="177"/>
      <c r="C813" s="177"/>
      <c r="D813" s="145"/>
      <c r="E813" s="145"/>
      <c r="F813" s="145"/>
      <c r="G813" s="145"/>
      <c r="H813" s="147"/>
      <c r="I813" s="107"/>
      <c r="J813" s="178"/>
      <c r="K813" s="107"/>
      <c r="L813" s="145"/>
      <c r="M813" s="145"/>
      <c r="N813" s="145"/>
      <c r="O813" s="145"/>
      <c r="P813" s="147"/>
      <c r="Q813" s="148"/>
      <c r="R813" s="437"/>
      <c r="S813" s="107"/>
      <c r="T813" s="179"/>
      <c r="U813" s="178"/>
      <c r="V813" s="107"/>
      <c r="W813" s="107"/>
      <c r="X813" s="470"/>
      <c r="Y813" s="470"/>
      <c r="Z813" s="471"/>
      <c r="AA813" s="471"/>
      <c r="AB813" s="466"/>
      <c r="AC813" s="350"/>
      <c r="AD813" s="350"/>
      <c r="AE813" s="350"/>
      <c r="AF813" s="350"/>
    </row>
    <row r="814" spans="1:32" s="597" customFormat="1" ht="18" customHeight="1" x14ac:dyDescent="0.2">
      <c r="A814" s="145"/>
      <c r="B814" s="177"/>
      <c r="C814" s="177"/>
      <c r="D814" s="145"/>
      <c r="E814" s="145"/>
      <c r="F814" s="145"/>
      <c r="G814" s="145"/>
      <c r="H814" s="147"/>
      <c r="I814" s="107"/>
      <c r="J814" s="178"/>
      <c r="K814" s="107"/>
      <c r="L814" s="145"/>
      <c r="M814" s="145"/>
      <c r="N814" s="145"/>
      <c r="O814" s="145"/>
      <c r="P814" s="147"/>
      <c r="Q814" s="148"/>
      <c r="R814" s="437"/>
      <c r="S814" s="107"/>
      <c r="T814" s="179"/>
      <c r="U814" s="178"/>
      <c r="V814" s="107"/>
      <c r="W814" s="107"/>
      <c r="X814" s="470"/>
      <c r="Y814" s="470"/>
      <c r="Z814" s="471"/>
      <c r="AA814" s="471"/>
      <c r="AB814" s="466"/>
      <c r="AC814" s="350"/>
      <c r="AD814" s="350"/>
      <c r="AE814" s="350"/>
      <c r="AF814" s="350"/>
    </row>
    <row r="815" spans="1:32" s="597" customFormat="1" ht="18" customHeight="1" x14ac:dyDescent="0.2">
      <c r="A815" s="145"/>
      <c r="B815" s="177"/>
      <c r="C815" s="177"/>
      <c r="D815" s="145"/>
      <c r="E815" s="145"/>
      <c r="F815" s="145"/>
      <c r="G815" s="145"/>
      <c r="H815" s="147"/>
      <c r="I815" s="107"/>
      <c r="J815" s="178"/>
      <c r="K815" s="107"/>
      <c r="L815" s="145"/>
      <c r="M815" s="145"/>
      <c r="N815" s="145"/>
      <c r="O815" s="145"/>
      <c r="P815" s="147"/>
      <c r="Q815" s="148"/>
      <c r="R815" s="437"/>
      <c r="S815" s="107"/>
      <c r="T815" s="179"/>
      <c r="U815" s="178"/>
      <c r="V815" s="107"/>
      <c r="W815" s="107"/>
      <c r="X815" s="470"/>
      <c r="Y815" s="470"/>
      <c r="Z815" s="471"/>
      <c r="AA815" s="471"/>
      <c r="AB815" s="466"/>
      <c r="AC815" s="350"/>
      <c r="AD815" s="350"/>
      <c r="AE815" s="350"/>
      <c r="AF815" s="350"/>
    </row>
    <row r="816" spans="1:32" s="597" customFormat="1" ht="18" customHeight="1" x14ac:dyDescent="0.2">
      <c r="A816" s="145"/>
      <c r="B816" s="177"/>
      <c r="C816" s="177"/>
      <c r="D816" s="145"/>
      <c r="E816" s="145"/>
      <c r="F816" s="145"/>
      <c r="G816" s="145"/>
      <c r="H816" s="147"/>
      <c r="I816" s="107"/>
      <c r="J816" s="178"/>
      <c r="K816" s="107"/>
      <c r="L816" s="145"/>
      <c r="M816" s="145"/>
      <c r="N816" s="145"/>
      <c r="O816" s="145"/>
      <c r="P816" s="147"/>
      <c r="Q816" s="148"/>
      <c r="R816" s="437"/>
      <c r="S816" s="107"/>
      <c r="T816" s="179"/>
      <c r="U816" s="178"/>
      <c r="V816" s="107"/>
      <c r="W816" s="107"/>
      <c r="X816" s="470"/>
      <c r="Y816" s="470"/>
      <c r="Z816" s="471"/>
      <c r="AA816" s="471"/>
      <c r="AB816" s="466"/>
      <c r="AC816" s="350"/>
      <c r="AD816" s="350"/>
      <c r="AE816" s="350"/>
      <c r="AF816" s="350"/>
    </row>
    <row r="817" spans="1:32" s="597" customFormat="1" ht="18" customHeight="1" x14ac:dyDescent="0.2">
      <c r="A817" s="145"/>
      <c r="B817" s="177"/>
      <c r="C817" s="177"/>
      <c r="D817" s="145"/>
      <c r="E817" s="145"/>
      <c r="F817" s="145"/>
      <c r="G817" s="145"/>
      <c r="H817" s="147"/>
      <c r="I817" s="107"/>
      <c r="J817" s="178"/>
      <c r="K817" s="107"/>
      <c r="L817" s="145"/>
      <c r="M817" s="145"/>
      <c r="N817" s="145"/>
      <c r="O817" s="145"/>
      <c r="P817" s="147"/>
      <c r="Q817" s="148"/>
      <c r="R817" s="437"/>
      <c r="S817" s="107"/>
      <c r="T817" s="179"/>
      <c r="U817" s="178"/>
      <c r="V817" s="107"/>
      <c r="W817" s="107"/>
      <c r="X817" s="470"/>
      <c r="Y817" s="470"/>
      <c r="Z817" s="471"/>
      <c r="AA817" s="471"/>
      <c r="AB817" s="466"/>
      <c r="AC817" s="350"/>
      <c r="AD817" s="350"/>
      <c r="AE817" s="350"/>
      <c r="AF817" s="350"/>
    </row>
    <row r="818" spans="1:32" s="597" customFormat="1" ht="18" customHeight="1" x14ac:dyDescent="0.2">
      <c r="A818" s="145"/>
      <c r="B818" s="177"/>
      <c r="C818" s="177"/>
      <c r="D818" s="145"/>
      <c r="E818" s="145"/>
      <c r="F818" s="145"/>
      <c r="G818" s="145"/>
      <c r="H818" s="147"/>
      <c r="I818" s="107"/>
      <c r="J818" s="178"/>
      <c r="K818" s="107"/>
      <c r="L818" s="145"/>
      <c r="M818" s="145"/>
      <c r="N818" s="145"/>
      <c r="O818" s="145"/>
      <c r="P818" s="147"/>
      <c r="Q818" s="148"/>
      <c r="R818" s="437"/>
      <c r="S818" s="107"/>
      <c r="T818" s="179"/>
      <c r="U818" s="178"/>
      <c r="V818" s="107"/>
      <c r="W818" s="107"/>
      <c r="X818" s="470"/>
      <c r="Y818" s="470"/>
      <c r="Z818" s="471"/>
      <c r="AA818" s="471"/>
      <c r="AB818" s="466"/>
      <c r="AC818" s="350"/>
      <c r="AD818" s="350"/>
      <c r="AE818" s="350"/>
      <c r="AF818" s="350"/>
    </row>
    <row r="819" spans="1:32" s="597" customFormat="1" ht="18" customHeight="1" x14ac:dyDescent="0.2">
      <c r="A819" s="145"/>
      <c r="B819" s="177"/>
      <c r="C819" s="177"/>
      <c r="D819" s="145"/>
      <c r="E819" s="145"/>
      <c r="F819" s="145"/>
      <c r="G819" s="145"/>
      <c r="H819" s="147"/>
      <c r="I819" s="107"/>
      <c r="J819" s="178"/>
      <c r="K819" s="107"/>
      <c r="L819" s="145"/>
      <c r="M819" s="145"/>
      <c r="N819" s="145"/>
      <c r="O819" s="145"/>
      <c r="P819" s="147"/>
      <c r="Q819" s="148"/>
      <c r="R819" s="437"/>
      <c r="S819" s="107"/>
      <c r="T819" s="179"/>
      <c r="U819" s="178"/>
      <c r="V819" s="107"/>
      <c r="W819" s="107"/>
      <c r="X819" s="470"/>
      <c r="Y819" s="470"/>
      <c r="Z819" s="471"/>
      <c r="AA819" s="471"/>
      <c r="AB819" s="466"/>
      <c r="AC819" s="350"/>
      <c r="AD819" s="350"/>
      <c r="AE819" s="350"/>
      <c r="AF819" s="350"/>
    </row>
    <row r="820" spans="1:32" s="597" customFormat="1" ht="18" customHeight="1" x14ac:dyDescent="0.2">
      <c r="A820" s="145"/>
      <c r="B820" s="177"/>
      <c r="C820" s="177"/>
      <c r="D820" s="145"/>
      <c r="E820" s="145"/>
      <c r="F820" s="145"/>
      <c r="G820" s="145"/>
      <c r="H820" s="147"/>
      <c r="I820" s="107"/>
      <c r="J820" s="178"/>
      <c r="K820" s="107"/>
      <c r="L820" s="145"/>
      <c r="M820" s="145"/>
      <c r="N820" s="145"/>
      <c r="O820" s="145"/>
      <c r="P820" s="147"/>
      <c r="Q820" s="148"/>
      <c r="R820" s="437"/>
      <c r="S820" s="107"/>
      <c r="T820" s="179"/>
      <c r="U820" s="178"/>
      <c r="V820" s="107"/>
      <c r="W820" s="107"/>
      <c r="X820" s="470"/>
      <c r="Y820" s="470"/>
      <c r="Z820" s="471"/>
      <c r="AA820" s="471"/>
      <c r="AB820" s="466"/>
      <c r="AC820" s="350"/>
      <c r="AD820" s="350"/>
      <c r="AE820" s="350"/>
      <c r="AF820" s="350"/>
    </row>
    <row r="821" spans="1:32" s="597" customFormat="1" ht="18" customHeight="1" x14ac:dyDescent="0.2">
      <c r="A821" s="145"/>
      <c r="B821" s="177"/>
      <c r="C821" s="177"/>
      <c r="D821" s="145"/>
      <c r="E821" s="145"/>
      <c r="F821" s="145"/>
      <c r="G821" s="145"/>
      <c r="H821" s="147"/>
      <c r="I821" s="107"/>
      <c r="J821" s="178"/>
      <c r="K821" s="107"/>
      <c r="L821" s="145"/>
      <c r="M821" s="145"/>
      <c r="N821" s="145"/>
      <c r="O821" s="145"/>
      <c r="P821" s="147"/>
      <c r="Q821" s="148"/>
      <c r="R821" s="437"/>
      <c r="S821" s="107"/>
      <c r="T821" s="179"/>
      <c r="U821" s="178"/>
      <c r="V821" s="107"/>
      <c r="W821" s="107"/>
      <c r="X821" s="470"/>
      <c r="Y821" s="470"/>
      <c r="Z821" s="471"/>
      <c r="AA821" s="471"/>
      <c r="AB821" s="466"/>
      <c r="AC821" s="350"/>
      <c r="AD821" s="350"/>
      <c r="AE821" s="350"/>
      <c r="AF821" s="350"/>
    </row>
    <row r="822" spans="1:32" s="597" customFormat="1" ht="18" customHeight="1" x14ac:dyDescent="0.2">
      <c r="A822" s="88"/>
      <c r="B822" s="180"/>
      <c r="C822" s="180"/>
      <c r="D822" s="88"/>
      <c r="E822" s="88"/>
      <c r="F822" s="88"/>
      <c r="G822" s="88"/>
      <c r="H822" s="120"/>
      <c r="I822" s="121"/>
      <c r="J822" s="181"/>
      <c r="K822" s="121"/>
      <c r="L822" s="88"/>
      <c r="M822" s="88"/>
      <c r="N822" s="88"/>
      <c r="O822" s="88"/>
      <c r="P822" s="88"/>
      <c r="Q822" s="129"/>
      <c r="R822" s="445"/>
      <c r="S822" s="121"/>
      <c r="T822" s="182"/>
      <c r="U822" s="181"/>
      <c r="V822" s="121"/>
      <c r="W822" s="121"/>
      <c r="X822" s="472"/>
      <c r="Y822" s="472"/>
      <c r="Z822" s="473"/>
      <c r="AA822" s="473"/>
      <c r="AB822" s="410"/>
      <c r="AC822" s="350"/>
      <c r="AD822" s="350"/>
      <c r="AE822" s="350"/>
      <c r="AF822" s="350"/>
    </row>
    <row r="823" spans="1:32" s="597" customFormat="1" ht="18" customHeight="1" x14ac:dyDescent="0.2">
      <c r="A823" s="1850"/>
      <c r="B823" s="1850"/>
      <c r="C823" s="1850"/>
      <c r="D823" s="1850"/>
      <c r="E823" s="1850"/>
      <c r="F823" s="1850"/>
      <c r="G823" s="1850"/>
      <c r="H823" s="1851"/>
      <c r="I823" s="1852"/>
      <c r="J823" s="1853"/>
      <c r="K823" s="1852"/>
      <c r="L823" s="1852"/>
      <c r="M823" s="1852"/>
      <c r="N823" s="1852"/>
      <c r="O823" s="1852"/>
      <c r="P823" s="1852"/>
      <c r="Q823" s="1852"/>
      <c r="R823" s="1854"/>
      <c r="S823" s="1852"/>
      <c r="T823" s="1855"/>
      <c r="U823" s="1853"/>
      <c r="V823" s="1852"/>
      <c r="W823" s="1852"/>
      <c r="X823" s="1856"/>
      <c r="Y823" s="1856"/>
      <c r="Z823" s="1857"/>
      <c r="AA823" s="1857"/>
      <c r="AB823" s="1847">
        <f>SUM(AB808:AB822)</f>
        <v>3150</v>
      </c>
      <c r="AC823" s="1972"/>
      <c r="AD823" s="1972"/>
      <c r="AE823" s="1972"/>
      <c r="AF823" s="1972"/>
    </row>
    <row r="824" spans="1:32" s="597" customFormat="1" ht="18" customHeight="1" x14ac:dyDescent="0.2">
      <c r="A824" s="2690" t="s">
        <v>76</v>
      </c>
      <c r="B824" s="2690"/>
      <c r="C824" s="2691" t="s">
        <v>77</v>
      </c>
      <c r="D824" s="2691"/>
      <c r="E824" s="2691"/>
      <c r="F824" s="2691"/>
      <c r="G824" s="2691"/>
      <c r="H824" s="2691"/>
      <c r="I824" s="604" t="s">
        <v>78</v>
      </c>
      <c r="J824" s="604"/>
      <c r="K824" s="604"/>
      <c r="L824" s="604"/>
      <c r="M824" s="604"/>
      <c r="N824" s="604"/>
      <c r="AB824" s="598"/>
      <c r="AC824" s="349"/>
      <c r="AD824" s="349"/>
      <c r="AE824" s="349"/>
      <c r="AF824" s="349"/>
    </row>
    <row r="825" spans="1:32" s="597" customFormat="1" ht="18" customHeight="1" x14ac:dyDescent="0.2">
      <c r="A825" s="604"/>
      <c r="B825" s="605"/>
      <c r="C825" s="604"/>
      <c r="D825" s="604"/>
      <c r="E825" s="604"/>
      <c r="F825" s="604"/>
      <c r="G825" s="604"/>
      <c r="H825" s="604"/>
      <c r="I825" s="604" t="s">
        <v>79</v>
      </c>
      <c r="J825" s="604"/>
      <c r="K825" s="604"/>
      <c r="L825" s="604"/>
      <c r="M825" s="604"/>
      <c r="N825" s="604"/>
      <c r="AB825" s="598"/>
    </row>
    <row r="826" spans="1:32" s="597" customFormat="1" ht="18" customHeight="1" x14ac:dyDescent="0.2">
      <c r="A826" s="604"/>
      <c r="B826" s="605"/>
      <c r="C826" s="604"/>
      <c r="D826" s="604"/>
      <c r="E826" s="604"/>
      <c r="F826" s="604"/>
      <c r="G826" s="604"/>
      <c r="H826" s="604"/>
      <c r="I826" s="604" t="s">
        <v>80</v>
      </c>
      <c r="J826" s="604"/>
      <c r="K826" s="604"/>
      <c r="L826" s="604"/>
      <c r="M826" s="604"/>
      <c r="N826" s="604"/>
      <c r="AB826" s="598"/>
    </row>
    <row r="827" spans="1:32" s="597" customFormat="1" ht="18" customHeight="1" x14ac:dyDescent="0.2">
      <c r="A827" s="604"/>
      <c r="B827" s="605"/>
      <c r="C827" s="604"/>
      <c r="D827" s="604"/>
      <c r="E827" s="604"/>
      <c r="F827" s="604"/>
      <c r="G827" s="604"/>
      <c r="H827" s="604"/>
      <c r="I827" s="604" t="s">
        <v>81</v>
      </c>
      <c r="J827" s="604"/>
      <c r="K827" s="604"/>
      <c r="L827" s="604"/>
      <c r="M827" s="604"/>
      <c r="N827" s="604"/>
      <c r="AB827" s="598"/>
    </row>
    <row r="828" spans="1:32" s="597" customFormat="1" ht="18" customHeight="1" x14ac:dyDescent="0.2">
      <c r="A828" s="604"/>
      <c r="B828" s="605"/>
      <c r="C828" s="604"/>
      <c r="D828" s="604"/>
      <c r="E828" s="604"/>
      <c r="F828" s="604"/>
      <c r="G828" s="604"/>
      <c r="H828" s="604"/>
      <c r="I828" s="604" t="s">
        <v>88</v>
      </c>
      <c r="J828" s="604"/>
      <c r="K828" s="604"/>
      <c r="L828" s="604"/>
      <c r="M828" s="604"/>
      <c r="N828" s="604"/>
      <c r="AB828" s="598"/>
    </row>
    <row r="829" spans="1:32" s="597" customFormat="1" ht="18" customHeight="1" x14ac:dyDescent="0.2">
      <c r="A829" s="604"/>
      <c r="B829" s="605"/>
      <c r="C829" s="604"/>
      <c r="D829" s="604"/>
      <c r="E829" s="604"/>
      <c r="F829" s="604"/>
      <c r="G829" s="604"/>
      <c r="H829" s="604"/>
      <c r="I829" s="604" t="s">
        <v>88</v>
      </c>
      <c r="J829" s="604"/>
      <c r="K829" s="604"/>
      <c r="L829" s="604"/>
      <c r="M829" s="604"/>
      <c r="N829" s="604"/>
      <c r="AB829" s="598"/>
    </row>
    <row r="830" spans="1:32" s="597" customFormat="1" ht="18" customHeight="1" x14ac:dyDescent="0.2">
      <c r="A830" s="339"/>
      <c r="B830" s="339"/>
      <c r="C830" s="339"/>
      <c r="D830" s="339"/>
      <c r="E830" s="339"/>
      <c r="F830" s="339"/>
      <c r="G830" s="339"/>
      <c r="H830" s="339"/>
      <c r="I830" s="339"/>
      <c r="J830" s="339"/>
      <c r="K830" s="339"/>
      <c r="L830" s="339"/>
      <c r="M830" s="339"/>
      <c r="N830" s="339"/>
      <c r="O830" s="339"/>
      <c r="P830" s="339"/>
      <c r="Q830" s="339"/>
      <c r="R830" s="339"/>
      <c r="S830" s="339"/>
      <c r="T830" s="339"/>
      <c r="U830" s="339"/>
      <c r="V830" s="339"/>
      <c r="W830" s="339"/>
      <c r="X830" s="339"/>
      <c r="Y830" s="339"/>
      <c r="Z830" s="339"/>
      <c r="AA830" s="2702" t="s">
        <v>0</v>
      </c>
      <c r="AB830" s="2702"/>
    </row>
    <row r="831" spans="1:32" s="597" customFormat="1" ht="18" customHeight="1" x14ac:dyDescent="0.2">
      <c r="A831" s="2703" t="s">
        <v>1</v>
      </c>
      <c r="B831" s="2703"/>
      <c r="C831" s="2703"/>
      <c r="D831" s="2703"/>
      <c r="E831" s="2703"/>
      <c r="F831" s="2703"/>
      <c r="G831" s="2703"/>
      <c r="H831" s="2703"/>
      <c r="I831" s="2703"/>
      <c r="J831" s="2703"/>
      <c r="K831" s="2703"/>
      <c r="L831" s="2703"/>
      <c r="M831" s="2703"/>
      <c r="N831" s="2703"/>
      <c r="O831" s="2703"/>
      <c r="P831" s="2703"/>
      <c r="Q831" s="2703"/>
      <c r="R831" s="2703"/>
      <c r="S831" s="2703"/>
      <c r="T831" s="2703"/>
      <c r="U831" s="2703"/>
      <c r="V831" s="2703"/>
      <c r="W831" s="2703"/>
      <c r="X831" s="2703"/>
      <c r="Y831" s="2703"/>
      <c r="Z831" s="2703"/>
      <c r="AA831" s="2703"/>
      <c r="AB831" s="2703"/>
      <c r="AC831" s="339"/>
      <c r="AD831" s="339"/>
      <c r="AE831" s="339"/>
      <c r="AF831" s="339"/>
    </row>
    <row r="832" spans="1:32" s="597" customFormat="1" ht="18" customHeight="1" x14ac:dyDescent="0.2">
      <c r="A832" s="2704" t="s">
        <v>479</v>
      </c>
      <c r="B832" s="2704"/>
      <c r="C832" s="2704"/>
      <c r="D832" s="2704"/>
      <c r="E832" s="2704"/>
      <c r="F832" s="2704"/>
      <c r="G832" s="2704"/>
      <c r="H832" s="2704"/>
      <c r="I832" s="2704"/>
      <c r="J832" s="2704"/>
      <c r="K832" s="2704"/>
      <c r="L832" s="2704"/>
      <c r="M832" s="2704"/>
      <c r="N832" s="2704"/>
      <c r="O832" s="2704"/>
      <c r="P832" s="2704"/>
      <c r="Q832" s="2704"/>
      <c r="R832" s="2704"/>
      <c r="S832" s="2704"/>
      <c r="T832" s="2704"/>
      <c r="U832" s="2704"/>
      <c r="V832" s="2704"/>
      <c r="W832" s="2704"/>
      <c r="X832" s="2704"/>
      <c r="Y832" s="2704"/>
      <c r="Z832" s="2704"/>
      <c r="AA832" s="2704"/>
      <c r="AB832" s="2740"/>
      <c r="AC832" s="344"/>
      <c r="AD832" s="344"/>
      <c r="AE832" s="344"/>
      <c r="AF832" s="344"/>
    </row>
    <row r="833" spans="1:32" s="597" customFormat="1" ht="18" customHeight="1" x14ac:dyDescent="0.2">
      <c r="A833" s="2686" t="s">
        <v>2</v>
      </c>
      <c r="B833" s="360"/>
      <c r="C833" s="2686" t="s">
        <v>3</v>
      </c>
      <c r="D833" s="360"/>
      <c r="E833" s="360"/>
      <c r="F833" s="2693" t="s">
        <v>4</v>
      </c>
      <c r="G833" s="2693"/>
      <c r="H833" s="2693"/>
      <c r="I833" s="2694"/>
      <c r="J833" s="2694"/>
      <c r="K833" s="2695"/>
      <c r="L833" s="361"/>
      <c r="M833" s="2679" t="s">
        <v>5</v>
      </c>
      <c r="N833" s="2679"/>
      <c r="O833" s="2679"/>
      <c r="P833" s="2679"/>
      <c r="Q833" s="2696"/>
      <c r="R833" s="2696"/>
      <c r="S833" s="2696"/>
      <c r="T833" s="2696"/>
      <c r="U833" s="2696"/>
      <c r="V833" s="2697"/>
      <c r="W833" s="362" t="s">
        <v>6</v>
      </c>
      <c r="X833" s="363" t="s">
        <v>7</v>
      </c>
      <c r="Y833" s="364"/>
      <c r="Z833" s="364"/>
      <c r="AA833" s="363"/>
      <c r="AB833" s="365"/>
      <c r="AC833" s="599"/>
      <c r="AD833" s="599"/>
      <c r="AE833" s="599"/>
      <c r="AF833" s="599"/>
    </row>
    <row r="834" spans="1:32" s="597" customFormat="1" ht="18" customHeight="1" x14ac:dyDescent="0.2">
      <c r="A834" s="2687"/>
      <c r="B834" s="367"/>
      <c r="C834" s="2687"/>
      <c r="D834" s="366" t="s">
        <v>9</v>
      </c>
      <c r="E834" s="368" t="s">
        <v>10</v>
      </c>
      <c r="F834" s="2698" t="s">
        <v>11</v>
      </c>
      <c r="G834" s="2694"/>
      <c r="H834" s="2695"/>
      <c r="I834" s="360"/>
      <c r="J834" s="369" t="s">
        <v>12</v>
      </c>
      <c r="K834" s="360"/>
      <c r="L834" s="2679" t="s">
        <v>2</v>
      </c>
      <c r="M834" s="370"/>
      <c r="N834" s="370"/>
      <c r="O834" s="370"/>
      <c r="P834" s="371"/>
      <c r="Q834" s="372" t="s">
        <v>13</v>
      </c>
      <c r="R834" s="373" t="s">
        <v>12</v>
      </c>
      <c r="S834" s="370" t="s">
        <v>6</v>
      </c>
      <c r="T834" s="2682" t="s">
        <v>14</v>
      </c>
      <c r="U834" s="2683"/>
      <c r="V834" s="375" t="s">
        <v>7</v>
      </c>
      <c r="W834" s="376" t="s">
        <v>15</v>
      </c>
      <c r="X834" s="377" t="s">
        <v>16</v>
      </c>
      <c r="Y834" s="377" t="s">
        <v>17</v>
      </c>
      <c r="Z834" s="377" t="s">
        <v>18</v>
      </c>
      <c r="AA834" s="377"/>
      <c r="AB834" s="378" t="s">
        <v>19</v>
      </c>
      <c r="AC834" s="516" t="s">
        <v>8</v>
      </c>
      <c r="AD834" s="346"/>
      <c r="AE834" s="346"/>
      <c r="AF834" s="600"/>
    </row>
    <row r="835" spans="1:32" s="597" customFormat="1" ht="18" customHeight="1" x14ac:dyDescent="0.2">
      <c r="A835" s="2687"/>
      <c r="B835" s="366" t="s">
        <v>23</v>
      </c>
      <c r="C835" s="2687"/>
      <c r="D835" s="366" t="s">
        <v>24</v>
      </c>
      <c r="E835" s="368" t="s">
        <v>25</v>
      </c>
      <c r="F835" s="2699"/>
      <c r="G835" s="2700"/>
      <c r="H835" s="2701"/>
      <c r="I835" s="366" t="s">
        <v>26</v>
      </c>
      <c r="J835" s="379" t="s">
        <v>15</v>
      </c>
      <c r="K835" s="380" t="s">
        <v>6</v>
      </c>
      <c r="L835" s="2680"/>
      <c r="M835" s="381" t="s">
        <v>27</v>
      </c>
      <c r="N835" s="381" t="s">
        <v>10</v>
      </c>
      <c r="O835" s="382" t="s">
        <v>10</v>
      </c>
      <c r="P835" s="383" t="s">
        <v>28</v>
      </c>
      <c r="Q835" s="384" t="s">
        <v>29</v>
      </c>
      <c r="R835" s="383" t="s">
        <v>15</v>
      </c>
      <c r="S835" s="385" t="s">
        <v>15</v>
      </c>
      <c r="T835" s="2684"/>
      <c r="U835" s="2685"/>
      <c r="V835" s="375" t="s">
        <v>30</v>
      </c>
      <c r="W835" s="376" t="s">
        <v>31</v>
      </c>
      <c r="X835" s="377" t="s">
        <v>30</v>
      </c>
      <c r="Y835" s="377" t="s">
        <v>32</v>
      </c>
      <c r="Z835" s="377" t="s">
        <v>7</v>
      </c>
      <c r="AA835" s="377" t="s">
        <v>33</v>
      </c>
      <c r="AB835" s="378" t="s">
        <v>34</v>
      </c>
      <c r="AC835" s="528" t="s">
        <v>20</v>
      </c>
      <c r="AD835" s="601"/>
      <c r="AE835" s="347" t="s">
        <v>21</v>
      </c>
      <c r="AF835" s="340" t="s">
        <v>22</v>
      </c>
    </row>
    <row r="836" spans="1:32" s="597" customFormat="1" ht="18" customHeight="1" x14ac:dyDescent="0.2">
      <c r="A836" s="2687"/>
      <c r="B836" s="366" t="s">
        <v>39</v>
      </c>
      <c r="C836" s="2687"/>
      <c r="D836" s="366" t="s">
        <v>40</v>
      </c>
      <c r="E836" s="368" t="s">
        <v>41</v>
      </c>
      <c r="F836" s="2686" t="s">
        <v>42</v>
      </c>
      <c r="G836" s="2686" t="s">
        <v>43</v>
      </c>
      <c r="H836" s="2688" t="s">
        <v>44</v>
      </c>
      <c r="I836" s="366" t="s">
        <v>45</v>
      </c>
      <c r="J836" s="379" t="s">
        <v>46</v>
      </c>
      <c r="K836" s="380" t="s">
        <v>47</v>
      </c>
      <c r="L836" s="2680"/>
      <c r="M836" s="381" t="s">
        <v>30</v>
      </c>
      <c r="N836" s="381" t="s">
        <v>30</v>
      </c>
      <c r="O836" s="382" t="s">
        <v>25</v>
      </c>
      <c r="P836" s="383" t="s">
        <v>30</v>
      </c>
      <c r="Q836" s="384" t="s">
        <v>48</v>
      </c>
      <c r="R836" s="383" t="s">
        <v>49</v>
      </c>
      <c r="S836" s="385" t="s">
        <v>30</v>
      </c>
      <c r="T836" s="386" t="s">
        <v>50</v>
      </c>
      <c r="U836" s="374" t="s">
        <v>13</v>
      </c>
      <c r="V836" s="375" t="s">
        <v>51</v>
      </c>
      <c r="W836" s="376" t="s">
        <v>52</v>
      </c>
      <c r="X836" s="377" t="s">
        <v>53</v>
      </c>
      <c r="Y836" s="377" t="s">
        <v>54</v>
      </c>
      <c r="Z836" s="377" t="s">
        <v>55</v>
      </c>
      <c r="AA836" s="377" t="s">
        <v>56</v>
      </c>
      <c r="AB836" s="378" t="s">
        <v>57</v>
      </c>
      <c r="AC836" s="528" t="s">
        <v>35</v>
      </c>
      <c r="AD836" s="347" t="s">
        <v>36</v>
      </c>
      <c r="AE836" s="347" t="s">
        <v>37</v>
      </c>
      <c r="AF836" s="340" t="s">
        <v>38</v>
      </c>
    </row>
    <row r="837" spans="1:32" s="597" customFormat="1" ht="18" customHeight="1" x14ac:dyDescent="0.2">
      <c r="A837" s="2687"/>
      <c r="B837" s="366" t="s">
        <v>61</v>
      </c>
      <c r="C837" s="2687"/>
      <c r="D837" s="366" t="s">
        <v>62</v>
      </c>
      <c r="E837" s="368" t="s">
        <v>63</v>
      </c>
      <c r="F837" s="2687"/>
      <c r="G837" s="2687"/>
      <c r="H837" s="2689"/>
      <c r="I837" s="366" t="s">
        <v>64</v>
      </c>
      <c r="J837" s="379" t="s">
        <v>59</v>
      </c>
      <c r="K837" s="380" t="s">
        <v>59</v>
      </c>
      <c r="L837" s="2680"/>
      <c r="M837" s="381"/>
      <c r="N837" s="381"/>
      <c r="O837" s="382" t="s">
        <v>41</v>
      </c>
      <c r="P837" s="383" t="s">
        <v>65</v>
      </c>
      <c r="Q837" s="384" t="s">
        <v>66</v>
      </c>
      <c r="R837" s="383" t="s">
        <v>67</v>
      </c>
      <c r="S837" s="385" t="s">
        <v>59</v>
      </c>
      <c r="T837" s="387" t="s">
        <v>68</v>
      </c>
      <c r="U837" s="375" t="s">
        <v>14</v>
      </c>
      <c r="V837" s="375" t="s">
        <v>14</v>
      </c>
      <c r="W837" s="376" t="s">
        <v>30</v>
      </c>
      <c r="X837" s="388" t="s">
        <v>69</v>
      </c>
      <c r="Y837" s="388" t="s">
        <v>70</v>
      </c>
      <c r="Z837" s="377" t="s">
        <v>71</v>
      </c>
      <c r="AA837" s="377" t="s">
        <v>72</v>
      </c>
      <c r="AB837" s="378" t="s">
        <v>59</v>
      </c>
      <c r="AC837" s="347" t="s">
        <v>58</v>
      </c>
      <c r="AD837" s="347" t="s">
        <v>59</v>
      </c>
      <c r="AE837" s="347" t="s">
        <v>59</v>
      </c>
      <c r="AF837" s="340" t="s">
        <v>60</v>
      </c>
    </row>
    <row r="838" spans="1:32" s="597" customFormat="1" ht="18" customHeight="1" x14ac:dyDescent="0.2">
      <c r="A838" s="2692"/>
      <c r="B838" s="390"/>
      <c r="C838" s="2692"/>
      <c r="D838" s="390"/>
      <c r="E838" s="389"/>
      <c r="F838" s="390"/>
      <c r="G838" s="390"/>
      <c r="H838" s="391"/>
      <c r="I838" s="389"/>
      <c r="J838" s="392"/>
      <c r="K838" s="393"/>
      <c r="L838" s="2681"/>
      <c r="M838" s="394"/>
      <c r="N838" s="394"/>
      <c r="O838" s="394" t="s">
        <v>63</v>
      </c>
      <c r="P838" s="395"/>
      <c r="Q838" s="396" t="s">
        <v>72</v>
      </c>
      <c r="R838" s="397" t="s">
        <v>59</v>
      </c>
      <c r="S838" s="398"/>
      <c r="T838" s="397" t="s">
        <v>73</v>
      </c>
      <c r="U838" s="398" t="s">
        <v>59</v>
      </c>
      <c r="V838" s="399" t="s">
        <v>59</v>
      </c>
      <c r="W838" s="400" t="s">
        <v>59</v>
      </c>
      <c r="X838" s="401" t="s">
        <v>59</v>
      </c>
      <c r="Y838" s="401" t="s">
        <v>59</v>
      </c>
      <c r="Z838" s="401" t="s">
        <v>59</v>
      </c>
      <c r="AA838" s="402"/>
      <c r="AB838" s="403"/>
      <c r="AC838" s="347" t="s">
        <v>59</v>
      </c>
      <c r="AD838" s="347"/>
      <c r="AE838" s="347"/>
      <c r="AF838" s="340" t="s">
        <v>59</v>
      </c>
    </row>
    <row r="839" spans="1:32" s="597" customFormat="1" ht="18" customHeight="1" x14ac:dyDescent="0.2">
      <c r="A839" s="53">
        <v>1</v>
      </c>
      <c r="B839" s="95">
        <v>62335</v>
      </c>
      <c r="C839" s="82">
        <v>1773</v>
      </c>
      <c r="D839" s="82" t="s">
        <v>95</v>
      </c>
      <c r="E839" s="82">
        <v>4</v>
      </c>
      <c r="F839" s="82">
        <v>0</v>
      </c>
      <c r="G839" s="82">
        <v>0</v>
      </c>
      <c r="H839" s="463">
        <v>85</v>
      </c>
      <c r="I839" s="70">
        <f>F839*400+G839*100+H839</f>
        <v>85</v>
      </c>
      <c r="J839" s="123">
        <v>1000</v>
      </c>
      <c r="K839" s="124">
        <f>SUM(I839*J839)</f>
        <v>85000</v>
      </c>
      <c r="L839" s="53"/>
      <c r="M839" s="82"/>
      <c r="N839" s="82"/>
      <c r="O839" s="53"/>
      <c r="P839" s="358"/>
      <c r="Q839" s="197"/>
      <c r="R839" s="444"/>
      <c r="S839" s="70"/>
      <c r="T839" s="82"/>
      <c r="U839" s="70"/>
      <c r="V839" s="70"/>
      <c r="W839" s="70">
        <f>K839+V839</f>
        <v>85000</v>
      </c>
      <c r="X839" s="70">
        <f>W839</f>
        <v>85000</v>
      </c>
      <c r="Y839" s="123"/>
      <c r="Z839" s="70">
        <f>+X839</f>
        <v>85000</v>
      </c>
      <c r="AA839" s="464">
        <v>0.6</v>
      </c>
      <c r="AB839" s="406">
        <f>+Z839*AA839/100</f>
        <v>510</v>
      </c>
      <c r="AC839" s="348"/>
      <c r="AD839" s="348"/>
      <c r="AE839" s="348"/>
      <c r="AF839" s="341"/>
    </row>
    <row r="840" spans="1:32" s="597" customFormat="1" ht="18" customHeight="1" x14ac:dyDescent="0.2">
      <c r="A840" s="61"/>
      <c r="B840" s="145"/>
      <c r="C840" s="145"/>
      <c r="D840" s="145"/>
      <c r="E840" s="145"/>
      <c r="F840" s="145"/>
      <c r="G840" s="145"/>
      <c r="H840" s="407"/>
      <c r="I840" s="77"/>
      <c r="J840" s="107"/>
      <c r="K840" s="78"/>
      <c r="L840" s="61"/>
      <c r="M840" s="145"/>
      <c r="N840" s="145"/>
      <c r="O840" s="61"/>
      <c r="P840" s="177"/>
      <c r="Q840" s="196"/>
      <c r="R840" s="408"/>
      <c r="S840" s="77"/>
      <c r="T840" s="145"/>
      <c r="U840" s="77"/>
      <c r="V840" s="77"/>
      <c r="W840" s="77"/>
      <c r="X840" s="77"/>
      <c r="Y840" s="107"/>
      <c r="Z840" s="77"/>
      <c r="AA840" s="409"/>
      <c r="AB840" s="410"/>
      <c r="AC840" s="602"/>
      <c r="AD840" s="603" t="e">
        <f>#REF!-AC840</f>
        <v>#REF!</v>
      </c>
      <c r="AE840" s="603" t="e">
        <f>IF(AD840&lt;=0,0,AD840*25/100)</f>
        <v>#REF!</v>
      </c>
      <c r="AF840" s="603" t="e">
        <f>IF(AC840+AE840&gt;#REF!,#REF!,AC840+AE840)</f>
        <v>#REF!</v>
      </c>
    </row>
    <row r="841" spans="1:32" s="597" customFormat="1" ht="18" customHeight="1" x14ac:dyDescent="0.2">
      <c r="A841" s="145"/>
      <c r="B841" s="177"/>
      <c r="C841" s="177"/>
      <c r="D841" s="145"/>
      <c r="E841" s="145"/>
      <c r="F841" s="145"/>
      <c r="G841" s="145"/>
      <c r="H841" s="147"/>
      <c r="I841" s="107"/>
      <c r="J841" s="178"/>
      <c r="K841" s="107"/>
      <c r="L841" s="145"/>
      <c r="M841" s="145"/>
      <c r="N841" s="145"/>
      <c r="O841" s="145"/>
      <c r="P841" s="147"/>
      <c r="Q841" s="148"/>
      <c r="R841" s="437"/>
      <c r="S841" s="107"/>
      <c r="T841" s="179"/>
      <c r="U841" s="178"/>
      <c r="V841" s="107"/>
      <c r="W841" s="107"/>
      <c r="X841" s="470"/>
      <c r="Y841" s="470"/>
      <c r="Z841" s="471"/>
      <c r="AA841" s="471"/>
      <c r="AB841" s="466"/>
      <c r="AC841" s="350"/>
      <c r="AD841" s="350"/>
      <c r="AE841" s="350"/>
      <c r="AF841" s="350"/>
    </row>
    <row r="842" spans="1:32" s="597" customFormat="1" ht="18" customHeight="1" x14ac:dyDescent="0.2">
      <c r="A842" s="145"/>
      <c r="B842" s="177"/>
      <c r="C842" s="177"/>
      <c r="D842" s="145"/>
      <c r="E842" s="145"/>
      <c r="F842" s="145"/>
      <c r="G842" s="145"/>
      <c r="H842" s="147"/>
      <c r="I842" s="107"/>
      <c r="J842" s="178"/>
      <c r="K842" s="107"/>
      <c r="L842" s="145"/>
      <c r="M842" s="145"/>
      <c r="N842" s="145"/>
      <c r="O842" s="145"/>
      <c r="P842" s="147"/>
      <c r="Q842" s="148"/>
      <c r="R842" s="437"/>
      <c r="S842" s="107"/>
      <c r="T842" s="179"/>
      <c r="U842" s="178"/>
      <c r="V842" s="107"/>
      <c r="W842" s="107"/>
      <c r="X842" s="470"/>
      <c r="Y842" s="470"/>
      <c r="Z842" s="471"/>
      <c r="AA842" s="471"/>
      <c r="AB842" s="466"/>
      <c r="AC842" s="350"/>
      <c r="AD842" s="350"/>
      <c r="AE842" s="350"/>
      <c r="AF842" s="350"/>
    </row>
    <row r="843" spans="1:32" s="597" customFormat="1" ht="18" customHeight="1" x14ac:dyDescent="0.2">
      <c r="A843" s="145"/>
      <c r="B843" s="177"/>
      <c r="C843" s="177"/>
      <c r="D843" s="145"/>
      <c r="E843" s="145"/>
      <c r="F843" s="145"/>
      <c r="G843" s="145"/>
      <c r="H843" s="147"/>
      <c r="I843" s="107"/>
      <c r="J843" s="178"/>
      <c r="K843" s="107"/>
      <c r="L843" s="145"/>
      <c r="M843" s="145"/>
      <c r="N843" s="145"/>
      <c r="O843" s="145"/>
      <c r="P843" s="147"/>
      <c r="Q843" s="148"/>
      <c r="R843" s="437"/>
      <c r="S843" s="107"/>
      <c r="T843" s="179"/>
      <c r="U843" s="178"/>
      <c r="V843" s="107"/>
      <c r="W843" s="107"/>
      <c r="X843" s="470"/>
      <c r="Y843" s="470"/>
      <c r="Z843" s="471"/>
      <c r="AA843" s="471"/>
      <c r="AB843" s="466"/>
      <c r="AC843" s="350"/>
      <c r="AD843" s="350"/>
      <c r="AE843" s="350"/>
      <c r="AF843" s="350"/>
    </row>
    <row r="844" spans="1:32" s="597" customFormat="1" ht="18" customHeight="1" x14ac:dyDescent="0.2">
      <c r="A844" s="145"/>
      <c r="B844" s="177"/>
      <c r="C844" s="177"/>
      <c r="D844" s="145"/>
      <c r="E844" s="145"/>
      <c r="F844" s="145"/>
      <c r="G844" s="145"/>
      <c r="H844" s="147"/>
      <c r="I844" s="107"/>
      <c r="J844" s="178"/>
      <c r="K844" s="107"/>
      <c r="L844" s="145"/>
      <c r="M844" s="145"/>
      <c r="N844" s="145"/>
      <c r="O844" s="145"/>
      <c r="P844" s="147"/>
      <c r="Q844" s="148"/>
      <c r="R844" s="437"/>
      <c r="S844" s="107"/>
      <c r="T844" s="179"/>
      <c r="U844" s="178"/>
      <c r="V844" s="107"/>
      <c r="W844" s="107"/>
      <c r="X844" s="470"/>
      <c r="Y844" s="470"/>
      <c r="Z844" s="471"/>
      <c r="AA844" s="471"/>
      <c r="AB844" s="466"/>
      <c r="AC844" s="350"/>
      <c r="AD844" s="350"/>
      <c r="AE844" s="350"/>
      <c r="AF844" s="350"/>
    </row>
    <row r="845" spans="1:32" s="597" customFormat="1" ht="18" customHeight="1" x14ac:dyDescent="0.2">
      <c r="A845" s="145"/>
      <c r="B845" s="177"/>
      <c r="C845" s="177"/>
      <c r="D845" s="145"/>
      <c r="E845" s="145"/>
      <c r="F845" s="145"/>
      <c r="G845" s="145"/>
      <c r="H845" s="147"/>
      <c r="I845" s="107"/>
      <c r="J845" s="178"/>
      <c r="K845" s="107"/>
      <c r="L845" s="145"/>
      <c r="M845" s="145"/>
      <c r="N845" s="145"/>
      <c r="O845" s="145"/>
      <c r="P845" s="147"/>
      <c r="Q845" s="148"/>
      <c r="R845" s="437"/>
      <c r="S845" s="107"/>
      <c r="T845" s="179"/>
      <c r="U845" s="178"/>
      <c r="V845" s="107"/>
      <c r="W845" s="107"/>
      <c r="X845" s="470"/>
      <c r="Y845" s="470"/>
      <c r="Z845" s="471"/>
      <c r="AA845" s="471"/>
      <c r="AB845" s="466"/>
      <c r="AC845" s="350"/>
      <c r="AD845" s="350"/>
      <c r="AE845" s="350"/>
      <c r="AF845" s="350"/>
    </row>
    <row r="846" spans="1:32" s="597" customFormat="1" ht="18" customHeight="1" x14ac:dyDescent="0.2">
      <c r="A846" s="145"/>
      <c r="B846" s="177"/>
      <c r="C846" s="177"/>
      <c r="D846" s="145"/>
      <c r="E846" s="145"/>
      <c r="F846" s="145"/>
      <c r="G846" s="145"/>
      <c r="H846" s="147"/>
      <c r="I846" s="107"/>
      <c r="J846" s="178"/>
      <c r="K846" s="107"/>
      <c r="L846" s="145"/>
      <c r="M846" s="145"/>
      <c r="N846" s="145"/>
      <c r="O846" s="145"/>
      <c r="P846" s="147"/>
      <c r="Q846" s="148"/>
      <c r="R846" s="437"/>
      <c r="S846" s="107"/>
      <c r="T846" s="179"/>
      <c r="U846" s="178"/>
      <c r="V846" s="107"/>
      <c r="W846" s="107"/>
      <c r="X846" s="470"/>
      <c r="Y846" s="470"/>
      <c r="Z846" s="471"/>
      <c r="AA846" s="471"/>
      <c r="AB846" s="466"/>
      <c r="AC846" s="350"/>
      <c r="AD846" s="350"/>
      <c r="AE846" s="350"/>
      <c r="AF846" s="350"/>
    </row>
    <row r="847" spans="1:32" s="597" customFormat="1" ht="18" customHeight="1" x14ac:dyDescent="0.2">
      <c r="A847" s="145"/>
      <c r="B847" s="177"/>
      <c r="C847" s="177"/>
      <c r="D847" s="145"/>
      <c r="E847" s="145"/>
      <c r="F847" s="145"/>
      <c r="G847" s="145"/>
      <c r="H847" s="147"/>
      <c r="I847" s="107"/>
      <c r="J847" s="178"/>
      <c r="K847" s="107"/>
      <c r="L847" s="145"/>
      <c r="M847" s="145"/>
      <c r="N847" s="145"/>
      <c r="O847" s="145"/>
      <c r="P847" s="147"/>
      <c r="Q847" s="148"/>
      <c r="R847" s="437"/>
      <c r="S847" s="107"/>
      <c r="T847" s="179"/>
      <c r="U847" s="178"/>
      <c r="V847" s="107"/>
      <c r="W847" s="107"/>
      <c r="X847" s="470"/>
      <c r="Y847" s="470"/>
      <c r="Z847" s="471"/>
      <c r="AA847" s="471"/>
      <c r="AB847" s="466"/>
      <c r="AC847" s="350"/>
      <c r="AD847" s="350"/>
      <c r="AE847" s="350"/>
      <c r="AF847" s="350"/>
    </row>
    <row r="848" spans="1:32" s="597" customFormat="1" ht="18" customHeight="1" x14ac:dyDescent="0.2">
      <c r="A848" s="145"/>
      <c r="B848" s="177"/>
      <c r="C848" s="177"/>
      <c r="D848" s="145"/>
      <c r="E848" s="145"/>
      <c r="F848" s="145"/>
      <c r="G848" s="145"/>
      <c r="H848" s="147"/>
      <c r="I848" s="107"/>
      <c r="J848" s="178"/>
      <c r="K848" s="107"/>
      <c r="L848" s="145"/>
      <c r="M848" s="145"/>
      <c r="N848" s="145"/>
      <c r="O848" s="145"/>
      <c r="P848" s="147"/>
      <c r="Q848" s="148"/>
      <c r="R848" s="437"/>
      <c r="S848" s="107"/>
      <c r="T848" s="179"/>
      <c r="U848" s="178"/>
      <c r="V848" s="107"/>
      <c r="W848" s="107"/>
      <c r="X848" s="470"/>
      <c r="Y848" s="470"/>
      <c r="Z848" s="471"/>
      <c r="AA848" s="471"/>
      <c r="AB848" s="466"/>
      <c r="AC848" s="350"/>
      <c r="AD848" s="350"/>
      <c r="AE848" s="350"/>
      <c r="AF848" s="350"/>
    </row>
    <row r="849" spans="1:32" s="597" customFormat="1" ht="18" customHeight="1" x14ac:dyDescent="0.2">
      <c r="A849" s="145"/>
      <c r="B849" s="177"/>
      <c r="C849" s="177"/>
      <c r="D849" s="145"/>
      <c r="E849" s="145"/>
      <c r="F849" s="145"/>
      <c r="G849" s="145"/>
      <c r="H849" s="147"/>
      <c r="I849" s="107"/>
      <c r="J849" s="178"/>
      <c r="K849" s="107"/>
      <c r="L849" s="145"/>
      <c r="M849" s="145"/>
      <c r="N849" s="145"/>
      <c r="O849" s="145"/>
      <c r="P849" s="147"/>
      <c r="Q849" s="148"/>
      <c r="R849" s="437"/>
      <c r="S849" s="107"/>
      <c r="T849" s="179"/>
      <c r="U849" s="178"/>
      <c r="V849" s="107"/>
      <c r="W849" s="107"/>
      <c r="X849" s="470"/>
      <c r="Y849" s="470"/>
      <c r="Z849" s="471"/>
      <c r="AA849" s="471"/>
      <c r="AB849" s="466"/>
      <c r="AC849" s="350"/>
      <c r="AD849" s="350"/>
      <c r="AE849" s="350"/>
      <c r="AF849" s="350"/>
    </row>
    <row r="850" spans="1:32" s="597" customFormat="1" ht="18" customHeight="1" x14ac:dyDescent="0.2">
      <c r="A850" s="145"/>
      <c r="B850" s="177"/>
      <c r="C850" s="177"/>
      <c r="D850" s="145"/>
      <c r="E850" s="145"/>
      <c r="F850" s="145"/>
      <c r="G850" s="145"/>
      <c r="H850" s="147"/>
      <c r="I850" s="107"/>
      <c r="J850" s="178"/>
      <c r="K850" s="107"/>
      <c r="L850" s="145"/>
      <c r="M850" s="145"/>
      <c r="N850" s="145"/>
      <c r="O850" s="145"/>
      <c r="P850" s="147"/>
      <c r="Q850" s="148"/>
      <c r="R850" s="437"/>
      <c r="S850" s="107"/>
      <c r="T850" s="179"/>
      <c r="U850" s="178"/>
      <c r="V850" s="107"/>
      <c r="W850" s="107"/>
      <c r="X850" s="470"/>
      <c r="Y850" s="470"/>
      <c r="Z850" s="471"/>
      <c r="AA850" s="471"/>
      <c r="AB850" s="466"/>
      <c r="AC850" s="350"/>
      <c r="AD850" s="350"/>
      <c r="AE850" s="350"/>
      <c r="AF850" s="350"/>
    </row>
    <row r="851" spans="1:32" s="597" customFormat="1" ht="18" customHeight="1" x14ac:dyDescent="0.2">
      <c r="A851" s="145"/>
      <c r="B851" s="177"/>
      <c r="C851" s="177"/>
      <c r="D851" s="145"/>
      <c r="E851" s="145"/>
      <c r="F851" s="145"/>
      <c r="G851" s="145"/>
      <c r="H851" s="147"/>
      <c r="I851" s="107"/>
      <c r="J851" s="178"/>
      <c r="K851" s="107"/>
      <c r="L851" s="145"/>
      <c r="M851" s="145"/>
      <c r="N851" s="145"/>
      <c r="O851" s="145"/>
      <c r="P851" s="147"/>
      <c r="Q851" s="148"/>
      <c r="R851" s="437"/>
      <c r="S851" s="107"/>
      <c r="T851" s="179"/>
      <c r="U851" s="178"/>
      <c r="V851" s="107"/>
      <c r="W851" s="107"/>
      <c r="X851" s="470"/>
      <c r="Y851" s="470"/>
      <c r="Z851" s="471"/>
      <c r="AA851" s="471"/>
      <c r="AB851" s="466"/>
      <c r="AC851" s="350"/>
      <c r="AD851" s="350"/>
      <c r="AE851" s="350"/>
      <c r="AF851" s="350"/>
    </row>
    <row r="852" spans="1:32" s="597" customFormat="1" ht="18" customHeight="1" x14ac:dyDescent="0.2">
      <c r="A852" s="145"/>
      <c r="B852" s="177"/>
      <c r="C852" s="177"/>
      <c r="D852" s="145"/>
      <c r="E852" s="145"/>
      <c r="F852" s="145"/>
      <c r="G852" s="145"/>
      <c r="H852" s="147"/>
      <c r="I852" s="107"/>
      <c r="J852" s="178"/>
      <c r="K852" s="107"/>
      <c r="L852" s="145"/>
      <c r="M852" s="145"/>
      <c r="N852" s="145"/>
      <c r="O852" s="145"/>
      <c r="P852" s="147"/>
      <c r="Q852" s="148"/>
      <c r="R852" s="437"/>
      <c r="S852" s="107"/>
      <c r="T852" s="179"/>
      <c r="U852" s="178"/>
      <c r="V852" s="107"/>
      <c r="W852" s="107"/>
      <c r="X852" s="470"/>
      <c r="Y852" s="470"/>
      <c r="Z852" s="471"/>
      <c r="AA852" s="471"/>
      <c r="AB852" s="466"/>
      <c r="AC852" s="350"/>
      <c r="AD852" s="350"/>
      <c r="AE852" s="350"/>
      <c r="AF852" s="350"/>
    </row>
    <row r="853" spans="1:32" s="597" customFormat="1" ht="18" customHeight="1" x14ac:dyDescent="0.2">
      <c r="A853" s="88"/>
      <c r="B853" s="180"/>
      <c r="C853" s="180"/>
      <c r="D853" s="88"/>
      <c r="E853" s="88"/>
      <c r="F853" s="88"/>
      <c r="G853" s="88"/>
      <c r="H853" s="120"/>
      <c r="I853" s="121"/>
      <c r="J853" s="181"/>
      <c r="K853" s="121"/>
      <c r="L853" s="88"/>
      <c r="M853" s="88"/>
      <c r="N853" s="88"/>
      <c r="O853" s="88"/>
      <c r="P853" s="88"/>
      <c r="Q853" s="129"/>
      <c r="R853" s="445"/>
      <c r="S853" s="121"/>
      <c r="T853" s="182"/>
      <c r="U853" s="181"/>
      <c r="V853" s="121"/>
      <c r="W853" s="121"/>
      <c r="X853" s="472"/>
      <c r="Y853" s="472"/>
      <c r="Z853" s="473"/>
      <c r="AA853" s="473"/>
      <c r="AB853" s="410"/>
      <c r="AC853" s="350"/>
      <c r="AD853" s="350"/>
      <c r="AE853" s="350"/>
      <c r="AF853" s="350"/>
    </row>
    <row r="854" spans="1:32" s="597" customFormat="1" ht="18" customHeight="1" x14ac:dyDescent="0.2">
      <c r="A854" s="1850"/>
      <c r="B854" s="1850"/>
      <c r="C854" s="1850"/>
      <c r="D854" s="1850"/>
      <c r="E854" s="1850"/>
      <c r="F854" s="1850"/>
      <c r="G854" s="1850"/>
      <c r="H854" s="1851"/>
      <c r="I854" s="1852"/>
      <c r="J854" s="1853"/>
      <c r="K854" s="1852"/>
      <c r="L854" s="1852"/>
      <c r="M854" s="1852"/>
      <c r="N854" s="1852"/>
      <c r="O854" s="1852"/>
      <c r="P854" s="1852"/>
      <c r="Q854" s="1852"/>
      <c r="R854" s="1854"/>
      <c r="S854" s="1852"/>
      <c r="T854" s="1855"/>
      <c r="U854" s="1853"/>
      <c r="V854" s="1852"/>
      <c r="W854" s="1852"/>
      <c r="X854" s="1856"/>
      <c r="Y854" s="1856"/>
      <c r="Z854" s="1857"/>
      <c r="AA854" s="1857"/>
      <c r="AB854" s="1847">
        <f>SUM(AB839:AB853)</f>
        <v>510</v>
      </c>
      <c r="AC854" s="1972"/>
      <c r="AD854" s="1972"/>
      <c r="AE854" s="1972"/>
      <c r="AF854" s="1972"/>
    </row>
    <row r="855" spans="1:32" s="597" customFormat="1" ht="18" customHeight="1" x14ac:dyDescent="0.2">
      <c r="A855" s="2690" t="s">
        <v>76</v>
      </c>
      <c r="B855" s="2690"/>
      <c r="C855" s="2691" t="s">
        <v>77</v>
      </c>
      <c r="D855" s="2691"/>
      <c r="E855" s="2691"/>
      <c r="F855" s="2691"/>
      <c r="G855" s="2691"/>
      <c r="H855" s="2691"/>
      <c r="I855" s="604" t="s">
        <v>78</v>
      </c>
      <c r="J855" s="604"/>
      <c r="K855" s="604"/>
      <c r="L855" s="604"/>
      <c r="M855" s="604"/>
      <c r="N855" s="604"/>
      <c r="AB855" s="598"/>
      <c r="AC855" s="349"/>
      <c r="AD855" s="349"/>
      <c r="AE855" s="349"/>
      <c r="AF855" s="349"/>
    </row>
    <row r="856" spans="1:32" s="597" customFormat="1" ht="18" customHeight="1" x14ac:dyDescent="0.2">
      <c r="A856" s="604"/>
      <c r="B856" s="605"/>
      <c r="C856" s="604"/>
      <c r="D856" s="604"/>
      <c r="E856" s="604"/>
      <c r="F856" s="604"/>
      <c r="G856" s="604"/>
      <c r="H856" s="604"/>
      <c r="I856" s="604" t="s">
        <v>79</v>
      </c>
      <c r="J856" s="604"/>
      <c r="K856" s="604"/>
      <c r="L856" s="604"/>
      <c r="M856" s="604"/>
      <c r="N856" s="604"/>
      <c r="AB856" s="598"/>
    </row>
    <row r="857" spans="1:32" s="597" customFormat="1" ht="18" customHeight="1" x14ac:dyDescent="0.2">
      <c r="A857" s="604"/>
      <c r="B857" s="605"/>
      <c r="C857" s="604"/>
      <c r="D857" s="604"/>
      <c r="E857" s="604"/>
      <c r="F857" s="604"/>
      <c r="G857" s="604"/>
      <c r="H857" s="604"/>
      <c r="I857" s="604" t="s">
        <v>80</v>
      </c>
      <c r="J857" s="604"/>
      <c r="K857" s="604"/>
      <c r="L857" s="604"/>
      <c r="M857" s="604"/>
      <c r="N857" s="604"/>
      <c r="AB857" s="598"/>
    </row>
    <row r="858" spans="1:32" s="597" customFormat="1" ht="18" customHeight="1" x14ac:dyDescent="0.2">
      <c r="A858" s="604"/>
      <c r="B858" s="605"/>
      <c r="C858" s="604"/>
      <c r="D858" s="604"/>
      <c r="E858" s="604"/>
      <c r="F858" s="604"/>
      <c r="G858" s="604"/>
      <c r="H858" s="604"/>
      <c r="I858" s="604" t="s">
        <v>81</v>
      </c>
      <c r="J858" s="604"/>
      <c r="K858" s="604"/>
      <c r="L858" s="604"/>
      <c r="M858" s="604"/>
      <c r="N858" s="604"/>
      <c r="AB858" s="598"/>
    </row>
    <row r="859" spans="1:32" s="597" customFormat="1" ht="18" customHeight="1" x14ac:dyDescent="0.2">
      <c r="A859" s="604"/>
      <c r="B859" s="605"/>
      <c r="C859" s="604"/>
      <c r="D859" s="604"/>
      <c r="E859" s="604"/>
      <c r="F859" s="604"/>
      <c r="G859" s="604"/>
      <c r="H859" s="604"/>
      <c r="I859" s="604" t="s">
        <v>88</v>
      </c>
      <c r="J859" s="604"/>
      <c r="K859" s="604"/>
      <c r="L859" s="604"/>
      <c r="M859" s="604"/>
      <c r="N859" s="604"/>
      <c r="AB859" s="598"/>
    </row>
    <row r="860" spans="1:32" s="597" customFormat="1" ht="18" customHeight="1" x14ac:dyDescent="0.2">
      <c r="A860" s="339"/>
      <c r="B860" s="339"/>
      <c r="C860" s="339"/>
      <c r="D860" s="339"/>
      <c r="E860" s="339"/>
      <c r="F860" s="339"/>
      <c r="G860" s="339"/>
      <c r="H860" s="339"/>
      <c r="I860" s="339"/>
      <c r="J860" s="339"/>
      <c r="K860" s="339"/>
      <c r="L860" s="339"/>
      <c r="M860" s="339"/>
      <c r="N860" s="339"/>
      <c r="O860" s="339"/>
      <c r="P860" s="339"/>
      <c r="Q860" s="339"/>
      <c r="R860" s="339"/>
      <c r="S860" s="339"/>
      <c r="T860" s="339"/>
      <c r="U860" s="339"/>
      <c r="V860" s="339"/>
      <c r="W860" s="339"/>
      <c r="X860" s="339"/>
      <c r="Y860" s="339"/>
      <c r="Z860" s="339"/>
      <c r="AA860" s="2702" t="s">
        <v>0</v>
      </c>
      <c r="AB860" s="2702"/>
    </row>
    <row r="861" spans="1:32" s="597" customFormat="1" ht="18" customHeight="1" x14ac:dyDescent="0.2">
      <c r="A861" s="2703" t="s">
        <v>1</v>
      </c>
      <c r="B861" s="2703"/>
      <c r="C861" s="2703"/>
      <c r="D861" s="2703"/>
      <c r="E861" s="2703"/>
      <c r="F861" s="2703"/>
      <c r="G861" s="2703"/>
      <c r="H861" s="2703"/>
      <c r="I861" s="2703"/>
      <c r="J861" s="2703"/>
      <c r="K861" s="2703"/>
      <c r="L861" s="2703"/>
      <c r="M861" s="2703"/>
      <c r="N861" s="2703"/>
      <c r="O861" s="2703"/>
      <c r="P861" s="2703"/>
      <c r="Q861" s="2703"/>
      <c r="R861" s="2703"/>
      <c r="S861" s="2703"/>
      <c r="T861" s="2703"/>
      <c r="U861" s="2703"/>
      <c r="V861" s="2703"/>
      <c r="W861" s="2703"/>
      <c r="X861" s="2703"/>
      <c r="Y861" s="2703"/>
      <c r="Z861" s="2703"/>
      <c r="AA861" s="2703"/>
      <c r="AB861" s="2703"/>
      <c r="AC861" s="339"/>
      <c r="AD861" s="339"/>
      <c r="AE861" s="339"/>
      <c r="AF861" s="339"/>
    </row>
    <row r="862" spans="1:32" s="597" customFormat="1" ht="18" customHeight="1" x14ac:dyDescent="0.2">
      <c r="A862" s="2704" t="s">
        <v>480</v>
      </c>
      <c r="B862" s="2704"/>
      <c r="C862" s="2704"/>
      <c r="D862" s="2704"/>
      <c r="E862" s="2704"/>
      <c r="F862" s="2704"/>
      <c r="G862" s="2704"/>
      <c r="H862" s="2704"/>
      <c r="I862" s="2704"/>
      <c r="J862" s="2704"/>
      <c r="K862" s="2704"/>
      <c r="L862" s="2704"/>
      <c r="M862" s="2704"/>
      <c r="N862" s="2704"/>
      <c r="O862" s="2704"/>
      <c r="P862" s="2704"/>
      <c r="Q862" s="2704"/>
      <c r="R862" s="2704"/>
      <c r="S862" s="2704"/>
      <c r="T862" s="2704"/>
      <c r="U862" s="2704"/>
      <c r="V862" s="2704"/>
      <c r="W862" s="2704"/>
      <c r="X862" s="2704"/>
      <c r="Y862" s="2704"/>
      <c r="Z862" s="2704"/>
      <c r="AA862" s="2704"/>
      <c r="AB862" s="2740"/>
      <c r="AC862" s="344"/>
      <c r="AD862" s="344"/>
      <c r="AE862" s="344"/>
      <c r="AF862" s="344"/>
    </row>
    <row r="863" spans="1:32" s="597" customFormat="1" ht="18" customHeight="1" x14ac:dyDescent="0.2">
      <c r="A863" s="2686" t="s">
        <v>2</v>
      </c>
      <c r="B863" s="360"/>
      <c r="C863" s="2686" t="s">
        <v>3</v>
      </c>
      <c r="D863" s="360"/>
      <c r="E863" s="360"/>
      <c r="F863" s="2693" t="s">
        <v>4</v>
      </c>
      <c r="G863" s="2693"/>
      <c r="H863" s="2693"/>
      <c r="I863" s="2694"/>
      <c r="J863" s="2694"/>
      <c r="K863" s="2695"/>
      <c r="L863" s="361"/>
      <c r="M863" s="2679" t="s">
        <v>5</v>
      </c>
      <c r="N863" s="2679"/>
      <c r="O863" s="2679"/>
      <c r="P863" s="2679"/>
      <c r="Q863" s="2696"/>
      <c r="R863" s="2696"/>
      <c r="S863" s="2696"/>
      <c r="T863" s="2696"/>
      <c r="U863" s="2696"/>
      <c r="V863" s="2697"/>
      <c r="W863" s="362" t="s">
        <v>6</v>
      </c>
      <c r="X863" s="363" t="s">
        <v>7</v>
      </c>
      <c r="Y863" s="364"/>
      <c r="Z863" s="364"/>
      <c r="AA863" s="363"/>
      <c r="AB863" s="365"/>
      <c r="AC863" s="599"/>
      <c r="AD863" s="599"/>
      <c r="AE863" s="599"/>
      <c r="AF863" s="599"/>
    </row>
    <row r="864" spans="1:32" s="597" customFormat="1" ht="18" customHeight="1" x14ac:dyDescent="0.2">
      <c r="A864" s="2687"/>
      <c r="B864" s="367"/>
      <c r="C864" s="2687"/>
      <c r="D864" s="366" t="s">
        <v>9</v>
      </c>
      <c r="E864" s="368" t="s">
        <v>10</v>
      </c>
      <c r="F864" s="2698" t="s">
        <v>11</v>
      </c>
      <c r="G864" s="2694"/>
      <c r="H864" s="2695"/>
      <c r="I864" s="360"/>
      <c r="J864" s="369" t="s">
        <v>12</v>
      </c>
      <c r="K864" s="360"/>
      <c r="L864" s="2679" t="s">
        <v>2</v>
      </c>
      <c r="M864" s="370"/>
      <c r="N864" s="370"/>
      <c r="O864" s="370"/>
      <c r="P864" s="371"/>
      <c r="Q864" s="372" t="s">
        <v>13</v>
      </c>
      <c r="R864" s="373" t="s">
        <v>12</v>
      </c>
      <c r="S864" s="370" t="s">
        <v>6</v>
      </c>
      <c r="T864" s="2682" t="s">
        <v>14</v>
      </c>
      <c r="U864" s="2683"/>
      <c r="V864" s="375" t="s">
        <v>7</v>
      </c>
      <c r="W864" s="376" t="s">
        <v>15</v>
      </c>
      <c r="X864" s="377" t="s">
        <v>16</v>
      </c>
      <c r="Y864" s="377" t="s">
        <v>17</v>
      </c>
      <c r="Z864" s="377" t="s">
        <v>18</v>
      </c>
      <c r="AA864" s="377"/>
      <c r="AB864" s="378" t="s">
        <v>19</v>
      </c>
      <c r="AC864" s="516" t="s">
        <v>8</v>
      </c>
      <c r="AD864" s="346"/>
      <c r="AE864" s="346"/>
      <c r="AF864" s="600"/>
    </row>
    <row r="865" spans="1:32" s="597" customFormat="1" ht="18" customHeight="1" x14ac:dyDescent="0.2">
      <c r="A865" s="2687"/>
      <c r="B865" s="366" t="s">
        <v>23</v>
      </c>
      <c r="C865" s="2687"/>
      <c r="D865" s="366" t="s">
        <v>24</v>
      </c>
      <c r="E865" s="368" t="s">
        <v>25</v>
      </c>
      <c r="F865" s="2699"/>
      <c r="G865" s="2700"/>
      <c r="H865" s="2701"/>
      <c r="I865" s="366" t="s">
        <v>26</v>
      </c>
      <c r="J865" s="379" t="s">
        <v>15</v>
      </c>
      <c r="K865" s="380" t="s">
        <v>6</v>
      </c>
      <c r="L865" s="2680"/>
      <c r="M865" s="381" t="s">
        <v>27</v>
      </c>
      <c r="N865" s="381" t="s">
        <v>10</v>
      </c>
      <c r="O865" s="382" t="s">
        <v>10</v>
      </c>
      <c r="P865" s="383" t="s">
        <v>28</v>
      </c>
      <c r="Q865" s="384" t="s">
        <v>29</v>
      </c>
      <c r="R865" s="383" t="s">
        <v>15</v>
      </c>
      <c r="S865" s="385" t="s">
        <v>15</v>
      </c>
      <c r="T865" s="2684"/>
      <c r="U865" s="2685"/>
      <c r="V865" s="375" t="s">
        <v>30</v>
      </c>
      <c r="W865" s="376" t="s">
        <v>31</v>
      </c>
      <c r="X865" s="377" t="s">
        <v>30</v>
      </c>
      <c r="Y865" s="377" t="s">
        <v>32</v>
      </c>
      <c r="Z865" s="377" t="s">
        <v>7</v>
      </c>
      <c r="AA865" s="377" t="s">
        <v>33</v>
      </c>
      <c r="AB865" s="378" t="s">
        <v>34</v>
      </c>
      <c r="AC865" s="528" t="s">
        <v>20</v>
      </c>
      <c r="AD865" s="601"/>
      <c r="AE865" s="347" t="s">
        <v>21</v>
      </c>
      <c r="AF865" s="340" t="s">
        <v>22</v>
      </c>
    </row>
    <row r="866" spans="1:32" s="597" customFormat="1" ht="18" customHeight="1" x14ac:dyDescent="0.2">
      <c r="A866" s="2687"/>
      <c r="B866" s="366" t="s">
        <v>39</v>
      </c>
      <c r="C866" s="2687"/>
      <c r="D866" s="366" t="s">
        <v>40</v>
      </c>
      <c r="E866" s="368" t="s">
        <v>41</v>
      </c>
      <c r="F866" s="2686" t="s">
        <v>42</v>
      </c>
      <c r="G866" s="2686" t="s">
        <v>43</v>
      </c>
      <c r="H866" s="2688" t="s">
        <v>44</v>
      </c>
      <c r="I866" s="366" t="s">
        <v>45</v>
      </c>
      <c r="J866" s="379" t="s">
        <v>46</v>
      </c>
      <c r="K866" s="380" t="s">
        <v>47</v>
      </c>
      <c r="L866" s="2680"/>
      <c r="M866" s="381" t="s">
        <v>30</v>
      </c>
      <c r="N866" s="381" t="s">
        <v>30</v>
      </c>
      <c r="O866" s="382" t="s">
        <v>25</v>
      </c>
      <c r="P866" s="383" t="s">
        <v>30</v>
      </c>
      <c r="Q866" s="384" t="s">
        <v>48</v>
      </c>
      <c r="R866" s="383" t="s">
        <v>49</v>
      </c>
      <c r="S866" s="385" t="s">
        <v>30</v>
      </c>
      <c r="T866" s="386" t="s">
        <v>50</v>
      </c>
      <c r="U866" s="374" t="s">
        <v>13</v>
      </c>
      <c r="V866" s="375" t="s">
        <v>51</v>
      </c>
      <c r="W866" s="376" t="s">
        <v>52</v>
      </c>
      <c r="X866" s="377" t="s">
        <v>53</v>
      </c>
      <c r="Y866" s="377" t="s">
        <v>54</v>
      </c>
      <c r="Z866" s="377" t="s">
        <v>55</v>
      </c>
      <c r="AA866" s="377" t="s">
        <v>56</v>
      </c>
      <c r="AB866" s="378" t="s">
        <v>57</v>
      </c>
      <c r="AC866" s="528" t="s">
        <v>35</v>
      </c>
      <c r="AD866" s="347" t="s">
        <v>36</v>
      </c>
      <c r="AE866" s="347" t="s">
        <v>37</v>
      </c>
      <c r="AF866" s="340" t="s">
        <v>38</v>
      </c>
    </row>
    <row r="867" spans="1:32" s="597" customFormat="1" ht="18" customHeight="1" x14ac:dyDescent="0.2">
      <c r="A867" s="2687"/>
      <c r="B867" s="366" t="s">
        <v>61</v>
      </c>
      <c r="C867" s="2687"/>
      <c r="D867" s="366" t="s">
        <v>62</v>
      </c>
      <c r="E867" s="368" t="s">
        <v>63</v>
      </c>
      <c r="F867" s="2687"/>
      <c r="G867" s="2687"/>
      <c r="H867" s="2689"/>
      <c r="I867" s="366" t="s">
        <v>64</v>
      </c>
      <c r="J867" s="379" t="s">
        <v>59</v>
      </c>
      <c r="K867" s="380" t="s">
        <v>59</v>
      </c>
      <c r="L867" s="2680"/>
      <c r="M867" s="381"/>
      <c r="N867" s="381"/>
      <c r="O867" s="382" t="s">
        <v>41</v>
      </c>
      <c r="P867" s="383" t="s">
        <v>65</v>
      </c>
      <c r="Q867" s="384" t="s">
        <v>66</v>
      </c>
      <c r="R867" s="383" t="s">
        <v>67</v>
      </c>
      <c r="S867" s="385" t="s">
        <v>59</v>
      </c>
      <c r="T867" s="387" t="s">
        <v>68</v>
      </c>
      <c r="U867" s="375" t="s">
        <v>14</v>
      </c>
      <c r="V867" s="375" t="s">
        <v>14</v>
      </c>
      <c r="W867" s="376" t="s">
        <v>30</v>
      </c>
      <c r="X867" s="388" t="s">
        <v>69</v>
      </c>
      <c r="Y867" s="388" t="s">
        <v>70</v>
      </c>
      <c r="Z867" s="377" t="s">
        <v>71</v>
      </c>
      <c r="AA867" s="377" t="s">
        <v>72</v>
      </c>
      <c r="AB867" s="378" t="s">
        <v>59</v>
      </c>
      <c r="AC867" s="347" t="s">
        <v>58</v>
      </c>
      <c r="AD867" s="347" t="s">
        <v>59</v>
      </c>
      <c r="AE867" s="347" t="s">
        <v>59</v>
      </c>
      <c r="AF867" s="340" t="s">
        <v>60</v>
      </c>
    </row>
    <row r="868" spans="1:32" s="597" customFormat="1" ht="18" customHeight="1" x14ac:dyDescent="0.2">
      <c r="A868" s="2692"/>
      <c r="B868" s="390"/>
      <c r="C868" s="2692"/>
      <c r="D868" s="390"/>
      <c r="E868" s="389"/>
      <c r="F868" s="390"/>
      <c r="G868" s="390"/>
      <c r="H868" s="391"/>
      <c r="I868" s="389"/>
      <c r="J868" s="392"/>
      <c r="K868" s="393"/>
      <c r="L868" s="2681"/>
      <c r="M868" s="394"/>
      <c r="N868" s="394"/>
      <c r="O868" s="394" t="s">
        <v>63</v>
      </c>
      <c r="P868" s="395"/>
      <c r="Q868" s="396" t="s">
        <v>72</v>
      </c>
      <c r="R868" s="397" t="s">
        <v>59</v>
      </c>
      <c r="S868" s="398"/>
      <c r="T868" s="397" t="s">
        <v>73</v>
      </c>
      <c r="U868" s="398" t="s">
        <v>59</v>
      </c>
      <c r="V868" s="399" t="s">
        <v>59</v>
      </c>
      <c r="W868" s="400" t="s">
        <v>59</v>
      </c>
      <c r="X868" s="401" t="s">
        <v>59</v>
      </c>
      <c r="Y868" s="401" t="s">
        <v>59</v>
      </c>
      <c r="Z868" s="401" t="s">
        <v>59</v>
      </c>
      <c r="AA868" s="402"/>
      <c r="AB868" s="403"/>
      <c r="AC868" s="347" t="s">
        <v>59</v>
      </c>
      <c r="AD868" s="347"/>
      <c r="AE868" s="347"/>
      <c r="AF868" s="340" t="s">
        <v>59</v>
      </c>
    </row>
    <row r="869" spans="1:32" s="597" customFormat="1" ht="18" customHeight="1" x14ac:dyDescent="0.2">
      <c r="A869" s="53">
        <v>1</v>
      </c>
      <c r="B869" s="95">
        <v>63468</v>
      </c>
      <c r="C869" s="82">
        <v>1858</v>
      </c>
      <c r="D869" s="82" t="s">
        <v>95</v>
      </c>
      <c r="E869" s="82">
        <v>4</v>
      </c>
      <c r="F869" s="82">
        <v>0</v>
      </c>
      <c r="G869" s="82">
        <v>0</v>
      </c>
      <c r="H869" s="463">
        <v>81</v>
      </c>
      <c r="I869" s="70">
        <f>F869*400+G869*100+H869</f>
        <v>81</v>
      </c>
      <c r="J869" s="123">
        <v>280</v>
      </c>
      <c r="K869" s="124">
        <f>SUM(I869*J869)</f>
        <v>22680</v>
      </c>
      <c r="L869" s="53"/>
      <c r="M869" s="82"/>
      <c r="N869" s="82"/>
      <c r="O869" s="53"/>
      <c r="P869" s="358"/>
      <c r="Q869" s="197"/>
      <c r="R869" s="444"/>
      <c r="S869" s="70"/>
      <c r="T869" s="82"/>
      <c r="U869" s="70"/>
      <c r="V869" s="70"/>
      <c r="W869" s="70">
        <f>K869+V869</f>
        <v>22680</v>
      </c>
      <c r="X869" s="70">
        <f>W869</f>
        <v>22680</v>
      </c>
      <c r="Y869" s="123"/>
      <c r="Z869" s="70">
        <f>+X869</f>
        <v>22680</v>
      </c>
      <c r="AA869" s="464">
        <v>0.6</v>
      </c>
      <c r="AB869" s="406">
        <f>+Z869*AA869/100</f>
        <v>136.08000000000001</v>
      </c>
      <c r="AC869" s="348"/>
      <c r="AD869" s="348"/>
      <c r="AE869" s="348"/>
      <c r="AF869" s="341"/>
    </row>
    <row r="870" spans="1:32" s="597" customFormat="1" ht="18" customHeight="1" x14ac:dyDescent="0.2">
      <c r="A870" s="61"/>
      <c r="B870" s="145"/>
      <c r="C870" s="145"/>
      <c r="D870" s="145"/>
      <c r="E870" s="145"/>
      <c r="F870" s="145"/>
      <c r="G870" s="145"/>
      <c r="H870" s="407"/>
      <c r="I870" s="77"/>
      <c r="J870" s="107"/>
      <c r="K870" s="78"/>
      <c r="L870" s="61"/>
      <c r="M870" s="145"/>
      <c r="N870" s="145"/>
      <c r="O870" s="61"/>
      <c r="P870" s="177"/>
      <c r="Q870" s="196"/>
      <c r="R870" s="408"/>
      <c r="S870" s="77"/>
      <c r="T870" s="145"/>
      <c r="U870" s="77"/>
      <c r="V870" s="77"/>
      <c r="W870" s="77"/>
      <c r="X870" s="77"/>
      <c r="Y870" s="107"/>
      <c r="Z870" s="77"/>
      <c r="AA870" s="409"/>
      <c r="AB870" s="410"/>
      <c r="AC870" s="602"/>
      <c r="AD870" s="603" t="e">
        <f>#REF!-AC870</f>
        <v>#REF!</v>
      </c>
      <c r="AE870" s="603" t="e">
        <f>IF(AD870&lt;=0,0,AD870*25/100)</f>
        <v>#REF!</v>
      </c>
      <c r="AF870" s="603" t="e">
        <f>IF(AC870+AE870&gt;#REF!,#REF!,AC870+AE870)</f>
        <v>#REF!</v>
      </c>
    </row>
    <row r="871" spans="1:32" s="597" customFormat="1" ht="18" customHeight="1" x14ac:dyDescent="0.2">
      <c r="A871" s="145"/>
      <c r="B871" s="177"/>
      <c r="C871" s="177"/>
      <c r="D871" s="145"/>
      <c r="E871" s="145"/>
      <c r="F871" s="145"/>
      <c r="G871" s="145"/>
      <c r="H871" s="147"/>
      <c r="I871" s="107"/>
      <c r="J871" s="178"/>
      <c r="K871" s="107"/>
      <c r="L871" s="145"/>
      <c r="M871" s="145"/>
      <c r="N871" s="145"/>
      <c r="O871" s="145"/>
      <c r="P871" s="147"/>
      <c r="Q871" s="148"/>
      <c r="R871" s="437"/>
      <c r="S871" s="107"/>
      <c r="T871" s="179"/>
      <c r="U871" s="178"/>
      <c r="V871" s="107"/>
      <c r="W871" s="107"/>
      <c r="X871" s="470"/>
      <c r="Y871" s="470"/>
      <c r="Z871" s="471"/>
      <c r="AA871" s="471"/>
      <c r="AB871" s="466"/>
      <c r="AC871" s="350"/>
      <c r="AD871" s="350"/>
      <c r="AE871" s="350"/>
      <c r="AF871" s="350"/>
    </row>
    <row r="872" spans="1:32" s="597" customFormat="1" ht="18" customHeight="1" x14ac:dyDescent="0.2">
      <c r="A872" s="145"/>
      <c r="B872" s="177"/>
      <c r="C872" s="177"/>
      <c r="D872" s="145"/>
      <c r="E872" s="145"/>
      <c r="F872" s="145"/>
      <c r="G872" s="145"/>
      <c r="H872" s="147"/>
      <c r="I872" s="107"/>
      <c r="J872" s="178"/>
      <c r="K872" s="107"/>
      <c r="L872" s="145"/>
      <c r="M872" s="145"/>
      <c r="N872" s="145"/>
      <c r="O872" s="145"/>
      <c r="P872" s="147"/>
      <c r="Q872" s="148"/>
      <c r="R872" s="437"/>
      <c r="S872" s="107"/>
      <c r="T872" s="179"/>
      <c r="U872" s="178"/>
      <c r="V872" s="107"/>
      <c r="W872" s="107"/>
      <c r="X872" s="470"/>
      <c r="Y872" s="470"/>
      <c r="Z872" s="471"/>
      <c r="AA872" s="471"/>
      <c r="AB872" s="466"/>
      <c r="AC872" s="350"/>
      <c r="AD872" s="350"/>
      <c r="AE872" s="350"/>
      <c r="AF872" s="350"/>
    </row>
    <row r="873" spans="1:32" s="597" customFormat="1" ht="18" customHeight="1" x14ac:dyDescent="0.2">
      <c r="A873" s="145"/>
      <c r="B873" s="177"/>
      <c r="C873" s="177"/>
      <c r="D873" s="145"/>
      <c r="E873" s="145"/>
      <c r="F873" s="145"/>
      <c r="G873" s="145"/>
      <c r="H873" s="147"/>
      <c r="I873" s="107"/>
      <c r="J873" s="178"/>
      <c r="K873" s="107"/>
      <c r="L873" s="145"/>
      <c r="M873" s="145"/>
      <c r="N873" s="145"/>
      <c r="O873" s="145"/>
      <c r="P873" s="147"/>
      <c r="Q873" s="148"/>
      <c r="R873" s="437"/>
      <c r="S873" s="107"/>
      <c r="T873" s="179"/>
      <c r="U873" s="178"/>
      <c r="V873" s="107"/>
      <c r="W873" s="107"/>
      <c r="X873" s="470"/>
      <c r="Y873" s="470"/>
      <c r="Z873" s="471"/>
      <c r="AA873" s="471"/>
      <c r="AB873" s="466"/>
      <c r="AC873" s="350"/>
      <c r="AD873" s="350"/>
      <c r="AE873" s="350"/>
      <c r="AF873" s="350"/>
    </row>
    <row r="874" spans="1:32" s="597" customFormat="1" ht="18" customHeight="1" x14ac:dyDescent="0.2">
      <c r="A874" s="145"/>
      <c r="B874" s="177"/>
      <c r="C874" s="177"/>
      <c r="D874" s="145"/>
      <c r="E874" s="145"/>
      <c r="F874" s="145"/>
      <c r="G874" s="145"/>
      <c r="H874" s="147"/>
      <c r="I874" s="107"/>
      <c r="J874" s="178"/>
      <c r="K874" s="107"/>
      <c r="L874" s="145"/>
      <c r="M874" s="145"/>
      <c r="N874" s="145"/>
      <c r="O874" s="145"/>
      <c r="P874" s="147"/>
      <c r="Q874" s="148"/>
      <c r="R874" s="437"/>
      <c r="S874" s="107"/>
      <c r="T874" s="179"/>
      <c r="U874" s="178"/>
      <c r="V874" s="107"/>
      <c r="W874" s="107"/>
      <c r="X874" s="470"/>
      <c r="Y874" s="470"/>
      <c r="Z874" s="471"/>
      <c r="AA874" s="471"/>
      <c r="AB874" s="466"/>
      <c r="AC874" s="350"/>
      <c r="AD874" s="350"/>
      <c r="AE874" s="350"/>
      <c r="AF874" s="350"/>
    </row>
    <row r="875" spans="1:32" s="597" customFormat="1" ht="18" customHeight="1" x14ac:dyDescent="0.2">
      <c r="A875" s="145"/>
      <c r="B875" s="177"/>
      <c r="C875" s="177"/>
      <c r="D875" s="145"/>
      <c r="E875" s="145"/>
      <c r="F875" s="145"/>
      <c r="G875" s="145"/>
      <c r="H875" s="147"/>
      <c r="I875" s="107"/>
      <c r="J875" s="178"/>
      <c r="K875" s="107"/>
      <c r="L875" s="145"/>
      <c r="M875" s="145"/>
      <c r="N875" s="145"/>
      <c r="O875" s="145"/>
      <c r="P875" s="147"/>
      <c r="Q875" s="148"/>
      <c r="R875" s="437"/>
      <c r="S875" s="107"/>
      <c r="T875" s="179"/>
      <c r="U875" s="178"/>
      <c r="V875" s="107"/>
      <c r="W875" s="107"/>
      <c r="X875" s="470"/>
      <c r="Y875" s="470"/>
      <c r="Z875" s="471"/>
      <c r="AA875" s="471"/>
      <c r="AB875" s="466"/>
      <c r="AC875" s="350"/>
      <c r="AD875" s="350"/>
      <c r="AE875" s="350"/>
      <c r="AF875" s="350"/>
    </row>
    <row r="876" spans="1:32" s="597" customFormat="1" ht="18" customHeight="1" x14ac:dyDescent="0.2">
      <c r="A876" s="145"/>
      <c r="B876" s="177"/>
      <c r="C876" s="177"/>
      <c r="D876" s="145"/>
      <c r="E876" s="145"/>
      <c r="F876" s="145"/>
      <c r="G876" s="145"/>
      <c r="H876" s="147"/>
      <c r="I876" s="107"/>
      <c r="J876" s="178"/>
      <c r="K876" s="107"/>
      <c r="L876" s="145"/>
      <c r="M876" s="145"/>
      <c r="N876" s="145"/>
      <c r="O876" s="145"/>
      <c r="P876" s="147"/>
      <c r="Q876" s="148"/>
      <c r="R876" s="437"/>
      <c r="S876" s="107"/>
      <c r="T876" s="179"/>
      <c r="U876" s="178"/>
      <c r="V876" s="107"/>
      <c r="W876" s="107"/>
      <c r="X876" s="470"/>
      <c r="Y876" s="470"/>
      <c r="Z876" s="471"/>
      <c r="AA876" s="471"/>
      <c r="AB876" s="466"/>
      <c r="AC876" s="350"/>
      <c r="AD876" s="350"/>
      <c r="AE876" s="350"/>
      <c r="AF876" s="350"/>
    </row>
    <row r="877" spans="1:32" s="597" customFormat="1" ht="18" customHeight="1" x14ac:dyDescent="0.2">
      <c r="A877" s="145"/>
      <c r="B877" s="177"/>
      <c r="C877" s="177"/>
      <c r="D877" s="145"/>
      <c r="E877" s="145"/>
      <c r="F877" s="145"/>
      <c r="G877" s="145"/>
      <c r="H877" s="147"/>
      <c r="I877" s="107"/>
      <c r="J877" s="178"/>
      <c r="K877" s="107"/>
      <c r="L877" s="145"/>
      <c r="M877" s="145"/>
      <c r="N877" s="145"/>
      <c r="O877" s="145"/>
      <c r="P877" s="147"/>
      <c r="Q877" s="148"/>
      <c r="R877" s="437"/>
      <c r="S877" s="107"/>
      <c r="T877" s="179"/>
      <c r="U877" s="178"/>
      <c r="V877" s="107"/>
      <c r="W877" s="107"/>
      <c r="X877" s="470"/>
      <c r="Y877" s="470"/>
      <c r="Z877" s="471"/>
      <c r="AA877" s="471"/>
      <c r="AB877" s="466"/>
      <c r="AC877" s="350"/>
      <c r="AD877" s="350"/>
      <c r="AE877" s="350"/>
      <c r="AF877" s="350"/>
    </row>
    <row r="878" spans="1:32" s="597" customFormat="1" ht="18" customHeight="1" x14ac:dyDescent="0.2">
      <c r="A878" s="145"/>
      <c r="B878" s="177"/>
      <c r="C878" s="177"/>
      <c r="D878" s="145"/>
      <c r="E878" s="145"/>
      <c r="F878" s="145"/>
      <c r="G878" s="145"/>
      <c r="H878" s="147"/>
      <c r="I878" s="107"/>
      <c r="J878" s="178"/>
      <c r="K878" s="107"/>
      <c r="L878" s="145"/>
      <c r="M878" s="145"/>
      <c r="N878" s="145"/>
      <c r="O878" s="145"/>
      <c r="P878" s="147"/>
      <c r="Q878" s="148"/>
      <c r="R878" s="437"/>
      <c r="S878" s="107"/>
      <c r="T878" s="179"/>
      <c r="U878" s="178"/>
      <c r="V878" s="107"/>
      <c r="W878" s="107"/>
      <c r="X878" s="470"/>
      <c r="Y878" s="470"/>
      <c r="Z878" s="471"/>
      <c r="AA878" s="471"/>
      <c r="AB878" s="466"/>
      <c r="AC878" s="350"/>
      <c r="AD878" s="350"/>
      <c r="AE878" s="350"/>
      <c r="AF878" s="350"/>
    </row>
    <row r="879" spans="1:32" s="597" customFormat="1" ht="18" customHeight="1" x14ac:dyDescent="0.2">
      <c r="A879" s="145"/>
      <c r="B879" s="177"/>
      <c r="C879" s="177"/>
      <c r="D879" s="145"/>
      <c r="E879" s="145"/>
      <c r="F879" s="145"/>
      <c r="G879" s="145"/>
      <c r="H879" s="147"/>
      <c r="I879" s="107"/>
      <c r="J879" s="178"/>
      <c r="K879" s="107"/>
      <c r="L879" s="145"/>
      <c r="M879" s="145"/>
      <c r="N879" s="145"/>
      <c r="O879" s="145"/>
      <c r="P879" s="147"/>
      <c r="Q879" s="148"/>
      <c r="R879" s="437"/>
      <c r="S879" s="107"/>
      <c r="T879" s="179"/>
      <c r="U879" s="178"/>
      <c r="V879" s="107"/>
      <c r="W879" s="107"/>
      <c r="X879" s="470"/>
      <c r="Y879" s="470"/>
      <c r="Z879" s="471"/>
      <c r="AA879" s="471"/>
      <c r="AB879" s="466"/>
      <c r="AC879" s="350"/>
      <c r="AD879" s="350"/>
      <c r="AE879" s="350"/>
      <c r="AF879" s="350"/>
    </row>
    <row r="880" spans="1:32" s="597" customFormat="1" ht="18" customHeight="1" x14ac:dyDescent="0.2">
      <c r="A880" s="145"/>
      <c r="B880" s="177"/>
      <c r="C880" s="177"/>
      <c r="D880" s="145"/>
      <c r="E880" s="145"/>
      <c r="F880" s="145"/>
      <c r="G880" s="145"/>
      <c r="H880" s="147"/>
      <c r="I880" s="107"/>
      <c r="J880" s="178"/>
      <c r="K880" s="107"/>
      <c r="L880" s="145"/>
      <c r="M880" s="145"/>
      <c r="N880" s="145"/>
      <c r="O880" s="145"/>
      <c r="P880" s="147"/>
      <c r="Q880" s="148"/>
      <c r="R880" s="437"/>
      <c r="S880" s="107"/>
      <c r="T880" s="179"/>
      <c r="U880" s="178"/>
      <c r="V880" s="107"/>
      <c r="W880" s="107"/>
      <c r="X880" s="470"/>
      <c r="Y880" s="470"/>
      <c r="Z880" s="471"/>
      <c r="AA880" s="471"/>
      <c r="AB880" s="466"/>
      <c r="AC880" s="350"/>
      <c r="AD880" s="350"/>
      <c r="AE880" s="350"/>
      <c r="AF880" s="350"/>
    </row>
    <row r="881" spans="1:32" s="597" customFormat="1" ht="18" customHeight="1" x14ac:dyDescent="0.2">
      <c r="A881" s="145"/>
      <c r="B881" s="177"/>
      <c r="C881" s="177"/>
      <c r="D881" s="145"/>
      <c r="E881" s="145"/>
      <c r="F881" s="145"/>
      <c r="G881" s="145"/>
      <c r="H881" s="147"/>
      <c r="I881" s="107"/>
      <c r="J881" s="178"/>
      <c r="K881" s="107"/>
      <c r="L881" s="145"/>
      <c r="M881" s="145"/>
      <c r="N881" s="145"/>
      <c r="O881" s="145"/>
      <c r="P881" s="147"/>
      <c r="Q881" s="148"/>
      <c r="R881" s="437"/>
      <c r="S881" s="107"/>
      <c r="T881" s="179"/>
      <c r="U881" s="178"/>
      <c r="V881" s="107"/>
      <c r="W881" s="107"/>
      <c r="X881" s="470"/>
      <c r="Y881" s="470"/>
      <c r="Z881" s="471"/>
      <c r="AA881" s="471"/>
      <c r="AB881" s="466"/>
      <c r="AC881" s="350"/>
      <c r="AD881" s="350"/>
      <c r="AE881" s="350"/>
      <c r="AF881" s="350"/>
    </row>
    <row r="882" spans="1:32" s="597" customFormat="1" ht="18" customHeight="1" x14ac:dyDescent="0.2">
      <c r="A882" s="145"/>
      <c r="B882" s="177"/>
      <c r="C882" s="177"/>
      <c r="D882" s="145"/>
      <c r="E882" s="145"/>
      <c r="F882" s="145"/>
      <c r="G882" s="145"/>
      <c r="H882" s="147"/>
      <c r="I882" s="107"/>
      <c r="J882" s="178"/>
      <c r="K882" s="107"/>
      <c r="L882" s="145"/>
      <c r="M882" s="145"/>
      <c r="N882" s="145"/>
      <c r="O882" s="145"/>
      <c r="P882" s="147"/>
      <c r="Q882" s="148"/>
      <c r="R882" s="437"/>
      <c r="S882" s="107"/>
      <c r="T882" s="179"/>
      <c r="U882" s="178"/>
      <c r="V882" s="107"/>
      <c r="W882" s="107"/>
      <c r="X882" s="470"/>
      <c r="Y882" s="470"/>
      <c r="Z882" s="471"/>
      <c r="AA882" s="471"/>
      <c r="AB882" s="466"/>
      <c r="AC882" s="350"/>
      <c r="AD882" s="350"/>
      <c r="AE882" s="350"/>
      <c r="AF882" s="350"/>
    </row>
    <row r="883" spans="1:32" s="597" customFormat="1" ht="18" customHeight="1" x14ac:dyDescent="0.2">
      <c r="A883" s="88"/>
      <c r="B883" s="180"/>
      <c r="C883" s="180"/>
      <c r="D883" s="88"/>
      <c r="E883" s="88"/>
      <c r="F883" s="88"/>
      <c r="G883" s="88"/>
      <c r="H883" s="120"/>
      <c r="I883" s="121"/>
      <c r="J883" s="181"/>
      <c r="K883" s="121"/>
      <c r="L883" s="88"/>
      <c r="M883" s="88"/>
      <c r="N883" s="88"/>
      <c r="O883" s="88"/>
      <c r="P883" s="88"/>
      <c r="Q883" s="129"/>
      <c r="R883" s="445"/>
      <c r="S883" s="121"/>
      <c r="T883" s="182"/>
      <c r="U883" s="181"/>
      <c r="V883" s="121"/>
      <c r="W883" s="121"/>
      <c r="X883" s="472"/>
      <c r="Y883" s="472"/>
      <c r="Z883" s="473"/>
      <c r="AA883" s="473"/>
      <c r="AB883" s="410"/>
      <c r="AC883" s="350"/>
      <c r="AD883" s="350"/>
      <c r="AE883" s="350"/>
      <c r="AF883" s="350"/>
    </row>
    <row r="884" spans="1:32" s="597" customFormat="1" ht="18" customHeight="1" x14ac:dyDescent="0.2">
      <c r="A884" s="183"/>
      <c r="B884" s="183"/>
      <c r="C884" s="183"/>
      <c r="D884" s="183"/>
      <c r="E884" s="183"/>
      <c r="F884" s="183"/>
      <c r="G884" s="183"/>
      <c r="H884" s="184"/>
      <c r="I884" s="185"/>
      <c r="J884" s="186"/>
      <c r="K884" s="185"/>
      <c r="L884" s="185"/>
      <c r="M884" s="185"/>
      <c r="N884" s="185"/>
      <c r="O884" s="185"/>
      <c r="P884" s="185"/>
      <c r="Q884" s="185"/>
      <c r="R884" s="438"/>
      <c r="S884" s="185"/>
      <c r="T884" s="187"/>
      <c r="U884" s="186"/>
      <c r="V884" s="185"/>
      <c r="W884" s="185"/>
      <c r="X884" s="474"/>
      <c r="Y884" s="474"/>
      <c r="Z884" s="475"/>
      <c r="AA884" s="475"/>
      <c r="AB884" s="476">
        <f>SUM(AB869:AB883)</f>
        <v>136.08000000000001</v>
      </c>
      <c r="AC884" s="351"/>
      <c r="AD884" s="351"/>
      <c r="AE884" s="351"/>
      <c r="AF884" s="351"/>
    </row>
    <row r="885" spans="1:32" s="597" customFormat="1" ht="18" customHeight="1" x14ac:dyDescent="0.2">
      <c r="A885" s="2690" t="s">
        <v>76</v>
      </c>
      <c r="B885" s="2690"/>
      <c r="C885" s="2691" t="s">
        <v>77</v>
      </c>
      <c r="D885" s="2691"/>
      <c r="E885" s="2691"/>
      <c r="F885" s="2691"/>
      <c r="G885" s="2691"/>
      <c r="H885" s="2691"/>
      <c r="I885" s="604" t="s">
        <v>78</v>
      </c>
      <c r="J885" s="604"/>
      <c r="K885" s="604"/>
      <c r="L885" s="604"/>
      <c r="M885" s="604"/>
      <c r="N885" s="604"/>
      <c r="AB885" s="598"/>
      <c r="AC885" s="349"/>
      <c r="AD885" s="349"/>
      <c r="AE885" s="349"/>
      <c r="AF885" s="349"/>
    </row>
    <row r="886" spans="1:32" s="597" customFormat="1" ht="18" customHeight="1" x14ac:dyDescent="0.2">
      <c r="A886" s="604"/>
      <c r="B886" s="605"/>
      <c r="C886" s="604"/>
      <c r="D886" s="604"/>
      <c r="E886" s="604"/>
      <c r="F886" s="604"/>
      <c r="G886" s="604"/>
      <c r="H886" s="604"/>
      <c r="I886" s="604" t="s">
        <v>79</v>
      </c>
      <c r="J886" s="604"/>
      <c r="K886" s="604"/>
      <c r="L886" s="604"/>
      <c r="M886" s="604"/>
      <c r="N886" s="604"/>
      <c r="AB886" s="598"/>
    </row>
    <row r="887" spans="1:32" s="597" customFormat="1" ht="18" customHeight="1" x14ac:dyDescent="0.2">
      <c r="A887" s="604"/>
      <c r="B887" s="605"/>
      <c r="C887" s="604"/>
      <c r="D887" s="604"/>
      <c r="E887" s="604"/>
      <c r="F887" s="604"/>
      <c r="G887" s="604"/>
      <c r="H887" s="604"/>
      <c r="I887" s="604" t="s">
        <v>80</v>
      </c>
      <c r="J887" s="604"/>
      <c r="K887" s="604"/>
      <c r="L887" s="604"/>
      <c r="M887" s="604"/>
      <c r="N887" s="604"/>
      <c r="AB887" s="598"/>
    </row>
    <row r="888" spans="1:32" s="597" customFormat="1" ht="18" customHeight="1" x14ac:dyDescent="0.2">
      <c r="A888" s="604"/>
      <c r="B888" s="605"/>
      <c r="C888" s="604"/>
      <c r="D888" s="604"/>
      <c r="E888" s="604"/>
      <c r="F888" s="604"/>
      <c r="G888" s="604"/>
      <c r="H888" s="604"/>
      <c r="I888" s="604" t="s">
        <v>81</v>
      </c>
      <c r="J888" s="604"/>
      <c r="K888" s="604"/>
      <c r="L888" s="604"/>
      <c r="M888" s="604"/>
      <c r="N888" s="604"/>
      <c r="AB888" s="598"/>
    </row>
    <row r="889" spans="1:32" s="597" customFormat="1" ht="18" customHeight="1" x14ac:dyDescent="0.2">
      <c r="A889" s="604"/>
      <c r="B889" s="605"/>
      <c r="C889" s="604"/>
      <c r="D889" s="604"/>
      <c r="E889" s="604"/>
      <c r="F889" s="604"/>
      <c r="G889" s="604"/>
      <c r="H889" s="604"/>
      <c r="I889" s="604" t="s">
        <v>88</v>
      </c>
      <c r="J889" s="604"/>
      <c r="K889" s="604"/>
      <c r="L889" s="604"/>
      <c r="M889" s="604"/>
      <c r="N889" s="604"/>
      <c r="AB889" s="598"/>
    </row>
    <row r="890" spans="1:32" s="597" customFormat="1" ht="18" customHeight="1" x14ac:dyDescent="0.2">
      <c r="A890" s="339"/>
      <c r="B890" s="339"/>
      <c r="C890" s="339"/>
      <c r="D890" s="339"/>
      <c r="E890" s="339"/>
      <c r="F890" s="339"/>
      <c r="G890" s="339"/>
      <c r="H890" s="339"/>
      <c r="I890" s="339"/>
      <c r="J890" s="339"/>
      <c r="K890" s="339"/>
      <c r="L890" s="339"/>
      <c r="M890" s="339"/>
      <c r="N890" s="339"/>
      <c r="O890" s="339"/>
      <c r="P890" s="339"/>
      <c r="Q890" s="339"/>
      <c r="R890" s="339"/>
      <c r="S890" s="339"/>
      <c r="T890" s="339"/>
      <c r="U890" s="339"/>
      <c r="V890" s="339"/>
      <c r="W890" s="339"/>
      <c r="X890" s="339"/>
      <c r="Y890" s="339"/>
      <c r="Z890" s="339"/>
      <c r="AA890" s="2702" t="s">
        <v>0</v>
      </c>
      <c r="AB890" s="2702"/>
    </row>
    <row r="891" spans="1:32" s="597" customFormat="1" ht="18" customHeight="1" x14ac:dyDescent="0.2">
      <c r="A891" s="2703" t="s">
        <v>1</v>
      </c>
      <c r="B891" s="2703"/>
      <c r="C891" s="2703"/>
      <c r="D891" s="2703"/>
      <c r="E891" s="2703"/>
      <c r="F891" s="2703"/>
      <c r="G891" s="2703"/>
      <c r="H891" s="2703"/>
      <c r="I891" s="2703"/>
      <c r="J891" s="2703"/>
      <c r="K891" s="2703"/>
      <c r="L891" s="2703"/>
      <c r="M891" s="2703"/>
      <c r="N891" s="2703"/>
      <c r="O891" s="2703"/>
      <c r="P891" s="2703"/>
      <c r="Q891" s="2703"/>
      <c r="R891" s="2703"/>
      <c r="S891" s="2703"/>
      <c r="T891" s="2703"/>
      <c r="U891" s="2703"/>
      <c r="V891" s="2703"/>
      <c r="W891" s="2703"/>
      <c r="X891" s="2703"/>
      <c r="Y891" s="2703"/>
      <c r="Z891" s="2703"/>
      <c r="AA891" s="2703"/>
      <c r="AB891" s="2703"/>
      <c r="AC891" s="339"/>
      <c r="AD891" s="339"/>
      <c r="AE891" s="339"/>
      <c r="AF891" s="339"/>
    </row>
    <row r="892" spans="1:32" s="597" customFormat="1" ht="18" customHeight="1" x14ac:dyDescent="0.2">
      <c r="A892" s="2743" t="s">
        <v>306</v>
      </c>
      <c r="B892" s="2743"/>
      <c r="C892" s="2743"/>
      <c r="D892" s="2743"/>
      <c r="E892" s="2743"/>
      <c r="F892" s="2743"/>
      <c r="G892" s="2743"/>
      <c r="H892" s="2743"/>
      <c r="I892" s="2743"/>
      <c r="J892" s="2743"/>
      <c r="K892" s="2743"/>
      <c r="L892" s="2743"/>
      <c r="M892" s="2743"/>
      <c r="N892" s="2743"/>
      <c r="O892" s="2743"/>
      <c r="P892" s="2743"/>
      <c r="Q892" s="2743"/>
      <c r="R892" s="2743"/>
      <c r="S892" s="2743"/>
      <c r="T892" s="2743"/>
      <c r="U892" s="2743"/>
      <c r="V892" s="2743"/>
      <c r="W892" s="2743"/>
      <c r="X892" s="2743"/>
      <c r="Y892" s="2743"/>
      <c r="Z892" s="2743"/>
      <c r="AA892" s="2743"/>
      <c r="AB892" s="2743"/>
      <c r="AC892" s="344"/>
      <c r="AD892" s="344"/>
      <c r="AE892" s="344"/>
      <c r="AF892" s="344"/>
    </row>
    <row r="893" spans="1:32" s="597" customFormat="1" ht="18" customHeight="1" x14ac:dyDescent="0.2">
      <c r="A893" s="2686" t="s">
        <v>2</v>
      </c>
      <c r="B893" s="360"/>
      <c r="C893" s="2686" t="s">
        <v>3</v>
      </c>
      <c r="D893" s="360"/>
      <c r="E893" s="360"/>
      <c r="F893" s="2693" t="s">
        <v>4</v>
      </c>
      <c r="G893" s="2693"/>
      <c r="H893" s="2693"/>
      <c r="I893" s="2694"/>
      <c r="J893" s="2694"/>
      <c r="K893" s="2695"/>
      <c r="L893" s="361"/>
      <c r="M893" s="2679" t="s">
        <v>5</v>
      </c>
      <c r="N893" s="2679"/>
      <c r="O893" s="2679"/>
      <c r="P893" s="2679"/>
      <c r="Q893" s="2696"/>
      <c r="R893" s="2696"/>
      <c r="S893" s="2696"/>
      <c r="T893" s="2696"/>
      <c r="U893" s="2696"/>
      <c r="V893" s="2697"/>
      <c r="W893" s="362" t="s">
        <v>6</v>
      </c>
      <c r="X893" s="363" t="s">
        <v>7</v>
      </c>
      <c r="Y893" s="364"/>
      <c r="Z893" s="364"/>
      <c r="AA893" s="363"/>
      <c r="AB893" s="365"/>
      <c r="AC893" s="1027"/>
      <c r="AD893" s="1027"/>
      <c r="AE893" s="1027"/>
      <c r="AF893" s="1027"/>
    </row>
    <row r="894" spans="1:32" s="597" customFormat="1" ht="18" customHeight="1" x14ac:dyDescent="0.2">
      <c r="A894" s="2687"/>
      <c r="B894" s="367"/>
      <c r="C894" s="2687"/>
      <c r="D894" s="366" t="s">
        <v>9</v>
      </c>
      <c r="E894" s="368" t="s">
        <v>10</v>
      </c>
      <c r="F894" s="2698" t="s">
        <v>11</v>
      </c>
      <c r="G894" s="2694"/>
      <c r="H894" s="2695"/>
      <c r="I894" s="360"/>
      <c r="J894" s="369" t="s">
        <v>12</v>
      </c>
      <c r="K894" s="360"/>
      <c r="L894" s="2679" t="s">
        <v>2</v>
      </c>
      <c r="M894" s="370"/>
      <c r="N894" s="370"/>
      <c r="O894" s="370"/>
      <c r="P894" s="371"/>
      <c r="Q894" s="372" t="s">
        <v>13</v>
      </c>
      <c r="R894" s="373" t="s">
        <v>12</v>
      </c>
      <c r="S894" s="370" t="s">
        <v>6</v>
      </c>
      <c r="T894" s="2682" t="s">
        <v>14</v>
      </c>
      <c r="U894" s="2683"/>
      <c r="V894" s="375" t="s">
        <v>7</v>
      </c>
      <c r="W894" s="376" t="s">
        <v>15</v>
      </c>
      <c r="X894" s="377" t="s">
        <v>16</v>
      </c>
      <c r="Y894" s="377" t="s">
        <v>17</v>
      </c>
      <c r="Z894" s="377" t="s">
        <v>18</v>
      </c>
      <c r="AA894" s="377"/>
      <c r="AB894" s="378" t="s">
        <v>19</v>
      </c>
      <c r="AC894" s="1028" t="s">
        <v>8</v>
      </c>
      <c r="AD894" s="1029"/>
      <c r="AE894" s="1029"/>
      <c r="AF894" s="1030"/>
    </row>
    <row r="895" spans="1:32" s="597" customFormat="1" ht="18" customHeight="1" x14ac:dyDescent="0.2">
      <c r="A895" s="2687"/>
      <c r="B895" s="366" t="s">
        <v>23</v>
      </c>
      <c r="C895" s="2687"/>
      <c r="D895" s="366" t="s">
        <v>24</v>
      </c>
      <c r="E895" s="368" t="s">
        <v>25</v>
      </c>
      <c r="F895" s="2699"/>
      <c r="G895" s="2700"/>
      <c r="H895" s="2701"/>
      <c r="I895" s="366" t="s">
        <v>26</v>
      </c>
      <c r="J895" s="379" t="s">
        <v>15</v>
      </c>
      <c r="K895" s="380" t="s">
        <v>6</v>
      </c>
      <c r="L895" s="2680"/>
      <c r="M895" s="381" t="s">
        <v>27</v>
      </c>
      <c r="N895" s="381" t="s">
        <v>10</v>
      </c>
      <c r="O895" s="382" t="s">
        <v>10</v>
      </c>
      <c r="P895" s="383" t="s">
        <v>28</v>
      </c>
      <c r="Q895" s="384" t="s">
        <v>29</v>
      </c>
      <c r="R895" s="383" t="s">
        <v>15</v>
      </c>
      <c r="S895" s="385" t="s">
        <v>15</v>
      </c>
      <c r="T895" s="2684"/>
      <c r="U895" s="2685"/>
      <c r="V895" s="375" t="s">
        <v>30</v>
      </c>
      <c r="W895" s="376" t="s">
        <v>31</v>
      </c>
      <c r="X895" s="377" t="s">
        <v>30</v>
      </c>
      <c r="Y895" s="377" t="s">
        <v>32</v>
      </c>
      <c r="Z895" s="377" t="s">
        <v>7</v>
      </c>
      <c r="AA895" s="377" t="s">
        <v>33</v>
      </c>
      <c r="AB895" s="378" t="s">
        <v>34</v>
      </c>
      <c r="AC895" s="528" t="s">
        <v>20</v>
      </c>
      <c r="AD895" s="601"/>
      <c r="AE895" s="347" t="s">
        <v>21</v>
      </c>
      <c r="AF895" s="340" t="s">
        <v>22</v>
      </c>
    </row>
    <row r="896" spans="1:32" s="597" customFormat="1" ht="18" customHeight="1" x14ac:dyDescent="0.2">
      <c r="A896" s="2687"/>
      <c r="B896" s="366" t="s">
        <v>39</v>
      </c>
      <c r="C896" s="2687"/>
      <c r="D896" s="366" t="s">
        <v>40</v>
      </c>
      <c r="E896" s="368" t="s">
        <v>41</v>
      </c>
      <c r="F896" s="2686" t="s">
        <v>42</v>
      </c>
      <c r="G896" s="2686" t="s">
        <v>43</v>
      </c>
      <c r="H896" s="2688" t="s">
        <v>44</v>
      </c>
      <c r="I896" s="366" t="s">
        <v>45</v>
      </c>
      <c r="J896" s="379" t="s">
        <v>46</v>
      </c>
      <c r="K896" s="380" t="s">
        <v>47</v>
      </c>
      <c r="L896" s="2680"/>
      <c r="M896" s="381" t="s">
        <v>30</v>
      </c>
      <c r="N896" s="381" t="s">
        <v>30</v>
      </c>
      <c r="O896" s="382" t="s">
        <v>25</v>
      </c>
      <c r="P896" s="383" t="s">
        <v>30</v>
      </c>
      <c r="Q896" s="384" t="s">
        <v>48</v>
      </c>
      <c r="R896" s="383" t="s">
        <v>49</v>
      </c>
      <c r="S896" s="385" t="s">
        <v>30</v>
      </c>
      <c r="T896" s="386" t="s">
        <v>50</v>
      </c>
      <c r="U896" s="374" t="s">
        <v>13</v>
      </c>
      <c r="V896" s="375" t="s">
        <v>51</v>
      </c>
      <c r="W896" s="376" t="s">
        <v>52</v>
      </c>
      <c r="X896" s="377" t="s">
        <v>53</v>
      </c>
      <c r="Y896" s="377" t="s">
        <v>54</v>
      </c>
      <c r="Z896" s="377" t="s">
        <v>55</v>
      </c>
      <c r="AA896" s="377" t="s">
        <v>56</v>
      </c>
      <c r="AB896" s="378" t="s">
        <v>57</v>
      </c>
      <c r="AC896" s="528" t="s">
        <v>35</v>
      </c>
      <c r="AD896" s="347" t="s">
        <v>36</v>
      </c>
      <c r="AE896" s="347" t="s">
        <v>37</v>
      </c>
      <c r="AF896" s="340" t="s">
        <v>38</v>
      </c>
    </row>
    <row r="897" spans="1:32" s="597" customFormat="1" ht="18" customHeight="1" x14ac:dyDescent="0.2">
      <c r="A897" s="2687"/>
      <c r="B897" s="366" t="s">
        <v>61</v>
      </c>
      <c r="C897" s="2687"/>
      <c r="D897" s="366" t="s">
        <v>62</v>
      </c>
      <c r="E897" s="368" t="s">
        <v>63</v>
      </c>
      <c r="F897" s="2687"/>
      <c r="G897" s="2687"/>
      <c r="H897" s="2689"/>
      <c r="I897" s="366" t="s">
        <v>64</v>
      </c>
      <c r="J897" s="379" t="s">
        <v>59</v>
      </c>
      <c r="K897" s="380" t="s">
        <v>59</v>
      </c>
      <c r="L897" s="2680"/>
      <c r="M897" s="381"/>
      <c r="N897" s="381"/>
      <c r="O897" s="382" t="s">
        <v>41</v>
      </c>
      <c r="P897" s="383" t="s">
        <v>65</v>
      </c>
      <c r="Q897" s="384" t="s">
        <v>66</v>
      </c>
      <c r="R897" s="383" t="s">
        <v>67</v>
      </c>
      <c r="S897" s="385" t="s">
        <v>59</v>
      </c>
      <c r="T897" s="387" t="s">
        <v>68</v>
      </c>
      <c r="U897" s="375" t="s">
        <v>14</v>
      </c>
      <c r="V897" s="375" t="s">
        <v>14</v>
      </c>
      <c r="W897" s="376" t="s">
        <v>30</v>
      </c>
      <c r="X897" s="388" t="s">
        <v>69</v>
      </c>
      <c r="Y897" s="388" t="s">
        <v>70</v>
      </c>
      <c r="Z897" s="377" t="s">
        <v>71</v>
      </c>
      <c r="AA897" s="377" t="s">
        <v>72</v>
      </c>
      <c r="AB897" s="378" t="s">
        <v>59</v>
      </c>
      <c r="AC897" s="347" t="s">
        <v>58</v>
      </c>
      <c r="AD897" s="347" t="s">
        <v>59</v>
      </c>
      <c r="AE897" s="347" t="s">
        <v>59</v>
      </c>
      <c r="AF897" s="340" t="s">
        <v>60</v>
      </c>
    </row>
    <row r="898" spans="1:32" s="597" customFormat="1" ht="18" customHeight="1" x14ac:dyDescent="0.2">
      <c r="A898" s="2692"/>
      <c r="B898" s="390"/>
      <c r="C898" s="2692"/>
      <c r="D898" s="390"/>
      <c r="E898" s="389"/>
      <c r="F898" s="390"/>
      <c r="G898" s="390"/>
      <c r="H898" s="391"/>
      <c r="I898" s="389"/>
      <c r="J898" s="392"/>
      <c r="K898" s="393"/>
      <c r="L898" s="2681"/>
      <c r="M898" s="394"/>
      <c r="N898" s="394"/>
      <c r="O898" s="394" t="s">
        <v>63</v>
      </c>
      <c r="P898" s="395"/>
      <c r="Q898" s="396" t="s">
        <v>72</v>
      </c>
      <c r="R898" s="397" t="s">
        <v>59</v>
      </c>
      <c r="S898" s="398"/>
      <c r="T898" s="397" t="s">
        <v>73</v>
      </c>
      <c r="U898" s="398" t="s">
        <v>59</v>
      </c>
      <c r="V898" s="399" t="s">
        <v>59</v>
      </c>
      <c r="W898" s="400" t="s">
        <v>59</v>
      </c>
      <c r="X898" s="401" t="s">
        <v>59</v>
      </c>
      <c r="Y898" s="401" t="s">
        <v>59</v>
      </c>
      <c r="Z898" s="401" t="s">
        <v>59</v>
      </c>
      <c r="AA898" s="402"/>
      <c r="AB898" s="403"/>
      <c r="AC898" s="347" t="s">
        <v>59</v>
      </c>
      <c r="AD898" s="347"/>
      <c r="AE898" s="347"/>
      <c r="AF898" s="340" t="s">
        <v>59</v>
      </c>
    </row>
    <row r="899" spans="1:32" s="597" customFormat="1" ht="18" customHeight="1" x14ac:dyDescent="0.2">
      <c r="A899" s="53">
        <v>1</v>
      </c>
      <c r="B899" s="82">
        <v>29111</v>
      </c>
      <c r="C899" s="82">
        <v>799</v>
      </c>
      <c r="D899" s="82" t="s">
        <v>95</v>
      </c>
      <c r="E899" s="82">
        <v>4</v>
      </c>
      <c r="F899" s="82">
        <v>0</v>
      </c>
      <c r="G899" s="82">
        <v>0</v>
      </c>
      <c r="H899" s="463">
        <v>85</v>
      </c>
      <c r="I899" s="70">
        <f>F899*400+G899*100+H899</f>
        <v>85</v>
      </c>
      <c r="J899" s="123">
        <v>1000</v>
      </c>
      <c r="K899" s="124">
        <f>SUM(I899*J899)</f>
        <v>85000</v>
      </c>
      <c r="L899" s="53"/>
      <c r="M899" s="82"/>
      <c r="N899" s="82"/>
      <c r="O899" s="53"/>
      <c r="P899" s="358"/>
      <c r="Q899" s="197"/>
      <c r="R899" s="444"/>
      <c r="S899" s="70"/>
      <c r="T899" s="82"/>
      <c r="U899" s="70"/>
      <c r="V899" s="70"/>
      <c r="W899" s="70">
        <f>K899+V899</f>
        <v>85000</v>
      </c>
      <c r="X899" s="70">
        <f>W899</f>
        <v>85000</v>
      </c>
      <c r="Y899" s="123"/>
      <c r="Z899" s="70">
        <f>+X899</f>
        <v>85000</v>
      </c>
      <c r="AA899" s="464">
        <v>0.6</v>
      </c>
      <c r="AB899" s="406">
        <f>+Z899*AA899/100</f>
        <v>510</v>
      </c>
      <c r="AC899" s="348"/>
      <c r="AD899" s="348"/>
      <c r="AE899" s="348"/>
      <c r="AF899" s="341"/>
    </row>
    <row r="900" spans="1:32" s="597" customFormat="1" ht="18" customHeight="1" x14ac:dyDescent="0.2">
      <c r="A900" s="61"/>
      <c r="B900" s="145"/>
      <c r="C900" s="145"/>
      <c r="D900" s="145"/>
      <c r="E900" s="145"/>
      <c r="F900" s="145"/>
      <c r="G900" s="145"/>
      <c r="H900" s="407"/>
      <c r="I900" s="77"/>
      <c r="J900" s="107"/>
      <c r="K900" s="78"/>
      <c r="L900" s="61"/>
      <c r="M900" s="145"/>
      <c r="N900" s="145"/>
      <c r="O900" s="61"/>
      <c r="P900" s="177"/>
      <c r="Q900" s="196"/>
      <c r="R900" s="408"/>
      <c r="S900" s="77"/>
      <c r="T900" s="145"/>
      <c r="U900" s="77"/>
      <c r="V900" s="77"/>
      <c r="W900" s="77"/>
      <c r="X900" s="77"/>
      <c r="Y900" s="107"/>
      <c r="Z900" s="77"/>
      <c r="AA900" s="409"/>
      <c r="AB900" s="410"/>
      <c r="AC900" s="602"/>
      <c r="AD900" s="603">
        <f>AB808-AC900</f>
        <v>510</v>
      </c>
      <c r="AE900" s="603">
        <f>IF(AD900&lt;=0,0,AD900*25/100)</f>
        <v>127.5</v>
      </c>
      <c r="AF900" s="603">
        <f>IF(AC900+AE900&gt;AB808,AB808,AC900+AE900)</f>
        <v>127.5</v>
      </c>
    </row>
    <row r="901" spans="1:32" s="597" customFormat="1" ht="18" customHeight="1" x14ac:dyDescent="0.2">
      <c r="A901" s="145"/>
      <c r="B901" s="177"/>
      <c r="C901" s="177"/>
      <c r="D901" s="145"/>
      <c r="E901" s="145"/>
      <c r="F901" s="145"/>
      <c r="G901" s="145"/>
      <c r="H901" s="147"/>
      <c r="I901" s="107"/>
      <c r="J901" s="178"/>
      <c r="K901" s="107"/>
      <c r="L901" s="145"/>
      <c r="M901" s="145"/>
      <c r="N901" s="145"/>
      <c r="O901" s="145"/>
      <c r="P901" s="147"/>
      <c r="Q901" s="148"/>
      <c r="R901" s="437"/>
      <c r="S901" s="107"/>
      <c r="T901" s="179"/>
      <c r="U901" s="178"/>
      <c r="V901" s="107"/>
      <c r="W901" s="107"/>
      <c r="X901" s="470"/>
      <c r="Y901" s="470"/>
      <c r="Z901" s="471"/>
      <c r="AA901" s="471"/>
      <c r="AB901" s="466"/>
      <c r="AC901" s="350"/>
      <c r="AD901" s="350"/>
      <c r="AE901" s="350"/>
      <c r="AF901" s="350"/>
    </row>
    <row r="902" spans="1:32" s="597" customFormat="1" ht="18" customHeight="1" x14ac:dyDescent="0.2">
      <c r="A902" s="145"/>
      <c r="B902" s="177"/>
      <c r="C902" s="177"/>
      <c r="D902" s="145"/>
      <c r="E902" s="145"/>
      <c r="F902" s="145"/>
      <c r="G902" s="145"/>
      <c r="H902" s="147"/>
      <c r="I902" s="107"/>
      <c r="J902" s="178"/>
      <c r="K902" s="107"/>
      <c r="L902" s="145"/>
      <c r="M902" s="145"/>
      <c r="N902" s="145"/>
      <c r="O902" s="145"/>
      <c r="P902" s="147"/>
      <c r="Q902" s="148"/>
      <c r="R902" s="437"/>
      <c r="S902" s="107"/>
      <c r="T902" s="179"/>
      <c r="U902" s="178"/>
      <c r="V902" s="107"/>
      <c r="W902" s="107"/>
      <c r="X902" s="470"/>
      <c r="Y902" s="470"/>
      <c r="Z902" s="471"/>
      <c r="AA902" s="471"/>
      <c r="AB902" s="466"/>
      <c r="AC902" s="350"/>
      <c r="AD902" s="350"/>
      <c r="AE902" s="350"/>
      <c r="AF902" s="350"/>
    </row>
    <row r="903" spans="1:32" s="597" customFormat="1" ht="18" customHeight="1" x14ac:dyDescent="0.2">
      <c r="A903" s="145"/>
      <c r="B903" s="177"/>
      <c r="C903" s="177"/>
      <c r="D903" s="145"/>
      <c r="E903" s="145"/>
      <c r="F903" s="145"/>
      <c r="G903" s="145"/>
      <c r="H903" s="147"/>
      <c r="I903" s="107"/>
      <c r="J903" s="178"/>
      <c r="K903" s="107"/>
      <c r="L903" s="145"/>
      <c r="M903" s="145"/>
      <c r="N903" s="145"/>
      <c r="O903" s="145"/>
      <c r="P903" s="147"/>
      <c r="Q903" s="148"/>
      <c r="R903" s="437"/>
      <c r="S903" s="107"/>
      <c r="T903" s="179"/>
      <c r="U903" s="178"/>
      <c r="V903" s="107"/>
      <c r="W903" s="107"/>
      <c r="X903" s="470"/>
      <c r="Y903" s="470"/>
      <c r="Z903" s="471"/>
      <c r="AA903" s="471"/>
      <c r="AB903" s="466"/>
      <c r="AC903" s="350"/>
      <c r="AD903" s="350"/>
      <c r="AE903" s="350"/>
      <c r="AF903" s="350"/>
    </row>
    <row r="904" spans="1:32" s="597" customFormat="1" ht="18" customHeight="1" x14ac:dyDescent="0.2">
      <c r="A904" s="145"/>
      <c r="B904" s="177"/>
      <c r="C904" s="177"/>
      <c r="D904" s="145"/>
      <c r="E904" s="145"/>
      <c r="F904" s="145"/>
      <c r="G904" s="145"/>
      <c r="H904" s="147"/>
      <c r="I904" s="107"/>
      <c r="J904" s="178"/>
      <c r="K904" s="107"/>
      <c r="L904" s="145"/>
      <c r="M904" s="145"/>
      <c r="N904" s="145"/>
      <c r="O904" s="145"/>
      <c r="P904" s="147"/>
      <c r="Q904" s="148"/>
      <c r="R904" s="437"/>
      <c r="S904" s="107"/>
      <c r="T904" s="179"/>
      <c r="U904" s="178"/>
      <c r="V904" s="107"/>
      <c r="W904" s="107"/>
      <c r="X904" s="470"/>
      <c r="Y904" s="470"/>
      <c r="Z904" s="471"/>
      <c r="AA904" s="471"/>
      <c r="AB904" s="466"/>
      <c r="AC904" s="350"/>
      <c r="AD904" s="350"/>
      <c r="AE904" s="350"/>
      <c r="AF904" s="350"/>
    </row>
    <row r="905" spans="1:32" s="597" customFormat="1" ht="18" customHeight="1" x14ac:dyDescent="0.2">
      <c r="A905" s="145"/>
      <c r="B905" s="177"/>
      <c r="C905" s="177"/>
      <c r="D905" s="145"/>
      <c r="E905" s="145"/>
      <c r="F905" s="145"/>
      <c r="G905" s="145"/>
      <c r="H905" s="147"/>
      <c r="I905" s="107"/>
      <c r="J905" s="178"/>
      <c r="K905" s="107"/>
      <c r="L905" s="145"/>
      <c r="M905" s="145"/>
      <c r="N905" s="145"/>
      <c r="O905" s="145"/>
      <c r="P905" s="147"/>
      <c r="Q905" s="148"/>
      <c r="R905" s="437"/>
      <c r="S905" s="107"/>
      <c r="T905" s="179"/>
      <c r="U905" s="178"/>
      <c r="V905" s="107"/>
      <c r="W905" s="107"/>
      <c r="X905" s="470"/>
      <c r="Y905" s="470"/>
      <c r="Z905" s="471"/>
      <c r="AA905" s="471"/>
      <c r="AB905" s="466"/>
      <c r="AC905" s="350"/>
      <c r="AD905" s="350"/>
      <c r="AE905" s="350"/>
      <c r="AF905" s="350"/>
    </row>
    <row r="906" spans="1:32" s="597" customFormat="1" ht="18" customHeight="1" x14ac:dyDescent="0.2">
      <c r="A906" s="145"/>
      <c r="B906" s="177"/>
      <c r="C906" s="177"/>
      <c r="D906" s="145"/>
      <c r="E906" s="145"/>
      <c r="F906" s="145"/>
      <c r="G906" s="145"/>
      <c r="H906" s="147"/>
      <c r="I906" s="107"/>
      <c r="J906" s="178"/>
      <c r="K906" s="107"/>
      <c r="L906" s="145"/>
      <c r="M906" s="145"/>
      <c r="N906" s="145"/>
      <c r="O906" s="145"/>
      <c r="P906" s="147"/>
      <c r="Q906" s="148"/>
      <c r="R906" s="437"/>
      <c r="S906" s="107"/>
      <c r="T906" s="179"/>
      <c r="U906" s="178"/>
      <c r="V906" s="107"/>
      <c r="W906" s="107"/>
      <c r="X906" s="470"/>
      <c r="Y906" s="470"/>
      <c r="Z906" s="471"/>
      <c r="AA906" s="471"/>
      <c r="AB906" s="466"/>
      <c r="AC906" s="350"/>
      <c r="AD906" s="350"/>
      <c r="AE906" s="350"/>
      <c r="AF906" s="350"/>
    </row>
    <row r="907" spans="1:32" s="597" customFormat="1" ht="18" customHeight="1" x14ac:dyDescent="0.2">
      <c r="A907" s="145"/>
      <c r="B907" s="177"/>
      <c r="C907" s="177"/>
      <c r="D907" s="145"/>
      <c r="E907" s="145"/>
      <c r="F907" s="145"/>
      <c r="G907" s="145"/>
      <c r="H907" s="147"/>
      <c r="I907" s="107"/>
      <c r="J907" s="178"/>
      <c r="K907" s="107"/>
      <c r="L907" s="145"/>
      <c r="M907" s="145"/>
      <c r="N907" s="145"/>
      <c r="O907" s="145"/>
      <c r="P907" s="147"/>
      <c r="Q907" s="148"/>
      <c r="R907" s="437"/>
      <c r="S907" s="107"/>
      <c r="T907" s="179"/>
      <c r="U907" s="178"/>
      <c r="V907" s="107"/>
      <c r="W907" s="107"/>
      <c r="X907" s="470"/>
      <c r="Y907" s="470"/>
      <c r="Z907" s="471"/>
      <c r="AA907" s="471"/>
      <c r="AB907" s="466"/>
      <c r="AC907" s="350"/>
      <c r="AD907" s="350"/>
      <c r="AE907" s="350"/>
      <c r="AF907" s="350"/>
    </row>
    <row r="908" spans="1:32" s="597" customFormat="1" ht="18" customHeight="1" x14ac:dyDescent="0.2">
      <c r="A908" s="145"/>
      <c r="B908" s="177"/>
      <c r="C908" s="177"/>
      <c r="D908" s="145"/>
      <c r="E908" s="145"/>
      <c r="F908" s="145"/>
      <c r="G908" s="145"/>
      <c r="H908" s="147"/>
      <c r="I908" s="107"/>
      <c r="J908" s="178"/>
      <c r="K908" s="107"/>
      <c r="L908" s="145"/>
      <c r="M908" s="145"/>
      <c r="N908" s="145"/>
      <c r="O908" s="145"/>
      <c r="P908" s="147"/>
      <c r="Q908" s="148"/>
      <c r="R908" s="437"/>
      <c r="S908" s="107"/>
      <c r="T908" s="179"/>
      <c r="U908" s="178"/>
      <c r="V908" s="107"/>
      <c r="W908" s="107"/>
      <c r="X908" s="470"/>
      <c r="Y908" s="470"/>
      <c r="Z908" s="471"/>
      <c r="AA908" s="471"/>
      <c r="AB908" s="466"/>
      <c r="AC908" s="350"/>
      <c r="AD908" s="350"/>
      <c r="AE908" s="350"/>
      <c r="AF908" s="350"/>
    </row>
    <row r="909" spans="1:32" s="597" customFormat="1" ht="18" customHeight="1" x14ac:dyDescent="0.2">
      <c r="A909" s="145"/>
      <c r="B909" s="177"/>
      <c r="C909" s="177"/>
      <c r="D909" s="145"/>
      <c r="E909" s="145"/>
      <c r="F909" s="145"/>
      <c r="G909" s="145"/>
      <c r="H909" s="147"/>
      <c r="I909" s="107"/>
      <c r="J909" s="178"/>
      <c r="K909" s="107"/>
      <c r="L909" s="145"/>
      <c r="M909" s="145"/>
      <c r="N909" s="145"/>
      <c r="O909" s="145"/>
      <c r="P909" s="147"/>
      <c r="Q909" s="148"/>
      <c r="R909" s="437"/>
      <c r="S909" s="107"/>
      <c r="T909" s="179"/>
      <c r="U909" s="178"/>
      <c r="V909" s="107"/>
      <c r="W909" s="107"/>
      <c r="X909" s="470"/>
      <c r="Y909" s="470"/>
      <c r="Z909" s="471"/>
      <c r="AA909" s="471"/>
      <c r="AB909" s="466"/>
      <c r="AC909" s="350"/>
      <c r="AD909" s="350"/>
      <c r="AE909" s="350"/>
      <c r="AF909" s="350"/>
    </row>
    <row r="910" spans="1:32" s="597" customFormat="1" ht="18" customHeight="1" x14ac:dyDescent="0.2">
      <c r="A910" s="145"/>
      <c r="B910" s="177"/>
      <c r="C910" s="177"/>
      <c r="D910" s="145"/>
      <c r="E910" s="145"/>
      <c r="F910" s="145"/>
      <c r="G910" s="145"/>
      <c r="H910" s="147"/>
      <c r="I910" s="107"/>
      <c r="J910" s="178"/>
      <c r="K910" s="107"/>
      <c r="L910" s="145"/>
      <c r="M910" s="145"/>
      <c r="N910" s="145"/>
      <c r="O910" s="145"/>
      <c r="P910" s="147"/>
      <c r="Q910" s="148"/>
      <c r="R910" s="437"/>
      <c r="S910" s="107"/>
      <c r="T910" s="179"/>
      <c r="U910" s="178"/>
      <c r="V910" s="107"/>
      <c r="W910" s="107"/>
      <c r="X910" s="470"/>
      <c r="Y910" s="470"/>
      <c r="Z910" s="471"/>
      <c r="AA910" s="471"/>
      <c r="AB910" s="466"/>
      <c r="AC910" s="350"/>
      <c r="AD910" s="350"/>
      <c r="AE910" s="350"/>
      <c r="AF910" s="350"/>
    </row>
    <row r="911" spans="1:32" s="597" customFormat="1" ht="18" customHeight="1" x14ac:dyDescent="0.2">
      <c r="A911" s="145"/>
      <c r="B911" s="177"/>
      <c r="C911" s="177"/>
      <c r="D911" s="145"/>
      <c r="E911" s="145"/>
      <c r="F911" s="145"/>
      <c r="G911" s="145"/>
      <c r="H911" s="147"/>
      <c r="I911" s="107"/>
      <c r="J911" s="178"/>
      <c r="K911" s="107"/>
      <c r="L911" s="145"/>
      <c r="M911" s="145"/>
      <c r="N911" s="145"/>
      <c r="O911" s="145"/>
      <c r="P911" s="147"/>
      <c r="Q911" s="148"/>
      <c r="R911" s="437"/>
      <c r="S911" s="107"/>
      <c r="T911" s="179"/>
      <c r="U911" s="178"/>
      <c r="V911" s="107"/>
      <c r="W911" s="107"/>
      <c r="X911" s="470"/>
      <c r="Y911" s="470"/>
      <c r="Z911" s="471"/>
      <c r="AA911" s="471"/>
      <c r="AB911" s="466"/>
      <c r="AC911" s="350"/>
      <c r="AD911" s="350"/>
      <c r="AE911" s="350"/>
      <c r="AF911" s="350"/>
    </row>
    <row r="912" spans="1:32" s="597" customFormat="1" ht="18" customHeight="1" x14ac:dyDescent="0.2">
      <c r="A912" s="145"/>
      <c r="B912" s="177"/>
      <c r="C912" s="177"/>
      <c r="D912" s="145"/>
      <c r="E912" s="145"/>
      <c r="F912" s="145"/>
      <c r="G912" s="145"/>
      <c r="H912" s="147"/>
      <c r="I912" s="107"/>
      <c r="J912" s="178"/>
      <c r="K912" s="107"/>
      <c r="L912" s="145"/>
      <c r="M912" s="145"/>
      <c r="N912" s="145"/>
      <c r="O912" s="145"/>
      <c r="P912" s="147"/>
      <c r="Q912" s="148"/>
      <c r="R912" s="437"/>
      <c r="S912" s="107"/>
      <c r="T912" s="179"/>
      <c r="U912" s="178"/>
      <c r="V912" s="107"/>
      <c r="W912" s="107"/>
      <c r="X912" s="470"/>
      <c r="Y912" s="470"/>
      <c r="Z912" s="471"/>
      <c r="AA912" s="471"/>
      <c r="AB912" s="466"/>
      <c r="AC912" s="350"/>
      <c r="AD912" s="350"/>
      <c r="AE912" s="350"/>
      <c r="AF912" s="350"/>
    </row>
    <row r="913" spans="1:32" s="597" customFormat="1" ht="18" customHeight="1" x14ac:dyDescent="0.2">
      <c r="A913" s="88"/>
      <c r="B913" s="180"/>
      <c r="C913" s="180"/>
      <c r="D913" s="88"/>
      <c r="E913" s="88"/>
      <c r="F913" s="88"/>
      <c r="G913" s="88"/>
      <c r="H913" s="120"/>
      <c r="I913" s="121"/>
      <c r="J913" s="181"/>
      <c r="K913" s="121"/>
      <c r="L913" s="88"/>
      <c r="M913" s="88"/>
      <c r="N913" s="88"/>
      <c r="O913" s="88"/>
      <c r="P913" s="88"/>
      <c r="Q913" s="129"/>
      <c r="R913" s="445"/>
      <c r="S913" s="121"/>
      <c r="T913" s="182"/>
      <c r="U913" s="181"/>
      <c r="V913" s="121"/>
      <c r="W913" s="121"/>
      <c r="X913" s="472"/>
      <c r="Y913" s="472"/>
      <c r="Z913" s="473"/>
      <c r="AA913" s="473"/>
      <c r="AB913" s="410"/>
      <c r="AC913" s="350"/>
      <c r="AD913" s="350"/>
      <c r="AE913" s="350"/>
      <c r="AF913" s="350"/>
    </row>
    <row r="914" spans="1:32" s="597" customFormat="1" ht="18" customHeight="1" x14ac:dyDescent="0.2">
      <c r="A914" s="1850"/>
      <c r="B914" s="1850"/>
      <c r="C914" s="1850"/>
      <c r="D914" s="1850"/>
      <c r="E914" s="1850"/>
      <c r="F914" s="1850"/>
      <c r="G914" s="1850"/>
      <c r="H914" s="1851"/>
      <c r="I914" s="1852"/>
      <c r="J914" s="1853"/>
      <c r="K914" s="1852"/>
      <c r="L914" s="1852"/>
      <c r="M914" s="1852"/>
      <c r="N914" s="1852"/>
      <c r="O914" s="1852"/>
      <c r="P914" s="1852"/>
      <c r="Q914" s="1852"/>
      <c r="R914" s="1854"/>
      <c r="S914" s="1852"/>
      <c r="T914" s="1855"/>
      <c r="U914" s="1853"/>
      <c r="V914" s="1852"/>
      <c r="W914" s="1852"/>
      <c r="X914" s="1856"/>
      <c r="Y914" s="1856"/>
      <c r="Z914" s="1857"/>
      <c r="AA914" s="1857"/>
      <c r="AB914" s="1847">
        <f>SUM(AB899:AB913)</f>
        <v>510</v>
      </c>
      <c r="AC914" s="1972"/>
      <c r="AD914" s="1972"/>
      <c r="AE914" s="1972"/>
      <c r="AF914" s="1972"/>
    </row>
    <row r="915" spans="1:32" s="597" customFormat="1" ht="18" customHeight="1" x14ac:dyDescent="0.2">
      <c r="A915" s="2690" t="s">
        <v>76</v>
      </c>
      <c r="B915" s="2690"/>
      <c r="C915" s="2691" t="s">
        <v>77</v>
      </c>
      <c r="D915" s="2691"/>
      <c r="E915" s="2691"/>
      <c r="F915" s="2691"/>
      <c r="G915" s="2691"/>
      <c r="H915" s="2691"/>
      <c r="I915" s="604" t="s">
        <v>78</v>
      </c>
      <c r="J915" s="604"/>
      <c r="K915" s="604"/>
      <c r="L915" s="604"/>
      <c r="M915" s="604"/>
      <c r="N915" s="604"/>
      <c r="AB915" s="598"/>
      <c r="AC915" s="349"/>
      <c r="AD915" s="349"/>
      <c r="AE915" s="349"/>
      <c r="AF915" s="349"/>
    </row>
    <row r="916" spans="1:32" s="597" customFormat="1" ht="18" customHeight="1" x14ac:dyDescent="0.2">
      <c r="A916" s="604"/>
      <c r="B916" s="605"/>
      <c r="C916" s="604"/>
      <c r="D916" s="604"/>
      <c r="E916" s="604"/>
      <c r="F916" s="604"/>
      <c r="G916" s="604"/>
      <c r="H916" s="604"/>
      <c r="I916" s="604" t="s">
        <v>79</v>
      </c>
      <c r="J916" s="604"/>
      <c r="K916" s="604"/>
      <c r="L916" s="604"/>
      <c r="M916" s="604"/>
      <c r="N916" s="604"/>
      <c r="AB916" s="598"/>
    </row>
    <row r="917" spans="1:32" s="597" customFormat="1" ht="18" customHeight="1" x14ac:dyDescent="0.2">
      <c r="A917" s="604"/>
      <c r="B917" s="605"/>
      <c r="C917" s="604"/>
      <c r="D917" s="604"/>
      <c r="E917" s="604"/>
      <c r="F917" s="604"/>
      <c r="G917" s="604"/>
      <c r="H917" s="604"/>
      <c r="I917" s="604" t="s">
        <v>80</v>
      </c>
      <c r="J917" s="604"/>
      <c r="K917" s="604"/>
      <c r="L917" s="604"/>
      <c r="M917" s="604"/>
      <c r="N917" s="604"/>
      <c r="AB917" s="598"/>
    </row>
    <row r="918" spans="1:32" s="597" customFormat="1" ht="18" customHeight="1" x14ac:dyDescent="0.2">
      <c r="A918" s="604"/>
      <c r="B918" s="605"/>
      <c r="C918" s="604"/>
      <c r="D918" s="604"/>
      <c r="E918" s="604"/>
      <c r="F918" s="604"/>
      <c r="G918" s="604"/>
      <c r="H918" s="604"/>
      <c r="I918" s="604" t="s">
        <v>81</v>
      </c>
      <c r="J918" s="604"/>
      <c r="K918" s="604"/>
      <c r="L918" s="604"/>
      <c r="M918" s="604"/>
      <c r="N918" s="604"/>
      <c r="AB918" s="598"/>
    </row>
    <row r="919" spans="1:32" s="597" customFormat="1" ht="18" customHeight="1" x14ac:dyDescent="0.2">
      <c r="A919" s="604"/>
      <c r="B919" s="605"/>
      <c r="C919" s="604"/>
      <c r="D919" s="604"/>
      <c r="E919" s="604"/>
      <c r="F919" s="604"/>
      <c r="G919" s="604"/>
      <c r="H919" s="604"/>
      <c r="I919" s="604" t="s">
        <v>88</v>
      </c>
      <c r="J919" s="604"/>
      <c r="K919" s="604"/>
      <c r="L919" s="604"/>
      <c r="M919" s="604"/>
      <c r="N919" s="604"/>
      <c r="AB919" s="598"/>
    </row>
    <row r="920" spans="1:32" s="597" customFormat="1" ht="18" customHeight="1" x14ac:dyDescent="0.2">
      <c r="A920" s="339"/>
      <c r="B920" s="339"/>
      <c r="C920" s="339"/>
      <c r="D920" s="339"/>
      <c r="E920" s="339"/>
      <c r="F920" s="339"/>
      <c r="G920" s="339"/>
      <c r="H920" s="339"/>
      <c r="I920" s="339"/>
      <c r="J920" s="339"/>
      <c r="K920" s="339"/>
      <c r="L920" s="339"/>
      <c r="M920" s="339"/>
      <c r="N920" s="339"/>
      <c r="O920" s="339"/>
      <c r="P920" s="339"/>
      <c r="Q920" s="339"/>
      <c r="R920" s="339"/>
      <c r="S920" s="339"/>
      <c r="T920" s="339"/>
      <c r="U920" s="339"/>
      <c r="V920" s="339"/>
      <c r="W920" s="339"/>
      <c r="X920" s="339"/>
      <c r="Y920" s="339"/>
      <c r="Z920" s="339"/>
      <c r="AA920" s="2702" t="s">
        <v>0</v>
      </c>
      <c r="AB920" s="2702"/>
    </row>
    <row r="921" spans="1:32" s="597" customFormat="1" ht="18" customHeight="1" x14ac:dyDescent="0.2">
      <c r="A921" s="2703" t="s">
        <v>1</v>
      </c>
      <c r="B921" s="2703"/>
      <c r="C921" s="2703"/>
      <c r="D921" s="2703"/>
      <c r="E921" s="2703"/>
      <c r="F921" s="2703"/>
      <c r="G921" s="2703"/>
      <c r="H921" s="2703"/>
      <c r="I921" s="2703"/>
      <c r="J921" s="2703"/>
      <c r="K921" s="2703"/>
      <c r="L921" s="2703"/>
      <c r="M921" s="2703"/>
      <c r="N921" s="2703"/>
      <c r="O921" s="2703"/>
      <c r="P921" s="2703"/>
      <c r="Q921" s="2703"/>
      <c r="R921" s="2703"/>
      <c r="S921" s="2703"/>
      <c r="T921" s="2703"/>
      <c r="U921" s="2703"/>
      <c r="V921" s="2703"/>
      <c r="W921" s="2703"/>
      <c r="X921" s="2703"/>
      <c r="Y921" s="2703"/>
      <c r="Z921" s="2703"/>
      <c r="AA921" s="2703"/>
      <c r="AB921" s="2703"/>
      <c r="AC921" s="339"/>
      <c r="AD921" s="339"/>
      <c r="AE921" s="339"/>
      <c r="AF921" s="339"/>
    </row>
    <row r="922" spans="1:32" s="597" customFormat="1" ht="18" customHeight="1" x14ac:dyDescent="0.2">
      <c r="A922" s="2704" t="s">
        <v>481</v>
      </c>
      <c r="B922" s="2704"/>
      <c r="C922" s="2704"/>
      <c r="D922" s="2704"/>
      <c r="E922" s="2704"/>
      <c r="F922" s="2704"/>
      <c r="G922" s="2704"/>
      <c r="H922" s="2704"/>
      <c r="I922" s="2704"/>
      <c r="J922" s="2704"/>
      <c r="K922" s="2704"/>
      <c r="L922" s="2704"/>
      <c r="M922" s="2704"/>
      <c r="N922" s="2704"/>
      <c r="O922" s="2704"/>
      <c r="P922" s="2704"/>
      <c r="Q922" s="2704"/>
      <c r="R922" s="2704"/>
      <c r="S922" s="2704"/>
      <c r="T922" s="2704"/>
      <c r="U922" s="2704"/>
      <c r="V922" s="2704"/>
      <c r="W922" s="2704"/>
      <c r="X922" s="2704"/>
      <c r="Y922" s="2704"/>
      <c r="Z922" s="2704"/>
      <c r="AA922" s="2704"/>
      <c r="AB922" s="2704"/>
      <c r="AC922" s="344"/>
      <c r="AD922" s="344"/>
      <c r="AE922" s="344"/>
      <c r="AF922" s="344"/>
    </row>
    <row r="923" spans="1:32" s="597" customFormat="1" ht="18" customHeight="1" x14ac:dyDescent="0.2">
      <c r="A923" s="2686" t="s">
        <v>2</v>
      </c>
      <c r="B923" s="360"/>
      <c r="C923" s="2686" t="s">
        <v>3</v>
      </c>
      <c r="D923" s="360"/>
      <c r="E923" s="360"/>
      <c r="F923" s="2693" t="s">
        <v>4</v>
      </c>
      <c r="G923" s="2693"/>
      <c r="H923" s="2693"/>
      <c r="I923" s="2694"/>
      <c r="J923" s="2694"/>
      <c r="K923" s="2695"/>
      <c r="L923" s="361"/>
      <c r="M923" s="2679" t="s">
        <v>5</v>
      </c>
      <c r="N923" s="2679"/>
      <c r="O923" s="2679"/>
      <c r="P923" s="2679"/>
      <c r="Q923" s="2696"/>
      <c r="R923" s="2696"/>
      <c r="S923" s="2696"/>
      <c r="T923" s="2696"/>
      <c r="U923" s="2696"/>
      <c r="V923" s="2697"/>
      <c r="W923" s="362" t="s">
        <v>6</v>
      </c>
      <c r="X923" s="363" t="s">
        <v>7</v>
      </c>
      <c r="Y923" s="364"/>
      <c r="Z923" s="364"/>
      <c r="AA923" s="363"/>
      <c r="AB923" s="365"/>
      <c r="AC923" s="599"/>
      <c r="AD923" s="599"/>
      <c r="AE923" s="599"/>
      <c r="AF923" s="599"/>
    </row>
    <row r="924" spans="1:32" s="597" customFormat="1" ht="18" customHeight="1" x14ac:dyDescent="0.2">
      <c r="A924" s="2687"/>
      <c r="B924" s="367"/>
      <c r="C924" s="2687"/>
      <c r="D924" s="366" t="s">
        <v>9</v>
      </c>
      <c r="E924" s="368" t="s">
        <v>10</v>
      </c>
      <c r="F924" s="2698" t="s">
        <v>11</v>
      </c>
      <c r="G924" s="2694"/>
      <c r="H924" s="2695"/>
      <c r="I924" s="360"/>
      <c r="J924" s="369" t="s">
        <v>12</v>
      </c>
      <c r="K924" s="360"/>
      <c r="L924" s="2679" t="s">
        <v>2</v>
      </c>
      <c r="M924" s="370"/>
      <c r="N924" s="370"/>
      <c r="O924" s="370"/>
      <c r="P924" s="371"/>
      <c r="Q924" s="372" t="s">
        <v>13</v>
      </c>
      <c r="R924" s="373" t="s">
        <v>12</v>
      </c>
      <c r="S924" s="370" t="s">
        <v>6</v>
      </c>
      <c r="T924" s="2682" t="s">
        <v>14</v>
      </c>
      <c r="U924" s="2683"/>
      <c r="V924" s="375" t="s">
        <v>7</v>
      </c>
      <c r="W924" s="376" t="s">
        <v>15</v>
      </c>
      <c r="X924" s="377" t="s">
        <v>16</v>
      </c>
      <c r="Y924" s="377" t="s">
        <v>17</v>
      </c>
      <c r="Z924" s="377" t="s">
        <v>18</v>
      </c>
      <c r="AA924" s="377"/>
      <c r="AB924" s="378" t="s">
        <v>19</v>
      </c>
      <c r="AC924" s="516" t="s">
        <v>8</v>
      </c>
      <c r="AD924" s="346"/>
      <c r="AE924" s="346"/>
      <c r="AF924" s="600"/>
    </row>
    <row r="925" spans="1:32" s="597" customFormat="1" ht="18" customHeight="1" x14ac:dyDescent="0.2">
      <c r="A925" s="2687"/>
      <c r="B925" s="366" t="s">
        <v>23</v>
      </c>
      <c r="C925" s="2687"/>
      <c r="D925" s="366" t="s">
        <v>24</v>
      </c>
      <c r="E925" s="368" t="s">
        <v>25</v>
      </c>
      <c r="F925" s="2699"/>
      <c r="G925" s="2700"/>
      <c r="H925" s="2701"/>
      <c r="I925" s="366" t="s">
        <v>26</v>
      </c>
      <c r="J925" s="379" t="s">
        <v>15</v>
      </c>
      <c r="K925" s="380" t="s">
        <v>6</v>
      </c>
      <c r="L925" s="2680"/>
      <c r="M925" s="381" t="s">
        <v>27</v>
      </c>
      <c r="N925" s="381" t="s">
        <v>10</v>
      </c>
      <c r="O925" s="382" t="s">
        <v>10</v>
      </c>
      <c r="P925" s="383" t="s">
        <v>28</v>
      </c>
      <c r="Q925" s="384" t="s">
        <v>29</v>
      </c>
      <c r="R925" s="383" t="s">
        <v>15</v>
      </c>
      <c r="S925" s="385" t="s">
        <v>15</v>
      </c>
      <c r="T925" s="2684"/>
      <c r="U925" s="2685"/>
      <c r="V925" s="375" t="s">
        <v>30</v>
      </c>
      <c r="W925" s="376" t="s">
        <v>31</v>
      </c>
      <c r="X925" s="377" t="s">
        <v>30</v>
      </c>
      <c r="Y925" s="377" t="s">
        <v>32</v>
      </c>
      <c r="Z925" s="377" t="s">
        <v>7</v>
      </c>
      <c r="AA925" s="377" t="s">
        <v>33</v>
      </c>
      <c r="AB925" s="378" t="s">
        <v>34</v>
      </c>
      <c r="AC925" s="528" t="s">
        <v>20</v>
      </c>
      <c r="AD925" s="601"/>
      <c r="AE925" s="347" t="s">
        <v>21</v>
      </c>
      <c r="AF925" s="340" t="s">
        <v>22</v>
      </c>
    </row>
    <row r="926" spans="1:32" s="597" customFormat="1" ht="18" customHeight="1" x14ac:dyDescent="0.2">
      <c r="A926" s="2687"/>
      <c r="B926" s="366" t="s">
        <v>39</v>
      </c>
      <c r="C926" s="2687"/>
      <c r="D926" s="366" t="s">
        <v>40</v>
      </c>
      <c r="E926" s="368" t="s">
        <v>41</v>
      </c>
      <c r="F926" s="2686" t="s">
        <v>42</v>
      </c>
      <c r="G926" s="2686" t="s">
        <v>43</v>
      </c>
      <c r="H926" s="2688" t="s">
        <v>44</v>
      </c>
      <c r="I926" s="366" t="s">
        <v>45</v>
      </c>
      <c r="J926" s="379" t="s">
        <v>46</v>
      </c>
      <c r="K926" s="380" t="s">
        <v>47</v>
      </c>
      <c r="L926" s="2680"/>
      <c r="M926" s="381" t="s">
        <v>30</v>
      </c>
      <c r="N926" s="381" t="s">
        <v>30</v>
      </c>
      <c r="O926" s="382" t="s">
        <v>25</v>
      </c>
      <c r="P926" s="383" t="s">
        <v>30</v>
      </c>
      <c r="Q926" s="384" t="s">
        <v>48</v>
      </c>
      <c r="R926" s="383" t="s">
        <v>49</v>
      </c>
      <c r="S926" s="385" t="s">
        <v>30</v>
      </c>
      <c r="T926" s="386" t="s">
        <v>50</v>
      </c>
      <c r="U926" s="374" t="s">
        <v>13</v>
      </c>
      <c r="V926" s="375" t="s">
        <v>51</v>
      </c>
      <c r="W926" s="376" t="s">
        <v>52</v>
      </c>
      <c r="X926" s="377" t="s">
        <v>53</v>
      </c>
      <c r="Y926" s="377" t="s">
        <v>54</v>
      </c>
      <c r="Z926" s="377" t="s">
        <v>55</v>
      </c>
      <c r="AA926" s="377" t="s">
        <v>56</v>
      </c>
      <c r="AB926" s="378" t="s">
        <v>57</v>
      </c>
      <c r="AC926" s="528" t="s">
        <v>35</v>
      </c>
      <c r="AD926" s="347" t="s">
        <v>36</v>
      </c>
      <c r="AE926" s="347" t="s">
        <v>37</v>
      </c>
      <c r="AF926" s="340" t="s">
        <v>38</v>
      </c>
    </row>
    <row r="927" spans="1:32" s="597" customFormat="1" ht="18" customHeight="1" x14ac:dyDescent="0.2">
      <c r="A927" s="2687"/>
      <c r="B927" s="366" t="s">
        <v>61</v>
      </c>
      <c r="C927" s="2687"/>
      <c r="D927" s="366" t="s">
        <v>62</v>
      </c>
      <c r="E927" s="368" t="s">
        <v>63</v>
      </c>
      <c r="F927" s="2687"/>
      <c r="G927" s="2687"/>
      <c r="H927" s="2689"/>
      <c r="I927" s="366" t="s">
        <v>64</v>
      </c>
      <c r="J927" s="379" t="s">
        <v>59</v>
      </c>
      <c r="K927" s="380" t="s">
        <v>59</v>
      </c>
      <c r="L927" s="2680"/>
      <c r="M927" s="381"/>
      <c r="N927" s="381"/>
      <c r="O927" s="382" t="s">
        <v>41</v>
      </c>
      <c r="P927" s="383" t="s">
        <v>65</v>
      </c>
      <c r="Q927" s="384" t="s">
        <v>66</v>
      </c>
      <c r="R927" s="383" t="s">
        <v>67</v>
      </c>
      <c r="S927" s="385" t="s">
        <v>59</v>
      </c>
      <c r="T927" s="387" t="s">
        <v>68</v>
      </c>
      <c r="U927" s="375" t="s">
        <v>14</v>
      </c>
      <c r="V927" s="375" t="s">
        <v>14</v>
      </c>
      <c r="W927" s="376" t="s">
        <v>30</v>
      </c>
      <c r="X927" s="388" t="s">
        <v>69</v>
      </c>
      <c r="Y927" s="388" t="s">
        <v>70</v>
      </c>
      <c r="Z927" s="377" t="s">
        <v>71</v>
      </c>
      <c r="AA927" s="377" t="s">
        <v>72</v>
      </c>
      <c r="AB927" s="378" t="s">
        <v>59</v>
      </c>
      <c r="AC927" s="347" t="s">
        <v>58</v>
      </c>
      <c r="AD927" s="347" t="s">
        <v>59</v>
      </c>
      <c r="AE927" s="347" t="s">
        <v>59</v>
      </c>
      <c r="AF927" s="340" t="s">
        <v>60</v>
      </c>
    </row>
    <row r="928" spans="1:32" s="597" customFormat="1" ht="18" customHeight="1" x14ac:dyDescent="0.2">
      <c r="A928" s="2692"/>
      <c r="B928" s="390"/>
      <c r="C928" s="2692"/>
      <c r="D928" s="390"/>
      <c r="E928" s="389"/>
      <c r="F928" s="390"/>
      <c r="G928" s="390"/>
      <c r="H928" s="391"/>
      <c r="I928" s="389"/>
      <c r="J928" s="392"/>
      <c r="K928" s="393"/>
      <c r="L928" s="2681"/>
      <c r="M928" s="394"/>
      <c r="N928" s="394"/>
      <c r="O928" s="394" t="s">
        <v>63</v>
      </c>
      <c r="P928" s="395"/>
      <c r="Q928" s="396" t="s">
        <v>72</v>
      </c>
      <c r="R928" s="397" t="s">
        <v>59</v>
      </c>
      <c r="S928" s="398"/>
      <c r="T928" s="397" t="s">
        <v>73</v>
      </c>
      <c r="U928" s="398" t="s">
        <v>59</v>
      </c>
      <c r="V928" s="399" t="s">
        <v>59</v>
      </c>
      <c r="W928" s="400" t="s">
        <v>59</v>
      </c>
      <c r="X928" s="401" t="s">
        <v>59</v>
      </c>
      <c r="Y928" s="401" t="s">
        <v>59</v>
      </c>
      <c r="Z928" s="401" t="s">
        <v>59</v>
      </c>
      <c r="AA928" s="402"/>
      <c r="AB928" s="403"/>
      <c r="AC928" s="347" t="s">
        <v>59</v>
      </c>
      <c r="AD928" s="347"/>
      <c r="AE928" s="347"/>
      <c r="AF928" s="340" t="s">
        <v>59</v>
      </c>
    </row>
    <row r="929" spans="1:32" s="597" customFormat="1" ht="18" customHeight="1" x14ac:dyDescent="0.2">
      <c r="A929" s="53">
        <v>1</v>
      </c>
      <c r="B929" s="95">
        <v>45558</v>
      </c>
      <c r="C929" s="82">
        <v>795</v>
      </c>
      <c r="D929" s="82" t="s">
        <v>95</v>
      </c>
      <c r="E929" s="82">
        <v>4</v>
      </c>
      <c r="F929" s="82">
        <v>0</v>
      </c>
      <c r="G929" s="82">
        <v>0</v>
      </c>
      <c r="H929" s="463">
        <v>50</v>
      </c>
      <c r="I929" s="70">
        <f>F929*400+G929*100+H929</f>
        <v>50</v>
      </c>
      <c r="J929" s="123">
        <v>1000</v>
      </c>
      <c r="K929" s="124">
        <f>SUM(I929*J929)</f>
        <v>50000</v>
      </c>
      <c r="L929" s="53"/>
      <c r="M929" s="82"/>
      <c r="N929" s="82"/>
      <c r="O929" s="53"/>
      <c r="P929" s="358"/>
      <c r="Q929" s="197"/>
      <c r="R929" s="444"/>
      <c r="S929" s="70"/>
      <c r="T929" s="82"/>
      <c r="U929" s="70"/>
      <c r="V929" s="70"/>
      <c r="W929" s="70">
        <f>K929+V929</f>
        <v>50000</v>
      </c>
      <c r="X929" s="70">
        <f>W929</f>
        <v>50000</v>
      </c>
      <c r="Y929" s="123"/>
      <c r="Z929" s="70">
        <f>+X929</f>
        <v>50000</v>
      </c>
      <c r="AA929" s="464">
        <v>0.6</v>
      </c>
      <c r="AB929" s="406">
        <f>+Z929*AA929/100</f>
        <v>300</v>
      </c>
      <c r="AC929" s="348"/>
      <c r="AD929" s="348"/>
      <c r="AE929" s="348"/>
      <c r="AF929" s="341"/>
    </row>
    <row r="930" spans="1:32" s="597" customFormat="1" ht="18" customHeight="1" x14ac:dyDescent="0.2">
      <c r="A930" s="61"/>
      <c r="B930" s="145"/>
      <c r="C930" s="145"/>
      <c r="D930" s="145"/>
      <c r="E930" s="145"/>
      <c r="F930" s="145"/>
      <c r="G930" s="145"/>
      <c r="H930" s="407"/>
      <c r="I930" s="77"/>
      <c r="J930" s="107"/>
      <c r="K930" s="78"/>
      <c r="L930" s="61"/>
      <c r="M930" s="145"/>
      <c r="N930" s="145"/>
      <c r="O930" s="61"/>
      <c r="P930" s="177"/>
      <c r="Q930" s="196"/>
      <c r="R930" s="408"/>
      <c r="S930" s="77"/>
      <c r="T930" s="145"/>
      <c r="U930" s="77"/>
      <c r="V930" s="77"/>
      <c r="W930" s="77"/>
      <c r="X930" s="77"/>
      <c r="Y930" s="107"/>
      <c r="Z930" s="77"/>
      <c r="AA930" s="409"/>
      <c r="AB930" s="410"/>
      <c r="AC930" s="602"/>
      <c r="AD930" s="603" t="e">
        <f>#REF!-AC930</f>
        <v>#REF!</v>
      </c>
      <c r="AE930" s="603" t="e">
        <f>IF(AD930&lt;=0,0,AD930*25/100)</f>
        <v>#REF!</v>
      </c>
      <c r="AF930" s="603" t="e">
        <f>IF(AC930+AE930&gt;#REF!,#REF!,AC930+AE930)</f>
        <v>#REF!</v>
      </c>
    </row>
    <row r="931" spans="1:32" s="597" customFormat="1" ht="18" customHeight="1" x14ac:dyDescent="0.2">
      <c r="A931" s="145"/>
      <c r="B931" s="177"/>
      <c r="C931" s="177"/>
      <c r="D931" s="145"/>
      <c r="E931" s="145"/>
      <c r="F931" s="145"/>
      <c r="G931" s="145"/>
      <c r="H931" s="147"/>
      <c r="I931" s="107"/>
      <c r="J931" s="178"/>
      <c r="K931" s="107"/>
      <c r="L931" s="145"/>
      <c r="M931" s="145"/>
      <c r="N931" s="145"/>
      <c r="O931" s="145"/>
      <c r="P931" s="147"/>
      <c r="Q931" s="148"/>
      <c r="R931" s="437"/>
      <c r="S931" s="107"/>
      <c r="T931" s="179"/>
      <c r="U931" s="178"/>
      <c r="V931" s="107"/>
      <c r="W931" s="107"/>
      <c r="X931" s="470"/>
      <c r="Y931" s="470"/>
      <c r="Z931" s="471"/>
      <c r="AA931" s="471"/>
      <c r="AB931" s="466"/>
      <c r="AC931" s="350"/>
      <c r="AD931" s="350"/>
      <c r="AE931" s="350"/>
      <c r="AF931" s="350"/>
    </row>
    <row r="932" spans="1:32" s="597" customFormat="1" ht="18" customHeight="1" x14ac:dyDescent="0.2">
      <c r="A932" s="145"/>
      <c r="B932" s="177"/>
      <c r="C932" s="177"/>
      <c r="D932" s="145"/>
      <c r="E932" s="145"/>
      <c r="F932" s="145"/>
      <c r="G932" s="145"/>
      <c r="H932" s="147"/>
      <c r="I932" s="107"/>
      <c r="J932" s="178"/>
      <c r="K932" s="107"/>
      <c r="L932" s="145"/>
      <c r="M932" s="145"/>
      <c r="N932" s="145"/>
      <c r="O932" s="145"/>
      <c r="P932" s="147"/>
      <c r="Q932" s="148"/>
      <c r="R932" s="437"/>
      <c r="S932" s="107"/>
      <c r="T932" s="179"/>
      <c r="U932" s="178"/>
      <c r="V932" s="107"/>
      <c r="W932" s="107"/>
      <c r="X932" s="470"/>
      <c r="Y932" s="470"/>
      <c r="Z932" s="471"/>
      <c r="AA932" s="471"/>
      <c r="AB932" s="466"/>
      <c r="AC932" s="350"/>
      <c r="AD932" s="350"/>
      <c r="AE932" s="350"/>
      <c r="AF932" s="350"/>
    </row>
    <row r="933" spans="1:32" s="597" customFormat="1" ht="18" customHeight="1" x14ac:dyDescent="0.2">
      <c r="A933" s="145"/>
      <c r="B933" s="177"/>
      <c r="C933" s="177"/>
      <c r="D933" s="145"/>
      <c r="E933" s="145"/>
      <c r="F933" s="145"/>
      <c r="G933" s="145"/>
      <c r="H933" s="147"/>
      <c r="I933" s="107"/>
      <c r="J933" s="178"/>
      <c r="K933" s="107"/>
      <c r="L933" s="145"/>
      <c r="M933" s="145"/>
      <c r="N933" s="145"/>
      <c r="O933" s="145"/>
      <c r="P933" s="147"/>
      <c r="Q933" s="148"/>
      <c r="R933" s="437"/>
      <c r="S933" s="107"/>
      <c r="T933" s="179"/>
      <c r="U933" s="178"/>
      <c r="V933" s="107"/>
      <c r="W933" s="107"/>
      <c r="X933" s="470"/>
      <c r="Y933" s="470"/>
      <c r="Z933" s="471"/>
      <c r="AA933" s="471"/>
      <c r="AB933" s="466"/>
      <c r="AC933" s="350"/>
      <c r="AD933" s="350"/>
      <c r="AE933" s="350"/>
      <c r="AF933" s="350"/>
    </row>
    <row r="934" spans="1:32" s="597" customFormat="1" ht="18" customHeight="1" x14ac:dyDescent="0.2">
      <c r="A934" s="145"/>
      <c r="B934" s="177"/>
      <c r="C934" s="177"/>
      <c r="D934" s="145"/>
      <c r="E934" s="145"/>
      <c r="F934" s="145"/>
      <c r="G934" s="145"/>
      <c r="H934" s="147"/>
      <c r="I934" s="107"/>
      <c r="J934" s="178"/>
      <c r="K934" s="107"/>
      <c r="L934" s="145"/>
      <c r="M934" s="145"/>
      <c r="N934" s="145"/>
      <c r="O934" s="145"/>
      <c r="P934" s="147"/>
      <c r="Q934" s="148"/>
      <c r="R934" s="437"/>
      <c r="S934" s="107"/>
      <c r="T934" s="179"/>
      <c r="U934" s="178"/>
      <c r="V934" s="107"/>
      <c r="W934" s="107"/>
      <c r="X934" s="470"/>
      <c r="Y934" s="470"/>
      <c r="Z934" s="471"/>
      <c r="AA934" s="471"/>
      <c r="AB934" s="466"/>
      <c r="AC934" s="350"/>
      <c r="AD934" s="350"/>
      <c r="AE934" s="350"/>
      <c r="AF934" s="350"/>
    </row>
    <row r="935" spans="1:32" s="597" customFormat="1" ht="18" customHeight="1" x14ac:dyDescent="0.2">
      <c r="A935" s="145"/>
      <c r="B935" s="177"/>
      <c r="C935" s="177"/>
      <c r="D935" s="145"/>
      <c r="E935" s="145"/>
      <c r="F935" s="145"/>
      <c r="G935" s="145"/>
      <c r="H935" s="147"/>
      <c r="I935" s="107"/>
      <c r="J935" s="178"/>
      <c r="K935" s="107"/>
      <c r="L935" s="145"/>
      <c r="M935" s="145"/>
      <c r="N935" s="145"/>
      <c r="O935" s="145"/>
      <c r="P935" s="147"/>
      <c r="Q935" s="148"/>
      <c r="R935" s="437"/>
      <c r="S935" s="107"/>
      <c r="T935" s="179"/>
      <c r="U935" s="178"/>
      <c r="V935" s="107"/>
      <c r="W935" s="107"/>
      <c r="X935" s="470"/>
      <c r="Y935" s="470"/>
      <c r="Z935" s="471"/>
      <c r="AA935" s="471"/>
      <c r="AB935" s="466"/>
      <c r="AC935" s="350"/>
      <c r="AD935" s="350"/>
      <c r="AE935" s="350"/>
      <c r="AF935" s="350"/>
    </row>
    <row r="936" spans="1:32" s="597" customFormat="1" ht="18" customHeight="1" x14ac:dyDescent="0.2">
      <c r="A936" s="145"/>
      <c r="B936" s="177"/>
      <c r="C936" s="177"/>
      <c r="D936" s="145"/>
      <c r="E936" s="145"/>
      <c r="F936" s="145"/>
      <c r="G936" s="145"/>
      <c r="H936" s="147"/>
      <c r="I936" s="107"/>
      <c r="J936" s="178"/>
      <c r="K936" s="107"/>
      <c r="L936" s="145"/>
      <c r="M936" s="145"/>
      <c r="N936" s="145"/>
      <c r="O936" s="145"/>
      <c r="P936" s="147"/>
      <c r="Q936" s="148"/>
      <c r="R936" s="437"/>
      <c r="S936" s="107"/>
      <c r="T936" s="179"/>
      <c r="U936" s="178"/>
      <c r="V936" s="107"/>
      <c r="W936" s="107"/>
      <c r="X936" s="470"/>
      <c r="Y936" s="470"/>
      <c r="Z936" s="471"/>
      <c r="AA936" s="471"/>
      <c r="AB936" s="466"/>
      <c r="AC936" s="350"/>
      <c r="AD936" s="350"/>
      <c r="AE936" s="350"/>
      <c r="AF936" s="350"/>
    </row>
    <row r="937" spans="1:32" s="597" customFormat="1" ht="18" customHeight="1" x14ac:dyDescent="0.2">
      <c r="A937" s="145"/>
      <c r="B937" s="177"/>
      <c r="C937" s="177"/>
      <c r="D937" s="145"/>
      <c r="E937" s="145"/>
      <c r="F937" s="145"/>
      <c r="G937" s="145"/>
      <c r="H937" s="147"/>
      <c r="I937" s="107"/>
      <c r="J937" s="178"/>
      <c r="K937" s="107"/>
      <c r="L937" s="145"/>
      <c r="M937" s="145"/>
      <c r="N937" s="145"/>
      <c r="O937" s="145"/>
      <c r="P937" s="147"/>
      <c r="Q937" s="148"/>
      <c r="R937" s="437"/>
      <c r="S937" s="107"/>
      <c r="T937" s="179"/>
      <c r="U937" s="178"/>
      <c r="V937" s="107"/>
      <c r="W937" s="107"/>
      <c r="X937" s="470"/>
      <c r="Y937" s="470"/>
      <c r="Z937" s="471"/>
      <c r="AA937" s="471"/>
      <c r="AB937" s="466"/>
      <c r="AC937" s="350"/>
      <c r="AD937" s="350"/>
      <c r="AE937" s="350"/>
      <c r="AF937" s="350"/>
    </row>
    <row r="938" spans="1:32" s="597" customFormat="1" ht="18" customHeight="1" x14ac:dyDescent="0.2">
      <c r="A938" s="145"/>
      <c r="B938" s="177"/>
      <c r="C938" s="177"/>
      <c r="D938" s="145"/>
      <c r="E938" s="145"/>
      <c r="F938" s="145"/>
      <c r="G938" s="145"/>
      <c r="H938" s="147"/>
      <c r="I938" s="107"/>
      <c r="J938" s="178"/>
      <c r="K938" s="107"/>
      <c r="L938" s="145"/>
      <c r="M938" s="145"/>
      <c r="N938" s="145"/>
      <c r="O938" s="145"/>
      <c r="P938" s="147"/>
      <c r="Q938" s="148"/>
      <c r="R938" s="437"/>
      <c r="S938" s="107"/>
      <c r="T938" s="179"/>
      <c r="U938" s="178"/>
      <c r="V938" s="107"/>
      <c r="W938" s="107"/>
      <c r="X938" s="470"/>
      <c r="Y938" s="470"/>
      <c r="Z938" s="471"/>
      <c r="AA938" s="471"/>
      <c r="AB938" s="466"/>
      <c r="AC938" s="350"/>
      <c r="AD938" s="350"/>
      <c r="AE938" s="350"/>
      <c r="AF938" s="350"/>
    </row>
    <row r="939" spans="1:32" s="597" customFormat="1" ht="18" customHeight="1" x14ac:dyDescent="0.2">
      <c r="A939" s="145"/>
      <c r="B939" s="177"/>
      <c r="C939" s="177"/>
      <c r="D939" s="145"/>
      <c r="E939" s="145"/>
      <c r="F939" s="145"/>
      <c r="G939" s="145"/>
      <c r="H939" s="147"/>
      <c r="I939" s="107"/>
      <c r="J939" s="178"/>
      <c r="K939" s="107"/>
      <c r="L939" s="145"/>
      <c r="M939" s="145"/>
      <c r="N939" s="145"/>
      <c r="O939" s="145"/>
      <c r="P939" s="147"/>
      <c r="Q939" s="148"/>
      <c r="R939" s="437"/>
      <c r="S939" s="107"/>
      <c r="T939" s="179"/>
      <c r="U939" s="178"/>
      <c r="V939" s="107"/>
      <c r="W939" s="107"/>
      <c r="X939" s="470"/>
      <c r="Y939" s="470"/>
      <c r="Z939" s="471"/>
      <c r="AA939" s="471"/>
      <c r="AB939" s="466"/>
      <c r="AC939" s="350"/>
      <c r="AD939" s="350"/>
      <c r="AE939" s="350"/>
      <c r="AF939" s="350"/>
    </row>
    <row r="940" spans="1:32" s="597" customFormat="1" ht="18" customHeight="1" x14ac:dyDescent="0.2">
      <c r="A940" s="145"/>
      <c r="B940" s="177"/>
      <c r="C940" s="177"/>
      <c r="D940" s="145"/>
      <c r="E940" s="145"/>
      <c r="F940" s="145"/>
      <c r="G940" s="145"/>
      <c r="H940" s="147"/>
      <c r="I940" s="107"/>
      <c r="J940" s="178"/>
      <c r="K940" s="107"/>
      <c r="L940" s="145"/>
      <c r="M940" s="145"/>
      <c r="N940" s="145"/>
      <c r="O940" s="145"/>
      <c r="P940" s="147"/>
      <c r="Q940" s="148"/>
      <c r="R940" s="437"/>
      <c r="S940" s="107"/>
      <c r="T940" s="179"/>
      <c r="U940" s="178"/>
      <c r="V940" s="107"/>
      <c r="W940" s="107"/>
      <c r="X940" s="470"/>
      <c r="Y940" s="470"/>
      <c r="Z940" s="471"/>
      <c r="AA940" s="471"/>
      <c r="AB940" s="466"/>
      <c r="AC940" s="350"/>
      <c r="AD940" s="350"/>
      <c r="AE940" s="350"/>
      <c r="AF940" s="350"/>
    </row>
    <row r="941" spans="1:32" s="597" customFormat="1" ht="18" customHeight="1" x14ac:dyDescent="0.2">
      <c r="A941" s="145"/>
      <c r="B941" s="177"/>
      <c r="C941" s="177"/>
      <c r="D941" s="145"/>
      <c r="E941" s="145"/>
      <c r="F941" s="145"/>
      <c r="G941" s="145"/>
      <c r="H941" s="147"/>
      <c r="I941" s="107"/>
      <c r="J941" s="178"/>
      <c r="K941" s="107"/>
      <c r="L941" s="145"/>
      <c r="M941" s="145"/>
      <c r="N941" s="145"/>
      <c r="O941" s="145"/>
      <c r="P941" s="147"/>
      <c r="Q941" s="148"/>
      <c r="R941" s="437"/>
      <c r="S941" s="107"/>
      <c r="T941" s="179"/>
      <c r="U941" s="178"/>
      <c r="V941" s="107"/>
      <c r="W941" s="107"/>
      <c r="X941" s="470"/>
      <c r="Y941" s="470"/>
      <c r="Z941" s="471"/>
      <c r="AA941" s="471"/>
      <c r="AB941" s="466"/>
      <c r="AC941" s="350"/>
      <c r="AD941" s="350"/>
      <c r="AE941" s="350"/>
      <c r="AF941" s="350"/>
    </row>
    <row r="942" spans="1:32" s="597" customFormat="1" ht="18" customHeight="1" x14ac:dyDescent="0.2">
      <c r="A942" s="145"/>
      <c r="B942" s="177"/>
      <c r="C942" s="177"/>
      <c r="D942" s="145"/>
      <c r="E942" s="145"/>
      <c r="F942" s="145"/>
      <c r="G942" s="145"/>
      <c r="H942" s="147"/>
      <c r="I942" s="107"/>
      <c r="J942" s="178"/>
      <c r="K942" s="107"/>
      <c r="L942" s="145"/>
      <c r="M942" s="145"/>
      <c r="N942" s="145"/>
      <c r="O942" s="145"/>
      <c r="P942" s="147"/>
      <c r="Q942" s="148"/>
      <c r="R942" s="437"/>
      <c r="S942" s="107"/>
      <c r="T942" s="179"/>
      <c r="U942" s="178"/>
      <c r="V942" s="107"/>
      <c r="W942" s="107"/>
      <c r="X942" s="470"/>
      <c r="Y942" s="470"/>
      <c r="Z942" s="471"/>
      <c r="AA942" s="471"/>
      <c r="AB942" s="466"/>
      <c r="AC942" s="350"/>
      <c r="AD942" s="350"/>
      <c r="AE942" s="350"/>
      <c r="AF942" s="350"/>
    </row>
    <row r="943" spans="1:32" s="597" customFormat="1" ht="18" customHeight="1" x14ac:dyDescent="0.2">
      <c r="A943" s="88"/>
      <c r="B943" s="180"/>
      <c r="C943" s="180"/>
      <c r="D943" s="88"/>
      <c r="E943" s="88"/>
      <c r="F943" s="88"/>
      <c r="G943" s="88"/>
      <c r="H943" s="120"/>
      <c r="I943" s="121"/>
      <c r="J943" s="181"/>
      <c r="K943" s="121"/>
      <c r="L943" s="88"/>
      <c r="M943" s="88"/>
      <c r="N943" s="88"/>
      <c r="O943" s="88"/>
      <c r="P943" s="88"/>
      <c r="Q943" s="129"/>
      <c r="R943" s="445"/>
      <c r="S943" s="121"/>
      <c r="T943" s="182"/>
      <c r="U943" s="181"/>
      <c r="V943" s="121"/>
      <c r="W943" s="121"/>
      <c r="X943" s="472"/>
      <c r="Y943" s="472"/>
      <c r="Z943" s="473"/>
      <c r="AA943" s="473"/>
      <c r="AB943" s="410"/>
      <c r="AC943" s="350"/>
      <c r="AD943" s="350"/>
      <c r="AE943" s="350"/>
      <c r="AF943" s="350"/>
    </row>
    <row r="944" spans="1:32" s="597" customFormat="1" ht="18" customHeight="1" x14ac:dyDescent="0.2">
      <c r="A944" s="1850"/>
      <c r="B944" s="1850"/>
      <c r="C944" s="1850"/>
      <c r="D944" s="1850"/>
      <c r="E944" s="1850"/>
      <c r="F944" s="1850"/>
      <c r="G944" s="1850"/>
      <c r="H944" s="1851"/>
      <c r="I944" s="1852"/>
      <c r="J944" s="1853"/>
      <c r="K944" s="1852"/>
      <c r="L944" s="1852"/>
      <c r="M944" s="1852"/>
      <c r="N944" s="1852"/>
      <c r="O944" s="1852"/>
      <c r="P944" s="1852"/>
      <c r="Q944" s="1852"/>
      <c r="R944" s="1854"/>
      <c r="S944" s="1852"/>
      <c r="T944" s="1855"/>
      <c r="U944" s="1853"/>
      <c r="V944" s="1852"/>
      <c r="W944" s="1852"/>
      <c r="X944" s="1856"/>
      <c r="Y944" s="1856"/>
      <c r="Z944" s="1857"/>
      <c r="AA944" s="1857"/>
      <c r="AB944" s="1847">
        <f>SUM(AB929:AB943)</f>
        <v>300</v>
      </c>
      <c r="AC944" s="1972"/>
      <c r="AD944" s="1972"/>
      <c r="AE944" s="1972"/>
      <c r="AF944" s="1972"/>
    </row>
    <row r="945" spans="1:32" s="597" customFormat="1" ht="18" customHeight="1" x14ac:dyDescent="0.2">
      <c r="A945" s="2690" t="s">
        <v>76</v>
      </c>
      <c r="B945" s="2690"/>
      <c r="C945" s="2691" t="s">
        <v>77</v>
      </c>
      <c r="D945" s="2691"/>
      <c r="E945" s="2691"/>
      <c r="F945" s="2691"/>
      <c r="G945" s="2691"/>
      <c r="H945" s="2691"/>
      <c r="I945" s="604" t="s">
        <v>78</v>
      </c>
      <c r="J945" s="604"/>
      <c r="K945" s="604"/>
      <c r="L945" s="604"/>
      <c r="M945" s="604"/>
      <c r="N945" s="604"/>
      <c r="AB945" s="598"/>
      <c r="AC945" s="349"/>
      <c r="AD945" s="349"/>
      <c r="AE945" s="349"/>
      <c r="AF945" s="349"/>
    </row>
    <row r="946" spans="1:32" s="597" customFormat="1" ht="18" customHeight="1" x14ac:dyDescent="0.2">
      <c r="A946" s="604"/>
      <c r="B946" s="605"/>
      <c r="C946" s="604"/>
      <c r="D946" s="604"/>
      <c r="E946" s="604"/>
      <c r="F946" s="604"/>
      <c r="G946" s="604"/>
      <c r="H946" s="604"/>
      <c r="I946" s="604" t="s">
        <v>79</v>
      </c>
      <c r="J946" s="604"/>
      <c r="K946" s="604"/>
      <c r="L946" s="604"/>
      <c r="M946" s="604"/>
      <c r="N946" s="604"/>
      <c r="AB946" s="598"/>
    </row>
    <row r="947" spans="1:32" s="597" customFormat="1" ht="18" customHeight="1" x14ac:dyDescent="0.2">
      <c r="A947" s="604"/>
      <c r="B947" s="605"/>
      <c r="C947" s="604"/>
      <c r="D947" s="604"/>
      <c r="E947" s="604"/>
      <c r="F947" s="604"/>
      <c r="G947" s="604"/>
      <c r="H947" s="604"/>
      <c r="I947" s="604" t="s">
        <v>80</v>
      </c>
      <c r="J947" s="604"/>
      <c r="K947" s="604"/>
      <c r="L947" s="604"/>
      <c r="M947" s="604"/>
      <c r="N947" s="604"/>
      <c r="AB947" s="598"/>
    </row>
    <row r="948" spans="1:32" s="597" customFormat="1" ht="18" customHeight="1" x14ac:dyDescent="0.2">
      <c r="A948" s="604"/>
      <c r="B948" s="605"/>
      <c r="C948" s="604"/>
      <c r="D948" s="604"/>
      <c r="E948" s="604"/>
      <c r="F948" s="604"/>
      <c r="G948" s="604"/>
      <c r="H948" s="604"/>
      <c r="I948" s="604" t="s">
        <v>81</v>
      </c>
      <c r="J948" s="604"/>
      <c r="K948" s="604"/>
      <c r="L948" s="604"/>
      <c r="M948" s="604"/>
      <c r="N948" s="604"/>
      <c r="AB948" s="598"/>
    </row>
    <row r="949" spans="1:32" s="597" customFormat="1" ht="18" customHeight="1" x14ac:dyDescent="0.2">
      <c r="A949" s="604"/>
      <c r="B949" s="605"/>
      <c r="C949" s="604"/>
      <c r="D949" s="604"/>
      <c r="E949" s="604"/>
      <c r="F949" s="604"/>
      <c r="G949" s="604"/>
      <c r="H949" s="604"/>
      <c r="I949" s="604" t="s">
        <v>88</v>
      </c>
      <c r="J949" s="604"/>
      <c r="K949" s="604"/>
      <c r="L949" s="604"/>
      <c r="M949" s="604"/>
      <c r="N949" s="604"/>
      <c r="AB949" s="598"/>
    </row>
    <row r="950" spans="1:32" s="597" customFormat="1" ht="18" customHeight="1" x14ac:dyDescent="0.2">
      <c r="A950" s="339"/>
      <c r="B950" s="339"/>
      <c r="C950" s="339"/>
      <c r="D950" s="339"/>
      <c r="E950" s="339"/>
      <c r="F950" s="339"/>
      <c r="G950" s="339"/>
      <c r="H950" s="339"/>
      <c r="I950" s="339"/>
      <c r="J950" s="339"/>
      <c r="K950" s="339"/>
      <c r="L950" s="339"/>
      <c r="M950" s="339"/>
      <c r="N950" s="339"/>
      <c r="O950" s="339"/>
      <c r="P950" s="339"/>
      <c r="Q950" s="339"/>
      <c r="R950" s="339"/>
      <c r="S950" s="339"/>
      <c r="T950" s="339"/>
      <c r="U950" s="339"/>
      <c r="V950" s="339"/>
      <c r="W950" s="339"/>
      <c r="X950" s="339"/>
      <c r="Y950" s="339"/>
      <c r="Z950" s="339"/>
      <c r="AA950" s="2702" t="s">
        <v>0</v>
      </c>
      <c r="AB950" s="2702"/>
    </row>
    <row r="951" spans="1:32" s="597" customFormat="1" ht="18" customHeight="1" x14ac:dyDescent="0.2">
      <c r="A951" s="2703" t="s">
        <v>1</v>
      </c>
      <c r="B951" s="2703"/>
      <c r="C951" s="2703"/>
      <c r="D951" s="2703"/>
      <c r="E951" s="2703"/>
      <c r="F951" s="2703"/>
      <c r="G951" s="2703"/>
      <c r="H951" s="2703"/>
      <c r="I951" s="2703"/>
      <c r="J951" s="2703"/>
      <c r="K951" s="2703"/>
      <c r="L951" s="2703"/>
      <c r="M951" s="2703"/>
      <c r="N951" s="2703"/>
      <c r="O951" s="2703"/>
      <c r="P951" s="2703"/>
      <c r="Q951" s="2703"/>
      <c r="R951" s="2703"/>
      <c r="S951" s="2703"/>
      <c r="T951" s="2703"/>
      <c r="U951" s="2703"/>
      <c r="V951" s="2703"/>
      <c r="W951" s="2703"/>
      <c r="X951" s="2703"/>
      <c r="Y951" s="2703"/>
      <c r="Z951" s="2703"/>
      <c r="AA951" s="2703"/>
      <c r="AB951" s="2703"/>
      <c r="AC951" s="339"/>
      <c r="AD951" s="339"/>
      <c r="AE951" s="339"/>
      <c r="AF951" s="339"/>
    </row>
    <row r="952" spans="1:32" s="597" customFormat="1" ht="18" customHeight="1" x14ac:dyDescent="0.2">
      <c r="A952" s="2704" t="s">
        <v>482</v>
      </c>
      <c r="B952" s="2704"/>
      <c r="C952" s="2704"/>
      <c r="D952" s="2704"/>
      <c r="E952" s="2704"/>
      <c r="F952" s="2704"/>
      <c r="G952" s="2704"/>
      <c r="H952" s="2704"/>
      <c r="I952" s="2704"/>
      <c r="J952" s="2704"/>
      <c r="K952" s="2704"/>
      <c r="L952" s="2704"/>
      <c r="M952" s="2704"/>
      <c r="N952" s="2704"/>
      <c r="O952" s="2704"/>
      <c r="P952" s="2704"/>
      <c r="Q952" s="2704"/>
      <c r="R952" s="2704"/>
      <c r="S952" s="2704"/>
      <c r="T952" s="2704"/>
      <c r="U952" s="2704"/>
      <c r="V952" s="2704"/>
      <c r="W952" s="2704"/>
      <c r="X952" s="2704"/>
      <c r="Y952" s="2704"/>
      <c r="Z952" s="2704"/>
      <c r="AA952" s="2704"/>
      <c r="AB952" s="2704"/>
      <c r="AC952" s="344"/>
      <c r="AD952" s="344"/>
      <c r="AE952" s="344"/>
      <c r="AF952" s="344"/>
    </row>
    <row r="953" spans="1:32" s="597" customFormat="1" ht="18" customHeight="1" x14ac:dyDescent="0.2">
      <c r="A953" s="2686" t="s">
        <v>2</v>
      </c>
      <c r="B953" s="360"/>
      <c r="C953" s="2686" t="s">
        <v>3</v>
      </c>
      <c r="D953" s="360"/>
      <c r="E953" s="360"/>
      <c r="F953" s="2693" t="s">
        <v>4</v>
      </c>
      <c r="G953" s="2693"/>
      <c r="H953" s="2693"/>
      <c r="I953" s="2694"/>
      <c r="J953" s="2694"/>
      <c r="K953" s="2695"/>
      <c r="L953" s="361"/>
      <c r="M953" s="2679" t="s">
        <v>5</v>
      </c>
      <c r="N953" s="2679"/>
      <c r="O953" s="2679"/>
      <c r="P953" s="2679"/>
      <c r="Q953" s="2696"/>
      <c r="R953" s="2696"/>
      <c r="S953" s="2696"/>
      <c r="T953" s="2696"/>
      <c r="U953" s="2696"/>
      <c r="V953" s="2697"/>
      <c r="W953" s="362" t="s">
        <v>6</v>
      </c>
      <c r="X953" s="363" t="s">
        <v>7</v>
      </c>
      <c r="Y953" s="364"/>
      <c r="Z953" s="364"/>
      <c r="AA953" s="363"/>
      <c r="AB953" s="365"/>
      <c r="AC953" s="599"/>
      <c r="AD953" s="599"/>
      <c r="AE953" s="599"/>
      <c r="AF953" s="599"/>
    </row>
    <row r="954" spans="1:32" s="597" customFormat="1" ht="18" customHeight="1" x14ac:dyDescent="0.2">
      <c r="A954" s="2687"/>
      <c r="B954" s="367"/>
      <c r="C954" s="2687"/>
      <c r="D954" s="366" t="s">
        <v>9</v>
      </c>
      <c r="E954" s="368" t="s">
        <v>10</v>
      </c>
      <c r="F954" s="2698" t="s">
        <v>11</v>
      </c>
      <c r="G954" s="2694"/>
      <c r="H954" s="2695"/>
      <c r="I954" s="360"/>
      <c r="J954" s="369" t="s">
        <v>12</v>
      </c>
      <c r="K954" s="360"/>
      <c r="L954" s="2679" t="s">
        <v>2</v>
      </c>
      <c r="M954" s="370"/>
      <c r="N954" s="370"/>
      <c r="O954" s="370"/>
      <c r="P954" s="371"/>
      <c r="Q954" s="372" t="s">
        <v>13</v>
      </c>
      <c r="R954" s="373" t="s">
        <v>12</v>
      </c>
      <c r="S954" s="370" t="s">
        <v>6</v>
      </c>
      <c r="T954" s="2682" t="s">
        <v>14</v>
      </c>
      <c r="U954" s="2683"/>
      <c r="V954" s="375" t="s">
        <v>7</v>
      </c>
      <c r="W954" s="376" t="s">
        <v>15</v>
      </c>
      <c r="X954" s="377" t="s">
        <v>16</v>
      </c>
      <c r="Y954" s="377" t="s">
        <v>17</v>
      </c>
      <c r="Z954" s="377" t="s">
        <v>18</v>
      </c>
      <c r="AA954" s="377"/>
      <c r="AB954" s="378" t="s">
        <v>19</v>
      </c>
      <c r="AC954" s="516" t="s">
        <v>8</v>
      </c>
      <c r="AD954" s="346"/>
      <c r="AE954" s="346"/>
      <c r="AF954" s="600"/>
    </row>
    <row r="955" spans="1:32" s="597" customFormat="1" ht="18" customHeight="1" x14ac:dyDescent="0.2">
      <c r="A955" s="2687"/>
      <c r="B955" s="366" t="s">
        <v>23</v>
      </c>
      <c r="C955" s="2687"/>
      <c r="D955" s="366" t="s">
        <v>24</v>
      </c>
      <c r="E955" s="368" t="s">
        <v>25</v>
      </c>
      <c r="F955" s="2699"/>
      <c r="G955" s="2700"/>
      <c r="H955" s="2701"/>
      <c r="I955" s="366" t="s">
        <v>26</v>
      </c>
      <c r="J955" s="379" t="s">
        <v>15</v>
      </c>
      <c r="K955" s="380" t="s">
        <v>6</v>
      </c>
      <c r="L955" s="2680"/>
      <c r="M955" s="381" t="s">
        <v>27</v>
      </c>
      <c r="N955" s="381" t="s">
        <v>10</v>
      </c>
      <c r="O955" s="382" t="s">
        <v>10</v>
      </c>
      <c r="P955" s="383" t="s">
        <v>28</v>
      </c>
      <c r="Q955" s="384" t="s">
        <v>29</v>
      </c>
      <c r="R955" s="383" t="s">
        <v>15</v>
      </c>
      <c r="S955" s="385" t="s">
        <v>15</v>
      </c>
      <c r="T955" s="2684"/>
      <c r="U955" s="2685"/>
      <c r="V955" s="375" t="s">
        <v>30</v>
      </c>
      <c r="W955" s="376" t="s">
        <v>31</v>
      </c>
      <c r="X955" s="377" t="s">
        <v>30</v>
      </c>
      <c r="Y955" s="377" t="s">
        <v>32</v>
      </c>
      <c r="Z955" s="377" t="s">
        <v>7</v>
      </c>
      <c r="AA955" s="377" t="s">
        <v>33</v>
      </c>
      <c r="AB955" s="378" t="s">
        <v>34</v>
      </c>
      <c r="AC955" s="528" t="s">
        <v>20</v>
      </c>
      <c r="AD955" s="601"/>
      <c r="AE955" s="347" t="s">
        <v>21</v>
      </c>
      <c r="AF955" s="340" t="s">
        <v>22</v>
      </c>
    </row>
    <row r="956" spans="1:32" s="597" customFormat="1" ht="18" customHeight="1" x14ac:dyDescent="0.2">
      <c r="A956" s="2687"/>
      <c r="B956" s="366" t="s">
        <v>39</v>
      </c>
      <c r="C956" s="2687"/>
      <c r="D956" s="366" t="s">
        <v>40</v>
      </c>
      <c r="E956" s="368" t="s">
        <v>41</v>
      </c>
      <c r="F956" s="2686" t="s">
        <v>42</v>
      </c>
      <c r="G956" s="2686" t="s">
        <v>43</v>
      </c>
      <c r="H956" s="2688" t="s">
        <v>44</v>
      </c>
      <c r="I956" s="366" t="s">
        <v>45</v>
      </c>
      <c r="J956" s="379" t="s">
        <v>46</v>
      </c>
      <c r="K956" s="380" t="s">
        <v>47</v>
      </c>
      <c r="L956" s="2680"/>
      <c r="M956" s="381" t="s">
        <v>30</v>
      </c>
      <c r="N956" s="381" t="s">
        <v>30</v>
      </c>
      <c r="O956" s="382" t="s">
        <v>25</v>
      </c>
      <c r="P956" s="383" t="s">
        <v>30</v>
      </c>
      <c r="Q956" s="384" t="s">
        <v>48</v>
      </c>
      <c r="R956" s="383" t="s">
        <v>49</v>
      </c>
      <c r="S956" s="385" t="s">
        <v>30</v>
      </c>
      <c r="T956" s="386" t="s">
        <v>50</v>
      </c>
      <c r="U956" s="374" t="s">
        <v>13</v>
      </c>
      <c r="V956" s="375" t="s">
        <v>51</v>
      </c>
      <c r="W956" s="376" t="s">
        <v>52</v>
      </c>
      <c r="X956" s="377" t="s">
        <v>53</v>
      </c>
      <c r="Y956" s="377" t="s">
        <v>54</v>
      </c>
      <c r="Z956" s="377" t="s">
        <v>55</v>
      </c>
      <c r="AA956" s="377" t="s">
        <v>56</v>
      </c>
      <c r="AB956" s="378" t="s">
        <v>57</v>
      </c>
      <c r="AC956" s="528" t="s">
        <v>35</v>
      </c>
      <c r="AD956" s="347" t="s">
        <v>36</v>
      </c>
      <c r="AE956" s="347" t="s">
        <v>37</v>
      </c>
      <c r="AF956" s="340" t="s">
        <v>38</v>
      </c>
    </row>
    <row r="957" spans="1:32" s="597" customFormat="1" ht="18" customHeight="1" x14ac:dyDescent="0.2">
      <c r="A957" s="2687"/>
      <c r="B957" s="366" t="s">
        <v>61</v>
      </c>
      <c r="C957" s="2687"/>
      <c r="D957" s="366" t="s">
        <v>62</v>
      </c>
      <c r="E957" s="368" t="s">
        <v>63</v>
      </c>
      <c r="F957" s="2687"/>
      <c r="G957" s="2687"/>
      <c r="H957" s="2689"/>
      <c r="I957" s="366" t="s">
        <v>64</v>
      </c>
      <c r="J957" s="379" t="s">
        <v>59</v>
      </c>
      <c r="K957" s="380" t="s">
        <v>59</v>
      </c>
      <c r="L957" s="2680"/>
      <c r="M957" s="381"/>
      <c r="N957" s="381"/>
      <c r="O957" s="382" t="s">
        <v>41</v>
      </c>
      <c r="P957" s="383" t="s">
        <v>65</v>
      </c>
      <c r="Q957" s="384" t="s">
        <v>66</v>
      </c>
      <c r="R957" s="383" t="s">
        <v>67</v>
      </c>
      <c r="S957" s="385" t="s">
        <v>59</v>
      </c>
      <c r="T957" s="387" t="s">
        <v>68</v>
      </c>
      <c r="U957" s="375" t="s">
        <v>14</v>
      </c>
      <c r="V957" s="375" t="s">
        <v>14</v>
      </c>
      <c r="W957" s="376" t="s">
        <v>30</v>
      </c>
      <c r="X957" s="388" t="s">
        <v>69</v>
      </c>
      <c r="Y957" s="388" t="s">
        <v>70</v>
      </c>
      <c r="Z957" s="377" t="s">
        <v>71</v>
      </c>
      <c r="AA957" s="377" t="s">
        <v>72</v>
      </c>
      <c r="AB957" s="378" t="s">
        <v>59</v>
      </c>
      <c r="AC957" s="347" t="s">
        <v>58</v>
      </c>
      <c r="AD957" s="347" t="s">
        <v>59</v>
      </c>
      <c r="AE957" s="347" t="s">
        <v>59</v>
      </c>
      <c r="AF957" s="340" t="s">
        <v>60</v>
      </c>
    </row>
    <row r="958" spans="1:32" s="597" customFormat="1" ht="18" customHeight="1" x14ac:dyDescent="0.2">
      <c r="A958" s="2692"/>
      <c r="B958" s="390"/>
      <c r="C958" s="2692"/>
      <c r="D958" s="390"/>
      <c r="E958" s="389"/>
      <c r="F958" s="390"/>
      <c r="G958" s="390"/>
      <c r="H958" s="391"/>
      <c r="I958" s="389"/>
      <c r="J958" s="392"/>
      <c r="K958" s="393"/>
      <c r="L958" s="2681"/>
      <c r="M958" s="394"/>
      <c r="N958" s="394"/>
      <c r="O958" s="394" t="s">
        <v>63</v>
      </c>
      <c r="P958" s="395"/>
      <c r="Q958" s="396" t="s">
        <v>72</v>
      </c>
      <c r="R958" s="397" t="s">
        <v>59</v>
      </c>
      <c r="S958" s="398"/>
      <c r="T958" s="397" t="s">
        <v>73</v>
      </c>
      <c r="U958" s="398" t="s">
        <v>59</v>
      </c>
      <c r="V958" s="399" t="s">
        <v>59</v>
      </c>
      <c r="W958" s="400" t="s">
        <v>59</v>
      </c>
      <c r="X958" s="401" t="s">
        <v>59</v>
      </c>
      <c r="Y958" s="401" t="s">
        <v>59</v>
      </c>
      <c r="Z958" s="401" t="s">
        <v>59</v>
      </c>
      <c r="AA958" s="402"/>
      <c r="AB958" s="403"/>
      <c r="AC958" s="347" t="s">
        <v>59</v>
      </c>
      <c r="AD958" s="347"/>
      <c r="AE958" s="347"/>
      <c r="AF958" s="340" t="s">
        <v>59</v>
      </c>
    </row>
    <row r="959" spans="1:32" s="597" customFormat="1" ht="18" customHeight="1" x14ac:dyDescent="0.2">
      <c r="A959" s="53">
        <v>1</v>
      </c>
      <c r="B959" s="41">
        <v>30791</v>
      </c>
      <c r="C959" s="41">
        <v>90</v>
      </c>
      <c r="D959" s="41" t="s">
        <v>95</v>
      </c>
      <c r="E959" s="41">
        <v>4</v>
      </c>
      <c r="F959" s="41">
        <v>0</v>
      </c>
      <c r="G959" s="41">
        <v>1</v>
      </c>
      <c r="H959" s="267">
        <v>23</v>
      </c>
      <c r="I959" s="44">
        <f>F959*400+G959*100+H959</f>
        <v>123</v>
      </c>
      <c r="J959" s="42">
        <v>280</v>
      </c>
      <c r="K959" s="46">
        <f>SUM(I959*J959)</f>
        <v>34440</v>
      </c>
      <c r="L959" s="16"/>
      <c r="M959" s="53"/>
      <c r="N959" s="41"/>
      <c r="O959" s="50"/>
      <c r="P959" s="19"/>
      <c r="Q959" s="62"/>
      <c r="R959" s="260"/>
      <c r="S959" s="18"/>
      <c r="T959" s="20"/>
      <c r="U959" s="47">
        <f>S959*T959/100</f>
        <v>0</v>
      </c>
      <c r="V959" s="47">
        <f>SUM(S959-U959)</f>
        <v>0</v>
      </c>
      <c r="W959" s="18">
        <f>K959+V959</f>
        <v>34440</v>
      </c>
      <c r="X959" s="47">
        <f>W959</f>
        <v>34440</v>
      </c>
      <c r="Y959" s="293">
        <v>0</v>
      </c>
      <c r="Z959" s="18">
        <f>X959-Y959</f>
        <v>34440</v>
      </c>
      <c r="AA959" s="264">
        <v>0.6</v>
      </c>
      <c r="AB959" s="465">
        <f>+Z959*AA959/100</f>
        <v>206.64</v>
      </c>
      <c r="AC959" s="348"/>
      <c r="AD959" s="348"/>
      <c r="AE959" s="348"/>
      <c r="AF959" s="341"/>
    </row>
    <row r="960" spans="1:32" s="597" customFormat="1" ht="18" customHeight="1" x14ac:dyDescent="0.2">
      <c r="A960" s="75">
        <v>2</v>
      </c>
      <c r="B960" s="27">
        <v>27956</v>
      </c>
      <c r="C960" s="27">
        <v>18</v>
      </c>
      <c r="D960" s="27" t="s">
        <v>91</v>
      </c>
      <c r="E960" s="27">
        <v>4</v>
      </c>
      <c r="F960" s="27">
        <v>0</v>
      </c>
      <c r="G960" s="27">
        <v>1</v>
      </c>
      <c r="H960" s="557">
        <v>23</v>
      </c>
      <c r="I960" s="47">
        <f>F960*400+G960*100+H960</f>
        <v>123</v>
      </c>
      <c r="J960" s="30">
        <v>280</v>
      </c>
      <c r="K960" s="48">
        <f>SUM(I960*J960)</f>
        <v>34440</v>
      </c>
      <c r="L960" s="27"/>
      <c r="M960" s="61"/>
      <c r="N960" s="50"/>
      <c r="O960" s="50"/>
      <c r="P960" s="19"/>
      <c r="Q960" s="62"/>
      <c r="R960" s="260"/>
      <c r="S960" s="18"/>
      <c r="T960" s="20"/>
      <c r="U960" s="47">
        <f>S960*T960/100</f>
        <v>0</v>
      </c>
      <c r="V960" s="47">
        <f>SUM(S960-U960)</f>
        <v>0</v>
      </c>
      <c r="W960" s="18">
        <f>K960+V960</f>
        <v>34440</v>
      </c>
      <c r="X960" s="47">
        <f>W960</f>
        <v>34440</v>
      </c>
      <c r="Y960" s="293">
        <v>0</v>
      </c>
      <c r="Z960" s="18">
        <f>X960-Y960</f>
        <v>34440</v>
      </c>
      <c r="AA960" s="264">
        <v>0.6</v>
      </c>
      <c r="AB960" s="410">
        <f>+Z960*AA960/100</f>
        <v>206.64</v>
      </c>
      <c r="AC960" s="602"/>
      <c r="AD960" s="603">
        <f>AB869-AC960</f>
        <v>136.08000000000001</v>
      </c>
      <c r="AE960" s="603">
        <f>IF(AD960&lt;=0,0,AD960*25/100)</f>
        <v>34.020000000000003</v>
      </c>
      <c r="AF960" s="603">
        <f>IF(AC960+AE960&gt;AB869,AB869,AC960+AE960)</f>
        <v>34.020000000000003</v>
      </c>
    </row>
    <row r="961" spans="1:32" s="597" customFormat="1" ht="18" customHeight="1" x14ac:dyDescent="0.2">
      <c r="A961" s="61"/>
      <c r="B961" s="145"/>
      <c r="C961" s="145"/>
      <c r="D961" s="145"/>
      <c r="E961" s="145"/>
      <c r="F961" s="145"/>
      <c r="G961" s="145"/>
      <c r="H961" s="407"/>
      <c r="I961" s="77"/>
      <c r="J961" s="107"/>
      <c r="K961" s="78"/>
      <c r="L961" s="61"/>
      <c r="M961" s="145"/>
      <c r="N961" s="145"/>
      <c r="O961" s="61"/>
      <c r="P961" s="177"/>
      <c r="Q961" s="196"/>
      <c r="R961" s="408"/>
      <c r="S961" s="77"/>
      <c r="T961" s="145"/>
      <c r="U961" s="77"/>
      <c r="V961" s="77"/>
      <c r="W961" s="77"/>
      <c r="X961" s="77"/>
      <c r="Y961" s="107"/>
      <c r="Z961" s="77"/>
      <c r="AA961" s="409"/>
      <c r="AB961" s="416"/>
      <c r="AC961" s="350"/>
      <c r="AD961" s="350"/>
      <c r="AE961" s="350"/>
      <c r="AF961" s="350"/>
    </row>
    <row r="962" spans="1:32" s="597" customFormat="1" ht="18" customHeight="1" x14ac:dyDescent="0.2">
      <c r="A962" s="145"/>
      <c r="B962" s="177"/>
      <c r="C962" s="177"/>
      <c r="D962" s="145"/>
      <c r="E962" s="145"/>
      <c r="F962" s="145"/>
      <c r="G962" s="145"/>
      <c r="H962" s="147"/>
      <c r="I962" s="107"/>
      <c r="J962" s="178"/>
      <c r="K962" s="107"/>
      <c r="L962" s="145"/>
      <c r="M962" s="145"/>
      <c r="N962" s="145"/>
      <c r="O962" s="145"/>
      <c r="P962" s="147"/>
      <c r="Q962" s="148"/>
      <c r="R962" s="437"/>
      <c r="S962" s="107"/>
      <c r="T962" s="179"/>
      <c r="U962" s="178"/>
      <c r="V962" s="107"/>
      <c r="W962" s="107"/>
      <c r="X962" s="470"/>
      <c r="Y962" s="470"/>
      <c r="Z962" s="471"/>
      <c r="AA962" s="471"/>
      <c r="AB962" s="466"/>
      <c r="AC962" s="350"/>
      <c r="AD962" s="350"/>
      <c r="AE962" s="350"/>
      <c r="AF962" s="350"/>
    </row>
    <row r="963" spans="1:32" s="597" customFormat="1" ht="18" customHeight="1" x14ac:dyDescent="0.2">
      <c r="A963" s="145"/>
      <c r="B963" s="177"/>
      <c r="C963" s="177"/>
      <c r="D963" s="145"/>
      <c r="E963" s="145"/>
      <c r="F963" s="145"/>
      <c r="G963" s="145"/>
      <c r="H963" s="147"/>
      <c r="I963" s="107"/>
      <c r="J963" s="178"/>
      <c r="K963" s="107"/>
      <c r="L963" s="145"/>
      <c r="M963" s="145"/>
      <c r="N963" s="145"/>
      <c r="O963" s="145"/>
      <c r="P963" s="147"/>
      <c r="Q963" s="148"/>
      <c r="R963" s="437"/>
      <c r="S963" s="107"/>
      <c r="T963" s="179"/>
      <c r="U963" s="178"/>
      <c r="V963" s="107"/>
      <c r="W963" s="107"/>
      <c r="X963" s="470"/>
      <c r="Y963" s="470"/>
      <c r="Z963" s="471"/>
      <c r="AA963" s="471"/>
      <c r="AB963" s="466"/>
      <c r="AC963" s="350"/>
      <c r="AD963" s="350"/>
      <c r="AE963" s="350"/>
      <c r="AF963" s="350"/>
    </row>
    <row r="964" spans="1:32" s="597" customFormat="1" ht="18" customHeight="1" x14ac:dyDescent="0.2">
      <c r="A964" s="145"/>
      <c r="B964" s="177"/>
      <c r="C964" s="177"/>
      <c r="D964" s="145"/>
      <c r="E964" s="145"/>
      <c r="F964" s="145"/>
      <c r="G964" s="145"/>
      <c r="H964" s="147"/>
      <c r="I964" s="107"/>
      <c r="J964" s="178"/>
      <c r="K964" s="107"/>
      <c r="L964" s="145"/>
      <c r="M964" s="145"/>
      <c r="N964" s="145"/>
      <c r="O964" s="145"/>
      <c r="P964" s="147"/>
      <c r="Q964" s="148"/>
      <c r="R964" s="437"/>
      <c r="S964" s="107"/>
      <c r="T964" s="179"/>
      <c r="U964" s="178"/>
      <c r="V964" s="107"/>
      <c r="W964" s="107"/>
      <c r="X964" s="470"/>
      <c r="Y964" s="470"/>
      <c r="Z964" s="471"/>
      <c r="AA964" s="471"/>
      <c r="AB964" s="466"/>
      <c r="AC964" s="350"/>
      <c r="AD964" s="350"/>
      <c r="AE964" s="350"/>
      <c r="AF964" s="350"/>
    </row>
    <row r="965" spans="1:32" s="597" customFormat="1" ht="18" customHeight="1" x14ac:dyDescent="0.2">
      <c r="A965" s="145"/>
      <c r="B965" s="177"/>
      <c r="C965" s="177"/>
      <c r="D965" s="145"/>
      <c r="E965" s="145"/>
      <c r="F965" s="145"/>
      <c r="G965" s="145"/>
      <c r="H965" s="147"/>
      <c r="I965" s="107"/>
      <c r="J965" s="178"/>
      <c r="K965" s="107"/>
      <c r="L965" s="145"/>
      <c r="M965" s="145"/>
      <c r="N965" s="145"/>
      <c r="O965" s="145"/>
      <c r="P965" s="147"/>
      <c r="Q965" s="148"/>
      <c r="R965" s="437"/>
      <c r="S965" s="107"/>
      <c r="T965" s="179"/>
      <c r="U965" s="178"/>
      <c r="V965" s="107"/>
      <c r="W965" s="107"/>
      <c r="X965" s="470"/>
      <c r="Y965" s="470"/>
      <c r="Z965" s="471"/>
      <c r="AA965" s="471"/>
      <c r="AB965" s="466"/>
      <c r="AC965" s="350"/>
      <c r="AD965" s="350"/>
      <c r="AE965" s="350"/>
      <c r="AF965" s="350"/>
    </row>
    <row r="966" spans="1:32" s="597" customFormat="1" ht="18" customHeight="1" x14ac:dyDescent="0.2">
      <c r="A966" s="145"/>
      <c r="B966" s="177"/>
      <c r="C966" s="177"/>
      <c r="D966" s="145"/>
      <c r="E966" s="145"/>
      <c r="F966" s="145"/>
      <c r="G966" s="145"/>
      <c r="H966" s="147"/>
      <c r="I966" s="107"/>
      <c r="J966" s="178"/>
      <c r="K966" s="107"/>
      <c r="L966" s="145"/>
      <c r="M966" s="145"/>
      <c r="N966" s="145"/>
      <c r="O966" s="145"/>
      <c r="P966" s="147"/>
      <c r="Q966" s="148"/>
      <c r="R966" s="437"/>
      <c r="S966" s="107"/>
      <c r="T966" s="179"/>
      <c r="U966" s="178"/>
      <c r="V966" s="107"/>
      <c r="W966" s="107"/>
      <c r="X966" s="470"/>
      <c r="Y966" s="470"/>
      <c r="Z966" s="471"/>
      <c r="AA966" s="471"/>
      <c r="AB966" s="466"/>
      <c r="AC966" s="350"/>
      <c r="AD966" s="350"/>
      <c r="AE966" s="350"/>
      <c r="AF966" s="350"/>
    </row>
    <row r="967" spans="1:32" s="597" customFormat="1" ht="18" customHeight="1" x14ac:dyDescent="0.2">
      <c r="A967" s="145"/>
      <c r="B967" s="177"/>
      <c r="C967" s="177"/>
      <c r="D967" s="145"/>
      <c r="E967" s="145"/>
      <c r="F967" s="145"/>
      <c r="G967" s="145"/>
      <c r="H967" s="147"/>
      <c r="I967" s="107"/>
      <c r="J967" s="178"/>
      <c r="K967" s="107"/>
      <c r="L967" s="145"/>
      <c r="M967" s="145"/>
      <c r="N967" s="145"/>
      <c r="O967" s="145"/>
      <c r="P967" s="147"/>
      <c r="Q967" s="148"/>
      <c r="R967" s="437"/>
      <c r="S967" s="107"/>
      <c r="T967" s="179"/>
      <c r="U967" s="178"/>
      <c r="V967" s="107"/>
      <c r="W967" s="107"/>
      <c r="X967" s="470"/>
      <c r="Y967" s="470"/>
      <c r="Z967" s="471"/>
      <c r="AA967" s="471"/>
      <c r="AB967" s="466"/>
      <c r="AC967" s="350"/>
      <c r="AD967" s="350"/>
      <c r="AE967" s="350"/>
      <c r="AF967" s="350"/>
    </row>
    <row r="968" spans="1:32" s="597" customFormat="1" ht="18" customHeight="1" x14ac:dyDescent="0.2">
      <c r="A968" s="145"/>
      <c r="B968" s="177"/>
      <c r="C968" s="177"/>
      <c r="D968" s="145"/>
      <c r="E968" s="145"/>
      <c r="F968" s="145"/>
      <c r="G968" s="145"/>
      <c r="H968" s="147"/>
      <c r="I968" s="107"/>
      <c r="J968" s="178"/>
      <c r="K968" s="107"/>
      <c r="L968" s="145"/>
      <c r="M968" s="145"/>
      <c r="N968" s="145"/>
      <c r="O968" s="145"/>
      <c r="P968" s="147"/>
      <c r="Q968" s="148"/>
      <c r="R968" s="437"/>
      <c r="S968" s="107"/>
      <c r="T968" s="179"/>
      <c r="U968" s="178"/>
      <c r="V968" s="107"/>
      <c r="W968" s="107"/>
      <c r="X968" s="470"/>
      <c r="Y968" s="470"/>
      <c r="Z968" s="471"/>
      <c r="AA968" s="471"/>
      <c r="AB968" s="466"/>
      <c r="AC968" s="350"/>
      <c r="AD968" s="350"/>
      <c r="AE968" s="350"/>
      <c r="AF968" s="350"/>
    </row>
    <row r="969" spans="1:32" s="597" customFormat="1" ht="18" customHeight="1" x14ac:dyDescent="0.2">
      <c r="A969" s="145"/>
      <c r="B969" s="177"/>
      <c r="C969" s="177"/>
      <c r="D969" s="145"/>
      <c r="E969" s="145"/>
      <c r="F969" s="145"/>
      <c r="G969" s="145"/>
      <c r="H969" s="147"/>
      <c r="I969" s="107"/>
      <c r="J969" s="178"/>
      <c r="K969" s="107"/>
      <c r="L969" s="145"/>
      <c r="M969" s="145"/>
      <c r="N969" s="145"/>
      <c r="O969" s="145"/>
      <c r="P969" s="147"/>
      <c r="Q969" s="148"/>
      <c r="R969" s="437"/>
      <c r="S969" s="107"/>
      <c r="T969" s="179"/>
      <c r="U969" s="178"/>
      <c r="V969" s="107"/>
      <c r="W969" s="107"/>
      <c r="X969" s="470"/>
      <c r="Y969" s="470"/>
      <c r="Z969" s="471"/>
      <c r="AA969" s="471"/>
      <c r="AB969" s="466"/>
      <c r="AC969" s="350"/>
      <c r="AD969" s="350"/>
      <c r="AE969" s="350"/>
      <c r="AF969" s="350"/>
    </row>
    <row r="970" spans="1:32" s="597" customFormat="1" ht="18" customHeight="1" x14ac:dyDescent="0.2">
      <c r="A970" s="145"/>
      <c r="B970" s="177"/>
      <c r="C970" s="177"/>
      <c r="D970" s="145"/>
      <c r="E970" s="145"/>
      <c r="F970" s="145"/>
      <c r="G970" s="145"/>
      <c r="H970" s="147"/>
      <c r="I970" s="107"/>
      <c r="J970" s="178"/>
      <c r="K970" s="107"/>
      <c r="L970" s="145"/>
      <c r="M970" s="145"/>
      <c r="N970" s="145"/>
      <c r="O970" s="145"/>
      <c r="P970" s="147"/>
      <c r="Q970" s="148"/>
      <c r="R970" s="437"/>
      <c r="S970" s="107"/>
      <c r="T970" s="179"/>
      <c r="U970" s="178"/>
      <c r="V970" s="107"/>
      <c r="W970" s="107"/>
      <c r="X970" s="470"/>
      <c r="Y970" s="470"/>
      <c r="Z970" s="471"/>
      <c r="AA970" s="471"/>
      <c r="AB970" s="466"/>
      <c r="AC970" s="350"/>
      <c r="AD970" s="350"/>
      <c r="AE970" s="350"/>
      <c r="AF970" s="350"/>
    </row>
    <row r="971" spans="1:32" s="597" customFormat="1" ht="18" customHeight="1" x14ac:dyDescent="0.2">
      <c r="A971" s="145"/>
      <c r="B971" s="177"/>
      <c r="C971" s="177"/>
      <c r="D971" s="145"/>
      <c r="E971" s="145"/>
      <c r="F971" s="145"/>
      <c r="G971" s="145"/>
      <c r="H971" s="147"/>
      <c r="I971" s="107"/>
      <c r="J971" s="178"/>
      <c r="K971" s="107"/>
      <c r="L971" s="145"/>
      <c r="M971" s="145"/>
      <c r="N971" s="145"/>
      <c r="O971" s="145"/>
      <c r="P971" s="147"/>
      <c r="Q971" s="148"/>
      <c r="R971" s="437"/>
      <c r="S971" s="107"/>
      <c r="T971" s="179"/>
      <c r="U971" s="178"/>
      <c r="V971" s="107"/>
      <c r="W971" s="107"/>
      <c r="X971" s="470"/>
      <c r="Y971" s="470"/>
      <c r="Z971" s="471"/>
      <c r="AA971" s="471"/>
      <c r="AB971" s="466"/>
      <c r="AC971" s="350"/>
      <c r="AD971" s="350"/>
      <c r="AE971" s="350"/>
      <c r="AF971" s="350"/>
    </row>
    <row r="972" spans="1:32" s="597" customFormat="1" ht="18" customHeight="1" x14ac:dyDescent="0.2">
      <c r="A972" s="145"/>
      <c r="B972" s="177"/>
      <c r="C972" s="177"/>
      <c r="D972" s="145"/>
      <c r="E972" s="145"/>
      <c r="F972" s="145"/>
      <c r="G972" s="145"/>
      <c r="H972" s="147"/>
      <c r="I972" s="107"/>
      <c r="J972" s="178"/>
      <c r="K972" s="107"/>
      <c r="L972" s="145"/>
      <c r="M972" s="145"/>
      <c r="N972" s="145"/>
      <c r="O972" s="145"/>
      <c r="P972" s="147"/>
      <c r="Q972" s="148"/>
      <c r="R972" s="437"/>
      <c r="S972" s="107"/>
      <c r="T972" s="179"/>
      <c r="U972" s="178"/>
      <c r="V972" s="107"/>
      <c r="W972" s="107"/>
      <c r="X972" s="470"/>
      <c r="Y972" s="470"/>
      <c r="Z972" s="471"/>
      <c r="AA972" s="471"/>
      <c r="AB972" s="466"/>
      <c r="AC972" s="350"/>
      <c r="AD972" s="350"/>
      <c r="AE972" s="350"/>
      <c r="AF972" s="350"/>
    </row>
    <row r="973" spans="1:32" s="597" customFormat="1" ht="18" customHeight="1" x14ac:dyDescent="0.2">
      <c r="A973" s="88"/>
      <c r="B973" s="180"/>
      <c r="C973" s="180"/>
      <c r="D973" s="88"/>
      <c r="E973" s="88"/>
      <c r="F973" s="88"/>
      <c r="G973" s="88"/>
      <c r="H973" s="120"/>
      <c r="I973" s="121"/>
      <c r="J973" s="181"/>
      <c r="K973" s="121"/>
      <c r="L973" s="88"/>
      <c r="M973" s="88"/>
      <c r="N973" s="88"/>
      <c r="O973" s="88"/>
      <c r="P973" s="88"/>
      <c r="Q973" s="129"/>
      <c r="R973" s="445"/>
      <c r="S973" s="121"/>
      <c r="T973" s="182"/>
      <c r="U973" s="181"/>
      <c r="V973" s="121"/>
      <c r="W973" s="121"/>
      <c r="X973" s="472"/>
      <c r="Y973" s="472"/>
      <c r="Z973" s="473"/>
      <c r="AA973" s="473"/>
      <c r="AB973" s="410"/>
      <c r="AC973" s="350"/>
      <c r="AD973" s="350"/>
      <c r="AE973" s="350"/>
      <c r="AF973" s="350"/>
    </row>
    <row r="974" spans="1:32" s="597" customFormat="1" ht="18" customHeight="1" x14ac:dyDescent="0.2">
      <c r="A974" s="1850"/>
      <c r="B974" s="1850"/>
      <c r="C974" s="1850"/>
      <c r="D974" s="1850"/>
      <c r="E974" s="1850"/>
      <c r="F974" s="1850"/>
      <c r="G974" s="1850"/>
      <c r="H974" s="1851"/>
      <c r="I974" s="1852"/>
      <c r="J974" s="1853"/>
      <c r="K974" s="1852"/>
      <c r="L974" s="1852"/>
      <c r="M974" s="1852"/>
      <c r="N974" s="1852"/>
      <c r="O974" s="1852"/>
      <c r="P974" s="1852"/>
      <c r="Q974" s="1852"/>
      <c r="R974" s="1854"/>
      <c r="S974" s="1852"/>
      <c r="T974" s="1855"/>
      <c r="U974" s="1853"/>
      <c r="V974" s="1852"/>
      <c r="W974" s="1852"/>
      <c r="X974" s="1856"/>
      <c r="Y974" s="1856"/>
      <c r="Z974" s="1857"/>
      <c r="AA974" s="1857"/>
      <c r="AB974" s="1847">
        <f>SUM(AB959:AB973)</f>
        <v>413.28</v>
      </c>
      <c r="AC974" s="1972"/>
      <c r="AD974" s="1972"/>
      <c r="AE974" s="1972"/>
      <c r="AF974" s="1972"/>
    </row>
    <row r="975" spans="1:32" s="597" customFormat="1" ht="18" customHeight="1" x14ac:dyDescent="0.2">
      <c r="A975" s="2690" t="s">
        <v>76</v>
      </c>
      <c r="B975" s="2690"/>
      <c r="C975" s="2691" t="s">
        <v>77</v>
      </c>
      <c r="D975" s="2691"/>
      <c r="E975" s="2691"/>
      <c r="F975" s="2691"/>
      <c r="G975" s="2691"/>
      <c r="H975" s="2691"/>
      <c r="I975" s="604" t="s">
        <v>78</v>
      </c>
      <c r="J975" s="604"/>
      <c r="K975" s="604"/>
      <c r="L975" s="604"/>
      <c r="M975" s="604"/>
      <c r="N975" s="604"/>
      <c r="AB975" s="598"/>
      <c r="AC975" s="349"/>
      <c r="AD975" s="349"/>
      <c r="AE975" s="349"/>
      <c r="AF975" s="349"/>
    </row>
    <row r="976" spans="1:32" s="597" customFormat="1" ht="18" customHeight="1" x14ac:dyDescent="0.2">
      <c r="A976" s="604"/>
      <c r="B976" s="605"/>
      <c r="C976" s="604"/>
      <c r="D976" s="604"/>
      <c r="E976" s="604"/>
      <c r="F976" s="604"/>
      <c r="G976" s="604"/>
      <c r="H976" s="604"/>
      <c r="I976" s="604" t="s">
        <v>79</v>
      </c>
      <c r="J976" s="604"/>
      <c r="K976" s="604"/>
      <c r="L976" s="604"/>
      <c r="M976" s="604"/>
      <c r="N976" s="604"/>
      <c r="AB976" s="598"/>
    </row>
    <row r="977" spans="1:28" s="597" customFormat="1" ht="18" customHeight="1" x14ac:dyDescent="0.2">
      <c r="A977" s="604"/>
      <c r="B977" s="605"/>
      <c r="C977" s="604"/>
      <c r="D977" s="604"/>
      <c r="E977" s="604"/>
      <c r="F977" s="604"/>
      <c r="G977" s="604"/>
      <c r="H977" s="604"/>
      <c r="I977" s="604" t="s">
        <v>80</v>
      </c>
      <c r="J977" s="604"/>
      <c r="K977" s="604"/>
      <c r="L977" s="604"/>
      <c r="M977" s="604"/>
      <c r="N977" s="604"/>
      <c r="AB977" s="598"/>
    </row>
    <row r="978" spans="1:28" s="597" customFormat="1" ht="18" customHeight="1" x14ac:dyDescent="0.2">
      <c r="A978" s="604"/>
      <c r="B978" s="605"/>
      <c r="C978" s="604"/>
      <c r="D978" s="604"/>
      <c r="E978" s="604"/>
      <c r="F978" s="604"/>
      <c r="G978" s="604"/>
      <c r="H978" s="604"/>
      <c r="I978" s="604" t="s">
        <v>81</v>
      </c>
      <c r="J978" s="604"/>
      <c r="K978" s="604"/>
      <c r="L978" s="604"/>
      <c r="M978" s="604"/>
      <c r="N978" s="604"/>
      <c r="AB978" s="598"/>
    </row>
    <row r="979" spans="1:28" s="597" customFormat="1" ht="18" customHeight="1" x14ac:dyDescent="0.2">
      <c r="A979" s="604"/>
      <c r="B979" s="605"/>
      <c r="C979" s="604"/>
      <c r="D979" s="604"/>
      <c r="E979" s="604"/>
      <c r="F979" s="604"/>
      <c r="G979" s="604"/>
      <c r="H979" s="604"/>
      <c r="I979" s="604" t="s">
        <v>88</v>
      </c>
      <c r="J979" s="604"/>
      <c r="K979" s="604"/>
      <c r="L979" s="604"/>
      <c r="M979" s="604"/>
      <c r="N979" s="604"/>
      <c r="AB979" s="598"/>
    </row>
    <row r="980" spans="1:28" s="597" customFormat="1" ht="18" customHeight="1" x14ac:dyDescent="0.2">
      <c r="A980" s="339"/>
      <c r="B980" s="339"/>
      <c r="C980" s="339"/>
      <c r="D980" s="339"/>
      <c r="E980" s="339"/>
      <c r="F980" s="339"/>
      <c r="G980" s="339"/>
      <c r="H980" s="339"/>
      <c r="I980" s="339"/>
      <c r="J980" s="339"/>
      <c r="K980" s="339"/>
      <c r="L980" s="339"/>
      <c r="M980" s="339"/>
      <c r="N980" s="339"/>
      <c r="O980" s="339"/>
      <c r="P980" s="339"/>
      <c r="Q980" s="339"/>
      <c r="R980" s="339"/>
      <c r="S980" s="339"/>
      <c r="T980" s="339"/>
      <c r="U980" s="339"/>
      <c r="V980" s="339"/>
      <c r="W980" s="339"/>
      <c r="X980" s="339"/>
      <c r="Y980" s="339"/>
      <c r="Z980" s="339"/>
      <c r="AA980" s="2702" t="s">
        <v>0</v>
      </c>
      <c r="AB980" s="2702"/>
    </row>
    <row r="981" spans="1:28" s="597" customFormat="1" ht="18" customHeight="1" x14ac:dyDescent="0.2">
      <c r="A981" s="2703" t="s">
        <v>1</v>
      </c>
      <c r="B981" s="2703"/>
      <c r="C981" s="2703"/>
      <c r="D981" s="2703"/>
      <c r="E981" s="2703"/>
      <c r="F981" s="2703"/>
      <c r="G981" s="2703"/>
      <c r="H981" s="2703"/>
      <c r="I981" s="2703"/>
      <c r="J981" s="2703"/>
      <c r="K981" s="2703"/>
      <c r="L981" s="2703"/>
      <c r="M981" s="2703"/>
      <c r="N981" s="2703"/>
      <c r="O981" s="2703"/>
      <c r="P981" s="2703"/>
      <c r="Q981" s="2703"/>
      <c r="R981" s="2703"/>
      <c r="S981" s="2703"/>
      <c r="T981" s="2703"/>
      <c r="U981" s="2703"/>
      <c r="V981" s="2703"/>
      <c r="W981" s="2703"/>
      <c r="X981" s="2703"/>
      <c r="Y981" s="2703"/>
      <c r="Z981" s="2703"/>
      <c r="AA981" s="2703"/>
      <c r="AB981" s="2703"/>
    </row>
    <row r="982" spans="1:28" s="597" customFormat="1" ht="18" customHeight="1" x14ac:dyDescent="0.2">
      <c r="A982" s="2704" t="s">
        <v>483</v>
      </c>
      <c r="B982" s="2704"/>
      <c r="C982" s="2704"/>
      <c r="D982" s="2704"/>
      <c r="E982" s="2704"/>
      <c r="F982" s="2704"/>
      <c r="G982" s="2704"/>
      <c r="H982" s="2704"/>
      <c r="I982" s="2704"/>
      <c r="J982" s="2704"/>
      <c r="K982" s="2704"/>
      <c r="L982" s="2704"/>
      <c r="M982" s="2704"/>
      <c r="N982" s="2704"/>
      <c r="O982" s="2704"/>
      <c r="P982" s="2704"/>
      <c r="Q982" s="2704"/>
      <c r="R982" s="2704"/>
      <c r="S982" s="2704"/>
      <c r="T982" s="2704"/>
      <c r="U982" s="2704"/>
      <c r="V982" s="2704"/>
      <c r="W982" s="2704"/>
      <c r="X982" s="2704"/>
      <c r="Y982" s="2704"/>
      <c r="Z982" s="2704"/>
      <c r="AA982" s="2704"/>
      <c r="AB982" s="2704"/>
    </row>
    <row r="983" spans="1:28" s="597" customFormat="1" ht="18" customHeight="1" x14ac:dyDescent="0.2">
      <c r="A983" s="2686" t="s">
        <v>2</v>
      </c>
      <c r="B983" s="360"/>
      <c r="C983" s="2686" t="s">
        <v>3</v>
      </c>
      <c r="D983" s="360"/>
      <c r="E983" s="360"/>
      <c r="F983" s="2693" t="s">
        <v>4</v>
      </c>
      <c r="G983" s="2693"/>
      <c r="H983" s="2693"/>
      <c r="I983" s="2694"/>
      <c r="J983" s="2694"/>
      <c r="K983" s="2695"/>
      <c r="L983" s="361"/>
      <c r="M983" s="2679" t="s">
        <v>5</v>
      </c>
      <c r="N983" s="2679"/>
      <c r="O983" s="2679"/>
      <c r="P983" s="2679"/>
      <c r="Q983" s="2696"/>
      <c r="R983" s="2696"/>
      <c r="S983" s="2696"/>
      <c r="T983" s="2696"/>
      <c r="U983" s="2696"/>
      <c r="V983" s="2697"/>
      <c r="W983" s="362" t="s">
        <v>6</v>
      </c>
      <c r="X983" s="363" t="s">
        <v>7</v>
      </c>
      <c r="Y983" s="364"/>
      <c r="Z983" s="364"/>
      <c r="AA983" s="363"/>
      <c r="AB983" s="365"/>
    </row>
    <row r="984" spans="1:28" s="597" customFormat="1" ht="18" customHeight="1" x14ac:dyDescent="0.2">
      <c r="A984" s="2687"/>
      <c r="B984" s="367"/>
      <c r="C984" s="2687"/>
      <c r="D984" s="366" t="s">
        <v>9</v>
      </c>
      <c r="E984" s="368" t="s">
        <v>10</v>
      </c>
      <c r="F984" s="2698" t="s">
        <v>11</v>
      </c>
      <c r="G984" s="2694"/>
      <c r="H984" s="2695"/>
      <c r="I984" s="360"/>
      <c r="J984" s="369" t="s">
        <v>12</v>
      </c>
      <c r="K984" s="360"/>
      <c r="L984" s="2679" t="s">
        <v>2</v>
      </c>
      <c r="M984" s="370"/>
      <c r="N984" s="370"/>
      <c r="O984" s="370"/>
      <c r="P984" s="371"/>
      <c r="Q984" s="372" t="s">
        <v>13</v>
      </c>
      <c r="R984" s="373" t="s">
        <v>12</v>
      </c>
      <c r="S984" s="370" t="s">
        <v>6</v>
      </c>
      <c r="T984" s="2682" t="s">
        <v>14</v>
      </c>
      <c r="U984" s="2683"/>
      <c r="V984" s="375" t="s">
        <v>7</v>
      </c>
      <c r="W984" s="376" t="s">
        <v>15</v>
      </c>
      <c r="X984" s="377" t="s">
        <v>16</v>
      </c>
      <c r="Y984" s="377" t="s">
        <v>17</v>
      </c>
      <c r="Z984" s="377" t="s">
        <v>18</v>
      </c>
      <c r="AA984" s="377"/>
      <c r="AB984" s="378" t="s">
        <v>19</v>
      </c>
    </row>
    <row r="985" spans="1:28" s="597" customFormat="1" ht="18" customHeight="1" x14ac:dyDescent="0.2">
      <c r="A985" s="2687"/>
      <c r="B985" s="366" t="s">
        <v>23</v>
      </c>
      <c r="C985" s="2687"/>
      <c r="D985" s="366" t="s">
        <v>24</v>
      </c>
      <c r="E985" s="368" t="s">
        <v>25</v>
      </c>
      <c r="F985" s="2699"/>
      <c r="G985" s="2700"/>
      <c r="H985" s="2701"/>
      <c r="I985" s="366" t="s">
        <v>26</v>
      </c>
      <c r="J985" s="379" t="s">
        <v>15</v>
      </c>
      <c r="K985" s="380" t="s">
        <v>6</v>
      </c>
      <c r="L985" s="2680"/>
      <c r="M985" s="381" t="s">
        <v>27</v>
      </c>
      <c r="N985" s="381" t="s">
        <v>10</v>
      </c>
      <c r="O985" s="382" t="s">
        <v>10</v>
      </c>
      <c r="P985" s="383" t="s">
        <v>28</v>
      </c>
      <c r="Q985" s="384" t="s">
        <v>29</v>
      </c>
      <c r="R985" s="383" t="s">
        <v>15</v>
      </c>
      <c r="S985" s="385" t="s">
        <v>15</v>
      </c>
      <c r="T985" s="2684"/>
      <c r="U985" s="2685"/>
      <c r="V985" s="375" t="s">
        <v>30</v>
      </c>
      <c r="W985" s="376" t="s">
        <v>31</v>
      </c>
      <c r="X985" s="377" t="s">
        <v>30</v>
      </c>
      <c r="Y985" s="377" t="s">
        <v>32</v>
      </c>
      <c r="Z985" s="377" t="s">
        <v>7</v>
      </c>
      <c r="AA985" s="377" t="s">
        <v>33</v>
      </c>
      <c r="AB985" s="378" t="s">
        <v>34</v>
      </c>
    </row>
    <row r="986" spans="1:28" s="597" customFormat="1" ht="18" customHeight="1" x14ac:dyDescent="0.2">
      <c r="A986" s="2687"/>
      <c r="B986" s="366" t="s">
        <v>39</v>
      </c>
      <c r="C986" s="2687"/>
      <c r="D986" s="366" t="s">
        <v>40</v>
      </c>
      <c r="E986" s="368" t="s">
        <v>41</v>
      </c>
      <c r="F986" s="2686" t="s">
        <v>42</v>
      </c>
      <c r="G986" s="2686" t="s">
        <v>43</v>
      </c>
      <c r="H986" s="2688" t="s">
        <v>44</v>
      </c>
      <c r="I986" s="366" t="s">
        <v>45</v>
      </c>
      <c r="J986" s="379" t="s">
        <v>46</v>
      </c>
      <c r="K986" s="380" t="s">
        <v>47</v>
      </c>
      <c r="L986" s="2680"/>
      <c r="M986" s="381" t="s">
        <v>30</v>
      </c>
      <c r="N986" s="381" t="s">
        <v>30</v>
      </c>
      <c r="O986" s="382" t="s">
        <v>25</v>
      </c>
      <c r="P986" s="383" t="s">
        <v>30</v>
      </c>
      <c r="Q986" s="384" t="s">
        <v>48</v>
      </c>
      <c r="R986" s="383" t="s">
        <v>49</v>
      </c>
      <c r="S986" s="385" t="s">
        <v>30</v>
      </c>
      <c r="T986" s="386" t="s">
        <v>50</v>
      </c>
      <c r="U986" s="374" t="s">
        <v>13</v>
      </c>
      <c r="V986" s="375" t="s">
        <v>51</v>
      </c>
      <c r="W986" s="376" t="s">
        <v>52</v>
      </c>
      <c r="X986" s="377" t="s">
        <v>53</v>
      </c>
      <c r="Y986" s="377" t="s">
        <v>54</v>
      </c>
      <c r="Z986" s="377" t="s">
        <v>55</v>
      </c>
      <c r="AA986" s="377" t="s">
        <v>56</v>
      </c>
      <c r="AB986" s="378" t="s">
        <v>57</v>
      </c>
    </row>
    <row r="987" spans="1:28" s="597" customFormat="1" ht="18" customHeight="1" x14ac:dyDescent="0.2">
      <c r="A987" s="2687"/>
      <c r="B987" s="366" t="s">
        <v>61</v>
      </c>
      <c r="C987" s="2687"/>
      <c r="D987" s="366" t="s">
        <v>62</v>
      </c>
      <c r="E987" s="368" t="s">
        <v>63</v>
      </c>
      <c r="F987" s="2687"/>
      <c r="G987" s="2687"/>
      <c r="H987" s="2689"/>
      <c r="I987" s="366" t="s">
        <v>64</v>
      </c>
      <c r="J987" s="379" t="s">
        <v>59</v>
      </c>
      <c r="K987" s="380" t="s">
        <v>59</v>
      </c>
      <c r="L987" s="2680"/>
      <c r="M987" s="381"/>
      <c r="N987" s="381"/>
      <c r="O987" s="382" t="s">
        <v>41</v>
      </c>
      <c r="P987" s="383" t="s">
        <v>65</v>
      </c>
      <c r="Q987" s="384" t="s">
        <v>66</v>
      </c>
      <c r="R987" s="383" t="s">
        <v>67</v>
      </c>
      <c r="S987" s="385" t="s">
        <v>59</v>
      </c>
      <c r="T987" s="387" t="s">
        <v>68</v>
      </c>
      <c r="U987" s="375" t="s">
        <v>14</v>
      </c>
      <c r="V987" s="375" t="s">
        <v>14</v>
      </c>
      <c r="W987" s="376" t="s">
        <v>30</v>
      </c>
      <c r="X987" s="388" t="s">
        <v>69</v>
      </c>
      <c r="Y987" s="388" t="s">
        <v>70</v>
      </c>
      <c r="Z987" s="377" t="s">
        <v>71</v>
      </c>
      <c r="AA987" s="377" t="s">
        <v>72</v>
      </c>
      <c r="AB987" s="378" t="s">
        <v>59</v>
      </c>
    </row>
    <row r="988" spans="1:28" s="597" customFormat="1" ht="18" customHeight="1" x14ac:dyDescent="0.2">
      <c r="A988" s="2692"/>
      <c r="B988" s="390"/>
      <c r="C988" s="2692"/>
      <c r="D988" s="390"/>
      <c r="E988" s="389"/>
      <c r="F988" s="390"/>
      <c r="G988" s="390"/>
      <c r="H988" s="391"/>
      <c r="I988" s="389"/>
      <c r="J988" s="392"/>
      <c r="K988" s="393"/>
      <c r="L988" s="2681"/>
      <c r="M988" s="394"/>
      <c r="N988" s="394"/>
      <c r="O988" s="394" t="s">
        <v>63</v>
      </c>
      <c r="P988" s="395"/>
      <c r="Q988" s="396" t="s">
        <v>72</v>
      </c>
      <c r="R988" s="397" t="s">
        <v>59</v>
      </c>
      <c r="S988" s="398"/>
      <c r="T988" s="397" t="s">
        <v>73</v>
      </c>
      <c r="U988" s="398" t="s">
        <v>59</v>
      </c>
      <c r="V988" s="399" t="s">
        <v>59</v>
      </c>
      <c r="W988" s="400" t="s">
        <v>59</v>
      </c>
      <c r="X988" s="401" t="s">
        <v>59</v>
      </c>
      <c r="Y988" s="401" t="s">
        <v>59</v>
      </c>
      <c r="Z988" s="401" t="s">
        <v>59</v>
      </c>
      <c r="AA988" s="402"/>
      <c r="AB988" s="403"/>
    </row>
    <row r="989" spans="1:28" s="597" customFormat="1" ht="18" customHeight="1" x14ac:dyDescent="0.2">
      <c r="A989" s="53">
        <v>1</v>
      </c>
      <c r="B989" s="95">
        <v>28650</v>
      </c>
      <c r="C989" s="769">
        <v>80</v>
      </c>
      <c r="D989" s="82" t="s">
        <v>95</v>
      </c>
      <c r="E989" s="82">
        <v>4</v>
      </c>
      <c r="F989" s="82">
        <v>0</v>
      </c>
      <c r="G989" s="82">
        <v>1</v>
      </c>
      <c r="H989" s="463">
        <v>26</v>
      </c>
      <c r="I989" s="70">
        <f>F989*400+G989*100+H989</f>
        <v>126</v>
      </c>
      <c r="J989" s="123">
        <v>280</v>
      </c>
      <c r="K989" s="124">
        <f>SUM(I989*J989)</f>
        <v>35280</v>
      </c>
      <c r="L989" s="53"/>
      <c r="M989" s="82"/>
      <c r="N989" s="82"/>
      <c r="O989" s="53"/>
      <c r="P989" s="358"/>
      <c r="Q989" s="197"/>
      <c r="R989" s="444"/>
      <c r="S989" s="70"/>
      <c r="T989" s="82"/>
      <c r="U989" s="70"/>
      <c r="V989" s="70"/>
      <c r="W989" s="70">
        <f>K989+V989</f>
        <v>35280</v>
      </c>
      <c r="X989" s="70">
        <f>W989</f>
        <v>35280</v>
      </c>
      <c r="Y989" s="123"/>
      <c r="Z989" s="70">
        <f>+X989</f>
        <v>35280</v>
      </c>
      <c r="AA989" s="464">
        <v>0.3</v>
      </c>
      <c r="AB989" s="465">
        <f>+Z989*AA989/100</f>
        <v>105.84</v>
      </c>
    </row>
    <row r="990" spans="1:28" s="665" customFormat="1" ht="18" customHeight="1" x14ac:dyDescent="0.2">
      <c r="A990" s="1087"/>
      <c r="B990" s="1088"/>
      <c r="C990" s="1088"/>
      <c r="D990" s="1088"/>
      <c r="E990" s="1088"/>
      <c r="F990" s="1088"/>
      <c r="G990" s="1087"/>
      <c r="H990" s="1089"/>
      <c r="I990" s="1090"/>
      <c r="J990" s="1091"/>
      <c r="K990" s="1092"/>
      <c r="L990" s="1088"/>
      <c r="M990" s="177"/>
      <c r="N990" s="1093"/>
      <c r="O990" s="1088"/>
      <c r="P990" s="1094"/>
      <c r="Q990" s="316"/>
      <c r="R990" s="694"/>
      <c r="S990" s="243"/>
      <c r="T990" s="862"/>
      <c r="U990" s="295"/>
      <c r="V990" s="295"/>
      <c r="W990" s="1095"/>
      <c r="X990" s="1095"/>
      <c r="Y990" s="1095"/>
      <c r="Z990" s="243"/>
      <c r="AA990" s="1096"/>
      <c r="AB990" s="688"/>
    </row>
    <row r="991" spans="1:28" s="597" customFormat="1" ht="18" customHeight="1" x14ac:dyDescent="0.2">
      <c r="A991" s="241"/>
      <c r="B991" s="85"/>
      <c r="C991" s="85"/>
      <c r="D991" s="85"/>
      <c r="E991" s="102"/>
      <c r="F991" s="85"/>
      <c r="G991" s="85"/>
      <c r="H991" s="1003"/>
      <c r="I991" s="103"/>
      <c r="J991" s="1004"/>
      <c r="K991" s="104"/>
      <c r="L991" s="102"/>
      <c r="M991" s="88"/>
      <c r="N991" s="643"/>
      <c r="O991" s="85"/>
      <c r="P991" s="411"/>
      <c r="Q991" s="129"/>
      <c r="R991" s="440"/>
      <c r="S991" s="77"/>
      <c r="T991" s="135"/>
      <c r="U991" s="74"/>
      <c r="V991" s="74"/>
      <c r="W991" s="83"/>
      <c r="X991" s="83"/>
      <c r="Y991" s="83"/>
      <c r="Z991" s="77"/>
      <c r="AA991" s="726"/>
      <c r="AB991" s="410"/>
    </row>
    <row r="992" spans="1:28" s="597" customFormat="1" ht="18" customHeight="1" x14ac:dyDescent="0.2">
      <c r="A992" s="145"/>
      <c r="B992" s="177"/>
      <c r="C992" s="177"/>
      <c r="D992" s="145"/>
      <c r="E992" s="145"/>
      <c r="F992" s="145"/>
      <c r="G992" s="145"/>
      <c r="H992" s="147"/>
      <c r="I992" s="107"/>
      <c r="J992" s="178"/>
      <c r="K992" s="107"/>
      <c r="L992" s="145"/>
      <c r="M992" s="145"/>
      <c r="N992" s="145"/>
      <c r="O992" s="145"/>
      <c r="P992" s="147"/>
      <c r="Q992" s="148"/>
      <c r="R992" s="437"/>
      <c r="S992" s="107"/>
      <c r="T992" s="179"/>
      <c r="U992" s="178"/>
      <c r="V992" s="107"/>
      <c r="W992" s="107"/>
      <c r="X992" s="470"/>
      <c r="Y992" s="470"/>
      <c r="Z992" s="471"/>
      <c r="AA992" s="471"/>
      <c r="AB992" s="466"/>
    </row>
    <row r="993" spans="1:28" s="597" customFormat="1" ht="18" customHeight="1" x14ac:dyDescent="0.2">
      <c r="A993" s="145"/>
      <c r="B993" s="177"/>
      <c r="C993" s="177"/>
      <c r="D993" s="145"/>
      <c r="E993" s="145"/>
      <c r="F993" s="145"/>
      <c r="G993" s="145"/>
      <c r="H993" s="147"/>
      <c r="I993" s="107"/>
      <c r="J993" s="178"/>
      <c r="K993" s="107"/>
      <c r="L993" s="145"/>
      <c r="M993" s="145"/>
      <c r="N993" s="145"/>
      <c r="O993" s="145"/>
      <c r="P993" s="147"/>
      <c r="Q993" s="148"/>
      <c r="R993" s="437"/>
      <c r="S993" s="107"/>
      <c r="T993" s="179"/>
      <c r="U993" s="178"/>
      <c r="V993" s="107"/>
      <c r="W993" s="107"/>
      <c r="X993" s="470"/>
      <c r="Y993" s="470"/>
      <c r="Z993" s="471"/>
      <c r="AA993" s="471"/>
      <c r="AB993" s="466"/>
    </row>
    <row r="994" spans="1:28" s="597" customFormat="1" ht="18" customHeight="1" x14ac:dyDescent="0.2">
      <c r="A994" s="145"/>
      <c r="B994" s="177"/>
      <c r="C994" s="177"/>
      <c r="D994" s="145"/>
      <c r="E994" s="145"/>
      <c r="F994" s="145"/>
      <c r="G994" s="145"/>
      <c r="H994" s="147"/>
      <c r="I994" s="107"/>
      <c r="J994" s="178"/>
      <c r="K994" s="107"/>
      <c r="L994" s="145"/>
      <c r="M994" s="145"/>
      <c r="N994" s="145"/>
      <c r="O994" s="145"/>
      <c r="P994" s="147"/>
      <c r="Q994" s="148"/>
      <c r="R994" s="437"/>
      <c r="S994" s="107"/>
      <c r="T994" s="179"/>
      <c r="U994" s="178"/>
      <c r="V994" s="107"/>
      <c r="W994" s="107"/>
      <c r="X994" s="470"/>
      <c r="Y994" s="470"/>
      <c r="Z994" s="471"/>
      <c r="AA994" s="471"/>
      <c r="AB994" s="466"/>
    </row>
    <row r="995" spans="1:28" s="597" customFormat="1" ht="18" customHeight="1" x14ac:dyDescent="0.2">
      <c r="A995" s="145"/>
      <c r="B995" s="177"/>
      <c r="C995" s="177"/>
      <c r="D995" s="145"/>
      <c r="E995" s="145"/>
      <c r="F995" s="145"/>
      <c r="G995" s="145"/>
      <c r="H995" s="147"/>
      <c r="I995" s="107"/>
      <c r="J995" s="178"/>
      <c r="K995" s="107"/>
      <c r="L995" s="145"/>
      <c r="M995" s="145"/>
      <c r="N995" s="145"/>
      <c r="O995" s="145"/>
      <c r="P995" s="147"/>
      <c r="Q995" s="148"/>
      <c r="R995" s="437"/>
      <c r="S995" s="107"/>
      <c r="T995" s="179"/>
      <c r="U995" s="178"/>
      <c r="V995" s="107"/>
      <c r="W995" s="107"/>
      <c r="X995" s="470"/>
      <c r="Y995" s="470"/>
      <c r="Z995" s="471"/>
      <c r="AA995" s="471"/>
      <c r="AB995" s="466"/>
    </row>
    <row r="996" spans="1:28" s="597" customFormat="1" ht="18" customHeight="1" x14ac:dyDescent="0.2">
      <c r="A996" s="145"/>
      <c r="B996" s="177"/>
      <c r="C996" s="177"/>
      <c r="D996" s="145"/>
      <c r="E996" s="145"/>
      <c r="F996" s="145"/>
      <c r="G996" s="145"/>
      <c r="H996" s="147"/>
      <c r="I996" s="107"/>
      <c r="J996" s="178"/>
      <c r="K996" s="107"/>
      <c r="L996" s="145"/>
      <c r="M996" s="145"/>
      <c r="N996" s="145"/>
      <c r="O996" s="145"/>
      <c r="P996" s="147"/>
      <c r="Q996" s="148"/>
      <c r="R996" s="437"/>
      <c r="S996" s="107"/>
      <c r="T996" s="179"/>
      <c r="U996" s="178"/>
      <c r="V996" s="107"/>
      <c r="W996" s="107"/>
      <c r="X996" s="470"/>
      <c r="Y996" s="470"/>
      <c r="Z996" s="471"/>
      <c r="AA996" s="471"/>
      <c r="AB996" s="466"/>
    </row>
    <row r="997" spans="1:28" s="597" customFormat="1" ht="18" customHeight="1" x14ac:dyDescent="0.2">
      <c r="A997" s="145"/>
      <c r="B997" s="177"/>
      <c r="C997" s="177"/>
      <c r="D997" s="145"/>
      <c r="E997" s="145"/>
      <c r="F997" s="145"/>
      <c r="G997" s="145"/>
      <c r="H997" s="147"/>
      <c r="I997" s="107"/>
      <c r="J997" s="178"/>
      <c r="K997" s="107"/>
      <c r="L997" s="145"/>
      <c r="M997" s="145"/>
      <c r="N997" s="145"/>
      <c r="O997" s="145"/>
      <c r="P997" s="147"/>
      <c r="Q997" s="148"/>
      <c r="R997" s="437"/>
      <c r="S997" s="107"/>
      <c r="T997" s="179"/>
      <c r="U997" s="178"/>
      <c r="V997" s="107"/>
      <c r="W997" s="107"/>
      <c r="X997" s="470"/>
      <c r="Y997" s="470"/>
      <c r="Z997" s="471"/>
      <c r="AA997" s="471"/>
      <c r="AB997" s="466"/>
    </row>
    <row r="998" spans="1:28" s="597" customFormat="1" ht="18" customHeight="1" x14ac:dyDescent="0.2">
      <c r="A998" s="145"/>
      <c r="B998" s="177"/>
      <c r="C998" s="177"/>
      <c r="D998" s="145"/>
      <c r="E998" s="145"/>
      <c r="F998" s="145"/>
      <c r="G998" s="145"/>
      <c r="H998" s="147"/>
      <c r="I998" s="107"/>
      <c r="J998" s="178"/>
      <c r="K998" s="107"/>
      <c r="L998" s="145"/>
      <c r="M998" s="145"/>
      <c r="N998" s="145"/>
      <c r="O998" s="145"/>
      <c r="P998" s="147"/>
      <c r="Q998" s="148"/>
      <c r="R998" s="437"/>
      <c r="S998" s="107"/>
      <c r="T998" s="179"/>
      <c r="U998" s="178"/>
      <c r="V998" s="107"/>
      <c r="W998" s="107"/>
      <c r="X998" s="470"/>
      <c r="Y998" s="470"/>
      <c r="Z998" s="471"/>
      <c r="AA998" s="471"/>
      <c r="AB998" s="466"/>
    </row>
    <row r="999" spans="1:28" s="597" customFormat="1" ht="18" customHeight="1" x14ac:dyDescent="0.2">
      <c r="A999" s="145"/>
      <c r="B999" s="177"/>
      <c r="C999" s="177"/>
      <c r="D999" s="145"/>
      <c r="E999" s="145"/>
      <c r="F999" s="145"/>
      <c r="G999" s="145"/>
      <c r="H999" s="147"/>
      <c r="I999" s="107"/>
      <c r="J999" s="178"/>
      <c r="K999" s="107"/>
      <c r="L999" s="145"/>
      <c r="M999" s="145"/>
      <c r="N999" s="145"/>
      <c r="O999" s="145"/>
      <c r="P999" s="147"/>
      <c r="Q999" s="148"/>
      <c r="R999" s="437"/>
      <c r="S999" s="107"/>
      <c r="T999" s="179"/>
      <c r="U999" s="178"/>
      <c r="V999" s="107"/>
      <c r="W999" s="107"/>
      <c r="X999" s="470"/>
      <c r="Y999" s="470"/>
      <c r="Z999" s="471"/>
      <c r="AA999" s="471"/>
      <c r="AB999" s="466"/>
    </row>
    <row r="1000" spans="1:28" s="597" customFormat="1" ht="18" customHeight="1" x14ac:dyDescent="0.2">
      <c r="A1000" s="145"/>
      <c r="B1000" s="177"/>
      <c r="C1000" s="177"/>
      <c r="D1000" s="145"/>
      <c r="E1000" s="145"/>
      <c r="F1000" s="145"/>
      <c r="G1000" s="145"/>
      <c r="H1000" s="147"/>
      <c r="I1000" s="107"/>
      <c r="J1000" s="178"/>
      <c r="K1000" s="107"/>
      <c r="L1000" s="145"/>
      <c r="M1000" s="145"/>
      <c r="N1000" s="145"/>
      <c r="O1000" s="145"/>
      <c r="P1000" s="147"/>
      <c r="Q1000" s="148"/>
      <c r="R1000" s="437"/>
      <c r="S1000" s="107"/>
      <c r="T1000" s="179"/>
      <c r="U1000" s="178"/>
      <c r="V1000" s="107"/>
      <c r="W1000" s="107"/>
      <c r="X1000" s="470"/>
      <c r="Y1000" s="470"/>
      <c r="Z1000" s="471"/>
      <c r="AA1000" s="471"/>
      <c r="AB1000" s="466"/>
    </row>
    <row r="1001" spans="1:28" s="597" customFormat="1" ht="18" customHeight="1" x14ac:dyDescent="0.2">
      <c r="A1001" s="145"/>
      <c r="B1001" s="177"/>
      <c r="C1001" s="177"/>
      <c r="D1001" s="145"/>
      <c r="E1001" s="145"/>
      <c r="F1001" s="145"/>
      <c r="G1001" s="145"/>
      <c r="H1001" s="147"/>
      <c r="I1001" s="107"/>
      <c r="J1001" s="178"/>
      <c r="K1001" s="107"/>
      <c r="L1001" s="145"/>
      <c r="M1001" s="145"/>
      <c r="N1001" s="145"/>
      <c r="O1001" s="145"/>
      <c r="P1001" s="147"/>
      <c r="Q1001" s="148"/>
      <c r="R1001" s="437"/>
      <c r="S1001" s="107"/>
      <c r="T1001" s="179"/>
      <c r="U1001" s="178"/>
      <c r="V1001" s="107"/>
      <c r="W1001" s="107"/>
      <c r="X1001" s="470"/>
      <c r="Y1001" s="470"/>
      <c r="Z1001" s="471"/>
      <c r="AA1001" s="471"/>
      <c r="AB1001" s="466"/>
    </row>
    <row r="1002" spans="1:28" s="597" customFormat="1" ht="18" customHeight="1" x14ac:dyDescent="0.2">
      <c r="A1002" s="145"/>
      <c r="B1002" s="177"/>
      <c r="C1002" s="177"/>
      <c r="D1002" s="145"/>
      <c r="E1002" s="145"/>
      <c r="F1002" s="145"/>
      <c r="G1002" s="145"/>
      <c r="H1002" s="147"/>
      <c r="I1002" s="107"/>
      <c r="J1002" s="178"/>
      <c r="K1002" s="107"/>
      <c r="L1002" s="145"/>
      <c r="M1002" s="145"/>
      <c r="N1002" s="145"/>
      <c r="O1002" s="145"/>
      <c r="P1002" s="147"/>
      <c r="Q1002" s="148"/>
      <c r="R1002" s="437"/>
      <c r="S1002" s="107"/>
      <c r="T1002" s="179"/>
      <c r="U1002" s="178"/>
      <c r="V1002" s="107"/>
      <c r="W1002" s="107"/>
      <c r="X1002" s="470"/>
      <c r="Y1002" s="470"/>
      <c r="Z1002" s="471"/>
      <c r="AA1002" s="471"/>
      <c r="AB1002" s="466"/>
    </row>
    <row r="1003" spans="1:28" s="597" customFormat="1" ht="18" customHeight="1" x14ac:dyDescent="0.2">
      <c r="A1003" s="88"/>
      <c r="B1003" s="180"/>
      <c r="C1003" s="180"/>
      <c r="D1003" s="88"/>
      <c r="E1003" s="88"/>
      <c r="F1003" s="88"/>
      <c r="G1003" s="88"/>
      <c r="H1003" s="120"/>
      <c r="I1003" s="121"/>
      <c r="J1003" s="181"/>
      <c r="K1003" s="121"/>
      <c r="L1003" s="88"/>
      <c r="M1003" s="88"/>
      <c r="N1003" s="88"/>
      <c r="O1003" s="88"/>
      <c r="P1003" s="88"/>
      <c r="Q1003" s="129"/>
      <c r="R1003" s="445"/>
      <c r="S1003" s="121"/>
      <c r="T1003" s="182"/>
      <c r="U1003" s="181"/>
      <c r="V1003" s="121"/>
      <c r="W1003" s="121"/>
      <c r="X1003" s="472"/>
      <c r="Y1003" s="472"/>
      <c r="Z1003" s="473"/>
      <c r="AA1003" s="473"/>
      <c r="AB1003" s="410"/>
    </row>
    <row r="1004" spans="1:28" s="597" customFormat="1" ht="18" customHeight="1" x14ac:dyDescent="0.2">
      <c r="A1004" s="1850"/>
      <c r="B1004" s="1850"/>
      <c r="C1004" s="1850"/>
      <c r="D1004" s="1850"/>
      <c r="E1004" s="1850"/>
      <c r="F1004" s="1850"/>
      <c r="G1004" s="1850"/>
      <c r="H1004" s="1851"/>
      <c r="I1004" s="1852"/>
      <c r="J1004" s="1853"/>
      <c r="K1004" s="1852"/>
      <c r="L1004" s="1852"/>
      <c r="M1004" s="1852"/>
      <c r="N1004" s="1852"/>
      <c r="O1004" s="1852"/>
      <c r="P1004" s="1852"/>
      <c r="Q1004" s="1852"/>
      <c r="R1004" s="1854"/>
      <c r="S1004" s="1852"/>
      <c r="T1004" s="1855"/>
      <c r="U1004" s="1853"/>
      <c r="V1004" s="1852"/>
      <c r="W1004" s="1852"/>
      <c r="X1004" s="1856"/>
      <c r="Y1004" s="1856"/>
      <c r="Z1004" s="1857"/>
      <c r="AA1004" s="1857"/>
      <c r="AB1004" s="1847">
        <f>SUM(AB989:AB1003)</f>
        <v>105.84</v>
      </c>
    </row>
    <row r="1005" spans="1:28" s="597" customFormat="1" ht="18" customHeight="1" x14ac:dyDescent="0.2">
      <c r="A1005" s="2690" t="s">
        <v>76</v>
      </c>
      <c r="B1005" s="2690"/>
      <c r="C1005" s="2691" t="s">
        <v>77</v>
      </c>
      <c r="D1005" s="2691"/>
      <c r="E1005" s="2691"/>
      <c r="F1005" s="2691"/>
      <c r="G1005" s="2691"/>
      <c r="H1005" s="2691"/>
      <c r="I1005" s="604" t="s">
        <v>78</v>
      </c>
      <c r="J1005" s="604"/>
      <c r="K1005" s="604"/>
      <c r="L1005" s="604"/>
      <c r="M1005" s="604"/>
      <c r="N1005" s="604"/>
      <c r="AB1005" s="598"/>
    </row>
    <row r="1006" spans="1:28" s="597" customFormat="1" ht="18" customHeight="1" x14ac:dyDescent="0.2">
      <c r="A1006" s="604"/>
      <c r="B1006" s="605"/>
      <c r="C1006" s="604"/>
      <c r="D1006" s="604"/>
      <c r="E1006" s="604"/>
      <c r="F1006" s="604"/>
      <c r="G1006" s="604"/>
      <c r="H1006" s="604"/>
      <c r="I1006" s="604" t="s">
        <v>79</v>
      </c>
      <c r="J1006" s="604"/>
      <c r="K1006" s="604"/>
      <c r="L1006" s="604"/>
      <c r="M1006" s="604"/>
      <c r="N1006" s="604"/>
      <c r="AB1006" s="598"/>
    </row>
    <row r="1007" spans="1:28" s="597" customFormat="1" ht="18" customHeight="1" x14ac:dyDescent="0.2">
      <c r="A1007" s="604"/>
      <c r="B1007" s="605"/>
      <c r="C1007" s="604"/>
      <c r="D1007" s="604"/>
      <c r="E1007" s="604"/>
      <c r="F1007" s="604"/>
      <c r="G1007" s="604"/>
      <c r="H1007" s="604"/>
      <c r="I1007" s="604" t="s">
        <v>80</v>
      </c>
      <c r="J1007" s="604"/>
      <c r="K1007" s="604"/>
      <c r="L1007" s="604"/>
      <c r="M1007" s="604"/>
      <c r="N1007" s="604"/>
      <c r="AB1007" s="598"/>
    </row>
    <row r="1008" spans="1:28" s="597" customFormat="1" ht="18" customHeight="1" x14ac:dyDescent="0.2">
      <c r="A1008" s="604"/>
      <c r="B1008" s="605"/>
      <c r="C1008" s="604"/>
      <c r="D1008" s="604"/>
      <c r="E1008" s="604"/>
      <c r="F1008" s="604"/>
      <c r="G1008" s="604"/>
      <c r="H1008" s="604"/>
      <c r="I1008" s="604" t="s">
        <v>81</v>
      </c>
      <c r="J1008" s="604"/>
      <c r="K1008" s="604"/>
      <c r="L1008" s="604"/>
      <c r="M1008" s="604"/>
      <c r="N1008" s="604"/>
      <c r="AB1008" s="598"/>
    </row>
    <row r="1009" spans="1:28" s="597" customFormat="1" ht="18" customHeight="1" x14ac:dyDescent="0.2">
      <c r="A1009" s="604"/>
      <c r="B1009" s="605"/>
      <c r="C1009" s="604"/>
      <c r="D1009" s="604"/>
      <c r="E1009" s="604"/>
      <c r="F1009" s="604"/>
      <c r="G1009" s="604"/>
      <c r="H1009" s="604"/>
      <c r="I1009" s="604" t="s">
        <v>88</v>
      </c>
      <c r="J1009" s="604"/>
      <c r="K1009" s="604"/>
      <c r="L1009" s="604"/>
      <c r="M1009" s="604"/>
      <c r="N1009" s="604"/>
      <c r="AB1009" s="598"/>
    </row>
    <row r="1010" spans="1:28" s="597" customFormat="1" ht="18" customHeight="1" x14ac:dyDescent="0.2">
      <c r="A1010" s="339"/>
      <c r="B1010" s="339"/>
      <c r="C1010" s="339"/>
      <c r="D1010" s="339"/>
      <c r="E1010" s="339"/>
      <c r="F1010" s="339"/>
      <c r="G1010" s="339"/>
      <c r="H1010" s="339"/>
      <c r="I1010" s="339"/>
      <c r="J1010" s="339"/>
      <c r="K1010" s="339"/>
      <c r="L1010" s="339"/>
      <c r="M1010" s="339"/>
      <c r="N1010" s="339"/>
      <c r="O1010" s="339"/>
      <c r="P1010" s="339"/>
      <c r="Q1010" s="339"/>
      <c r="R1010" s="339"/>
      <c r="S1010" s="339"/>
      <c r="T1010" s="339"/>
      <c r="U1010" s="339"/>
      <c r="V1010" s="339"/>
      <c r="W1010" s="339"/>
      <c r="X1010" s="339"/>
      <c r="Y1010" s="339"/>
      <c r="Z1010" s="339"/>
      <c r="AA1010" s="2702" t="s">
        <v>0</v>
      </c>
      <c r="AB1010" s="2702"/>
    </row>
    <row r="1011" spans="1:28" s="597" customFormat="1" ht="18" customHeight="1" x14ac:dyDescent="0.2">
      <c r="A1011" s="2703" t="s">
        <v>1</v>
      </c>
      <c r="B1011" s="2703"/>
      <c r="C1011" s="2703"/>
      <c r="D1011" s="2703"/>
      <c r="E1011" s="2703"/>
      <c r="F1011" s="2703"/>
      <c r="G1011" s="2703"/>
      <c r="H1011" s="2703"/>
      <c r="I1011" s="2703"/>
      <c r="J1011" s="2703"/>
      <c r="K1011" s="2703"/>
      <c r="L1011" s="2703"/>
      <c r="M1011" s="2703"/>
      <c r="N1011" s="2703"/>
      <c r="O1011" s="2703"/>
      <c r="P1011" s="2703"/>
      <c r="Q1011" s="2703"/>
      <c r="R1011" s="2703"/>
      <c r="S1011" s="2703"/>
      <c r="T1011" s="2703"/>
      <c r="U1011" s="2703"/>
      <c r="V1011" s="2703"/>
      <c r="W1011" s="2703"/>
      <c r="X1011" s="2703"/>
      <c r="Y1011" s="2703"/>
      <c r="Z1011" s="2703"/>
      <c r="AA1011" s="2703"/>
      <c r="AB1011" s="2703"/>
    </row>
    <row r="1012" spans="1:28" s="597" customFormat="1" ht="18" customHeight="1" x14ac:dyDescent="0.2">
      <c r="A1012" s="2743" t="s">
        <v>303</v>
      </c>
      <c r="B1012" s="2743"/>
      <c r="C1012" s="2743"/>
      <c r="D1012" s="2743"/>
      <c r="E1012" s="2743"/>
      <c r="F1012" s="2743"/>
      <c r="G1012" s="2743"/>
      <c r="H1012" s="2743"/>
      <c r="I1012" s="2743"/>
      <c r="J1012" s="2743"/>
      <c r="K1012" s="2743"/>
      <c r="L1012" s="2743"/>
      <c r="M1012" s="2743"/>
      <c r="N1012" s="2743"/>
      <c r="O1012" s="2743"/>
      <c r="P1012" s="2743"/>
      <c r="Q1012" s="2743"/>
      <c r="R1012" s="2743"/>
      <c r="S1012" s="2743"/>
      <c r="T1012" s="2743"/>
      <c r="U1012" s="2743"/>
      <c r="V1012" s="2743"/>
      <c r="W1012" s="2743"/>
      <c r="X1012" s="2743"/>
      <c r="Y1012" s="2743"/>
      <c r="Z1012" s="2743"/>
      <c r="AA1012" s="2743"/>
      <c r="AB1012" s="2743"/>
    </row>
    <row r="1013" spans="1:28" s="597" customFormat="1" ht="18" customHeight="1" x14ac:dyDescent="0.2">
      <c r="A1013" s="2686" t="s">
        <v>2</v>
      </c>
      <c r="B1013" s="360"/>
      <c r="C1013" s="2686" t="s">
        <v>3</v>
      </c>
      <c r="D1013" s="360"/>
      <c r="E1013" s="360"/>
      <c r="F1013" s="2693" t="s">
        <v>4</v>
      </c>
      <c r="G1013" s="2693"/>
      <c r="H1013" s="2693"/>
      <c r="I1013" s="2694"/>
      <c r="J1013" s="2694"/>
      <c r="K1013" s="2695"/>
      <c r="L1013" s="361"/>
      <c r="M1013" s="2679" t="s">
        <v>5</v>
      </c>
      <c r="N1013" s="2679"/>
      <c r="O1013" s="2679"/>
      <c r="P1013" s="2679"/>
      <c r="Q1013" s="2696"/>
      <c r="R1013" s="2696"/>
      <c r="S1013" s="2696"/>
      <c r="T1013" s="2696"/>
      <c r="U1013" s="2696"/>
      <c r="V1013" s="2697"/>
      <c r="W1013" s="362" t="s">
        <v>6</v>
      </c>
      <c r="X1013" s="363" t="s">
        <v>7</v>
      </c>
      <c r="Y1013" s="364"/>
      <c r="Z1013" s="364"/>
      <c r="AA1013" s="363"/>
      <c r="AB1013" s="365"/>
    </row>
    <row r="1014" spans="1:28" s="597" customFormat="1" ht="18" customHeight="1" x14ac:dyDescent="0.2">
      <c r="A1014" s="2687"/>
      <c r="B1014" s="367"/>
      <c r="C1014" s="2687"/>
      <c r="D1014" s="366" t="s">
        <v>9</v>
      </c>
      <c r="E1014" s="368" t="s">
        <v>10</v>
      </c>
      <c r="F1014" s="2698" t="s">
        <v>11</v>
      </c>
      <c r="G1014" s="2694"/>
      <c r="H1014" s="2695"/>
      <c r="I1014" s="360"/>
      <c r="J1014" s="369" t="s">
        <v>12</v>
      </c>
      <c r="K1014" s="360"/>
      <c r="L1014" s="2679" t="s">
        <v>2</v>
      </c>
      <c r="M1014" s="370"/>
      <c r="N1014" s="370"/>
      <c r="O1014" s="370"/>
      <c r="P1014" s="371"/>
      <c r="Q1014" s="372" t="s">
        <v>13</v>
      </c>
      <c r="R1014" s="373" t="s">
        <v>12</v>
      </c>
      <c r="S1014" s="370" t="s">
        <v>6</v>
      </c>
      <c r="T1014" s="2682" t="s">
        <v>14</v>
      </c>
      <c r="U1014" s="2683"/>
      <c r="V1014" s="375" t="s">
        <v>7</v>
      </c>
      <c r="W1014" s="376" t="s">
        <v>15</v>
      </c>
      <c r="X1014" s="377" t="s">
        <v>16</v>
      </c>
      <c r="Y1014" s="377" t="s">
        <v>17</v>
      </c>
      <c r="Z1014" s="377" t="s">
        <v>18</v>
      </c>
      <c r="AA1014" s="377"/>
      <c r="AB1014" s="378" t="s">
        <v>19</v>
      </c>
    </row>
    <row r="1015" spans="1:28" s="597" customFormat="1" ht="18" customHeight="1" x14ac:dyDescent="0.2">
      <c r="A1015" s="2687"/>
      <c r="B1015" s="366" t="s">
        <v>23</v>
      </c>
      <c r="C1015" s="2687"/>
      <c r="D1015" s="366" t="s">
        <v>24</v>
      </c>
      <c r="E1015" s="368" t="s">
        <v>25</v>
      </c>
      <c r="F1015" s="2699"/>
      <c r="G1015" s="2700"/>
      <c r="H1015" s="2701"/>
      <c r="I1015" s="366" t="s">
        <v>26</v>
      </c>
      <c r="J1015" s="379" t="s">
        <v>15</v>
      </c>
      <c r="K1015" s="380" t="s">
        <v>6</v>
      </c>
      <c r="L1015" s="2680"/>
      <c r="M1015" s="381" t="s">
        <v>27</v>
      </c>
      <c r="N1015" s="381" t="s">
        <v>10</v>
      </c>
      <c r="O1015" s="382" t="s">
        <v>10</v>
      </c>
      <c r="P1015" s="383" t="s">
        <v>28</v>
      </c>
      <c r="Q1015" s="384" t="s">
        <v>29</v>
      </c>
      <c r="R1015" s="383" t="s">
        <v>15</v>
      </c>
      <c r="S1015" s="385" t="s">
        <v>15</v>
      </c>
      <c r="T1015" s="2684"/>
      <c r="U1015" s="2685"/>
      <c r="V1015" s="375" t="s">
        <v>30</v>
      </c>
      <c r="W1015" s="376" t="s">
        <v>31</v>
      </c>
      <c r="X1015" s="377" t="s">
        <v>30</v>
      </c>
      <c r="Y1015" s="377" t="s">
        <v>32</v>
      </c>
      <c r="Z1015" s="377" t="s">
        <v>7</v>
      </c>
      <c r="AA1015" s="377" t="s">
        <v>33</v>
      </c>
      <c r="AB1015" s="378" t="s">
        <v>34</v>
      </c>
    </row>
    <row r="1016" spans="1:28" s="597" customFormat="1" ht="18" customHeight="1" x14ac:dyDescent="0.2">
      <c r="A1016" s="2687"/>
      <c r="B1016" s="366" t="s">
        <v>39</v>
      </c>
      <c r="C1016" s="2687"/>
      <c r="D1016" s="366" t="s">
        <v>40</v>
      </c>
      <c r="E1016" s="368" t="s">
        <v>41</v>
      </c>
      <c r="F1016" s="2686" t="s">
        <v>42</v>
      </c>
      <c r="G1016" s="2686" t="s">
        <v>43</v>
      </c>
      <c r="H1016" s="2688" t="s">
        <v>44</v>
      </c>
      <c r="I1016" s="366" t="s">
        <v>45</v>
      </c>
      <c r="J1016" s="379" t="s">
        <v>46</v>
      </c>
      <c r="K1016" s="380" t="s">
        <v>47</v>
      </c>
      <c r="L1016" s="2680"/>
      <c r="M1016" s="381" t="s">
        <v>30</v>
      </c>
      <c r="N1016" s="381" t="s">
        <v>30</v>
      </c>
      <c r="O1016" s="382" t="s">
        <v>25</v>
      </c>
      <c r="P1016" s="383" t="s">
        <v>30</v>
      </c>
      <c r="Q1016" s="384" t="s">
        <v>48</v>
      </c>
      <c r="R1016" s="383" t="s">
        <v>49</v>
      </c>
      <c r="S1016" s="385" t="s">
        <v>30</v>
      </c>
      <c r="T1016" s="386" t="s">
        <v>50</v>
      </c>
      <c r="U1016" s="374" t="s">
        <v>13</v>
      </c>
      <c r="V1016" s="375" t="s">
        <v>51</v>
      </c>
      <c r="W1016" s="376" t="s">
        <v>52</v>
      </c>
      <c r="X1016" s="377" t="s">
        <v>53</v>
      </c>
      <c r="Y1016" s="377" t="s">
        <v>54</v>
      </c>
      <c r="Z1016" s="377" t="s">
        <v>55</v>
      </c>
      <c r="AA1016" s="377" t="s">
        <v>56</v>
      </c>
      <c r="AB1016" s="378" t="s">
        <v>57</v>
      </c>
    </row>
    <row r="1017" spans="1:28" s="597" customFormat="1" ht="18" customHeight="1" x14ac:dyDescent="0.2">
      <c r="A1017" s="2687"/>
      <c r="B1017" s="366" t="s">
        <v>61</v>
      </c>
      <c r="C1017" s="2687"/>
      <c r="D1017" s="366" t="s">
        <v>62</v>
      </c>
      <c r="E1017" s="368" t="s">
        <v>63</v>
      </c>
      <c r="F1017" s="2687"/>
      <c r="G1017" s="2687"/>
      <c r="H1017" s="2689"/>
      <c r="I1017" s="366" t="s">
        <v>64</v>
      </c>
      <c r="J1017" s="379" t="s">
        <v>59</v>
      </c>
      <c r="K1017" s="380" t="s">
        <v>59</v>
      </c>
      <c r="L1017" s="2680"/>
      <c r="M1017" s="381"/>
      <c r="N1017" s="381"/>
      <c r="O1017" s="382" t="s">
        <v>41</v>
      </c>
      <c r="P1017" s="383" t="s">
        <v>65</v>
      </c>
      <c r="Q1017" s="384" t="s">
        <v>66</v>
      </c>
      <c r="R1017" s="383" t="s">
        <v>67</v>
      </c>
      <c r="S1017" s="385" t="s">
        <v>59</v>
      </c>
      <c r="T1017" s="387" t="s">
        <v>68</v>
      </c>
      <c r="U1017" s="375" t="s">
        <v>14</v>
      </c>
      <c r="V1017" s="375" t="s">
        <v>14</v>
      </c>
      <c r="W1017" s="376" t="s">
        <v>30</v>
      </c>
      <c r="X1017" s="388" t="s">
        <v>69</v>
      </c>
      <c r="Y1017" s="388" t="s">
        <v>70</v>
      </c>
      <c r="Z1017" s="377" t="s">
        <v>71</v>
      </c>
      <c r="AA1017" s="377" t="s">
        <v>72</v>
      </c>
      <c r="AB1017" s="378" t="s">
        <v>59</v>
      </c>
    </row>
    <row r="1018" spans="1:28" s="597" customFormat="1" ht="18" customHeight="1" x14ac:dyDescent="0.2">
      <c r="A1018" s="2692"/>
      <c r="B1018" s="390"/>
      <c r="C1018" s="2692"/>
      <c r="D1018" s="390"/>
      <c r="E1018" s="389"/>
      <c r="F1018" s="390"/>
      <c r="G1018" s="390"/>
      <c r="H1018" s="391"/>
      <c r="I1018" s="389"/>
      <c r="J1018" s="392"/>
      <c r="K1018" s="393"/>
      <c r="L1018" s="2681"/>
      <c r="M1018" s="394"/>
      <c r="N1018" s="394"/>
      <c r="O1018" s="394" t="s">
        <v>63</v>
      </c>
      <c r="P1018" s="395"/>
      <c r="Q1018" s="396" t="s">
        <v>72</v>
      </c>
      <c r="R1018" s="397" t="s">
        <v>59</v>
      </c>
      <c r="S1018" s="398"/>
      <c r="T1018" s="397" t="s">
        <v>73</v>
      </c>
      <c r="U1018" s="398" t="s">
        <v>59</v>
      </c>
      <c r="V1018" s="399" t="s">
        <v>59</v>
      </c>
      <c r="W1018" s="400" t="s">
        <v>59</v>
      </c>
      <c r="X1018" s="401" t="s">
        <v>59</v>
      </c>
      <c r="Y1018" s="401" t="s">
        <v>59</v>
      </c>
      <c r="Z1018" s="401" t="s">
        <v>59</v>
      </c>
      <c r="AA1018" s="402"/>
      <c r="AB1018" s="403"/>
    </row>
    <row r="1019" spans="1:28" s="597" customFormat="1" ht="18" customHeight="1" x14ac:dyDescent="0.2">
      <c r="A1019" s="145">
        <v>1</v>
      </c>
      <c r="B1019" s="88">
        <v>66791</v>
      </c>
      <c r="C1019" s="88">
        <v>1981</v>
      </c>
      <c r="D1019" s="88" t="s">
        <v>91</v>
      </c>
      <c r="E1019" s="88">
        <v>4</v>
      </c>
      <c r="F1019" s="88">
        <v>0</v>
      </c>
      <c r="G1019" s="88">
        <v>0</v>
      </c>
      <c r="H1019" s="495">
        <v>96.5</v>
      </c>
      <c r="I1019" s="74">
        <f t="shared" ref="I1019:I1025" si="29">F1019*400+G1019*100+H1019</f>
        <v>96.5</v>
      </c>
      <c r="J1019" s="121">
        <v>880</v>
      </c>
      <c r="K1019" s="159">
        <f t="shared" ref="K1019:K1024" si="30">SUM(I1019*J1019)</f>
        <v>84920</v>
      </c>
      <c r="L1019" s="75"/>
      <c r="M1019" s="75"/>
      <c r="N1019" s="75"/>
      <c r="O1019" s="75"/>
      <c r="P1019" s="188"/>
      <c r="Q1019" s="174"/>
      <c r="R1019" s="413"/>
      <c r="S1019" s="74"/>
      <c r="T1019" s="135"/>
      <c r="U1019" s="74">
        <f t="shared" ref="U1019:U1025" si="31">S1019*T1019/100</f>
        <v>0</v>
      </c>
      <c r="V1019" s="74">
        <f t="shared" ref="V1019:V1025" si="32">SUM(S1019-U1019)</f>
        <v>0</v>
      </c>
      <c r="W1019" s="74">
        <f t="shared" ref="W1019:W1025" si="33">K1019+V1019</f>
        <v>84920</v>
      </c>
      <c r="X1019" s="74">
        <f t="shared" ref="X1019:X1025" si="34">W1019</f>
        <v>84920</v>
      </c>
      <c r="Y1019" s="606">
        <v>0</v>
      </c>
      <c r="Z1019" s="74">
        <f t="shared" ref="Z1019:Z1023" si="35">X1019-Y1019</f>
        <v>84920</v>
      </c>
      <c r="AA1019" s="414">
        <v>0.6</v>
      </c>
      <c r="AB1019" s="465">
        <f>+Z1019*AA1019/100</f>
        <v>509.52</v>
      </c>
    </row>
    <row r="1020" spans="1:28" s="665" customFormat="1" ht="18" customHeight="1" x14ac:dyDescent="0.2">
      <c r="A1020" s="88">
        <v>2</v>
      </c>
      <c r="B1020" s="88">
        <v>66792</v>
      </c>
      <c r="C1020" s="88">
        <v>1982</v>
      </c>
      <c r="D1020" s="88" t="s">
        <v>91</v>
      </c>
      <c r="E1020" s="88">
        <v>4</v>
      </c>
      <c r="F1020" s="88">
        <v>0</v>
      </c>
      <c r="G1020" s="88">
        <v>0</v>
      </c>
      <c r="H1020" s="495">
        <v>97.5</v>
      </c>
      <c r="I1020" s="74">
        <f t="shared" si="29"/>
        <v>97.5</v>
      </c>
      <c r="J1020" s="121">
        <v>880</v>
      </c>
      <c r="K1020" s="159">
        <f t="shared" si="30"/>
        <v>85800</v>
      </c>
      <c r="L1020" s="75"/>
      <c r="M1020" s="75"/>
      <c r="N1020" s="75"/>
      <c r="O1020" s="75"/>
      <c r="P1020" s="188"/>
      <c r="Q1020" s="174"/>
      <c r="R1020" s="413"/>
      <c r="S1020" s="74"/>
      <c r="T1020" s="135"/>
      <c r="U1020" s="74">
        <f t="shared" si="31"/>
        <v>0</v>
      </c>
      <c r="V1020" s="74">
        <f t="shared" si="32"/>
        <v>0</v>
      </c>
      <c r="W1020" s="74">
        <f t="shared" si="33"/>
        <v>85800</v>
      </c>
      <c r="X1020" s="121">
        <f t="shared" si="34"/>
        <v>85800</v>
      </c>
      <c r="Y1020" s="676">
        <v>0</v>
      </c>
      <c r="Z1020" s="77">
        <f t="shared" si="35"/>
        <v>85800</v>
      </c>
      <c r="AA1020" s="409">
        <v>0.6</v>
      </c>
      <c r="AB1020" s="410">
        <f t="shared" ref="AB1020:AB1025" si="36">+Z1020*AA1020/100</f>
        <v>514.79999999999995</v>
      </c>
    </row>
    <row r="1021" spans="1:28" s="597" customFormat="1" ht="18" customHeight="1" x14ac:dyDescent="0.2">
      <c r="A1021" s="88">
        <v>3</v>
      </c>
      <c r="B1021" s="88">
        <v>66793</v>
      </c>
      <c r="C1021" s="88">
        <v>1983</v>
      </c>
      <c r="D1021" s="88" t="s">
        <v>91</v>
      </c>
      <c r="E1021" s="88">
        <v>4</v>
      </c>
      <c r="F1021" s="88">
        <v>0</v>
      </c>
      <c r="G1021" s="88">
        <v>0</v>
      </c>
      <c r="H1021" s="495">
        <v>97.6</v>
      </c>
      <c r="I1021" s="121">
        <f t="shared" si="29"/>
        <v>97.6</v>
      </c>
      <c r="J1021" s="199">
        <v>880</v>
      </c>
      <c r="K1021" s="78">
        <f t="shared" si="30"/>
        <v>85888</v>
      </c>
      <c r="L1021" s="61"/>
      <c r="M1021" s="61"/>
      <c r="N1021" s="61"/>
      <c r="O1021" s="61"/>
      <c r="P1021" s="173"/>
      <c r="Q1021" s="196"/>
      <c r="R1021" s="408"/>
      <c r="S1021" s="77"/>
      <c r="T1021" s="803"/>
      <c r="U1021" s="77">
        <f t="shared" si="31"/>
        <v>0</v>
      </c>
      <c r="V1021" s="77">
        <f t="shared" si="32"/>
        <v>0</v>
      </c>
      <c r="W1021" s="77">
        <f t="shared" si="33"/>
        <v>85888</v>
      </c>
      <c r="X1021" s="77">
        <f t="shared" si="34"/>
        <v>85888</v>
      </c>
      <c r="Y1021" s="676">
        <v>0</v>
      </c>
      <c r="Z1021" s="77">
        <f t="shared" si="35"/>
        <v>85888</v>
      </c>
      <c r="AA1021" s="409">
        <v>0.6</v>
      </c>
      <c r="AB1021" s="410">
        <f t="shared" si="36"/>
        <v>515.32799999999997</v>
      </c>
    </row>
    <row r="1022" spans="1:28" s="597" customFormat="1" ht="18" customHeight="1" x14ac:dyDescent="0.2">
      <c r="A1022" s="88">
        <v>4</v>
      </c>
      <c r="B1022" s="88">
        <v>66794</v>
      </c>
      <c r="C1022" s="88">
        <v>1984</v>
      </c>
      <c r="D1022" s="88" t="s">
        <v>91</v>
      </c>
      <c r="E1022" s="88">
        <v>4</v>
      </c>
      <c r="F1022" s="88">
        <v>0</v>
      </c>
      <c r="G1022" s="88">
        <v>0</v>
      </c>
      <c r="H1022" s="495">
        <v>92.2</v>
      </c>
      <c r="I1022" s="121">
        <f t="shared" si="29"/>
        <v>92.2</v>
      </c>
      <c r="J1022" s="107">
        <v>880</v>
      </c>
      <c r="K1022" s="78">
        <f t="shared" si="30"/>
        <v>81136</v>
      </c>
      <c r="L1022" s="75"/>
      <c r="M1022" s="61"/>
      <c r="N1022" s="61"/>
      <c r="O1022" s="61"/>
      <c r="P1022" s="173"/>
      <c r="Q1022" s="174"/>
      <c r="R1022" s="408"/>
      <c r="S1022" s="77"/>
      <c r="T1022" s="135"/>
      <c r="U1022" s="74">
        <f t="shared" si="31"/>
        <v>0</v>
      </c>
      <c r="V1022" s="74">
        <f t="shared" si="32"/>
        <v>0</v>
      </c>
      <c r="W1022" s="77">
        <f t="shared" si="33"/>
        <v>81136</v>
      </c>
      <c r="X1022" s="74">
        <f t="shared" si="34"/>
        <v>81136</v>
      </c>
      <c r="Y1022" s="676">
        <v>0</v>
      </c>
      <c r="Z1022" s="77">
        <f t="shared" si="35"/>
        <v>81136</v>
      </c>
      <c r="AA1022" s="409">
        <v>0.6</v>
      </c>
      <c r="AB1022" s="410">
        <f t="shared" si="36"/>
        <v>486.81599999999997</v>
      </c>
    </row>
    <row r="1023" spans="1:28" s="597" customFormat="1" ht="18" customHeight="1" x14ac:dyDescent="0.2">
      <c r="A1023" s="88">
        <v>5</v>
      </c>
      <c r="B1023" s="88">
        <v>66795</v>
      </c>
      <c r="C1023" s="88">
        <v>1985</v>
      </c>
      <c r="D1023" s="88" t="s">
        <v>91</v>
      </c>
      <c r="E1023" s="88">
        <v>4</v>
      </c>
      <c r="F1023" s="88">
        <v>0</v>
      </c>
      <c r="G1023" s="88">
        <v>1</v>
      </c>
      <c r="H1023" s="495">
        <v>20.3</v>
      </c>
      <c r="I1023" s="150">
        <f t="shared" si="29"/>
        <v>120.3</v>
      </c>
      <c r="J1023" s="107">
        <v>880</v>
      </c>
      <c r="K1023" s="78">
        <f t="shared" si="30"/>
        <v>105864</v>
      </c>
      <c r="L1023" s="75"/>
      <c r="M1023" s="61"/>
      <c r="N1023" s="61"/>
      <c r="O1023" s="61"/>
      <c r="P1023" s="173"/>
      <c r="Q1023" s="174"/>
      <c r="R1023" s="408"/>
      <c r="S1023" s="77"/>
      <c r="T1023" s="135"/>
      <c r="U1023" s="74">
        <f t="shared" si="31"/>
        <v>0</v>
      </c>
      <c r="V1023" s="74">
        <f t="shared" si="32"/>
        <v>0</v>
      </c>
      <c r="W1023" s="77">
        <f t="shared" si="33"/>
        <v>105864</v>
      </c>
      <c r="X1023" s="74">
        <f t="shared" si="34"/>
        <v>105864</v>
      </c>
      <c r="Y1023" s="676">
        <v>0</v>
      </c>
      <c r="Z1023" s="77">
        <f t="shared" si="35"/>
        <v>105864</v>
      </c>
      <c r="AA1023" s="409">
        <v>0.6</v>
      </c>
      <c r="AB1023" s="410">
        <f t="shared" si="36"/>
        <v>635.18399999999997</v>
      </c>
    </row>
    <row r="1024" spans="1:28" s="597" customFormat="1" ht="18" customHeight="1" x14ac:dyDescent="0.2">
      <c r="A1024" s="88">
        <v>6</v>
      </c>
      <c r="B1024" s="88">
        <v>66796</v>
      </c>
      <c r="C1024" s="88">
        <v>1986</v>
      </c>
      <c r="D1024" s="88" t="s">
        <v>91</v>
      </c>
      <c r="E1024" s="88">
        <v>4</v>
      </c>
      <c r="F1024" s="88">
        <v>0</v>
      </c>
      <c r="G1024" s="88">
        <v>0</v>
      </c>
      <c r="H1024" s="495">
        <v>72.2</v>
      </c>
      <c r="I1024" s="121">
        <f t="shared" si="29"/>
        <v>72.2</v>
      </c>
      <c r="J1024" s="107">
        <v>880</v>
      </c>
      <c r="K1024" s="78">
        <f t="shared" si="30"/>
        <v>63536</v>
      </c>
      <c r="L1024" s="75"/>
      <c r="M1024" s="61"/>
      <c r="N1024" s="61"/>
      <c r="O1024" s="61"/>
      <c r="P1024" s="173"/>
      <c r="Q1024" s="174"/>
      <c r="R1024" s="408"/>
      <c r="S1024" s="77"/>
      <c r="T1024" s="135"/>
      <c r="U1024" s="74">
        <f t="shared" si="31"/>
        <v>0</v>
      </c>
      <c r="V1024" s="74">
        <f t="shared" si="32"/>
        <v>0</v>
      </c>
      <c r="W1024" s="77">
        <f t="shared" si="33"/>
        <v>63536</v>
      </c>
      <c r="X1024" s="74">
        <f t="shared" si="34"/>
        <v>63536</v>
      </c>
      <c r="Y1024" s="676">
        <v>0</v>
      </c>
      <c r="Z1024" s="77">
        <f>+X1024</f>
        <v>63536</v>
      </c>
      <c r="AA1024" s="409">
        <v>0.6</v>
      </c>
      <c r="AB1024" s="410">
        <f t="shared" si="36"/>
        <v>381.21600000000001</v>
      </c>
    </row>
    <row r="1025" spans="1:28" s="597" customFormat="1" ht="18" customHeight="1" x14ac:dyDescent="0.2">
      <c r="A1025" s="88">
        <v>7</v>
      </c>
      <c r="B1025" s="88">
        <v>66797</v>
      </c>
      <c r="C1025" s="88">
        <v>1987</v>
      </c>
      <c r="D1025" s="88" t="s">
        <v>91</v>
      </c>
      <c r="E1025" s="88">
        <v>4</v>
      </c>
      <c r="F1025" s="88">
        <v>0</v>
      </c>
      <c r="G1025" s="88">
        <v>0</v>
      </c>
      <c r="H1025" s="495">
        <v>72.3</v>
      </c>
      <c r="I1025" s="77">
        <f t="shared" si="29"/>
        <v>72.3</v>
      </c>
      <c r="J1025" s="107">
        <v>880</v>
      </c>
      <c r="K1025" s="78">
        <f t="shared" ref="K1025" si="37">SUM(I1025*J1025)</f>
        <v>63624</v>
      </c>
      <c r="L1025" s="75"/>
      <c r="M1025" s="61"/>
      <c r="N1025" s="61"/>
      <c r="O1025" s="61"/>
      <c r="P1025" s="173"/>
      <c r="Q1025" s="174"/>
      <c r="R1025" s="408"/>
      <c r="S1025" s="77"/>
      <c r="T1025" s="135"/>
      <c r="U1025" s="74">
        <f t="shared" si="31"/>
        <v>0</v>
      </c>
      <c r="V1025" s="74">
        <f t="shared" si="32"/>
        <v>0</v>
      </c>
      <c r="W1025" s="77">
        <f t="shared" si="33"/>
        <v>63624</v>
      </c>
      <c r="X1025" s="74">
        <f t="shared" si="34"/>
        <v>63624</v>
      </c>
      <c r="Y1025" s="676">
        <v>0</v>
      </c>
      <c r="Z1025" s="77">
        <f t="shared" ref="Z1025" si="38">+X1025</f>
        <v>63624</v>
      </c>
      <c r="AA1025" s="409">
        <v>0.6</v>
      </c>
      <c r="AB1025" s="410">
        <f t="shared" si="36"/>
        <v>381.74400000000003</v>
      </c>
    </row>
    <row r="1026" spans="1:28" s="597" customFormat="1" ht="18" customHeight="1" x14ac:dyDescent="0.2">
      <c r="A1026" s="145"/>
      <c r="B1026" s="177"/>
      <c r="C1026" s="177"/>
      <c r="D1026" s="145"/>
      <c r="E1026" s="145"/>
      <c r="F1026" s="145"/>
      <c r="G1026" s="145"/>
      <c r="H1026" s="147"/>
      <c r="I1026" s="107"/>
      <c r="J1026" s="178"/>
      <c r="K1026" s="107"/>
      <c r="L1026" s="145"/>
      <c r="M1026" s="145"/>
      <c r="N1026" s="145"/>
      <c r="O1026" s="145"/>
      <c r="P1026" s="147"/>
      <c r="Q1026" s="148"/>
      <c r="R1026" s="437"/>
      <c r="S1026" s="107"/>
      <c r="T1026" s="179"/>
      <c r="U1026" s="178"/>
      <c r="V1026" s="107"/>
      <c r="W1026" s="107"/>
      <c r="X1026" s="470"/>
      <c r="Y1026" s="470"/>
      <c r="Z1026" s="471"/>
      <c r="AA1026" s="471"/>
      <c r="AB1026" s="466"/>
    </row>
    <row r="1027" spans="1:28" s="597" customFormat="1" ht="18" customHeight="1" x14ac:dyDescent="0.2">
      <c r="A1027" s="145"/>
      <c r="B1027" s="177"/>
      <c r="C1027" s="177"/>
      <c r="D1027" s="145"/>
      <c r="E1027" s="145"/>
      <c r="F1027" s="145"/>
      <c r="G1027" s="145"/>
      <c r="H1027" s="147"/>
      <c r="I1027" s="107"/>
      <c r="J1027" s="178"/>
      <c r="K1027" s="107"/>
      <c r="L1027" s="145"/>
      <c r="M1027" s="145"/>
      <c r="N1027" s="145"/>
      <c r="O1027" s="145"/>
      <c r="P1027" s="147"/>
      <c r="Q1027" s="148"/>
      <c r="R1027" s="437"/>
      <c r="S1027" s="107"/>
      <c r="T1027" s="179"/>
      <c r="U1027" s="178"/>
      <c r="V1027" s="107"/>
      <c r="W1027" s="107"/>
      <c r="X1027" s="470"/>
      <c r="Y1027" s="470"/>
      <c r="Z1027" s="471"/>
      <c r="AA1027" s="471"/>
      <c r="AB1027" s="466"/>
    </row>
    <row r="1028" spans="1:28" s="597" customFormat="1" ht="18" customHeight="1" x14ac:dyDescent="0.2">
      <c r="A1028" s="145"/>
      <c r="B1028" s="177"/>
      <c r="C1028" s="177"/>
      <c r="D1028" s="145"/>
      <c r="E1028" s="145"/>
      <c r="F1028" s="145"/>
      <c r="G1028" s="145"/>
      <c r="H1028" s="147"/>
      <c r="I1028" s="107"/>
      <c r="J1028" s="178"/>
      <c r="K1028" s="107"/>
      <c r="L1028" s="145"/>
      <c r="M1028" s="145"/>
      <c r="N1028" s="145"/>
      <c r="O1028" s="145"/>
      <c r="P1028" s="147"/>
      <c r="Q1028" s="148"/>
      <c r="R1028" s="437"/>
      <c r="S1028" s="107"/>
      <c r="T1028" s="179"/>
      <c r="U1028" s="178"/>
      <c r="V1028" s="107"/>
      <c r="W1028" s="107"/>
      <c r="X1028" s="470"/>
      <c r="Y1028" s="470"/>
      <c r="Z1028" s="471"/>
      <c r="AA1028" s="471"/>
      <c r="AB1028" s="466"/>
    </row>
    <row r="1029" spans="1:28" s="597" customFormat="1" ht="18" customHeight="1" x14ac:dyDescent="0.2">
      <c r="A1029" s="145"/>
      <c r="B1029" s="177"/>
      <c r="C1029" s="177"/>
      <c r="D1029" s="145"/>
      <c r="E1029" s="145"/>
      <c r="F1029" s="145"/>
      <c r="G1029" s="145"/>
      <c r="H1029" s="147"/>
      <c r="I1029" s="107"/>
      <c r="J1029" s="178"/>
      <c r="K1029" s="107"/>
      <c r="L1029" s="145"/>
      <c r="M1029" s="145"/>
      <c r="N1029" s="145"/>
      <c r="O1029" s="145"/>
      <c r="P1029" s="147"/>
      <c r="Q1029" s="148"/>
      <c r="R1029" s="437"/>
      <c r="S1029" s="107"/>
      <c r="T1029" s="179"/>
      <c r="U1029" s="178"/>
      <c r="V1029" s="107"/>
      <c r="W1029" s="107"/>
      <c r="X1029" s="470"/>
      <c r="Y1029" s="470"/>
      <c r="Z1029" s="471"/>
      <c r="AA1029" s="471"/>
      <c r="AB1029" s="466"/>
    </row>
    <row r="1030" spans="1:28" s="597" customFormat="1" ht="18" customHeight="1" x14ac:dyDescent="0.2">
      <c r="A1030" s="145"/>
      <c r="B1030" s="177"/>
      <c r="C1030" s="177"/>
      <c r="D1030" s="145"/>
      <c r="E1030" s="145"/>
      <c r="F1030" s="145"/>
      <c r="G1030" s="145"/>
      <c r="H1030" s="147"/>
      <c r="I1030" s="107"/>
      <c r="J1030" s="178"/>
      <c r="K1030" s="107"/>
      <c r="L1030" s="145"/>
      <c r="M1030" s="145"/>
      <c r="N1030" s="145"/>
      <c r="O1030" s="145"/>
      <c r="P1030" s="147"/>
      <c r="Q1030" s="148"/>
      <c r="R1030" s="437"/>
      <c r="S1030" s="107"/>
      <c r="T1030" s="179"/>
      <c r="U1030" s="178"/>
      <c r="V1030" s="107"/>
      <c r="W1030" s="107"/>
      <c r="X1030" s="470"/>
      <c r="Y1030" s="470"/>
      <c r="Z1030" s="471"/>
      <c r="AA1030" s="471"/>
      <c r="AB1030" s="466"/>
    </row>
    <row r="1031" spans="1:28" s="597" customFormat="1" ht="18" customHeight="1" x14ac:dyDescent="0.2">
      <c r="A1031" s="145"/>
      <c r="B1031" s="177"/>
      <c r="C1031" s="177"/>
      <c r="D1031" s="145"/>
      <c r="E1031" s="145"/>
      <c r="F1031" s="145"/>
      <c r="G1031" s="145"/>
      <c r="H1031" s="147"/>
      <c r="I1031" s="107"/>
      <c r="J1031" s="178"/>
      <c r="K1031" s="107"/>
      <c r="L1031" s="145"/>
      <c r="M1031" s="145"/>
      <c r="N1031" s="145"/>
      <c r="O1031" s="145"/>
      <c r="P1031" s="147"/>
      <c r="Q1031" s="148"/>
      <c r="R1031" s="437"/>
      <c r="S1031" s="107"/>
      <c r="T1031" s="179"/>
      <c r="U1031" s="178"/>
      <c r="V1031" s="107"/>
      <c r="W1031" s="107"/>
      <c r="X1031" s="470"/>
      <c r="Y1031" s="470"/>
      <c r="Z1031" s="471"/>
      <c r="AA1031" s="471"/>
      <c r="AB1031" s="466"/>
    </row>
    <row r="1032" spans="1:28" s="597" customFormat="1" ht="18" customHeight="1" x14ac:dyDescent="0.2">
      <c r="A1032" s="145"/>
      <c r="B1032" s="177"/>
      <c r="C1032" s="177"/>
      <c r="D1032" s="145"/>
      <c r="E1032" s="145"/>
      <c r="F1032" s="145"/>
      <c r="G1032" s="145"/>
      <c r="H1032" s="147"/>
      <c r="I1032" s="107"/>
      <c r="J1032" s="178"/>
      <c r="K1032" s="107"/>
      <c r="L1032" s="145"/>
      <c r="M1032" s="145"/>
      <c r="N1032" s="145"/>
      <c r="O1032" s="145"/>
      <c r="P1032" s="147"/>
      <c r="Q1032" s="148"/>
      <c r="R1032" s="437"/>
      <c r="S1032" s="107"/>
      <c r="T1032" s="179"/>
      <c r="U1032" s="178"/>
      <c r="V1032" s="107"/>
      <c r="W1032" s="107"/>
      <c r="X1032" s="470"/>
      <c r="Y1032" s="470"/>
      <c r="Z1032" s="471"/>
      <c r="AA1032" s="471"/>
      <c r="AB1032" s="466"/>
    </row>
    <row r="1033" spans="1:28" s="597" customFormat="1" ht="18" customHeight="1" x14ac:dyDescent="0.2">
      <c r="A1033" s="88"/>
      <c r="B1033" s="180"/>
      <c r="C1033" s="180"/>
      <c r="D1033" s="88"/>
      <c r="E1033" s="88"/>
      <c r="F1033" s="88"/>
      <c r="G1033" s="88"/>
      <c r="H1033" s="120"/>
      <c r="I1033" s="121"/>
      <c r="J1033" s="181"/>
      <c r="K1033" s="121"/>
      <c r="L1033" s="88"/>
      <c r="M1033" s="88"/>
      <c r="N1033" s="88"/>
      <c r="O1033" s="88"/>
      <c r="P1033" s="88"/>
      <c r="Q1033" s="129"/>
      <c r="R1033" s="445"/>
      <c r="S1033" s="121"/>
      <c r="T1033" s="182"/>
      <c r="U1033" s="181"/>
      <c r="V1033" s="121"/>
      <c r="W1033" s="121"/>
      <c r="X1033" s="472"/>
      <c r="Y1033" s="472"/>
      <c r="Z1033" s="473"/>
      <c r="AA1033" s="473"/>
      <c r="AB1033" s="410"/>
    </row>
    <row r="1034" spans="1:28" s="597" customFormat="1" ht="18" customHeight="1" x14ac:dyDescent="0.2">
      <c r="A1034" s="1850"/>
      <c r="B1034" s="1850"/>
      <c r="C1034" s="1850"/>
      <c r="D1034" s="1850"/>
      <c r="E1034" s="1850"/>
      <c r="F1034" s="1850"/>
      <c r="G1034" s="1850"/>
      <c r="H1034" s="1851"/>
      <c r="I1034" s="1852"/>
      <c r="J1034" s="1853"/>
      <c r="K1034" s="1852"/>
      <c r="L1034" s="1852"/>
      <c r="M1034" s="1852"/>
      <c r="N1034" s="1852"/>
      <c r="O1034" s="1852"/>
      <c r="P1034" s="1852"/>
      <c r="Q1034" s="1852"/>
      <c r="R1034" s="1854"/>
      <c r="S1034" s="1852"/>
      <c r="T1034" s="1855"/>
      <c r="U1034" s="1853"/>
      <c r="V1034" s="1852"/>
      <c r="W1034" s="1852"/>
      <c r="X1034" s="1856"/>
      <c r="Y1034" s="1856"/>
      <c r="Z1034" s="1857"/>
      <c r="AA1034" s="1857"/>
      <c r="AB1034" s="1847">
        <f>SUM(AB1019:AB1033)</f>
        <v>3424.6080000000002</v>
      </c>
    </row>
    <row r="1035" spans="1:28" s="597" customFormat="1" ht="18" customHeight="1" x14ac:dyDescent="0.2">
      <c r="A1035" s="2690" t="s">
        <v>76</v>
      </c>
      <c r="B1035" s="2690"/>
      <c r="C1035" s="2691" t="s">
        <v>77</v>
      </c>
      <c r="D1035" s="2691"/>
      <c r="E1035" s="2691"/>
      <c r="F1035" s="2691"/>
      <c r="G1035" s="2691"/>
      <c r="H1035" s="2691"/>
      <c r="I1035" s="604" t="s">
        <v>78</v>
      </c>
      <c r="J1035" s="604"/>
      <c r="K1035" s="604"/>
      <c r="L1035" s="604"/>
      <c r="M1035" s="604"/>
      <c r="N1035" s="604"/>
      <c r="AB1035" s="598"/>
    </row>
    <row r="1036" spans="1:28" s="597" customFormat="1" ht="18" customHeight="1" x14ac:dyDescent="0.2">
      <c r="A1036" s="604"/>
      <c r="B1036" s="605"/>
      <c r="C1036" s="604"/>
      <c r="D1036" s="604"/>
      <c r="E1036" s="604"/>
      <c r="F1036" s="604"/>
      <c r="G1036" s="604"/>
      <c r="H1036" s="604"/>
      <c r="I1036" s="604" t="s">
        <v>79</v>
      </c>
      <c r="J1036" s="604"/>
      <c r="K1036" s="604"/>
      <c r="L1036" s="604"/>
      <c r="M1036" s="604"/>
      <c r="N1036" s="604"/>
      <c r="AB1036" s="598"/>
    </row>
    <row r="1037" spans="1:28" s="597" customFormat="1" ht="18" customHeight="1" x14ac:dyDescent="0.2">
      <c r="A1037" s="604"/>
      <c r="B1037" s="605"/>
      <c r="C1037" s="604"/>
      <c r="D1037" s="604"/>
      <c r="E1037" s="604"/>
      <c r="F1037" s="604"/>
      <c r="G1037" s="604"/>
      <c r="H1037" s="604"/>
      <c r="I1037" s="604" t="s">
        <v>80</v>
      </c>
      <c r="J1037" s="604"/>
      <c r="K1037" s="604"/>
      <c r="L1037" s="604"/>
      <c r="M1037" s="604"/>
      <c r="N1037" s="604"/>
      <c r="AB1037" s="598"/>
    </row>
    <row r="1038" spans="1:28" s="597" customFormat="1" ht="18" customHeight="1" x14ac:dyDescent="0.2">
      <c r="A1038" s="604"/>
      <c r="B1038" s="605"/>
      <c r="C1038" s="604"/>
      <c r="D1038" s="604"/>
      <c r="E1038" s="604"/>
      <c r="F1038" s="604"/>
      <c r="G1038" s="604"/>
      <c r="H1038" s="604"/>
      <c r="I1038" s="604" t="s">
        <v>81</v>
      </c>
      <c r="J1038" s="604"/>
      <c r="K1038" s="604"/>
      <c r="L1038" s="604"/>
      <c r="M1038" s="604"/>
      <c r="N1038" s="604"/>
      <c r="AB1038" s="598"/>
    </row>
    <row r="1039" spans="1:28" s="597" customFormat="1" ht="18" customHeight="1" x14ac:dyDescent="0.2">
      <c r="A1039" s="604"/>
      <c r="B1039" s="605"/>
      <c r="C1039" s="604"/>
      <c r="D1039" s="604"/>
      <c r="E1039" s="604"/>
      <c r="F1039" s="604"/>
      <c r="G1039" s="604"/>
      <c r="H1039" s="604"/>
      <c r="I1039" s="604" t="s">
        <v>88</v>
      </c>
      <c r="J1039" s="604"/>
      <c r="K1039" s="604"/>
      <c r="L1039" s="604"/>
      <c r="M1039" s="604"/>
      <c r="N1039" s="604"/>
      <c r="AB1039" s="598"/>
    </row>
    <row r="1040" spans="1:28" s="597" customFormat="1" ht="18" customHeight="1" x14ac:dyDescent="0.2">
      <c r="A1040" s="339"/>
      <c r="B1040" s="339"/>
      <c r="C1040" s="339"/>
      <c r="D1040" s="339"/>
      <c r="E1040" s="339"/>
      <c r="F1040" s="339"/>
      <c r="G1040" s="339"/>
      <c r="H1040" s="339"/>
      <c r="I1040" s="339"/>
      <c r="J1040" s="339"/>
      <c r="K1040" s="339"/>
      <c r="L1040" s="339"/>
      <c r="M1040" s="339"/>
      <c r="N1040" s="339"/>
      <c r="O1040" s="339"/>
      <c r="P1040" s="339"/>
      <c r="Q1040" s="339"/>
      <c r="R1040" s="339"/>
      <c r="S1040" s="339"/>
      <c r="T1040" s="339"/>
      <c r="U1040" s="339"/>
      <c r="V1040" s="339"/>
      <c r="W1040" s="339"/>
      <c r="X1040" s="339"/>
      <c r="Y1040" s="339"/>
      <c r="Z1040" s="339"/>
      <c r="AA1040" s="2702" t="s">
        <v>0</v>
      </c>
      <c r="AB1040" s="2702"/>
    </row>
    <row r="1041" spans="1:28" s="597" customFormat="1" ht="18" customHeight="1" x14ac:dyDescent="0.2">
      <c r="A1041" s="2703" t="s">
        <v>1</v>
      </c>
      <c r="B1041" s="2703"/>
      <c r="C1041" s="2703"/>
      <c r="D1041" s="2703"/>
      <c r="E1041" s="2703"/>
      <c r="F1041" s="2703"/>
      <c r="G1041" s="2703"/>
      <c r="H1041" s="2703"/>
      <c r="I1041" s="2703"/>
      <c r="J1041" s="2703"/>
      <c r="K1041" s="2703"/>
      <c r="L1041" s="2703"/>
      <c r="M1041" s="2703"/>
      <c r="N1041" s="2703"/>
      <c r="O1041" s="2703"/>
      <c r="P1041" s="2703"/>
      <c r="Q1041" s="2703"/>
      <c r="R1041" s="2703"/>
      <c r="S1041" s="2703"/>
      <c r="T1041" s="2703"/>
      <c r="U1041" s="2703"/>
      <c r="V1041" s="2703"/>
      <c r="W1041" s="2703"/>
      <c r="X1041" s="2703"/>
      <c r="Y1041" s="2703"/>
      <c r="Z1041" s="2703"/>
      <c r="AA1041" s="2703"/>
      <c r="AB1041" s="2703"/>
    </row>
    <row r="1042" spans="1:28" s="597" customFormat="1" ht="18" customHeight="1" x14ac:dyDescent="0.2">
      <c r="A1042" s="2743" t="s">
        <v>309</v>
      </c>
      <c r="B1042" s="2743"/>
      <c r="C1042" s="2743"/>
      <c r="D1042" s="2743"/>
      <c r="E1042" s="2743"/>
      <c r="F1042" s="2743"/>
      <c r="G1042" s="2743"/>
      <c r="H1042" s="2743"/>
      <c r="I1042" s="2743"/>
      <c r="J1042" s="2743"/>
      <c r="K1042" s="2743"/>
      <c r="L1042" s="2743"/>
      <c r="M1042" s="2743"/>
      <c r="N1042" s="2743"/>
      <c r="O1042" s="2743"/>
      <c r="P1042" s="2743"/>
      <c r="Q1042" s="2743"/>
      <c r="R1042" s="2743"/>
      <c r="S1042" s="2743"/>
      <c r="T1042" s="2743"/>
      <c r="U1042" s="2743"/>
      <c r="V1042" s="2743"/>
      <c r="W1042" s="2743"/>
      <c r="X1042" s="2743"/>
      <c r="Y1042" s="2743"/>
      <c r="Z1042" s="2743"/>
      <c r="AA1042" s="2743"/>
      <c r="AB1042" s="2743"/>
    </row>
    <row r="1043" spans="1:28" s="597" customFormat="1" ht="18" customHeight="1" x14ac:dyDescent="0.2">
      <c r="A1043" s="2686" t="s">
        <v>2</v>
      </c>
      <c r="B1043" s="360"/>
      <c r="C1043" s="2686" t="s">
        <v>3</v>
      </c>
      <c r="D1043" s="360"/>
      <c r="E1043" s="360"/>
      <c r="F1043" s="2693" t="s">
        <v>4</v>
      </c>
      <c r="G1043" s="2693"/>
      <c r="H1043" s="2693"/>
      <c r="I1043" s="2694"/>
      <c r="J1043" s="2694"/>
      <c r="K1043" s="2695"/>
      <c r="L1043" s="361"/>
      <c r="M1043" s="2679" t="s">
        <v>5</v>
      </c>
      <c r="N1043" s="2679"/>
      <c r="O1043" s="2679"/>
      <c r="P1043" s="2679"/>
      <c r="Q1043" s="2696"/>
      <c r="R1043" s="2696"/>
      <c r="S1043" s="2696"/>
      <c r="T1043" s="2696"/>
      <c r="U1043" s="2696"/>
      <c r="V1043" s="2697"/>
      <c r="W1043" s="362" t="s">
        <v>6</v>
      </c>
      <c r="X1043" s="363" t="s">
        <v>7</v>
      </c>
      <c r="Y1043" s="364"/>
      <c r="Z1043" s="364"/>
      <c r="AA1043" s="363"/>
      <c r="AB1043" s="365"/>
    </row>
    <row r="1044" spans="1:28" s="597" customFormat="1" ht="18" customHeight="1" x14ac:dyDescent="0.2">
      <c r="A1044" s="2687"/>
      <c r="B1044" s="367"/>
      <c r="C1044" s="2687"/>
      <c r="D1044" s="366" t="s">
        <v>9</v>
      </c>
      <c r="E1044" s="368" t="s">
        <v>10</v>
      </c>
      <c r="F1044" s="2698" t="s">
        <v>11</v>
      </c>
      <c r="G1044" s="2694"/>
      <c r="H1044" s="2695"/>
      <c r="I1044" s="360"/>
      <c r="J1044" s="369" t="s">
        <v>12</v>
      </c>
      <c r="K1044" s="360"/>
      <c r="L1044" s="2679" t="s">
        <v>2</v>
      </c>
      <c r="M1044" s="370"/>
      <c r="N1044" s="370"/>
      <c r="O1044" s="370"/>
      <c r="P1044" s="371"/>
      <c r="Q1044" s="372" t="s">
        <v>13</v>
      </c>
      <c r="R1044" s="373" t="s">
        <v>12</v>
      </c>
      <c r="S1044" s="370" t="s">
        <v>6</v>
      </c>
      <c r="T1044" s="2682" t="s">
        <v>14</v>
      </c>
      <c r="U1044" s="2683"/>
      <c r="V1044" s="375" t="s">
        <v>7</v>
      </c>
      <c r="W1044" s="376" t="s">
        <v>15</v>
      </c>
      <c r="X1044" s="377" t="s">
        <v>16</v>
      </c>
      <c r="Y1044" s="377" t="s">
        <v>17</v>
      </c>
      <c r="Z1044" s="377" t="s">
        <v>18</v>
      </c>
      <c r="AA1044" s="377"/>
      <c r="AB1044" s="378" t="s">
        <v>19</v>
      </c>
    </row>
    <row r="1045" spans="1:28" s="597" customFormat="1" ht="18" customHeight="1" x14ac:dyDescent="0.2">
      <c r="A1045" s="2687"/>
      <c r="B1045" s="366" t="s">
        <v>23</v>
      </c>
      <c r="C1045" s="2687"/>
      <c r="D1045" s="366" t="s">
        <v>24</v>
      </c>
      <c r="E1045" s="368" t="s">
        <v>25</v>
      </c>
      <c r="F1045" s="2699"/>
      <c r="G1045" s="2700"/>
      <c r="H1045" s="2701"/>
      <c r="I1045" s="366" t="s">
        <v>26</v>
      </c>
      <c r="J1045" s="379" t="s">
        <v>15</v>
      </c>
      <c r="K1045" s="380" t="s">
        <v>6</v>
      </c>
      <c r="L1045" s="2680"/>
      <c r="M1045" s="381" t="s">
        <v>27</v>
      </c>
      <c r="N1045" s="381" t="s">
        <v>10</v>
      </c>
      <c r="O1045" s="382" t="s">
        <v>10</v>
      </c>
      <c r="P1045" s="383" t="s">
        <v>28</v>
      </c>
      <c r="Q1045" s="384" t="s">
        <v>29</v>
      </c>
      <c r="R1045" s="383" t="s">
        <v>15</v>
      </c>
      <c r="S1045" s="385" t="s">
        <v>15</v>
      </c>
      <c r="T1045" s="2684"/>
      <c r="U1045" s="2685"/>
      <c r="V1045" s="375" t="s">
        <v>30</v>
      </c>
      <c r="W1045" s="376" t="s">
        <v>31</v>
      </c>
      <c r="X1045" s="377" t="s">
        <v>30</v>
      </c>
      <c r="Y1045" s="377" t="s">
        <v>32</v>
      </c>
      <c r="Z1045" s="377" t="s">
        <v>7</v>
      </c>
      <c r="AA1045" s="377" t="s">
        <v>33</v>
      </c>
      <c r="AB1045" s="378" t="s">
        <v>34</v>
      </c>
    </row>
    <row r="1046" spans="1:28" s="597" customFormat="1" ht="18" customHeight="1" x14ac:dyDescent="0.2">
      <c r="A1046" s="2687"/>
      <c r="B1046" s="366" t="s">
        <v>39</v>
      </c>
      <c r="C1046" s="2687"/>
      <c r="D1046" s="366" t="s">
        <v>40</v>
      </c>
      <c r="E1046" s="368" t="s">
        <v>41</v>
      </c>
      <c r="F1046" s="2686" t="s">
        <v>42</v>
      </c>
      <c r="G1046" s="2686" t="s">
        <v>43</v>
      </c>
      <c r="H1046" s="2688" t="s">
        <v>44</v>
      </c>
      <c r="I1046" s="366" t="s">
        <v>45</v>
      </c>
      <c r="J1046" s="379" t="s">
        <v>46</v>
      </c>
      <c r="K1046" s="380" t="s">
        <v>47</v>
      </c>
      <c r="L1046" s="2680"/>
      <c r="M1046" s="381" t="s">
        <v>30</v>
      </c>
      <c r="N1046" s="381" t="s">
        <v>30</v>
      </c>
      <c r="O1046" s="382" t="s">
        <v>25</v>
      </c>
      <c r="P1046" s="383" t="s">
        <v>30</v>
      </c>
      <c r="Q1046" s="384" t="s">
        <v>48</v>
      </c>
      <c r="R1046" s="383" t="s">
        <v>49</v>
      </c>
      <c r="S1046" s="385" t="s">
        <v>30</v>
      </c>
      <c r="T1046" s="386" t="s">
        <v>50</v>
      </c>
      <c r="U1046" s="374" t="s">
        <v>13</v>
      </c>
      <c r="V1046" s="375" t="s">
        <v>51</v>
      </c>
      <c r="W1046" s="376" t="s">
        <v>52</v>
      </c>
      <c r="X1046" s="377" t="s">
        <v>53</v>
      </c>
      <c r="Y1046" s="377" t="s">
        <v>54</v>
      </c>
      <c r="Z1046" s="377" t="s">
        <v>55</v>
      </c>
      <c r="AA1046" s="377" t="s">
        <v>56</v>
      </c>
      <c r="AB1046" s="378" t="s">
        <v>57</v>
      </c>
    </row>
    <row r="1047" spans="1:28" s="597" customFormat="1" ht="18" customHeight="1" x14ac:dyDescent="0.2">
      <c r="A1047" s="2687"/>
      <c r="B1047" s="366" t="s">
        <v>61</v>
      </c>
      <c r="C1047" s="2687"/>
      <c r="D1047" s="366" t="s">
        <v>62</v>
      </c>
      <c r="E1047" s="368" t="s">
        <v>63</v>
      </c>
      <c r="F1047" s="2687"/>
      <c r="G1047" s="2687"/>
      <c r="H1047" s="2689"/>
      <c r="I1047" s="366" t="s">
        <v>64</v>
      </c>
      <c r="J1047" s="379" t="s">
        <v>59</v>
      </c>
      <c r="K1047" s="380" t="s">
        <v>59</v>
      </c>
      <c r="L1047" s="2680"/>
      <c r="M1047" s="381"/>
      <c r="N1047" s="381"/>
      <c r="O1047" s="382" t="s">
        <v>41</v>
      </c>
      <c r="P1047" s="383" t="s">
        <v>65</v>
      </c>
      <c r="Q1047" s="384" t="s">
        <v>66</v>
      </c>
      <c r="R1047" s="383" t="s">
        <v>67</v>
      </c>
      <c r="S1047" s="385" t="s">
        <v>59</v>
      </c>
      <c r="T1047" s="387" t="s">
        <v>68</v>
      </c>
      <c r="U1047" s="375" t="s">
        <v>14</v>
      </c>
      <c r="V1047" s="375" t="s">
        <v>14</v>
      </c>
      <c r="W1047" s="376" t="s">
        <v>30</v>
      </c>
      <c r="X1047" s="388" t="s">
        <v>69</v>
      </c>
      <c r="Y1047" s="388" t="s">
        <v>70</v>
      </c>
      <c r="Z1047" s="377" t="s">
        <v>71</v>
      </c>
      <c r="AA1047" s="377" t="s">
        <v>72</v>
      </c>
      <c r="AB1047" s="378" t="s">
        <v>59</v>
      </c>
    </row>
    <row r="1048" spans="1:28" s="597" customFormat="1" ht="18" customHeight="1" x14ac:dyDescent="0.2">
      <c r="A1048" s="2692"/>
      <c r="B1048" s="390"/>
      <c r="C1048" s="2692"/>
      <c r="D1048" s="390"/>
      <c r="E1048" s="389"/>
      <c r="F1048" s="390"/>
      <c r="G1048" s="390"/>
      <c r="H1048" s="391"/>
      <c r="I1048" s="389"/>
      <c r="J1048" s="392"/>
      <c r="K1048" s="393"/>
      <c r="L1048" s="2681"/>
      <c r="M1048" s="394"/>
      <c r="N1048" s="394"/>
      <c r="O1048" s="394" t="s">
        <v>63</v>
      </c>
      <c r="P1048" s="395"/>
      <c r="Q1048" s="396" t="s">
        <v>72</v>
      </c>
      <c r="R1048" s="397" t="s">
        <v>59</v>
      </c>
      <c r="S1048" s="398"/>
      <c r="T1048" s="397" t="s">
        <v>73</v>
      </c>
      <c r="U1048" s="398" t="s">
        <v>59</v>
      </c>
      <c r="V1048" s="399" t="s">
        <v>59</v>
      </c>
      <c r="W1048" s="400" t="s">
        <v>59</v>
      </c>
      <c r="X1048" s="401" t="s">
        <v>59</v>
      </c>
      <c r="Y1048" s="401" t="s">
        <v>59</v>
      </c>
      <c r="Z1048" s="401" t="s">
        <v>59</v>
      </c>
      <c r="AA1048" s="402"/>
      <c r="AB1048" s="403"/>
    </row>
    <row r="1049" spans="1:28" s="597" customFormat="1" ht="18" customHeight="1" x14ac:dyDescent="0.2">
      <c r="A1049" s="145">
        <v>1</v>
      </c>
      <c r="B1049" s="85">
        <v>2281</v>
      </c>
      <c r="C1049" s="88">
        <v>551</v>
      </c>
      <c r="D1049" s="88" t="s">
        <v>91</v>
      </c>
      <c r="E1049" s="88">
        <v>3</v>
      </c>
      <c r="F1049" s="88">
        <v>0</v>
      </c>
      <c r="G1049" s="88">
        <v>1</v>
      </c>
      <c r="H1049" s="495">
        <v>34.1</v>
      </c>
      <c r="I1049" s="74"/>
      <c r="J1049" s="121"/>
      <c r="K1049" s="159"/>
      <c r="L1049" s="75"/>
      <c r="M1049" s="75"/>
      <c r="N1049" s="75"/>
      <c r="O1049" s="75"/>
      <c r="P1049" s="188"/>
      <c r="Q1049" s="174"/>
      <c r="R1049" s="413"/>
      <c r="S1049" s="74"/>
      <c r="T1049" s="135"/>
      <c r="U1049" s="74"/>
      <c r="V1049" s="74"/>
      <c r="W1049" s="74"/>
      <c r="X1049" s="74"/>
      <c r="Y1049" s="606"/>
      <c r="Z1049" s="74"/>
      <c r="AA1049" s="414"/>
      <c r="AB1049" s="465"/>
    </row>
    <row r="1050" spans="1:28" s="665" customFormat="1" ht="18" customHeight="1" x14ac:dyDescent="0.2">
      <c r="A1050" s="88"/>
      <c r="B1050" s="88"/>
      <c r="C1050" s="88"/>
      <c r="D1050" s="88"/>
      <c r="E1050" s="88"/>
      <c r="F1050" s="88">
        <v>0</v>
      </c>
      <c r="G1050" s="88">
        <v>1</v>
      </c>
      <c r="H1050" s="495">
        <v>14.1</v>
      </c>
      <c r="I1050" s="74">
        <f t="shared" ref="I1050:I1051" si="39">F1050*400+G1050*100+H1050</f>
        <v>114.1</v>
      </c>
      <c r="J1050" s="121">
        <v>2300</v>
      </c>
      <c r="K1050" s="159">
        <f t="shared" ref="K1050:K1051" si="40">SUM(I1050*J1050)</f>
        <v>262430</v>
      </c>
      <c r="L1050" s="75">
        <v>1</v>
      </c>
      <c r="M1050" s="75">
        <v>101</v>
      </c>
      <c r="N1050" s="75" t="s">
        <v>74</v>
      </c>
      <c r="O1050" s="75">
        <v>2</v>
      </c>
      <c r="P1050" s="188">
        <v>144</v>
      </c>
      <c r="Q1050" s="174" t="s">
        <v>75</v>
      </c>
      <c r="R1050" s="413">
        <v>9050</v>
      </c>
      <c r="S1050" s="74">
        <f>R1050*P1050</f>
        <v>1303200</v>
      </c>
      <c r="T1050" s="1978">
        <v>4</v>
      </c>
      <c r="U1050" s="128">
        <f>S1050*0.04</f>
        <v>52128</v>
      </c>
      <c r="V1050" s="74">
        <f t="shared" ref="V1050:V1051" si="41">SUM(S1050-U1050)</f>
        <v>1251072</v>
      </c>
      <c r="W1050" s="74">
        <f t="shared" ref="W1050:W1051" si="42">K1050+V1050</f>
        <v>1513502</v>
      </c>
      <c r="X1050" s="74">
        <f t="shared" ref="X1050:X1051" si="43">W1050</f>
        <v>1513502</v>
      </c>
      <c r="Y1050" s="606" t="s">
        <v>213</v>
      </c>
      <c r="Z1050" s="74">
        <v>0</v>
      </c>
      <c r="AA1050" s="414">
        <v>0</v>
      </c>
      <c r="AB1050" s="410">
        <f>+Z1050*AA1050/100</f>
        <v>0</v>
      </c>
    </row>
    <row r="1051" spans="1:28" s="597" customFormat="1" ht="18" customHeight="1" x14ac:dyDescent="0.2">
      <c r="A1051" s="88"/>
      <c r="B1051" s="88"/>
      <c r="C1051" s="88"/>
      <c r="D1051" s="88"/>
      <c r="E1051" s="88"/>
      <c r="F1051" s="88">
        <v>0</v>
      </c>
      <c r="G1051" s="88">
        <v>0</v>
      </c>
      <c r="H1051" s="495">
        <v>20</v>
      </c>
      <c r="I1051" s="121">
        <f t="shared" si="39"/>
        <v>20</v>
      </c>
      <c r="J1051" s="199">
        <v>2300</v>
      </c>
      <c r="K1051" s="159">
        <f t="shared" si="40"/>
        <v>46000</v>
      </c>
      <c r="L1051" s="75">
        <v>2</v>
      </c>
      <c r="M1051" s="75">
        <v>301</v>
      </c>
      <c r="N1051" s="75" t="s">
        <v>74</v>
      </c>
      <c r="O1051" s="75">
        <v>3</v>
      </c>
      <c r="P1051" s="188">
        <v>72</v>
      </c>
      <c r="Q1051" s="174" t="s">
        <v>75</v>
      </c>
      <c r="R1051" s="413">
        <v>3100</v>
      </c>
      <c r="S1051" s="74">
        <f>R1051*P1051</f>
        <v>223200</v>
      </c>
      <c r="T1051" s="1978">
        <v>4</v>
      </c>
      <c r="U1051" s="128">
        <f>S1051*0.04</f>
        <v>8928</v>
      </c>
      <c r="V1051" s="74">
        <f t="shared" si="41"/>
        <v>214272</v>
      </c>
      <c r="W1051" s="74">
        <f t="shared" si="42"/>
        <v>260272</v>
      </c>
      <c r="X1051" s="74">
        <f t="shared" si="43"/>
        <v>260272</v>
      </c>
      <c r="Y1051" s="606">
        <v>0</v>
      </c>
      <c r="Z1051" s="74">
        <f t="shared" ref="Z1051" si="44">X1051-Y1051</f>
        <v>260272</v>
      </c>
      <c r="AA1051" s="414">
        <v>0.3</v>
      </c>
      <c r="AB1051" s="410">
        <f>+Z1051*AA1051/100</f>
        <v>780.81599999999992</v>
      </c>
    </row>
    <row r="1052" spans="1:28" s="597" customFormat="1" ht="18" customHeight="1" x14ac:dyDescent="0.2">
      <c r="A1052" s="88"/>
      <c r="B1052" s="88"/>
      <c r="C1052" s="88"/>
      <c r="D1052" s="88"/>
      <c r="E1052" s="88"/>
      <c r="F1052" s="88"/>
      <c r="G1052" s="88"/>
      <c r="H1052" s="495"/>
      <c r="I1052" s="121"/>
      <c r="J1052" s="107"/>
      <c r="K1052" s="78"/>
      <c r="L1052" s="75"/>
      <c r="M1052" s="61"/>
      <c r="N1052" s="61"/>
      <c r="O1052" s="61"/>
      <c r="P1052" s="173"/>
      <c r="Q1052" s="174"/>
      <c r="R1052" s="408"/>
      <c r="S1052" s="77"/>
      <c r="T1052" s="135"/>
      <c r="U1052" s="74"/>
      <c r="V1052" s="74"/>
      <c r="W1052" s="77"/>
      <c r="X1052" s="74"/>
      <c r="Y1052" s="676"/>
      <c r="Z1052" s="77"/>
      <c r="AA1052" s="409"/>
      <c r="AB1052" s="410"/>
    </row>
    <row r="1053" spans="1:28" s="597" customFormat="1" ht="18" customHeight="1" x14ac:dyDescent="0.2">
      <c r="A1053" s="88"/>
      <c r="B1053" s="88"/>
      <c r="C1053" s="88"/>
      <c r="D1053" s="88"/>
      <c r="E1053" s="88"/>
      <c r="F1053" s="88"/>
      <c r="G1053" s="88"/>
      <c r="H1053" s="495"/>
      <c r="I1053" s="150"/>
      <c r="J1053" s="107"/>
      <c r="K1053" s="78"/>
      <c r="L1053" s="75"/>
      <c r="M1053" s="61"/>
      <c r="N1053" s="61"/>
      <c r="O1053" s="61"/>
      <c r="P1053" s="173"/>
      <c r="Q1053" s="174"/>
      <c r="R1053" s="408"/>
      <c r="S1053" s="77"/>
      <c r="T1053" s="135"/>
      <c r="U1053" s="74"/>
      <c r="V1053" s="74"/>
      <c r="W1053" s="77"/>
      <c r="X1053" s="74"/>
      <c r="Y1053" s="676"/>
      <c r="Z1053" s="77"/>
      <c r="AA1053" s="409"/>
      <c r="AB1053" s="410"/>
    </row>
    <row r="1054" spans="1:28" s="597" customFormat="1" ht="18" customHeight="1" x14ac:dyDescent="0.2">
      <c r="A1054" s="88"/>
      <c r="B1054" s="88"/>
      <c r="C1054" s="88"/>
      <c r="D1054" s="88"/>
      <c r="E1054" s="88"/>
      <c r="F1054" s="88"/>
      <c r="G1054" s="88"/>
      <c r="H1054" s="495"/>
      <c r="I1054" s="121"/>
      <c r="J1054" s="107"/>
      <c r="K1054" s="78"/>
      <c r="L1054" s="75"/>
      <c r="M1054" s="61"/>
      <c r="N1054" s="61"/>
      <c r="O1054" s="61"/>
      <c r="P1054" s="173"/>
      <c r="Q1054" s="174"/>
      <c r="R1054" s="408"/>
      <c r="S1054" s="77"/>
      <c r="T1054" s="135"/>
      <c r="U1054" s="74"/>
      <c r="V1054" s="74"/>
      <c r="W1054" s="77"/>
      <c r="X1054" s="74"/>
      <c r="Y1054" s="676"/>
      <c r="Z1054" s="77"/>
      <c r="AA1054" s="409"/>
      <c r="AB1054" s="410"/>
    </row>
    <row r="1055" spans="1:28" s="597" customFormat="1" ht="18" customHeight="1" x14ac:dyDescent="0.2">
      <c r="A1055" s="88"/>
      <c r="B1055" s="88"/>
      <c r="C1055" s="88"/>
      <c r="D1055" s="88"/>
      <c r="E1055" s="88"/>
      <c r="F1055" s="88"/>
      <c r="G1055" s="88"/>
      <c r="H1055" s="495"/>
      <c r="I1055" s="77"/>
      <c r="J1055" s="107"/>
      <c r="K1055" s="78"/>
      <c r="L1055" s="75"/>
      <c r="M1055" s="61"/>
      <c r="N1055" s="61"/>
      <c r="O1055" s="61"/>
      <c r="P1055" s="173"/>
      <c r="Q1055" s="174"/>
      <c r="R1055" s="408"/>
      <c r="S1055" s="77"/>
      <c r="T1055" s="135"/>
      <c r="U1055" s="74"/>
      <c r="V1055" s="74"/>
      <c r="W1055" s="77"/>
      <c r="X1055" s="74"/>
      <c r="Y1055" s="676"/>
      <c r="Z1055" s="77"/>
      <c r="AA1055" s="409"/>
      <c r="AB1055" s="410"/>
    </row>
    <row r="1056" spans="1:28" s="597" customFormat="1" ht="18" customHeight="1" x14ac:dyDescent="0.2">
      <c r="A1056" s="145"/>
      <c r="B1056" s="177"/>
      <c r="C1056" s="177"/>
      <c r="D1056" s="145"/>
      <c r="E1056" s="145"/>
      <c r="F1056" s="145"/>
      <c r="G1056" s="145"/>
      <c r="H1056" s="147"/>
      <c r="I1056" s="107"/>
      <c r="J1056" s="178"/>
      <c r="K1056" s="107"/>
      <c r="L1056" s="145"/>
      <c r="M1056" s="145"/>
      <c r="N1056" s="145"/>
      <c r="O1056" s="145"/>
      <c r="P1056" s="147"/>
      <c r="Q1056" s="148"/>
      <c r="R1056" s="437"/>
      <c r="S1056" s="107"/>
      <c r="T1056" s="179"/>
      <c r="U1056" s="178"/>
      <c r="V1056" s="107"/>
      <c r="W1056" s="107"/>
      <c r="X1056" s="470"/>
      <c r="Y1056" s="470"/>
      <c r="Z1056" s="471"/>
      <c r="AA1056" s="471"/>
      <c r="AB1056" s="466"/>
    </row>
    <row r="1057" spans="1:28" s="597" customFormat="1" ht="18" customHeight="1" x14ac:dyDescent="0.2">
      <c r="A1057" s="145"/>
      <c r="B1057" s="177"/>
      <c r="C1057" s="177"/>
      <c r="D1057" s="145"/>
      <c r="E1057" s="145"/>
      <c r="F1057" s="145"/>
      <c r="G1057" s="145"/>
      <c r="H1057" s="147"/>
      <c r="I1057" s="107"/>
      <c r="J1057" s="178"/>
      <c r="K1057" s="107"/>
      <c r="L1057" s="145"/>
      <c r="M1057" s="145"/>
      <c r="N1057" s="145"/>
      <c r="O1057" s="145"/>
      <c r="P1057" s="147"/>
      <c r="Q1057" s="148"/>
      <c r="R1057" s="437"/>
      <c r="S1057" s="107"/>
      <c r="T1057" s="179"/>
      <c r="U1057" s="178"/>
      <c r="V1057" s="107"/>
      <c r="W1057" s="107"/>
      <c r="X1057" s="470"/>
      <c r="Y1057" s="470"/>
      <c r="Z1057" s="471"/>
      <c r="AA1057" s="471"/>
      <c r="AB1057" s="466"/>
    </row>
    <row r="1058" spans="1:28" s="597" customFormat="1" ht="18" customHeight="1" x14ac:dyDescent="0.2">
      <c r="A1058" s="145"/>
      <c r="B1058" s="177"/>
      <c r="C1058" s="177"/>
      <c r="D1058" s="145"/>
      <c r="E1058" s="145"/>
      <c r="F1058" s="145"/>
      <c r="G1058" s="145"/>
      <c r="H1058" s="147"/>
      <c r="I1058" s="107"/>
      <c r="J1058" s="178"/>
      <c r="K1058" s="107"/>
      <c r="L1058" s="145"/>
      <c r="M1058" s="145"/>
      <c r="N1058" s="145"/>
      <c r="O1058" s="145"/>
      <c r="P1058" s="147"/>
      <c r="Q1058" s="148"/>
      <c r="R1058" s="437"/>
      <c r="S1058" s="107"/>
      <c r="T1058" s="179"/>
      <c r="U1058" s="178"/>
      <c r="V1058" s="107"/>
      <c r="W1058" s="107"/>
      <c r="X1058" s="470"/>
      <c r="Y1058" s="470"/>
      <c r="Z1058" s="471"/>
      <c r="AA1058" s="471"/>
      <c r="AB1058" s="466"/>
    </row>
    <row r="1059" spans="1:28" s="597" customFormat="1" ht="18" customHeight="1" x14ac:dyDescent="0.2">
      <c r="A1059" s="145"/>
      <c r="B1059" s="177"/>
      <c r="C1059" s="177"/>
      <c r="D1059" s="145"/>
      <c r="E1059" s="145"/>
      <c r="F1059" s="145"/>
      <c r="G1059" s="145"/>
      <c r="H1059" s="147"/>
      <c r="I1059" s="107"/>
      <c r="J1059" s="178"/>
      <c r="K1059" s="107"/>
      <c r="L1059" s="145"/>
      <c r="M1059" s="145"/>
      <c r="N1059" s="145"/>
      <c r="O1059" s="145"/>
      <c r="P1059" s="147"/>
      <c r="Q1059" s="148"/>
      <c r="R1059" s="437"/>
      <c r="S1059" s="107"/>
      <c r="T1059" s="179"/>
      <c r="U1059" s="178"/>
      <c r="V1059" s="107"/>
      <c r="W1059" s="107"/>
      <c r="X1059" s="470"/>
      <c r="Y1059" s="470"/>
      <c r="Z1059" s="471"/>
      <c r="AA1059" s="471"/>
      <c r="AB1059" s="466"/>
    </row>
    <row r="1060" spans="1:28" s="597" customFormat="1" ht="18" customHeight="1" x14ac:dyDescent="0.2">
      <c r="A1060" s="145"/>
      <c r="B1060" s="177"/>
      <c r="C1060" s="177"/>
      <c r="D1060" s="145"/>
      <c r="E1060" s="145"/>
      <c r="F1060" s="145"/>
      <c r="G1060" s="145"/>
      <c r="H1060" s="147"/>
      <c r="I1060" s="107"/>
      <c r="J1060" s="178"/>
      <c r="K1060" s="107"/>
      <c r="L1060" s="145"/>
      <c r="M1060" s="145"/>
      <c r="N1060" s="145"/>
      <c r="O1060" s="145"/>
      <c r="P1060" s="147"/>
      <c r="Q1060" s="148"/>
      <c r="R1060" s="437"/>
      <c r="S1060" s="107"/>
      <c r="T1060" s="179"/>
      <c r="U1060" s="178"/>
      <c r="V1060" s="107"/>
      <c r="W1060" s="107"/>
      <c r="X1060" s="470"/>
      <c r="Y1060" s="470"/>
      <c r="Z1060" s="471"/>
      <c r="AA1060" s="471"/>
      <c r="AB1060" s="466"/>
    </row>
    <row r="1061" spans="1:28" s="597" customFormat="1" ht="18" customHeight="1" x14ac:dyDescent="0.2">
      <c r="A1061" s="145"/>
      <c r="B1061" s="177"/>
      <c r="C1061" s="177"/>
      <c r="D1061" s="145"/>
      <c r="E1061" s="145"/>
      <c r="F1061" s="145"/>
      <c r="G1061" s="145"/>
      <c r="H1061" s="147"/>
      <c r="I1061" s="107"/>
      <c r="J1061" s="178"/>
      <c r="K1061" s="107"/>
      <c r="L1061" s="145"/>
      <c r="M1061" s="145"/>
      <c r="N1061" s="145"/>
      <c r="O1061" s="145"/>
      <c r="P1061" s="147"/>
      <c r="Q1061" s="148"/>
      <c r="R1061" s="437"/>
      <c r="S1061" s="107"/>
      <c r="T1061" s="179"/>
      <c r="U1061" s="178"/>
      <c r="V1061" s="107"/>
      <c r="W1061" s="107"/>
      <c r="X1061" s="470"/>
      <c r="Y1061" s="470"/>
      <c r="Z1061" s="471"/>
      <c r="AA1061" s="471"/>
      <c r="AB1061" s="466"/>
    </row>
    <row r="1062" spans="1:28" s="597" customFormat="1" ht="18" customHeight="1" x14ac:dyDescent="0.2">
      <c r="A1062" s="145"/>
      <c r="B1062" s="177"/>
      <c r="C1062" s="177"/>
      <c r="D1062" s="145"/>
      <c r="E1062" s="145"/>
      <c r="F1062" s="145"/>
      <c r="G1062" s="145"/>
      <c r="H1062" s="147"/>
      <c r="I1062" s="107"/>
      <c r="J1062" s="178"/>
      <c r="K1062" s="107"/>
      <c r="L1062" s="145"/>
      <c r="M1062" s="145"/>
      <c r="N1062" s="145"/>
      <c r="O1062" s="145"/>
      <c r="P1062" s="147"/>
      <c r="Q1062" s="148"/>
      <c r="R1062" s="437"/>
      <c r="S1062" s="107"/>
      <c r="T1062" s="179"/>
      <c r="U1062" s="178"/>
      <c r="V1062" s="107"/>
      <c r="W1062" s="107"/>
      <c r="X1062" s="470"/>
      <c r="Y1062" s="470"/>
      <c r="Z1062" s="471"/>
      <c r="AA1062" s="471"/>
      <c r="AB1062" s="466"/>
    </row>
    <row r="1063" spans="1:28" s="597" customFormat="1" ht="18" customHeight="1" x14ac:dyDescent="0.2">
      <c r="A1063" s="88"/>
      <c r="B1063" s="180"/>
      <c r="C1063" s="180"/>
      <c r="D1063" s="88"/>
      <c r="E1063" s="88"/>
      <c r="F1063" s="88"/>
      <c r="G1063" s="88"/>
      <c r="H1063" s="120"/>
      <c r="I1063" s="121"/>
      <c r="J1063" s="181"/>
      <c r="K1063" s="121"/>
      <c r="L1063" s="88"/>
      <c r="M1063" s="88"/>
      <c r="N1063" s="88"/>
      <c r="O1063" s="88"/>
      <c r="P1063" s="88"/>
      <c r="Q1063" s="129"/>
      <c r="R1063" s="445"/>
      <c r="S1063" s="121"/>
      <c r="T1063" s="182"/>
      <c r="U1063" s="181"/>
      <c r="V1063" s="121"/>
      <c r="W1063" s="121"/>
      <c r="X1063" s="472"/>
      <c r="Y1063" s="472"/>
      <c r="Z1063" s="473"/>
      <c r="AA1063" s="473"/>
      <c r="AB1063" s="410"/>
    </row>
    <row r="1064" spans="1:28" s="597" customFormat="1" ht="18" customHeight="1" x14ac:dyDescent="0.2">
      <c r="A1064" s="1850"/>
      <c r="B1064" s="1850"/>
      <c r="C1064" s="1850"/>
      <c r="D1064" s="1850"/>
      <c r="E1064" s="1850"/>
      <c r="F1064" s="1850"/>
      <c r="G1064" s="1850"/>
      <c r="H1064" s="1851"/>
      <c r="I1064" s="1852"/>
      <c r="J1064" s="1853"/>
      <c r="K1064" s="1852"/>
      <c r="L1064" s="1852"/>
      <c r="M1064" s="1852"/>
      <c r="N1064" s="1852"/>
      <c r="O1064" s="1852"/>
      <c r="P1064" s="1852"/>
      <c r="Q1064" s="1852"/>
      <c r="R1064" s="1854"/>
      <c r="S1064" s="1852"/>
      <c r="T1064" s="1855"/>
      <c r="U1064" s="1853"/>
      <c r="V1064" s="1852"/>
      <c r="W1064" s="1852"/>
      <c r="X1064" s="1856"/>
      <c r="Y1064" s="1856"/>
      <c r="Z1064" s="1857"/>
      <c r="AA1064" s="1857"/>
      <c r="AB1064" s="1847">
        <f>SUM(AB1049:AB1063)</f>
        <v>780.81599999999992</v>
      </c>
    </row>
    <row r="1065" spans="1:28" s="597" customFormat="1" ht="18" customHeight="1" x14ac:dyDescent="0.2">
      <c r="A1065" s="2690" t="s">
        <v>76</v>
      </c>
      <c r="B1065" s="2690"/>
      <c r="C1065" s="2691" t="s">
        <v>77</v>
      </c>
      <c r="D1065" s="2691"/>
      <c r="E1065" s="2691"/>
      <c r="F1065" s="2691"/>
      <c r="G1065" s="2691"/>
      <c r="H1065" s="2691"/>
      <c r="I1065" s="604" t="s">
        <v>78</v>
      </c>
      <c r="J1065" s="604"/>
      <c r="K1065" s="604"/>
      <c r="L1065" s="604"/>
      <c r="M1065" s="604"/>
      <c r="N1065" s="604"/>
      <c r="AB1065" s="598"/>
    </row>
    <row r="1066" spans="1:28" s="597" customFormat="1" ht="18" customHeight="1" x14ac:dyDescent="0.2">
      <c r="A1066" s="604"/>
      <c r="B1066" s="605"/>
      <c r="C1066" s="604"/>
      <c r="D1066" s="604"/>
      <c r="E1066" s="604"/>
      <c r="F1066" s="604"/>
      <c r="G1066" s="604"/>
      <c r="H1066" s="604"/>
      <c r="I1066" s="604" t="s">
        <v>79</v>
      </c>
      <c r="J1066" s="604"/>
      <c r="K1066" s="604"/>
      <c r="L1066" s="604"/>
      <c r="M1066" s="604"/>
      <c r="N1066" s="604"/>
      <c r="AB1066" s="598"/>
    </row>
    <row r="1067" spans="1:28" s="597" customFormat="1" ht="18" customHeight="1" x14ac:dyDescent="0.2">
      <c r="A1067" s="604"/>
      <c r="B1067" s="605"/>
      <c r="C1067" s="604"/>
      <c r="D1067" s="604"/>
      <c r="E1067" s="604"/>
      <c r="F1067" s="604"/>
      <c r="G1067" s="604"/>
      <c r="H1067" s="604"/>
      <c r="I1067" s="604" t="s">
        <v>80</v>
      </c>
      <c r="J1067" s="604"/>
      <c r="K1067" s="604"/>
      <c r="L1067" s="604"/>
      <c r="M1067" s="604"/>
      <c r="N1067" s="604"/>
      <c r="AB1067" s="598"/>
    </row>
    <row r="1068" spans="1:28" s="597" customFormat="1" ht="18" customHeight="1" x14ac:dyDescent="0.2">
      <c r="A1068" s="604"/>
      <c r="B1068" s="605"/>
      <c r="C1068" s="604"/>
      <c r="D1068" s="604"/>
      <c r="E1068" s="604"/>
      <c r="F1068" s="604"/>
      <c r="G1068" s="604"/>
      <c r="H1068" s="604"/>
      <c r="I1068" s="604" t="s">
        <v>81</v>
      </c>
      <c r="J1068" s="604"/>
      <c r="K1068" s="604"/>
      <c r="L1068" s="604"/>
      <c r="M1068" s="604"/>
      <c r="N1068" s="604"/>
      <c r="AB1068" s="598"/>
    </row>
    <row r="1069" spans="1:28" s="597" customFormat="1" ht="18" customHeight="1" x14ac:dyDescent="0.2">
      <c r="A1069" s="604"/>
      <c r="B1069" s="605"/>
      <c r="C1069" s="604"/>
      <c r="D1069" s="604"/>
      <c r="E1069" s="604"/>
      <c r="F1069" s="604"/>
      <c r="G1069" s="604"/>
      <c r="H1069" s="604"/>
      <c r="I1069" s="604" t="s">
        <v>88</v>
      </c>
      <c r="J1069" s="604"/>
      <c r="K1069" s="604"/>
      <c r="L1069" s="604"/>
      <c r="M1069" s="604"/>
      <c r="N1069" s="604"/>
      <c r="AB1069" s="598"/>
    </row>
    <row r="1070" spans="1:28" s="597" customFormat="1" ht="18" customHeight="1" x14ac:dyDescent="0.2">
      <c r="A1070" s="339"/>
      <c r="B1070" s="339"/>
      <c r="C1070" s="339"/>
      <c r="D1070" s="339"/>
      <c r="E1070" s="339"/>
      <c r="F1070" s="339"/>
      <c r="G1070" s="339"/>
      <c r="H1070" s="339"/>
      <c r="I1070" s="339"/>
      <c r="J1070" s="339"/>
      <c r="K1070" s="339"/>
      <c r="L1070" s="339"/>
      <c r="M1070" s="339"/>
      <c r="N1070" s="339"/>
      <c r="O1070" s="339"/>
      <c r="P1070" s="339"/>
      <c r="Q1070" s="339"/>
      <c r="R1070" s="339"/>
      <c r="S1070" s="339"/>
      <c r="T1070" s="339"/>
      <c r="U1070" s="339"/>
      <c r="V1070" s="339"/>
      <c r="W1070" s="339"/>
      <c r="X1070" s="339"/>
      <c r="Y1070" s="339"/>
      <c r="Z1070" s="339"/>
      <c r="AA1070" s="2702" t="s">
        <v>0</v>
      </c>
      <c r="AB1070" s="2702"/>
    </row>
    <row r="1071" spans="1:28" s="597" customFormat="1" ht="18" customHeight="1" x14ac:dyDescent="0.2">
      <c r="A1071" s="2703" t="s">
        <v>1</v>
      </c>
      <c r="B1071" s="2703"/>
      <c r="C1071" s="2703"/>
      <c r="D1071" s="2703"/>
      <c r="E1071" s="2703"/>
      <c r="F1071" s="2703"/>
      <c r="G1071" s="2703"/>
      <c r="H1071" s="2703"/>
      <c r="I1071" s="2703"/>
      <c r="J1071" s="2703"/>
      <c r="K1071" s="2703"/>
      <c r="L1071" s="2703"/>
      <c r="M1071" s="2703"/>
      <c r="N1071" s="2703"/>
      <c r="O1071" s="2703"/>
      <c r="P1071" s="2703"/>
      <c r="Q1071" s="2703"/>
      <c r="R1071" s="2703"/>
      <c r="S1071" s="2703"/>
      <c r="T1071" s="2703"/>
      <c r="U1071" s="2703"/>
      <c r="V1071" s="2703"/>
      <c r="W1071" s="2703"/>
      <c r="X1071" s="2703"/>
      <c r="Y1071" s="2703"/>
      <c r="Z1071" s="2703"/>
      <c r="AA1071" s="2703"/>
      <c r="AB1071" s="2703"/>
    </row>
    <row r="1072" spans="1:28" s="597" customFormat="1" ht="18" customHeight="1" x14ac:dyDescent="0.2">
      <c r="A1072" s="2704" t="s">
        <v>484</v>
      </c>
      <c r="B1072" s="2704"/>
      <c r="C1072" s="2704"/>
      <c r="D1072" s="2704"/>
      <c r="E1072" s="2704"/>
      <c r="F1072" s="2704"/>
      <c r="G1072" s="2704"/>
      <c r="H1072" s="2704"/>
      <c r="I1072" s="2704"/>
      <c r="J1072" s="2704"/>
      <c r="K1072" s="2704"/>
      <c r="L1072" s="2704"/>
      <c r="M1072" s="2704"/>
      <c r="N1072" s="2704"/>
      <c r="O1072" s="2704"/>
      <c r="P1072" s="2704"/>
      <c r="Q1072" s="2704"/>
      <c r="R1072" s="2704"/>
      <c r="S1072" s="2704"/>
      <c r="T1072" s="2704"/>
      <c r="U1072" s="2704"/>
      <c r="V1072" s="2704"/>
      <c r="W1072" s="2704"/>
      <c r="X1072" s="2704"/>
      <c r="Y1072" s="2704"/>
      <c r="Z1072" s="2704"/>
      <c r="AA1072" s="2704"/>
      <c r="AB1072" s="2704"/>
    </row>
    <row r="1073" spans="1:28" s="597" customFormat="1" ht="18" customHeight="1" x14ac:dyDescent="0.2">
      <c r="A1073" s="2686" t="s">
        <v>2</v>
      </c>
      <c r="B1073" s="360"/>
      <c r="C1073" s="2686" t="s">
        <v>3</v>
      </c>
      <c r="D1073" s="360"/>
      <c r="E1073" s="360"/>
      <c r="F1073" s="2693" t="s">
        <v>4</v>
      </c>
      <c r="G1073" s="2693"/>
      <c r="H1073" s="2693"/>
      <c r="I1073" s="2694"/>
      <c r="J1073" s="2694"/>
      <c r="K1073" s="2695"/>
      <c r="L1073" s="361"/>
      <c r="M1073" s="2679" t="s">
        <v>5</v>
      </c>
      <c r="N1073" s="2679"/>
      <c r="O1073" s="2679"/>
      <c r="P1073" s="2679"/>
      <c r="Q1073" s="2696"/>
      <c r="R1073" s="2696"/>
      <c r="S1073" s="2696"/>
      <c r="T1073" s="2696"/>
      <c r="U1073" s="2696"/>
      <c r="V1073" s="2697"/>
      <c r="W1073" s="362" t="s">
        <v>6</v>
      </c>
      <c r="X1073" s="363" t="s">
        <v>7</v>
      </c>
      <c r="Y1073" s="364"/>
      <c r="Z1073" s="364"/>
      <c r="AA1073" s="363"/>
      <c r="AB1073" s="365"/>
    </row>
    <row r="1074" spans="1:28" s="597" customFormat="1" ht="18" customHeight="1" x14ac:dyDescent="0.2">
      <c r="A1074" s="2687"/>
      <c r="B1074" s="367"/>
      <c r="C1074" s="2687"/>
      <c r="D1074" s="366" t="s">
        <v>9</v>
      </c>
      <c r="E1074" s="368" t="s">
        <v>10</v>
      </c>
      <c r="F1074" s="2698" t="s">
        <v>11</v>
      </c>
      <c r="G1074" s="2694"/>
      <c r="H1074" s="2695"/>
      <c r="I1074" s="360"/>
      <c r="J1074" s="369" t="s">
        <v>12</v>
      </c>
      <c r="K1074" s="360"/>
      <c r="L1074" s="2679" t="s">
        <v>2</v>
      </c>
      <c r="M1074" s="370"/>
      <c r="N1074" s="370"/>
      <c r="O1074" s="370"/>
      <c r="P1074" s="371"/>
      <c r="Q1074" s="372" t="s">
        <v>13</v>
      </c>
      <c r="R1074" s="373" t="s">
        <v>12</v>
      </c>
      <c r="S1074" s="370" t="s">
        <v>6</v>
      </c>
      <c r="T1074" s="2682" t="s">
        <v>14</v>
      </c>
      <c r="U1074" s="2683"/>
      <c r="V1074" s="375" t="s">
        <v>7</v>
      </c>
      <c r="W1074" s="376" t="s">
        <v>15</v>
      </c>
      <c r="X1074" s="377" t="s">
        <v>16</v>
      </c>
      <c r="Y1074" s="377" t="s">
        <v>17</v>
      </c>
      <c r="Z1074" s="377" t="s">
        <v>18</v>
      </c>
      <c r="AA1074" s="377"/>
      <c r="AB1074" s="378" t="s">
        <v>19</v>
      </c>
    </row>
    <row r="1075" spans="1:28" s="597" customFormat="1" ht="18" customHeight="1" x14ac:dyDescent="0.2">
      <c r="A1075" s="2687"/>
      <c r="B1075" s="366" t="s">
        <v>23</v>
      </c>
      <c r="C1075" s="2687"/>
      <c r="D1075" s="366" t="s">
        <v>24</v>
      </c>
      <c r="E1075" s="368" t="s">
        <v>25</v>
      </c>
      <c r="F1075" s="2699"/>
      <c r="G1075" s="2700"/>
      <c r="H1075" s="2701"/>
      <c r="I1075" s="366" t="s">
        <v>26</v>
      </c>
      <c r="J1075" s="379" t="s">
        <v>15</v>
      </c>
      <c r="K1075" s="380" t="s">
        <v>6</v>
      </c>
      <c r="L1075" s="2680"/>
      <c r="M1075" s="381" t="s">
        <v>27</v>
      </c>
      <c r="N1075" s="381" t="s">
        <v>10</v>
      </c>
      <c r="O1075" s="382" t="s">
        <v>10</v>
      </c>
      <c r="P1075" s="383" t="s">
        <v>28</v>
      </c>
      <c r="Q1075" s="384" t="s">
        <v>29</v>
      </c>
      <c r="R1075" s="383" t="s">
        <v>15</v>
      </c>
      <c r="S1075" s="385" t="s">
        <v>15</v>
      </c>
      <c r="T1075" s="2684"/>
      <c r="U1075" s="2685"/>
      <c r="V1075" s="375" t="s">
        <v>30</v>
      </c>
      <c r="W1075" s="376" t="s">
        <v>31</v>
      </c>
      <c r="X1075" s="377" t="s">
        <v>30</v>
      </c>
      <c r="Y1075" s="377" t="s">
        <v>32</v>
      </c>
      <c r="Z1075" s="377" t="s">
        <v>7</v>
      </c>
      <c r="AA1075" s="377" t="s">
        <v>33</v>
      </c>
      <c r="AB1075" s="378" t="s">
        <v>34</v>
      </c>
    </row>
    <row r="1076" spans="1:28" s="597" customFormat="1" ht="18" customHeight="1" x14ac:dyDescent="0.2">
      <c r="A1076" s="2687"/>
      <c r="B1076" s="366" t="s">
        <v>39</v>
      </c>
      <c r="C1076" s="2687"/>
      <c r="D1076" s="366" t="s">
        <v>40</v>
      </c>
      <c r="E1076" s="368" t="s">
        <v>41</v>
      </c>
      <c r="F1076" s="2686" t="s">
        <v>42</v>
      </c>
      <c r="G1076" s="2686" t="s">
        <v>43</v>
      </c>
      <c r="H1076" s="2688" t="s">
        <v>44</v>
      </c>
      <c r="I1076" s="366" t="s">
        <v>45</v>
      </c>
      <c r="J1076" s="379" t="s">
        <v>46</v>
      </c>
      <c r="K1076" s="380" t="s">
        <v>47</v>
      </c>
      <c r="L1076" s="2680"/>
      <c r="M1076" s="381" t="s">
        <v>30</v>
      </c>
      <c r="N1076" s="381" t="s">
        <v>30</v>
      </c>
      <c r="O1076" s="382" t="s">
        <v>25</v>
      </c>
      <c r="P1076" s="383" t="s">
        <v>30</v>
      </c>
      <c r="Q1076" s="384" t="s">
        <v>48</v>
      </c>
      <c r="R1076" s="383" t="s">
        <v>49</v>
      </c>
      <c r="S1076" s="385" t="s">
        <v>30</v>
      </c>
      <c r="T1076" s="386" t="s">
        <v>50</v>
      </c>
      <c r="U1076" s="374" t="s">
        <v>13</v>
      </c>
      <c r="V1076" s="375" t="s">
        <v>51</v>
      </c>
      <c r="W1076" s="376" t="s">
        <v>52</v>
      </c>
      <c r="X1076" s="377" t="s">
        <v>53</v>
      </c>
      <c r="Y1076" s="377" t="s">
        <v>54</v>
      </c>
      <c r="Z1076" s="377" t="s">
        <v>55</v>
      </c>
      <c r="AA1076" s="377" t="s">
        <v>56</v>
      </c>
      <c r="AB1076" s="378" t="s">
        <v>57</v>
      </c>
    </row>
    <row r="1077" spans="1:28" s="597" customFormat="1" ht="18" customHeight="1" x14ac:dyDescent="0.2">
      <c r="A1077" s="2687"/>
      <c r="B1077" s="366" t="s">
        <v>61</v>
      </c>
      <c r="C1077" s="2687"/>
      <c r="D1077" s="366" t="s">
        <v>62</v>
      </c>
      <c r="E1077" s="368" t="s">
        <v>63</v>
      </c>
      <c r="F1077" s="2687"/>
      <c r="G1077" s="2687"/>
      <c r="H1077" s="2689"/>
      <c r="I1077" s="366" t="s">
        <v>64</v>
      </c>
      <c r="J1077" s="379" t="s">
        <v>59</v>
      </c>
      <c r="K1077" s="380" t="s">
        <v>59</v>
      </c>
      <c r="L1077" s="2680"/>
      <c r="M1077" s="381"/>
      <c r="N1077" s="381"/>
      <c r="O1077" s="382" t="s">
        <v>41</v>
      </c>
      <c r="P1077" s="383" t="s">
        <v>65</v>
      </c>
      <c r="Q1077" s="384" t="s">
        <v>66</v>
      </c>
      <c r="R1077" s="383" t="s">
        <v>67</v>
      </c>
      <c r="S1077" s="385" t="s">
        <v>59</v>
      </c>
      <c r="T1077" s="387" t="s">
        <v>68</v>
      </c>
      <c r="U1077" s="375" t="s">
        <v>14</v>
      </c>
      <c r="V1077" s="375" t="s">
        <v>14</v>
      </c>
      <c r="W1077" s="376" t="s">
        <v>30</v>
      </c>
      <c r="X1077" s="388" t="s">
        <v>69</v>
      </c>
      <c r="Y1077" s="388" t="s">
        <v>70</v>
      </c>
      <c r="Z1077" s="377" t="s">
        <v>71</v>
      </c>
      <c r="AA1077" s="377" t="s">
        <v>72</v>
      </c>
      <c r="AB1077" s="378" t="s">
        <v>59</v>
      </c>
    </row>
    <row r="1078" spans="1:28" s="597" customFormat="1" ht="18" customHeight="1" x14ac:dyDescent="0.2">
      <c r="A1078" s="2692"/>
      <c r="B1078" s="390"/>
      <c r="C1078" s="2692"/>
      <c r="D1078" s="390"/>
      <c r="E1078" s="389"/>
      <c r="F1078" s="390"/>
      <c r="G1078" s="390"/>
      <c r="H1078" s="391"/>
      <c r="I1078" s="389"/>
      <c r="J1078" s="392"/>
      <c r="K1078" s="393"/>
      <c r="L1078" s="2681"/>
      <c r="M1078" s="394"/>
      <c r="N1078" s="394"/>
      <c r="O1078" s="394" t="s">
        <v>63</v>
      </c>
      <c r="P1078" s="395"/>
      <c r="Q1078" s="396" t="s">
        <v>72</v>
      </c>
      <c r="R1078" s="397" t="s">
        <v>59</v>
      </c>
      <c r="S1078" s="398"/>
      <c r="T1078" s="397" t="s">
        <v>73</v>
      </c>
      <c r="U1078" s="398" t="s">
        <v>59</v>
      </c>
      <c r="V1078" s="399" t="s">
        <v>59</v>
      </c>
      <c r="W1078" s="400" t="s">
        <v>59</v>
      </c>
      <c r="X1078" s="401" t="s">
        <v>59</v>
      </c>
      <c r="Y1078" s="401" t="s">
        <v>59</v>
      </c>
      <c r="Z1078" s="401" t="s">
        <v>59</v>
      </c>
      <c r="AA1078" s="402"/>
      <c r="AB1078" s="403"/>
    </row>
    <row r="1079" spans="1:28" s="597" customFormat="1" ht="18" customHeight="1" x14ac:dyDescent="0.2">
      <c r="A1079" s="145">
        <v>1</v>
      </c>
      <c r="B1079" s="85">
        <v>28666</v>
      </c>
      <c r="C1079" s="88">
        <v>45</v>
      </c>
      <c r="D1079" s="115" t="s">
        <v>568</v>
      </c>
      <c r="E1079" s="88">
        <v>4</v>
      </c>
      <c r="F1079" s="88">
        <v>0</v>
      </c>
      <c r="G1079" s="88">
        <v>1</v>
      </c>
      <c r="H1079" s="495">
        <v>35</v>
      </c>
      <c r="I1079" s="74">
        <f t="shared" ref="I1079" si="45">F1079*400+G1079*100+H1079</f>
        <v>135</v>
      </c>
      <c r="J1079" s="121">
        <v>280</v>
      </c>
      <c r="K1079" s="159">
        <f>I1079*J1079</f>
        <v>37800</v>
      </c>
      <c r="L1079" s="75"/>
      <c r="M1079" s="75"/>
      <c r="N1079" s="75"/>
      <c r="O1079" s="75"/>
      <c r="P1079" s="188"/>
      <c r="Q1079" s="174"/>
      <c r="R1079" s="413"/>
      <c r="S1079" s="74"/>
      <c r="T1079" s="135"/>
      <c r="U1079" s="74"/>
      <c r="V1079" s="74"/>
      <c r="W1079" s="74"/>
      <c r="X1079" s="74"/>
      <c r="Y1079" s="606"/>
      <c r="Z1079" s="74">
        <f>K1079</f>
        <v>37800</v>
      </c>
      <c r="AA1079" s="414">
        <v>0.3</v>
      </c>
      <c r="AB1079" s="465">
        <f>Z1079*AA1079/100</f>
        <v>113.4</v>
      </c>
    </row>
    <row r="1080" spans="1:28" s="665" customFormat="1" ht="18" customHeight="1" x14ac:dyDescent="0.2">
      <c r="A1080" s="88"/>
      <c r="B1080" s="88"/>
      <c r="C1080" s="88"/>
      <c r="D1080" s="88"/>
      <c r="E1080" s="88"/>
      <c r="F1080" s="88"/>
      <c r="G1080" s="88"/>
      <c r="H1080" s="495"/>
      <c r="I1080" s="74"/>
      <c r="J1080" s="121"/>
      <c r="K1080" s="159"/>
      <c r="L1080" s="75"/>
      <c r="M1080" s="75"/>
      <c r="N1080" s="75"/>
      <c r="O1080" s="75"/>
      <c r="P1080" s="188"/>
      <c r="Q1080" s="174"/>
      <c r="R1080" s="413"/>
      <c r="S1080" s="74"/>
      <c r="T1080" s="135"/>
      <c r="U1080" s="74"/>
      <c r="V1080" s="74"/>
      <c r="W1080" s="74"/>
      <c r="X1080" s="74"/>
      <c r="Y1080" s="606"/>
      <c r="Z1080" s="74"/>
      <c r="AA1080" s="414"/>
      <c r="AB1080" s="410"/>
    </row>
    <row r="1081" spans="1:28" s="597" customFormat="1" ht="18" customHeight="1" x14ac:dyDescent="0.2">
      <c r="A1081" s="88"/>
      <c r="B1081" s="88"/>
      <c r="C1081" s="88"/>
      <c r="D1081" s="88"/>
      <c r="E1081" s="88"/>
      <c r="F1081" s="88"/>
      <c r="G1081" s="88"/>
      <c r="H1081" s="495"/>
      <c r="I1081" s="121"/>
      <c r="J1081" s="199"/>
      <c r="K1081" s="159"/>
      <c r="L1081" s="75"/>
      <c r="M1081" s="75"/>
      <c r="N1081" s="75"/>
      <c r="O1081" s="75"/>
      <c r="P1081" s="188"/>
      <c r="Q1081" s="174"/>
      <c r="R1081" s="413"/>
      <c r="S1081" s="74"/>
      <c r="T1081" s="135"/>
      <c r="U1081" s="74"/>
      <c r="V1081" s="74"/>
      <c r="W1081" s="74"/>
      <c r="X1081" s="74"/>
      <c r="Y1081" s="606"/>
      <c r="Z1081" s="74"/>
      <c r="AA1081" s="414"/>
      <c r="AB1081" s="410"/>
    </row>
    <row r="1082" spans="1:28" s="597" customFormat="1" ht="18" customHeight="1" x14ac:dyDescent="0.2">
      <c r="A1082" s="88"/>
      <c r="B1082" s="88"/>
      <c r="C1082" s="88"/>
      <c r="D1082" s="88"/>
      <c r="E1082" s="88"/>
      <c r="F1082" s="88"/>
      <c r="G1082" s="88"/>
      <c r="H1082" s="495"/>
      <c r="I1082" s="121"/>
      <c r="J1082" s="107"/>
      <c r="K1082" s="78"/>
      <c r="L1082" s="75"/>
      <c r="M1082" s="61"/>
      <c r="N1082" s="61"/>
      <c r="O1082" s="61"/>
      <c r="P1082" s="173"/>
      <c r="Q1082" s="174"/>
      <c r="R1082" s="408"/>
      <c r="S1082" s="77"/>
      <c r="T1082" s="135"/>
      <c r="U1082" s="74"/>
      <c r="V1082" s="74"/>
      <c r="W1082" s="77"/>
      <c r="X1082" s="74"/>
      <c r="Y1082" s="676"/>
      <c r="Z1082" s="77"/>
      <c r="AA1082" s="409"/>
      <c r="AB1082" s="410"/>
    </row>
    <row r="1083" spans="1:28" s="597" customFormat="1" ht="18" customHeight="1" x14ac:dyDescent="0.2">
      <c r="A1083" s="88"/>
      <c r="B1083" s="88"/>
      <c r="C1083" s="88"/>
      <c r="D1083" s="88"/>
      <c r="E1083" s="88"/>
      <c r="F1083" s="88"/>
      <c r="G1083" s="88"/>
      <c r="H1083" s="495"/>
      <c r="I1083" s="150"/>
      <c r="J1083" s="107"/>
      <c r="K1083" s="78"/>
      <c r="L1083" s="75"/>
      <c r="M1083" s="61"/>
      <c r="N1083" s="61"/>
      <c r="O1083" s="61"/>
      <c r="P1083" s="173"/>
      <c r="Q1083" s="174"/>
      <c r="R1083" s="408"/>
      <c r="S1083" s="77"/>
      <c r="T1083" s="135"/>
      <c r="U1083" s="74"/>
      <c r="V1083" s="74"/>
      <c r="W1083" s="77"/>
      <c r="X1083" s="74"/>
      <c r="Y1083" s="676"/>
      <c r="Z1083" s="77"/>
      <c r="AA1083" s="409"/>
      <c r="AB1083" s="410"/>
    </row>
    <row r="1084" spans="1:28" s="597" customFormat="1" ht="18" customHeight="1" x14ac:dyDescent="0.2">
      <c r="A1084" s="88"/>
      <c r="B1084" s="88"/>
      <c r="C1084" s="88"/>
      <c r="D1084" s="88"/>
      <c r="E1084" s="88"/>
      <c r="F1084" s="88"/>
      <c r="G1084" s="88"/>
      <c r="H1084" s="495"/>
      <c r="I1084" s="121"/>
      <c r="J1084" s="107"/>
      <c r="K1084" s="78"/>
      <c r="L1084" s="75"/>
      <c r="M1084" s="61"/>
      <c r="N1084" s="61"/>
      <c r="O1084" s="61"/>
      <c r="P1084" s="173"/>
      <c r="Q1084" s="174"/>
      <c r="R1084" s="408"/>
      <c r="S1084" s="77"/>
      <c r="T1084" s="135"/>
      <c r="U1084" s="74"/>
      <c r="V1084" s="74"/>
      <c r="W1084" s="77"/>
      <c r="X1084" s="74"/>
      <c r="Y1084" s="676"/>
      <c r="Z1084" s="77"/>
      <c r="AA1084" s="409"/>
      <c r="AB1084" s="410"/>
    </row>
    <row r="1085" spans="1:28" s="597" customFormat="1" ht="18" customHeight="1" x14ac:dyDescent="0.2">
      <c r="A1085" s="88"/>
      <c r="B1085" s="88"/>
      <c r="C1085" s="88"/>
      <c r="D1085" s="88"/>
      <c r="E1085" s="88"/>
      <c r="F1085" s="88"/>
      <c r="G1085" s="88"/>
      <c r="H1085" s="495"/>
      <c r="I1085" s="77"/>
      <c r="J1085" s="107"/>
      <c r="K1085" s="78"/>
      <c r="L1085" s="75"/>
      <c r="M1085" s="61"/>
      <c r="N1085" s="61"/>
      <c r="O1085" s="61"/>
      <c r="P1085" s="173"/>
      <c r="Q1085" s="174"/>
      <c r="R1085" s="408"/>
      <c r="S1085" s="77"/>
      <c r="T1085" s="135"/>
      <c r="U1085" s="74"/>
      <c r="V1085" s="74"/>
      <c r="W1085" s="77"/>
      <c r="X1085" s="74"/>
      <c r="Y1085" s="676"/>
      <c r="Z1085" s="77"/>
      <c r="AA1085" s="409"/>
      <c r="AB1085" s="410"/>
    </row>
    <row r="1086" spans="1:28" s="597" customFormat="1" ht="18" customHeight="1" x14ac:dyDescent="0.2">
      <c r="A1086" s="145"/>
      <c r="B1086" s="177"/>
      <c r="C1086" s="177"/>
      <c r="D1086" s="145"/>
      <c r="E1086" s="145"/>
      <c r="F1086" s="145"/>
      <c r="G1086" s="145"/>
      <c r="H1086" s="147"/>
      <c r="I1086" s="107"/>
      <c r="J1086" s="178"/>
      <c r="K1086" s="107"/>
      <c r="L1086" s="145"/>
      <c r="M1086" s="145"/>
      <c r="N1086" s="145"/>
      <c r="O1086" s="145"/>
      <c r="P1086" s="147"/>
      <c r="Q1086" s="148"/>
      <c r="R1086" s="437"/>
      <c r="S1086" s="107"/>
      <c r="T1086" s="179"/>
      <c r="U1086" s="178"/>
      <c r="V1086" s="107"/>
      <c r="W1086" s="107"/>
      <c r="X1086" s="470"/>
      <c r="Y1086" s="470"/>
      <c r="Z1086" s="471"/>
      <c r="AA1086" s="471"/>
      <c r="AB1086" s="466"/>
    </row>
    <row r="1087" spans="1:28" s="597" customFormat="1" ht="18" customHeight="1" x14ac:dyDescent="0.2">
      <c r="A1087" s="145"/>
      <c r="B1087" s="177"/>
      <c r="C1087" s="177"/>
      <c r="D1087" s="145"/>
      <c r="E1087" s="145"/>
      <c r="F1087" s="145"/>
      <c r="G1087" s="145"/>
      <c r="H1087" s="147"/>
      <c r="I1087" s="107"/>
      <c r="J1087" s="178"/>
      <c r="K1087" s="107"/>
      <c r="L1087" s="145"/>
      <c r="M1087" s="145"/>
      <c r="N1087" s="145"/>
      <c r="O1087" s="145"/>
      <c r="P1087" s="147"/>
      <c r="Q1087" s="148"/>
      <c r="R1087" s="437"/>
      <c r="S1087" s="107"/>
      <c r="T1087" s="179"/>
      <c r="U1087" s="178"/>
      <c r="V1087" s="107"/>
      <c r="W1087" s="107"/>
      <c r="X1087" s="470"/>
      <c r="Y1087" s="470"/>
      <c r="Z1087" s="471"/>
      <c r="AA1087" s="471"/>
      <c r="AB1087" s="466"/>
    </row>
    <row r="1088" spans="1:28" s="597" customFormat="1" ht="18" customHeight="1" x14ac:dyDescent="0.2">
      <c r="A1088" s="145"/>
      <c r="B1088" s="177"/>
      <c r="C1088" s="177"/>
      <c r="D1088" s="145"/>
      <c r="E1088" s="145"/>
      <c r="F1088" s="145"/>
      <c r="G1088" s="145"/>
      <c r="H1088" s="147"/>
      <c r="I1088" s="107"/>
      <c r="J1088" s="178"/>
      <c r="K1088" s="107"/>
      <c r="L1088" s="145"/>
      <c r="M1088" s="145"/>
      <c r="N1088" s="145"/>
      <c r="O1088" s="145"/>
      <c r="P1088" s="147"/>
      <c r="Q1088" s="148"/>
      <c r="R1088" s="437"/>
      <c r="S1088" s="107"/>
      <c r="T1088" s="179"/>
      <c r="U1088" s="178"/>
      <c r="V1088" s="107"/>
      <c r="W1088" s="107"/>
      <c r="X1088" s="470"/>
      <c r="Y1088" s="470"/>
      <c r="Z1088" s="471"/>
      <c r="AA1088" s="471"/>
      <c r="AB1088" s="466"/>
    </row>
    <row r="1089" spans="1:28" s="597" customFormat="1" ht="18" customHeight="1" x14ac:dyDescent="0.2">
      <c r="A1089" s="145"/>
      <c r="B1089" s="177"/>
      <c r="C1089" s="177"/>
      <c r="D1089" s="145"/>
      <c r="E1089" s="145"/>
      <c r="F1089" s="145"/>
      <c r="G1089" s="145"/>
      <c r="H1089" s="147"/>
      <c r="I1089" s="107"/>
      <c r="J1089" s="178"/>
      <c r="K1089" s="107"/>
      <c r="L1089" s="145"/>
      <c r="M1089" s="145"/>
      <c r="N1089" s="145"/>
      <c r="O1089" s="145"/>
      <c r="P1089" s="147"/>
      <c r="Q1089" s="148"/>
      <c r="R1089" s="437"/>
      <c r="S1089" s="107"/>
      <c r="T1089" s="179"/>
      <c r="U1089" s="178"/>
      <c r="V1089" s="107"/>
      <c r="W1089" s="107"/>
      <c r="X1089" s="470"/>
      <c r="Y1089" s="470"/>
      <c r="Z1089" s="471"/>
      <c r="AA1089" s="471"/>
      <c r="AB1089" s="466"/>
    </row>
    <row r="1090" spans="1:28" s="597" customFormat="1" ht="18" customHeight="1" x14ac:dyDescent="0.2">
      <c r="A1090" s="145"/>
      <c r="B1090" s="177"/>
      <c r="C1090" s="177"/>
      <c r="D1090" s="145"/>
      <c r="E1090" s="145"/>
      <c r="F1090" s="145"/>
      <c r="G1090" s="145"/>
      <c r="H1090" s="147"/>
      <c r="I1090" s="107"/>
      <c r="J1090" s="178"/>
      <c r="K1090" s="107"/>
      <c r="L1090" s="145"/>
      <c r="M1090" s="145"/>
      <c r="N1090" s="145"/>
      <c r="O1090" s="145"/>
      <c r="P1090" s="147"/>
      <c r="Q1090" s="148"/>
      <c r="R1090" s="437"/>
      <c r="S1090" s="107"/>
      <c r="T1090" s="179"/>
      <c r="U1090" s="178"/>
      <c r="V1090" s="107"/>
      <c r="W1090" s="107"/>
      <c r="X1090" s="470"/>
      <c r="Y1090" s="470"/>
      <c r="Z1090" s="471"/>
      <c r="AA1090" s="471"/>
      <c r="AB1090" s="466"/>
    </row>
    <row r="1091" spans="1:28" s="597" customFormat="1" ht="18" customHeight="1" x14ac:dyDescent="0.2">
      <c r="A1091" s="145"/>
      <c r="B1091" s="177"/>
      <c r="C1091" s="177"/>
      <c r="D1091" s="145"/>
      <c r="E1091" s="145"/>
      <c r="F1091" s="145"/>
      <c r="G1091" s="145"/>
      <c r="H1091" s="147"/>
      <c r="I1091" s="107"/>
      <c r="J1091" s="178"/>
      <c r="K1091" s="107"/>
      <c r="L1091" s="145"/>
      <c r="M1091" s="145"/>
      <c r="N1091" s="145"/>
      <c r="O1091" s="145"/>
      <c r="P1091" s="147"/>
      <c r="Q1091" s="148"/>
      <c r="R1091" s="437"/>
      <c r="S1091" s="107"/>
      <c r="T1091" s="179"/>
      <c r="U1091" s="178"/>
      <c r="V1091" s="107"/>
      <c r="W1091" s="107"/>
      <c r="X1091" s="470"/>
      <c r="Y1091" s="470"/>
      <c r="Z1091" s="471"/>
      <c r="AA1091" s="471"/>
      <c r="AB1091" s="466"/>
    </row>
    <row r="1092" spans="1:28" s="597" customFormat="1" ht="18" customHeight="1" x14ac:dyDescent="0.2">
      <c r="A1092" s="145"/>
      <c r="B1092" s="177"/>
      <c r="C1092" s="177"/>
      <c r="D1092" s="145"/>
      <c r="E1092" s="145"/>
      <c r="F1092" s="145"/>
      <c r="G1092" s="145"/>
      <c r="H1092" s="147"/>
      <c r="I1092" s="107"/>
      <c r="J1092" s="178"/>
      <c r="K1092" s="107"/>
      <c r="L1092" s="145"/>
      <c r="M1092" s="145"/>
      <c r="N1092" s="145"/>
      <c r="O1092" s="145"/>
      <c r="P1092" s="147"/>
      <c r="Q1092" s="148"/>
      <c r="R1092" s="437"/>
      <c r="S1092" s="107"/>
      <c r="T1092" s="179"/>
      <c r="U1092" s="178"/>
      <c r="V1092" s="107"/>
      <c r="W1092" s="107"/>
      <c r="X1092" s="470"/>
      <c r="Y1092" s="470"/>
      <c r="Z1092" s="471"/>
      <c r="AA1092" s="471"/>
      <c r="AB1092" s="466"/>
    </row>
    <row r="1093" spans="1:28" s="597" customFormat="1" ht="18" customHeight="1" x14ac:dyDescent="0.2">
      <c r="A1093" s="88"/>
      <c r="B1093" s="180"/>
      <c r="C1093" s="180"/>
      <c r="D1093" s="88"/>
      <c r="E1093" s="88"/>
      <c r="F1093" s="88"/>
      <c r="G1093" s="88"/>
      <c r="H1093" s="120"/>
      <c r="I1093" s="121"/>
      <c r="J1093" s="181"/>
      <c r="K1093" s="121"/>
      <c r="L1093" s="88"/>
      <c r="M1093" s="88"/>
      <c r="N1093" s="88"/>
      <c r="O1093" s="88"/>
      <c r="P1093" s="88"/>
      <c r="Q1093" s="129"/>
      <c r="R1093" s="445"/>
      <c r="S1093" s="121"/>
      <c r="T1093" s="182"/>
      <c r="U1093" s="181"/>
      <c r="V1093" s="121"/>
      <c r="W1093" s="121"/>
      <c r="X1093" s="472"/>
      <c r="Y1093" s="472"/>
      <c r="Z1093" s="473"/>
      <c r="AA1093" s="473"/>
      <c r="AB1093" s="410"/>
    </row>
    <row r="1094" spans="1:28" s="597" customFormat="1" ht="18" customHeight="1" x14ac:dyDescent="0.2">
      <c r="A1094" s="1850"/>
      <c r="B1094" s="1850"/>
      <c r="C1094" s="1850"/>
      <c r="D1094" s="1850"/>
      <c r="E1094" s="1850"/>
      <c r="F1094" s="1850"/>
      <c r="G1094" s="1850"/>
      <c r="H1094" s="1851"/>
      <c r="I1094" s="1852"/>
      <c r="J1094" s="1853"/>
      <c r="K1094" s="1852"/>
      <c r="L1094" s="1852"/>
      <c r="M1094" s="1852"/>
      <c r="N1094" s="1852"/>
      <c r="O1094" s="1852"/>
      <c r="P1094" s="1852"/>
      <c r="Q1094" s="1852"/>
      <c r="R1094" s="1854"/>
      <c r="S1094" s="1852"/>
      <c r="T1094" s="1855"/>
      <c r="U1094" s="1853"/>
      <c r="V1094" s="1852"/>
      <c r="W1094" s="1852"/>
      <c r="X1094" s="1856"/>
      <c r="Y1094" s="1856"/>
      <c r="Z1094" s="1857"/>
      <c r="AA1094" s="1857"/>
      <c r="AB1094" s="1847">
        <f>SUM(AB1079:AB1093)</f>
        <v>113.4</v>
      </c>
    </row>
    <row r="1095" spans="1:28" s="597" customFormat="1" ht="18" customHeight="1" x14ac:dyDescent="0.2">
      <c r="A1095" s="2690" t="s">
        <v>76</v>
      </c>
      <c r="B1095" s="2690"/>
      <c r="C1095" s="2691" t="s">
        <v>77</v>
      </c>
      <c r="D1095" s="2691"/>
      <c r="E1095" s="2691"/>
      <c r="F1095" s="2691"/>
      <c r="G1095" s="2691"/>
      <c r="H1095" s="2691"/>
      <c r="I1095" s="604" t="s">
        <v>78</v>
      </c>
      <c r="J1095" s="604"/>
      <c r="K1095" s="604"/>
      <c r="L1095" s="604"/>
      <c r="M1095" s="604"/>
      <c r="N1095" s="604"/>
      <c r="AB1095" s="598"/>
    </row>
    <row r="1096" spans="1:28" s="597" customFormat="1" ht="18" customHeight="1" x14ac:dyDescent="0.2">
      <c r="A1096" s="604"/>
      <c r="B1096" s="605"/>
      <c r="C1096" s="604"/>
      <c r="D1096" s="604"/>
      <c r="E1096" s="604"/>
      <c r="F1096" s="604"/>
      <c r="G1096" s="604"/>
      <c r="H1096" s="604"/>
      <c r="I1096" s="604" t="s">
        <v>79</v>
      </c>
      <c r="J1096" s="604"/>
      <c r="K1096" s="604"/>
      <c r="L1096" s="604"/>
      <c r="M1096" s="604"/>
      <c r="N1096" s="604"/>
      <c r="AB1096" s="598"/>
    </row>
    <row r="1097" spans="1:28" s="597" customFormat="1" ht="18" customHeight="1" x14ac:dyDescent="0.2">
      <c r="A1097" s="604"/>
      <c r="B1097" s="605"/>
      <c r="C1097" s="604"/>
      <c r="D1097" s="604"/>
      <c r="E1097" s="604"/>
      <c r="F1097" s="604"/>
      <c r="G1097" s="604"/>
      <c r="H1097" s="604"/>
      <c r="I1097" s="604" t="s">
        <v>80</v>
      </c>
      <c r="J1097" s="604"/>
      <c r="K1097" s="604"/>
      <c r="L1097" s="604"/>
      <c r="M1097" s="604"/>
      <c r="N1097" s="604"/>
      <c r="AB1097" s="598"/>
    </row>
    <row r="1098" spans="1:28" s="597" customFormat="1" ht="18" customHeight="1" x14ac:dyDescent="0.2">
      <c r="A1098" s="604"/>
      <c r="B1098" s="605"/>
      <c r="C1098" s="604"/>
      <c r="D1098" s="604"/>
      <c r="E1098" s="604"/>
      <c r="F1098" s="604"/>
      <c r="G1098" s="604"/>
      <c r="H1098" s="604"/>
      <c r="I1098" s="604" t="s">
        <v>81</v>
      </c>
      <c r="J1098" s="604"/>
      <c r="K1098" s="604"/>
      <c r="L1098" s="604"/>
      <c r="M1098" s="604"/>
      <c r="N1098" s="604"/>
      <c r="AB1098" s="598"/>
    </row>
    <row r="1099" spans="1:28" s="597" customFormat="1" ht="18" customHeight="1" x14ac:dyDescent="0.2">
      <c r="A1099" s="604"/>
      <c r="B1099" s="605"/>
      <c r="C1099" s="604"/>
      <c r="D1099" s="604"/>
      <c r="E1099" s="604"/>
      <c r="F1099" s="604"/>
      <c r="G1099" s="604"/>
      <c r="H1099" s="604"/>
      <c r="I1099" s="604" t="s">
        <v>88</v>
      </c>
      <c r="J1099" s="604"/>
      <c r="K1099" s="604"/>
      <c r="L1099" s="604"/>
      <c r="M1099" s="604"/>
      <c r="N1099" s="604"/>
      <c r="AB1099" s="598"/>
    </row>
    <row r="1100" spans="1:28" s="597" customFormat="1" ht="18" customHeight="1" x14ac:dyDescent="0.2">
      <c r="A1100" s="339"/>
      <c r="B1100" s="339"/>
      <c r="C1100" s="339"/>
      <c r="D1100" s="339"/>
      <c r="E1100" s="339"/>
      <c r="F1100" s="339"/>
      <c r="G1100" s="339"/>
      <c r="H1100" s="339"/>
      <c r="I1100" s="339"/>
      <c r="J1100" s="339"/>
      <c r="K1100" s="339"/>
      <c r="L1100" s="339"/>
      <c r="M1100" s="339"/>
      <c r="N1100" s="339"/>
      <c r="O1100" s="339"/>
      <c r="P1100" s="339"/>
      <c r="Q1100" s="339"/>
      <c r="R1100" s="339"/>
      <c r="S1100" s="339"/>
      <c r="T1100" s="339"/>
      <c r="U1100" s="339"/>
      <c r="V1100" s="339"/>
      <c r="W1100" s="339"/>
      <c r="X1100" s="339"/>
      <c r="Y1100" s="339"/>
      <c r="Z1100" s="339"/>
      <c r="AA1100" s="2702" t="s">
        <v>0</v>
      </c>
      <c r="AB1100" s="2702"/>
    </row>
    <row r="1101" spans="1:28" s="597" customFormat="1" ht="18" customHeight="1" x14ac:dyDescent="0.2">
      <c r="A1101" s="2703" t="s">
        <v>1</v>
      </c>
      <c r="B1101" s="2703"/>
      <c r="C1101" s="2703"/>
      <c r="D1101" s="2703"/>
      <c r="E1101" s="2703"/>
      <c r="F1101" s="2703"/>
      <c r="G1101" s="2703"/>
      <c r="H1101" s="2703"/>
      <c r="I1101" s="2703"/>
      <c r="J1101" s="2703"/>
      <c r="K1101" s="2703"/>
      <c r="L1101" s="2703"/>
      <c r="M1101" s="2703"/>
      <c r="N1101" s="2703"/>
      <c r="O1101" s="2703"/>
      <c r="P1101" s="2703"/>
      <c r="Q1101" s="2703"/>
      <c r="R1101" s="2703"/>
      <c r="S1101" s="2703"/>
      <c r="T1101" s="2703"/>
      <c r="U1101" s="2703"/>
      <c r="V1101" s="2703"/>
      <c r="W1101" s="2703"/>
      <c r="X1101" s="2703"/>
      <c r="Y1101" s="2703"/>
      <c r="Z1101" s="2703"/>
      <c r="AA1101" s="2703"/>
      <c r="AB1101" s="2703"/>
    </row>
    <row r="1102" spans="1:28" s="597" customFormat="1" ht="18" customHeight="1" x14ac:dyDescent="0.2">
      <c r="A1102" s="2704" t="s">
        <v>485</v>
      </c>
      <c r="B1102" s="2704"/>
      <c r="C1102" s="2704"/>
      <c r="D1102" s="2704"/>
      <c r="E1102" s="2704"/>
      <c r="F1102" s="2704"/>
      <c r="G1102" s="2704"/>
      <c r="H1102" s="2704"/>
      <c r="I1102" s="2704"/>
      <c r="J1102" s="2704"/>
      <c r="K1102" s="2704"/>
      <c r="L1102" s="2704"/>
      <c r="M1102" s="2704"/>
      <c r="N1102" s="2704"/>
      <c r="O1102" s="2704"/>
      <c r="P1102" s="2704"/>
      <c r="Q1102" s="2704"/>
      <c r="R1102" s="2704"/>
      <c r="S1102" s="2704"/>
      <c r="T1102" s="2704"/>
      <c r="U1102" s="2704"/>
      <c r="V1102" s="2704"/>
      <c r="W1102" s="2704"/>
      <c r="X1102" s="2704"/>
      <c r="Y1102" s="2704"/>
      <c r="Z1102" s="2704"/>
      <c r="AA1102" s="2704"/>
      <c r="AB1102" s="2704"/>
    </row>
    <row r="1103" spans="1:28" s="597" customFormat="1" ht="18" customHeight="1" x14ac:dyDescent="0.2">
      <c r="A1103" s="2686" t="s">
        <v>2</v>
      </c>
      <c r="B1103" s="360"/>
      <c r="C1103" s="2686" t="s">
        <v>3</v>
      </c>
      <c r="D1103" s="360"/>
      <c r="E1103" s="360"/>
      <c r="F1103" s="2693" t="s">
        <v>4</v>
      </c>
      <c r="G1103" s="2693"/>
      <c r="H1103" s="2693"/>
      <c r="I1103" s="2694"/>
      <c r="J1103" s="2694"/>
      <c r="K1103" s="2695"/>
      <c r="L1103" s="361"/>
      <c r="M1103" s="2679" t="s">
        <v>5</v>
      </c>
      <c r="N1103" s="2679"/>
      <c r="O1103" s="2679"/>
      <c r="P1103" s="2679"/>
      <c r="Q1103" s="2696"/>
      <c r="R1103" s="2696"/>
      <c r="S1103" s="2696"/>
      <c r="T1103" s="2696"/>
      <c r="U1103" s="2696"/>
      <c r="V1103" s="2697"/>
      <c r="W1103" s="362" t="s">
        <v>6</v>
      </c>
      <c r="X1103" s="363" t="s">
        <v>7</v>
      </c>
      <c r="Y1103" s="364"/>
      <c r="Z1103" s="364"/>
      <c r="AA1103" s="363"/>
      <c r="AB1103" s="365"/>
    </row>
    <row r="1104" spans="1:28" s="597" customFormat="1" ht="18" customHeight="1" x14ac:dyDescent="0.2">
      <c r="A1104" s="2687"/>
      <c r="B1104" s="367"/>
      <c r="C1104" s="2687"/>
      <c r="D1104" s="366" t="s">
        <v>9</v>
      </c>
      <c r="E1104" s="368" t="s">
        <v>10</v>
      </c>
      <c r="F1104" s="2698" t="s">
        <v>11</v>
      </c>
      <c r="G1104" s="2694"/>
      <c r="H1104" s="2695"/>
      <c r="I1104" s="360"/>
      <c r="J1104" s="369" t="s">
        <v>12</v>
      </c>
      <c r="K1104" s="360"/>
      <c r="L1104" s="2679" t="s">
        <v>2</v>
      </c>
      <c r="M1104" s="370"/>
      <c r="N1104" s="370"/>
      <c r="O1104" s="370"/>
      <c r="P1104" s="371"/>
      <c r="Q1104" s="372" t="s">
        <v>13</v>
      </c>
      <c r="R1104" s="373" t="s">
        <v>12</v>
      </c>
      <c r="S1104" s="370" t="s">
        <v>6</v>
      </c>
      <c r="T1104" s="2682" t="s">
        <v>14</v>
      </c>
      <c r="U1104" s="2683"/>
      <c r="V1104" s="375" t="s">
        <v>7</v>
      </c>
      <c r="W1104" s="376" t="s">
        <v>15</v>
      </c>
      <c r="X1104" s="377" t="s">
        <v>16</v>
      </c>
      <c r="Y1104" s="377" t="s">
        <v>17</v>
      </c>
      <c r="Z1104" s="377" t="s">
        <v>18</v>
      </c>
      <c r="AA1104" s="377"/>
      <c r="AB1104" s="378" t="s">
        <v>19</v>
      </c>
    </row>
    <row r="1105" spans="1:28" s="597" customFormat="1" ht="18" customHeight="1" x14ac:dyDescent="0.2">
      <c r="A1105" s="2687"/>
      <c r="B1105" s="366" t="s">
        <v>23</v>
      </c>
      <c r="C1105" s="2687"/>
      <c r="D1105" s="366" t="s">
        <v>24</v>
      </c>
      <c r="E1105" s="368" t="s">
        <v>25</v>
      </c>
      <c r="F1105" s="2699"/>
      <c r="G1105" s="2700"/>
      <c r="H1105" s="2701"/>
      <c r="I1105" s="366" t="s">
        <v>26</v>
      </c>
      <c r="J1105" s="379" t="s">
        <v>15</v>
      </c>
      <c r="K1105" s="380" t="s">
        <v>6</v>
      </c>
      <c r="L1105" s="2680"/>
      <c r="M1105" s="381" t="s">
        <v>27</v>
      </c>
      <c r="N1105" s="381" t="s">
        <v>10</v>
      </c>
      <c r="O1105" s="382" t="s">
        <v>10</v>
      </c>
      <c r="P1105" s="383" t="s">
        <v>28</v>
      </c>
      <c r="Q1105" s="384" t="s">
        <v>29</v>
      </c>
      <c r="R1105" s="383" t="s">
        <v>15</v>
      </c>
      <c r="S1105" s="385" t="s">
        <v>15</v>
      </c>
      <c r="T1105" s="2684"/>
      <c r="U1105" s="2685"/>
      <c r="V1105" s="375" t="s">
        <v>30</v>
      </c>
      <c r="W1105" s="376" t="s">
        <v>31</v>
      </c>
      <c r="X1105" s="377" t="s">
        <v>30</v>
      </c>
      <c r="Y1105" s="377" t="s">
        <v>32</v>
      </c>
      <c r="Z1105" s="377" t="s">
        <v>7</v>
      </c>
      <c r="AA1105" s="377" t="s">
        <v>33</v>
      </c>
      <c r="AB1105" s="378" t="s">
        <v>34</v>
      </c>
    </row>
    <row r="1106" spans="1:28" s="597" customFormat="1" ht="18" customHeight="1" x14ac:dyDescent="0.2">
      <c r="A1106" s="2687"/>
      <c r="B1106" s="366" t="s">
        <v>39</v>
      </c>
      <c r="C1106" s="2687"/>
      <c r="D1106" s="366" t="s">
        <v>40</v>
      </c>
      <c r="E1106" s="368" t="s">
        <v>41</v>
      </c>
      <c r="F1106" s="2686" t="s">
        <v>42</v>
      </c>
      <c r="G1106" s="2686" t="s">
        <v>43</v>
      </c>
      <c r="H1106" s="2688" t="s">
        <v>44</v>
      </c>
      <c r="I1106" s="366" t="s">
        <v>45</v>
      </c>
      <c r="J1106" s="379" t="s">
        <v>46</v>
      </c>
      <c r="K1106" s="380" t="s">
        <v>47</v>
      </c>
      <c r="L1106" s="2680"/>
      <c r="M1106" s="381" t="s">
        <v>30</v>
      </c>
      <c r="N1106" s="381" t="s">
        <v>30</v>
      </c>
      <c r="O1106" s="382" t="s">
        <v>25</v>
      </c>
      <c r="P1106" s="383" t="s">
        <v>30</v>
      </c>
      <c r="Q1106" s="384" t="s">
        <v>48</v>
      </c>
      <c r="R1106" s="383" t="s">
        <v>49</v>
      </c>
      <c r="S1106" s="385" t="s">
        <v>30</v>
      </c>
      <c r="T1106" s="386" t="s">
        <v>50</v>
      </c>
      <c r="U1106" s="374" t="s">
        <v>13</v>
      </c>
      <c r="V1106" s="375" t="s">
        <v>51</v>
      </c>
      <c r="W1106" s="376" t="s">
        <v>52</v>
      </c>
      <c r="X1106" s="377" t="s">
        <v>53</v>
      </c>
      <c r="Y1106" s="377" t="s">
        <v>54</v>
      </c>
      <c r="Z1106" s="377" t="s">
        <v>55</v>
      </c>
      <c r="AA1106" s="377" t="s">
        <v>56</v>
      </c>
      <c r="AB1106" s="378" t="s">
        <v>57</v>
      </c>
    </row>
    <row r="1107" spans="1:28" s="597" customFormat="1" ht="18" customHeight="1" x14ac:dyDescent="0.2">
      <c r="A1107" s="2687"/>
      <c r="B1107" s="366" t="s">
        <v>61</v>
      </c>
      <c r="C1107" s="2687"/>
      <c r="D1107" s="366" t="s">
        <v>62</v>
      </c>
      <c r="E1107" s="368" t="s">
        <v>63</v>
      </c>
      <c r="F1107" s="2687"/>
      <c r="G1107" s="2687"/>
      <c r="H1107" s="2689"/>
      <c r="I1107" s="366" t="s">
        <v>64</v>
      </c>
      <c r="J1107" s="379" t="s">
        <v>59</v>
      </c>
      <c r="K1107" s="380" t="s">
        <v>59</v>
      </c>
      <c r="L1107" s="2680"/>
      <c r="M1107" s="381"/>
      <c r="N1107" s="381"/>
      <c r="O1107" s="382" t="s">
        <v>41</v>
      </c>
      <c r="P1107" s="383" t="s">
        <v>65</v>
      </c>
      <c r="Q1107" s="384" t="s">
        <v>66</v>
      </c>
      <c r="R1107" s="383" t="s">
        <v>67</v>
      </c>
      <c r="S1107" s="385" t="s">
        <v>59</v>
      </c>
      <c r="T1107" s="387" t="s">
        <v>68</v>
      </c>
      <c r="U1107" s="375" t="s">
        <v>14</v>
      </c>
      <c r="V1107" s="375" t="s">
        <v>14</v>
      </c>
      <c r="W1107" s="376" t="s">
        <v>30</v>
      </c>
      <c r="X1107" s="388" t="s">
        <v>69</v>
      </c>
      <c r="Y1107" s="388" t="s">
        <v>70</v>
      </c>
      <c r="Z1107" s="377" t="s">
        <v>71</v>
      </c>
      <c r="AA1107" s="377" t="s">
        <v>72</v>
      </c>
      <c r="AB1107" s="378" t="s">
        <v>59</v>
      </c>
    </row>
    <row r="1108" spans="1:28" s="597" customFormat="1" ht="18" customHeight="1" x14ac:dyDescent="0.2">
      <c r="A1108" s="2692"/>
      <c r="B1108" s="390"/>
      <c r="C1108" s="2692"/>
      <c r="D1108" s="390"/>
      <c r="E1108" s="389"/>
      <c r="F1108" s="390"/>
      <c r="G1108" s="390"/>
      <c r="H1108" s="391"/>
      <c r="I1108" s="389"/>
      <c r="J1108" s="392"/>
      <c r="K1108" s="393"/>
      <c r="L1108" s="2681"/>
      <c r="M1108" s="394"/>
      <c r="N1108" s="394"/>
      <c r="O1108" s="394" t="s">
        <v>63</v>
      </c>
      <c r="P1108" s="395"/>
      <c r="Q1108" s="396" t="s">
        <v>72</v>
      </c>
      <c r="R1108" s="397" t="s">
        <v>59</v>
      </c>
      <c r="S1108" s="398"/>
      <c r="T1108" s="397" t="s">
        <v>73</v>
      </c>
      <c r="U1108" s="398" t="s">
        <v>59</v>
      </c>
      <c r="V1108" s="399" t="s">
        <v>59</v>
      </c>
      <c r="W1108" s="400" t="s">
        <v>59</v>
      </c>
      <c r="X1108" s="401" t="s">
        <v>59</v>
      </c>
      <c r="Y1108" s="401" t="s">
        <v>59</v>
      </c>
      <c r="Z1108" s="401" t="s">
        <v>59</v>
      </c>
      <c r="AA1108" s="402"/>
      <c r="AB1108" s="403"/>
    </row>
    <row r="1109" spans="1:28" s="597" customFormat="1" ht="18" customHeight="1" x14ac:dyDescent="0.2">
      <c r="A1109" s="145">
        <v>1</v>
      </c>
      <c r="B1109" s="85">
        <v>63469</v>
      </c>
      <c r="C1109" s="88">
        <v>1859</v>
      </c>
      <c r="D1109" s="88" t="s">
        <v>294</v>
      </c>
      <c r="E1109" s="88">
        <v>4</v>
      </c>
      <c r="F1109" s="88">
        <v>0</v>
      </c>
      <c r="G1109" s="88">
        <v>0</v>
      </c>
      <c r="H1109" s="495">
        <v>81</v>
      </c>
      <c r="I1109" s="74">
        <f t="shared" ref="I1109" si="46">F1109*400+G1109*100+H1109</f>
        <v>81</v>
      </c>
      <c r="J1109" s="121">
        <v>280</v>
      </c>
      <c r="K1109" s="159">
        <f>I1109*J1109</f>
        <v>22680</v>
      </c>
      <c r="L1109" s="75"/>
      <c r="M1109" s="75"/>
      <c r="N1109" s="75"/>
      <c r="O1109" s="75"/>
      <c r="P1109" s="188"/>
      <c r="Q1109" s="174"/>
      <c r="R1109" s="413"/>
      <c r="S1109" s="74"/>
      <c r="T1109" s="135"/>
      <c r="U1109" s="74"/>
      <c r="V1109" s="74"/>
      <c r="W1109" s="74"/>
      <c r="X1109" s="74">
        <f>K1109</f>
        <v>22680</v>
      </c>
      <c r="Y1109" s="606"/>
      <c r="Z1109" s="74">
        <f>K1109</f>
        <v>22680</v>
      </c>
      <c r="AA1109" s="414">
        <v>0.6</v>
      </c>
      <c r="AB1109" s="465">
        <f>Z1109*AA1109/100</f>
        <v>136.08000000000001</v>
      </c>
    </row>
    <row r="1110" spans="1:28" s="665" customFormat="1" ht="18" customHeight="1" x14ac:dyDescent="0.2">
      <c r="A1110" s="88"/>
      <c r="B1110" s="88"/>
      <c r="C1110" s="88"/>
      <c r="D1110" s="88"/>
      <c r="E1110" s="88"/>
      <c r="F1110" s="88"/>
      <c r="G1110" s="88"/>
      <c r="H1110" s="495"/>
      <c r="I1110" s="74"/>
      <c r="J1110" s="121"/>
      <c r="K1110" s="159"/>
      <c r="L1110" s="75"/>
      <c r="M1110" s="75"/>
      <c r="N1110" s="75"/>
      <c r="O1110" s="75"/>
      <c r="P1110" s="188"/>
      <c r="Q1110" s="174"/>
      <c r="R1110" s="413"/>
      <c r="S1110" s="74"/>
      <c r="T1110" s="135"/>
      <c r="U1110" s="74"/>
      <c r="V1110" s="74"/>
      <c r="W1110" s="74"/>
      <c r="X1110" s="74"/>
      <c r="Y1110" s="606"/>
      <c r="Z1110" s="74"/>
      <c r="AA1110" s="414"/>
      <c r="AB1110" s="410"/>
    </row>
    <row r="1111" spans="1:28" s="597" customFormat="1" ht="18" customHeight="1" x14ac:dyDescent="0.2">
      <c r="A1111" s="88"/>
      <c r="B1111" s="88"/>
      <c r="C1111" s="88"/>
      <c r="D1111" s="88"/>
      <c r="E1111" s="88"/>
      <c r="F1111" s="88"/>
      <c r="G1111" s="88"/>
      <c r="H1111" s="495"/>
      <c r="I1111" s="121"/>
      <c r="J1111" s="199"/>
      <c r="K1111" s="159"/>
      <c r="L1111" s="75"/>
      <c r="M1111" s="75"/>
      <c r="N1111" s="75"/>
      <c r="O1111" s="75"/>
      <c r="P1111" s="188"/>
      <c r="Q1111" s="174"/>
      <c r="R1111" s="413"/>
      <c r="S1111" s="74"/>
      <c r="T1111" s="135"/>
      <c r="U1111" s="74"/>
      <c r="V1111" s="74"/>
      <c r="W1111" s="74"/>
      <c r="X1111" s="74"/>
      <c r="Y1111" s="606"/>
      <c r="Z1111" s="74"/>
      <c r="AA1111" s="414"/>
      <c r="AB1111" s="410"/>
    </row>
    <row r="1112" spans="1:28" s="597" customFormat="1" ht="18" customHeight="1" x14ac:dyDescent="0.2">
      <c r="A1112" s="88"/>
      <c r="B1112" s="88"/>
      <c r="C1112" s="88"/>
      <c r="D1112" s="88"/>
      <c r="E1112" s="88"/>
      <c r="F1112" s="88"/>
      <c r="G1112" s="88"/>
      <c r="H1112" s="495"/>
      <c r="I1112" s="121"/>
      <c r="J1112" s="107"/>
      <c r="K1112" s="78"/>
      <c r="L1112" s="75"/>
      <c r="M1112" s="61"/>
      <c r="N1112" s="61"/>
      <c r="O1112" s="61"/>
      <c r="P1112" s="173"/>
      <c r="Q1112" s="174"/>
      <c r="R1112" s="408"/>
      <c r="S1112" s="77"/>
      <c r="T1112" s="135"/>
      <c r="U1112" s="74"/>
      <c r="V1112" s="74"/>
      <c r="W1112" s="77"/>
      <c r="X1112" s="74"/>
      <c r="Y1112" s="676"/>
      <c r="Z1112" s="77"/>
      <c r="AA1112" s="409"/>
      <c r="AB1112" s="410"/>
    </row>
    <row r="1113" spans="1:28" s="597" customFormat="1" ht="18" customHeight="1" x14ac:dyDescent="0.2">
      <c r="A1113" s="88"/>
      <c r="B1113" s="88"/>
      <c r="C1113" s="88"/>
      <c r="D1113" s="88"/>
      <c r="E1113" s="88"/>
      <c r="F1113" s="88"/>
      <c r="G1113" s="88"/>
      <c r="H1113" s="495"/>
      <c r="I1113" s="150"/>
      <c r="J1113" s="107"/>
      <c r="K1113" s="78"/>
      <c r="L1113" s="75"/>
      <c r="M1113" s="61"/>
      <c r="N1113" s="61"/>
      <c r="O1113" s="61"/>
      <c r="P1113" s="173"/>
      <c r="Q1113" s="174"/>
      <c r="R1113" s="408"/>
      <c r="S1113" s="77"/>
      <c r="T1113" s="135"/>
      <c r="U1113" s="74"/>
      <c r="V1113" s="74"/>
      <c r="W1113" s="77"/>
      <c r="X1113" s="74"/>
      <c r="Y1113" s="676"/>
      <c r="Z1113" s="77"/>
      <c r="AA1113" s="409"/>
      <c r="AB1113" s="410"/>
    </row>
    <row r="1114" spans="1:28" s="597" customFormat="1" ht="18" customHeight="1" x14ac:dyDescent="0.2">
      <c r="A1114" s="88"/>
      <c r="B1114" s="88"/>
      <c r="C1114" s="88"/>
      <c r="D1114" s="88"/>
      <c r="E1114" s="88"/>
      <c r="F1114" s="88"/>
      <c r="G1114" s="88"/>
      <c r="H1114" s="495"/>
      <c r="I1114" s="121"/>
      <c r="J1114" s="107"/>
      <c r="K1114" s="78"/>
      <c r="L1114" s="75"/>
      <c r="M1114" s="61"/>
      <c r="N1114" s="61"/>
      <c r="O1114" s="61"/>
      <c r="P1114" s="173"/>
      <c r="Q1114" s="174"/>
      <c r="R1114" s="408"/>
      <c r="S1114" s="77"/>
      <c r="T1114" s="135"/>
      <c r="U1114" s="74"/>
      <c r="V1114" s="74"/>
      <c r="W1114" s="77"/>
      <c r="X1114" s="74"/>
      <c r="Y1114" s="676"/>
      <c r="Z1114" s="77"/>
      <c r="AA1114" s="409"/>
      <c r="AB1114" s="410"/>
    </row>
    <row r="1115" spans="1:28" s="597" customFormat="1" ht="18" customHeight="1" x14ac:dyDescent="0.2">
      <c r="A1115" s="88"/>
      <c r="B1115" s="88"/>
      <c r="C1115" s="88"/>
      <c r="D1115" s="88"/>
      <c r="E1115" s="88"/>
      <c r="F1115" s="88"/>
      <c r="G1115" s="88"/>
      <c r="H1115" s="495"/>
      <c r="I1115" s="77"/>
      <c r="J1115" s="107"/>
      <c r="K1115" s="78"/>
      <c r="L1115" s="75"/>
      <c r="M1115" s="61"/>
      <c r="N1115" s="61"/>
      <c r="O1115" s="61"/>
      <c r="P1115" s="173"/>
      <c r="Q1115" s="174"/>
      <c r="R1115" s="408"/>
      <c r="S1115" s="77"/>
      <c r="T1115" s="135"/>
      <c r="U1115" s="74"/>
      <c r="V1115" s="74"/>
      <c r="W1115" s="77"/>
      <c r="X1115" s="74"/>
      <c r="Y1115" s="676"/>
      <c r="Z1115" s="77"/>
      <c r="AA1115" s="409"/>
      <c r="AB1115" s="410"/>
    </row>
    <row r="1116" spans="1:28" s="597" customFormat="1" ht="18" customHeight="1" x14ac:dyDescent="0.2">
      <c r="A1116" s="145"/>
      <c r="B1116" s="177"/>
      <c r="C1116" s="177"/>
      <c r="D1116" s="145"/>
      <c r="E1116" s="145"/>
      <c r="F1116" s="145"/>
      <c r="G1116" s="145"/>
      <c r="H1116" s="147"/>
      <c r="I1116" s="107"/>
      <c r="J1116" s="178"/>
      <c r="K1116" s="107"/>
      <c r="L1116" s="145"/>
      <c r="M1116" s="145"/>
      <c r="N1116" s="145"/>
      <c r="O1116" s="145"/>
      <c r="P1116" s="147"/>
      <c r="Q1116" s="148"/>
      <c r="R1116" s="437"/>
      <c r="S1116" s="107"/>
      <c r="T1116" s="179"/>
      <c r="U1116" s="178"/>
      <c r="V1116" s="107"/>
      <c r="W1116" s="107"/>
      <c r="X1116" s="470"/>
      <c r="Y1116" s="470"/>
      <c r="Z1116" s="471"/>
      <c r="AA1116" s="471"/>
      <c r="AB1116" s="466"/>
    </row>
    <row r="1117" spans="1:28" s="597" customFormat="1" ht="18" customHeight="1" x14ac:dyDescent="0.2">
      <c r="A1117" s="145"/>
      <c r="B1117" s="177"/>
      <c r="C1117" s="177"/>
      <c r="D1117" s="145"/>
      <c r="E1117" s="145"/>
      <c r="F1117" s="145"/>
      <c r="G1117" s="145"/>
      <c r="H1117" s="147"/>
      <c r="I1117" s="107"/>
      <c r="J1117" s="178"/>
      <c r="K1117" s="107"/>
      <c r="L1117" s="145"/>
      <c r="M1117" s="145"/>
      <c r="N1117" s="145"/>
      <c r="O1117" s="145"/>
      <c r="P1117" s="147"/>
      <c r="Q1117" s="148"/>
      <c r="R1117" s="437"/>
      <c r="S1117" s="107"/>
      <c r="T1117" s="179"/>
      <c r="U1117" s="178"/>
      <c r="V1117" s="107"/>
      <c r="W1117" s="107"/>
      <c r="X1117" s="470"/>
      <c r="Y1117" s="470"/>
      <c r="Z1117" s="471"/>
      <c r="AA1117" s="471"/>
      <c r="AB1117" s="466"/>
    </row>
    <row r="1118" spans="1:28" s="597" customFormat="1" ht="18" customHeight="1" x14ac:dyDescent="0.2">
      <c r="A1118" s="145"/>
      <c r="B1118" s="177"/>
      <c r="C1118" s="177"/>
      <c r="D1118" s="145"/>
      <c r="E1118" s="145"/>
      <c r="F1118" s="145"/>
      <c r="G1118" s="145"/>
      <c r="H1118" s="147"/>
      <c r="I1118" s="107"/>
      <c r="J1118" s="178"/>
      <c r="K1118" s="107"/>
      <c r="L1118" s="145"/>
      <c r="M1118" s="145"/>
      <c r="N1118" s="145"/>
      <c r="O1118" s="145"/>
      <c r="P1118" s="147"/>
      <c r="Q1118" s="148"/>
      <c r="R1118" s="437"/>
      <c r="S1118" s="107"/>
      <c r="T1118" s="179"/>
      <c r="U1118" s="178"/>
      <c r="V1118" s="107"/>
      <c r="W1118" s="107"/>
      <c r="X1118" s="470"/>
      <c r="Y1118" s="470"/>
      <c r="Z1118" s="471"/>
      <c r="AA1118" s="471"/>
      <c r="AB1118" s="466"/>
    </row>
    <row r="1119" spans="1:28" s="597" customFormat="1" ht="18" customHeight="1" x14ac:dyDescent="0.2">
      <c r="A1119" s="145"/>
      <c r="B1119" s="177"/>
      <c r="C1119" s="177"/>
      <c r="D1119" s="145"/>
      <c r="E1119" s="145"/>
      <c r="F1119" s="145"/>
      <c r="G1119" s="145"/>
      <c r="H1119" s="147"/>
      <c r="I1119" s="107"/>
      <c r="J1119" s="178"/>
      <c r="K1119" s="107"/>
      <c r="L1119" s="145"/>
      <c r="M1119" s="145"/>
      <c r="N1119" s="145"/>
      <c r="O1119" s="145"/>
      <c r="P1119" s="147"/>
      <c r="Q1119" s="148"/>
      <c r="R1119" s="437"/>
      <c r="S1119" s="107"/>
      <c r="T1119" s="179"/>
      <c r="U1119" s="178"/>
      <c r="V1119" s="107"/>
      <c r="W1119" s="107"/>
      <c r="X1119" s="470"/>
      <c r="Y1119" s="470"/>
      <c r="Z1119" s="471"/>
      <c r="AA1119" s="471"/>
      <c r="AB1119" s="466"/>
    </row>
    <row r="1120" spans="1:28" s="597" customFormat="1" ht="18" customHeight="1" x14ac:dyDescent="0.2">
      <c r="A1120" s="145"/>
      <c r="B1120" s="177"/>
      <c r="C1120" s="177"/>
      <c r="D1120" s="145"/>
      <c r="E1120" s="145"/>
      <c r="F1120" s="145"/>
      <c r="G1120" s="145"/>
      <c r="H1120" s="147"/>
      <c r="I1120" s="107"/>
      <c r="J1120" s="178"/>
      <c r="K1120" s="107"/>
      <c r="L1120" s="145"/>
      <c r="M1120" s="145"/>
      <c r="N1120" s="145"/>
      <c r="O1120" s="145"/>
      <c r="P1120" s="147"/>
      <c r="Q1120" s="148"/>
      <c r="R1120" s="437"/>
      <c r="S1120" s="107"/>
      <c r="T1120" s="179"/>
      <c r="U1120" s="178"/>
      <c r="V1120" s="107"/>
      <c r="W1120" s="107"/>
      <c r="X1120" s="470"/>
      <c r="Y1120" s="470"/>
      <c r="Z1120" s="471"/>
      <c r="AA1120" s="471"/>
      <c r="AB1120" s="466"/>
    </row>
    <row r="1121" spans="1:28" s="597" customFormat="1" ht="18" customHeight="1" x14ac:dyDescent="0.2">
      <c r="A1121" s="145"/>
      <c r="B1121" s="177"/>
      <c r="C1121" s="177"/>
      <c r="D1121" s="145"/>
      <c r="E1121" s="145"/>
      <c r="F1121" s="145"/>
      <c r="G1121" s="145"/>
      <c r="H1121" s="147"/>
      <c r="I1121" s="107"/>
      <c r="J1121" s="178"/>
      <c r="K1121" s="107"/>
      <c r="L1121" s="145"/>
      <c r="M1121" s="145"/>
      <c r="N1121" s="145"/>
      <c r="O1121" s="145"/>
      <c r="P1121" s="147"/>
      <c r="Q1121" s="148"/>
      <c r="R1121" s="437"/>
      <c r="S1121" s="107"/>
      <c r="T1121" s="179"/>
      <c r="U1121" s="178"/>
      <c r="V1121" s="107"/>
      <c r="W1121" s="107"/>
      <c r="X1121" s="470"/>
      <c r="Y1121" s="470"/>
      <c r="Z1121" s="471"/>
      <c r="AA1121" s="471"/>
      <c r="AB1121" s="466"/>
    </row>
    <row r="1122" spans="1:28" s="597" customFormat="1" ht="18" customHeight="1" x14ac:dyDescent="0.2">
      <c r="A1122" s="145"/>
      <c r="B1122" s="177"/>
      <c r="C1122" s="177"/>
      <c r="D1122" s="145"/>
      <c r="E1122" s="145"/>
      <c r="F1122" s="145"/>
      <c r="G1122" s="145"/>
      <c r="H1122" s="147"/>
      <c r="I1122" s="107"/>
      <c r="J1122" s="178"/>
      <c r="K1122" s="107"/>
      <c r="L1122" s="145"/>
      <c r="M1122" s="145"/>
      <c r="N1122" s="145"/>
      <c r="O1122" s="145"/>
      <c r="P1122" s="147"/>
      <c r="Q1122" s="148"/>
      <c r="R1122" s="437"/>
      <c r="S1122" s="107"/>
      <c r="T1122" s="179"/>
      <c r="U1122" s="178"/>
      <c r="V1122" s="107"/>
      <c r="W1122" s="107"/>
      <c r="X1122" s="470"/>
      <c r="Y1122" s="470"/>
      <c r="Z1122" s="471"/>
      <c r="AA1122" s="471"/>
      <c r="AB1122" s="466"/>
    </row>
    <row r="1123" spans="1:28" s="597" customFormat="1" ht="18" customHeight="1" x14ac:dyDescent="0.2">
      <c r="A1123" s="88"/>
      <c r="B1123" s="180"/>
      <c r="C1123" s="180"/>
      <c r="D1123" s="88"/>
      <c r="E1123" s="88"/>
      <c r="F1123" s="88"/>
      <c r="G1123" s="88"/>
      <c r="H1123" s="120"/>
      <c r="I1123" s="121"/>
      <c r="J1123" s="181"/>
      <c r="K1123" s="121"/>
      <c r="L1123" s="88"/>
      <c r="M1123" s="88"/>
      <c r="N1123" s="88"/>
      <c r="O1123" s="88"/>
      <c r="P1123" s="88"/>
      <c r="Q1123" s="129"/>
      <c r="R1123" s="445"/>
      <c r="S1123" s="121"/>
      <c r="T1123" s="182"/>
      <c r="U1123" s="181"/>
      <c r="V1123" s="121"/>
      <c r="W1123" s="121"/>
      <c r="X1123" s="472"/>
      <c r="Y1123" s="472"/>
      <c r="Z1123" s="473"/>
      <c r="AA1123" s="473"/>
      <c r="AB1123" s="410"/>
    </row>
    <row r="1124" spans="1:28" s="597" customFormat="1" ht="18" customHeight="1" x14ac:dyDescent="0.2">
      <c r="A1124" s="1850"/>
      <c r="B1124" s="1850"/>
      <c r="C1124" s="1850"/>
      <c r="D1124" s="1850"/>
      <c r="E1124" s="1850"/>
      <c r="F1124" s="1850"/>
      <c r="G1124" s="1850"/>
      <c r="H1124" s="1851"/>
      <c r="I1124" s="1852"/>
      <c r="J1124" s="1853"/>
      <c r="K1124" s="1852"/>
      <c r="L1124" s="1852"/>
      <c r="M1124" s="1852"/>
      <c r="N1124" s="1852"/>
      <c r="O1124" s="1852"/>
      <c r="P1124" s="1852"/>
      <c r="Q1124" s="1852"/>
      <c r="R1124" s="1854"/>
      <c r="S1124" s="1852"/>
      <c r="T1124" s="1855"/>
      <c r="U1124" s="1853"/>
      <c r="V1124" s="1852"/>
      <c r="W1124" s="1852"/>
      <c r="X1124" s="1856"/>
      <c r="Y1124" s="1856"/>
      <c r="Z1124" s="1857"/>
      <c r="AA1124" s="1857"/>
      <c r="AB1124" s="1847">
        <f>SUM(AB1109:AB1123)</f>
        <v>136.08000000000001</v>
      </c>
    </row>
    <row r="1125" spans="1:28" s="597" customFormat="1" ht="18" customHeight="1" x14ac:dyDescent="0.2">
      <c r="A1125" s="2690" t="s">
        <v>76</v>
      </c>
      <c r="B1125" s="2690"/>
      <c r="C1125" s="2691" t="s">
        <v>77</v>
      </c>
      <c r="D1125" s="2691"/>
      <c r="E1125" s="2691"/>
      <c r="F1125" s="2691"/>
      <c r="G1125" s="2691"/>
      <c r="H1125" s="2691"/>
      <c r="I1125" s="604" t="s">
        <v>78</v>
      </c>
      <c r="J1125" s="604"/>
      <c r="K1125" s="604"/>
      <c r="L1125" s="604"/>
      <c r="M1125" s="604"/>
      <c r="N1125" s="604"/>
      <c r="AB1125" s="598"/>
    </row>
    <row r="1126" spans="1:28" s="597" customFormat="1" ht="18" customHeight="1" x14ac:dyDescent="0.2">
      <c r="A1126" s="604"/>
      <c r="B1126" s="605"/>
      <c r="C1126" s="604"/>
      <c r="D1126" s="604"/>
      <c r="E1126" s="604"/>
      <c r="F1126" s="604"/>
      <c r="G1126" s="604"/>
      <c r="H1126" s="604"/>
      <c r="I1126" s="604" t="s">
        <v>79</v>
      </c>
      <c r="J1126" s="604"/>
      <c r="K1126" s="604"/>
      <c r="L1126" s="604"/>
      <c r="M1126" s="604"/>
      <c r="N1126" s="604"/>
      <c r="AB1126" s="598"/>
    </row>
    <row r="1127" spans="1:28" s="597" customFormat="1" ht="18" customHeight="1" x14ac:dyDescent="0.2">
      <c r="A1127" s="604"/>
      <c r="B1127" s="605"/>
      <c r="C1127" s="604"/>
      <c r="D1127" s="604"/>
      <c r="E1127" s="604"/>
      <c r="F1127" s="604"/>
      <c r="G1127" s="604"/>
      <c r="H1127" s="604"/>
      <c r="I1127" s="604" t="s">
        <v>80</v>
      </c>
      <c r="J1127" s="604"/>
      <c r="K1127" s="604"/>
      <c r="L1127" s="604"/>
      <c r="M1127" s="604"/>
      <c r="N1127" s="604"/>
      <c r="AB1127" s="598"/>
    </row>
    <row r="1128" spans="1:28" s="597" customFormat="1" ht="18" customHeight="1" x14ac:dyDescent="0.2">
      <c r="A1128" s="604"/>
      <c r="B1128" s="605"/>
      <c r="C1128" s="604"/>
      <c r="D1128" s="604"/>
      <c r="E1128" s="604"/>
      <c r="F1128" s="604"/>
      <c r="G1128" s="604"/>
      <c r="H1128" s="604"/>
      <c r="I1128" s="604" t="s">
        <v>81</v>
      </c>
      <c r="J1128" s="604"/>
      <c r="K1128" s="604"/>
      <c r="L1128" s="604"/>
      <c r="M1128" s="604"/>
      <c r="N1128" s="604"/>
      <c r="AB1128" s="598"/>
    </row>
    <row r="1129" spans="1:28" s="597" customFormat="1" ht="18" customHeight="1" x14ac:dyDescent="0.2">
      <c r="A1129" s="604"/>
      <c r="B1129" s="605"/>
      <c r="C1129" s="604"/>
      <c r="D1129" s="604"/>
      <c r="E1129" s="604"/>
      <c r="F1129" s="604"/>
      <c r="G1129" s="604"/>
      <c r="H1129" s="604"/>
      <c r="I1129" s="604" t="s">
        <v>88</v>
      </c>
      <c r="J1129" s="604"/>
      <c r="K1129" s="604"/>
      <c r="L1129" s="604"/>
      <c r="M1129" s="604"/>
      <c r="N1129" s="604"/>
      <c r="AB1129" s="598"/>
    </row>
    <row r="1130" spans="1:28" ht="18" customHeight="1" x14ac:dyDescent="0.2">
      <c r="A1130" s="822"/>
      <c r="B1130" s="822"/>
      <c r="C1130" s="822"/>
      <c r="D1130" s="822"/>
      <c r="E1130" s="822"/>
      <c r="F1130" s="822"/>
      <c r="G1130" s="822"/>
      <c r="H1130" s="822"/>
      <c r="I1130" s="822"/>
      <c r="J1130" s="822"/>
      <c r="K1130" s="822"/>
      <c r="L1130" s="822"/>
      <c r="M1130" s="822"/>
      <c r="N1130" s="822"/>
      <c r="O1130" s="822"/>
      <c r="P1130" s="822"/>
      <c r="Q1130" s="822"/>
      <c r="R1130" s="822"/>
      <c r="S1130" s="822"/>
      <c r="T1130" s="822"/>
      <c r="U1130" s="822"/>
      <c r="V1130" s="822"/>
      <c r="W1130" s="822"/>
      <c r="X1130" s="822"/>
      <c r="Y1130" s="822"/>
      <c r="Z1130" s="822"/>
      <c r="AA1130" s="2739" t="s">
        <v>0</v>
      </c>
      <c r="AB1130" s="2739"/>
    </row>
    <row r="1131" spans="1:28" ht="18" customHeight="1" x14ac:dyDescent="0.2">
      <c r="A1131" s="2707" t="s">
        <v>1</v>
      </c>
      <c r="B1131" s="2707"/>
      <c r="C1131" s="2707"/>
      <c r="D1131" s="2707"/>
      <c r="E1131" s="2707"/>
      <c r="F1131" s="2707"/>
      <c r="G1131" s="2707"/>
      <c r="H1131" s="2707"/>
      <c r="I1131" s="2707"/>
      <c r="J1131" s="2707"/>
      <c r="K1131" s="2707"/>
      <c r="L1131" s="2707"/>
      <c r="M1131" s="2707"/>
      <c r="N1131" s="2707"/>
      <c r="O1131" s="2707"/>
      <c r="P1131" s="2707"/>
      <c r="Q1131" s="2707"/>
      <c r="R1131" s="2707"/>
      <c r="S1131" s="2707"/>
      <c r="T1131" s="2707"/>
      <c r="U1131" s="2707"/>
      <c r="V1131" s="2707"/>
      <c r="W1131" s="2707"/>
      <c r="X1131" s="2707"/>
      <c r="Y1131" s="2707"/>
      <c r="Z1131" s="2707"/>
      <c r="AA1131" s="2707"/>
      <c r="AB1131" s="2707"/>
    </row>
    <row r="1132" spans="1:28" ht="18" customHeight="1" x14ac:dyDescent="0.2">
      <c r="A1132" s="2742" t="s">
        <v>304</v>
      </c>
      <c r="B1132" s="2742"/>
      <c r="C1132" s="2742"/>
      <c r="D1132" s="2742"/>
      <c r="E1132" s="2742"/>
      <c r="F1132" s="2742"/>
      <c r="G1132" s="2742"/>
      <c r="H1132" s="2742"/>
      <c r="I1132" s="2742"/>
      <c r="J1132" s="2742"/>
      <c r="K1132" s="2742"/>
      <c r="L1132" s="2742"/>
      <c r="M1132" s="2742"/>
      <c r="N1132" s="2742"/>
      <c r="O1132" s="2742"/>
      <c r="P1132" s="2742"/>
      <c r="Q1132" s="2742"/>
      <c r="R1132" s="2742"/>
      <c r="S1132" s="2742"/>
      <c r="T1132" s="2742"/>
      <c r="U1132" s="2742"/>
      <c r="V1132" s="2742"/>
      <c r="W1132" s="2742"/>
      <c r="X1132" s="2742"/>
      <c r="Y1132" s="2742"/>
      <c r="Z1132" s="2742"/>
      <c r="AA1132" s="2742"/>
      <c r="AB1132" s="2742"/>
    </row>
    <row r="1133" spans="1:28" ht="18" customHeight="1" x14ac:dyDescent="0.2">
      <c r="A1133" s="2709" t="s">
        <v>2</v>
      </c>
      <c r="B1133" s="160"/>
      <c r="C1133" s="2709" t="s">
        <v>3</v>
      </c>
      <c r="D1133" s="160"/>
      <c r="E1133" s="160"/>
      <c r="F1133" s="2712" t="s">
        <v>4</v>
      </c>
      <c r="G1133" s="2712"/>
      <c r="H1133" s="2712"/>
      <c r="I1133" s="2713"/>
      <c r="J1133" s="2713"/>
      <c r="K1133" s="2714"/>
      <c r="L1133" s="2"/>
      <c r="M1133" s="2715" t="s">
        <v>5</v>
      </c>
      <c r="N1133" s="2715"/>
      <c r="O1133" s="2715"/>
      <c r="P1133" s="2715"/>
      <c r="Q1133" s="2716"/>
      <c r="R1133" s="2716"/>
      <c r="S1133" s="2716"/>
      <c r="T1133" s="2716"/>
      <c r="U1133" s="2716"/>
      <c r="V1133" s="2717"/>
      <c r="W1133" s="161" t="s">
        <v>6</v>
      </c>
      <c r="X1133" s="162" t="s">
        <v>7</v>
      </c>
      <c r="Y1133" s="163"/>
      <c r="Z1133" s="163"/>
      <c r="AA1133" s="162"/>
      <c r="AB1133" s="206"/>
    </row>
    <row r="1134" spans="1:28" ht="18" customHeight="1" x14ac:dyDescent="0.2">
      <c r="A1134" s="2710"/>
      <c r="B1134" s="4"/>
      <c r="C1134" s="2710"/>
      <c r="D1134" s="106" t="s">
        <v>9</v>
      </c>
      <c r="E1134" s="207" t="s">
        <v>10</v>
      </c>
      <c r="F1134" s="2718" t="s">
        <v>11</v>
      </c>
      <c r="G1134" s="2713"/>
      <c r="H1134" s="2714"/>
      <c r="I1134" s="160"/>
      <c r="J1134" s="208" t="s">
        <v>12</v>
      </c>
      <c r="K1134" s="160"/>
      <c r="L1134" s="2715" t="s">
        <v>2</v>
      </c>
      <c r="M1134" s="141"/>
      <c r="N1134" s="141"/>
      <c r="O1134" s="141"/>
      <c r="P1134" s="164"/>
      <c r="Q1134" s="209" t="s">
        <v>13</v>
      </c>
      <c r="R1134" s="210" t="s">
        <v>12</v>
      </c>
      <c r="S1134" s="141" t="s">
        <v>6</v>
      </c>
      <c r="T1134" s="2724" t="s">
        <v>14</v>
      </c>
      <c r="U1134" s="2725"/>
      <c r="V1134" s="165" t="s">
        <v>7</v>
      </c>
      <c r="W1134" s="166" t="s">
        <v>15</v>
      </c>
      <c r="X1134" s="5" t="s">
        <v>16</v>
      </c>
      <c r="Y1134" s="5" t="s">
        <v>17</v>
      </c>
      <c r="Z1134" s="5" t="s">
        <v>18</v>
      </c>
      <c r="AA1134" s="5"/>
      <c r="AB1134" s="55" t="s">
        <v>19</v>
      </c>
    </row>
    <row r="1135" spans="1:28" ht="18" customHeight="1" x14ac:dyDescent="0.2">
      <c r="A1135" s="2710"/>
      <c r="B1135" s="106" t="s">
        <v>23</v>
      </c>
      <c r="C1135" s="2710"/>
      <c r="D1135" s="106" t="s">
        <v>24</v>
      </c>
      <c r="E1135" s="207" t="s">
        <v>25</v>
      </c>
      <c r="F1135" s="2719"/>
      <c r="G1135" s="2720"/>
      <c r="H1135" s="2721"/>
      <c r="I1135" s="106" t="s">
        <v>26</v>
      </c>
      <c r="J1135" s="211" t="s">
        <v>15</v>
      </c>
      <c r="K1135" s="140" t="s">
        <v>6</v>
      </c>
      <c r="L1135" s="2722"/>
      <c r="M1135" s="142" t="s">
        <v>27</v>
      </c>
      <c r="N1135" s="142" t="s">
        <v>10</v>
      </c>
      <c r="O1135" s="212" t="s">
        <v>10</v>
      </c>
      <c r="P1135" s="213" t="s">
        <v>28</v>
      </c>
      <c r="Q1135" s="214" t="s">
        <v>29</v>
      </c>
      <c r="R1135" s="213" t="s">
        <v>15</v>
      </c>
      <c r="S1135" s="8" t="s">
        <v>15</v>
      </c>
      <c r="T1135" s="2726"/>
      <c r="U1135" s="2727"/>
      <c r="V1135" s="165" t="s">
        <v>30</v>
      </c>
      <c r="W1135" s="166" t="s">
        <v>31</v>
      </c>
      <c r="X1135" s="5" t="s">
        <v>30</v>
      </c>
      <c r="Y1135" s="5" t="s">
        <v>32</v>
      </c>
      <c r="Z1135" s="5" t="s">
        <v>7</v>
      </c>
      <c r="AA1135" s="5" t="s">
        <v>33</v>
      </c>
      <c r="AB1135" s="55" t="s">
        <v>34</v>
      </c>
    </row>
    <row r="1136" spans="1:28" ht="18" customHeight="1" x14ac:dyDescent="0.2">
      <c r="A1136" s="2710"/>
      <c r="B1136" s="106" t="s">
        <v>39</v>
      </c>
      <c r="C1136" s="2710"/>
      <c r="D1136" s="106" t="s">
        <v>40</v>
      </c>
      <c r="E1136" s="207" t="s">
        <v>41</v>
      </c>
      <c r="F1136" s="2709" t="s">
        <v>42</v>
      </c>
      <c r="G1136" s="2709" t="s">
        <v>43</v>
      </c>
      <c r="H1136" s="2728" t="s">
        <v>44</v>
      </c>
      <c r="I1136" s="106" t="s">
        <v>45</v>
      </c>
      <c r="J1136" s="211" t="s">
        <v>46</v>
      </c>
      <c r="K1136" s="140" t="s">
        <v>47</v>
      </c>
      <c r="L1136" s="2722"/>
      <c r="M1136" s="142" t="s">
        <v>30</v>
      </c>
      <c r="N1136" s="142" t="s">
        <v>30</v>
      </c>
      <c r="O1136" s="212" t="s">
        <v>25</v>
      </c>
      <c r="P1136" s="213" t="s">
        <v>30</v>
      </c>
      <c r="Q1136" s="214" t="s">
        <v>48</v>
      </c>
      <c r="R1136" s="213" t="s">
        <v>49</v>
      </c>
      <c r="S1136" s="8" t="s">
        <v>30</v>
      </c>
      <c r="T1136" s="215" t="s">
        <v>50</v>
      </c>
      <c r="U1136" s="139" t="s">
        <v>13</v>
      </c>
      <c r="V1136" s="165" t="s">
        <v>51</v>
      </c>
      <c r="W1136" s="166" t="s">
        <v>52</v>
      </c>
      <c r="X1136" s="5" t="s">
        <v>53</v>
      </c>
      <c r="Y1136" s="5" t="s">
        <v>54</v>
      </c>
      <c r="Z1136" s="5" t="s">
        <v>55</v>
      </c>
      <c r="AA1136" s="5" t="s">
        <v>56</v>
      </c>
      <c r="AB1136" s="55" t="s">
        <v>57</v>
      </c>
    </row>
    <row r="1137" spans="1:28" ht="18" customHeight="1" x14ac:dyDescent="0.2">
      <c r="A1137" s="2710"/>
      <c r="B1137" s="106" t="s">
        <v>61</v>
      </c>
      <c r="C1137" s="2710"/>
      <c r="D1137" s="106" t="s">
        <v>62</v>
      </c>
      <c r="E1137" s="207" t="s">
        <v>63</v>
      </c>
      <c r="F1137" s="2710"/>
      <c r="G1137" s="2710"/>
      <c r="H1137" s="2729"/>
      <c r="I1137" s="106" t="s">
        <v>64</v>
      </c>
      <c r="J1137" s="211" t="s">
        <v>59</v>
      </c>
      <c r="K1137" s="140" t="s">
        <v>59</v>
      </c>
      <c r="L1137" s="2722"/>
      <c r="M1137" s="142"/>
      <c r="N1137" s="142"/>
      <c r="O1137" s="212" t="s">
        <v>41</v>
      </c>
      <c r="P1137" s="213" t="s">
        <v>65</v>
      </c>
      <c r="Q1137" s="214" t="s">
        <v>66</v>
      </c>
      <c r="R1137" s="213" t="s">
        <v>67</v>
      </c>
      <c r="S1137" s="8" t="s">
        <v>59</v>
      </c>
      <c r="T1137" s="216" t="s">
        <v>68</v>
      </c>
      <c r="U1137" s="165" t="s">
        <v>14</v>
      </c>
      <c r="V1137" s="165" t="s">
        <v>14</v>
      </c>
      <c r="W1137" s="166" t="s">
        <v>30</v>
      </c>
      <c r="X1137" s="167" t="s">
        <v>69</v>
      </c>
      <c r="Y1137" s="167" t="s">
        <v>70</v>
      </c>
      <c r="Z1137" s="5" t="s">
        <v>71</v>
      </c>
      <c r="AA1137" s="5" t="s">
        <v>72</v>
      </c>
      <c r="AB1137" s="55" t="s">
        <v>59</v>
      </c>
    </row>
    <row r="1138" spans="1:28" ht="18" customHeight="1" x14ac:dyDescent="0.2">
      <c r="A1138" s="2711"/>
      <c r="B1138" s="9"/>
      <c r="C1138" s="2711"/>
      <c r="D1138" s="9"/>
      <c r="E1138" s="138"/>
      <c r="F1138" s="9"/>
      <c r="G1138" s="9"/>
      <c r="H1138" s="10"/>
      <c r="I1138" s="138"/>
      <c r="J1138" s="217"/>
      <c r="K1138" s="168"/>
      <c r="L1138" s="2723"/>
      <c r="M1138" s="143"/>
      <c r="N1138" s="143"/>
      <c r="O1138" s="143" t="s">
        <v>63</v>
      </c>
      <c r="P1138" s="218"/>
      <c r="Q1138" s="219" t="s">
        <v>72</v>
      </c>
      <c r="R1138" s="220" t="s">
        <v>59</v>
      </c>
      <c r="S1138" s="169"/>
      <c r="T1138" s="220" t="s">
        <v>73</v>
      </c>
      <c r="U1138" s="169" t="s">
        <v>59</v>
      </c>
      <c r="V1138" s="170" t="s">
        <v>59</v>
      </c>
      <c r="W1138" s="171" t="s">
        <v>59</v>
      </c>
      <c r="X1138" s="172" t="s">
        <v>59</v>
      </c>
      <c r="Y1138" s="172" t="s">
        <v>59</v>
      </c>
      <c r="Z1138" s="172" t="s">
        <v>59</v>
      </c>
      <c r="AA1138" s="11"/>
      <c r="AB1138" s="56"/>
    </row>
    <row r="1139" spans="1:28" s="597" customFormat="1" ht="18" customHeight="1" x14ac:dyDescent="0.2">
      <c r="A1139" s="53">
        <v>1</v>
      </c>
      <c r="B1139" s="82">
        <v>65851</v>
      </c>
      <c r="C1139" s="82">
        <v>1313</v>
      </c>
      <c r="D1139" s="82" t="s">
        <v>95</v>
      </c>
      <c r="E1139" s="82">
        <v>4</v>
      </c>
      <c r="F1139" s="82">
        <v>0</v>
      </c>
      <c r="G1139" s="82">
        <v>1</v>
      </c>
      <c r="H1139" s="463">
        <v>5</v>
      </c>
      <c r="I1139" s="74">
        <f t="shared" ref="I1139" si="47">F1139*400+G1139*100+H1139</f>
        <v>105</v>
      </c>
      <c r="J1139" s="123">
        <v>425</v>
      </c>
      <c r="K1139" s="124">
        <f>SUM(I1139*J1139)</f>
        <v>44625</v>
      </c>
      <c r="L1139" s="53"/>
      <c r="M1139" s="82"/>
      <c r="N1139" s="82"/>
      <c r="O1139" s="53"/>
      <c r="P1139" s="358"/>
      <c r="Q1139" s="197"/>
      <c r="R1139" s="444"/>
      <c r="S1139" s="70"/>
      <c r="T1139" s="82"/>
      <c r="U1139" s="70"/>
      <c r="V1139" s="70"/>
      <c r="W1139" s="70">
        <f>K1139+V1139</f>
        <v>44625</v>
      </c>
      <c r="X1139" s="70">
        <f>W1139</f>
        <v>44625</v>
      </c>
      <c r="Y1139" s="123"/>
      <c r="Z1139" s="77">
        <f>+X1139</f>
        <v>44625</v>
      </c>
      <c r="AA1139" s="1954">
        <v>0.6</v>
      </c>
      <c r="AB1139" s="406">
        <f>(Z1139*AA1139/100)</f>
        <v>267.75</v>
      </c>
    </row>
    <row r="1140" spans="1:28" ht="18" customHeight="1" x14ac:dyDescent="0.2">
      <c r="A1140" s="145"/>
      <c r="B1140" s="177"/>
      <c r="C1140" s="177"/>
      <c r="D1140" s="145"/>
      <c r="E1140" s="145"/>
      <c r="F1140" s="145"/>
      <c r="G1140" s="145"/>
      <c r="H1140" s="147"/>
      <c r="I1140" s="107"/>
      <c r="J1140" s="178"/>
      <c r="K1140" s="826"/>
      <c r="L1140" s="145"/>
      <c r="M1140" s="145"/>
      <c r="N1140" s="145"/>
      <c r="O1140" s="145"/>
      <c r="P1140" s="147"/>
      <c r="Q1140" s="148"/>
      <c r="R1140" s="827"/>
      <c r="S1140" s="826"/>
      <c r="T1140" s="179"/>
      <c r="U1140" s="828"/>
      <c r="V1140" s="826"/>
      <c r="W1140" s="826"/>
      <c r="X1140" s="829"/>
      <c r="Y1140" s="829"/>
      <c r="Z1140" s="830"/>
      <c r="AA1140" s="830"/>
      <c r="AB1140" s="831"/>
    </row>
    <row r="1141" spans="1:28" ht="18" customHeight="1" x14ac:dyDescent="0.2">
      <c r="A1141" s="145"/>
      <c r="B1141" s="177"/>
      <c r="C1141" s="177"/>
      <c r="D1141" s="145"/>
      <c r="E1141" s="145"/>
      <c r="F1141" s="145"/>
      <c r="G1141" s="145"/>
      <c r="H1141" s="147"/>
      <c r="I1141" s="107"/>
      <c r="J1141" s="178"/>
      <c r="K1141" s="826"/>
      <c r="L1141" s="145"/>
      <c r="M1141" s="145"/>
      <c r="N1141" s="145"/>
      <c r="O1141" s="145"/>
      <c r="P1141" s="147"/>
      <c r="Q1141" s="148"/>
      <c r="R1141" s="827"/>
      <c r="S1141" s="826"/>
      <c r="T1141" s="179"/>
      <c r="U1141" s="828"/>
      <c r="V1141" s="826"/>
      <c r="W1141" s="826"/>
      <c r="X1141" s="829"/>
      <c r="Y1141" s="829"/>
      <c r="Z1141" s="830"/>
      <c r="AA1141" s="830"/>
      <c r="AB1141" s="832"/>
    </row>
    <row r="1142" spans="1:28" ht="18" customHeight="1" x14ac:dyDescent="0.2">
      <c r="A1142" s="145"/>
      <c r="B1142" s="177"/>
      <c r="C1142" s="177"/>
      <c r="D1142" s="145"/>
      <c r="E1142" s="145"/>
      <c r="F1142" s="145"/>
      <c r="G1142" s="145"/>
      <c r="H1142" s="147"/>
      <c r="I1142" s="107"/>
      <c r="J1142" s="178"/>
      <c r="K1142" s="826"/>
      <c r="L1142" s="145"/>
      <c r="M1142" s="145"/>
      <c r="N1142" s="145"/>
      <c r="O1142" s="145"/>
      <c r="P1142" s="147"/>
      <c r="Q1142" s="148"/>
      <c r="R1142" s="827"/>
      <c r="S1142" s="826"/>
      <c r="T1142" s="179"/>
      <c r="U1142" s="828"/>
      <c r="V1142" s="826"/>
      <c r="W1142" s="826"/>
      <c r="X1142" s="829"/>
      <c r="Y1142" s="829"/>
      <c r="Z1142" s="830"/>
      <c r="AA1142" s="830"/>
      <c r="AB1142" s="832"/>
    </row>
    <row r="1143" spans="1:28" ht="18" customHeight="1" x14ac:dyDescent="0.2">
      <c r="A1143" s="145"/>
      <c r="B1143" s="177"/>
      <c r="C1143" s="177"/>
      <c r="D1143" s="145"/>
      <c r="E1143" s="145"/>
      <c r="F1143" s="145"/>
      <c r="G1143" s="145"/>
      <c r="H1143" s="147"/>
      <c r="I1143" s="107"/>
      <c r="J1143" s="178"/>
      <c r="K1143" s="826"/>
      <c r="L1143" s="145"/>
      <c r="M1143" s="145"/>
      <c r="N1143" s="145"/>
      <c r="O1143" s="145"/>
      <c r="P1143" s="147"/>
      <c r="Q1143" s="148"/>
      <c r="R1143" s="827"/>
      <c r="S1143" s="826"/>
      <c r="T1143" s="179"/>
      <c r="U1143" s="828"/>
      <c r="V1143" s="826"/>
      <c r="W1143" s="826"/>
      <c r="X1143" s="829"/>
      <c r="Y1143" s="829"/>
      <c r="Z1143" s="830"/>
      <c r="AA1143" s="830"/>
      <c r="AB1143" s="832"/>
    </row>
    <row r="1144" spans="1:28" ht="18" customHeight="1" x14ac:dyDescent="0.2">
      <c r="A1144" s="145"/>
      <c r="B1144" s="177"/>
      <c r="C1144" s="177"/>
      <c r="D1144" s="145"/>
      <c r="E1144" s="145"/>
      <c r="F1144" s="145"/>
      <c r="G1144" s="145"/>
      <c r="H1144" s="147"/>
      <c r="I1144" s="107"/>
      <c r="J1144" s="178"/>
      <c r="K1144" s="826"/>
      <c r="L1144" s="145"/>
      <c r="M1144" s="145"/>
      <c r="N1144" s="145"/>
      <c r="O1144" s="145"/>
      <c r="P1144" s="147"/>
      <c r="Q1144" s="148"/>
      <c r="R1144" s="827"/>
      <c r="S1144" s="826"/>
      <c r="T1144" s="179"/>
      <c r="U1144" s="828"/>
      <c r="V1144" s="826"/>
      <c r="W1144" s="826"/>
      <c r="X1144" s="829"/>
      <c r="Y1144" s="829"/>
      <c r="Z1144" s="830"/>
      <c r="AA1144" s="830"/>
      <c r="AB1144" s="832"/>
    </row>
    <row r="1145" spans="1:28" ht="18" customHeight="1" x14ac:dyDescent="0.2">
      <c r="A1145" s="145"/>
      <c r="B1145" s="177"/>
      <c r="C1145" s="177"/>
      <c r="D1145" s="145"/>
      <c r="E1145" s="145"/>
      <c r="F1145" s="145"/>
      <c r="G1145" s="145"/>
      <c r="H1145" s="147"/>
      <c r="I1145" s="107"/>
      <c r="J1145" s="178"/>
      <c r="K1145" s="826"/>
      <c r="L1145" s="145"/>
      <c r="M1145" s="145"/>
      <c r="N1145" s="145"/>
      <c r="O1145" s="145"/>
      <c r="P1145" s="147"/>
      <c r="Q1145" s="148"/>
      <c r="R1145" s="827"/>
      <c r="S1145" s="826"/>
      <c r="T1145" s="179"/>
      <c r="U1145" s="828"/>
      <c r="V1145" s="826"/>
      <c r="W1145" s="826"/>
      <c r="X1145" s="829"/>
      <c r="Y1145" s="829"/>
      <c r="Z1145" s="830"/>
      <c r="AA1145" s="830"/>
      <c r="AB1145" s="832"/>
    </row>
    <row r="1146" spans="1:28" ht="18" customHeight="1" x14ac:dyDescent="0.2">
      <c r="A1146" s="2166"/>
      <c r="B1146" s="177"/>
      <c r="C1146" s="177"/>
      <c r="D1146" s="2166"/>
      <c r="E1146" s="2166"/>
      <c r="F1146" s="2166"/>
      <c r="G1146" s="2166"/>
      <c r="H1146" s="2171"/>
      <c r="I1146" s="2168"/>
      <c r="J1146" s="178"/>
      <c r="K1146" s="826"/>
      <c r="L1146" s="2166"/>
      <c r="M1146" s="2166"/>
      <c r="N1146" s="2166"/>
      <c r="O1146" s="2166"/>
      <c r="P1146" s="2171"/>
      <c r="Q1146" s="2167"/>
      <c r="R1146" s="827"/>
      <c r="S1146" s="826"/>
      <c r="T1146" s="179"/>
      <c r="U1146" s="828"/>
      <c r="V1146" s="826"/>
      <c r="W1146" s="826"/>
      <c r="X1146" s="829"/>
      <c r="Y1146" s="829"/>
      <c r="Z1146" s="830"/>
      <c r="AA1146" s="830"/>
      <c r="AB1146" s="832"/>
    </row>
    <row r="1147" spans="1:28" ht="18" customHeight="1" x14ac:dyDescent="0.2">
      <c r="A1147" s="2166"/>
      <c r="B1147" s="177"/>
      <c r="C1147" s="177"/>
      <c r="D1147" s="2166"/>
      <c r="E1147" s="2166"/>
      <c r="F1147" s="2166"/>
      <c r="G1147" s="2166"/>
      <c r="H1147" s="2171"/>
      <c r="I1147" s="2168"/>
      <c r="J1147" s="178"/>
      <c r="K1147" s="826"/>
      <c r="L1147" s="2166"/>
      <c r="M1147" s="2166"/>
      <c r="N1147" s="2166"/>
      <c r="O1147" s="2166"/>
      <c r="P1147" s="2171"/>
      <c r="Q1147" s="2167"/>
      <c r="R1147" s="827"/>
      <c r="S1147" s="826"/>
      <c r="T1147" s="179"/>
      <c r="U1147" s="828"/>
      <c r="V1147" s="826"/>
      <c r="W1147" s="826"/>
      <c r="X1147" s="829"/>
      <c r="Y1147" s="829"/>
      <c r="Z1147" s="830"/>
      <c r="AA1147" s="830"/>
      <c r="AB1147" s="832"/>
    </row>
    <row r="1148" spans="1:28" ht="18" customHeight="1" x14ac:dyDescent="0.2">
      <c r="A1148" s="2166"/>
      <c r="B1148" s="177"/>
      <c r="C1148" s="177"/>
      <c r="D1148" s="2166"/>
      <c r="E1148" s="2166"/>
      <c r="F1148" s="2166"/>
      <c r="G1148" s="2166"/>
      <c r="H1148" s="2171"/>
      <c r="I1148" s="2168"/>
      <c r="J1148" s="178"/>
      <c r="K1148" s="826"/>
      <c r="L1148" s="2166"/>
      <c r="M1148" s="2166"/>
      <c r="N1148" s="2166"/>
      <c r="O1148" s="2166"/>
      <c r="P1148" s="2171"/>
      <c r="Q1148" s="2167"/>
      <c r="R1148" s="827"/>
      <c r="S1148" s="826"/>
      <c r="T1148" s="179"/>
      <c r="U1148" s="828"/>
      <c r="V1148" s="826"/>
      <c r="W1148" s="826"/>
      <c r="X1148" s="829"/>
      <c r="Y1148" s="829"/>
      <c r="Z1148" s="830"/>
      <c r="AA1148" s="830"/>
      <c r="AB1148" s="832"/>
    </row>
    <row r="1149" spans="1:28" ht="18" customHeight="1" x14ac:dyDescent="0.2">
      <c r="A1149" s="2166"/>
      <c r="B1149" s="177"/>
      <c r="C1149" s="177"/>
      <c r="D1149" s="2166"/>
      <c r="E1149" s="2166"/>
      <c r="F1149" s="2166"/>
      <c r="G1149" s="2166"/>
      <c r="H1149" s="2171"/>
      <c r="I1149" s="2168"/>
      <c r="J1149" s="178"/>
      <c r="K1149" s="826"/>
      <c r="L1149" s="2166"/>
      <c r="M1149" s="2166"/>
      <c r="N1149" s="2166"/>
      <c r="O1149" s="2166"/>
      <c r="P1149" s="2171"/>
      <c r="Q1149" s="2167"/>
      <c r="R1149" s="827"/>
      <c r="S1149" s="826"/>
      <c r="T1149" s="179"/>
      <c r="U1149" s="828"/>
      <c r="V1149" s="826"/>
      <c r="W1149" s="826"/>
      <c r="X1149" s="829"/>
      <c r="Y1149" s="829"/>
      <c r="Z1149" s="830"/>
      <c r="AA1149" s="830"/>
      <c r="AB1149" s="832"/>
    </row>
    <row r="1150" spans="1:28" ht="18" customHeight="1" x14ac:dyDescent="0.2">
      <c r="A1150" s="2166"/>
      <c r="B1150" s="177"/>
      <c r="C1150" s="177"/>
      <c r="D1150" s="2166"/>
      <c r="E1150" s="2166"/>
      <c r="F1150" s="2166"/>
      <c r="G1150" s="2166"/>
      <c r="H1150" s="2171"/>
      <c r="I1150" s="2168"/>
      <c r="J1150" s="178"/>
      <c r="K1150" s="826"/>
      <c r="L1150" s="2166"/>
      <c r="M1150" s="2166"/>
      <c r="N1150" s="2166"/>
      <c r="O1150" s="2166"/>
      <c r="P1150" s="2171"/>
      <c r="Q1150" s="2167"/>
      <c r="R1150" s="827"/>
      <c r="S1150" s="826"/>
      <c r="T1150" s="179"/>
      <c r="U1150" s="828"/>
      <c r="V1150" s="826"/>
      <c r="W1150" s="826"/>
      <c r="X1150" s="829"/>
      <c r="Y1150" s="829"/>
      <c r="Z1150" s="830"/>
      <c r="AA1150" s="830"/>
      <c r="AB1150" s="832"/>
    </row>
    <row r="1151" spans="1:28" ht="18" customHeight="1" x14ac:dyDescent="0.2">
      <c r="A1151" s="2166"/>
      <c r="B1151" s="177"/>
      <c r="C1151" s="177"/>
      <c r="D1151" s="2166"/>
      <c r="E1151" s="2166"/>
      <c r="F1151" s="2166"/>
      <c r="G1151" s="2166"/>
      <c r="H1151" s="2171"/>
      <c r="I1151" s="2168"/>
      <c r="J1151" s="178"/>
      <c r="K1151" s="826"/>
      <c r="L1151" s="2166"/>
      <c r="M1151" s="2166"/>
      <c r="N1151" s="2166"/>
      <c r="O1151" s="2166"/>
      <c r="P1151" s="2171"/>
      <c r="Q1151" s="2167"/>
      <c r="R1151" s="827"/>
      <c r="S1151" s="826"/>
      <c r="T1151" s="179"/>
      <c r="U1151" s="828"/>
      <c r="V1151" s="826"/>
      <c r="W1151" s="826"/>
      <c r="X1151" s="829"/>
      <c r="Y1151" s="829"/>
      <c r="Z1151" s="830"/>
      <c r="AA1151" s="830"/>
      <c r="AB1151" s="832"/>
    </row>
    <row r="1152" spans="1:28" ht="18" customHeight="1" x14ac:dyDescent="0.2">
      <c r="A1152" s="2166"/>
      <c r="B1152" s="177"/>
      <c r="C1152" s="177"/>
      <c r="D1152" s="2166"/>
      <c r="E1152" s="2166"/>
      <c r="F1152" s="2166"/>
      <c r="G1152" s="2166"/>
      <c r="H1152" s="2171"/>
      <c r="I1152" s="2168"/>
      <c r="J1152" s="178"/>
      <c r="K1152" s="826"/>
      <c r="L1152" s="2166"/>
      <c r="M1152" s="2166"/>
      <c r="N1152" s="2166"/>
      <c r="O1152" s="2166"/>
      <c r="P1152" s="2171"/>
      <c r="Q1152" s="2167"/>
      <c r="R1152" s="827"/>
      <c r="S1152" s="826"/>
      <c r="T1152" s="179"/>
      <c r="U1152" s="828"/>
      <c r="V1152" s="826"/>
      <c r="W1152" s="826"/>
      <c r="X1152" s="829"/>
      <c r="Y1152" s="829"/>
      <c r="Z1152" s="830"/>
      <c r="AA1152" s="830"/>
      <c r="AB1152" s="832"/>
    </row>
    <row r="1153" spans="1:28" ht="18" customHeight="1" x14ac:dyDescent="0.2">
      <c r="A1153" s="2166"/>
      <c r="B1153" s="177"/>
      <c r="C1153" s="177"/>
      <c r="D1153" s="2166"/>
      <c r="E1153" s="2166"/>
      <c r="F1153" s="2166"/>
      <c r="G1153" s="2166"/>
      <c r="H1153" s="2171"/>
      <c r="I1153" s="2168"/>
      <c r="J1153" s="178"/>
      <c r="K1153" s="826"/>
      <c r="L1153" s="2166"/>
      <c r="M1153" s="2166"/>
      <c r="N1153" s="2166"/>
      <c r="O1153" s="2166"/>
      <c r="P1153" s="2171"/>
      <c r="Q1153" s="2167"/>
      <c r="R1153" s="827"/>
      <c r="S1153" s="826"/>
      <c r="T1153" s="179"/>
      <c r="U1153" s="828"/>
      <c r="V1153" s="826"/>
      <c r="W1153" s="826"/>
      <c r="X1153" s="829"/>
      <c r="Y1153" s="829"/>
      <c r="Z1153" s="830"/>
      <c r="AA1153" s="830"/>
      <c r="AB1153" s="832"/>
    </row>
    <row r="1154" spans="1:28" ht="18" customHeight="1" x14ac:dyDescent="0.2">
      <c r="A1154" s="2166"/>
      <c r="B1154" s="177"/>
      <c r="C1154" s="177"/>
      <c r="D1154" s="2166"/>
      <c r="E1154" s="2166"/>
      <c r="F1154" s="2166"/>
      <c r="G1154" s="2166"/>
      <c r="H1154" s="2171"/>
      <c r="I1154" s="2168"/>
      <c r="J1154" s="178"/>
      <c r="K1154" s="826"/>
      <c r="L1154" s="2166"/>
      <c r="M1154" s="2166"/>
      <c r="N1154" s="2166"/>
      <c r="O1154" s="2166"/>
      <c r="P1154" s="2171"/>
      <c r="Q1154" s="2167"/>
      <c r="R1154" s="827"/>
      <c r="S1154" s="826"/>
      <c r="T1154" s="179"/>
      <c r="U1154" s="828"/>
      <c r="V1154" s="826"/>
      <c r="W1154" s="826"/>
      <c r="X1154" s="829"/>
      <c r="Y1154" s="829"/>
      <c r="Z1154" s="830"/>
      <c r="AA1154" s="830"/>
      <c r="AB1154" s="832"/>
    </row>
    <row r="1155" spans="1:28" ht="18" customHeight="1" x14ac:dyDescent="0.2">
      <c r="A1155" s="2166"/>
      <c r="B1155" s="177"/>
      <c r="C1155" s="177"/>
      <c r="D1155" s="2166"/>
      <c r="E1155" s="2166"/>
      <c r="F1155" s="2166"/>
      <c r="G1155" s="2166"/>
      <c r="H1155" s="2171"/>
      <c r="I1155" s="2168"/>
      <c r="J1155" s="178"/>
      <c r="K1155" s="826"/>
      <c r="L1155" s="2166"/>
      <c r="M1155" s="2166"/>
      <c r="N1155" s="2166"/>
      <c r="O1155" s="2166"/>
      <c r="P1155" s="2171"/>
      <c r="Q1155" s="2167"/>
      <c r="R1155" s="827"/>
      <c r="S1155" s="826"/>
      <c r="T1155" s="179"/>
      <c r="U1155" s="828"/>
      <c r="V1155" s="826"/>
      <c r="W1155" s="826"/>
      <c r="X1155" s="829"/>
      <c r="Y1155" s="829"/>
      <c r="Z1155" s="830"/>
      <c r="AA1155" s="830"/>
      <c r="AB1155" s="832"/>
    </row>
    <row r="1156" spans="1:28" ht="18" customHeight="1" x14ac:dyDescent="0.2">
      <c r="A1156" s="2166"/>
      <c r="B1156" s="177"/>
      <c r="C1156" s="177"/>
      <c r="D1156" s="2166"/>
      <c r="E1156" s="2166"/>
      <c r="F1156" s="2166"/>
      <c r="G1156" s="2166"/>
      <c r="H1156" s="2171"/>
      <c r="I1156" s="2168"/>
      <c r="J1156" s="178"/>
      <c r="K1156" s="826"/>
      <c r="L1156" s="2166"/>
      <c r="M1156" s="2166"/>
      <c r="N1156" s="2166"/>
      <c r="O1156" s="2166"/>
      <c r="P1156" s="2171"/>
      <c r="Q1156" s="2167"/>
      <c r="R1156" s="827"/>
      <c r="S1156" s="826"/>
      <c r="T1156" s="179"/>
      <c r="U1156" s="828"/>
      <c r="V1156" s="826"/>
      <c r="W1156" s="826"/>
      <c r="X1156" s="829"/>
      <c r="Y1156" s="829"/>
      <c r="Z1156" s="830"/>
      <c r="AA1156" s="830"/>
      <c r="AB1156" s="832"/>
    </row>
    <row r="1157" spans="1:28" ht="18" customHeight="1" x14ac:dyDescent="0.2">
      <c r="A1157" s="2166"/>
      <c r="B1157" s="177"/>
      <c r="C1157" s="177"/>
      <c r="D1157" s="2166"/>
      <c r="E1157" s="2166"/>
      <c r="F1157" s="2166"/>
      <c r="G1157" s="2166"/>
      <c r="H1157" s="2171"/>
      <c r="I1157" s="2168"/>
      <c r="J1157" s="178"/>
      <c r="K1157" s="826"/>
      <c r="L1157" s="2166"/>
      <c r="M1157" s="2166"/>
      <c r="N1157" s="2166"/>
      <c r="O1157" s="2166"/>
      <c r="P1157" s="2171"/>
      <c r="Q1157" s="2167"/>
      <c r="R1157" s="827"/>
      <c r="S1157" s="826"/>
      <c r="T1157" s="179"/>
      <c r="U1157" s="828"/>
      <c r="V1157" s="826"/>
      <c r="W1157" s="826"/>
      <c r="X1157" s="829"/>
      <c r="Y1157" s="829"/>
      <c r="Z1157" s="830"/>
      <c r="AA1157" s="830"/>
      <c r="AB1157" s="832"/>
    </row>
    <row r="1158" spans="1:28" ht="18" customHeight="1" x14ac:dyDescent="0.2">
      <c r="A1158" s="145"/>
      <c r="B1158" s="177"/>
      <c r="C1158" s="177"/>
      <c r="D1158" s="145"/>
      <c r="E1158" s="145"/>
      <c r="F1158" s="145"/>
      <c r="G1158" s="145"/>
      <c r="H1158" s="147"/>
      <c r="I1158" s="107"/>
      <c r="J1158" s="178"/>
      <c r="K1158" s="826"/>
      <c r="L1158" s="145"/>
      <c r="M1158" s="145"/>
      <c r="N1158" s="145"/>
      <c r="O1158" s="145"/>
      <c r="P1158" s="147"/>
      <c r="Q1158" s="148"/>
      <c r="R1158" s="827"/>
      <c r="S1158" s="826"/>
      <c r="T1158" s="179"/>
      <c r="U1158" s="828"/>
      <c r="V1158" s="826"/>
      <c r="W1158" s="826"/>
      <c r="X1158" s="829"/>
      <c r="Y1158" s="829"/>
      <c r="Z1158" s="830"/>
      <c r="AA1158" s="830"/>
      <c r="AB1158" s="832"/>
    </row>
    <row r="1159" spans="1:28" ht="18" customHeight="1" x14ac:dyDescent="0.2">
      <c r="A1159" s="145"/>
      <c r="B1159" s="177"/>
      <c r="C1159" s="177"/>
      <c r="D1159" s="145"/>
      <c r="E1159" s="145"/>
      <c r="F1159" s="145"/>
      <c r="G1159" s="145"/>
      <c r="H1159" s="147"/>
      <c r="I1159" s="107"/>
      <c r="J1159" s="178"/>
      <c r="K1159" s="826"/>
      <c r="L1159" s="145"/>
      <c r="M1159" s="145"/>
      <c r="N1159" s="145"/>
      <c r="O1159" s="145"/>
      <c r="P1159" s="147"/>
      <c r="Q1159" s="148"/>
      <c r="R1159" s="827"/>
      <c r="S1159" s="826"/>
      <c r="T1159" s="179"/>
      <c r="U1159" s="828"/>
      <c r="V1159" s="826"/>
      <c r="W1159" s="826"/>
      <c r="X1159" s="829"/>
      <c r="Y1159" s="829"/>
      <c r="Z1159" s="830"/>
      <c r="AA1159" s="830"/>
      <c r="AB1159" s="832"/>
    </row>
    <row r="1160" spans="1:28" ht="18" customHeight="1" x14ac:dyDescent="0.2">
      <c r="A1160" s="145"/>
      <c r="B1160" s="177"/>
      <c r="C1160" s="177"/>
      <c r="D1160" s="145"/>
      <c r="E1160" s="145"/>
      <c r="F1160" s="145"/>
      <c r="G1160" s="145"/>
      <c r="H1160" s="147"/>
      <c r="I1160" s="107"/>
      <c r="J1160" s="178"/>
      <c r="K1160" s="826"/>
      <c r="L1160" s="145"/>
      <c r="M1160" s="145"/>
      <c r="N1160" s="145"/>
      <c r="O1160" s="145"/>
      <c r="P1160" s="147"/>
      <c r="Q1160" s="148"/>
      <c r="R1160" s="827"/>
      <c r="S1160" s="826"/>
      <c r="T1160" s="179"/>
      <c r="U1160" s="828"/>
      <c r="V1160" s="826"/>
      <c r="W1160" s="826"/>
      <c r="X1160" s="829"/>
      <c r="Y1160" s="829"/>
      <c r="Z1160" s="830"/>
      <c r="AA1160" s="830"/>
      <c r="AB1160" s="832"/>
    </row>
    <row r="1161" spans="1:28" ht="18" customHeight="1" x14ac:dyDescent="0.2">
      <c r="A1161" s="145"/>
      <c r="B1161" s="177"/>
      <c r="C1161" s="177"/>
      <c r="D1161" s="145"/>
      <c r="E1161" s="145"/>
      <c r="F1161" s="145"/>
      <c r="G1161" s="145"/>
      <c r="H1161" s="147"/>
      <c r="I1161" s="107"/>
      <c r="J1161" s="178"/>
      <c r="K1161" s="826"/>
      <c r="L1161" s="145"/>
      <c r="M1161" s="145"/>
      <c r="N1161" s="145"/>
      <c r="O1161" s="145"/>
      <c r="P1161" s="147"/>
      <c r="Q1161" s="148"/>
      <c r="R1161" s="827"/>
      <c r="S1161" s="826"/>
      <c r="T1161" s="179"/>
      <c r="U1161" s="828"/>
      <c r="V1161" s="826"/>
      <c r="W1161" s="826"/>
      <c r="X1161" s="829"/>
      <c r="Y1161" s="829"/>
      <c r="Z1161" s="830"/>
      <c r="AA1161" s="830"/>
      <c r="AB1161" s="832"/>
    </row>
    <row r="1162" spans="1:28" ht="18" customHeight="1" x14ac:dyDescent="0.2">
      <c r="A1162" s="2166"/>
      <c r="B1162" s="177"/>
      <c r="C1162" s="177"/>
      <c r="D1162" s="2166"/>
      <c r="E1162" s="2166"/>
      <c r="F1162" s="2166"/>
      <c r="G1162" s="2166"/>
      <c r="H1162" s="2171"/>
      <c r="I1162" s="2168"/>
      <c r="J1162" s="178"/>
      <c r="K1162" s="826"/>
      <c r="L1162" s="2166"/>
      <c r="M1162" s="2166"/>
      <c r="N1162" s="2166"/>
      <c r="O1162" s="2166"/>
      <c r="P1162" s="2171"/>
      <c r="Q1162" s="2167"/>
      <c r="R1162" s="827"/>
      <c r="S1162" s="826"/>
      <c r="T1162" s="179"/>
      <c r="U1162" s="828"/>
      <c r="V1162" s="826"/>
      <c r="W1162" s="826"/>
      <c r="X1162" s="829"/>
      <c r="Y1162" s="829"/>
      <c r="Z1162" s="830"/>
      <c r="AA1162" s="830"/>
      <c r="AB1162" s="832"/>
    </row>
    <row r="1163" spans="1:28" ht="18" customHeight="1" x14ac:dyDescent="0.2">
      <c r="A1163" s="2166"/>
      <c r="B1163" s="177"/>
      <c r="C1163" s="177"/>
      <c r="D1163" s="2166"/>
      <c r="E1163" s="2166"/>
      <c r="F1163" s="2166"/>
      <c r="G1163" s="2166"/>
      <c r="H1163" s="2171"/>
      <c r="I1163" s="2168"/>
      <c r="J1163" s="178"/>
      <c r="K1163" s="826"/>
      <c r="L1163" s="2166"/>
      <c r="M1163" s="2166"/>
      <c r="N1163" s="2166"/>
      <c r="O1163" s="2166"/>
      <c r="P1163" s="2171"/>
      <c r="Q1163" s="2167"/>
      <c r="R1163" s="827"/>
      <c r="S1163" s="826"/>
      <c r="T1163" s="179"/>
      <c r="U1163" s="828"/>
      <c r="V1163" s="826"/>
      <c r="W1163" s="826"/>
      <c r="X1163" s="829"/>
      <c r="Y1163" s="829"/>
      <c r="Z1163" s="830"/>
      <c r="AA1163" s="830"/>
      <c r="AB1163" s="832"/>
    </row>
    <row r="1164" spans="1:28" ht="18" customHeight="1" x14ac:dyDescent="0.2">
      <c r="A1164" s="145"/>
      <c r="B1164" s="177"/>
      <c r="C1164" s="177"/>
      <c r="D1164" s="145"/>
      <c r="E1164" s="145"/>
      <c r="F1164" s="145"/>
      <c r="G1164" s="145"/>
      <c r="H1164" s="147"/>
      <c r="I1164" s="107"/>
      <c r="J1164" s="178"/>
      <c r="K1164" s="826"/>
      <c r="L1164" s="145"/>
      <c r="M1164" s="145"/>
      <c r="N1164" s="145"/>
      <c r="O1164" s="145"/>
      <c r="P1164" s="147"/>
      <c r="Q1164" s="148"/>
      <c r="R1164" s="827"/>
      <c r="S1164" s="826"/>
      <c r="T1164" s="179"/>
      <c r="U1164" s="828"/>
      <c r="V1164" s="826"/>
      <c r="W1164" s="826"/>
      <c r="X1164" s="829"/>
      <c r="Y1164" s="829"/>
      <c r="Z1164" s="830"/>
      <c r="AA1164" s="830"/>
      <c r="AB1164" s="832"/>
    </row>
    <row r="1165" spans="1:28" ht="18" customHeight="1" x14ac:dyDescent="0.2">
      <c r="A1165" s="145"/>
      <c r="B1165" s="177"/>
      <c r="C1165" s="177"/>
      <c r="D1165" s="145"/>
      <c r="E1165" s="145"/>
      <c r="F1165" s="145"/>
      <c r="G1165" s="145"/>
      <c r="H1165" s="147"/>
      <c r="I1165" s="107"/>
      <c r="J1165" s="178"/>
      <c r="K1165" s="826"/>
      <c r="L1165" s="145"/>
      <c r="M1165" s="145"/>
      <c r="N1165" s="145"/>
      <c r="O1165" s="145"/>
      <c r="P1165" s="147"/>
      <c r="Q1165" s="148"/>
      <c r="R1165" s="827"/>
      <c r="S1165" s="826"/>
      <c r="T1165" s="179"/>
      <c r="U1165" s="828"/>
      <c r="V1165" s="826"/>
      <c r="W1165" s="826"/>
      <c r="X1165" s="829"/>
      <c r="Y1165" s="829"/>
      <c r="Z1165" s="830"/>
      <c r="AA1165" s="830"/>
      <c r="AB1165" s="832"/>
    </row>
    <row r="1166" spans="1:28" ht="18" customHeight="1" x14ac:dyDescent="0.2">
      <c r="A1166" s="88"/>
      <c r="B1166" s="180"/>
      <c r="C1166" s="180"/>
      <c r="D1166" s="88"/>
      <c r="E1166" s="88"/>
      <c r="F1166" s="88"/>
      <c r="G1166" s="88"/>
      <c r="H1166" s="120"/>
      <c r="I1166" s="121"/>
      <c r="J1166" s="181"/>
      <c r="K1166" s="833"/>
      <c r="L1166" s="88"/>
      <c r="M1166" s="88"/>
      <c r="N1166" s="88"/>
      <c r="O1166" s="88"/>
      <c r="P1166" s="88"/>
      <c r="Q1166" s="129"/>
      <c r="R1166" s="834"/>
      <c r="S1166" s="833"/>
      <c r="T1166" s="182"/>
      <c r="U1166" s="835"/>
      <c r="V1166" s="833"/>
      <c r="W1166" s="833"/>
      <c r="X1166" s="836"/>
      <c r="Y1166" s="836"/>
      <c r="Z1166" s="837"/>
      <c r="AA1166" s="837"/>
      <c r="AB1166" s="831"/>
    </row>
    <row r="1167" spans="1:28" s="597" customFormat="1" ht="18" customHeight="1" x14ac:dyDescent="0.2">
      <c r="A1167" s="1850"/>
      <c r="B1167" s="1850"/>
      <c r="C1167" s="1850"/>
      <c r="D1167" s="1850"/>
      <c r="E1167" s="1850"/>
      <c r="F1167" s="1850"/>
      <c r="G1167" s="1850"/>
      <c r="H1167" s="1851"/>
      <c r="I1167" s="1852"/>
      <c r="J1167" s="1853"/>
      <c r="K1167" s="1852"/>
      <c r="L1167" s="1852"/>
      <c r="M1167" s="1852"/>
      <c r="N1167" s="1852"/>
      <c r="O1167" s="1852"/>
      <c r="P1167" s="1852"/>
      <c r="Q1167" s="1852"/>
      <c r="R1167" s="1854"/>
      <c r="S1167" s="1852"/>
      <c r="T1167" s="1855"/>
      <c r="U1167" s="1853"/>
      <c r="V1167" s="1852"/>
      <c r="W1167" s="1852"/>
      <c r="X1167" s="1856"/>
      <c r="Y1167" s="1856"/>
      <c r="Z1167" s="1857"/>
      <c r="AA1167" s="1857"/>
      <c r="AB1167" s="1847">
        <f>SUM(AB1139:AB1166)</f>
        <v>267.75</v>
      </c>
    </row>
    <row r="1168" spans="1:28" ht="18" customHeight="1" x14ac:dyDescent="0.2">
      <c r="A1168" s="2730" t="s">
        <v>76</v>
      </c>
      <c r="B1168" s="2730"/>
      <c r="C1168" s="2731" t="s">
        <v>77</v>
      </c>
      <c r="D1168" s="2731"/>
      <c r="E1168" s="2731"/>
      <c r="F1168" s="2731"/>
      <c r="G1168" s="2731"/>
      <c r="H1168" s="2731"/>
      <c r="I1168" s="843" t="s">
        <v>78</v>
      </c>
      <c r="J1168" s="843"/>
      <c r="K1168" s="843"/>
      <c r="L1168" s="843"/>
      <c r="M1168" s="843"/>
      <c r="N1168" s="843"/>
      <c r="O1168" s="844"/>
      <c r="P1168" s="844"/>
      <c r="Q1168" s="844"/>
      <c r="R1168" s="844"/>
      <c r="S1168" s="844"/>
      <c r="T1168" s="844"/>
      <c r="U1168" s="844"/>
      <c r="V1168" s="844"/>
      <c r="W1168" s="844"/>
      <c r="X1168" s="844"/>
      <c r="Y1168" s="844"/>
      <c r="Z1168" s="844"/>
      <c r="AA1168" s="844"/>
      <c r="AB1168" s="845"/>
    </row>
    <row r="1169" spans="1:32" ht="18" customHeight="1" x14ac:dyDescent="0.2">
      <c r="A1169" s="843"/>
      <c r="B1169" s="846"/>
      <c r="C1169" s="843"/>
      <c r="D1169" s="843"/>
      <c r="E1169" s="843"/>
      <c r="F1169" s="843"/>
      <c r="G1169" s="843"/>
      <c r="H1169" s="843"/>
      <c r="I1169" s="843" t="s">
        <v>79</v>
      </c>
      <c r="J1169" s="843"/>
      <c r="K1169" s="843"/>
      <c r="L1169" s="843"/>
      <c r="M1169" s="843"/>
      <c r="N1169" s="843"/>
      <c r="O1169" s="844"/>
      <c r="P1169" s="844"/>
      <c r="Q1169" s="844"/>
      <c r="R1169" s="844"/>
      <c r="S1169" s="844"/>
      <c r="T1169" s="844"/>
      <c r="U1169" s="844"/>
      <c r="V1169" s="844"/>
      <c r="W1169" s="844"/>
      <c r="X1169" s="844"/>
      <c r="Y1169" s="844"/>
      <c r="Z1169" s="844"/>
      <c r="AA1169" s="844"/>
      <c r="AB1169" s="845"/>
    </row>
    <row r="1170" spans="1:32" ht="18" customHeight="1" x14ac:dyDescent="0.2">
      <c r="A1170" s="843"/>
      <c r="B1170" s="846"/>
      <c r="C1170" s="843"/>
      <c r="D1170" s="843"/>
      <c r="E1170" s="843"/>
      <c r="F1170" s="843"/>
      <c r="G1170" s="843"/>
      <c r="H1170" s="843"/>
      <c r="I1170" s="843" t="s">
        <v>80</v>
      </c>
      <c r="J1170" s="843"/>
      <c r="K1170" s="843"/>
      <c r="L1170" s="843"/>
      <c r="M1170" s="843"/>
      <c r="N1170" s="843"/>
      <c r="O1170" s="844"/>
      <c r="P1170" s="844"/>
      <c r="Q1170" s="844"/>
      <c r="R1170" s="844"/>
      <c r="S1170" s="844"/>
      <c r="T1170" s="844"/>
      <c r="U1170" s="844"/>
      <c r="V1170" s="844"/>
      <c r="W1170" s="844"/>
      <c r="X1170" s="844"/>
      <c r="Y1170" s="844"/>
      <c r="Z1170" s="844"/>
      <c r="AA1170" s="844"/>
      <c r="AB1170" s="845"/>
    </row>
    <row r="1171" spans="1:32" ht="18" customHeight="1" x14ac:dyDescent="0.2">
      <c r="A1171" s="843"/>
      <c r="B1171" s="846"/>
      <c r="C1171" s="843"/>
      <c r="D1171" s="843"/>
      <c r="E1171" s="843"/>
      <c r="F1171" s="843"/>
      <c r="G1171" s="843"/>
      <c r="H1171" s="843"/>
      <c r="I1171" s="843" t="s">
        <v>81</v>
      </c>
      <c r="J1171" s="843"/>
      <c r="K1171" s="843"/>
      <c r="L1171" s="843"/>
      <c r="M1171" s="843"/>
      <c r="N1171" s="843"/>
      <c r="O1171" s="844"/>
      <c r="P1171" s="844"/>
      <c r="Q1171" s="844"/>
      <c r="R1171" s="844"/>
      <c r="S1171" s="844"/>
      <c r="T1171" s="844"/>
      <c r="U1171" s="844"/>
      <c r="V1171" s="844"/>
      <c r="W1171" s="844"/>
      <c r="X1171" s="844"/>
      <c r="Y1171" s="844"/>
      <c r="Z1171" s="844"/>
      <c r="AA1171" s="844"/>
      <c r="AB1171" s="845"/>
    </row>
    <row r="1172" spans="1:32" ht="18" customHeight="1" x14ac:dyDescent="0.2">
      <c r="A1172" s="843"/>
      <c r="B1172" s="846"/>
      <c r="C1172" s="843"/>
      <c r="D1172" s="843"/>
      <c r="E1172" s="843"/>
      <c r="F1172" s="843"/>
      <c r="G1172" s="843"/>
      <c r="H1172" s="843"/>
      <c r="I1172" s="843" t="s">
        <v>88</v>
      </c>
      <c r="J1172" s="843"/>
      <c r="K1172" s="843"/>
      <c r="L1172" s="843"/>
      <c r="M1172" s="843"/>
      <c r="N1172" s="843"/>
      <c r="O1172" s="844"/>
      <c r="P1172" s="844"/>
      <c r="Q1172" s="844"/>
      <c r="R1172" s="844"/>
      <c r="S1172" s="844"/>
      <c r="T1172" s="844"/>
      <c r="U1172" s="844"/>
      <c r="V1172" s="844"/>
      <c r="W1172" s="844"/>
      <c r="X1172" s="844"/>
      <c r="Y1172" s="844"/>
      <c r="Z1172" s="844"/>
      <c r="AA1172" s="844"/>
      <c r="AB1172" s="845"/>
    </row>
    <row r="1173" spans="1:32" s="844" customFormat="1" ht="18" customHeight="1" x14ac:dyDescent="0.2">
      <c r="A1173" s="822"/>
      <c r="B1173" s="822"/>
      <c r="C1173" s="822"/>
      <c r="D1173" s="822"/>
      <c r="E1173" s="822"/>
      <c r="F1173" s="822"/>
      <c r="G1173" s="822"/>
      <c r="H1173" s="822"/>
      <c r="I1173" s="822"/>
      <c r="J1173" s="822"/>
      <c r="K1173" s="822"/>
      <c r="L1173" s="822"/>
      <c r="M1173" s="822"/>
      <c r="N1173" s="822"/>
      <c r="O1173" s="822"/>
      <c r="P1173" s="822"/>
      <c r="Q1173" s="822"/>
      <c r="R1173" s="822"/>
      <c r="S1173" s="822"/>
      <c r="T1173" s="822"/>
      <c r="U1173" s="822"/>
      <c r="V1173" s="822"/>
      <c r="W1173" s="822"/>
      <c r="X1173" s="822"/>
      <c r="Y1173" s="822"/>
      <c r="Z1173" s="822"/>
      <c r="AA1173" s="2739" t="s">
        <v>0</v>
      </c>
      <c r="AB1173" s="2739"/>
      <c r="AC1173" s="2096"/>
      <c r="AD1173" s="2096"/>
      <c r="AE1173" s="2096"/>
      <c r="AF1173" s="2096"/>
    </row>
    <row r="1174" spans="1:32" s="844" customFormat="1" ht="18" customHeight="1" x14ac:dyDescent="0.2">
      <c r="A1174" s="2707" t="s">
        <v>1</v>
      </c>
      <c r="B1174" s="2707"/>
      <c r="C1174" s="2707"/>
      <c r="D1174" s="2707"/>
      <c r="E1174" s="2707"/>
      <c r="F1174" s="2707"/>
      <c r="G1174" s="2707"/>
      <c r="H1174" s="2707"/>
      <c r="I1174" s="2707"/>
      <c r="J1174" s="2707"/>
      <c r="K1174" s="2707"/>
      <c r="L1174" s="2707"/>
      <c r="M1174" s="2707"/>
      <c r="N1174" s="2707"/>
      <c r="O1174" s="2707"/>
      <c r="P1174" s="2707"/>
      <c r="Q1174" s="2707"/>
      <c r="R1174" s="2707"/>
      <c r="S1174" s="2707"/>
      <c r="T1174" s="2707"/>
      <c r="U1174" s="2707"/>
      <c r="V1174" s="2707"/>
      <c r="W1174" s="2707"/>
      <c r="X1174" s="2707"/>
      <c r="Y1174" s="2707"/>
      <c r="Z1174" s="2707"/>
      <c r="AA1174" s="2707"/>
      <c r="AB1174" s="2707"/>
      <c r="AC1174" s="2220"/>
      <c r="AD1174" s="2220"/>
      <c r="AE1174" s="2220"/>
      <c r="AF1174" s="2220"/>
    </row>
    <row r="1175" spans="1:32" s="844" customFormat="1" ht="18" customHeight="1" x14ac:dyDescent="0.2">
      <c r="A1175" s="2741" t="s">
        <v>637</v>
      </c>
      <c r="B1175" s="2741"/>
      <c r="C1175" s="2741"/>
      <c r="D1175" s="2741"/>
      <c r="E1175" s="2741"/>
      <c r="F1175" s="2741"/>
      <c r="G1175" s="2741"/>
      <c r="H1175" s="2741"/>
      <c r="I1175" s="2741"/>
      <c r="J1175" s="2741"/>
      <c r="K1175" s="2741"/>
      <c r="L1175" s="2741"/>
      <c r="M1175" s="2741"/>
      <c r="N1175" s="2741"/>
      <c r="O1175" s="2741"/>
      <c r="P1175" s="2741"/>
      <c r="Q1175" s="2741"/>
      <c r="R1175" s="2741"/>
      <c r="S1175" s="2741"/>
      <c r="T1175" s="2741"/>
      <c r="U1175" s="2741"/>
      <c r="V1175" s="2741"/>
      <c r="W1175" s="2741"/>
      <c r="X1175" s="2741"/>
      <c r="Y1175" s="2741"/>
      <c r="Z1175" s="2741"/>
      <c r="AA1175" s="2741"/>
      <c r="AB1175" s="2771"/>
      <c r="AC1175" s="2221" t="s">
        <v>8</v>
      </c>
      <c r="AD1175" s="3"/>
      <c r="AE1175" s="3"/>
      <c r="AF1175" s="2222"/>
    </row>
    <row r="1176" spans="1:32" s="844" customFormat="1" ht="18" customHeight="1" x14ac:dyDescent="0.2">
      <c r="A1176" s="2709" t="s">
        <v>2</v>
      </c>
      <c r="B1176" s="160"/>
      <c r="C1176" s="2709" t="s">
        <v>3</v>
      </c>
      <c r="D1176" s="160"/>
      <c r="E1176" s="160"/>
      <c r="F1176" s="2712" t="s">
        <v>4</v>
      </c>
      <c r="G1176" s="2712"/>
      <c r="H1176" s="2712"/>
      <c r="I1176" s="2713"/>
      <c r="J1176" s="2713"/>
      <c r="K1176" s="2714"/>
      <c r="L1176" s="2"/>
      <c r="M1176" s="2715" t="s">
        <v>5</v>
      </c>
      <c r="N1176" s="2715"/>
      <c r="O1176" s="2715"/>
      <c r="P1176" s="2715"/>
      <c r="Q1176" s="2716"/>
      <c r="R1176" s="2716"/>
      <c r="S1176" s="2716"/>
      <c r="T1176" s="2716"/>
      <c r="U1176" s="2716"/>
      <c r="V1176" s="2717"/>
      <c r="W1176" s="161" t="s">
        <v>6</v>
      </c>
      <c r="X1176" s="162" t="s">
        <v>7</v>
      </c>
      <c r="Y1176" s="163"/>
      <c r="Z1176" s="163"/>
      <c r="AA1176" s="162"/>
      <c r="AB1176" s="206"/>
      <c r="AC1176" s="2223" t="s">
        <v>20</v>
      </c>
      <c r="AD1176" s="2224"/>
      <c r="AE1176" s="6" t="s">
        <v>21</v>
      </c>
      <c r="AF1176" s="7" t="s">
        <v>22</v>
      </c>
    </row>
    <row r="1177" spans="1:32" s="844" customFormat="1" ht="18" customHeight="1" x14ac:dyDescent="0.2">
      <c r="A1177" s="2710"/>
      <c r="B1177" s="4"/>
      <c r="C1177" s="2710"/>
      <c r="D1177" s="2154" t="s">
        <v>9</v>
      </c>
      <c r="E1177" s="207" t="s">
        <v>10</v>
      </c>
      <c r="F1177" s="2718" t="s">
        <v>11</v>
      </c>
      <c r="G1177" s="2713"/>
      <c r="H1177" s="2714"/>
      <c r="I1177" s="160"/>
      <c r="J1177" s="208" t="s">
        <v>12</v>
      </c>
      <c r="K1177" s="160"/>
      <c r="L1177" s="2715" t="s">
        <v>2</v>
      </c>
      <c r="M1177" s="141"/>
      <c r="N1177" s="141"/>
      <c r="O1177" s="141"/>
      <c r="P1177" s="164"/>
      <c r="Q1177" s="209" t="s">
        <v>13</v>
      </c>
      <c r="R1177" s="210" t="s">
        <v>12</v>
      </c>
      <c r="S1177" s="141" t="s">
        <v>6</v>
      </c>
      <c r="T1177" s="2724" t="s">
        <v>14</v>
      </c>
      <c r="U1177" s="2725"/>
      <c r="V1177" s="165" t="s">
        <v>7</v>
      </c>
      <c r="W1177" s="166" t="s">
        <v>15</v>
      </c>
      <c r="X1177" s="5" t="s">
        <v>16</v>
      </c>
      <c r="Y1177" s="5" t="s">
        <v>17</v>
      </c>
      <c r="Z1177" s="5" t="s">
        <v>18</v>
      </c>
      <c r="AA1177" s="5"/>
      <c r="AB1177" s="55" t="s">
        <v>19</v>
      </c>
      <c r="AC1177" s="2223" t="s">
        <v>35</v>
      </c>
      <c r="AD1177" s="6" t="s">
        <v>36</v>
      </c>
      <c r="AE1177" s="6" t="s">
        <v>37</v>
      </c>
      <c r="AF1177" s="7" t="s">
        <v>38</v>
      </c>
    </row>
    <row r="1178" spans="1:32" s="844" customFormat="1" ht="18" customHeight="1" x14ac:dyDescent="0.2">
      <c r="A1178" s="2710"/>
      <c r="B1178" s="2154" t="s">
        <v>23</v>
      </c>
      <c r="C1178" s="2710"/>
      <c r="D1178" s="2154" t="s">
        <v>24</v>
      </c>
      <c r="E1178" s="207" t="s">
        <v>25</v>
      </c>
      <c r="F1178" s="2719"/>
      <c r="G1178" s="2720"/>
      <c r="H1178" s="2721"/>
      <c r="I1178" s="2154" t="s">
        <v>26</v>
      </c>
      <c r="J1178" s="211" t="s">
        <v>15</v>
      </c>
      <c r="K1178" s="2157" t="s">
        <v>6</v>
      </c>
      <c r="L1178" s="2722"/>
      <c r="M1178" s="142" t="s">
        <v>27</v>
      </c>
      <c r="N1178" s="142" t="s">
        <v>10</v>
      </c>
      <c r="O1178" s="212" t="s">
        <v>10</v>
      </c>
      <c r="P1178" s="213" t="s">
        <v>28</v>
      </c>
      <c r="Q1178" s="214" t="s">
        <v>29</v>
      </c>
      <c r="R1178" s="213" t="s">
        <v>15</v>
      </c>
      <c r="S1178" s="8" t="s">
        <v>15</v>
      </c>
      <c r="T1178" s="2726"/>
      <c r="U1178" s="2727"/>
      <c r="V1178" s="165" t="s">
        <v>30</v>
      </c>
      <c r="W1178" s="166" t="s">
        <v>31</v>
      </c>
      <c r="X1178" s="5" t="s">
        <v>30</v>
      </c>
      <c r="Y1178" s="5" t="s">
        <v>32</v>
      </c>
      <c r="Z1178" s="5" t="s">
        <v>7</v>
      </c>
      <c r="AA1178" s="5" t="s">
        <v>33</v>
      </c>
      <c r="AB1178" s="55" t="s">
        <v>34</v>
      </c>
      <c r="AC1178" s="6" t="s">
        <v>58</v>
      </c>
      <c r="AD1178" s="6" t="s">
        <v>59</v>
      </c>
      <c r="AE1178" s="6" t="s">
        <v>59</v>
      </c>
      <c r="AF1178" s="7" t="s">
        <v>60</v>
      </c>
    </row>
    <row r="1179" spans="1:32" s="844" customFormat="1" ht="18" customHeight="1" x14ac:dyDescent="0.2">
      <c r="A1179" s="2710"/>
      <c r="B1179" s="2154" t="s">
        <v>39</v>
      </c>
      <c r="C1179" s="2710"/>
      <c r="D1179" s="2154" t="s">
        <v>40</v>
      </c>
      <c r="E1179" s="207" t="s">
        <v>41</v>
      </c>
      <c r="F1179" s="2709" t="s">
        <v>42</v>
      </c>
      <c r="G1179" s="2709" t="s">
        <v>43</v>
      </c>
      <c r="H1179" s="2728" t="s">
        <v>44</v>
      </c>
      <c r="I1179" s="2154" t="s">
        <v>45</v>
      </c>
      <c r="J1179" s="211" t="s">
        <v>46</v>
      </c>
      <c r="K1179" s="2157" t="s">
        <v>47</v>
      </c>
      <c r="L1179" s="2722"/>
      <c r="M1179" s="142" t="s">
        <v>30</v>
      </c>
      <c r="N1179" s="142" t="s">
        <v>30</v>
      </c>
      <c r="O1179" s="212" t="s">
        <v>25</v>
      </c>
      <c r="P1179" s="213" t="s">
        <v>30</v>
      </c>
      <c r="Q1179" s="214" t="s">
        <v>48</v>
      </c>
      <c r="R1179" s="213" t="s">
        <v>49</v>
      </c>
      <c r="S1179" s="8" t="s">
        <v>30</v>
      </c>
      <c r="T1179" s="215" t="s">
        <v>50</v>
      </c>
      <c r="U1179" s="2156" t="s">
        <v>13</v>
      </c>
      <c r="V1179" s="165" t="s">
        <v>51</v>
      </c>
      <c r="W1179" s="166" t="s">
        <v>52</v>
      </c>
      <c r="X1179" s="5" t="s">
        <v>53</v>
      </c>
      <c r="Y1179" s="5" t="s">
        <v>54</v>
      </c>
      <c r="Z1179" s="5" t="s">
        <v>55</v>
      </c>
      <c r="AA1179" s="5" t="s">
        <v>56</v>
      </c>
      <c r="AB1179" s="55" t="s">
        <v>57</v>
      </c>
      <c r="AC1179" s="6" t="s">
        <v>59</v>
      </c>
      <c r="AD1179" s="6"/>
      <c r="AE1179" s="6"/>
      <c r="AF1179" s="7" t="s">
        <v>59</v>
      </c>
    </row>
    <row r="1180" spans="1:32" s="844" customFormat="1" ht="18" customHeight="1" x14ac:dyDescent="0.2">
      <c r="A1180" s="2710"/>
      <c r="B1180" s="2154" t="s">
        <v>61</v>
      </c>
      <c r="C1180" s="2710"/>
      <c r="D1180" s="2154" t="s">
        <v>62</v>
      </c>
      <c r="E1180" s="207" t="s">
        <v>63</v>
      </c>
      <c r="F1180" s="2710"/>
      <c r="G1180" s="2710"/>
      <c r="H1180" s="2729"/>
      <c r="I1180" s="2154" t="s">
        <v>64</v>
      </c>
      <c r="J1180" s="211" t="s">
        <v>59</v>
      </c>
      <c r="K1180" s="2157" t="s">
        <v>59</v>
      </c>
      <c r="L1180" s="2722"/>
      <c r="M1180" s="142"/>
      <c r="N1180" s="142"/>
      <c r="O1180" s="212" t="s">
        <v>41</v>
      </c>
      <c r="P1180" s="213" t="s">
        <v>65</v>
      </c>
      <c r="Q1180" s="214" t="s">
        <v>66</v>
      </c>
      <c r="R1180" s="213" t="s">
        <v>67</v>
      </c>
      <c r="S1180" s="8" t="s">
        <v>59</v>
      </c>
      <c r="T1180" s="216" t="s">
        <v>68</v>
      </c>
      <c r="U1180" s="165" t="s">
        <v>14</v>
      </c>
      <c r="V1180" s="165" t="s">
        <v>14</v>
      </c>
      <c r="W1180" s="166" t="s">
        <v>30</v>
      </c>
      <c r="X1180" s="167" t="s">
        <v>69</v>
      </c>
      <c r="Y1180" s="167" t="s">
        <v>70</v>
      </c>
      <c r="Z1180" s="5" t="s">
        <v>71</v>
      </c>
      <c r="AA1180" s="5" t="s">
        <v>72</v>
      </c>
      <c r="AB1180" s="55" t="s">
        <v>59</v>
      </c>
      <c r="AC1180" s="12"/>
      <c r="AD1180" s="12"/>
      <c r="AE1180" s="12"/>
      <c r="AF1180" s="13"/>
    </row>
    <row r="1181" spans="1:32" s="844" customFormat="1" ht="18" customHeight="1" x14ac:dyDescent="0.2">
      <c r="A1181" s="2711"/>
      <c r="B1181" s="9"/>
      <c r="C1181" s="2711"/>
      <c r="D1181" s="9"/>
      <c r="E1181" s="2155"/>
      <c r="F1181" s="9"/>
      <c r="G1181" s="9"/>
      <c r="H1181" s="10"/>
      <c r="I1181" s="2155"/>
      <c r="J1181" s="217"/>
      <c r="K1181" s="168"/>
      <c r="L1181" s="2723"/>
      <c r="M1181" s="143"/>
      <c r="N1181" s="143"/>
      <c r="O1181" s="143" t="s">
        <v>63</v>
      </c>
      <c r="P1181" s="218"/>
      <c r="Q1181" s="219" t="s">
        <v>72</v>
      </c>
      <c r="R1181" s="220" t="s">
        <v>59</v>
      </c>
      <c r="S1181" s="169"/>
      <c r="T1181" s="220" t="s">
        <v>73</v>
      </c>
      <c r="U1181" s="169" t="s">
        <v>59</v>
      </c>
      <c r="V1181" s="170" t="s">
        <v>59</v>
      </c>
      <c r="W1181" s="171" t="s">
        <v>59</v>
      </c>
      <c r="X1181" s="172" t="s">
        <v>59</v>
      </c>
      <c r="Y1181" s="172" t="s">
        <v>59</v>
      </c>
      <c r="Z1181" s="172" t="s">
        <v>59</v>
      </c>
      <c r="AA1181" s="11"/>
      <c r="AB1181" s="56"/>
      <c r="AC1181" s="2225"/>
      <c r="AD1181" s="2226">
        <f>AB1182-AC1181</f>
        <v>0</v>
      </c>
      <c r="AE1181" s="2226">
        <f>IF(AD1181&lt;=0,0,AD1181*25/100)</f>
        <v>0</v>
      </c>
      <c r="AF1181" s="2226">
        <f>IF(AC1181+AE1181&gt;AB1182,AB1182,AC1181+AE1181)</f>
        <v>0</v>
      </c>
    </row>
    <row r="1182" spans="1:32" s="844" customFormat="1" ht="18" customHeight="1" x14ac:dyDescent="0.2">
      <c r="A1182" s="53">
        <v>1</v>
      </c>
      <c r="B1182" s="1939">
        <v>50140</v>
      </c>
      <c r="C1182" s="51">
        <v>1576</v>
      </c>
      <c r="D1182" s="51" t="s">
        <v>91</v>
      </c>
      <c r="E1182" s="69">
        <v>5</v>
      </c>
      <c r="F1182" s="51">
        <v>0</v>
      </c>
      <c r="G1182" s="51">
        <v>1</v>
      </c>
      <c r="H1182" s="823">
        <v>80</v>
      </c>
      <c r="I1182" s="70">
        <f>F1182*400+G1182*100+H1182</f>
        <v>180</v>
      </c>
      <c r="J1182" s="71">
        <v>1000</v>
      </c>
      <c r="K1182" s="78">
        <f>SUM(I1182*J1182)</f>
        <v>180000</v>
      </c>
      <c r="L1182" s="53">
        <v>1</v>
      </c>
      <c r="M1182" s="51">
        <v>100</v>
      </c>
      <c r="N1182" s="2227" t="s">
        <v>96</v>
      </c>
      <c r="O1182" s="155">
        <v>2</v>
      </c>
      <c r="P1182" s="51">
        <f>17.24*23.46</f>
        <v>404.4504</v>
      </c>
      <c r="Q1182" s="770" t="s">
        <v>75</v>
      </c>
      <c r="R1182" s="2228">
        <v>6750</v>
      </c>
      <c r="S1182" s="2229">
        <f>+P1182*R1182</f>
        <v>2730040.2</v>
      </c>
      <c r="T1182" s="2236">
        <v>26</v>
      </c>
      <c r="U1182" s="128">
        <f>+S1182*0.85</f>
        <v>2320534.17</v>
      </c>
      <c r="V1182" s="74">
        <f>SUM(S1182-U1182)</f>
        <v>409506.03000000026</v>
      </c>
      <c r="W1182" s="77">
        <f>+V1182+K1182</f>
        <v>589506.03000000026</v>
      </c>
      <c r="X1182" s="74">
        <f>W1182</f>
        <v>589506.03000000026</v>
      </c>
      <c r="Y1182" s="2230" t="s">
        <v>89</v>
      </c>
      <c r="Z1182" s="77">
        <v>0</v>
      </c>
      <c r="AA1182" s="149">
        <v>0.02</v>
      </c>
      <c r="AB1182" s="1306">
        <f>(Z1182*AA1182)</f>
        <v>0</v>
      </c>
      <c r="AC1182" s="2231"/>
      <c r="AD1182" s="2232"/>
      <c r="AE1182" s="2232"/>
      <c r="AF1182" s="2232"/>
    </row>
    <row r="1183" spans="1:32" s="844" customFormat="1" ht="18" customHeight="1" x14ac:dyDescent="0.2">
      <c r="A1183" s="52"/>
      <c r="B1183" s="54"/>
      <c r="C1183" s="54"/>
      <c r="D1183" s="54"/>
      <c r="E1183" s="115"/>
      <c r="F1183" s="54"/>
      <c r="G1183" s="54"/>
      <c r="H1183" s="158">
        <v>9</v>
      </c>
      <c r="I1183" s="70">
        <f>F1183*400+G1183*100+H1183</f>
        <v>9</v>
      </c>
      <c r="J1183" s="71">
        <v>1001</v>
      </c>
      <c r="K1183" s="78">
        <f>SUM(I1183*J1183)</f>
        <v>9009</v>
      </c>
      <c r="L1183" s="61">
        <v>2</v>
      </c>
      <c r="M1183" s="61">
        <v>100</v>
      </c>
      <c r="N1183" s="61" t="s">
        <v>74</v>
      </c>
      <c r="O1183" s="113">
        <v>3</v>
      </c>
      <c r="P1183" s="173">
        <f>5.3*4</f>
        <v>21.2</v>
      </c>
      <c r="Q1183" s="196" t="s">
        <v>75</v>
      </c>
      <c r="R1183" s="133">
        <v>6750</v>
      </c>
      <c r="S1183" s="77">
        <f>+P1183*R1183</f>
        <v>143100</v>
      </c>
      <c r="T1183" s="2237">
        <v>4</v>
      </c>
      <c r="U1183" s="127">
        <f>+S1183*0.04</f>
        <v>5724</v>
      </c>
      <c r="V1183" s="74">
        <f>SUM(S1183-U1183)</f>
        <v>137376</v>
      </c>
      <c r="W1183" s="77">
        <f>+V1183+K1183</f>
        <v>146385</v>
      </c>
      <c r="X1183" s="74">
        <f>W1183</f>
        <v>146385</v>
      </c>
      <c r="Y1183" s="2230"/>
      <c r="Z1183" s="77">
        <f>+X1183</f>
        <v>146385</v>
      </c>
      <c r="AA1183" s="149">
        <v>0.3</v>
      </c>
      <c r="AB1183" s="832">
        <f>+Z1183*AA1183/100</f>
        <v>439.15499999999997</v>
      </c>
      <c r="AC1183" s="1925"/>
      <c r="AD1183" s="1925"/>
      <c r="AE1183" s="1925"/>
      <c r="AF1183" s="1925"/>
    </row>
    <row r="1184" spans="1:32" s="844" customFormat="1" ht="18" customHeight="1" x14ac:dyDescent="0.2">
      <c r="A1184" s="2166"/>
      <c r="B1184" s="177"/>
      <c r="C1184" s="177"/>
      <c r="D1184" s="2166"/>
      <c r="E1184" s="2166"/>
      <c r="F1184" s="2166"/>
      <c r="G1184" s="2166"/>
      <c r="H1184" s="2171"/>
      <c r="I1184" s="2168"/>
      <c r="J1184" s="178"/>
      <c r="K1184" s="826"/>
      <c r="L1184" s="2166"/>
      <c r="M1184" s="2166"/>
      <c r="N1184" s="2166"/>
      <c r="O1184" s="2166"/>
      <c r="P1184" s="2171"/>
      <c r="Q1184" s="2167"/>
      <c r="R1184" s="827"/>
      <c r="S1184" s="826"/>
      <c r="T1184" s="179"/>
      <c r="U1184" s="828"/>
      <c r="V1184" s="826"/>
      <c r="W1184" s="826"/>
      <c r="X1184" s="829"/>
      <c r="Y1184" s="829"/>
      <c r="Z1184" s="830"/>
      <c r="AA1184" s="830"/>
      <c r="AB1184" s="832"/>
      <c r="AC1184" s="1925"/>
      <c r="AD1184" s="1925"/>
      <c r="AE1184" s="1925"/>
      <c r="AF1184" s="1925"/>
    </row>
    <row r="1185" spans="1:32" s="844" customFormat="1" ht="18" customHeight="1" x14ac:dyDescent="0.2">
      <c r="A1185" s="2166"/>
      <c r="B1185" s="177"/>
      <c r="C1185" s="177"/>
      <c r="D1185" s="2166"/>
      <c r="E1185" s="2166"/>
      <c r="F1185" s="2166"/>
      <c r="G1185" s="2166"/>
      <c r="H1185" s="2171"/>
      <c r="I1185" s="2168"/>
      <c r="J1185" s="178"/>
      <c r="K1185" s="826"/>
      <c r="L1185" s="2166"/>
      <c r="M1185" s="2166"/>
      <c r="N1185" s="2166"/>
      <c r="O1185" s="2166"/>
      <c r="P1185" s="2171"/>
      <c r="Q1185" s="2167"/>
      <c r="R1185" s="827"/>
      <c r="S1185" s="826"/>
      <c r="T1185" s="179"/>
      <c r="U1185" s="828"/>
      <c r="V1185" s="826"/>
      <c r="W1185" s="826"/>
      <c r="X1185" s="829"/>
      <c r="Y1185" s="829"/>
      <c r="Z1185" s="830"/>
      <c r="AA1185" s="830"/>
      <c r="AB1185" s="832"/>
      <c r="AC1185" s="1925"/>
      <c r="AD1185" s="1925"/>
      <c r="AE1185" s="1925"/>
      <c r="AF1185" s="1925"/>
    </row>
    <row r="1186" spans="1:32" s="844" customFormat="1" ht="18" customHeight="1" x14ac:dyDescent="0.2">
      <c r="A1186" s="2166"/>
      <c r="B1186" s="177"/>
      <c r="C1186" s="177"/>
      <c r="D1186" s="2166"/>
      <c r="E1186" s="2166"/>
      <c r="F1186" s="2166"/>
      <c r="G1186" s="2166"/>
      <c r="H1186" s="2171"/>
      <c r="I1186" s="2168"/>
      <c r="J1186" s="178"/>
      <c r="K1186" s="826"/>
      <c r="L1186" s="2166"/>
      <c r="M1186" s="2166"/>
      <c r="N1186" s="2166"/>
      <c r="O1186" s="2166"/>
      <c r="P1186" s="2171"/>
      <c r="Q1186" s="2167"/>
      <c r="R1186" s="827"/>
      <c r="S1186" s="826"/>
      <c r="T1186" s="179"/>
      <c r="U1186" s="828"/>
      <c r="V1186" s="826"/>
      <c r="W1186" s="826"/>
      <c r="X1186" s="829"/>
      <c r="Y1186" s="829"/>
      <c r="Z1186" s="830"/>
      <c r="AA1186" s="830"/>
      <c r="AB1186" s="832"/>
      <c r="AC1186" s="1925"/>
      <c r="AD1186" s="1925"/>
      <c r="AE1186" s="1925"/>
      <c r="AF1186" s="1925"/>
    </row>
    <row r="1187" spans="1:32" s="844" customFormat="1" ht="18" customHeight="1" x14ac:dyDescent="0.2">
      <c r="A1187" s="2166"/>
      <c r="B1187" s="177"/>
      <c r="C1187" s="177"/>
      <c r="D1187" s="2166"/>
      <c r="E1187" s="2166"/>
      <c r="F1187" s="2166"/>
      <c r="G1187" s="2166"/>
      <c r="H1187" s="2171"/>
      <c r="I1187" s="2168"/>
      <c r="J1187" s="178"/>
      <c r="K1187" s="826"/>
      <c r="L1187" s="2166"/>
      <c r="M1187" s="2166"/>
      <c r="N1187" s="2166"/>
      <c r="O1187" s="2166"/>
      <c r="P1187" s="2171"/>
      <c r="Q1187" s="2167"/>
      <c r="R1187" s="827"/>
      <c r="S1187" s="826"/>
      <c r="T1187" s="179"/>
      <c r="U1187" s="828"/>
      <c r="V1187" s="826"/>
      <c r="W1187" s="826"/>
      <c r="X1187" s="829"/>
      <c r="Y1187" s="829"/>
      <c r="Z1187" s="830"/>
      <c r="AA1187" s="830"/>
      <c r="AB1187" s="832"/>
      <c r="AC1187" s="1925"/>
      <c r="AD1187" s="1925"/>
      <c r="AE1187" s="1925"/>
      <c r="AF1187" s="1925"/>
    </row>
    <row r="1188" spans="1:32" s="844" customFormat="1" ht="18" customHeight="1" x14ac:dyDescent="0.2">
      <c r="A1188" s="2166"/>
      <c r="B1188" s="177"/>
      <c r="C1188" s="177"/>
      <c r="D1188" s="2166"/>
      <c r="E1188" s="2166"/>
      <c r="F1188" s="2166"/>
      <c r="G1188" s="2166"/>
      <c r="H1188" s="2171"/>
      <c r="I1188" s="2168"/>
      <c r="J1188" s="178"/>
      <c r="K1188" s="826"/>
      <c r="L1188" s="2166"/>
      <c r="M1188" s="2166"/>
      <c r="N1188" s="2166"/>
      <c r="O1188" s="2166"/>
      <c r="P1188" s="2171"/>
      <c r="Q1188" s="2167"/>
      <c r="R1188" s="827"/>
      <c r="S1188" s="826"/>
      <c r="T1188" s="179"/>
      <c r="U1188" s="828"/>
      <c r="V1188" s="826"/>
      <c r="W1188" s="826"/>
      <c r="X1188" s="829"/>
      <c r="Y1188" s="829"/>
      <c r="Z1188" s="830"/>
      <c r="AA1188" s="830"/>
      <c r="AB1188" s="832"/>
      <c r="AC1188" s="1925"/>
      <c r="AD1188" s="1925"/>
      <c r="AE1188" s="1925"/>
      <c r="AF1188" s="1925"/>
    </row>
    <row r="1189" spans="1:32" s="844" customFormat="1" ht="18" customHeight="1" x14ac:dyDescent="0.2">
      <c r="A1189" s="2166"/>
      <c r="B1189" s="177"/>
      <c r="C1189" s="177"/>
      <c r="D1189" s="2166"/>
      <c r="E1189" s="2166"/>
      <c r="F1189" s="2166"/>
      <c r="G1189" s="2166"/>
      <c r="H1189" s="2171"/>
      <c r="I1189" s="2168"/>
      <c r="J1189" s="178"/>
      <c r="K1189" s="826"/>
      <c r="L1189" s="2166"/>
      <c r="M1189" s="2166"/>
      <c r="N1189" s="2166"/>
      <c r="O1189" s="2166"/>
      <c r="P1189" s="2171"/>
      <c r="Q1189" s="2167"/>
      <c r="R1189" s="827"/>
      <c r="S1189" s="826"/>
      <c r="T1189" s="179"/>
      <c r="U1189" s="828"/>
      <c r="V1189" s="826"/>
      <c r="W1189" s="826"/>
      <c r="X1189" s="829"/>
      <c r="Y1189" s="829"/>
      <c r="Z1189" s="830"/>
      <c r="AA1189" s="830"/>
      <c r="AB1189" s="832"/>
      <c r="AC1189" s="1925"/>
      <c r="AD1189" s="1925"/>
      <c r="AE1189" s="1925"/>
      <c r="AF1189" s="1925"/>
    </row>
    <row r="1190" spans="1:32" s="844" customFormat="1" ht="18" customHeight="1" x14ac:dyDescent="0.2">
      <c r="A1190" s="2166"/>
      <c r="B1190" s="177"/>
      <c r="C1190" s="177"/>
      <c r="D1190" s="2166"/>
      <c r="E1190" s="2166"/>
      <c r="F1190" s="2166"/>
      <c r="G1190" s="2166"/>
      <c r="H1190" s="2171"/>
      <c r="I1190" s="2168"/>
      <c r="J1190" s="178"/>
      <c r="K1190" s="826"/>
      <c r="L1190" s="2166"/>
      <c r="M1190" s="2166"/>
      <c r="N1190" s="2166"/>
      <c r="O1190" s="2166"/>
      <c r="P1190" s="2171"/>
      <c r="Q1190" s="2167"/>
      <c r="R1190" s="827"/>
      <c r="S1190" s="826"/>
      <c r="T1190" s="179"/>
      <c r="U1190" s="828"/>
      <c r="V1190" s="826"/>
      <c r="W1190" s="826"/>
      <c r="X1190" s="829"/>
      <c r="Y1190" s="829"/>
      <c r="Z1190" s="830"/>
      <c r="AA1190" s="830"/>
      <c r="AB1190" s="832"/>
      <c r="AC1190" s="1925"/>
      <c r="AD1190" s="1925"/>
      <c r="AE1190" s="1925"/>
      <c r="AF1190" s="1925"/>
    </row>
    <row r="1191" spans="1:32" s="844" customFormat="1" ht="18" customHeight="1" x14ac:dyDescent="0.2">
      <c r="A1191" s="2166"/>
      <c r="B1191" s="177"/>
      <c r="C1191" s="177"/>
      <c r="D1191" s="2166"/>
      <c r="E1191" s="2166"/>
      <c r="F1191" s="2166"/>
      <c r="G1191" s="2166"/>
      <c r="H1191" s="2171"/>
      <c r="I1191" s="2168"/>
      <c r="J1191" s="178"/>
      <c r="K1191" s="826"/>
      <c r="L1191" s="2166"/>
      <c r="M1191" s="2166"/>
      <c r="N1191" s="2166"/>
      <c r="O1191" s="2166"/>
      <c r="P1191" s="2171"/>
      <c r="Q1191" s="2167"/>
      <c r="R1191" s="827"/>
      <c r="S1191" s="826"/>
      <c r="T1191" s="179"/>
      <c r="U1191" s="828"/>
      <c r="V1191" s="826"/>
      <c r="W1191" s="826"/>
      <c r="X1191" s="829"/>
      <c r="Y1191" s="829"/>
      <c r="Z1191" s="830"/>
      <c r="AA1191" s="830"/>
      <c r="AB1191" s="832"/>
      <c r="AC1191" s="1925"/>
      <c r="AD1191" s="1925"/>
      <c r="AE1191" s="1925"/>
      <c r="AF1191" s="1925"/>
    </row>
    <row r="1192" spans="1:32" s="844" customFormat="1" ht="18" customHeight="1" x14ac:dyDescent="0.2">
      <c r="A1192" s="2166"/>
      <c r="B1192" s="177"/>
      <c r="C1192" s="177"/>
      <c r="D1192" s="2166"/>
      <c r="E1192" s="2166"/>
      <c r="F1192" s="2166"/>
      <c r="G1192" s="2166"/>
      <c r="H1192" s="2171"/>
      <c r="I1192" s="2168"/>
      <c r="J1192" s="178"/>
      <c r="K1192" s="826"/>
      <c r="L1192" s="2166"/>
      <c r="M1192" s="2166"/>
      <c r="N1192" s="2166"/>
      <c r="O1192" s="2166"/>
      <c r="P1192" s="2171"/>
      <c r="Q1192" s="2167"/>
      <c r="R1192" s="827"/>
      <c r="S1192" s="826"/>
      <c r="T1192" s="179"/>
      <c r="U1192" s="828"/>
      <c r="V1192" s="826"/>
      <c r="W1192" s="826"/>
      <c r="X1192" s="829"/>
      <c r="Y1192" s="829"/>
      <c r="Z1192" s="830"/>
      <c r="AA1192" s="830"/>
      <c r="AB1192" s="832"/>
      <c r="AC1192" s="1925"/>
      <c r="AD1192" s="1925"/>
      <c r="AE1192" s="1925"/>
      <c r="AF1192" s="1925"/>
    </row>
    <row r="1193" spans="1:32" s="844" customFormat="1" ht="18" customHeight="1" x14ac:dyDescent="0.2">
      <c r="A1193" s="2166"/>
      <c r="B1193" s="177"/>
      <c r="C1193" s="177"/>
      <c r="D1193" s="2166"/>
      <c r="E1193" s="2166"/>
      <c r="F1193" s="2166"/>
      <c r="G1193" s="2166"/>
      <c r="H1193" s="2171"/>
      <c r="I1193" s="2168"/>
      <c r="J1193" s="178"/>
      <c r="K1193" s="826"/>
      <c r="L1193" s="2166"/>
      <c r="M1193" s="2166"/>
      <c r="N1193" s="2166"/>
      <c r="O1193" s="2166"/>
      <c r="P1193" s="2171"/>
      <c r="Q1193" s="2167"/>
      <c r="R1193" s="827"/>
      <c r="S1193" s="826"/>
      <c r="T1193" s="179"/>
      <c r="U1193" s="828"/>
      <c r="V1193" s="826"/>
      <c r="W1193" s="826"/>
      <c r="X1193" s="829"/>
      <c r="Y1193" s="829"/>
      <c r="Z1193" s="830"/>
      <c r="AA1193" s="830"/>
      <c r="AB1193" s="832"/>
      <c r="AC1193" s="1925"/>
      <c r="AD1193" s="1925"/>
      <c r="AE1193" s="1925"/>
      <c r="AF1193" s="1925"/>
    </row>
    <row r="1194" spans="1:32" s="844" customFormat="1" ht="18" customHeight="1" x14ac:dyDescent="0.2">
      <c r="A1194" s="2166"/>
      <c r="B1194" s="177"/>
      <c r="C1194" s="177"/>
      <c r="D1194" s="2166"/>
      <c r="E1194" s="2166"/>
      <c r="F1194" s="2166"/>
      <c r="G1194" s="2166"/>
      <c r="H1194" s="2171"/>
      <c r="I1194" s="2168"/>
      <c r="J1194" s="178"/>
      <c r="K1194" s="826"/>
      <c r="L1194" s="2166"/>
      <c r="M1194" s="2166"/>
      <c r="N1194" s="2166"/>
      <c r="O1194" s="2166"/>
      <c r="P1194" s="2171"/>
      <c r="Q1194" s="2167"/>
      <c r="R1194" s="827"/>
      <c r="S1194" s="826"/>
      <c r="T1194" s="179"/>
      <c r="U1194" s="828"/>
      <c r="V1194" s="826"/>
      <c r="W1194" s="826"/>
      <c r="X1194" s="829"/>
      <c r="Y1194" s="829"/>
      <c r="Z1194" s="830"/>
      <c r="AA1194" s="830"/>
      <c r="AB1194" s="832"/>
      <c r="AC1194" s="1925"/>
      <c r="AD1194" s="1925"/>
      <c r="AE1194" s="1925"/>
      <c r="AF1194" s="1925"/>
    </row>
    <row r="1195" spans="1:32" s="844" customFormat="1" ht="18" customHeight="1" x14ac:dyDescent="0.2">
      <c r="A1195" s="2166"/>
      <c r="B1195" s="177"/>
      <c r="C1195" s="177"/>
      <c r="D1195" s="2166"/>
      <c r="E1195" s="2166"/>
      <c r="F1195" s="2166"/>
      <c r="G1195" s="2166"/>
      <c r="H1195" s="2171"/>
      <c r="I1195" s="2168"/>
      <c r="J1195" s="178"/>
      <c r="K1195" s="826"/>
      <c r="L1195" s="2166"/>
      <c r="M1195" s="2166"/>
      <c r="N1195" s="2166"/>
      <c r="O1195" s="2166"/>
      <c r="P1195" s="2171"/>
      <c r="Q1195" s="2167"/>
      <c r="R1195" s="827"/>
      <c r="S1195" s="826"/>
      <c r="T1195" s="179"/>
      <c r="U1195" s="828"/>
      <c r="V1195" s="826"/>
      <c r="W1195" s="826"/>
      <c r="X1195" s="829"/>
      <c r="Y1195" s="829"/>
      <c r="Z1195" s="830"/>
      <c r="AA1195" s="830"/>
      <c r="AB1195" s="832"/>
      <c r="AC1195" s="2233"/>
      <c r="AD1195" s="2233"/>
      <c r="AE1195" s="2233"/>
      <c r="AF1195" s="2233"/>
    </row>
    <row r="1196" spans="1:32" s="844" customFormat="1" ht="18" customHeight="1" x14ac:dyDescent="0.2">
      <c r="A1196" s="88"/>
      <c r="B1196" s="180"/>
      <c r="C1196" s="180"/>
      <c r="D1196" s="88"/>
      <c r="E1196" s="88"/>
      <c r="F1196" s="88"/>
      <c r="G1196" s="88"/>
      <c r="H1196" s="120"/>
      <c r="I1196" s="121"/>
      <c r="J1196" s="181"/>
      <c r="K1196" s="833"/>
      <c r="L1196" s="88"/>
      <c r="M1196" s="88"/>
      <c r="N1196" s="88"/>
      <c r="O1196" s="88"/>
      <c r="P1196" s="88"/>
      <c r="Q1196" s="129"/>
      <c r="R1196" s="834"/>
      <c r="S1196" s="833"/>
      <c r="T1196" s="182"/>
      <c r="U1196" s="835"/>
      <c r="V1196" s="833"/>
      <c r="W1196" s="833"/>
      <c r="X1196" s="836"/>
      <c r="Y1196" s="836"/>
      <c r="Z1196" s="837"/>
      <c r="AA1196" s="837"/>
      <c r="AB1196" s="831"/>
      <c r="AC1196" s="2232"/>
      <c r="AD1196" s="2232"/>
      <c r="AE1196" s="2232"/>
      <c r="AF1196" s="2232"/>
    </row>
    <row r="1197" spans="1:32" s="844" customFormat="1" ht="18" customHeight="1" x14ac:dyDescent="0.2">
      <c r="A1197" s="1850"/>
      <c r="B1197" s="1850"/>
      <c r="C1197" s="1850"/>
      <c r="D1197" s="1850"/>
      <c r="E1197" s="1850"/>
      <c r="F1197" s="1850"/>
      <c r="G1197" s="1850"/>
      <c r="H1197" s="1851"/>
      <c r="I1197" s="1852"/>
      <c r="J1197" s="1853"/>
      <c r="K1197" s="1929"/>
      <c r="L1197" s="1929"/>
      <c r="M1197" s="1929"/>
      <c r="N1197" s="1929"/>
      <c r="O1197" s="1929"/>
      <c r="P1197" s="1929"/>
      <c r="Q1197" s="1929"/>
      <c r="R1197" s="1930"/>
      <c r="S1197" s="1929"/>
      <c r="T1197" s="1855"/>
      <c r="U1197" s="1931"/>
      <c r="V1197" s="1929"/>
      <c r="W1197" s="1929"/>
      <c r="X1197" s="1932"/>
      <c r="Y1197" s="1932"/>
      <c r="Z1197" s="1933"/>
      <c r="AA1197" s="1933"/>
      <c r="AB1197" s="1934">
        <f>SUM(AB1182:AB1196)</f>
        <v>439.15499999999997</v>
      </c>
    </row>
    <row r="1198" spans="1:32" s="844" customFormat="1" ht="18" customHeight="1" x14ac:dyDescent="0.2">
      <c r="A1198" s="2730" t="s">
        <v>76</v>
      </c>
      <c r="B1198" s="2730"/>
      <c r="C1198" s="2731" t="s">
        <v>77</v>
      </c>
      <c r="D1198" s="2731"/>
      <c r="E1198" s="2731"/>
      <c r="F1198" s="2731"/>
      <c r="G1198" s="2731"/>
      <c r="H1198" s="2731"/>
      <c r="I1198" s="843" t="s">
        <v>78</v>
      </c>
      <c r="J1198" s="843"/>
      <c r="K1198" s="843"/>
      <c r="L1198" s="843"/>
      <c r="M1198" s="843"/>
      <c r="N1198" s="843"/>
      <c r="AB1198" s="845"/>
    </row>
    <row r="1199" spans="1:32" s="844" customFormat="1" ht="18" customHeight="1" x14ac:dyDescent="0.2">
      <c r="A1199" s="843"/>
      <c r="B1199" s="846"/>
      <c r="C1199" s="843"/>
      <c r="D1199" s="843"/>
      <c r="E1199" s="843"/>
      <c r="F1199" s="843"/>
      <c r="G1199" s="843"/>
      <c r="H1199" s="843"/>
      <c r="I1199" s="843" t="s">
        <v>79</v>
      </c>
      <c r="J1199" s="843"/>
      <c r="K1199" s="843"/>
      <c r="L1199" s="843"/>
      <c r="M1199" s="843"/>
      <c r="N1199" s="843"/>
      <c r="AB1199" s="845"/>
    </row>
    <row r="1200" spans="1:32" s="844" customFormat="1" ht="18" customHeight="1" x14ac:dyDescent="0.2">
      <c r="A1200" s="843"/>
      <c r="B1200" s="846"/>
      <c r="C1200" s="843"/>
      <c r="D1200" s="843"/>
      <c r="E1200" s="843"/>
      <c r="F1200" s="843"/>
      <c r="G1200" s="843"/>
      <c r="H1200" s="843"/>
      <c r="I1200" s="843" t="s">
        <v>80</v>
      </c>
      <c r="J1200" s="843"/>
      <c r="K1200" s="843"/>
      <c r="L1200" s="843"/>
      <c r="M1200" s="843"/>
      <c r="N1200" s="843"/>
      <c r="AB1200" s="845"/>
    </row>
    <row r="1201" spans="1:32" s="844" customFormat="1" ht="18" customHeight="1" x14ac:dyDescent="0.2">
      <c r="A1201" s="843"/>
      <c r="B1201" s="846"/>
      <c r="C1201" s="843"/>
      <c r="D1201" s="843"/>
      <c r="E1201" s="843"/>
      <c r="F1201" s="843"/>
      <c r="G1201" s="843"/>
      <c r="H1201" s="843"/>
      <c r="I1201" s="843" t="s">
        <v>81</v>
      </c>
      <c r="J1201" s="843"/>
      <c r="K1201" s="843"/>
      <c r="L1201" s="843"/>
      <c r="M1201" s="843"/>
      <c r="N1201" s="843"/>
      <c r="AB1201" s="845"/>
    </row>
    <row r="1202" spans="1:32" s="2235" customFormat="1" ht="18" customHeight="1" x14ac:dyDescent="0.2">
      <c r="A1202" s="843"/>
      <c r="B1202" s="846"/>
      <c r="C1202" s="843"/>
      <c r="D1202" s="843"/>
      <c r="E1202" s="843"/>
      <c r="F1202" s="843"/>
      <c r="G1202" s="843"/>
      <c r="H1202" s="843"/>
      <c r="I1202" s="843" t="s">
        <v>88</v>
      </c>
      <c r="J1202" s="843"/>
      <c r="K1202" s="843"/>
      <c r="L1202" s="843"/>
      <c r="M1202" s="843"/>
      <c r="N1202" s="843"/>
      <c r="O1202" s="844"/>
      <c r="P1202" s="844"/>
      <c r="Q1202" s="844"/>
      <c r="R1202" s="844"/>
      <c r="S1202" s="844"/>
      <c r="T1202" s="844"/>
      <c r="U1202" s="844"/>
      <c r="V1202" s="844"/>
      <c r="W1202" s="844"/>
      <c r="X1202" s="844"/>
      <c r="Y1202" s="844"/>
      <c r="Z1202" s="844"/>
      <c r="AA1202" s="844"/>
      <c r="AB1202" s="845"/>
      <c r="AC1202" s="2234"/>
      <c r="AD1202" s="2234"/>
      <c r="AE1202" s="2234"/>
      <c r="AF1202" s="2234"/>
    </row>
  </sheetData>
  <mergeCells count="570">
    <mergeCell ref="A1198:B1198"/>
    <mergeCell ref="C1198:H1198"/>
    <mergeCell ref="AA1173:AB1173"/>
    <mergeCell ref="A1174:AB1174"/>
    <mergeCell ref="A1175:AB1175"/>
    <mergeCell ref="A1176:A1181"/>
    <mergeCell ref="C1176:C1181"/>
    <mergeCell ref="F1176:K1176"/>
    <mergeCell ref="M1176:V1176"/>
    <mergeCell ref="F1177:H1178"/>
    <mergeCell ref="L1177:L1181"/>
    <mergeCell ref="T1177:U1178"/>
    <mergeCell ref="F1179:F1180"/>
    <mergeCell ref="G1179:G1180"/>
    <mergeCell ref="H1179:H1180"/>
    <mergeCell ref="A644:AB644"/>
    <mergeCell ref="A645:AB645"/>
    <mergeCell ref="A646:A651"/>
    <mergeCell ref="C646:C651"/>
    <mergeCell ref="F646:K646"/>
    <mergeCell ref="M646:V646"/>
    <mergeCell ref="F647:H648"/>
    <mergeCell ref="L647:L651"/>
    <mergeCell ref="T647:U648"/>
    <mergeCell ref="F649:F650"/>
    <mergeCell ref="G649:G650"/>
    <mergeCell ref="H649:H650"/>
    <mergeCell ref="A1065:B1065"/>
    <mergeCell ref="C1065:H1065"/>
    <mergeCell ref="AA1040:AB1040"/>
    <mergeCell ref="A1041:AB1041"/>
    <mergeCell ref="A1042:AB1042"/>
    <mergeCell ref="A1043:A1048"/>
    <mergeCell ref="C1043:C1048"/>
    <mergeCell ref="F1043:K1043"/>
    <mergeCell ref="M1043:V1043"/>
    <mergeCell ref="F1044:H1045"/>
    <mergeCell ref="L1044:L1048"/>
    <mergeCell ref="T1044:U1045"/>
    <mergeCell ref="F1046:F1047"/>
    <mergeCell ref="G1046:G1047"/>
    <mergeCell ref="H1046:H1047"/>
    <mergeCell ref="A764:B764"/>
    <mergeCell ref="C764:H764"/>
    <mergeCell ref="A734:B734"/>
    <mergeCell ref="C734:H734"/>
    <mergeCell ref="AA479:AB479"/>
    <mergeCell ref="A710:AB710"/>
    <mergeCell ref="A711:AB711"/>
    <mergeCell ref="AA739:AB739"/>
    <mergeCell ref="A740:AB740"/>
    <mergeCell ref="A741:AB741"/>
    <mergeCell ref="A742:A747"/>
    <mergeCell ref="C742:C747"/>
    <mergeCell ref="F742:K742"/>
    <mergeCell ref="M742:V742"/>
    <mergeCell ref="F743:H744"/>
    <mergeCell ref="A712:A717"/>
    <mergeCell ref="C712:C717"/>
    <mergeCell ref="F712:K712"/>
    <mergeCell ref="M712:V712"/>
    <mergeCell ref="F713:H714"/>
    <mergeCell ref="L713:L717"/>
    <mergeCell ref="A674:B674"/>
    <mergeCell ref="C674:H674"/>
    <mergeCell ref="AA643:AB643"/>
    <mergeCell ref="A301:AB301"/>
    <mergeCell ref="A302:AB302"/>
    <mergeCell ref="A331:AB331"/>
    <mergeCell ref="A332:AB332"/>
    <mergeCell ref="A420:AB420"/>
    <mergeCell ref="A421:AB421"/>
    <mergeCell ref="AA419:AB419"/>
    <mergeCell ref="AA389:AB389"/>
    <mergeCell ref="A390:AB390"/>
    <mergeCell ref="A391:AB391"/>
    <mergeCell ref="A392:A397"/>
    <mergeCell ref="C392:C397"/>
    <mergeCell ref="F392:K392"/>
    <mergeCell ref="M392:V392"/>
    <mergeCell ref="F393:H394"/>
    <mergeCell ref="A355:B355"/>
    <mergeCell ref="C355:H355"/>
    <mergeCell ref="F395:F396"/>
    <mergeCell ref="H366:H367"/>
    <mergeCell ref="L393:L397"/>
    <mergeCell ref="T393:U394"/>
    <mergeCell ref="A384:B384"/>
    <mergeCell ref="A333:A338"/>
    <mergeCell ref="C333:C338"/>
    <mergeCell ref="A800:AB800"/>
    <mergeCell ref="A801:AB801"/>
    <mergeCell ref="A802:A807"/>
    <mergeCell ref="C802:C807"/>
    <mergeCell ref="F802:K802"/>
    <mergeCell ref="M802:V802"/>
    <mergeCell ref="F803:H804"/>
    <mergeCell ref="A414:B414"/>
    <mergeCell ref="A183:AB183"/>
    <mergeCell ref="A184:A189"/>
    <mergeCell ref="C184:C189"/>
    <mergeCell ref="F184:K184"/>
    <mergeCell ref="M184:V184"/>
    <mergeCell ref="F185:H186"/>
    <mergeCell ref="L185:L189"/>
    <mergeCell ref="T185:U186"/>
    <mergeCell ref="F187:F188"/>
    <mergeCell ref="G187:G188"/>
    <mergeCell ref="C414:H414"/>
    <mergeCell ref="AA360:AB360"/>
    <mergeCell ref="A361:AB361"/>
    <mergeCell ref="A362:AB362"/>
    <mergeCell ref="A363:A368"/>
    <mergeCell ref="C363:C368"/>
    <mergeCell ref="A945:B945"/>
    <mergeCell ref="C945:H945"/>
    <mergeCell ref="A923:A928"/>
    <mergeCell ref="C923:C928"/>
    <mergeCell ref="F923:K923"/>
    <mergeCell ref="H896:H897"/>
    <mergeCell ref="A915:B915"/>
    <mergeCell ref="C915:H915"/>
    <mergeCell ref="G896:G897"/>
    <mergeCell ref="AA890:AB890"/>
    <mergeCell ref="F866:F867"/>
    <mergeCell ref="A861:AB861"/>
    <mergeCell ref="A862:AB862"/>
    <mergeCell ref="A863:A868"/>
    <mergeCell ref="C863:C868"/>
    <mergeCell ref="F863:K863"/>
    <mergeCell ref="M863:V863"/>
    <mergeCell ref="F864:H865"/>
    <mergeCell ref="L864:L868"/>
    <mergeCell ref="T864:U865"/>
    <mergeCell ref="G836:G837"/>
    <mergeCell ref="H836:H837"/>
    <mergeCell ref="M923:V923"/>
    <mergeCell ref="F924:H925"/>
    <mergeCell ref="L924:L928"/>
    <mergeCell ref="T924:U925"/>
    <mergeCell ref="F926:F927"/>
    <mergeCell ref="G926:G927"/>
    <mergeCell ref="H926:H927"/>
    <mergeCell ref="A921:AB921"/>
    <mergeCell ref="A922:AB922"/>
    <mergeCell ref="AA920:AB920"/>
    <mergeCell ref="A893:A898"/>
    <mergeCell ref="C893:C898"/>
    <mergeCell ref="F893:K893"/>
    <mergeCell ref="M893:V893"/>
    <mergeCell ref="F894:H895"/>
    <mergeCell ref="A891:AB891"/>
    <mergeCell ref="A892:AB892"/>
    <mergeCell ref="AA860:AB860"/>
    <mergeCell ref="G866:G867"/>
    <mergeCell ref="H866:H867"/>
    <mergeCell ref="A885:B885"/>
    <mergeCell ref="C885:H885"/>
    <mergeCell ref="AA799:AB799"/>
    <mergeCell ref="L803:L807"/>
    <mergeCell ref="T803:U804"/>
    <mergeCell ref="F805:F806"/>
    <mergeCell ref="G805:G806"/>
    <mergeCell ref="H805:H806"/>
    <mergeCell ref="L894:L898"/>
    <mergeCell ref="T894:U895"/>
    <mergeCell ref="F896:F897"/>
    <mergeCell ref="AA830:AB830"/>
    <mergeCell ref="A831:AB831"/>
    <mergeCell ref="A824:B824"/>
    <mergeCell ref="C824:H824"/>
    <mergeCell ref="A855:B855"/>
    <mergeCell ref="C855:H855"/>
    <mergeCell ref="A833:A838"/>
    <mergeCell ref="C833:C838"/>
    <mergeCell ref="F833:K833"/>
    <mergeCell ref="M833:V833"/>
    <mergeCell ref="F834:H835"/>
    <mergeCell ref="L834:L838"/>
    <mergeCell ref="T834:U835"/>
    <mergeCell ref="A832:AB832"/>
    <mergeCell ref="F836:F837"/>
    <mergeCell ref="T713:U714"/>
    <mergeCell ref="F715:F716"/>
    <mergeCell ref="G715:G716"/>
    <mergeCell ref="H715:H716"/>
    <mergeCell ref="L743:L747"/>
    <mergeCell ref="T743:U744"/>
    <mergeCell ref="F745:F746"/>
    <mergeCell ref="G745:G746"/>
    <mergeCell ref="H745:H746"/>
    <mergeCell ref="AA600:AB600"/>
    <mergeCell ref="A601:AB601"/>
    <mergeCell ref="A602:AB602"/>
    <mergeCell ref="H685:H686"/>
    <mergeCell ref="A704:B704"/>
    <mergeCell ref="C704:H704"/>
    <mergeCell ref="AA709:AB709"/>
    <mergeCell ref="A682:A687"/>
    <mergeCell ref="C682:C687"/>
    <mergeCell ref="F682:K682"/>
    <mergeCell ref="M682:V682"/>
    <mergeCell ref="F683:H684"/>
    <mergeCell ref="L683:L687"/>
    <mergeCell ref="T683:U684"/>
    <mergeCell ref="F685:F686"/>
    <mergeCell ref="G685:G686"/>
    <mergeCell ref="A680:AB680"/>
    <mergeCell ref="A681:AB681"/>
    <mergeCell ref="G606:G607"/>
    <mergeCell ref="H606:H607"/>
    <mergeCell ref="A638:B638"/>
    <mergeCell ref="C638:H638"/>
    <mergeCell ref="AA679:AB679"/>
    <mergeCell ref="A603:A608"/>
    <mergeCell ref="AA539:AB539"/>
    <mergeCell ref="A480:AB480"/>
    <mergeCell ref="A482:A487"/>
    <mergeCell ref="C482:C487"/>
    <mergeCell ref="F482:K482"/>
    <mergeCell ref="M482:V482"/>
    <mergeCell ref="F483:H484"/>
    <mergeCell ref="L483:L487"/>
    <mergeCell ref="T483:U484"/>
    <mergeCell ref="F485:F486"/>
    <mergeCell ref="G485:G486"/>
    <mergeCell ref="H485:H486"/>
    <mergeCell ref="A481:AB481"/>
    <mergeCell ref="A504:B504"/>
    <mergeCell ref="C504:H504"/>
    <mergeCell ref="AA509:AB509"/>
    <mergeCell ref="A510:AB510"/>
    <mergeCell ref="A511:AB511"/>
    <mergeCell ref="A512:A517"/>
    <mergeCell ref="C512:C517"/>
    <mergeCell ref="F512:K512"/>
    <mergeCell ref="M512:V512"/>
    <mergeCell ref="F513:H514"/>
    <mergeCell ref="L513:L517"/>
    <mergeCell ref="A474:B474"/>
    <mergeCell ref="C474:H474"/>
    <mergeCell ref="C603:C608"/>
    <mergeCell ref="F603:K603"/>
    <mergeCell ref="M603:V603"/>
    <mergeCell ref="F604:H605"/>
    <mergeCell ref="L604:L608"/>
    <mergeCell ref="T604:U605"/>
    <mergeCell ref="F606:F607"/>
    <mergeCell ref="T513:U514"/>
    <mergeCell ref="F515:F516"/>
    <mergeCell ref="G515:G516"/>
    <mergeCell ref="H515:H516"/>
    <mergeCell ref="A534:B534"/>
    <mergeCell ref="C534:H534"/>
    <mergeCell ref="A541:AB541"/>
    <mergeCell ref="A542:A547"/>
    <mergeCell ref="C542:C547"/>
    <mergeCell ref="F542:K542"/>
    <mergeCell ref="M542:V542"/>
    <mergeCell ref="F543:H544"/>
    <mergeCell ref="L543:L547"/>
    <mergeCell ref="T543:U544"/>
    <mergeCell ref="F545:F546"/>
    <mergeCell ref="AA449:AB449"/>
    <mergeCell ref="A452:A457"/>
    <mergeCell ref="C452:C457"/>
    <mergeCell ref="F452:K452"/>
    <mergeCell ref="M452:V452"/>
    <mergeCell ref="F453:H454"/>
    <mergeCell ref="L453:L457"/>
    <mergeCell ref="T453:U454"/>
    <mergeCell ref="F455:F456"/>
    <mergeCell ref="G455:G456"/>
    <mergeCell ref="H455:H456"/>
    <mergeCell ref="A450:AB450"/>
    <mergeCell ref="A451:AB451"/>
    <mergeCell ref="G425:G426"/>
    <mergeCell ref="H425:H426"/>
    <mergeCell ref="A444:B444"/>
    <mergeCell ref="C444:H444"/>
    <mergeCell ref="A422:A427"/>
    <mergeCell ref="C422:C427"/>
    <mergeCell ref="F422:K422"/>
    <mergeCell ref="M422:V422"/>
    <mergeCell ref="F423:H424"/>
    <mergeCell ref="L423:L427"/>
    <mergeCell ref="T423:U424"/>
    <mergeCell ref="F425:F426"/>
    <mergeCell ref="F333:K333"/>
    <mergeCell ref="M333:V333"/>
    <mergeCell ref="F334:H335"/>
    <mergeCell ref="L334:L338"/>
    <mergeCell ref="T334:U335"/>
    <mergeCell ref="F336:F337"/>
    <mergeCell ref="G336:G337"/>
    <mergeCell ref="H336:H337"/>
    <mergeCell ref="G395:G396"/>
    <mergeCell ref="H395:H396"/>
    <mergeCell ref="F363:K363"/>
    <mergeCell ref="M363:V363"/>
    <mergeCell ref="F364:H365"/>
    <mergeCell ref="L364:L368"/>
    <mergeCell ref="T364:U365"/>
    <mergeCell ref="F366:F367"/>
    <mergeCell ref="G366:G367"/>
    <mergeCell ref="C384:H384"/>
    <mergeCell ref="AA1:AB1"/>
    <mergeCell ref="AA30:AB30"/>
    <mergeCell ref="A31:AB31"/>
    <mergeCell ref="A32:AB32"/>
    <mergeCell ref="A33:A38"/>
    <mergeCell ref="C33:C38"/>
    <mergeCell ref="F33:K33"/>
    <mergeCell ref="M33:V33"/>
    <mergeCell ref="F34:H35"/>
    <mergeCell ref="L34:L38"/>
    <mergeCell ref="T34:U35"/>
    <mergeCell ref="F36:F37"/>
    <mergeCell ref="G36:G37"/>
    <mergeCell ref="H36:H37"/>
    <mergeCell ref="A25:B25"/>
    <mergeCell ref="C25:H25"/>
    <mergeCell ref="A2:AB2"/>
    <mergeCell ref="A3:AB3"/>
    <mergeCell ref="A4:A9"/>
    <mergeCell ref="C4:C9"/>
    <mergeCell ref="F4:K4"/>
    <mergeCell ref="M4:V4"/>
    <mergeCell ref="F5:H6"/>
    <mergeCell ref="L5:L9"/>
    <mergeCell ref="A55:B55"/>
    <mergeCell ref="C55:H55"/>
    <mergeCell ref="A182:AB182"/>
    <mergeCell ref="AA150:AB150"/>
    <mergeCell ref="A151:AB151"/>
    <mergeCell ref="A152:AB152"/>
    <mergeCell ref="A153:A158"/>
    <mergeCell ref="C153:C158"/>
    <mergeCell ref="F153:K153"/>
    <mergeCell ref="M153:V153"/>
    <mergeCell ref="F154:H155"/>
    <mergeCell ref="L154:L158"/>
    <mergeCell ref="T154:U155"/>
    <mergeCell ref="F156:F157"/>
    <mergeCell ref="G156:G157"/>
    <mergeCell ref="H156:H157"/>
    <mergeCell ref="AA181:AB181"/>
    <mergeCell ref="G66:G67"/>
    <mergeCell ref="H66:H67"/>
    <mergeCell ref="L94:L98"/>
    <mergeCell ref="T94:U95"/>
    <mergeCell ref="F96:F97"/>
    <mergeCell ref="G96:G97"/>
    <mergeCell ref="H96:H97"/>
    <mergeCell ref="T5:U6"/>
    <mergeCell ref="F7:F8"/>
    <mergeCell ref="G7:G8"/>
    <mergeCell ref="H7:H8"/>
    <mergeCell ref="A85:B85"/>
    <mergeCell ref="C85:H85"/>
    <mergeCell ref="AA90:AB90"/>
    <mergeCell ref="A92:AB92"/>
    <mergeCell ref="A93:A98"/>
    <mergeCell ref="C93:C98"/>
    <mergeCell ref="F93:K93"/>
    <mergeCell ref="M93:V93"/>
    <mergeCell ref="F94:H95"/>
    <mergeCell ref="A61:AB61"/>
    <mergeCell ref="A62:AB62"/>
    <mergeCell ref="A63:A68"/>
    <mergeCell ref="C63:C68"/>
    <mergeCell ref="F63:K63"/>
    <mergeCell ref="M63:V63"/>
    <mergeCell ref="F64:H65"/>
    <mergeCell ref="L64:L68"/>
    <mergeCell ref="T64:U65"/>
    <mergeCell ref="F66:F67"/>
    <mergeCell ref="AA60:AB60"/>
    <mergeCell ref="AA950:AB950"/>
    <mergeCell ref="A951:AB951"/>
    <mergeCell ref="A952:AB952"/>
    <mergeCell ref="A953:A958"/>
    <mergeCell ref="C953:C958"/>
    <mergeCell ref="F953:K953"/>
    <mergeCell ref="M953:V953"/>
    <mergeCell ref="F954:H955"/>
    <mergeCell ref="L954:L958"/>
    <mergeCell ref="T954:U955"/>
    <mergeCell ref="F956:F957"/>
    <mergeCell ref="G956:G957"/>
    <mergeCell ref="H956:H957"/>
    <mergeCell ref="A91:AB91"/>
    <mergeCell ref="A115:B115"/>
    <mergeCell ref="C115:H115"/>
    <mergeCell ref="A540:AB540"/>
    <mergeCell ref="AA120:AB120"/>
    <mergeCell ref="A121:AB121"/>
    <mergeCell ref="A122:AB122"/>
    <mergeCell ref="A123:A128"/>
    <mergeCell ref="C123:C128"/>
    <mergeCell ref="F123:K123"/>
    <mergeCell ref="M123:V123"/>
    <mergeCell ref="A273:A278"/>
    <mergeCell ref="C273:C278"/>
    <mergeCell ref="F273:K273"/>
    <mergeCell ref="M273:V273"/>
    <mergeCell ref="F274:H275"/>
    <mergeCell ref="L274:L278"/>
    <mergeCell ref="T274:U275"/>
    <mergeCell ref="F276:F277"/>
    <mergeCell ref="G276:G277"/>
    <mergeCell ref="M303:V303"/>
    <mergeCell ref="F304:H305"/>
    <mergeCell ref="L304:L308"/>
    <mergeCell ref="T304:U305"/>
    <mergeCell ref="A982:AB982"/>
    <mergeCell ref="A983:A988"/>
    <mergeCell ref="C983:C988"/>
    <mergeCell ref="F983:K983"/>
    <mergeCell ref="M983:V983"/>
    <mergeCell ref="F984:H985"/>
    <mergeCell ref="L984:L988"/>
    <mergeCell ref="T984:U985"/>
    <mergeCell ref="F986:F987"/>
    <mergeCell ref="G986:G987"/>
    <mergeCell ref="H986:H987"/>
    <mergeCell ref="F124:H125"/>
    <mergeCell ref="L124:L128"/>
    <mergeCell ref="T124:U125"/>
    <mergeCell ref="F126:F127"/>
    <mergeCell ref="G126:G127"/>
    <mergeCell ref="H126:H127"/>
    <mergeCell ref="A145:B145"/>
    <mergeCell ref="C145:H145"/>
    <mergeCell ref="A1005:B1005"/>
    <mergeCell ref="C1005:H1005"/>
    <mergeCell ref="A975:B975"/>
    <mergeCell ref="C975:H975"/>
    <mergeCell ref="A265:B265"/>
    <mergeCell ref="C265:H265"/>
    <mergeCell ref="H276:H277"/>
    <mergeCell ref="A295:B295"/>
    <mergeCell ref="C295:H295"/>
    <mergeCell ref="A272:AB272"/>
    <mergeCell ref="A271:AB271"/>
    <mergeCell ref="H306:H307"/>
    <mergeCell ref="A325:B325"/>
    <mergeCell ref="C325:H325"/>
    <mergeCell ref="AA980:AB980"/>
    <mergeCell ref="A981:AB981"/>
    <mergeCell ref="AA330:AB330"/>
    <mergeCell ref="A303:A308"/>
    <mergeCell ref="C303:C308"/>
    <mergeCell ref="F303:K303"/>
    <mergeCell ref="H187:H188"/>
    <mergeCell ref="A205:B205"/>
    <mergeCell ref="C205:H205"/>
    <mergeCell ref="A235:B235"/>
    <mergeCell ref="AA270:AB270"/>
    <mergeCell ref="AA210:AB210"/>
    <mergeCell ref="AA240:AB240"/>
    <mergeCell ref="A241:AB241"/>
    <mergeCell ref="A242:AB242"/>
    <mergeCell ref="A243:A248"/>
    <mergeCell ref="C243:C248"/>
    <mergeCell ref="F243:K243"/>
    <mergeCell ref="M243:V243"/>
    <mergeCell ref="F244:H245"/>
    <mergeCell ref="L244:L248"/>
    <mergeCell ref="T244:U245"/>
    <mergeCell ref="H246:H247"/>
    <mergeCell ref="AA300:AB300"/>
    <mergeCell ref="F306:F307"/>
    <mergeCell ref="G306:G307"/>
    <mergeCell ref="A175:B175"/>
    <mergeCell ref="C175:H175"/>
    <mergeCell ref="C235:H235"/>
    <mergeCell ref="F246:F247"/>
    <mergeCell ref="G246:G247"/>
    <mergeCell ref="A211:AB211"/>
    <mergeCell ref="A212:AB212"/>
    <mergeCell ref="A213:A218"/>
    <mergeCell ref="C213:C218"/>
    <mergeCell ref="F213:K213"/>
    <mergeCell ref="M213:V213"/>
    <mergeCell ref="F214:H215"/>
    <mergeCell ref="L214:L218"/>
    <mergeCell ref="T214:U215"/>
    <mergeCell ref="F216:F217"/>
    <mergeCell ref="G216:G217"/>
    <mergeCell ref="H216:H217"/>
    <mergeCell ref="G545:G546"/>
    <mergeCell ref="H545:H546"/>
    <mergeCell ref="A594:B594"/>
    <mergeCell ref="C594:H594"/>
    <mergeCell ref="A564:B564"/>
    <mergeCell ref="C564:H564"/>
    <mergeCell ref="AA569:AB569"/>
    <mergeCell ref="A571:AB571"/>
    <mergeCell ref="A572:A577"/>
    <mergeCell ref="C572:C577"/>
    <mergeCell ref="F572:K572"/>
    <mergeCell ref="M572:V572"/>
    <mergeCell ref="F573:H574"/>
    <mergeCell ref="L573:L577"/>
    <mergeCell ref="T573:U574"/>
    <mergeCell ref="F575:F576"/>
    <mergeCell ref="G575:G576"/>
    <mergeCell ref="H575:H576"/>
    <mergeCell ref="A570:AB570"/>
    <mergeCell ref="A1035:B1035"/>
    <mergeCell ref="C1035:H1035"/>
    <mergeCell ref="AA1010:AB1010"/>
    <mergeCell ref="A1011:AB1011"/>
    <mergeCell ref="A1012:AB1012"/>
    <mergeCell ref="A1013:A1018"/>
    <mergeCell ref="C1013:C1018"/>
    <mergeCell ref="F1013:K1013"/>
    <mergeCell ref="M1013:V1013"/>
    <mergeCell ref="F1014:H1015"/>
    <mergeCell ref="L1014:L1018"/>
    <mergeCell ref="T1014:U1015"/>
    <mergeCell ref="F1016:F1017"/>
    <mergeCell ref="G1016:G1017"/>
    <mergeCell ref="H1016:H1017"/>
    <mergeCell ref="AA1070:AB1070"/>
    <mergeCell ref="A1071:AB1071"/>
    <mergeCell ref="A1072:AB1072"/>
    <mergeCell ref="A1073:A1078"/>
    <mergeCell ref="C1073:C1078"/>
    <mergeCell ref="F1073:K1073"/>
    <mergeCell ref="M1073:V1073"/>
    <mergeCell ref="F1074:H1075"/>
    <mergeCell ref="L1074:L1078"/>
    <mergeCell ref="T1074:U1075"/>
    <mergeCell ref="F1076:F1077"/>
    <mergeCell ref="G1076:G1077"/>
    <mergeCell ref="H1076:H1077"/>
    <mergeCell ref="A1125:B1125"/>
    <mergeCell ref="C1125:H1125"/>
    <mergeCell ref="A1095:B1095"/>
    <mergeCell ref="C1095:H1095"/>
    <mergeCell ref="AA1100:AB1100"/>
    <mergeCell ref="A1101:AB1101"/>
    <mergeCell ref="A1102:AB1102"/>
    <mergeCell ref="A1103:A1108"/>
    <mergeCell ref="C1103:C1108"/>
    <mergeCell ref="F1103:K1103"/>
    <mergeCell ref="M1103:V1103"/>
    <mergeCell ref="F1104:H1105"/>
    <mergeCell ref="L1104:L1108"/>
    <mergeCell ref="T1104:U1105"/>
    <mergeCell ref="F1106:F1107"/>
    <mergeCell ref="G1106:G1107"/>
    <mergeCell ref="H1106:H1107"/>
    <mergeCell ref="A1168:B1168"/>
    <mergeCell ref="C1168:H1168"/>
    <mergeCell ref="AA1130:AB1130"/>
    <mergeCell ref="A1131:AB1131"/>
    <mergeCell ref="A1132:AB1132"/>
    <mergeCell ref="A1133:A1138"/>
    <mergeCell ref="C1133:C1138"/>
    <mergeCell ref="F1133:K1133"/>
    <mergeCell ref="M1133:V1133"/>
    <mergeCell ref="F1134:H1135"/>
    <mergeCell ref="L1134:L1138"/>
    <mergeCell ref="T1134:U1135"/>
    <mergeCell ref="F1136:F1137"/>
    <mergeCell ref="G1136:G1137"/>
    <mergeCell ref="H1136:H1137"/>
  </mergeCells>
  <phoneticPr fontId="14" type="noConversion"/>
  <pageMargins left="0.19685039370078741" right="0.19685039370078741" top="0.31496062992125984" bottom="0.31496062992125984" header="0.31496062992125984" footer="0.31496062992125984"/>
  <pageSetup paperSize="9" scale="70" orientation="landscape" r:id="rId1"/>
  <rowBreaks count="37" manualBreakCount="37">
    <brk id="29" max="32" man="1"/>
    <brk id="59" max="32" man="1"/>
    <brk id="89" max="32" man="1"/>
    <brk id="119" max="32" man="1"/>
    <brk id="149" max="32" man="1"/>
    <brk id="180" max="32" man="1"/>
    <brk id="209" max="32" man="1"/>
    <brk id="239" max="32" man="1"/>
    <brk id="269" max="32" man="1"/>
    <brk id="299" max="32" man="1"/>
    <brk id="329" max="32" man="1"/>
    <brk id="359" max="32" man="1"/>
    <brk id="388" max="32" man="1"/>
    <brk id="418" max="32" man="1"/>
    <brk id="448" max="32" man="1"/>
    <brk id="478" max="32" man="1"/>
    <brk id="508" max="32" man="1"/>
    <brk id="538" max="32" man="1"/>
    <brk id="568" max="32" man="1"/>
    <brk id="599" max="32" man="1"/>
    <brk id="642" max="32" man="1"/>
    <brk id="678" max="32" man="1"/>
    <brk id="708" max="32" man="1"/>
    <brk id="738" max="32" man="1"/>
    <brk id="768" max="32" man="1"/>
    <brk id="798" max="32" man="1"/>
    <brk id="829" max="32" man="1"/>
    <brk id="859" max="32" man="1"/>
    <brk id="889" max="32" man="1"/>
    <brk id="919" max="32" man="1"/>
    <brk id="949" max="32" man="1"/>
    <brk id="979" max="32" man="1"/>
    <brk id="1009" max="32" man="1"/>
    <brk id="1039" max="32" man="1"/>
    <brk id="1069" max="32" man="1"/>
    <brk id="1099" max="32" man="1"/>
    <brk id="1129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512"/>
  <sheetViews>
    <sheetView view="pageBreakPreview" topLeftCell="E1" zoomScale="110" zoomScaleNormal="62" zoomScaleSheetLayoutView="110" workbookViewId="0">
      <selection activeCell="AC1" sqref="AC1:AD1048576"/>
    </sheetView>
  </sheetViews>
  <sheetFormatPr defaultColWidth="9" defaultRowHeight="14.25" x14ac:dyDescent="0.2"/>
  <cols>
    <col min="1" max="1" width="1.625" style="431" customWidth="1"/>
    <col min="2" max="2" width="3.875" style="431" customWidth="1"/>
    <col min="3" max="3" width="3.125" style="431" customWidth="1"/>
    <col min="4" max="4" width="3" style="431" customWidth="1"/>
    <col min="5" max="5" width="2.375" style="431" customWidth="1"/>
    <col min="6" max="7" width="2.125" style="431" customWidth="1"/>
    <col min="8" max="8" width="3.5" style="431" customWidth="1"/>
    <col min="9" max="9" width="5.625" style="431" customWidth="1"/>
    <col min="10" max="10" width="6.125" style="431" customWidth="1"/>
    <col min="11" max="11" width="7.875" style="431" customWidth="1"/>
    <col min="12" max="12" width="2.625" style="431" customWidth="1"/>
    <col min="13" max="13" width="4" style="431" customWidth="1"/>
    <col min="14" max="14" width="5.125" style="431" customWidth="1"/>
    <col min="15" max="15" width="2.625" style="431" customWidth="1"/>
    <col min="16" max="16" width="5.125" style="431" customWidth="1"/>
    <col min="17" max="17" width="3.125" style="431" customWidth="1"/>
    <col min="18" max="18" width="5.5" style="431" customWidth="1"/>
    <col min="19" max="19" width="7.375" style="431" customWidth="1"/>
    <col min="20" max="20" width="3.625" style="431" customWidth="1"/>
    <col min="21" max="21" width="8.125" style="431" customWidth="1"/>
    <col min="22" max="22" width="8.25" style="431" customWidth="1"/>
    <col min="23" max="23" width="9.125" style="431" customWidth="1"/>
    <col min="24" max="24" width="8.25" style="431" customWidth="1"/>
    <col min="25" max="25" width="3.75" style="431" customWidth="1"/>
    <col min="26" max="26" width="7.25" style="431" customWidth="1"/>
    <col min="27" max="27" width="3.125" style="431" customWidth="1"/>
    <col min="28" max="28" width="6.75" style="432" customWidth="1"/>
    <col min="29" max="29" width="9.75" style="431" bestFit="1" customWidth="1"/>
    <col min="30" max="16384" width="9" style="431"/>
  </cols>
  <sheetData>
    <row r="1" spans="1:28" s="343" customFormat="1" ht="18" customHeight="1" x14ac:dyDescent="0.2">
      <c r="A1" s="338"/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8"/>
      <c r="Z1" s="338"/>
      <c r="AA1" s="2774" t="s">
        <v>0</v>
      </c>
      <c r="AB1" s="2774"/>
    </row>
    <row r="2" spans="1:28" s="343" customFormat="1" ht="18" customHeight="1" x14ac:dyDescent="0.2">
      <c r="A2" s="2702" t="s">
        <v>1</v>
      </c>
      <c r="B2" s="2702"/>
      <c r="C2" s="2702"/>
      <c r="D2" s="2702"/>
      <c r="E2" s="2702"/>
      <c r="F2" s="2702"/>
      <c r="G2" s="2702"/>
      <c r="H2" s="2702"/>
      <c r="I2" s="2702"/>
      <c r="J2" s="2702"/>
      <c r="K2" s="2702"/>
      <c r="L2" s="2702"/>
      <c r="M2" s="2702"/>
      <c r="N2" s="2702"/>
      <c r="O2" s="2702"/>
      <c r="P2" s="2702"/>
      <c r="Q2" s="2702"/>
      <c r="R2" s="2702"/>
      <c r="S2" s="2702"/>
      <c r="T2" s="2702"/>
      <c r="U2" s="2702"/>
      <c r="V2" s="2702"/>
      <c r="W2" s="2702"/>
      <c r="X2" s="2702"/>
      <c r="Y2" s="2702"/>
      <c r="Z2" s="2702"/>
      <c r="AA2" s="2702"/>
      <c r="AB2" s="2702"/>
    </row>
    <row r="3" spans="1:28" s="343" customFormat="1" ht="18" customHeight="1" x14ac:dyDescent="0.2">
      <c r="A3" s="2775" t="s">
        <v>603</v>
      </c>
      <c r="B3" s="2775"/>
      <c r="C3" s="2775"/>
      <c r="D3" s="2775"/>
      <c r="E3" s="2775"/>
      <c r="F3" s="2775"/>
      <c r="G3" s="2775"/>
      <c r="H3" s="2775"/>
      <c r="I3" s="2775"/>
      <c r="J3" s="2775"/>
      <c r="K3" s="2775"/>
      <c r="L3" s="2775"/>
      <c r="M3" s="2775"/>
      <c r="N3" s="2775"/>
      <c r="O3" s="2775"/>
      <c r="P3" s="2775"/>
      <c r="Q3" s="2775"/>
      <c r="R3" s="2775"/>
      <c r="S3" s="2775"/>
      <c r="T3" s="2775"/>
      <c r="U3" s="2775"/>
      <c r="V3" s="2775"/>
      <c r="W3" s="2775"/>
      <c r="X3" s="2775"/>
      <c r="Y3" s="2775"/>
      <c r="Z3" s="2775"/>
      <c r="AA3" s="2775"/>
      <c r="AB3" s="2775"/>
    </row>
    <row r="4" spans="1:28" s="343" customFormat="1" ht="18" customHeight="1" x14ac:dyDescent="0.2">
      <c r="A4" s="2686" t="s">
        <v>2</v>
      </c>
      <c r="B4" s="360"/>
      <c r="C4" s="2686" t="s">
        <v>3</v>
      </c>
      <c r="D4" s="360"/>
      <c r="E4" s="360"/>
      <c r="F4" s="2693" t="s">
        <v>4</v>
      </c>
      <c r="G4" s="2693"/>
      <c r="H4" s="2693"/>
      <c r="I4" s="2694"/>
      <c r="J4" s="2694"/>
      <c r="K4" s="2695"/>
      <c r="L4" s="361"/>
      <c r="M4" s="2679" t="s">
        <v>5</v>
      </c>
      <c r="N4" s="2679"/>
      <c r="O4" s="2679"/>
      <c r="P4" s="2679"/>
      <c r="Q4" s="2696"/>
      <c r="R4" s="2696"/>
      <c r="S4" s="2696"/>
      <c r="T4" s="2696"/>
      <c r="U4" s="2696"/>
      <c r="V4" s="2697"/>
      <c r="W4" s="362" t="s">
        <v>6</v>
      </c>
      <c r="X4" s="363" t="s">
        <v>7</v>
      </c>
      <c r="Y4" s="364"/>
      <c r="Z4" s="364"/>
      <c r="AA4" s="363"/>
      <c r="AB4" s="365"/>
    </row>
    <row r="5" spans="1:28" s="343" customFormat="1" ht="18" customHeight="1" x14ac:dyDescent="0.2">
      <c r="A5" s="2687"/>
      <c r="B5" s="367"/>
      <c r="C5" s="2687"/>
      <c r="D5" s="2158" t="s">
        <v>9</v>
      </c>
      <c r="E5" s="368" t="s">
        <v>10</v>
      </c>
      <c r="F5" s="2698" t="s">
        <v>11</v>
      </c>
      <c r="G5" s="2694"/>
      <c r="H5" s="2695"/>
      <c r="I5" s="360"/>
      <c r="J5" s="369" t="s">
        <v>12</v>
      </c>
      <c r="K5" s="360"/>
      <c r="L5" s="2679" t="s">
        <v>2</v>
      </c>
      <c r="M5" s="2162"/>
      <c r="N5" s="2162"/>
      <c r="O5" s="2162"/>
      <c r="P5" s="371"/>
      <c r="Q5" s="372" t="s">
        <v>13</v>
      </c>
      <c r="R5" s="373" t="s">
        <v>12</v>
      </c>
      <c r="S5" s="2162" t="s">
        <v>6</v>
      </c>
      <c r="T5" s="2682" t="s">
        <v>14</v>
      </c>
      <c r="U5" s="2683"/>
      <c r="V5" s="375" t="s">
        <v>7</v>
      </c>
      <c r="W5" s="376" t="s">
        <v>15</v>
      </c>
      <c r="X5" s="377" t="s">
        <v>16</v>
      </c>
      <c r="Y5" s="377" t="s">
        <v>17</v>
      </c>
      <c r="Z5" s="377" t="s">
        <v>18</v>
      </c>
      <c r="AA5" s="377"/>
      <c r="AB5" s="378" t="s">
        <v>19</v>
      </c>
    </row>
    <row r="6" spans="1:28" s="343" customFormat="1" ht="18" customHeight="1" x14ac:dyDescent="0.2">
      <c r="A6" s="2687"/>
      <c r="B6" s="2158" t="s">
        <v>23</v>
      </c>
      <c r="C6" s="2687"/>
      <c r="D6" s="2158" t="s">
        <v>24</v>
      </c>
      <c r="E6" s="368" t="s">
        <v>25</v>
      </c>
      <c r="F6" s="2699"/>
      <c r="G6" s="2700"/>
      <c r="H6" s="2701"/>
      <c r="I6" s="2158" t="s">
        <v>26</v>
      </c>
      <c r="J6" s="379" t="s">
        <v>15</v>
      </c>
      <c r="K6" s="2159" t="s">
        <v>6</v>
      </c>
      <c r="L6" s="2680"/>
      <c r="M6" s="2163" t="s">
        <v>27</v>
      </c>
      <c r="N6" s="2163" t="s">
        <v>10</v>
      </c>
      <c r="O6" s="382" t="s">
        <v>10</v>
      </c>
      <c r="P6" s="383" t="s">
        <v>28</v>
      </c>
      <c r="Q6" s="384" t="s">
        <v>29</v>
      </c>
      <c r="R6" s="383" t="s">
        <v>15</v>
      </c>
      <c r="S6" s="385" t="s">
        <v>15</v>
      </c>
      <c r="T6" s="2684"/>
      <c r="U6" s="2685"/>
      <c r="V6" s="375" t="s">
        <v>30</v>
      </c>
      <c r="W6" s="376" t="s">
        <v>31</v>
      </c>
      <c r="X6" s="377" t="s">
        <v>30</v>
      </c>
      <c r="Y6" s="377" t="s">
        <v>32</v>
      </c>
      <c r="Z6" s="377" t="s">
        <v>7</v>
      </c>
      <c r="AA6" s="377" t="s">
        <v>33</v>
      </c>
      <c r="AB6" s="378" t="s">
        <v>34</v>
      </c>
    </row>
    <row r="7" spans="1:28" s="343" customFormat="1" ht="18" customHeight="1" x14ac:dyDescent="0.2">
      <c r="A7" s="2687"/>
      <c r="B7" s="2158" t="s">
        <v>39</v>
      </c>
      <c r="C7" s="2687"/>
      <c r="D7" s="2158" t="s">
        <v>40</v>
      </c>
      <c r="E7" s="368" t="s">
        <v>41</v>
      </c>
      <c r="F7" s="2686" t="s">
        <v>42</v>
      </c>
      <c r="G7" s="2686" t="s">
        <v>43</v>
      </c>
      <c r="H7" s="2688" t="s">
        <v>44</v>
      </c>
      <c r="I7" s="2158" t="s">
        <v>45</v>
      </c>
      <c r="J7" s="379" t="s">
        <v>46</v>
      </c>
      <c r="K7" s="2159" t="s">
        <v>47</v>
      </c>
      <c r="L7" s="2680"/>
      <c r="M7" s="2163" t="s">
        <v>30</v>
      </c>
      <c r="N7" s="2163" t="s">
        <v>30</v>
      </c>
      <c r="O7" s="382" t="s">
        <v>25</v>
      </c>
      <c r="P7" s="383" t="s">
        <v>30</v>
      </c>
      <c r="Q7" s="384" t="s">
        <v>48</v>
      </c>
      <c r="R7" s="383" t="s">
        <v>49</v>
      </c>
      <c r="S7" s="385" t="s">
        <v>30</v>
      </c>
      <c r="T7" s="386" t="s">
        <v>50</v>
      </c>
      <c r="U7" s="2161" t="s">
        <v>13</v>
      </c>
      <c r="V7" s="375" t="s">
        <v>51</v>
      </c>
      <c r="W7" s="376" t="s">
        <v>52</v>
      </c>
      <c r="X7" s="377" t="s">
        <v>53</v>
      </c>
      <c r="Y7" s="377" t="s">
        <v>54</v>
      </c>
      <c r="Z7" s="377" t="s">
        <v>55</v>
      </c>
      <c r="AA7" s="377" t="s">
        <v>56</v>
      </c>
      <c r="AB7" s="378" t="s">
        <v>57</v>
      </c>
    </row>
    <row r="8" spans="1:28" s="343" customFormat="1" ht="18" customHeight="1" x14ac:dyDescent="0.2">
      <c r="A8" s="2687"/>
      <c r="B8" s="2158" t="s">
        <v>61</v>
      </c>
      <c r="C8" s="2687"/>
      <c r="D8" s="2158" t="s">
        <v>62</v>
      </c>
      <c r="E8" s="368" t="s">
        <v>63</v>
      </c>
      <c r="F8" s="2687"/>
      <c r="G8" s="2687"/>
      <c r="H8" s="2689"/>
      <c r="I8" s="2158" t="s">
        <v>64</v>
      </c>
      <c r="J8" s="379" t="s">
        <v>59</v>
      </c>
      <c r="K8" s="2159" t="s">
        <v>59</v>
      </c>
      <c r="L8" s="2680"/>
      <c r="M8" s="2163"/>
      <c r="N8" s="2163"/>
      <c r="O8" s="382" t="s">
        <v>41</v>
      </c>
      <c r="P8" s="383" t="s">
        <v>65</v>
      </c>
      <c r="Q8" s="384" t="s">
        <v>66</v>
      </c>
      <c r="R8" s="383" t="s">
        <v>67</v>
      </c>
      <c r="S8" s="385" t="s">
        <v>59</v>
      </c>
      <c r="T8" s="387" t="s">
        <v>68</v>
      </c>
      <c r="U8" s="375" t="s">
        <v>14</v>
      </c>
      <c r="V8" s="375" t="s">
        <v>14</v>
      </c>
      <c r="W8" s="376" t="s">
        <v>30</v>
      </c>
      <c r="X8" s="388" t="s">
        <v>69</v>
      </c>
      <c r="Y8" s="388" t="s">
        <v>70</v>
      </c>
      <c r="Z8" s="377" t="s">
        <v>71</v>
      </c>
      <c r="AA8" s="377" t="s">
        <v>72</v>
      </c>
      <c r="AB8" s="378" t="s">
        <v>59</v>
      </c>
    </row>
    <row r="9" spans="1:28" s="343" customFormat="1" ht="18" customHeight="1" x14ac:dyDescent="0.2">
      <c r="A9" s="2692"/>
      <c r="B9" s="390"/>
      <c r="C9" s="2692"/>
      <c r="D9" s="390"/>
      <c r="E9" s="2160"/>
      <c r="F9" s="390"/>
      <c r="G9" s="390"/>
      <c r="H9" s="391"/>
      <c r="I9" s="2160"/>
      <c r="J9" s="392"/>
      <c r="K9" s="393"/>
      <c r="L9" s="2681"/>
      <c r="M9" s="2164"/>
      <c r="N9" s="2164"/>
      <c r="O9" s="2164" t="s">
        <v>63</v>
      </c>
      <c r="P9" s="395"/>
      <c r="Q9" s="396" t="s">
        <v>72</v>
      </c>
      <c r="R9" s="397" t="s">
        <v>59</v>
      </c>
      <c r="S9" s="398"/>
      <c r="T9" s="397" t="s">
        <v>73</v>
      </c>
      <c r="U9" s="398" t="s">
        <v>59</v>
      </c>
      <c r="V9" s="399" t="s">
        <v>59</v>
      </c>
      <c r="W9" s="400" t="s">
        <v>59</v>
      </c>
      <c r="X9" s="401" t="s">
        <v>59</v>
      </c>
      <c r="Y9" s="401" t="s">
        <v>59</v>
      </c>
      <c r="Z9" s="401" t="s">
        <v>59</v>
      </c>
      <c r="AA9" s="402"/>
      <c r="AB9" s="403"/>
    </row>
    <row r="10" spans="1:28" s="343" customFormat="1" ht="18" customHeight="1" x14ac:dyDescent="0.25">
      <c r="A10" s="313">
        <v>1</v>
      </c>
      <c r="B10" s="333">
        <v>48725</v>
      </c>
      <c r="C10" s="41">
        <v>1544</v>
      </c>
      <c r="D10" s="15" t="s">
        <v>107</v>
      </c>
      <c r="E10" s="15">
        <v>5</v>
      </c>
      <c r="F10" s="41">
        <v>0</v>
      </c>
      <c r="G10" s="41">
        <v>2</v>
      </c>
      <c r="H10" s="267">
        <v>56</v>
      </c>
      <c r="I10" s="296">
        <f>F10*400+G10*100+H10</f>
        <v>256</v>
      </c>
      <c r="J10" s="759">
        <v>2300</v>
      </c>
      <c r="K10" s="297">
        <f>SUM(I10*J10)</f>
        <v>588800</v>
      </c>
      <c r="L10" s="45">
        <v>1</v>
      </c>
      <c r="M10" s="61">
        <v>103</v>
      </c>
      <c r="N10" s="50" t="s">
        <v>74</v>
      </c>
      <c r="O10" s="50">
        <v>2</v>
      </c>
      <c r="P10" s="337">
        <f>12.4*7.1</f>
        <v>88.039999999999992</v>
      </c>
      <c r="Q10" s="62" t="s">
        <v>75</v>
      </c>
      <c r="R10" s="296">
        <v>9050</v>
      </c>
      <c r="S10" s="296">
        <f>+P10*R10</f>
        <v>796761.99999999988</v>
      </c>
      <c r="T10" s="298">
        <v>35</v>
      </c>
      <c r="U10" s="299">
        <f>+S10*0.6</f>
        <v>478057.1999999999</v>
      </c>
      <c r="V10" s="299">
        <f>SUM(S10-U10)</f>
        <v>318704.8</v>
      </c>
      <c r="W10" s="296">
        <f>K10+V10</f>
        <v>907504.8</v>
      </c>
      <c r="X10" s="299">
        <f>W10</f>
        <v>907504.8</v>
      </c>
      <c r="Y10" s="296" t="s">
        <v>87</v>
      </c>
      <c r="Z10" s="296">
        <v>0</v>
      </c>
      <c r="AA10" s="494">
        <v>0.02</v>
      </c>
      <c r="AB10" s="682">
        <f>+Z10*AA10/100</f>
        <v>0</v>
      </c>
    </row>
    <row r="11" spans="1:28" s="343" customFormat="1" ht="18" customHeight="1" x14ac:dyDescent="0.25">
      <c r="A11" s="689"/>
      <c r="B11" s="269"/>
      <c r="C11" s="285"/>
      <c r="D11" s="15"/>
      <c r="E11" s="15"/>
      <c r="F11" s="268"/>
      <c r="G11" s="269"/>
      <c r="H11" s="266"/>
      <c r="I11" s="296"/>
      <c r="J11" s="759"/>
      <c r="K11" s="297"/>
      <c r="L11" s="45">
        <v>2</v>
      </c>
      <c r="M11" s="61">
        <v>521</v>
      </c>
      <c r="N11" s="1437" t="s">
        <v>74</v>
      </c>
      <c r="O11" s="27">
        <v>3</v>
      </c>
      <c r="P11" s="337">
        <f>3*6.5</f>
        <v>19.5</v>
      </c>
      <c r="Q11" s="62" t="s">
        <v>75</v>
      </c>
      <c r="R11" s="296">
        <v>5650</v>
      </c>
      <c r="S11" s="296">
        <f>+P11*R11</f>
        <v>110175</v>
      </c>
      <c r="T11" s="298">
        <v>11</v>
      </c>
      <c r="U11" s="299">
        <f>+S11*0.12</f>
        <v>13221</v>
      </c>
      <c r="V11" s="299">
        <f>SUM(S11-U11)</f>
        <v>96954</v>
      </c>
      <c r="W11" s="296">
        <f>K11+V11</f>
        <v>96954</v>
      </c>
      <c r="X11" s="299">
        <f>W11</f>
        <v>96954</v>
      </c>
      <c r="Y11" s="296">
        <v>0</v>
      </c>
      <c r="Z11" s="296">
        <f>+X11</f>
        <v>96954</v>
      </c>
      <c r="AA11" s="494">
        <v>0.3</v>
      </c>
      <c r="AB11" s="664">
        <f>+Z11*AA11/100</f>
        <v>290.86200000000002</v>
      </c>
    </row>
    <row r="12" spans="1:28" s="343" customFormat="1" ht="18" customHeight="1" x14ac:dyDescent="0.2">
      <c r="A12" s="177"/>
      <c r="B12" s="177"/>
      <c r="C12" s="177"/>
      <c r="D12" s="177"/>
      <c r="E12" s="177"/>
      <c r="F12" s="177"/>
      <c r="G12" s="177"/>
      <c r="H12" s="274"/>
      <c r="I12" s="275"/>
      <c r="J12" s="275"/>
      <c r="K12" s="275"/>
      <c r="L12" s="177"/>
      <c r="M12" s="177"/>
      <c r="N12" s="177"/>
      <c r="O12" s="177"/>
      <c r="P12" s="274"/>
      <c r="Q12" s="276"/>
      <c r="R12" s="661"/>
      <c r="S12" s="275"/>
      <c r="T12" s="277"/>
      <c r="U12" s="275"/>
      <c r="V12" s="275"/>
      <c r="W12" s="275"/>
      <c r="X12" s="662"/>
      <c r="Y12" s="662"/>
      <c r="Z12" s="663"/>
      <c r="AA12" s="663"/>
      <c r="AB12" s="664"/>
    </row>
    <row r="13" spans="1:28" s="343" customFormat="1" ht="18" customHeight="1" x14ac:dyDescent="0.2">
      <c r="A13" s="177"/>
      <c r="B13" s="177"/>
      <c r="C13" s="177"/>
      <c r="D13" s="177"/>
      <c r="E13" s="177"/>
      <c r="F13" s="177"/>
      <c r="G13" s="177"/>
      <c r="H13" s="274"/>
      <c r="I13" s="275"/>
      <c r="J13" s="275"/>
      <c r="K13" s="275"/>
      <c r="L13" s="177"/>
      <c r="M13" s="177"/>
      <c r="N13" s="177"/>
      <c r="O13" s="177"/>
      <c r="P13" s="274"/>
      <c r="Q13" s="276"/>
      <c r="R13" s="661"/>
      <c r="S13" s="275"/>
      <c r="T13" s="277"/>
      <c r="U13" s="275"/>
      <c r="V13" s="275"/>
      <c r="W13" s="275"/>
      <c r="X13" s="662"/>
      <c r="Y13" s="662"/>
      <c r="Z13" s="663"/>
      <c r="AA13" s="663"/>
      <c r="AB13" s="664"/>
    </row>
    <row r="14" spans="1:28" s="343" customFormat="1" ht="18" customHeight="1" x14ac:dyDescent="0.2">
      <c r="A14" s="177"/>
      <c r="B14" s="177"/>
      <c r="C14" s="177"/>
      <c r="D14" s="177"/>
      <c r="E14" s="177"/>
      <c r="F14" s="177"/>
      <c r="G14" s="177"/>
      <c r="H14" s="274"/>
      <c r="I14" s="275"/>
      <c r="J14" s="275"/>
      <c r="K14" s="275"/>
      <c r="L14" s="177"/>
      <c r="M14" s="177"/>
      <c r="N14" s="177"/>
      <c r="O14" s="177"/>
      <c r="P14" s="274"/>
      <c r="Q14" s="276"/>
      <c r="R14" s="661"/>
      <c r="S14" s="275"/>
      <c r="T14" s="277"/>
      <c r="U14" s="275"/>
      <c r="V14" s="275"/>
      <c r="W14" s="275"/>
      <c r="X14" s="662"/>
      <c r="Y14" s="662"/>
      <c r="Z14" s="663"/>
      <c r="AA14" s="663"/>
      <c r="AB14" s="664"/>
    </row>
    <row r="15" spans="1:28" s="343" customFormat="1" ht="18" customHeight="1" x14ac:dyDescent="0.2">
      <c r="A15" s="177"/>
      <c r="B15" s="177"/>
      <c r="C15" s="177"/>
      <c r="D15" s="177"/>
      <c r="E15" s="177"/>
      <c r="F15" s="177"/>
      <c r="G15" s="177"/>
      <c r="H15" s="274"/>
      <c r="I15" s="275"/>
      <c r="J15" s="275"/>
      <c r="K15" s="275"/>
      <c r="L15" s="177"/>
      <c r="M15" s="177"/>
      <c r="N15" s="177"/>
      <c r="O15" s="177"/>
      <c r="P15" s="274"/>
      <c r="Q15" s="276"/>
      <c r="R15" s="661"/>
      <c r="S15" s="275"/>
      <c r="T15" s="277"/>
      <c r="U15" s="275"/>
      <c r="V15" s="275"/>
      <c r="W15" s="275"/>
      <c r="X15" s="662"/>
      <c r="Y15" s="662"/>
      <c r="Z15" s="663"/>
      <c r="AA15" s="663"/>
      <c r="AB15" s="664"/>
    </row>
    <row r="16" spans="1:28" s="343" customFormat="1" ht="18" customHeight="1" x14ac:dyDescent="0.2">
      <c r="A16" s="177"/>
      <c r="B16" s="177"/>
      <c r="C16" s="177"/>
      <c r="D16" s="177"/>
      <c r="E16" s="177"/>
      <c r="F16" s="177"/>
      <c r="G16" s="177"/>
      <c r="H16" s="274"/>
      <c r="I16" s="275"/>
      <c r="J16" s="275"/>
      <c r="K16" s="275"/>
      <c r="L16" s="177"/>
      <c r="M16" s="177"/>
      <c r="N16" s="177"/>
      <c r="O16" s="177"/>
      <c r="P16" s="274"/>
      <c r="Q16" s="276"/>
      <c r="R16" s="661"/>
      <c r="S16" s="275"/>
      <c r="T16" s="277"/>
      <c r="U16" s="275"/>
      <c r="V16" s="275"/>
      <c r="W16" s="275"/>
      <c r="X16" s="662"/>
      <c r="Y16" s="662"/>
      <c r="Z16" s="663"/>
      <c r="AA16" s="663"/>
      <c r="AB16" s="664"/>
    </row>
    <row r="17" spans="1:28" s="343" customFormat="1" ht="18" customHeight="1" x14ac:dyDescent="0.2">
      <c r="A17" s="177"/>
      <c r="B17" s="177"/>
      <c r="C17" s="177"/>
      <c r="D17" s="177"/>
      <c r="E17" s="177"/>
      <c r="F17" s="177"/>
      <c r="G17" s="177"/>
      <c r="H17" s="274"/>
      <c r="I17" s="275"/>
      <c r="J17" s="275"/>
      <c r="K17" s="275"/>
      <c r="L17" s="177"/>
      <c r="M17" s="177"/>
      <c r="N17" s="177"/>
      <c r="O17" s="177"/>
      <c r="P17" s="274"/>
      <c r="Q17" s="276"/>
      <c r="R17" s="661"/>
      <c r="S17" s="275"/>
      <c r="T17" s="277"/>
      <c r="U17" s="275"/>
      <c r="V17" s="275"/>
      <c r="W17" s="275"/>
      <c r="X17" s="662"/>
      <c r="Y17" s="662"/>
      <c r="Z17" s="663"/>
      <c r="AA17" s="663"/>
      <c r="AB17" s="664"/>
    </row>
    <row r="18" spans="1:28" s="343" customFormat="1" ht="18" customHeight="1" x14ac:dyDescent="0.2">
      <c r="A18" s="177"/>
      <c r="B18" s="177"/>
      <c r="C18" s="177"/>
      <c r="D18" s="177"/>
      <c r="E18" s="177"/>
      <c r="F18" s="177"/>
      <c r="G18" s="177"/>
      <c r="H18" s="274"/>
      <c r="I18" s="275"/>
      <c r="J18" s="275"/>
      <c r="K18" s="275"/>
      <c r="L18" s="177"/>
      <c r="M18" s="177"/>
      <c r="N18" s="177"/>
      <c r="O18" s="177"/>
      <c r="P18" s="274"/>
      <c r="Q18" s="276"/>
      <c r="R18" s="661"/>
      <c r="S18" s="275"/>
      <c r="T18" s="277"/>
      <c r="U18" s="275"/>
      <c r="V18" s="275"/>
      <c r="W18" s="275"/>
      <c r="X18" s="662"/>
      <c r="Y18" s="662"/>
      <c r="Z18" s="663"/>
      <c r="AA18" s="663"/>
      <c r="AB18" s="664"/>
    </row>
    <row r="19" spans="1:28" s="343" customFormat="1" ht="18" customHeight="1" x14ac:dyDescent="0.2">
      <c r="A19" s="177"/>
      <c r="B19" s="177"/>
      <c r="C19" s="177"/>
      <c r="D19" s="177"/>
      <c r="E19" s="177"/>
      <c r="F19" s="177"/>
      <c r="G19" s="177"/>
      <c r="H19" s="274"/>
      <c r="I19" s="275"/>
      <c r="J19" s="275"/>
      <c r="K19" s="275"/>
      <c r="L19" s="177"/>
      <c r="M19" s="177"/>
      <c r="N19" s="177"/>
      <c r="O19" s="177"/>
      <c r="P19" s="274"/>
      <c r="Q19" s="276"/>
      <c r="R19" s="661"/>
      <c r="S19" s="275"/>
      <c r="T19" s="277"/>
      <c r="U19" s="275"/>
      <c r="V19" s="275"/>
      <c r="W19" s="275"/>
      <c r="X19" s="662"/>
      <c r="Y19" s="662"/>
      <c r="Z19" s="663"/>
      <c r="AA19" s="663"/>
      <c r="AB19" s="664"/>
    </row>
    <row r="20" spans="1:28" s="343" customFormat="1" ht="18" customHeight="1" x14ac:dyDescent="0.2">
      <c r="A20" s="177"/>
      <c r="B20" s="177"/>
      <c r="C20" s="177"/>
      <c r="D20" s="177"/>
      <c r="E20" s="177"/>
      <c r="F20" s="177"/>
      <c r="G20" s="177"/>
      <c r="H20" s="274"/>
      <c r="I20" s="275"/>
      <c r="J20" s="275"/>
      <c r="K20" s="275"/>
      <c r="L20" s="177"/>
      <c r="M20" s="177"/>
      <c r="N20" s="177"/>
      <c r="O20" s="177"/>
      <c r="P20" s="274"/>
      <c r="Q20" s="276"/>
      <c r="R20" s="661"/>
      <c r="S20" s="275"/>
      <c r="T20" s="277"/>
      <c r="U20" s="275"/>
      <c r="V20" s="275"/>
      <c r="W20" s="275"/>
      <c r="X20" s="662"/>
      <c r="Y20" s="662"/>
      <c r="Z20" s="663"/>
      <c r="AA20" s="663"/>
      <c r="AB20" s="664"/>
    </row>
    <row r="21" spans="1:28" s="343" customFormat="1" ht="18" customHeight="1" x14ac:dyDescent="0.2">
      <c r="A21" s="177"/>
      <c r="B21" s="177"/>
      <c r="C21" s="177"/>
      <c r="D21" s="177"/>
      <c r="E21" s="177"/>
      <c r="F21" s="177"/>
      <c r="G21" s="177"/>
      <c r="H21" s="274"/>
      <c r="I21" s="275"/>
      <c r="J21" s="275"/>
      <c r="K21" s="275"/>
      <c r="L21" s="177"/>
      <c r="M21" s="177"/>
      <c r="N21" s="177"/>
      <c r="O21" s="177"/>
      <c r="P21" s="274"/>
      <c r="Q21" s="276"/>
      <c r="R21" s="661"/>
      <c r="S21" s="275"/>
      <c r="T21" s="277"/>
      <c r="U21" s="275"/>
      <c r="V21" s="275"/>
      <c r="W21" s="275"/>
      <c r="X21" s="662"/>
      <c r="Y21" s="662"/>
      <c r="Z21" s="663"/>
      <c r="AA21" s="663"/>
      <c r="AB21" s="664"/>
    </row>
    <row r="22" spans="1:28" s="343" customFormat="1" ht="18" customHeight="1" x14ac:dyDescent="0.2">
      <c r="A22" s="177"/>
      <c r="B22" s="177"/>
      <c r="C22" s="177"/>
      <c r="D22" s="177"/>
      <c r="E22" s="177"/>
      <c r="F22" s="177"/>
      <c r="G22" s="177"/>
      <c r="H22" s="274"/>
      <c r="I22" s="275"/>
      <c r="J22" s="275"/>
      <c r="K22" s="275"/>
      <c r="L22" s="177"/>
      <c r="M22" s="177"/>
      <c r="N22" s="177"/>
      <c r="O22" s="177"/>
      <c r="P22" s="274"/>
      <c r="Q22" s="276"/>
      <c r="R22" s="661"/>
      <c r="S22" s="275"/>
      <c r="T22" s="277"/>
      <c r="U22" s="275"/>
      <c r="V22" s="275"/>
      <c r="W22" s="275"/>
      <c r="X22" s="662"/>
      <c r="Y22" s="662"/>
      <c r="Z22" s="663"/>
      <c r="AA22" s="663"/>
      <c r="AB22" s="664"/>
    </row>
    <row r="23" spans="1:28" s="343" customFormat="1" ht="18" customHeight="1" x14ac:dyDescent="0.2">
      <c r="A23" s="177"/>
      <c r="B23" s="177"/>
      <c r="C23" s="177"/>
      <c r="D23" s="177"/>
      <c r="E23" s="177"/>
      <c r="F23" s="177"/>
      <c r="G23" s="177"/>
      <c r="H23" s="274"/>
      <c r="I23" s="275"/>
      <c r="J23" s="275"/>
      <c r="K23" s="275"/>
      <c r="L23" s="177"/>
      <c r="M23" s="177"/>
      <c r="N23" s="177"/>
      <c r="O23" s="177"/>
      <c r="P23" s="274"/>
      <c r="Q23" s="276"/>
      <c r="R23" s="661"/>
      <c r="S23" s="275"/>
      <c r="T23" s="277"/>
      <c r="U23" s="275"/>
      <c r="V23" s="275"/>
      <c r="W23" s="275"/>
      <c r="X23" s="662"/>
      <c r="Y23" s="662"/>
      <c r="Z23" s="663"/>
      <c r="AA23" s="663"/>
      <c r="AB23" s="664"/>
    </row>
    <row r="24" spans="1:28" s="343" customFormat="1" ht="18" customHeight="1" x14ac:dyDescent="0.2">
      <c r="A24" s="1878"/>
      <c r="B24" s="1878"/>
      <c r="C24" s="1878"/>
      <c r="D24" s="1878"/>
      <c r="E24" s="1878"/>
      <c r="F24" s="1878"/>
      <c r="G24" s="1878"/>
      <c r="H24" s="1979"/>
      <c r="I24" s="1865"/>
      <c r="J24" s="1865"/>
      <c r="K24" s="1865"/>
      <c r="L24" s="1865"/>
      <c r="M24" s="1865"/>
      <c r="N24" s="1865"/>
      <c r="O24" s="1865"/>
      <c r="P24" s="1865"/>
      <c r="Q24" s="1865"/>
      <c r="R24" s="1980"/>
      <c r="S24" s="1865"/>
      <c r="T24" s="1981"/>
      <c r="U24" s="1865"/>
      <c r="V24" s="1865"/>
      <c r="W24" s="1865"/>
      <c r="X24" s="1982"/>
      <c r="Y24" s="1982"/>
      <c r="Z24" s="1983"/>
      <c r="AA24" s="1983"/>
      <c r="AB24" s="1984">
        <f>SUM(AB10:AB23)</f>
        <v>290.86200000000002</v>
      </c>
    </row>
    <row r="25" spans="1:28" s="343" customFormat="1" ht="18" customHeight="1" x14ac:dyDescent="0.2">
      <c r="A25" s="2781" t="s">
        <v>76</v>
      </c>
      <c r="B25" s="2781"/>
      <c r="C25" s="2782" t="s">
        <v>77</v>
      </c>
      <c r="D25" s="2782"/>
      <c r="E25" s="2782"/>
      <c r="F25" s="2782"/>
      <c r="G25" s="2782"/>
      <c r="H25" s="2782"/>
      <c r="I25" s="697" t="s">
        <v>78</v>
      </c>
      <c r="J25" s="697"/>
      <c r="K25" s="697"/>
      <c r="L25" s="697"/>
      <c r="M25" s="697"/>
      <c r="N25" s="697"/>
      <c r="AB25" s="698"/>
    </row>
    <row r="26" spans="1:28" s="343" customFormat="1" ht="18" customHeight="1" x14ac:dyDescent="0.2">
      <c r="A26" s="697"/>
      <c r="B26" s="699"/>
      <c r="C26" s="697"/>
      <c r="D26" s="697"/>
      <c r="E26" s="697"/>
      <c r="F26" s="697"/>
      <c r="G26" s="697"/>
      <c r="H26" s="697"/>
      <c r="I26" s="697" t="s">
        <v>79</v>
      </c>
      <c r="J26" s="697"/>
      <c r="K26" s="697"/>
      <c r="L26" s="697"/>
      <c r="M26" s="697"/>
      <c r="N26" s="697"/>
      <c r="AB26" s="698"/>
    </row>
    <row r="27" spans="1:28" s="343" customFormat="1" ht="18" customHeight="1" x14ac:dyDescent="0.2">
      <c r="A27" s="697"/>
      <c r="B27" s="699"/>
      <c r="C27" s="697"/>
      <c r="D27" s="697"/>
      <c r="E27" s="697"/>
      <c r="F27" s="697"/>
      <c r="G27" s="697"/>
      <c r="H27" s="697"/>
      <c r="I27" s="697" t="s">
        <v>80</v>
      </c>
      <c r="J27" s="697"/>
      <c r="K27" s="697"/>
      <c r="L27" s="697"/>
      <c r="M27" s="697"/>
      <c r="N27" s="697"/>
      <c r="AB27" s="698"/>
    </row>
    <row r="28" spans="1:28" s="343" customFormat="1" ht="18" customHeight="1" x14ac:dyDescent="0.2">
      <c r="A28" s="697"/>
      <c r="B28" s="699"/>
      <c r="C28" s="697"/>
      <c r="D28" s="697"/>
      <c r="E28" s="697"/>
      <c r="F28" s="697"/>
      <c r="G28" s="697"/>
      <c r="H28" s="697"/>
      <c r="I28" s="697" t="s">
        <v>81</v>
      </c>
      <c r="J28" s="697"/>
      <c r="K28" s="697"/>
      <c r="L28" s="697"/>
      <c r="M28" s="697"/>
      <c r="N28" s="697"/>
      <c r="AB28" s="698"/>
    </row>
    <row r="29" spans="1:28" s="343" customFormat="1" ht="18" customHeight="1" x14ac:dyDescent="0.2">
      <c r="A29" s="697"/>
      <c r="B29" s="699"/>
      <c r="C29" s="697"/>
      <c r="D29" s="697"/>
      <c r="E29" s="697"/>
      <c r="F29" s="697"/>
      <c r="G29" s="697"/>
      <c r="H29" s="697"/>
      <c r="I29" s="697" t="s">
        <v>88</v>
      </c>
      <c r="J29" s="697"/>
      <c r="K29" s="697"/>
      <c r="L29" s="697"/>
      <c r="M29" s="697"/>
      <c r="N29" s="697"/>
      <c r="AB29" s="698"/>
    </row>
    <row r="30" spans="1:28" s="343" customFormat="1" ht="18" customHeight="1" x14ac:dyDescent="0.2">
      <c r="A30" s="697"/>
      <c r="B30" s="699"/>
      <c r="C30" s="697"/>
      <c r="D30" s="697"/>
      <c r="E30" s="697"/>
      <c r="F30" s="697"/>
      <c r="G30" s="697"/>
      <c r="H30" s="697"/>
      <c r="I30" s="697"/>
      <c r="J30" s="697"/>
      <c r="K30" s="697"/>
      <c r="L30" s="697"/>
      <c r="M30" s="697"/>
      <c r="N30" s="697"/>
      <c r="AB30" s="698"/>
    </row>
    <row r="31" spans="1:28" s="352" customFormat="1" ht="18" customHeight="1" x14ac:dyDescent="0.2">
      <c r="A31" s="338"/>
      <c r="B31" s="338"/>
      <c r="C31" s="338"/>
      <c r="D31" s="338"/>
      <c r="E31" s="338"/>
      <c r="F31" s="338"/>
      <c r="G31" s="338"/>
      <c r="H31" s="338"/>
      <c r="I31" s="338"/>
      <c r="J31" s="338"/>
      <c r="K31" s="338"/>
      <c r="L31" s="338"/>
      <c r="M31" s="338"/>
      <c r="N31" s="338"/>
      <c r="O31" s="338"/>
      <c r="P31" s="338"/>
      <c r="Q31" s="338"/>
      <c r="R31" s="338"/>
      <c r="S31" s="338"/>
      <c r="T31" s="338"/>
      <c r="U31" s="338"/>
      <c r="V31" s="338"/>
      <c r="W31" s="338"/>
      <c r="X31" s="338"/>
      <c r="Y31" s="338"/>
      <c r="Z31" s="338"/>
      <c r="AA31" s="2774" t="s">
        <v>0</v>
      </c>
      <c r="AB31" s="2774"/>
    </row>
    <row r="32" spans="1:28" s="352" customFormat="1" ht="18" customHeight="1" x14ac:dyDescent="0.2">
      <c r="A32" s="2703" t="s">
        <v>1</v>
      </c>
      <c r="B32" s="2703"/>
      <c r="C32" s="2703"/>
      <c r="D32" s="2703"/>
      <c r="E32" s="2703"/>
      <c r="F32" s="2703"/>
      <c r="G32" s="2703"/>
      <c r="H32" s="2703"/>
      <c r="I32" s="2703"/>
      <c r="J32" s="2703"/>
      <c r="K32" s="2703"/>
      <c r="L32" s="2703"/>
      <c r="M32" s="2703"/>
      <c r="N32" s="2703"/>
      <c r="O32" s="2703"/>
      <c r="P32" s="2703"/>
      <c r="Q32" s="2703"/>
      <c r="R32" s="2703"/>
      <c r="S32" s="2703"/>
      <c r="T32" s="2703"/>
      <c r="U32" s="2703"/>
      <c r="V32" s="2703"/>
      <c r="W32" s="2703"/>
      <c r="X32" s="2703"/>
      <c r="Y32" s="2703"/>
      <c r="Z32" s="2703"/>
      <c r="AA32" s="2703"/>
      <c r="AB32" s="2703"/>
    </row>
    <row r="33" spans="1:28" s="352" customFormat="1" ht="18" customHeight="1" x14ac:dyDescent="0.2">
      <c r="A33" s="2780" t="s">
        <v>604</v>
      </c>
      <c r="B33" s="2780"/>
      <c r="C33" s="2780"/>
      <c r="D33" s="2780"/>
      <c r="E33" s="2780"/>
      <c r="F33" s="2780"/>
      <c r="G33" s="2780"/>
      <c r="H33" s="2780"/>
      <c r="I33" s="2780"/>
      <c r="J33" s="2780"/>
      <c r="K33" s="2780"/>
      <c r="L33" s="2780"/>
      <c r="M33" s="2780"/>
      <c r="N33" s="2780"/>
      <c r="O33" s="2780"/>
      <c r="P33" s="2780"/>
      <c r="Q33" s="2780"/>
      <c r="R33" s="2780"/>
      <c r="S33" s="2780"/>
      <c r="T33" s="2780"/>
      <c r="U33" s="2780"/>
      <c r="V33" s="2780"/>
      <c r="W33" s="2780"/>
      <c r="X33" s="2780"/>
      <c r="Y33" s="2780"/>
      <c r="Z33" s="2780"/>
      <c r="AA33" s="2780"/>
      <c r="AB33" s="2780"/>
    </row>
    <row r="34" spans="1:28" s="352" customFormat="1" ht="18" customHeight="1" x14ac:dyDescent="0.2">
      <c r="A34" s="2686" t="s">
        <v>2</v>
      </c>
      <c r="B34" s="360"/>
      <c r="C34" s="2686" t="s">
        <v>3</v>
      </c>
      <c r="D34" s="360"/>
      <c r="E34" s="360"/>
      <c r="F34" s="2693" t="s">
        <v>4</v>
      </c>
      <c r="G34" s="2693"/>
      <c r="H34" s="2693"/>
      <c r="I34" s="2694"/>
      <c r="J34" s="2694"/>
      <c r="K34" s="2695"/>
      <c r="L34" s="361"/>
      <c r="M34" s="2679" t="s">
        <v>5</v>
      </c>
      <c r="N34" s="2679"/>
      <c r="O34" s="2679"/>
      <c r="P34" s="2679"/>
      <c r="Q34" s="2696"/>
      <c r="R34" s="2696"/>
      <c r="S34" s="2696"/>
      <c r="T34" s="2696"/>
      <c r="U34" s="2696"/>
      <c r="V34" s="2697"/>
      <c r="W34" s="362" t="s">
        <v>6</v>
      </c>
      <c r="X34" s="363" t="s">
        <v>7</v>
      </c>
      <c r="Y34" s="364"/>
      <c r="Z34" s="364"/>
      <c r="AA34" s="363"/>
      <c r="AB34" s="365"/>
    </row>
    <row r="35" spans="1:28" s="352" customFormat="1" ht="18" customHeight="1" x14ac:dyDescent="0.2">
      <c r="A35" s="2687"/>
      <c r="B35" s="367"/>
      <c r="C35" s="2687"/>
      <c r="D35" s="2158" t="s">
        <v>9</v>
      </c>
      <c r="E35" s="368" t="s">
        <v>10</v>
      </c>
      <c r="F35" s="2698" t="s">
        <v>11</v>
      </c>
      <c r="G35" s="2694"/>
      <c r="H35" s="2695"/>
      <c r="I35" s="360"/>
      <c r="J35" s="369" t="s">
        <v>12</v>
      </c>
      <c r="K35" s="360"/>
      <c r="L35" s="2679" t="s">
        <v>2</v>
      </c>
      <c r="M35" s="2162"/>
      <c r="N35" s="2162"/>
      <c r="O35" s="2162"/>
      <c r="P35" s="371"/>
      <c r="Q35" s="372" t="s">
        <v>13</v>
      </c>
      <c r="R35" s="373" t="s">
        <v>12</v>
      </c>
      <c r="S35" s="2162" t="s">
        <v>6</v>
      </c>
      <c r="T35" s="2682" t="s">
        <v>14</v>
      </c>
      <c r="U35" s="2683"/>
      <c r="V35" s="375" t="s">
        <v>7</v>
      </c>
      <c r="W35" s="376" t="s">
        <v>15</v>
      </c>
      <c r="X35" s="377" t="s">
        <v>16</v>
      </c>
      <c r="Y35" s="377" t="s">
        <v>17</v>
      </c>
      <c r="Z35" s="377" t="s">
        <v>18</v>
      </c>
      <c r="AA35" s="377"/>
      <c r="AB35" s="378" t="s">
        <v>19</v>
      </c>
    </row>
    <row r="36" spans="1:28" s="352" customFormat="1" ht="18" customHeight="1" x14ac:dyDescent="0.2">
      <c r="A36" s="2687"/>
      <c r="B36" s="2158" t="s">
        <v>23</v>
      </c>
      <c r="C36" s="2687"/>
      <c r="D36" s="2158" t="s">
        <v>24</v>
      </c>
      <c r="E36" s="368" t="s">
        <v>25</v>
      </c>
      <c r="F36" s="2699"/>
      <c r="G36" s="2700"/>
      <c r="H36" s="2701"/>
      <c r="I36" s="2158" t="s">
        <v>26</v>
      </c>
      <c r="J36" s="379" t="s">
        <v>15</v>
      </c>
      <c r="K36" s="2159" t="s">
        <v>6</v>
      </c>
      <c r="L36" s="2680"/>
      <c r="M36" s="2163" t="s">
        <v>27</v>
      </c>
      <c r="N36" s="2163" t="s">
        <v>10</v>
      </c>
      <c r="O36" s="382" t="s">
        <v>10</v>
      </c>
      <c r="P36" s="383" t="s">
        <v>28</v>
      </c>
      <c r="Q36" s="384" t="s">
        <v>29</v>
      </c>
      <c r="R36" s="383" t="s">
        <v>15</v>
      </c>
      <c r="S36" s="385" t="s">
        <v>15</v>
      </c>
      <c r="T36" s="2684"/>
      <c r="U36" s="2685"/>
      <c r="V36" s="375" t="s">
        <v>30</v>
      </c>
      <c r="W36" s="376" t="s">
        <v>31</v>
      </c>
      <c r="X36" s="377" t="s">
        <v>30</v>
      </c>
      <c r="Y36" s="377" t="s">
        <v>32</v>
      </c>
      <c r="Z36" s="377" t="s">
        <v>7</v>
      </c>
      <c r="AA36" s="377" t="s">
        <v>33</v>
      </c>
      <c r="AB36" s="378" t="s">
        <v>34</v>
      </c>
    </row>
    <row r="37" spans="1:28" s="352" customFormat="1" ht="18" customHeight="1" x14ac:dyDescent="0.2">
      <c r="A37" s="2687"/>
      <c r="B37" s="2158" t="s">
        <v>39</v>
      </c>
      <c r="C37" s="2687"/>
      <c r="D37" s="2158" t="s">
        <v>40</v>
      </c>
      <c r="E37" s="368" t="s">
        <v>41</v>
      </c>
      <c r="F37" s="2686" t="s">
        <v>42</v>
      </c>
      <c r="G37" s="2686" t="s">
        <v>43</v>
      </c>
      <c r="H37" s="2688" t="s">
        <v>44</v>
      </c>
      <c r="I37" s="2158" t="s">
        <v>45</v>
      </c>
      <c r="J37" s="379" t="s">
        <v>46</v>
      </c>
      <c r="K37" s="2159" t="s">
        <v>47</v>
      </c>
      <c r="L37" s="2680"/>
      <c r="M37" s="2163" t="s">
        <v>30</v>
      </c>
      <c r="N37" s="2163" t="s">
        <v>30</v>
      </c>
      <c r="O37" s="382" t="s">
        <v>25</v>
      </c>
      <c r="P37" s="383" t="s">
        <v>30</v>
      </c>
      <c r="Q37" s="384" t="s">
        <v>48</v>
      </c>
      <c r="R37" s="383" t="s">
        <v>49</v>
      </c>
      <c r="S37" s="385" t="s">
        <v>30</v>
      </c>
      <c r="T37" s="386" t="s">
        <v>50</v>
      </c>
      <c r="U37" s="2161" t="s">
        <v>13</v>
      </c>
      <c r="V37" s="375" t="s">
        <v>51</v>
      </c>
      <c r="W37" s="376" t="s">
        <v>52</v>
      </c>
      <c r="X37" s="377" t="s">
        <v>53</v>
      </c>
      <c r="Y37" s="377" t="s">
        <v>54</v>
      </c>
      <c r="Z37" s="377" t="s">
        <v>55</v>
      </c>
      <c r="AA37" s="377" t="s">
        <v>56</v>
      </c>
      <c r="AB37" s="378" t="s">
        <v>57</v>
      </c>
    </row>
    <row r="38" spans="1:28" s="352" customFormat="1" ht="18" customHeight="1" x14ac:dyDescent="0.2">
      <c r="A38" s="2687"/>
      <c r="B38" s="2158" t="s">
        <v>61</v>
      </c>
      <c r="C38" s="2687"/>
      <c r="D38" s="2158" t="s">
        <v>62</v>
      </c>
      <c r="E38" s="368" t="s">
        <v>63</v>
      </c>
      <c r="F38" s="2687"/>
      <c r="G38" s="2687"/>
      <c r="H38" s="2689"/>
      <c r="I38" s="2158" t="s">
        <v>64</v>
      </c>
      <c r="J38" s="379" t="s">
        <v>59</v>
      </c>
      <c r="K38" s="2159" t="s">
        <v>59</v>
      </c>
      <c r="L38" s="2680"/>
      <c r="M38" s="2163"/>
      <c r="N38" s="2163"/>
      <c r="O38" s="382" t="s">
        <v>41</v>
      </c>
      <c r="P38" s="383" t="s">
        <v>65</v>
      </c>
      <c r="Q38" s="384" t="s">
        <v>66</v>
      </c>
      <c r="R38" s="383" t="s">
        <v>67</v>
      </c>
      <c r="S38" s="385" t="s">
        <v>59</v>
      </c>
      <c r="T38" s="387" t="s">
        <v>68</v>
      </c>
      <c r="U38" s="375" t="s">
        <v>14</v>
      </c>
      <c r="V38" s="375" t="s">
        <v>14</v>
      </c>
      <c r="W38" s="376" t="s">
        <v>30</v>
      </c>
      <c r="X38" s="388" t="s">
        <v>69</v>
      </c>
      <c r="Y38" s="388" t="s">
        <v>70</v>
      </c>
      <c r="Z38" s="377" t="s">
        <v>71</v>
      </c>
      <c r="AA38" s="377" t="s">
        <v>72</v>
      </c>
      <c r="AB38" s="378" t="s">
        <v>59</v>
      </c>
    </row>
    <row r="39" spans="1:28" s="352" customFormat="1" ht="18" customHeight="1" x14ac:dyDescent="0.2">
      <c r="A39" s="2692"/>
      <c r="B39" s="390"/>
      <c r="C39" s="2692"/>
      <c r="D39" s="390"/>
      <c r="E39" s="2160"/>
      <c r="F39" s="390"/>
      <c r="G39" s="390"/>
      <c r="H39" s="391"/>
      <c r="I39" s="2160"/>
      <c r="J39" s="392"/>
      <c r="K39" s="393"/>
      <c r="L39" s="2681"/>
      <c r="M39" s="2164"/>
      <c r="N39" s="2164"/>
      <c r="O39" s="2164" t="s">
        <v>63</v>
      </c>
      <c r="P39" s="395"/>
      <c r="Q39" s="396" t="s">
        <v>72</v>
      </c>
      <c r="R39" s="397" t="s">
        <v>59</v>
      </c>
      <c r="S39" s="398"/>
      <c r="T39" s="397" t="s">
        <v>73</v>
      </c>
      <c r="U39" s="398" t="s">
        <v>59</v>
      </c>
      <c r="V39" s="399" t="s">
        <v>59</v>
      </c>
      <c r="W39" s="400" t="s">
        <v>59</v>
      </c>
      <c r="X39" s="401" t="s">
        <v>59</v>
      </c>
      <c r="Y39" s="401" t="s">
        <v>59</v>
      </c>
      <c r="Z39" s="401" t="s">
        <v>59</v>
      </c>
      <c r="AA39" s="402"/>
      <c r="AB39" s="403"/>
    </row>
    <row r="40" spans="1:28" s="352" customFormat="1" ht="18" customHeight="1" x14ac:dyDescent="0.25">
      <c r="A40" s="242">
        <v>1</v>
      </c>
      <c r="B40" s="269">
        <v>57488</v>
      </c>
      <c r="C40" s="285" t="s">
        <v>114</v>
      </c>
      <c r="D40" s="273" t="s">
        <v>84</v>
      </c>
      <c r="E40" s="15">
        <v>5</v>
      </c>
      <c r="F40" s="268">
        <v>1</v>
      </c>
      <c r="G40" s="269">
        <v>0</v>
      </c>
      <c r="H40" s="266">
        <v>13.4</v>
      </c>
      <c r="I40" s="296">
        <f t="shared" ref="I40" si="0">F40*400+G40*100+H40</f>
        <v>413.4</v>
      </c>
      <c r="J40" s="759">
        <v>2000</v>
      </c>
      <c r="K40" s="297">
        <f t="shared" ref="K40" si="1">SUM(I40*J40)</f>
        <v>826800</v>
      </c>
      <c r="L40" s="45">
        <v>1</v>
      </c>
      <c r="M40" s="61">
        <v>106</v>
      </c>
      <c r="N40" s="50" t="s">
        <v>96</v>
      </c>
      <c r="O40" s="50">
        <v>2</v>
      </c>
      <c r="P40" s="337">
        <f>12*13.15</f>
        <v>157.80000000000001</v>
      </c>
      <c r="Q40" s="62" t="s">
        <v>234</v>
      </c>
      <c r="R40" s="296">
        <v>7950</v>
      </c>
      <c r="S40" s="296">
        <f>+P40*R40</f>
        <v>1254510</v>
      </c>
      <c r="T40" s="298">
        <v>11</v>
      </c>
      <c r="U40" s="299">
        <f>+S40*0.34</f>
        <v>426533.4</v>
      </c>
      <c r="V40" s="299">
        <f>SUM(S40-U40)</f>
        <v>827976.6</v>
      </c>
      <c r="W40" s="296">
        <f>+K40+V40</f>
        <v>1654776.6</v>
      </c>
      <c r="X40" s="299">
        <f>(W40+W41)*0.6</f>
        <v>1184001.96</v>
      </c>
      <c r="Y40" s="296" t="s">
        <v>89</v>
      </c>
      <c r="Z40" s="296">
        <v>0</v>
      </c>
      <c r="AA40" s="494">
        <v>0.02</v>
      </c>
      <c r="AB40" s="406">
        <f>+Z40*AA40/100</f>
        <v>0</v>
      </c>
    </row>
    <row r="41" spans="1:28" s="352" customFormat="1" ht="18" customHeight="1" x14ac:dyDescent="0.25">
      <c r="A41" s="242"/>
      <c r="B41" s="269"/>
      <c r="C41" s="285"/>
      <c r="D41" s="273"/>
      <c r="E41" s="273"/>
      <c r="F41" s="268"/>
      <c r="G41" s="269"/>
      <c r="H41" s="266"/>
      <c r="I41" s="296"/>
      <c r="J41" s="324"/>
      <c r="K41" s="330"/>
      <c r="L41" s="269">
        <v>2</v>
      </c>
      <c r="M41" s="242">
        <v>103</v>
      </c>
      <c r="N41" s="50" t="s">
        <v>74</v>
      </c>
      <c r="O41" s="50">
        <v>3</v>
      </c>
      <c r="P41" s="337">
        <f>8*5</f>
        <v>40</v>
      </c>
      <c r="Q41" s="62" t="s">
        <v>235</v>
      </c>
      <c r="R41" s="296">
        <v>9050</v>
      </c>
      <c r="S41" s="296">
        <f>+P41*R41</f>
        <v>362000</v>
      </c>
      <c r="T41" s="298">
        <v>11</v>
      </c>
      <c r="U41" s="299">
        <f>+S41*0.12</f>
        <v>43440</v>
      </c>
      <c r="V41" s="299">
        <f>SUM(S41-U41)</f>
        <v>318560</v>
      </c>
      <c r="W41" s="296">
        <f>+K41+V41</f>
        <v>318560</v>
      </c>
      <c r="X41" s="299">
        <f>(W41+W42)*0.4</f>
        <v>127424</v>
      </c>
      <c r="Y41" s="296"/>
      <c r="Z41" s="296">
        <f>+X41</f>
        <v>127424</v>
      </c>
      <c r="AA41" s="494">
        <v>0.3</v>
      </c>
      <c r="AB41" s="415">
        <f>+Z41*AA41/100</f>
        <v>382.27199999999999</v>
      </c>
    </row>
    <row r="42" spans="1:28" s="352" customFormat="1" ht="18" customHeight="1" x14ac:dyDescent="0.2">
      <c r="A42" s="242"/>
      <c r="B42" s="242"/>
      <c r="C42" s="496"/>
      <c r="D42" s="85"/>
      <c r="E42" s="85"/>
      <c r="F42" s="411"/>
      <c r="G42" s="242"/>
      <c r="H42" s="497"/>
      <c r="I42" s="77"/>
      <c r="J42" s="761"/>
      <c r="K42" s="762"/>
      <c r="L42" s="242"/>
      <c r="M42" s="2166"/>
      <c r="N42" s="61"/>
      <c r="O42" s="61"/>
      <c r="P42" s="2166"/>
      <c r="Q42" s="174"/>
      <c r="R42" s="408"/>
      <c r="S42" s="77"/>
      <c r="T42" s="135"/>
      <c r="U42" s="74"/>
      <c r="V42" s="74"/>
      <c r="W42" s="77"/>
      <c r="X42" s="74"/>
      <c r="Y42" s="77"/>
      <c r="Z42" s="77"/>
      <c r="AA42" s="2170"/>
      <c r="AB42" s="415"/>
    </row>
    <row r="43" spans="1:28" s="352" customFormat="1" ht="18" customHeight="1" x14ac:dyDescent="0.2">
      <c r="A43" s="242"/>
      <c r="B43" s="242"/>
      <c r="C43" s="496"/>
      <c r="D43" s="85"/>
      <c r="E43" s="85"/>
      <c r="F43" s="411"/>
      <c r="G43" s="242"/>
      <c r="H43" s="497"/>
      <c r="I43" s="77"/>
      <c r="J43" s="761"/>
      <c r="K43" s="762"/>
      <c r="L43" s="242"/>
      <c r="M43" s="2166"/>
      <c r="N43" s="2166"/>
      <c r="O43" s="61"/>
      <c r="P43" s="2166"/>
      <c r="Q43" s="174"/>
      <c r="R43" s="408"/>
      <c r="S43" s="77"/>
      <c r="T43" s="135"/>
      <c r="U43" s="74"/>
      <c r="V43" s="74"/>
      <c r="W43" s="77"/>
      <c r="X43" s="74"/>
      <c r="Y43" s="77"/>
      <c r="Z43" s="77"/>
      <c r="AA43" s="2170"/>
      <c r="AB43" s="415"/>
    </row>
    <row r="44" spans="1:28" s="352" customFormat="1" ht="18" customHeight="1" x14ac:dyDescent="0.2">
      <c r="A44" s="242"/>
      <c r="B44" s="242"/>
      <c r="C44" s="496"/>
      <c r="D44" s="85"/>
      <c r="E44" s="85"/>
      <c r="F44" s="411"/>
      <c r="G44" s="242"/>
      <c r="H44" s="497"/>
      <c r="I44" s="77"/>
      <c r="J44" s="761"/>
      <c r="K44" s="762"/>
      <c r="L44" s="242"/>
      <c r="M44" s="2166"/>
      <c r="N44" s="2166"/>
      <c r="O44" s="61"/>
      <c r="P44" s="2166"/>
      <c r="Q44" s="174"/>
      <c r="R44" s="408"/>
      <c r="S44" s="77"/>
      <c r="T44" s="135"/>
      <c r="U44" s="74"/>
      <c r="V44" s="74"/>
      <c r="W44" s="77"/>
      <c r="X44" s="74"/>
      <c r="Y44" s="77"/>
      <c r="Z44" s="77"/>
      <c r="AA44" s="2170"/>
      <c r="AB44" s="410"/>
    </row>
    <row r="45" spans="1:28" s="352" customFormat="1" ht="18" customHeight="1" x14ac:dyDescent="0.2">
      <c r="A45" s="242"/>
      <c r="B45" s="242"/>
      <c r="C45" s="496"/>
      <c r="D45" s="85"/>
      <c r="E45" s="85"/>
      <c r="F45" s="411"/>
      <c r="G45" s="242"/>
      <c r="H45" s="497"/>
      <c r="I45" s="77"/>
      <c r="J45" s="761"/>
      <c r="K45" s="762"/>
      <c r="L45" s="242"/>
      <c r="M45" s="242"/>
      <c r="N45" s="242"/>
      <c r="O45" s="242"/>
      <c r="P45" s="497"/>
      <c r="Q45" s="174"/>
      <c r="R45" s="408"/>
      <c r="S45" s="77"/>
      <c r="T45" s="135"/>
      <c r="U45" s="74"/>
      <c r="V45" s="74"/>
      <c r="W45" s="77"/>
      <c r="X45" s="74"/>
      <c r="Y45" s="77"/>
      <c r="Z45" s="77"/>
      <c r="AA45" s="414"/>
      <c r="AB45" s="506"/>
    </row>
    <row r="46" spans="1:28" s="352" customFormat="1" ht="18" customHeight="1" x14ac:dyDescent="0.2">
      <c r="A46" s="2166"/>
      <c r="B46" s="177"/>
      <c r="C46" s="177"/>
      <c r="D46" s="2166"/>
      <c r="E46" s="2166"/>
      <c r="F46" s="2166"/>
      <c r="G46" s="2166"/>
      <c r="H46" s="2171"/>
      <c r="I46" s="2168"/>
      <c r="J46" s="178"/>
      <c r="K46" s="2168"/>
      <c r="L46" s="2166"/>
      <c r="M46" s="2166"/>
      <c r="N46" s="2166"/>
      <c r="O46" s="2166"/>
      <c r="P46" s="2171"/>
      <c r="Q46" s="2167"/>
      <c r="R46" s="437"/>
      <c r="S46" s="2168"/>
      <c r="T46" s="179"/>
      <c r="U46" s="178"/>
      <c r="V46" s="2168"/>
      <c r="W46" s="2168"/>
      <c r="X46" s="470"/>
      <c r="Y46" s="470"/>
      <c r="Z46" s="471"/>
      <c r="AA46" s="471"/>
      <c r="AB46" s="466"/>
    </row>
    <row r="47" spans="1:28" s="352" customFormat="1" ht="18" customHeight="1" x14ac:dyDescent="0.2">
      <c r="A47" s="2166"/>
      <c r="B47" s="177"/>
      <c r="C47" s="177"/>
      <c r="D47" s="2166"/>
      <c r="E47" s="2166"/>
      <c r="F47" s="2166"/>
      <c r="G47" s="2166"/>
      <c r="H47" s="2171"/>
      <c r="I47" s="2168"/>
      <c r="J47" s="178"/>
      <c r="K47" s="2168"/>
      <c r="L47" s="2166"/>
      <c r="M47" s="2166"/>
      <c r="N47" s="2166"/>
      <c r="O47" s="2166"/>
      <c r="P47" s="2171"/>
      <c r="Q47" s="2167"/>
      <c r="R47" s="437"/>
      <c r="S47" s="2168"/>
      <c r="T47" s="179"/>
      <c r="U47" s="178"/>
      <c r="V47" s="2168"/>
      <c r="W47" s="2168"/>
      <c r="X47" s="470"/>
      <c r="Y47" s="470"/>
      <c r="Z47" s="471"/>
      <c r="AA47" s="471"/>
      <c r="AB47" s="466"/>
    </row>
    <row r="48" spans="1:28" s="352" customFormat="1" ht="18" customHeight="1" x14ac:dyDescent="0.2">
      <c r="A48" s="2166"/>
      <c r="B48" s="177"/>
      <c r="C48" s="177"/>
      <c r="D48" s="2166"/>
      <c r="E48" s="2166"/>
      <c r="F48" s="2166"/>
      <c r="G48" s="2166"/>
      <c r="H48" s="2171"/>
      <c r="I48" s="2168"/>
      <c r="J48" s="178"/>
      <c r="K48" s="2168"/>
      <c r="L48" s="2166"/>
      <c r="M48" s="2166"/>
      <c r="N48" s="2166"/>
      <c r="O48" s="2166"/>
      <c r="P48" s="2171"/>
      <c r="Q48" s="2167"/>
      <c r="R48" s="437"/>
      <c r="S48" s="2168"/>
      <c r="T48" s="179"/>
      <c r="U48" s="178"/>
      <c r="V48" s="2168"/>
      <c r="W48" s="2168"/>
      <c r="X48" s="470"/>
      <c r="Y48" s="470"/>
      <c r="Z48" s="471"/>
      <c r="AA48" s="471"/>
      <c r="AB48" s="466"/>
    </row>
    <row r="49" spans="1:28" s="352" customFormat="1" ht="18" customHeight="1" x14ac:dyDescent="0.2">
      <c r="A49" s="2166"/>
      <c r="B49" s="177"/>
      <c r="C49" s="177"/>
      <c r="D49" s="2166"/>
      <c r="E49" s="2166"/>
      <c r="F49" s="2166"/>
      <c r="G49" s="2166"/>
      <c r="H49" s="2171"/>
      <c r="I49" s="2168"/>
      <c r="J49" s="178"/>
      <c r="K49" s="2168"/>
      <c r="L49" s="2166"/>
      <c r="M49" s="2166"/>
      <c r="N49" s="2166"/>
      <c r="O49" s="2166"/>
      <c r="P49" s="2171"/>
      <c r="Q49" s="2167"/>
      <c r="R49" s="437"/>
      <c r="S49" s="2168"/>
      <c r="T49" s="179"/>
      <c r="U49" s="178"/>
      <c r="V49" s="2168"/>
      <c r="W49" s="2168"/>
      <c r="X49" s="470"/>
      <c r="Y49" s="470"/>
      <c r="Z49" s="471"/>
      <c r="AA49" s="471"/>
      <c r="AB49" s="466"/>
    </row>
    <row r="50" spans="1:28" s="352" customFormat="1" ht="18" customHeight="1" x14ac:dyDescent="0.2">
      <c r="A50" s="2166"/>
      <c r="B50" s="177"/>
      <c r="C50" s="177"/>
      <c r="D50" s="2166"/>
      <c r="E50" s="2166"/>
      <c r="F50" s="2166"/>
      <c r="G50" s="2166"/>
      <c r="H50" s="2171"/>
      <c r="I50" s="2168"/>
      <c r="J50" s="178"/>
      <c r="K50" s="2168"/>
      <c r="L50" s="2166"/>
      <c r="M50" s="2166"/>
      <c r="N50" s="2166"/>
      <c r="O50" s="2166"/>
      <c r="P50" s="2171"/>
      <c r="Q50" s="2167"/>
      <c r="R50" s="437"/>
      <c r="S50" s="2168"/>
      <c r="T50" s="179"/>
      <c r="U50" s="178"/>
      <c r="V50" s="2168"/>
      <c r="W50" s="2168"/>
      <c r="X50" s="470"/>
      <c r="Y50" s="470"/>
      <c r="Z50" s="471"/>
      <c r="AA50" s="471"/>
      <c r="AB50" s="466"/>
    </row>
    <row r="51" spans="1:28" s="352" customFormat="1" ht="18" customHeight="1" x14ac:dyDescent="0.2">
      <c r="A51" s="2166"/>
      <c r="B51" s="177"/>
      <c r="C51" s="177"/>
      <c r="D51" s="2166"/>
      <c r="E51" s="2166"/>
      <c r="F51" s="2166"/>
      <c r="G51" s="2166"/>
      <c r="H51" s="2171"/>
      <c r="I51" s="2168"/>
      <c r="J51" s="178"/>
      <c r="K51" s="2168"/>
      <c r="L51" s="2166"/>
      <c r="M51" s="2166"/>
      <c r="N51" s="2166"/>
      <c r="O51" s="2166"/>
      <c r="P51" s="2171"/>
      <c r="Q51" s="2167"/>
      <c r="R51" s="437"/>
      <c r="S51" s="2168"/>
      <c r="T51" s="179"/>
      <c r="U51" s="178"/>
      <c r="V51" s="2168"/>
      <c r="W51" s="2168"/>
      <c r="X51" s="470"/>
      <c r="Y51" s="470"/>
      <c r="Z51" s="471"/>
      <c r="AA51" s="471"/>
      <c r="AB51" s="466"/>
    </row>
    <row r="52" spans="1:28" s="352" customFormat="1" ht="18" customHeight="1" x14ac:dyDescent="0.2">
      <c r="A52" s="88"/>
      <c r="B52" s="180"/>
      <c r="C52" s="180"/>
      <c r="D52" s="88"/>
      <c r="E52" s="88"/>
      <c r="F52" s="88"/>
      <c r="G52" s="88"/>
      <c r="H52" s="120"/>
      <c r="I52" s="121"/>
      <c r="J52" s="181"/>
      <c r="K52" s="121"/>
      <c r="L52" s="88"/>
      <c r="M52" s="88"/>
      <c r="N52" s="88"/>
      <c r="O52" s="88"/>
      <c r="P52" s="88"/>
      <c r="Q52" s="129"/>
      <c r="R52" s="445"/>
      <c r="S52" s="121"/>
      <c r="T52" s="182"/>
      <c r="U52" s="181"/>
      <c r="V52" s="121"/>
      <c r="W52" s="121"/>
      <c r="X52" s="472"/>
      <c r="Y52" s="472"/>
      <c r="Z52" s="473"/>
      <c r="AA52" s="473"/>
      <c r="AB52" s="410"/>
    </row>
    <row r="53" spans="1:28" s="352" customFormat="1" ht="18" customHeight="1" x14ac:dyDescent="0.2">
      <c r="A53" s="1850"/>
      <c r="B53" s="1850"/>
      <c r="C53" s="1850"/>
      <c r="D53" s="1850"/>
      <c r="E53" s="1850"/>
      <c r="F53" s="1850"/>
      <c r="G53" s="1850"/>
      <c r="H53" s="1851"/>
      <c r="I53" s="1852"/>
      <c r="J53" s="1853"/>
      <c r="K53" s="1852"/>
      <c r="L53" s="1852"/>
      <c r="M53" s="1852"/>
      <c r="N53" s="1852"/>
      <c r="O53" s="1852"/>
      <c r="P53" s="1852"/>
      <c r="Q53" s="1852"/>
      <c r="R53" s="1854"/>
      <c r="S53" s="1852"/>
      <c r="T53" s="1855"/>
      <c r="U53" s="1853"/>
      <c r="V53" s="1852"/>
      <c r="W53" s="1852"/>
      <c r="X53" s="1856"/>
      <c r="Y53" s="1856"/>
      <c r="Z53" s="1857"/>
      <c r="AA53" s="1857"/>
      <c r="AB53" s="1847">
        <f>SUM(AB40:AB52)</f>
        <v>382.27199999999999</v>
      </c>
    </row>
    <row r="54" spans="1:28" s="352" customFormat="1" ht="18" customHeight="1" x14ac:dyDescent="0.2">
      <c r="A54" s="2778" t="s">
        <v>76</v>
      </c>
      <c r="B54" s="2778"/>
      <c r="C54" s="2779" t="s">
        <v>77</v>
      </c>
      <c r="D54" s="2779"/>
      <c r="E54" s="2779"/>
      <c r="F54" s="2779"/>
      <c r="G54" s="2779"/>
      <c r="H54" s="2779"/>
      <c r="I54" s="424" t="s">
        <v>78</v>
      </c>
      <c r="J54" s="424"/>
      <c r="K54" s="424"/>
      <c r="L54" s="424"/>
      <c r="M54" s="424"/>
      <c r="N54" s="424"/>
      <c r="AB54" s="425"/>
    </row>
    <row r="55" spans="1:28" s="352" customFormat="1" ht="18" customHeight="1" x14ac:dyDescent="0.2">
      <c r="A55" s="424"/>
      <c r="B55" s="426"/>
      <c r="C55" s="424"/>
      <c r="D55" s="424"/>
      <c r="E55" s="424"/>
      <c r="F55" s="424"/>
      <c r="G55" s="424"/>
      <c r="H55" s="424"/>
      <c r="I55" s="424" t="s">
        <v>79</v>
      </c>
      <c r="J55" s="424"/>
      <c r="K55" s="424"/>
      <c r="L55" s="424"/>
      <c r="M55" s="424"/>
      <c r="N55" s="424"/>
      <c r="AB55" s="425"/>
    </row>
    <row r="56" spans="1:28" s="352" customFormat="1" ht="18" customHeight="1" x14ac:dyDescent="0.2">
      <c r="A56" s="424"/>
      <c r="B56" s="426"/>
      <c r="C56" s="424"/>
      <c r="D56" s="424"/>
      <c r="E56" s="424"/>
      <c r="F56" s="424"/>
      <c r="G56" s="424"/>
      <c r="H56" s="424"/>
      <c r="I56" s="424" t="s">
        <v>80</v>
      </c>
      <c r="J56" s="424"/>
      <c r="K56" s="424"/>
      <c r="L56" s="424"/>
      <c r="M56" s="424"/>
      <c r="N56" s="424"/>
      <c r="AB56" s="425"/>
    </row>
    <row r="57" spans="1:28" s="352" customFormat="1" ht="18" customHeight="1" x14ac:dyDescent="0.2">
      <c r="A57" s="424"/>
      <c r="B57" s="426"/>
      <c r="C57" s="424"/>
      <c r="D57" s="424"/>
      <c r="E57" s="424"/>
      <c r="F57" s="424"/>
      <c r="G57" s="424"/>
      <c r="H57" s="424"/>
      <c r="I57" s="424" t="s">
        <v>81</v>
      </c>
      <c r="J57" s="424"/>
      <c r="K57" s="424"/>
      <c r="L57" s="424"/>
      <c r="M57" s="424"/>
      <c r="N57" s="424"/>
      <c r="AB57" s="425"/>
    </row>
    <row r="58" spans="1:28" s="352" customFormat="1" ht="18" customHeight="1" x14ac:dyDescent="0.2">
      <c r="A58" s="424"/>
      <c r="B58" s="426"/>
      <c r="C58" s="424"/>
      <c r="D58" s="424"/>
      <c r="E58" s="424"/>
      <c r="F58" s="424"/>
      <c r="G58" s="424"/>
      <c r="H58" s="424"/>
      <c r="I58" s="424" t="s">
        <v>88</v>
      </c>
      <c r="J58" s="424"/>
      <c r="K58" s="424"/>
      <c r="L58" s="424"/>
      <c r="M58" s="424"/>
      <c r="N58" s="424"/>
      <c r="AB58" s="425"/>
    </row>
    <row r="59" spans="1:28" s="580" customFormat="1" ht="18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2776" t="s">
        <v>0</v>
      </c>
      <c r="AB59" s="2776"/>
    </row>
    <row r="60" spans="1:28" s="580" customFormat="1" ht="18" customHeight="1" x14ac:dyDescent="0.2">
      <c r="A60" s="2707" t="s">
        <v>1</v>
      </c>
      <c r="B60" s="2707"/>
      <c r="C60" s="2707"/>
      <c r="D60" s="2707"/>
      <c r="E60" s="2707"/>
      <c r="F60" s="2707"/>
      <c r="G60" s="2707"/>
      <c r="H60" s="2707"/>
      <c r="I60" s="2707"/>
      <c r="J60" s="2707"/>
      <c r="K60" s="2707"/>
      <c r="L60" s="2707"/>
      <c r="M60" s="2707"/>
      <c r="N60" s="2707"/>
      <c r="O60" s="2707"/>
      <c r="P60" s="2707"/>
      <c r="Q60" s="2707"/>
      <c r="R60" s="2707"/>
      <c r="S60" s="2707"/>
      <c r="T60" s="2707"/>
      <c r="U60" s="2707"/>
      <c r="V60" s="2707"/>
      <c r="W60" s="2707"/>
      <c r="X60" s="2707"/>
      <c r="Y60" s="2707"/>
      <c r="Z60" s="2707"/>
      <c r="AA60" s="2707"/>
      <c r="AB60" s="2707"/>
    </row>
    <row r="61" spans="1:28" s="580" customFormat="1" ht="18" customHeight="1" x14ac:dyDescent="0.2">
      <c r="A61" s="2783" t="s">
        <v>605</v>
      </c>
      <c r="B61" s="2783"/>
      <c r="C61" s="2783"/>
      <c r="D61" s="2783"/>
      <c r="E61" s="2783"/>
      <c r="F61" s="2783"/>
      <c r="G61" s="2783"/>
      <c r="H61" s="2783"/>
      <c r="I61" s="2783"/>
      <c r="J61" s="2783"/>
      <c r="K61" s="2783"/>
      <c r="L61" s="2783"/>
      <c r="M61" s="2783"/>
      <c r="N61" s="2783"/>
      <c r="O61" s="2783"/>
      <c r="P61" s="2783"/>
      <c r="Q61" s="2783"/>
      <c r="R61" s="2783"/>
      <c r="S61" s="2783"/>
      <c r="T61" s="2783"/>
      <c r="U61" s="2783"/>
      <c r="V61" s="2783"/>
      <c r="W61" s="2783"/>
      <c r="X61" s="2783"/>
      <c r="Y61" s="2783"/>
      <c r="Z61" s="2783"/>
      <c r="AA61" s="2783"/>
      <c r="AB61" s="2783"/>
    </row>
    <row r="62" spans="1:28" s="580" customFormat="1" ht="18" customHeight="1" x14ac:dyDescent="0.2">
      <c r="A62" s="2709" t="s">
        <v>2</v>
      </c>
      <c r="B62" s="160"/>
      <c r="C62" s="2709" t="s">
        <v>3</v>
      </c>
      <c r="D62" s="160"/>
      <c r="E62" s="160"/>
      <c r="F62" s="2712" t="s">
        <v>4</v>
      </c>
      <c r="G62" s="2712"/>
      <c r="H62" s="2712"/>
      <c r="I62" s="2713"/>
      <c r="J62" s="2713"/>
      <c r="K62" s="2714"/>
      <c r="L62" s="2"/>
      <c r="M62" s="2715" t="s">
        <v>5</v>
      </c>
      <c r="N62" s="2715"/>
      <c r="O62" s="2715"/>
      <c r="P62" s="2715"/>
      <c r="Q62" s="2716"/>
      <c r="R62" s="2716"/>
      <c r="S62" s="2716"/>
      <c r="T62" s="2716"/>
      <c r="U62" s="2716"/>
      <c r="V62" s="2717"/>
      <c r="W62" s="161" t="s">
        <v>6</v>
      </c>
      <c r="X62" s="162" t="s">
        <v>7</v>
      </c>
      <c r="Y62" s="163"/>
      <c r="Z62" s="163"/>
      <c r="AA62" s="162"/>
      <c r="AB62" s="206"/>
    </row>
    <row r="63" spans="1:28" s="580" customFormat="1" ht="18" customHeight="1" x14ac:dyDescent="0.2">
      <c r="A63" s="2710"/>
      <c r="B63" s="4"/>
      <c r="C63" s="2710"/>
      <c r="D63" s="2154" t="s">
        <v>9</v>
      </c>
      <c r="E63" s="207" t="s">
        <v>10</v>
      </c>
      <c r="F63" s="2718" t="s">
        <v>11</v>
      </c>
      <c r="G63" s="2713"/>
      <c r="H63" s="2714"/>
      <c r="I63" s="160"/>
      <c r="J63" s="208" t="s">
        <v>12</v>
      </c>
      <c r="K63" s="160"/>
      <c r="L63" s="2715" t="s">
        <v>2</v>
      </c>
      <c r="M63" s="141"/>
      <c r="N63" s="141"/>
      <c r="O63" s="141"/>
      <c r="P63" s="164"/>
      <c r="Q63" s="209" t="s">
        <v>13</v>
      </c>
      <c r="R63" s="210" t="s">
        <v>12</v>
      </c>
      <c r="S63" s="141" t="s">
        <v>6</v>
      </c>
      <c r="T63" s="2724" t="s">
        <v>14</v>
      </c>
      <c r="U63" s="2725"/>
      <c r="V63" s="165" t="s">
        <v>7</v>
      </c>
      <c r="W63" s="166" t="s">
        <v>15</v>
      </c>
      <c r="X63" s="5" t="s">
        <v>16</v>
      </c>
      <c r="Y63" s="5" t="s">
        <v>17</v>
      </c>
      <c r="Z63" s="5" t="s">
        <v>18</v>
      </c>
      <c r="AA63" s="5"/>
      <c r="AB63" s="55" t="s">
        <v>19</v>
      </c>
    </row>
    <row r="64" spans="1:28" s="580" customFormat="1" ht="18" customHeight="1" x14ac:dyDescent="0.2">
      <c r="A64" s="2710"/>
      <c r="B64" s="2154" t="s">
        <v>23</v>
      </c>
      <c r="C64" s="2710"/>
      <c r="D64" s="2154" t="s">
        <v>24</v>
      </c>
      <c r="E64" s="207" t="s">
        <v>25</v>
      </c>
      <c r="F64" s="2719"/>
      <c r="G64" s="2720"/>
      <c r="H64" s="2721"/>
      <c r="I64" s="2154" t="s">
        <v>26</v>
      </c>
      <c r="J64" s="211" t="s">
        <v>15</v>
      </c>
      <c r="K64" s="2157" t="s">
        <v>6</v>
      </c>
      <c r="L64" s="2722"/>
      <c r="M64" s="142" t="s">
        <v>27</v>
      </c>
      <c r="N64" s="142" t="s">
        <v>10</v>
      </c>
      <c r="O64" s="212" t="s">
        <v>10</v>
      </c>
      <c r="P64" s="213" t="s">
        <v>28</v>
      </c>
      <c r="Q64" s="214" t="s">
        <v>29</v>
      </c>
      <c r="R64" s="213" t="s">
        <v>15</v>
      </c>
      <c r="S64" s="8" t="s">
        <v>15</v>
      </c>
      <c r="T64" s="2726"/>
      <c r="U64" s="2727"/>
      <c r="V64" s="165" t="s">
        <v>30</v>
      </c>
      <c r="W64" s="166" t="s">
        <v>31</v>
      </c>
      <c r="X64" s="5" t="s">
        <v>30</v>
      </c>
      <c r="Y64" s="5" t="s">
        <v>32</v>
      </c>
      <c r="Z64" s="5" t="s">
        <v>7</v>
      </c>
      <c r="AA64" s="5" t="s">
        <v>33</v>
      </c>
      <c r="AB64" s="55" t="s">
        <v>34</v>
      </c>
    </row>
    <row r="65" spans="1:28" s="580" customFormat="1" ht="18" customHeight="1" x14ac:dyDescent="0.2">
      <c r="A65" s="2710"/>
      <c r="B65" s="2154" t="s">
        <v>39</v>
      </c>
      <c r="C65" s="2710"/>
      <c r="D65" s="2154" t="s">
        <v>40</v>
      </c>
      <c r="E65" s="207" t="s">
        <v>41</v>
      </c>
      <c r="F65" s="2709" t="s">
        <v>42</v>
      </c>
      <c r="G65" s="2709" t="s">
        <v>43</v>
      </c>
      <c r="H65" s="2728" t="s">
        <v>44</v>
      </c>
      <c r="I65" s="2154" t="s">
        <v>45</v>
      </c>
      <c r="J65" s="211" t="s">
        <v>46</v>
      </c>
      <c r="K65" s="2157" t="s">
        <v>47</v>
      </c>
      <c r="L65" s="2722"/>
      <c r="M65" s="142" t="s">
        <v>30</v>
      </c>
      <c r="N65" s="142" t="s">
        <v>30</v>
      </c>
      <c r="O65" s="212" t="s">
        <v>25</v>
      </c>
      <c r="P65" s="213" t="s">
        <v>30</v>
      </c>
      <c r="Q65" s="214" t="s">
        <v>48</v>
      </c>
      <c r="R65" s="213" t="s">
        <v>49</v>
      </c>
      <c r="S65" s="8" t="s">
        <v>30</v>
      </c>
      <c r="T65" s="215" t="s">
        <v>50</v>
      </c>
      <c r="U65" s="2156" t="s">
        <v>13</v>
      </c>
      <c r="V65" s="165" t="s">
        <v>51</v>
      </c>
      <c r="W65" s="166" t="s">
        <v>52</v>
      </c>
      <c r="X65" s="5" t="s">
        <v>53</v>
      </c>
      <c r="Y65" s="5" t="s">
        <v>54</v>
      </c>
      <c r="Z65" s="5" t="s">
        <v>55</v>
      </c>
      <c r="AA65" s="5" t="s">
        <v>56</v>
      </c>
      <c r="AB65" s="55" t="s">
        <v>57</v>
      </c>
    </row>
    <row r="66" spans="1:28" s="580" customFormat="1" ht="18" customHeight="1" x14ac:dyDescent="0.2">
      <c r="A66" s="2710"/>
      <c r="B66" s="2154" t="s">
        <v>61</v>
      </c>
      <c r="C66" s="2710"/>
      <c r="D66" s="2154" t="s">
        <v>62</v>
      </c>
      <c r="E66" s="207" t="s">
        <v>63</v>
      </c>
      <c r="F66" s="2710"/>
      <c r="G66" s="2710"/>
      <c r="H66" s="2729"/>
      <c r="I66" s="2154" t="s">
        <v>64</v>
      </c>
      <c r="J66" s="211" t="s">
        <v>59</v>
      </c>
      <c r="K66" s="2157" t="s">
        <v>59</v>
      </c>
      <c r="L66" s="2722"/>
      <c r="M66" s="142"/>
      <c r="N66" s="142"/>
      <c r="O66" s="212" t="s">
        <v>41</v>
      </c>
      <c r="P66" s="213" t="s">
        <v>65</v>
      </c>
      <c r="Q66" s="214" t="s">
        <v>66</v>
      </c>
      <c r="R66" s="213" t="s">
        <v>67</v>
      </c>
      <c r="S66" s="8" t="s">
        <v>59</v>
      </c>
      <c r="T66" s="216" t="s">
        <v>68</v>
      </c>
      <c r="U66" s="165" t="s">
        <v>14</v>
      </c>
      <c r="V66" s="165" t="s">
        <v>14</v>
      </c>
      <c r="W66" s="166" t="s">
        <v>30</v>
      </c>
      <c r="X66" s="167" t="s">
        <v>69</v>
      </c>
      <c r="Y66" s="167" t="s">
        <v>70</v>
      </c>
      <c r="Z66" s="5" t="s">
        <v>71</v>
      </c>
      <c r="AA66" s="5" t="s">
        <v>72</v>
      </c>
      <c r="AB66" s="55" t="s">
        <v>59</v>
      </c>
    </row>
    <row r="67" spans="1:28" s="580" customFormat="1" ht="18" customHeight="1" x14ac:dyDescent="0.2">
      <c r="A67" s="2711"/>
      <c r="B67" s="9"/>
      <c r="C67" s="2711"/>
      <c r="D67" s="9"/>
      <c r="E67" s="2155"/>
      <c r="F67" s="9"/>
      <c r="G67" s="9"/>
      <c r="H67" s="10"/>
      <c r="I67" s="2155"/>
      <c r="J67" s="217"/>
      <c r="K67" s="168"/>
      <c r="L67" s="2723"/>
      <c r="M67" s="143"/>
      <c r="N67" s="143"/>
      <c r="O67" s="143" t="s">
        <v>63</v>
      </c>
      <c r="P67" s="218"/>
      <c r="Q67" s="219" t="s">
        <v>72</v>
      </c>
      <c r="R67" s="220" t="s">
        <v>59</v>
      </c>
      <c r="S67" s="169"/>
      <c r="T67" s="220" t="s">
        <v>73</v>
      </c>
      <c r="U67" s="169" t="s">
        <v>59</v>
      </c>
      <c r="V67" s="170" t="s">
        <v>59</v>
      </c>
      <c r="W67" s="171" t="s">
        <v>59</v>
      </c>
      <c r="X67" s="172" t="s">
        <v>59</v>
      </c>
      <c r="Y67" s="172" t="s">
        <v>59</v>
      </c>
      <c r="Z67" s="172" t="s">
        <v>59</v>
      </c>
      <c r="AA67" s="11"/>
      <c r="AB67" s="56"/>
    </row>
    <row r="68" spans="1:28" s="580" customFormat="1" ht="18" customHeight="1" x14ac:dyDescent="0.25">
      <c r="A68" s="51">
        <v>1</v>
      </c>
      <c r="B68" s="2207">
        <v>55332</v>
      </c>
      <c r="C68" s="2193">
        <v>1667</v>
      </c>
      <c r="D68" s="2107" t="s">
        <v>84</v>
      </c>
      <c r="E68" s="2107">
        <v>3</v>
      </c>
      <c r="F68" s="40">
        <v>0</v>
      </c>
      <c r="G68" s="40">
        <v>0</v>
      </c>
      <c r="H68" s="43">
        <v>39</v>
      </c>
      <c r="I68" s="2194">
        <f>F68*400+G68*100+H68</f>
        <v>39</v>
      </c>
      <c r="J68" s="2195">
        <v>1600</v>
      </c>
      <c r="K68" s="2196">
        <f>SUM(I68*J68)</f>
        <v>62400</v>
      </c>
      <c r="L68" s="2113">
        <v>1</v>
      </c>
      <c r="M68" s="54">
        <v>504</v>
      </c>
      <c r="N68" s="2114" t="s">
        <v>74</v>
      </c>
      <c r="O68" s="2109">
        <v>3</v>
      </c>
      <c r="P68" s="2197">
        <v>129.25</v>
      </c>
      <c r="Q68" s="2100" t="s">
        <v>75</v>
      </c>
      <c r="R68" s="2194">
        <v>3100</v>
      </c>
      <c r="S68" s="2194">
        <f>+P68*R68</f>
        <v>400675</v>
      </c>
      <c r="T68" s="2198">
        <v>28</v>
      </c>
      <c r="U68" s="2199">
        <f>+S68*0.46</f>
        <v>184310.5</v>
      </c>
      <c r="V68" s="2199">
        <f>+S68-U68</f>
        <v>216364.5</v>
      </c>
      <c r="W68" s="2194">
        <f>K68+V68</f>
        <v>278764.5</v>
      </c>
      <c r="X68" s="2199">
        <f>W68</f>
        <v>278764.5</v>
      </c>
      <c r="Y68" s="2194"/>
      <c r="Z68" s="2194">
        <f>X68</f>
        <v>278764.5</v>
      </c>
      <c r="AA68" s="2200">
        <v>0.3</v>
      </c>
      <c r="AB68" s="2106">
        <f>+Z68*AA68/100</f>
        <v>836.29349999999988</v>
      </c>
    </row>
    <row r="69" spans="1:28" s="580" customFormat="1" ht="18" customHeight="1" x14ac:dyDescent="0.25">
      <c r="A69" s="2182">
        <v>2</v>
      </c>
      <c r="B69" s="2208">
        <v>42344</v>
      </c>
      <c r="C69" s="2201">
        <v>1263</v>
      </c>
      <c r="D69" s="2107"/>
      <c r="E69" s="2121">
        <v>2</v>
      </c>
      <c r="F69" s="2114">
        <v>0</v>
      </c>
      <c r="G69" s="2114">
        <v>0</v>
      </c>
      <c r="H69" s="2115">
        <v>46</v>
      </c>
      <c r="I69" s="2194">
        <f t="shared" ref="I69:I70" si="2">F69*400+G69*100+H69</f>
        <v>46</v>
      </c>
      <c r="J69" s="2195">
        <v>1600</v>
      </c>
      <c r="K69" s="2196">
        <f t="shared" ref="K69:K71" si="3">SUM(I69*J69)</f>
        <v>73600</v>
      </c>
      <c r="L69" s="2113"/>
      <c r="M69" s="54"/>
      <c r="N69" s="2114"/>
      <c r="O69" s="2109">
        <v>2</v>
      </c>
      <c r="P69" s="2197"/>
      <c r="Q69" s="2100"/>
      <c r="R69" s="2194"/>
      <c r="S69" s="2194"/>
      <c r="T69" s="2198"/>
      <c r="U69" s="2199"/>
      <c r="V69" s="2199">
        <f t="shared" ref="V69:V71" si="4">+S69-U69</f>
        <v>0</v>
      </c>
      <c r="W69" s="2194">
        <f t="shared" ref="W69:W71" si="5">K69+V69</f>
        <v>73600</v>
      </c>
      <c r="X69" s="2199">
        <f t="shared" ref="X69:X71" si="6">W69</f>
        <v>73600</v>
      </c>
      <c r="Y69" s="2194" t="s">
        <v>213</v>
      </c>
      <c r="Z69" s="2194"/>
      <c r="AA69" s="2200">
        <v>0.02</v>
      </c>
      <c r="AB69" s="585">
        <f t="shared" ref="AB69:AB71" si="7">+Z69*AA69/100</f>
        <v>0</v>
      </c>
    </row>
    <row r="70" spans="1:28" s="580" customFormat="1" ht="18" customHeight="1" x14ac:dyDescent="0.25">
      <c r="A70" s="2182">
        <v>3</v>
      </c>
      <c r="B70" s="2209">
        <v>41181</v>
      </c>
      <c r="C70" s="2202">
        <v>1231</v>
      </c>
      <c r="D70" s="2114"/>
      <c r="E70" s="2121">
        <v>2</v>
      </c>
      <c r="F70" s="2114">
        <v>0</v>
      </c>
      <c r="G70" s="2114">
        <v>1</v>
      </c>
      <c r="H70" s="2115">
        <v>6.2</v>
      </c>
      <c r="I70" s="2194">
        <f t="shared" si="2"/>
        <v>106.2</v>
      </c>
      <c r="J70" s="2195">
        <v>2300</v>
      </c>
      <c r="K70" s="2196">
        <f t="shared" si="3"/>
        <v>244260</v>
      </c>
      <c r="L70" s="2113">
        <v>2</v>
      </c>
      <c r="M70" s="105">
        <v>106</v>
      </c>
      <c r="N70" s="2114" t="s">
        <v>96</v>
      </c>
      <c r="O70" s="2109">
        <v>2</v>
      </c>
      <c r="P70" s="2197">
        <v>257.99</v>
      </c>
      <c r="Q70" s="2100" t="s">
        <v>75</v>
      </c>
      <c r="R70" s="2194">
        <v>7950</v>
      </c>
      <c r="S70" s="2194">
        <v>2051020.5</v>
      </c>
      <c r="T70" s="2198">
        <v>28</v>
      </c>
      <c r="U70" s="2199">
        <f>S70*0.85</f>
        <v>1743367.425</v>
      </c>
      <c r="V70" s="2199">
        <f t="shared" si="4"/>
        <v>307653.07499999995</v>
      </c>
      <c r="W70" s="2194">
        <f t="shared" si="5"/>
        <v>551913.07499999995</v>
      </c>
      <c r="X70" s="2199">
        <f t="shared" si="6"/>
        <v>551913.07499999995</v>
      </c>
      <c r="Y70" s="2194" t="s">
        <v>213</v>
      </c>
      <c r="Z70" s="2194">
        <v>0</v>
      </c>
      <c r="AA70" s="2200">
        <v>0.02</v>
      </c>
      <c r="AB70" s="585">
        <f t="shared" si="7"/>
        <v>0</v>
      </c>
    </row>
    <row r="71" spans="1:28" s="580" customFormat="1" ht="18" customHeight="1" x14ac:dyDescent="0.25">
      <c r="A71" s="52"/>
      <c r="B71" s="2114"/>
      <c r="C71" s="2114"/>
      <c r="D71" s="2114"/>
      <c r="E71" s="2121"/>
      <c r="F71" s="2107"/>
      <c r="G71" s="2107"/>
      <c r="H71" s="2108">
        <v>6.75</v>
      </c>
      <c r="I71" s="2194">
        <v>6.8</v>
      </c>
      <c r="J71" s="2195">
        <v>2300</v>
      </c>
      <c r="K71" s="2196">
        <f t="shared" si="3"/>
        <v>15640</v>
      </c>
      <c r="L71" s="2113">
        <v>3</v>
      </c>
      <c r="M71" s="105">
        <v>504</v>
      </c>
      <c r="N71" s="2107" t="s">
        <v>74</v>
      </c>
      <c r="O71" s="2109">
        <v>3</v>
      </c>
      <c r="P71" s="2197">
        <v>27</v>
      </c>
      <c r="Q71" s="2100" t="s">
        <v>75</v>
      </c>
      <c r="R71" s="2194">
        <v>3100</v>
      </c>
      <c r="S71" s="2194">
        <f>R71*P71</f>
        <v>83700</v>
      </c>
      <c r="T71" s="2198">
        <v>28</v>
      </c>
      <c r="U71" s="2199">
        <f>S71*0.46</f>
        <v>38502</v>
      </c>
      <c r="V71" s="2199">
        <f t="shared" si="4"/>
        <v>45198</v>
      </c>
      <c r="W71" s="2194">
        <f t="shared" si="5"/>
        <v>60838</v>
      </c>
      <c r="X71" s="2199">
        <f t="shared" si="6"/>
        <v>60838</v>
      </c>
      <c r="Y71" s="2194"/>
      <c r="Z71" s="2194">
        <f>X71</f>
        <v>60838</v>
      </c>
      <c r="AA71" s="2200">
        <v>0.3</v>
      </c>
      <c r="AB71" s="585">
        <f t="shared" si="7"/>
        <v>182.51399999999998</v>
      </c>
    </row>
    <row r="72" spans="1:28" s="580" customFormat="1" ht="18" customHeight="1" x14ac:dyDescent="0.2">
      <c r="A72" s="105"/>
      <c r="B72" s="131"/>
      <c r="C72" s="131"/>
      <c r="D72" s="105"/>
      <c r="E72" s="105"/>
      <c r="F72" s="105"/>
      <c r="G72" s="105"/>
      <c r="H72" s="451"/>
      <c r="I72" s="111"/>
      <c r="J72" s="587"/>
      <c r="K72" s="111"/>
      <c r="L72" s="105"/>
      <c r="M72" s="105"/>
      <c r="N72" s="105"/>
      <c r="O72" s="105"/>
      <c r="P72" s="451"/>
      <c r="Q72" s="251"/>
      <c r="R72" s="588"/>
      <c r="S72" s="111"/>
      <c r="T72" s="589"/>
      <c r="U72" s="587"/>
      <c r="V72" s="111"/>
      <c r="W72" s="111"/>
      <c r="X72" s="112"/>
      <c r="Y72" s="112"/>
      <c r="Z72" s="590"/>
      <c r="AA72" s="590"/>
      <c r="AB72" s="585"/>
    </row>
    <row r="73" spans="1:28" s="580" customFormat="1" ht="18" customHeight="1" x14ac:dyDescent="0.2">
      <c r="A73" s="105"/>
      <c r="B73" s="131"/>
      <c r="C73" s="131"/>
      <c r="D73" s="105"/>
      <c r="E73" s="105"/>
      <c r="F73" s="105"/>
      <c r="G73" s="105"/>
      <c r="H73" s="451"/>
      <c r="I73" s="111"/>
      <c r="J73" s="587"/>
      <c r="K73" s="111"/>
      <c r="L73" s="105"/>
      <c r="M73" s="105"/>
      <c r="N73" s="105"/>
      <c r="O73" s="105"/>
      <c r="P73" s="451"/>
      <c r="Q73" s="251"/>
      <c r="R73" s="588"/>
      <c r="S73" s="111"/>
      <c r="T73" s="589"/>
      <c r="U73" s="587"/>
      <c r="V73" s="111"/>
      <c r="W73" s="111"/>
      <c r="X73" s="112"/>
      <c r="Y73" s="112"/>
      <c r="Z73" s="590"/>
      <c r="AA73" s="590"/>
      <c r="AB73" s="591"/>
    </row>
    <row r="74" spans="1:28" s="580" customFormat="1" ht="18" customHeight="1" x14ac:dyDescent="0.2">
      <c r="A74" s="105"/>
      <c r="B74" s="131"/>
      <c r="C74" s="131"/>
      <c r="D74" s="105"/>
      <c r="E74" s="105"/>
      <c r="F74" s="105"/>
      <c r="G74" s="105"/>
      <c r="H74" s="451"/>
      <c r="I74" s="111"/>
      <c r="J74" s="587"/>
      <c r="K74" s="111"/>
      <c r="L74" s="105"/>
      <c r="M74" s="105"/>
      <c r="N74" s="105"/>
      <c r="O74" s="105"/>
      <c r="P74" s="451"/>
      <c r="Q74" s="251"/>
      <c r="R74" s="588"/>
      <c r="S74" s="111"/>
      <c r="T74" s="589"/>
      <c r="U74" s="587"/>
      <c r="V74" s="111"/>
      <c r="W74" s="111"/>
      <c r="X74" s="112"/>
      <c r="Y74" s="112"/>
      <c r="Z74" s="590"/>
      <c r="AA74" s="590"/>
      <c r="AB74" s="591"/>
    </row>
    <row r="75" spans="1:28" s="580" customFormat="1" ht="18" customHeight="1" x14ac:dyDescent="0.2">
      <c r="A75" s="105"/>
      <c r="B75" s="131"/>
      <c r="C75" s="131"/>
      <c r="D75" s="105"/>
      <c r="E75" s="105"/>
      <c r="F75" s="105"/>
      <c r="G75" s="105"/>
      <c r="H75" s="451"/>
      <c r="I75" s="111"/>
      <c r="J75" s="587"/>
      <c r="K75" s="111"/>
      <c r="L75" s="105"/>
      <c r="M75" s="105"/>
      <c r="N75" s="105"/>
      <c r="O75" s="105"/>
      <c r="P75" s="451"/>
      <c r="Q75" s="251"/>
      <c r="R75" s="588"/>
      <c r="S75" s="111"/>
      <c r="T75" s="589"/>
      <c r="U75" s="587"/>
      <c r="V75" s="111"/>
      <c r="W75" s="111"/>
      <c r="X75" s="112"/>
      <c r="Y75" s="112"/>
      <c r="Z75" s="590"/>
      <c r="AA75" s="590"/>
      <c r="AB75" s="591"/>
    </row>
    <row r="76" spans="1:28" s="580" customFormat="1" ht="18" customHeight="1" x14ac:dyDescent="0.2">
      <c r="A76" s="105"/>
      <c r="B76" s="131"/>
      <c r="C76" s="131"/>
      <c r="D76" s="105"/>
      <c r="E76" s="105"/>
      <c r="F76" s="105"/>
      <c r="G76" s="105"/>
      <c r="H76" s="451"/>
      <c r="I76" s="111"/>
      <c r="J76" s="587"/>
      <c r="K76" s="111"/>
      <c r="L76" s="105"/>
      <c r="M76" s="105"/>
      <c r="N76" s="105"/>
      <c r="O76" s="105"/>
      <c r="P76" s="451"/>
      <c r="Q76" s="251"/>
      <c r="R76" s="588"/>
      <c r="S76" s="111"/>
      <c r="T76" s="589"/>
      <c r="U76" s="587"/>
      <c r="V76" s="111"/>
      <c r="W76" s="111"/>
      <c r="X76" s="112"/>
      <c r="Y76" s="112"/>
      <c r="Z76" s="590"/>
      <c r="AA76" s="590"/>
      <c r="AB76" s="591"/>
    </row>
    <row r="77" spans="1:28" s="580" customFormat="1" ht="18" customHeight="1" x14ac:dyDescent="0.2">
      <c r="A77" s="105"/>
      <c r="B77" s="131"/>
      <c r="C77" s="131"/>
      <c r="D77" s="105"/>
      <c r="E77" s="105"/>
      <c r="F77" s="105"/>
      <c r="G77" s="105"/>
      <c r="H77" s="451"/>
      <c r="I77" s="111"/>
      <c r="J77" s="587"/>
      <c r="K77" s="111"/>
      <c r="L77" s="105"/>
      <c r="M77" s="105"/>
      <c r="N77" s="105"/>
      <c r="O77" s="105"/>
      <c r="P77" s="451"/>
      <c r="Q77" s="251"/>
      <c r="R77" s="588"/>
      <c r="S77" s="111"/>
      <c r="T77" s="589"/>
      <c r="U77" s="587"/>
      <c r="V77" s="111"/>
      <c r="W77" s="111"/>
      <c r="X77" s="112"/>
      <c r="Y77" s="112"/>
      <c r="Z77" s="590"/>
      <c r="AA77" s="590"/>
      <c r="AB77" s="591"/>
    </row>
    <row r="78" spans="1:28" s="580" customFormat="1" ht="18" customHeight="1" x14ac:dyDescent="0.2">
      <c r="A78" s="105"/>
      <c r="B78" s="131"/>
      <c r="C78" s="131"/>
      <c r="D78" s="105"/>
      <c r="E78" s="105"/>
      <c r="F78" s="105"/>
      <c r="G78" s="105"/>
      <c r="H78" s="451"/>
      <c r="I78" s="111"/>
      <c r="J78" s="587"/>
      <c r="K78" s="111"/>
      <c r="L78" s="105"/>
      <c r="M78" s="105"/>
      <c r="N78" s="105"/>
      <c r="O78" s="105"/>
      <c r="P78" s="451"/>
      <c r="Q78" s="251"/>
      <c r="R78" s="588"/>
      <c r="S78" s="111"/>
      <c r="T78" s="589"/>
      <c r="U78" s="587"/>
      <c r="V78" s="587"/>
      <c r="W78" s="111"/>
      <c r="X78" s="112"/>
      <c r="Y78" s="112"/>
      <c r="Z78" s="590"/>
      <c r="AA78" s="590"/>
      <c r="AB78" s="591"/>
    </row>
    <row r="79" spans="1:28" s="580" customFormat="1" ht="18" customHeight="1" x14ac:dyDescent="0.2">
      <c r="A79" s="105"/>
      <c r="B79" s="131"/>
      <c r="C79" s="131"/>
      <c r="D79" s="105"/>
      <c r="E79" s="105"/>
      <c r="F79" s="105"/>
      <c r="G79" s="105"/>
      <c r="H79" s="451"/>
      <c r="I79" s="111"/>
      <c r="J79" s="587"/>
      <c r="K79" s="111"/>
      <c r="L79" s="105"/>
      <c r="M79" s="105"/>
      <c r="N79" s="105"/>
      <c r="O79" s="105"/>
      <c r="P79" s="451"/>
      <c r="Q79" s="251"/>
      <c r="R79" s="588"/>
      <c r="S79" s="111"/>
      <c r="T79" s="589"/>
      <c r="U79" s="587"/>
      <c r="V79" s="111"/>
      <c r="W79" s="111"/>
      <c r="X79" s="112"/>
      <c r="Y79" s="112"/>
      <c r="Z79" s="590"/>
      <c r="AA79" s="590"/>
      <c r="AB79" s="591"/>
    </row>
    <row r="80" spans="1:28" s="580" customFormat="1" ht="18" customHeight="1" x14ac:dyDescent="0.2">
      <c r="A80" s="105"/>
      <c r="B80" s="131"/>
      <c r="C80" s="131"/>
      <c r="D80" s="105"/>
      <c r="E80" s="105"/>
      <c r="F80" s="105"/>
      <c r="G80" s="105"/>
      <c r="H80" s="451"/>
      <c r="I80" s="111"/>
      <c r="J80" s="587"/>
      <c r="K80" s="111"/>
      <c r="L80" s="105"/>
      <c r="M80" s="105"/>
      <c r="N80" s="105"/>
      <c r="O80" s="105"/>
      <c r="P80" s="451"/>
      <c r="Q80" s="251"/>
      <c r="R80" s="588"/>
      <c r="S80" s="111"/>
      <c r="T80" s="589"/>
      <c r="U80" s="587"/>
      <c r="V80" s="111"/>
      <c r="W80" s="111"/>
      <c r="X80" s="112"/>
      <c r="Y80" s="112"/>
      <c r="Z80" s="590"/>
      <c r="AA80" s="590"/>
      <c r="AB80" s="591"/>
    </row>
    <row r="81" spans="1:28" s="580" customFormat="1" ht="18" customHeight="1" x14ac:dyDescent="0.2">
      <c r="A81" s="54"/>
      <c r="B81" s="200"/>
      <c r="C81" s="200"/>
      <c r="D81" s="54"/>
      <c r="E81" s="54"/>
      <c r="F81" s="54"/>
      <c r="G81" s="54"/>
      <c r="H81" s="250"/>
      <c r="I81" s="116"/>
      <c r="J81" s="592"/>
      <c r="K81" s="116"/>
      <c r="L81" s="54"/>
      <c r="M81" s="54"/>
      <c r="N81" s="54"/>
      <c r="O81" s="54"/>
      <c r="P81" s="54"/>
      <c r="Q81" s="191"/>
      <c r="R81" s="593"/>
      <c r="S81" s="116"/>
      <c r="T81" s="594"/>
      <c r="U81" s="592"/>
      <c r="V81" s="116"/>
      <c r="W81" s="116"/>
      <c r="X81" s="118"/>
      <c r="Y81" s="118"/>
      <c r="Z81" s="595"/>
      <c r="AA81" s="595"/>
      <c r="AB81" s="585"/>
    </row>
    <row r="82" spans="1:28" s="2219" customFormat="1" ht="18" customHeight="1" x14ac:dyDescent="0.2">
      <c r="A82" s="2210"/>
      <c r="B82" s="2210"/>
      <c r="C82" s="2210"/>
      <c r="D82" s="2210"/>
      <c r="E82" s="2210"/>
      <c r="F82" s="2210"/>
      <c r="G82" s="2210"/>
      <c r="H82" s="2211"/>
      <c r="I82" s="2212"/>
      <c r="J82" s="2213"/>
      <c r="K82" s="2212"/>
      <c r="L82" s="2212"/>
      <c r="M82" s="2212"/>
      <c r="N82" s="2212"/>
      <c r="O82" s="2212"/>
      <c r="P82" s="2212"/>
      <c r="Q82" s="2212"/>
      <c r="R82" s="2214"/>
      <c r="S82" s="2212"/>
      <c r="T82" s="2215"/>
      <c r="U82" s="2213"/>
      <c r="V82" s="2212"/>
      <c r="W82" s="2212"/>
      <c r="X82" s="2216"/>
      <c r="Y82" s="2216"/>
      <c r="Z82" s="2217"/>
      <c r="AA82" s="2217"/>
      <c r="AB82" s="2218">
        <f>SUM(AB68:AB81)</f>
        <v>1018.8074999999999</v>
      </c>
    </row>
    <row r="83" spans="1:28" s="580" customFormat="1" ht="18" customHeight="1" x14ac:dyDescent="0.2">
      <c r="A83" s="2772" t="s">
        <v>76</v>
      </c>
      <c r="B83" s="2772"/>
      <c r="C83" s="2773" t="s">
        <v>77</v>
      </c>
      <c r="D83" s="2773"/>
      <c r="E83" s="2773"/>
      <c r="F83" s="2773"/>
      <c r="G83" s="2773"/>
      <c r="H83" s="2773"/>
      <c r="I83" s="224" t="s">
        <v>78</v>
      </c>
      <c r="J83" s="224"/>
      <c r="K83" s="224"/>
      <c r="L83" s="224"/>
      <c r="M83" s="224"/>
      <c r="N83" s="224"/>
      <c r="AB83" s="225"/>
    </row>
    <row r="84" spans="1:28" s="580" customFormat="1" ht="18" customHeight="1" x14ac:dyDescent="0.2">
      <c r="A84" s="224"/>
      <c r="B84" s="226"/>
      <c r="C84" s="224"/>
      <c r="D84" s="224"/>
      <c r="E84" s="224"/>
      <c r="F84" s="224"/>
      <c r="G84" s="224"/>
      <c r="H84" s="224"/>
      <c r="I84" s="224" t="s">
        <v>79</v>
      </c>
      <c r="J84" s="224"/>
      <c r="K84" s="224"/>
      <c r="L84" s="224"/>
      <c r="M84" s="224"/>
      <c r="N84" s="224"/>
      <c r="AB84" s="225"/>
    </row>
    <row r="85" spans="1:28" s="580" customFormat="1" ht="18" customHeight="1" x14ac:dyDescent="0.2">
      <c r="A85" s="224"/>
      <c r="B85" s="226"/>
      <c r="C85" s="224"/>
      <c r="D85" s="224"/>
      <c r="E85" s="224"/>
      <c r="F85" s="224"/>
      <c r="G85" s="224"/>
      <c r="H85" s="224"/>
      <c r="I85" s="224" t="s">
        <v>80</v>
      </c>
      <c r="J85" s="224"/>
      <c r="K85" s="224"/>
      <c r="L85" s="224"/>
      <c r="M85" s="224"/>
      <c r="N85" s="224"/>
      <c r="AB85" s="225"/>
    </row>
    <row r="86" spans="1:28" s="580" customFormat="1" ht="18" customHeight="1" x14ac:dyDescent="0.2">
      <c r="A86" s="224"/>
      <c r="B86" s="226"/>
      <c r="C86" s="224"/>
      <c r="D86" s="224"/>
      <c r="E86" s="224"/>
      <c r="F86" s="224"/>
      <c r="G86" s="224"/>
      <c r="H86" s="224"/>
      <c r="I86" s="224" t="s">
        <v>81</v>
      </c>
      <c r="J86" s="224"/>
      <c r="K86" s="224"/>
      <c r="L86" s="224"/>
      <c r="M86" s="224"/>
      <c r="N86" s="224"/>
      <c r="AB86" s="225"/>
    </row>
    <row r="87" spans="1:28" s="580" customFormat="1" ht="18" customHeight="1" x14ac:dyDescent="0.2">
      <c r="A87" s="224"/>
      <c r="B87" s="226"/>
      <c r="C87" s="224"/>
      <c r="D87" s="224"/>
      <c r="E87" s="224"/>
      <c r="F87" s="224"/>
      <c r="G87" s="224"/>
      <c r="H87" s="224"/>
      <c r="I87" s="224" t="s">
        <v>88</v>
      </c>
      <c r="J87" s="224"/>
      <c r="K87" s="224"/>
      <c r="L87" s="224"/>
      <c r="M87" s="224"/>
      <c r="N87" s="224"/>
      <c r="AB87" s="225"/>
    </row>
    <row r="88" spans="1:28" s="352" customFormat="1" ht="18" customHeight="1" x14ac:dyDescent="0.2">
      <c r="A88" s="338"/>
      <c r="B88" s="338"/>
      <c r="C88" s="338"/>
      <c r="D88" s="338"/>
      <c r="E88" s="338"/>
      <c r="F88" s="338"/>
      <c r="G88" s="338"/>
      <c r="H88" s="338"/>
      <c r="I88" s="338"/>
      <c r="J88" s="338"/>
      <c r="K88" s="338"/>
      <c r="L88" s="338"/>
      <c r="M88" s="338"/>
      <c r="N88" s="338"/>
      <c r="O88" s="338"/>
      <c r="P88" s="338"/>
      <c r="Q88" s="338"/>
      <c r="R88" s="338"/>
      <c r="S88" s="338"/>
      <c r="T88" s="338"/>
      <c r="U88" s="338"/>
      <c r="V88" s="338"/>
      <c r="W88" s="338"/>
      <c r="X88" s="338"/>
      <c r="Y88" s="338"/>
      <c r="Z88" s="338"/>
      <c r="AA88" s="2774" t="s">
        <v>0</v>
      </c>
      <c r="AB88" s="2774"/>
    </row>
    <row r="89" spans="1:28" s="352" customFormat="1" ht="18" customHeight="1" x14ac:dyDescent="0.2">
      <c r="A89" s="2703" t="s">
        <v>1</v>
      </c>
      <c r="B89" s="2703"/>
      <c r="C89" s="2703"/>
      <c r="D89" s="2703"/>
      <c r="E89" s="2703"/>
      <c r="F89" s="2703"/>
      <c r="G89" s="2703"/>
      <c r="H89" s="2703"/>
      <c r="I89" s="2703"/>
      <c r="J89" s="2703"/>
      <c r="K89" s="2703"/>
      <c r="L89" s="2703"/>
      <c r="M89" s="2703"/>
      <c r="N89" s="2703"/>
      <c r="O89" s="2703"/>
      <c r="P89" s="2703"/>
      <c r="Q89" s="2703"/>
      <c r="R89" s="2703"/>
      <c r="S89" s="2703"/>
      <c r="T89" s="2703"/>
      <c r="U89" s="2703"/>
      <c r="V89" s="2703"/>
      <c r="W89" s="2703"/>
      <c r="X89" s="2703"/>
      <c r="Y89" s="2703"/>
      <c r="Z89" s="2703"/>
      <c r="AA89" s="2703"/>
      <c r="AB89" s="2703"/>
    </row>
    <row r="90" spans="1:28" s="352" customFormat="1" ht="18" customHeight="1" x14ac:dyDescent="0.2">
      <c r="A90" s="2780" t="s">
        <v>606</v>
      </c>
      <c r="B90" s="2780"/>
      <c r="C90" s="2780"/>
      <c r="D90" s="2780"/>
      <c r="E90" s="2780"/>
      <c r="F90" s="2780"/>
      <c r="G90" s="2780"/>
      <c r="H90" s="2780"/>
      <c r="I90" s="2780"/>
      <c r="J90" s="2780"/>
      <c r="K90" s="2780"/>
      <c r="L90" s="2780"/>
      <c r="M90" s="2780"/>
      <c r="N90" s="2780"/>
      <c r="O90" s="2780"/>
      <c r="P90" s="2780"/>
      <c r="Q90" s="2780"/>
      <c r="R90" s="2780"/>
      <c r="S90" s="2780"/>
      <c r="T90" s="2780"/>
      <c r="U90" s="2780"/>
      <c r="V90" s="2780"/>
      <c r="W90" s="2780"/>
      <c r="X90" s="2780"/>
      <c r="Y90" s="2780"/>
      <c r="Z90" s="2780"/>
      <c r="AA90" s="2780"/>
      <c r="AB90" s="2780"/>
    </row>
    <row r="91" spans="1:28" s="352" customFormat="1" ht="18" customHeight="1" x14ac:dyDescent="0.2">
      <c r="A91" s="2686" t="s">
        <v>2</v>
      </c>
      <c r="B91" s="360"/>
      <c r="C91" s="2686" t="s">
        <v>3</v>
      </c>
      <c r="D91" s="360"/>
      <c r="E91" s="360"/>
      <c r="F91" s="2693" t="s">
        <v>4</v>
      </c>
      <c r="G91" s="2693"/>
      <c r="H91" s="2693"/>
      <c r="I91" s="2694"/>
      <c r="J91" s="2694"/>
      <c r="K91" s="2695"/>
      <c r="L91" s="361"/>
      <c r="M91" s="2679" t="s">
        <v>5</v>
      </c>
      <c r="N91" s="2679"/>
      <c r="O91" s="2679"/>
      <c r="P91" s="2679"/>
      <c r="Q91" s="2696"/>
      <c r="R91" s="2696"/>
      <c r="S91" s="2696"/>
      <c r="T91" s="2696"/>
      <c r="U91" s="2696"/>
      <c r="V91" s="2697"/>
      <c r="W91" s="362" t="s">
        <v>6</v>
      </c>
      <c r="X91" s="363" t="s">
        <v>7</v>
      </c>
      <c r="Y91" s="364"/>
      <c r="Z91" s="364"/>
      <c r="AA91" s="363"/>
      <c r="AB91" s="365"/>
    </row>
    <row r="92" spans="1:28" s="352" customFormat="1" ht="18" customHeight="1" x14ac:dyDescent="0.2">
      <c r="A92" s="2687"/>
      <c r="B92" s="367"/>
      <c r="C92" s="2687"/>
      <c r="D92" s="2158" t="s">
        <v>9</v>
      </c>
      <c r="E92" s="368" t="s">
        <v>10</v>
      </c>
      <c r="F92" s="2698" t="s">
        <v>11</v>
      </c>
      <c r="G92" s="2694"/>
      <c r="H92" s="2695"/>
      <c r="I92" s="360"/>
      <c r="J92" s="369" t="s">
        <v>12</v>
      </c>
      <c r="K92" s="360"/>
      <c r="L92" s="2679" t="s">
        <v>2</v>
      </c>
      <c r="M92" s="2162"/>
      <c r="N92" s="2162"/>
      <c r="O92" s="2162"/>
      <c r="P92" s="371"/>
      <c r="Q92" s="372" t="s">
        <v>13</v>
      </c>
      <c r="R92" s="373" t="s">
        <v>12</v>
      </c>
      <c r="S92" s="2162" t="s">
        <v>6</v>
      </c>
      <c r="T92" s="2682" t="s">
        <v>14</v>
      </c>
      <c r="U92" s="2683"/>
      <c r="V92" s="375" t="s">
        <v>7</v>
      </c>
      <c r="W92" s="376" t="s">
        <v>15</v>
      </c>
      <c r="X92" s="377" t="s">
        <v>16</v>
      </c>
      <c r="Y92" s="377" t="s">
        <v>17</v>
      </c>
      <c r="Z92" s="377" t="s">
        <v>18</v>
      </c>
      <c r="AA92" s="377"/>
      <c r="AB92" s="378" t="s">
        <v>19</v>
      </c>
    </row>
    <row r="93" spans="1:28" s="352" customFormat="1" ht="18" customHeight="1" x14ac:dyDescent="0.2">
      <c r="A93" s="2687"/>
      <c r="B93" s="2158" t="s">
        <v>23</v>
      </c>
      <c r="C93" s="2687"/>
      <c r="D93" s="2158" t="s">
        <v>24</v>
      </c>
      <c r="E93" s="368" t="s">
        <v>25</v>
      </c>
      <c r="F93" s="2699"/>
      <c r="G93" s="2700"/>
      <c r="H93" s="2701"/>
      <c r="I93" s="2158" t="s">
        <v>26</v>
      </c>
      <c r="J93" s="379" t="s">
        <v>15</v>
      </c>
      <c r="K93" s="2159" t="s">
        <v>6</v>
      </c>
      <c r="L93" s="2680"/>
      <c r="M93" s="2163" t="s">
        <v>27</v>
      </c>
      <c r="N93" s="2163" t="s">
        <v>10</v>
      </c>
      <c r="O93" s="382" t="s">
        <v>10</v>
      </c>
      <c r="P93" s="383" t="s">
        <v>28</v>
      </c>
      <c r="Q93" s="384" t="s">
        <v>29</v>
      </c>
      <c r="R93" s="383" t="s">
        <v>15</v>
      </c>
      <c r="S93" s="385" t="s">
        <v>15</v>
      </c>
      <c r="T93" s="2684"/>
      <c r="U93" s="2685"/>
      <c r="V93" s="375" t="s">
        <v>30</v>
      </c>
      <c r="W93" s="376" t="s">
        <v>31</v>
      </c>
      <c r="X93" s="377" t="s">
        <v>30</v>
      </c>
      <c r="Y93" s="377" t="s">
        <v>32</v>
      </c>
      <c r="Z93" s="377" t="s">
        <v>7</v>
      </c>
      <c r="AA93" s="377" t="s">
        <v>33</v>
      </c>
      <c r="AB93" s="378" t="s">
        <v>34</v>
      </c>
    </row>
    <row r="94" spans="1:28" s="352" customFormat="1" ht="18" customHeight="1" x14ac:dyDescent="0.2">
      <c r="A94" s="2687"/>
      <c r="B94" s="2158" t="s">
        <v>39</v>
      </c>
      <c r="C94" s="2687"/>
      <c r="D94" s="2158" t="s">
        <v>40</v>
      </c>
      <c r="E94" s="368" t="s">
        <v>41</v>
      </c>
      <c r="F94" s="2686" t="s">
        <v>42</v>
      </c>
      <c r="G94" s="2686" t="s">
        <v>43</v>
      </c>
      <c r="H94" s="2688" t="s">
        <v>44</v>
      </c>
      <c r="I94" s="2158" t="s">
        <v>45</v>
      </c>
      <c r="J94" s="379" t="s">
        <v>46</v>
      </c>
      <c r="K94" s="2159" t="s">
        <v>47</v>
      </c>
      <c r="L94" s="2680"/>
      <c r="M94" s="2163" t="s">
        <v>30</v>
      </c>
      <c r="N94" s="2163" t="s">
        <v>30</v>
      </c>
      <c r="O94" s="382" t="s">
        <v>25</v>
      </c>
      <c r="P94" s="383" t="s">
        <v>30</v>
      </c>
      <c r="Q94" s="384" t="s">
        <v>48</v>
      </c>
      <c r="R94" s="383" t="s">
        <v>49</v>
      </c>
      <c r="S94" s="385" t="s">
        <v>30</v>
      </c>
      <c r="T94" s="386" t="s">
        <v>50</v>
      </c>
      <c r="U94" s="2161" t="s">
        <v>13</v>
      </c>
      <c r="V94" s="375" t="s">
        <v>51</v>
      </c>
      <c r="W94" s="376" t="s">
        <v>52</v>
      </c>
      <c r="X94" s="377" t="s">
        <v>53</v>
      </c>
      <c r="Y94" s="377" t="s">
        <v>54</v>
      </c>
      <c r="Z94" s="377" t="s">
        <v>55</v>
      </c>
      <c r="AA94" s="377" t="s">
        <v>56</v>
      </c>
      <c r="AB94" s="378" t="s">
        <v>57</v>
      </c>
    </row>
    <row r="95" spans="1:28" s="352" customFormat="1" ht="18" customHeight="1" x14ac:dyDescent="0.2">
      <c r="A95" s="2687"/>
      <c r="B95" s="2158" t="s">
        <v>61</v>
      </c>
      <c r="C95" s="2687"/>
      <c r="D95" s="2158" t="s">
        <v>62</v>
      </c>
      <c r="E95" s="368" t="s">
        <v>63</v>
      </c>
      <c r="F95" s="2687"/>
      <c r="G95" s="2687"/>
      <c r="H95" s="2689"/>
      <c r="I95" s="2158" t="s">
        <v>64</v>
      </c>
      <c r="J95" s="379" t="s">
        <v>59</v>
      </c>
      <c r="K95" s="2159" t="s">
        <v>59</v>
      </c>
      <c r="L95" s="2680"/>
      <c r="M95" s="2163"/>
      <c r="N95" s="2163"/>
      <c r="O95" s="382" t="s">
        <v>41</v>
      </c>
      <c r="P95" s="383" t="s">
        <v>65</v>
      </c>
      <c r="Q95" s="384" t="s">
        <v>66</v>
      </c>
      <c r="R95" s="383" t="s">
        <v>67</v>
      </c>
      <c r="S95" s="385" t="s">
        <v>59</v>
      </c>
      <c r="T95" s="387" t="s">
        <v>68</v>
      </c>
      <c r="U95" s="375" t="s">
        <v>14</v>
      </c>
      <c r="V95" s="375" t="s">
        <v>14</v>
      </c>
      <c r="W95" s="376" t="s">
        <v>30</v>
      </c>
      <c r="X95" s="388" t="s">
        <v>69</v>
      </c>
      <c r="Y95" s="388" t="s">
        <v>70</v>
      </c>
      <c r="Z95" s="377" t="s">
        <v>71</v>
      </c>
      <c r="AA95" s="377" t="s">
        <v>72</v>
      </c>
      <c r="AB95" s="378" t="s">
        <v>59</v>
      </c>
    </row>
    <row r="96" spans="1:28" s="352" customFormat="1" ht="18" customHeight="1" x14ac:dyDescent="0.2">
      <c r="A96" s="2692"/>
      <c r="B96" s="390"/>
      <c r="C96" s="2692"/>
      <c r="D96" s="390"/>
      <c r="E96" s="2160"/>
      <c r="F96" s="390"/>
      <c r="G96" s="390"/>
      <c r="H96" s="391"/>
      <c r="I96" s="2160"/>
      <c r="J96" s="392"/>
      <c r="K96" s="393"/>
      <c r="L96" s="2681"/>
      <c r="M96" s="2164"/>
      <c r="N96" s="2164"/>
      <c r="O96" s="2164" t="s">
        <v>63</v>
      </c>
      <c r="P96" s="395"/>
      <c r="Q96" s="396" t="s">
        <v>72</v>
      </c>
      <c r="R96" s="397" t="s">
        <v>59</v>
      </c>
      <c r="S96" s="398"/>
      <c r="T96" s="397" t="s">
        <v>73</v>
      </c>
      <c r="U96" s="398" t="s">
        <v>59</v>
      </c>
      <c r="V96" s="399" t="s">
        <v>59</v>
      </c>
      <c r="W96" s="400" t="s">
        <v>59</v>
      </c>
      <c r="X96" s="401" t="s">
        <v>59</v>
      </c>
      <c r="Y96" s="401" t="s">
        <v>59</v>
      </c>
      <c r="Z96" s="401" t="s">
        <v>59</v>
      </c>
      <c r="AA96" s="402"/>
      <c r="AB96" s="403"/>
    </row>
    <row r="97" spans="1:29" s="352" customFormat="1" ht="18" customHeight="1" x14ac:dyDescent="0.25">
      <c r="A97" s="254">
        <v>1</v>
      </c>
      <c r="B97" s="333">
        <v>4427</v>
      </c>
      <c r="C97" s="333">
        <v>467</v>
      </c>
      <c r="D97" s="333" t="s">
        <v>84</v>
      </c>
      <c r="E97" s="333">
        <v>5</v>
      </c>
      <c r="F97" s="333">
        <v>4</v>
      </c>
      <c r="G97" s="333">
        <v>3</v>
      </c>
      <c r="H97" s="627">
        <v>55</v>
      </c>
      <c r="I97" s="327">
        <f>+F97*400+G97*100+H97</f>
        <v>1955</v>
      </c>
      <c r="J97" s="701">
        <v>1100</v>
      </c>
      <c r="K97" s="329">
        <f>SUM(I97*J97)</f>
        <v>2150500</v>
      </c>
      <c r="L97" s="269"/>
      <c r="M97" s="289"/>
      <c r="N97" s="288"/>
      <c r="O97" s="289"/>
      <c r="P97" s="782"/>
      <c r="Q97" s="285"/>
      <c r="R97" s="783"/>
      <c r="S97" s="320"/>
      <c r="T97" s="323"/>
      <c r="U97" s="321"/>
      <c r="V97" s="321"/>
      <c r="W97" s="320"/>
      <c r="X97" s="321"/>
      <c r="Y97" s="320"/>
      <c r="Z97" s="320"/>
      <c r="AA97" s="703"/>
      <c r="AB97" s="784"/>
    </row>
    <row r="98" spans="1:29" s="352" customFormat="1" ht="18" customHeight="1" x14ac:dyDescent="0.25">
      <c r="A98" s="255"/>
      <c r="B98" s="255"/>
      <c r="C98" s="255"/>
      <c r="D98" s="287"/>
      <c r="E98" s="287"/>
      <c r="F98" s="287">
        <v>1</v>
      </c>
      <c r="G98" s="287">
        <v>3</v>
      </c>
      <c r="H98" s="785">
        <v>55</v>
      </c>
      <c r="I98" s="324">
        <f t="shared" ref="I98" si="8">+F98*400+G98*100+H98</f>
        <v>755</v>
      </c>
      <c r="J98" s="983">
        <v>1100</v>
      </c>
      <c r="K98" s="324">
        <f t="shared" ref="K98:K99" si="9">SUM(I98*J98)</f>
        <v>830500</v>
      </c>
      <c r="L98" s="269">
        <v>1</v>
      </c>
      <c r="M98" s="273">
        <v>103</v>
      </c>
      <c r="N98" s="273" t="s">
        <v>74</v>
      </c>
      <c r="O98" s="273">
        <v>2</v>
      </c>
      <c r="P98" s="1065">
        <v>378.37</v>
      </c>
      <c r="Q98" s="1084" t="s">
        <v>75</v>
      </c>
      <c r="R98" s="324">
        <v>9050</v>
      </c>
      <c r="S98" s="320">
        <f>R98*P98</f>
        <v>3424248.5</v>
      </c>
      <c r="T98" s="323">
        <v>15</v>
      </c>
      <c r="U98" s="321">
        <f>S98*20/100</f>
        <v>684849.7</v>
      </c>
      <c r="V98" s="321">
        <f>S98-U98</f>
        <v>2739398.8</v>
      </c>
      <c r="W98" s="320">
        <f>V98+K98</f>
        <v>3569898.8</v>
      </c>
      <c r="X98" s="321">
        <f>W98</f>
        <v>3569898.8</v>
      </c>
      <c r="Y98" s="320" t="s">
        <v>87</v>
      </c>
      <c r="Z98" s="320"/>
      <c r="AA98" s="703">
        <v>0.02</v>
      </c>
      <c r="AB98" s="2440">
        <v>0</v>
      </c>
    </row>
    <row r="99" spans="1:29" s="352" customFormat="1" ht="18" customHeight="1" x14ac:dyDescent="0.25">
      <c r="A99" s="255"/>
      <c r="B99" s="255"/>
      <c r="C99" s="255"/>
      <c r="D99" s="287"/>
      <c r="E99" s="287"/>
      <c r="F99" s="287">
        <v>3</v>
      </c>
      <c r="G99" s="287">
        <v>0</v>
      </c>
      <c r="H99" s="785">
        <v>0</v>
      </c>
      <c r="I99" s="324">
        <v>1200</v>
      </c>
      <c r="J99" s="983">
        <v>1100</v>
      </c>
      <c r="K99" s="324">
        <f t="shared" si="9"/>
        <v>1320000</v>
      </c>
      <c r="L99" s="269">
        <v>2</v>
      </c>
      <c r="M99" s="273">
        <v>517</v>
      </c>
      <c r="N99" s="273" t="s">
        <v>707</v>
      </c>
      <c r="O99" s="273">
        <v>1</v>
      </c>
      <c r="P99" s="1065">
        <v>769.75</v>
      </c>
      <c r="Q99" s="1084" t="s">
        <v>237</v>
      </c>
      <c r="R99" s="324">
        <v>2150</v>
      </c>
      <c r="S99" s="320">
        <f t="shared" ref="S99:S100" si="10">R99*P99</f>
        <v>1654962.5</v>
      </c>
      <c r="T99" s="323">
        <v>36</v>
      </c>
      <c r="U99" s="321">
        <f>S99*62/100</f>
        <v>1026076.75</v>
      </c>
      <c r="V99" s="321">
        <f t="shared" ref="V99:V100" si="11">S99-U99</f>
        <v>628885.75</v>
      </c>
      <c r="W99" s="320">
        <f>V99+K99</f>
        <v>1948885.75</v>
      </c>
      <c r="X99" s="321">
        <f t="shared" ref="X99:X100" si="12">W99</f>
        <v>1948885.75</v>
      </c>
      <c r="Y99" s="320"/>
      <c r="Z99" s="320">
        <f>X99</f>
        <v>1948885.75</v>
      </c>
      <c r="AA99" s="703">
        <v>0.01</v>
      </c>
      <c r="AB99" s="2441">
        <f>Z99*AA99/100</f>
        <v>194.88857500000003</v>
      </c>
    </row>
    <row r="100" spans="1:29" s="352" customFormat="1" ht="18" customHeight="1" x14ac:dyDescent="0.25">
      <c r="A100" s="255"/>
      <c r="B100" s="255"/>
      <c r="C100" s="255"/>
      <c r="D100" s="287"/>
      <c r="E100" s="287"/>
      <c r="F100" s="287"/>
      <c r="G100" s="287"/>
      <c r="H100" s="785"/>
      <c r="I100" s="320"/>
      <c r="J100" s="628"/>
      <c r="K100" s="322"/>
      <c r="L100" s="269">
        <v>3</v>
      </c>
      <c r="M100" s="273">
        <v>517</v>
      </c>
      <c r="N100" s="273" t="s">
        <v>708</v>
      </c>
      <c r="O100" s="273">
        <v>1</v>
      </c>
      <c r="P100" s="1065">
        <v>857.66</v>
      </c>
      <c r="Q100" s="1084" t="s">
        <v>709</v>
      </c>
      <c r="R100" s="324">
        <v>2150</v>
      </c>
      <c r="S100" s="320">
        <f t="shared" si="10"/>
        <v>1843969</v>
      </c>
      <c r="T100" s="323">
        <v>36</v>
      </c>
      <c r="U100" s="321">
        <f>S100*62/100</f>
        <v>1143260.78</v>
      </c>
      <c r="V100" s="321">
        <f t="shared" si="11"/>
        <v>700708.22</v>
      </c>
      <c r="W100" s="320">
        <f t="shared" ref="W100" si="13">V100+K100</f>
        <v>700708.22</v>
      </c>
      <c r="X100" s="321">
        <f t="shared" si="12"/>
        <v>700708.22</v>
      </c>
      <c r="Y100" s="320"/>
      <c r="Z100" s="320">
        <f>X100</f>
        <v>700708.22</v>
      </c>
      <c r="AA100" s="703">
        <v>0.01</v>
      </c>
      <c r="AB100" s="2441">
        <f t="shared" ref="AB100" si="14">Z100*AA100/100</f>
        <v>70.070821999999993</v>
      </c>
      <c r="AC100" s="2304">
        <f>SUM(AB99:AB100)</f>
        <v>264.95939700000002</v>
      </c>
    </row>
    <row r="101" spans="1:29" s="2204" customFormat="1" ht="18" customHeight="1" x14ac:dyDescent="0.25">
      <c r="A101" s="1799">
        <v>2</v>
      </c>
      <c r="B101" s="1799">
        <v>41042</v>
      </c>
      <c r="C101" s="1800" t="s">
        <v>115</v>
      </c>
      <c r="D101" s="1802" t="s">
        <v>84</v>
      </c>
      <c r="E101" s="2442">
        <v>5</v>
      </c>
      <c r="F101" s="2442">
        <v>4</v>
      </c>
      <c r="G101" s="2442">
        <v>2</v>
      </c>
      <c r="H101" s="2443">
        <v>3</v>
      </c>
      <c r="I101" s="2444">
        <f t="shared" ref="I101" si="15">+F101*400+G101*100+H101</f>
        <v>1803</v>
      </c>
      <c r="J101" s="992">
        <v>1000</v>
      </c>
      <c r="K101" s="2445">
        <f t="shared" ref="K101" si="16">SUM(I101*J101)</f>
        <v>1803000</v>
      </c>
      <c r="L101" s="1799">
        <v>4</v>
      </c>
      <c r="M101" s="1753">
        <v>517</v>
      </c>
      <c r="N101" s="1753" t="s">
        <v>116</v>
      </c>
      <c r="O101" s="1753">
        <v>1</v>
      </c>
      <c r="P101" s="2446">
        <f>7.58*116.68</f>
        <v>884.4344000000001</v>
      </c>
      <c r="Q101" s="1800" t="s">
        <v>75</v>
      </c>
      <c r="R101" s="2447">
        <v>2150</v>
      </c>
      <c r="S101" s="2444">
        <f t="shared" ref="S101:S110" si="17">R101*P101</f>
        <v>1901533.9600000002</v>
      </c>
      <c r="T101" s="1813">
        <v>36</v>
      </c>
      <c r="U101" s="1812">
        <f>S101*0.62</f>
        <v>1178951.0552000001</v>
      </c>
      <c r="V101" s="1812">
        <f t="shared" ref="V101:V110" si="18">S101-U101</f>
        <v>722582.90480000013</v>
      </c>
      <c r="W101" s="2444">
        <f t="shared" ref="W101:W110" si="19">V101+K101</f>
        <v>2525582.9048000001</v>
      </c>
      <c r="X101" s="1812">
        <f t="shared" ref="X101:X110" si="20">W101</f>
        <v>2525582.9048000001</v>
      </c>
      <c r="Y101" s="2444"/>
      <c r="Z101" s="2444">
        <f t="shared" ref="Z101:Z110" si="21">X101</f>
        <v>2525582.9048000001</v>
      </c>
      <c r="AA101" s="2448">
        <v>0.01</v>
      </c>
      <c r="AB101" s="1465">
        <f>Z101*AA101/100</f>
        <v>252.55829048000004</v>
      </c>
      <c r="AC101" s="2449">
        <f>AB101+AB102+AB103+AB104+AB105+AB106+AB107+AB108</f>
        <v>7608.1981529200002</v>
      </c>
    </row>
    <row r="102" spans="1:29" s="2204" customFormat="1" ht="18" customHeight="1" x14ac:dyDescent="0.25">
      <c r="A102" s="1799"/>
      <c r="B102" s="1799"/>
      <c r="C102" s="1800"/>
      <c r="D102" s="1802"/>
      <c r="E102" s="1802"/>
      <c r="F102" s="1803"/>
      <c r="G102" s="1799"/>
      <c r="H102" s="1804"/>
      <c r="I102" s="2444"/>
      <c r="J102" s="992"/>
      <c r="K102" s="2445"/>
      <c r="L102" s="1799">
        <v>5</v>
      </c>
      <c r="M102" s="1753">
        <v>513</v>
      </c>
      <c r="N102" s="1753" t="s">
        <v>288</v>
      </c>
      <c r="O102" s="1753">
        <v>3</v>
      </c>
      <c r="P102" s="2446">
        <f>20*10</f>
        <v>200</v>
      </c>
      <c r="Q102" s="1800" t="s">
        <v>75</v>
      </c>
      <c r="R102" s="1812">
        <v>6250</v>
      </c>
      <c r="S102" s="2444">
        <f t="shared" si="17"/>
        <v>1250000</v>
      </c>
      <c r="T102" s="1813">
        <v>15</v>
      </c>
      <c r="U102" s="1812">
        <f>+S102*0.2</f>
        <v>250000</v>
      </c>
      <c r="V102" s="1812">
        <f t="shared" si="18"/>
        <v>1000000</v>
      </c>
      <c r="W102" s="2444">
        <f t="shared" si="19"/>
        <v>1000000</v>
      </c>
      <c r="X102" s="1812">
        <f t="shared" si="20"/>
        <v>1000000</v>
      </c>
      <c r="Y102" s="2444"/>
      <c r="Z102" s="2444">
        <f t="shared" si="21"/>
        <v>1000000</v>
      </c>
      <c r="AA102" s="2448">
        <v>0.3</v>
      </c>
      <c r="AB102" s="1465">
        <f t="shared" ref="AB102:AB110" si="22">+Z102*AA102/100</f>
        <v>3000</v>
      </c>
    </row>
    <row r="103" spans="1:29" s="2204" customFormat="1" ht="18" customHeight="1" x14ac:dyDescent="0.25">
      <c r="A103" s="1799"/>
      <c r="B103" s="1799"/>
      <c r="C103" s="1800"/>
      <c r="D103" s="1802"/>
      <c r="E103" s="1802"/>
      <c r="F103" s="1803"/>
      <c r="G103" s="1799"/>
      <c r="H103" s="1804"/>
      <c r="I103" s="2444"/>
      <c r="J103" s="992"/>
      <c r="K103" s="2445"/>
      <c r="L103" s="1799">
        <v>6</v>
      </c>
      <c r="M103" s="1753">
        <v>517</v>
      </c>
      <c r="N103" s="1753" t="s">
        <v>117</v>
      </c>
      <c r="O103" s="1753">
        <v>1</v>
      </c>
      <c r="P103" s="2446">
        <f>7.52*112.43</f>
        <v>845.47360000000003</v>
      </c>
      <c r="Q103" s="1800" t="s">
        <v>75</v>
      </c>
      <c r="R103" s="2447">
        <v>2150</v>
      </c>
      <c r="S103" s="2444">
        <f t="shared" si="17"/>
        <v>1817768.24</v>
      </c>
      <c r="T103" s="1813">
        <v>36</v>
      </c>
      <c r="U103" s="1812">
        <f>+S103*0.62</f>
        <v>1127016.3088</v>
      </c>
      <c r="V103" s="1812">
        <f t="shared" si="18"/>
        <v>690751.93119999999</v>
      </c>
      <c r="W103" s="2444">
        <f t="shared" si="19"/>
        <v>690751.93119999999</v>
      </c>
      <c r="X103" s="1812">
        <f t="shared" si="20"/>
        <v>690751.93119999999</v>
      </c>
      <c r="Y103" s="2444"/>
      <c r="Z103" s="2444">
        <f t="shared" si="21"/>
        <v>690751.93119999999</v>
      </c>
      <c r="AA103" s="2448">
        <v>0.01</v>
      </c>
      <c r="AB103" s="660">
        <f t="shared" si="22"/>
        <v>69.075193120000009</v>
      </c>
    </row>
    <row r="104" spans="1:29" s="2204" customFormat="1" ht="18" customHeight="1" x14ac:dyDescent="0.25">
      <c r="A104" s="1799"/>
      <c r="B104" s="1799"/>
      <c r="C104" s="1800"/>
      <c r="D104" s="1802"/>
      <c r="E104" s="1802"/>
      <c r="F104" s="1803"/>
      <c r="G104" s="1799"/>
      <c r="H104" s="1804"/>
      <c r="I104" s="2444"/>
      <c r="J104" s="992"/>
      <c r="K104" s="2445"/>
      <c r="L104" s="1799">
        <v>7</v>
      </c>
      <c r="M104" s="1753">
        <v>517</v>
      </c>
      <c r="N104" s="1753" t="s">
        <v>118</v>
      </c>
      <c r="O104" s="1753">
        <v>1</v>
      </c>
      <c r="P104" s="2446">
        <f>7.52*112.43</f>
        <v>845.47360000000003</v>
      </c>
      <c r="Q104" s="1800" t="s">
        <v>75</v>
      </c>
      <c r="R104" s="2447">
        <v>2150</v>
      </c>
      <c r="S104" s="2444">
        <f t="shared" si="17"/>
        <v>1817768.24</v>
      </c>
      <c r="T104" s="1813">
        <v>36</v>
      </c>
      <c r="U104" s="1812">
        <f>+S104*0.62</f>
        <v>1127016.3088</v>
      </c>
      <c r="V104" s="1812">
        <f t="shared" si="18"/>
        <v>690751.93119999999</v>
      </c>
      <c r="W104" s="2444">
        <f t="shared" si="19"/>
        <v>690751.93119999999</v>
      </c>
      <c r="X104" s="1812">
        <f t="shared" si="20"/>
        <v>690751.93119999999</v>
      </c>
      <c r="Y104" s="2444"/>
      <c r="Z104" s="2444">
        <f t="shared" si="21"/>
        <v>690751.93119999999</v>
      </c>
      <c r="AA104" s="2448">
        <v>0.01</v>
      </c>
      <c r="AB104" s="658">
        <f t="shared" si="22"/>
        <v>69.075193120000009</v>
      </c>
    </row>
    <row r="105" spans="1:29" s="2204" customFormat="1" ht="18" customHeight="1" x14ac:dyDescent="0.25">
      <c r="A105" s="1799"/>
      <c r="B105" s="1799"/>
      <c r="C105" s="1800"/>
      <c r="D105" s="1802"/>
      <c r="E105" s="1802"/>
      <c r="F105" s="1803"/>
      <c r="G105" s="1799"/>
      <c r="H105" s="1804"/>
      <c r="I105" s="2444"/>
      <c r="J105" s="992"/>
      <c r="K105" s="2445"/>
      <c r="L105" s="1799">
        <v>8</v>
      </c>
      <c r="M105" s="1753">
        <v>504</v>
      </c>
      <c r="N105" s="1753" t="s">
        <v>137</v>
      </c>
      <c r="O105" s="1753">
        <v>3</v>
      </c>
      <c r="P105" s="2446">
        <f>27.34*23.6</f>
        <v>645.22400000000005</v>
      </c>
      <c r="Q105" s="1800" t="s">
        <v>75</v>
      </c>
      <c r="R105" s="2447">
        <v>3100</v>
      </c>
      <c r="S105" s="2444">
        <f t="shared" si="17"/>
        <v>2000194.4000000001</v>
      </c>
      <c r="T105" s="1813">
        <v>29</v>
      </c>
      <c r="U105" s="1812">
        <f>+S105*0.48</f>
        <v>960093.31200000003</v>
      </c>
      <c r="V105" s="1812">
        <f t="shared" si="18"/>
        <v>1040101.0880000001</v>
      </c>
      <c r="W105" s="2444">
        <f t="shared" si="19"/>
        <v>1040101.0880000001</v>
      </c>
      <c r="X105" s="1812">
        <f t="shared" si="20"/>
        <v>1040101.0880000001</v>
      </c>
      <c r="Y105" s="2444"/>
      <c r="Z105" s="2444">
        <f t="shared" si="21"/>
        <v>1040101.0880000001</v>
      </c>
      <c r="AA105" s="2448">
        <v>0.3</v>
      </c>
      <c r="AB105" s="1465">
        <f t="shared" si="22"/>
        <v>3120.3032640000001</v>
      </c>
    </row>
    <row r="106" spans="1:29" s="2204" customFormat="1" ht="18" customHeight="1" x14ac:dyDescent="0.25">
      <c r="A106" s="1799"/>
      <c r="B106" s="1799"/>
      <c r="C106" s="1800"/>
      <c r="D106" s="1802"/>
      <c r="E106" s="1802"/>
      <c r="F106" s="1803"/>
      <c r="G106" s="1799"/>
      <c r="H106" s="1804"/>
      <c r="I106" s="2444"/>
      <c r="J106" s="992"/>
      <c r="K106" s="2445"/>
      <c r="L106" s="1799">
        <v>9</v>
      </c>
      <c r="M106" s="1753">
        <v>504</v>
      </c>
      <c r="N106" s="2450" t="s">
        <v>138</v>
      </c>
      <c r="O106" s="1753">
        <v>3</v>
      </c>
      <c r="P106" s="2446">
        <f>20.45*3.5</f>
        <v>71.575000000000003</v>
      </c>
      <c r="Q106" s="1800" t="s">
        <v>75</v>
      </c>
      <c r="R106" s="2451">
        <v>3100</v>
      </c>
      <c r="S106" s="2444">
        <f t="shared" si="17"/>
        <v>221882.5</v>
      </c>
      <c r="T106" s="1813">
        <v>29</v>
      </c>
      <c r="U106" s="1812">
        <f>+S106*0.48</f>
        <v>106503.59999999999</v>
      </c>
      <c r="V106" s="1812">
        <f t="shared" si="18"/>
        <v>115378.90000000001</v>
      </c>
      <c r="W106" s="2444">
        <f t="shared" si="19"/>
        <v>115378.90000000001</v>
      </c>
      <c r="X106" s="1812">
        <f t="shared" si="20"/>
        <v>115378.90000000001</v>
      </c>
      <c r="Y106" s="2444"/>
      <c r="Z106" s="2444">
        <f t="shared" si="21"/>
        <v>115378.90000000001</v>
      </c>
      <c r="AA106" s="2448">
        <v>0.3</v>
      </c>
      <c r="AB106" s="1465">
        <f t="shared" si="22"/>
        <v>346.13669999999996</v>
      </c>
    </row>
    <row r="107" spans="1:29" s="2204" customFormat="1" ht="18" customHeight="1" x14ac:dyDescent="0.25">
      <c r="A107" s="1799"/>
      <c r="B107" s="1799"/>
      <c r="C107" s="1800"/>
      <c r="D107" s="1802"/>
      <c r="E107" s="1802"/>
      <c r="F107" s="1803"/>
      <c r="G107" s="1799"/>
      <c r="H107" s="1804"/>
      <c r="I107" s="2444"/>
      <c r="J107" s="992"/>
      <c r="K107" s="2445"/>
      <c r="L107" s="1799">
        <v>10</v>
      </c>
      <c r="M107" s="1753">
        <v>504</v>
      </c>
      <c r="N107" s="2450" t="s">
        <v>130</v>
      </c>
      <c r="O107" s="1753">
        <v>3</v>
      </c>
      <c r="P107" s="2446">
        <f>11.73*6.38</f>
        <v>74.837400000000002</v>
      </c>
      <c r="Q107" s="1800" t="s">
        <v>75</v>
      </c>
      <c r="R107" s="2447">
        <v>3100</v>
      </c>
      <c r="S107" s="2444">
        <f t="shared" si="17"/>
        <v>231995.94</v>
      </c>
      <c r="T107" s="1813">
        <v>29</v>
      </c>
      <c r="U107" s="1812">
        <f>+S107*0.48</f>
        <v>111358.0512</v>
      </c>
      <c r="V107" s="1812">
        <f t="shared" si="18"/>
        <v>120637.8888</v>
      </c>
      <c r="W107" s="2444">
        <f t="shared" si="19"/>
        <v>120637.8888</v>
      </c>
      <c r="X107" s="1812">
        <f t="shared" si="20"/>
        <v>120637.8888</v>
      </c>
      <c r="Y107" s="2444"/>
      <c r="Z107" s="2444">
        <f t="shared" si="21"/>
        <v>120637.8888</v>
      </c>
      <c r="AA107" s="2448">
        <v>0.3</v>
      </c>
      <c r="AB107" s="660">
        <f t="shared" si="22"/>
        <v>361.91366640000001</v>
      </c>
    </row>
    <row r="108" spans="1:29" s="2204" customFormat="1" ht="18" customHeight="1" x14ac:dyDescent="0.25">
      <c r="A108" s="1799"/>
      <c r="B108" s="1799"/>
      <c r="C108" s="1800"/>
      <c r="D108" s="1802"/>
      <c r="E108" s="1802"/>
      <c r="F108" s="1803"/>
      <c r="G108" s="1799"/>
      <c r="H108" s="1804"/>
      <c r="I108" s="2444"/>
      <c r="J108" s="992"/>
      <c r="K108" s="2445"/>
      <c r="L108" s="1799">
        <v>11</v>
      </c>
      <c r="M108" s="1753">
        <v>103</v>
      </c>
      <c r="N108" s="1753" t="s">
        <v>74</v>
      </c>
      <c r="O108" s="1753">
        <v>2</v>
      </c>
      <c r="P108" s="2446">
        <f>3.489*7.9</f>
        <v>27.563099999999999</v>
      </c>
      <c r="Q108" s="1800" t="s">
        <v>75</v>
      </c>
      <c r="R108" s="2447">
        <v>9050</v>
      </c>
      <c r="S108" s="2444">
        <f t="shared" si="17"/>
        <v>249446.05499999999</v>
      </c>
      <c r="T108" s="1813">
        <v>29</v>
      </c>
      <c r="U108" s="1812">
        <f>+S108*0.48</f>
        <v>119734.10639999999</v>
      </c>
      <c r="V108" s="1812">
        <f t="shared" si="18"/>
        <v>129711.9486</v>
      </c>
      <c r="W108" s="2444">
        <f t="shared" si="19"/>
        <v>129711.9486</v>
      </c>
      <c r="X108" s="1812">
        <f t="shared" si="20"/>
        <v>129711.9486</v>
      </c>
      <c r="Y108" s="2444"/>
      <c r="Z108" s="2444">
        <f t="shared" si="21"/>
        <v>129711.9486</v>
      </c>
      <c r="AA108" s="2448">
        <v>0.3</v>
      </c>
      <c r="AB108" s="658">
        <f t="shared" si="22"/>
        <v>389.13584580000003</v>
      </c>
      <c r="AC108" s="2449">
        <f>SUM(AB101:AB108)</f>
        <v>7608.1981529200002</v>
      </c>
    </row>
    <row r="109" spans="1:29" s="352" customFormat="1" ht="18" customHeight="1" x14ac:dyDescent="0.25">
      <c r="A109" s="269">
        <v>3</v>
      </c>
      <c r="B109" s="289">
        <v>28756</v>
      </c>
      <c r="C109" s="285" t="s">
        <v>119</v>
      </c>
      <c r="D109" s="273" t="s">
        <v>84</v>
      </c>
      <c r="E109" s="273">
        <v>4</v>
      </c>
      <c r="F109" s="288">
        <v>0</v>
      </c>
      <c r="G109" s="289">
        <v>0</v>
      </c>
      <c r="H109" s="288">
        <v>54</v>
      </c>
      <c r="I109" s="320">
        <f t="shared" ref="I109:I110" si="23">+F109*400+G109*100+H109</f>
        <v>54</v>
      </c>
      <c r="J109" s="628">
        <v>3000</v>
      </c>
      <c r="K109" s="322">
        <f t="shared" ref="K109:K110" si="24">SUM(I109*J109)</f>
        <v>162000</v>
      </c>
      <c r="L109" s="269"/>
      <c r="M109" s="242"/>
      <c r="N109" s="269"/>
      <c r="O109" s="269">
        <v>4</v>
      </c>
      <c r="P109" s="760"/>
      <c r="Q109" s="285"/>
      <c r="R109" s="321"/>
      <c r="S109" s="320">
        <f t="shared" si="17"/>
        <v>0</v>
      </c>
      <c r="T109" s="323"/>
      <c r="U109" s="321">
        <f t="shared" ref="U109:U110" si="25">+S109*0.18</f>
        <v>0</v>
      </c>
      <c r="V109" s="321">
        <f t="shared" si="18"/>
        <v>0</v>
      </c>
      <c r="W109" s="320">
        <f t="shared" si="19"/>
        <v>162000</v>
      </c>
      <c r="X109" s="321">
        <f t="shared" si="20"/>
        <v>162000</v>
      </c>
      <c r="Y109" s="321"/>
      <c r="Z109" s="320">
        <f t="shared" si="21"/>
        <v>162000</v>
      </c>
      <c r="AA109" s="703">
        <v>0.6</v>
      </c>
      <c r="AB109" s="410">
        <f t="shared" si="22"/>
        <v>972</v>
      </c>
    </row>
    <row r="110" spans="1:29" s="352" customFormat="1" ht="18" customHeight="1" x14ac:dyDescent="0.25">
      <c r="A110" s="269">
        <v>4</v>
      </c>
      <c r="B110" s="289">
        <v>28757</v>
      </c>
      <c r="C110" s="285" t="s">
        <v>120</v>
      </c>
      <c r="D110" s="273" t="s">
        <v>84</v>
      </c>
      <c r="E110" s="273">
        <v>4</v>
      </c>
      <c r="F110" s="288">
        <v>0</v>
      </c>
      <c r="G110" s="289">
        <v>0</v>
      </c>
      <c r="H110" s="288">
        <v>67</v>
      </c>
      <c r="I110" s="320">
        <f t="shared" si="23"/>
        <v>67</v>
      </c>
      <c r="J110" s="628">
        <v>3000</v>
      </c>
      <c r="K110" s="322">
        <f t="shared" si="24"/>
        <v>201000</v>
      </c>
      <c r="L110" s="269"/>
      <c r="M110" s="242"/>
      <c r="N110" s="269"/>
      <c r="O110" s="269">
        <v>4</v>
      </c>
      <c r="P110" s="760"/>
      <c r="Q110" s="285"/>
      <c r="R110" s="321"/>
      <c r="S110" s="320">
        <f t="shared" si="17"/>
        <v>0</v>
      </c>
      <c r="T110" s="323"/>
      <c r="U110" s="321">
        <f t="shared" si="25"/>
        <v>0</v>
      </c>
      <c r="V110" s="321">
        <f t="shared" si="18"/>
        <v>0</v>
      </c>
      <c r="W110" s="320">
        <f t="shared" si="19"/>
        <v>201000</v>
      </c>
      <c r="X110" s="321">
        <f t="shared" si="20"/>
        <v>201000</v>
      </c>
      <c r="Y110" s="321"/>
      <c r="Z110" s="320">
        <f t="shared" si="21"/>
        <v>201000</v>
      </c>
      <c r="AA110" s="703">
        <v>0.6</v>
      </c>
      <c r="AB110" s="416">
        <f t="shared" si="22"/>
        <v>1206</v>
      </c>
    </row>
    <row r="111" spans="1:29" s="352" customFormat="1" ht="18" customHeight="1" x14ac:dyDescent="0.25">
      <c r="A111" s="269"/>
      <c r="B111" s="289"/>
      <c r="C111" s="285"/>
      <c r="D111" s="273"/>
      <c r="E111" s="273"/>
      <c r="F111" s="288"/>
      <c r="G111" s="289"/>
      <c r="H111" s="288"/>
      <c r="I111" s="320"/>
      <c r="J111" s="628"/>
      <c r="K111" s="322"/>
      <c r="L111" s="269"/>
      <c r="M111" s="242"/>
      <c r="N111" s="269"/>
      <c r="O111" s="269"/>
      <c r="P111" s="760"/>
      <c r="Q111" s="285"/>
      <c r="R111" s="321"/>
      <c r="S111" s="320"/>
      <c r="T111" s="323"/>
      <c r="U111" s="321"/>
      <c r="V111" s="321"/>
      <c r="W111" s="320"/>
      <c r="X111" s="321"/>
      <c r="Y111" s="321"/>
      <c r="Z111" s="320"/>
      <c r="AA111" s="703"/>
      <c r="AB111" s="416"/>
    </row>
    <row r="112" spans="1:29" s="352" customFormat="1" ht="18" customHeight="1" x14ac:dyDescent="0.25">
      <c r="A112" s="269"/>
      <c r="B112" s="289"/>
      <c r="C112" s="285"/>
      <c r="D112" s="273"/>
      <c r="E112" s="273"/>
      <c r="F112" s="288"/>
      <c r="G112" s="289"/>
      <c r="H112" s="288"/>
      <c r="I112" s="320"/>
      <c r="J112" s="628"/>
      <c r="K112" s="322"/>
      <c r="L112" s="269"/>
      <c r="M112" s="242"/>
      <c r="N112" s="269"/>
      <c r="O112" s="269"/>
      <c r="P112" s="760"/>
      <c r="Q112" s="285"/>
      <c r="R112" s="321"/>
      <c r="S112" s="320"/>
      <c r="T112" s="323"/>
      <c r="U112" s="321"/>
      <c r="V112" s="321"/>
      <c r="W112" s="320"/>
      <c r="X112" s="321"/>
      <c r="Y112" s="321"/>
      <c r="Z112" s="320"/>
      <c r="AA112" s="703"/>
      <c r="AB112" s="416"/>
    </row>
    <row r="113" spans="1:28" s="352" customFormat="1" ht="18" customHeight="1" x14ac:dyDescent="0.2">
      <c r="A113" s="242"/>
      <c r="B113" s="87"/>
      <c r="C113" s="496"/>
      <c r="D113" s="85"/>
      <c r="E113" s="85"/>
      <c r="F113" s="411"/>
      <c r="G113" s="85"/>
      <c r="H113" s="786"/>
      <c r="I113" s="103"/>
      <c r="J113" s="787"/>
      <c r="K113" s="104"/>
      <c r="L113" s="242"/>
      <c r="M113" s="242"/>
      <c r="N113" s="242"/>
      <c r="O113" s="242"/>
      <c r="P113" s="497"/>
      <c r="Q113" s="496"/>
      <c r="R113" s="503"/>
      <c r="S113" s="504"/>
      <c r="T113" s="505"/>
      <c r="U113" s="504"/>
      <c r="V113" s="504"/>
      <c r="W113" s="103"/>
      <c r="X113" s="504"/>
      <c r="Y113" s="504"/>
      <c r="Z113" s="504"/>
      <c r="AA113" s="788"/>
      <c r="AB113" s="415"/>
    </row>
    <row r="114" spans="1:28" s="352" customFormat="1" ht="18" customHeight="1" x14ac:dyDescent="0.2">
      <c r="A114" s="1850"/>
      <c r="B114" s="1850"/>
      <c r="C114" s="1850"/>
      <c r="D114" s="1850"/>
      <c r="E114" s="1850"/>
      <c r="F114" s="1850"/>
      <c r="G114" s="1850"/>
      <c r="H114" s="1851"/>
      <c r="I114" s="1852"/>
      <c r="J114" s="1853"/>
      <c r="K114" s="1852"/>
      <c r="L114" s="1852"/>
      <c r="M114" s="1852"/>
      <c r="N114" s="1852"/>
      <c r="O114" s="1852"/>
      <c r="P114" s="1852"/>
      <c r="Q114" s="1852"/>
      <c r="R114" s="1854"/>
      <c r="S114" s="1852"/>
      <c r="T114" s="1855"/>
      <c r="U114" s="1853"/>
      <c r="V114" s="1852"/>
      <c r="W114" s="1852"/>
      <c r="X114" s="1856"/>
      <c r="Y114" s="1856"/>
      <c r="Z114" s="1857"/>
      <c r="AA114" s="1857"/>
      <c r="AB114" s="1847">
        <f>SUM(AB97:AB113)</f>
        <v>10051.157549920001</v>
      </c>
    </row>
    <row r="115" spans="1:28" s="352" customFormat="1" ht="18" customHeight="1" x14ac:dyDescent="0.2">
      <c r="A115" s="2778" t="s">
        <v>76</v>
      </c>
      <c r="B115" s="2778"/>
      <c r="C115" s="2779" t="s">
        <v>77</v>
      </c>
      <c r="D115" s="2779"/>
      <c r="E115" s="2779"/>
      <c r="F115" s="2779"/>
      <c r="G115" s="2779"/>
      <c r="H115" s="2779"/>
      <c r="I115" s="424" t="s">
        <v>78</v>
      </c>
      <c r="J115" s="424"/>
      <c r="K115" s="424"/>
      <c r="L115" s="424"/>
      <c r="M115" s="424"/>
      <c r="N115" s="424"/>
      <c r="AB115" s="425"/>
    </row>
    <row r="116" spans="1:28" s="352" customFormat="1" ht="18" customHeight="1" x14ac:dyDescent="0.2">
      <c r="A116" s="424"/>
      <c r="B116" s="426"/>
      <c r="C116" s="424"/>
      <c r="D116" s="424"/>
      <c r="E116" s="424"/>
      <c r="F116" s="424"/>
      <c r="G116" s="424"/>
      <c r="H116" s="424"/>
      <c r="I116" s="424" t="s">
        <v>79</v>
      </c>
      <c r="J116" s="424"/>
      <c r="K116" s="424"/>
      <c r="L116" s="424"/>
      <c r="M116" s="424"/>
      <c r="N116" s="424"/>
      <c r="AB116" s="425"/>
    </row>
    <row r="117" spans="1:28" s="352" customFormat="1" ht="18" customHeight="1" x14ac:dyDescent="0.2">
      <c r="A117" s="424"/>
      <c r="B117" s="426"/>
      <c r="C117" s="424"/>
      <c r="D117" s="424"/>
      <c r="E117" s="424"/>
      <c r="F117" s="424"/>
      <c r="G117" s="424"/>
      <c r="H117" s="424"/>
      <c r="I117" s="424" t="s">
        <v>80</v>
      </c>
      <c r="J117" s="424"/>
      <c r="K117" s="424"/>
      <c r="L117" s="424"/>
      <c r="M117" s="424"/>
      <c r="N117" s="424"/>
      <c r="AB117" s="425"/>
    </row>
    <row r="118" spans="1:28" s="352" customFormat="1" ht="18" customHeight="1" x14ac:dyDescent="0.2">
      <c r="A118" s="424"/>
      <c r="B118" s="426"/>
      <c r="C118" s="424"/>
      <c r="D118" s="424"/>
      <c r="E118" s="424"/>
      <c r="F118" s="424"/>
      <c r="G118" s="424"/>
      <c r="H118" s="424"/>
      <c r="I118" s="424" t="s">
        <v>81</v>
      </c>
      <c r="J118" s="424"/>
      <c r="K118" s="424"/>
      <c r="L118" s="424"/>
      <c r="M118" s="424"/>
      <c r="N118" s="424"/>
      <c r="AB118" s="425"/>
    </row>
    <row r="119" spans="1:28" s="352" customFormat="1" ht="18" customHeight="1" x14ac:dyDescent="0.2">
      <c r="A119" s="424"/>
      <c r="B119" s="426"/>
      <c r="C119" s="424"/>
      <c r="D119" s="424"/>
      <c r="E119" s="424"/>
      <c r="F119" s="424"/>
      <c r="G119" s="424"/>
      <c r="H119" s="424"/>
      <c r="I119" s="424" t="s">
        <v>88</v>
      </c>
      <c r="J119" s="424"/>
      <c r="K119" s="424"/>
      <c r="L119" s="424"/>
      <c r="M119" s="424"/>
      <c r="N119" s="424"/>
      <c r="AB119" s="425"/>
    </row>
    <row r="120" spans="1:28" s="352" customFormat="1" ht="18" customHeight="1" x14ac:dyDescent="0.2">
      <c r="A120" s="338"/>
      <c r="B120" s="338"/>
      <c r="C120" s="338"/>
      <c r="D120" s="338"/>
      <c r="E120" s="338"/>
      <c r="F120" s="338"/>
      <c r="G120" s="338"/>
      <c r="H120" s="338"/>
      <c r="I120" s="338"/>
      <c r="J120" s="338"/>
      <c r="K120" s="338"/>
      <c r="L120" s="338"/>
      <c r="M120" s="338"/>
      <c r="N120" s="338"/>
      <c r="O120" s="338"/>
      <c r="P120" s="338"/>
      <c r="Q120" s="338"/>
      <c r="R120" s="338"/>
      <c r="S120" s="338"/>
      <c r="T120" s="338"/>
      <c r="U120" s="338"/>
      <c r="V120" s="338"/>
      <c r="W120" s="338"/>
      <c r="X120" s="338"/>
      <c r="Y120" s="338"/>
      <c r="Z120" s="338"/>
      <c r="AA120" s="2774" t="s">
        <v>0</v>
      </c>
      <c r="AB120" s="2774"/>
    </row>
    <row r="121" spans="1:28" s="352" customFormat="1" ht="18" customHeight="1" x14ac:dyDescent="0.2">
      <c r="A121" s="2703" t="s">
        <v>1</v>
      </c>
      <c r="B121" s="2703"/>
      <c r="C121" s="2703"/>
      <c r="D121" s="2703"/>
      <c r="E121" s="2703"/>
      <c r="F121" s="2703"/>
      <c r="G121" s="2703"/>
      <c r="H121" s="2703"/>
      <c r="I121" s="2703"/>
      <c r="J121" s="2703"/>
      <c r="K121" s="2703"/>
      <c r="L121" s="2703"/>
      <c r="M121" s="2703"/>
      <c r="N121" s="2703"/>
      <c r="O121" s="2703"/>
      <c r="P121" s="2703"/>
      <c r="Q121" s="2703"/>
      <c r="R121" s="2703"/>
      <c r="S121" s="2703"/>
      <c r="T121" s="2703"/>
      <c r="U121" s="2703"/>
      <c r="V121" s="2703"/>
      <c r="W121" s="2703"/>
      <c r="X121" s="2703"/>
      <c r="Y121" s="2703"/>
      <c r="Z121" s="2703"/>
      <c r="AA121" s="2703"/>
      <c r="AB121" s="2703"/>
    </row>
    <row r="122" spans="1:28" s="352" customFormat="1" ht="18" customHeight="1" x14ac:dyDescent="0.2">
      <c r="A122" s="2780" t="s">
        <v>593</v>
      </c>
      <c r="B122" s="2780"/>
      <c r="C122" s="2780"/>
      <c r="D122" s="2780"/>
      <c r="E122" s="2780"/>
      <c r="F122" s="2780"/>
      <c r="G122" s="2780"/>
      <c r="H122" s="2780"/>
      <c r="I122" s="2780"/>
      <c r="J122" s="2780"/>
      <c r="K122" s="2780"/>
      <c r="L122" s="2780"/>
      <c r="M122" s="2780"/>
      <c r="N122" s="2780"/>
      <c r="O122" s="2780"/>
      <c r="P122" s="2780"/>
      <c r="Q122" s="2780"/>
      <c r="R122" s="2780"/>
      <c r="S122" s="2780"/>
      <c r="T122" s="2780"/>
      <c r="U122" s="2780"/>
      <c r="V122" s="2780"/>
      <c r="W122" s="2780"/>
      <c r="X122" s="2780"/>
      <c r="Y122" s="2780"/>
      <c r="Z122" s="2780"/>
      <c r="AA122" s="2780"/>
      <c r="AB122" s="2780"/>
    </row>
    <row r="123" spans="1:28" s="352" customFormat="1" ht="18" customHeight="1" x14ac:dyDescent="0.2">
      <c r="A123" s="2686" t="s">
        <v>2</v>
      </c>
      <c r="B123" s="360"/>
      <c r="C123" s="2686" t="s">
        <v>3</v>
      </c>
      <c r="D123" s="360"/>
      <c r="E123" s="360"/>
      <c r="F123" s="2693" t="s">
        <v>4</v>
      </c>
      <c r="G123" s="2693"/>
      <c r="H123" s="2693"/>
      <c r="I123" s="2694"/>
      <c r="J123" s="2694"/>
      <c r="K123" s="2695"/>
      <c r="L123" s="361"/>
      <c r="M123" s="2679" t="s">
        <v>5</v>
      </c>
      <c r="N123" s="2679"/>
      <c r="O123" s="2679"/>
      <c r="P123" s="2679"/>
      <c r="Q123" s="2696"/>
      <c r="R123" s="2696"/>
      <c r="S123" s="2696"/>
      <c r="T123" s="2696"/>
      <c r="U123" s="2696"/>
      <c r="V123" s="2697"/>
      <c r="W123" s="362" t="s">
        <v>6</v>
      </c>
      <c r="X123" s="363" t="s">
        <v>7</v>
      </c>
      <c r="Y123" s="364"/>
      <c r="Z123" s="364"/>
      <c r="AA123" s="363"/>
      <c r="AB123" s="365"/>
    </row>
    <row r="124" spans="1:28" s="352" customFormat="1" ht="18" customHeight="1" x14ac:dyDescent="0.2">
      <c r="A124" s="2687"/>
      <c r="B124" s="367"/>
      <c r="C124" s="2687"/>
      <c r="D124" s="2158" t="s">
        <v>9</v>
      </c>
      <c r="E124" s="368" t="s">
        <v>10</v>
      </c>
      <c r="F124" s="2698" t="s">
        <v>11</v>
      </c>
      <c r="G124" s="2694"/>
      <c r="H124" s="2695"/>
      <c r="I124" s="360"/>
      <c r="J124" s="369" t="s">
        <v>12</v>
      </c>
      <c r="K124" s="360"/>
      <c r="L124" s="2679" t="s">
        <v>2</v>
      </c>
      <c r="M124" s="2162"/>
      <c r="N124" s="2162"/>
      <c r="O124" s="2162"/>
      <c r="P124" s="371"/>
      <c r="Q124" s="372" t="s">
        <v>13</v>
      </c>
      <c r="R124" s="373" t="s">
        <v>12</v>
      </c>
      <c r="S124" s="2162" t="s">
        <v>6</v>
      </c>
      <c r="T124" s="2682" t="s">
        <v>14</v>
      </c>
      <c r="U124" s="2683"/>
      <c r="V124" s="375" t="s">
        <v>7</v>
      </c>
      <c r="W124" s="376" t="s">
        <v>15</v>
      </c>
      <c r="X124" s="377" t="s">
        <v>16</v>
      </c>
      <c r="Y124" s="377" t="s">
        <v>17</v>
      </c>
      <c r="Z124" s="377" t="s">
        <v>18</v>
      </c>
      <c r="AA124" s="377"/>
      <c r="AB124" s="378" t="s">
        <v>19</v>
      </c>
    </row>
    <row r="125" spans="1:28" s="352" customFormat="1" ht="18" customHeight="1" x14ac:dyDescent="0.2">
      <c r="A125" s="2687"/>
      <c r="B125" s="2158" t="s">
        <v>23</v>
      </c>
      <c r="C125" s="2687"/>
      <c r="D125" s="2158" t="s">
        <v>24</v>
      </c>
      <c r="E125" s="368" t="s">
        <v>25</v>
      </c>
      <c r="F125" s="2699"/>
      <c r="G125" s="2700"/>
      <c r="H125" s="2701"/>
      <c r="I125" s="2158" t="s">
        <v>26</v>
      </c>
      <c r="J125" s="379" t="s">
        <v>15</v>
      </c>
      <c r="K125" s="2159" t="s">
        <v>6</v>
      </c>
      <c r="L125" s="2680"/>
      <c r="M125" s="2163" t="s">
        <v>27</v>
      </c>
      <c r="N125" s="2163" t="s">
        <v>10</v>
      </c>
      <c r="O125" s="382" t="s">
        <v>10</v>
      </c>
      <c r="P125" s="383" t="s">
        <v>28</v>
      </c>
      <c r="Q125" s="384" t="s">
        <v>29</v>
      </c>
      <c r="R125" s="383" t="s">
        <v>15</v>
      </c>
      <c r="S125" s="385" t="s">
        <v>15</v>
      </c>
      <c r="T125" s="2684"/>
      <c r="U125" s="2685"/>
      <c r="V125" s="375" t="s">
        <v>30</v>
      </c>
      <c r="W125" s="376" t="s">
        <v>31</v>
      </c>
      <c r="X125" s="377" t="s">
        <v>30</v>
      </c>
      <c r="Y125" s="377" t="s">
        <v>32</v>
      </c>
      <c r="Z125" s="377" t="s">
        <v>7</v>
      </c>
      <c r="AA125" s="377" t="s">
        <v>33</v>
      </c>
      <c r="AB125" s="378" t="s">
        <v>34</v>
      </c>
    </row>
    <row r="126" spans="1:28" s="352" customFormat="1" ht="18" customHeight="1" x14ac:dyDescent="0.2">
      <c r="A126" s="2687"/>
      <c r="B126" s="2158" t="s">
        <v>39</v>
      </c>
      <c r="C126" s="2687"/>
      <c r="D126" s="2158" t="s">
        <v>40</v>
      </c>
      <c r="E126" s="368" t="s">
        <v>41</v>
      </c>
      <c r="F126" s="2686" t="s">
        <v>42</v>
      </c>
      <c r="G126" s="2686" t="s">
        <v>43</v>
      </c>
      <c r="H126" s="2688" t="s">
        <v>44</v>
      </c>
      <c r="I126" s="2158" t="s">
        <v>45</v>
      </c>
      <c r="J126" s="379" t="s">
        <v>46</v>
      </c>
      <c r="K126" s="2159" t="s">
        <v>47</v>
      </c>
      <c r="L126" s="2680"/>
      <c r="M126" s="2163" t="s">
        <v>30</v>
      </c>
      <c r="N126" s="2163" t="s">
        <v>30</v>
      </c>
      <c r="O126" s="382" t="s">
        <v>25</v>
      </c>
      <c r="P126" s="383" t="s">
        <v>30</v>
      </c>
      <c r="Q126" s="384" t="s">
        <v>48</v>
      </c>
      <c r="R126" s="383" t="s">
        <v>49</v>
      </c>
      <c r="S126" s="385" t="s">
        <v>30</v>
      </c>
      <c r="T126" s="386" t="s">
        <v>50</v>
      </c>
      <c r="U126" s="2161" t="s">
        <v>13</v>
      </c>
      <c r="V126" s="375" t="s">
        <v>51</v>
      </c>
      <c r="W126" s="376" t="s">
        <v>52</v>
      </c>
      <c r="X126" s="377" t="s">
        <v>53</v>
      </c>
      <c r="Y126" s="377" t="s">
        <v>54</v>
      </c>
      <c r="Z126" s="377" t="s">
        <v>55</v>
      </c>
      <c r="AA126" s="377" t="s">
        <v>56</v>
      </c>
      <c r="AB126" s="378" t="s">
        <v>57</v>
      </c>
    </row>
    <row r="127" spans="1:28" s="352" customFormat="1" ht="18" customHeight="1" x14ac:dyDescent="0.2">
      <c r="A127" s="2687"/>
      <c r="B127" s="2158" t="s">
        <v>61</v>
      </c>
      <c r="C127" s="2687"/>
      <c r="D127" s="2158" t="s">
        <v>62</v>
      </c>
      <c r="E127" s="368" t="s">
        <v>63</v>
      </c>
      <c r="F127" s="2687"/>
      <c r="G127" s="2687"/>
      <c r="H127" s="2689"/>
      <c r="I127" s="2158" t="s">
        <v>64</v>
      </c>
      <c r="J127" s="379" t="s">
        <v>59</v>
      </c>
      <c r="K127" s="2159" t="s">
        <v>59</v>
      </c>
      <c r="L127" s="2680"/>
      <c r="M127" s="2163"/>
      <c r="N127" s="2163"/>
      <c r="O127" s="382" t="s">
        <v>41</v>
      </c>
      <c r="P127" s="383" t="s">
        <v>65</v>
      </c>
      <c r="Q127" s="384" t="s">
        <v>66</v>
      </c>
      <c r="R127" s="383" t="s">
        <v>67</v>
      </c>
      <c r="S127" s="385" t="s">
        <v>59</v>
      </c>
      <c r="T127" s="387" t="s">
        <v>68</v>
      </c>
      <c r="U127" s="375" t="s">
        <v>14</v>
      </c>
      <c r="V127" s="375" t="s">
        <v>14</v>
      </c>
      <c r="W127" s="376" t="s">
        <v>30</v>
      </c>
      <c r="X127" s="388" t="s">
        <v>69</v>
      </c>
      <c r="Y127" s="388" t="s">
        <v>70</v>
      </c>
      <c r="Z127" s="377" t="s">
        <v>71</v>
      </c>
      <c r="AA127" s="377" t="s">
        <v>72</v>
      </c>
      <c r="AB127" s="378" t="s">
        <v>59</v>
      </c>
    </row>
    <row r="128" spans="1:28" s="352" customFormat="1" ht="18" customHeight="1" x14ac:dyDescent="0.2">
      <c r="A128" s="2692"/>
      <c r="B128" s="390"/>
      <c r="C128" s="2692"/>
      <c r="D128" s="390"/>
      <c r="E128" s="2160"/>
      <c r="F128" s="390"/>
      <c r="G128" s="390"/>
      <c r="H128" s="391"/>
      <c r="I128" s="2160"/>
      <c r="J128" s="392"/>
      <c r="K128" s="393"/>
      <c r="L128" s="2681"/>
      <c r="M128" s="2164"/>
      <c r="N128" s="2164"/>
      <c r="O128" s="2164" t="s">
        <v>63</v>
      </c>
      <c r="P128" s="395"/>
      <c r="Q128" s="396" t="s">
        <v>72</v>
      </c>
      <c r="R128" s="397" t="s">
        <v>59</v>
      </c>
      <c r="S128" s="398"/>
      <c r="T128" s="397" t="s">
        <v>73</v>
      </c>
      <c r="U128" s="398" t="s">
        <v>59</v>
      </c>
      <c r="V128" s="399" t="s">
        <v>59</v>
      </c>
      <c r="W128" s="400" t="s">
        <v>59</v>
      </c>
      <c r="X128" s="401" t="s">
        <v>59</v>
      </c>
      <c r="Y128" s="401" t="s">
        <v>59</v>
      </c>
      <c r="Z128" s="401" t="s">
        <v>59</v>
      </c>
      <c r="AA128" s="402"/>
      <c r="AB128" s="403"/>
    </row>
    <row r="129" spans="1:29" s="352" customFormat="1" ht="18" customHeight="1" x14ac:dyDescent="0.2">
      <c r="A129" s="16">
        <v>1</v>
      </c>
      <c r="B129" s="41">
        <v>22568</v>
      </c>
      <c r="C129" s="41">
        <v>1637</v>
      </c>
      <c r="D129" s="15" t="s">
        <v>84</v>
      </c>
      <c r="E129" s="15">
        <v>3</v>
      </c>
      <c r="F129" s="41">
        <v>0</v>
      </c>
      <c r="G129" s="41">
        <v>1</v>
      </c>
      <c r="H129" s="267">
        <v>27</v>
      </c>
      <c r="I129" s="296">
        <f>F129*400+G129*100+H129</f>
        <v>127</v>
      </c>
      <c r="J129" s="759">
        <v>2300</v>
      </c>
      <c r="K129" s="297">
        <f>SUM(I129*J129)</f>
        <v>292100</v>
      </c>
      <c r="L129" s="45">
        <v>1</v>
      </c>
      <c r="M129" s="2166">
        <v>504</v>
      </c>
      <c r="N129" s="15" t="s">
        <v>82</v>
      </c>
      <c r="O129" s="50">
        <v>3</v>
      </c>
      <c r="P129" s="758">
        <f>20.25*13.45</f>
        <v>272.36250000000001</v>
      </c>
      <c r="Q129" s="62" t="s">
        <v>75</v>
      </c>
      <c r="R129" s="296">
        <v>3100</v>
      </c>
      <c r="S129" s="296">
        <f>+P129*R129</f>
        <v>844323.75</v>
      </c>
      <c r="T129" s="298">
        <v>13</v>
      </c>
      <c r="U129" s="299">
        <f>S129*55/100</f>
        <v>464378.0625</v>
      </c>
      <c r="V129" s="299">
        <f>+S129-U129</f>
        <v>379945.6875</v>
      </c>
      <c r="W129" s="296">
        <f>K129+V129</f>
        <v>672045.6875</v>
      </c>
      <c r="X129" s="299">
        <f>W129</f>
        <v>672045.6875</v>
      </c>
      <c r="Y129" s="669"/>
      <c r="Z129" s="299">
        <v>0</v>
      </c>
      <c r="AA129" s="670">
        <v>0.3</v>
      </c>
      <c r="AB129" s="465">
        <f>+Z129*AA129/100</f>
        <v>0</v>
      </c>
      <c r="AC129" s="352" t="s">
        <v>595</v>
      </c>
    </row>
    <row r="130" spans="1:29" s="2204" customFormat="1" ht="18" customHeight="1" x14ac:dyDescent="0.25">
      <c r="A130" s="1799">
        <v>2</v>
      </c>
      <c r="B130" s="1799">
        <v>30475</v>
      </c>
      <c r="C130" s="1800" t="s">
        <v>289</v>
      </c>
      <c r="D130" s="15" t="s">
        <v>84</v>
      </c>
      <c r="E130" s="1801"/>
      <c r="F130" s="1803">
        <v>0</v>
      </c>
      <c r="G130" s="1799">
        <v>0</v>
      </c>
      <c r="H130" s="1804">
        <v>48</v>
      </c>
      <c r="I130" s="1795">
        <f>F130*400+G130*100+H130</f>
        <v>48</v>
      </c>
      <c r="J130" s="813">
        <v>3000</v>
      </c>
      <c r="K130" s="1785">
        <f>SUM(I130*J130)</f>
        <v>144000</v>
      </c>
      <c r="L130" s="1799"/>
      <c r="M130" s="1783"/>
      <c r="N130" s="1801"/>
      <c r="O130" s="1814"/>
      <c r="P130" s="2203"/>
      <c r="Q130" s="1789"/>
      <c r="R130" s="1795"/>
      <c r="S130" s="1795"/>
      <c r="T130" s="1806"/>
      <c r="U130" s="1807"/>
      <c r="V130" s="1807"/>
      <c r="W130" s="1795"/>
      <c r="X130" s="1807"/>
      <c r="Y130" s="1808"/>
      <c r="Z130" s="1807">
        <f>+X130</f>
        <v>0</v>
      </c>
      <c r="AA130" s="1809">
        <v>0.01</v>
      </c>
      <c r="AB130" s="660">
        <f t="shared" ref="AB130:AB131" si="26">+Z130*AA130/100</f>
        <v>0</v>
      </c>
      <c r="AC130" s="2793" t="s">
        <v>594</v>
      </c>
    </row>
    <row r="131" spans="1:29" s="2204" customFormat="1" ht="18" customHeight="1" x14ac:dyDescent="0.25">
      <c r="A131" s="1799">
        <v>3</v>
      </c>
      <c r="B131" s="1799">
        <v>30192</v>
      </c>
      <c r="C131" s="1800" t="s">
        <v>175</v>
      </c>
      <c r="D131" s="15" t="s">
        <v>84</v>
      </c>
      <c r="E131" s="1802"/>
      <c r="F131" s="1803">
        <v>0</v>
      </c>
      <c r="G131" s="1799">
        <v>0</v>
      </c>
      <c r="H131" s="1804">
        <v>49</v>
      </c>
      <c r="I131" s="1795">
        <f>F131*400+G131*100+H131</f>
        <v>49</v>
      </c>
      <c r="J131" s="813">
        <v>3001</v>
      </c>
      <c r="K131" s="1785">
        <f>SUM(I131*J131)</f>
        <v>147049</v>
      </c>
      <c r="L131" s="1799"/>
      <c r="M131" s="1783"/>
      <c r="N131" s="1801"/>
      <c r="O131" s="1814"/>
      <c r="P131" s="2203"/>
      <c r="Q131" s="1789"/>
      <c r="R131" s="1795"/>
      <c r="S131" s="1795"/>
      <c r="T131" s="1806"/>
      <c r="U131" s="1807"/>
      <c r="V131" s="1807"/>
      <c r="W131" s="1795"/>
      <c r="X131" s="1807"/>
      <c r="Y131" s="1808"/>
      <c r="Z131" s="1807">
        <f>+X131</f>
        <v>0</v>
      </c>
      <c r="AA131" s="1809">
        <v>0.01</v>
      </c>
      <c r="AB131" s="660">
        <f t="shared" si="26"/>
        <v>0</v>
      </c>
      <c r="AC131" s="2793"/>
    </row>
    <row r="132" spans="1:29" s="2204" customFormat="1" ht="18" customHeight="1" x14ac:dyDescent="0.2">
      <c r="A132" s="1783"/>
      <c r="B132" s="1783"/>
      <c r="C132" s="1783"/>
      <c r="D132" s="1783"/>
      <c r="E132" s="1783"/>
      <c r="F132" s="1783"/>
      <c r="G132" s="1783"/>
      <c r="H132" s="1784"/>
      <c r="I132" s="178"/>
      <c r="J132" s="178"/>
      <c r="K132" s="178"/>
      <c r="L132" s="1783"/>
      <c r="M132" s="1783"/>
      <c r="N132" s="1783"/>
      <c r="O132" s="1783"/>
      <c r="P132" s="1784"/>
      <c r="Q132" s="1817"/>
      <c r="R132" s="437"/>
      <c r="S132" s="178"/>
      <c r="T132" s="179"/>
      <c r="U132" s="178"/>
      <c r="V132" s="178"/>
      <c r="W132" s="178"/>
      <c r="X132" s="1818"/>
      <c r="Y132" s="1818"/>
      <c r="Z132" s="748"/>
      <c r="AA132" s="748"/>
      <c r="AB132" s="744"/>
    </row>
    <row r="133" spans="1:29" s="352" customFormat="1" ht="18" customHeight="1" x14ac:dyDescent="0.2">
      <c r="A133" s="2166"/>
      <c r="B133" s="177"/>
      <c r="C133" s="177"/>
      <c r="D133" s="2166"/>
      <c r="E133" s="2166"/>
      <c r="F133" s="2166"/>
      <c r="G133" s="2166"/>
      <c r="H133" s="2171"/>
      <c r="I133" s="2168"/>
      <c r="J133" s="178"/>
      <c r="K133" s="2168"/>
      <c r="L133" s="2166"/>
      <c r="M133" s="2166"/>
      <c r="N133" s="2166"/>
      <c r="O133" s="2166"/>
      <c r="P133" s="2171"/>
      <c r="Q133" s="2167"/>
      <c r="R133" s="437"/>
      <c r="S133" s="2168"/>
      <c r="T133" s="179"/>
      <c r="U133" s="178"/>
      <c r="V133" s="2168"/>
      <c r="W133" s="2168"/>
      <c r="X133" s="470"/>
      <c r="Y133" s="470"/>
      <c r="Z133" s="471"/>
      <c r="AA133" s="471"/>
      <c r="AB133" s="466"/>
    </row>
    <row r="134" spans="1:29" s="352" customFormat="1" ht="18" customHeight="1" x14ac:dyDescent="0.2">
      <c r="A134" s="2166"/>
      <c r="B134" s="177"/>
      <c r="C134" s="177"/>
      <c r="D134" s="2166"/>
      <c r="E134" s="2166"/>
      <c r="F134" s="2166"/>
      <c r="G134" s="2166"/>
      <c r="H134" s="2171"/>
      <c r="I134" s="2168"/>
      <c r="J134" s="178"/>
      <c r="K134" s="2168"/>
      <c r="L134" s="2166"/>
      <c r="M134" s="2166"/>
      <c r="N134" s="2166"/>
      <c r="O134" s="2166"/>
      <c r="P134" s="2171"/>
      <c r="Q134" s="2167"/>
      <c r="R134" s="437"/>
      <c r="S134" s="2168"/>
      <c r="T134" s="179"/>
      <c r="U134" s="178"/>
      <c r="V134" s="2168"/>
      <c r="W134" s="2168"/>
      <c r="X134" s="470"/>
      <c r="Y134" s="470"/>
      <c r="Z134" s="471"/>
      <c r="AA134" s="471"/>
      <c r="AB134" s="466"/>
    </row>
    <row r="135" spans="1:29" s="352" customFormat="1" ht="18" customHeight="1" x14ac:dyDescent="0.2">
      <c r="A135" s="2166"/>
      <c r="B135" s="177"/>
      <c r="C135" s="177"/>
      <c r="D135" s="2166"/>
      <c r="E135" s="2166"/>
      <c r="F135" s="2166"/>
      <c r="G135" s="2166"/>
      <c r="H135" s="2171"/>
      <c r="I135" s="2168"/>
      <c r="J135" s="178"/>
      <c r="K135" s="2168"/>
      <c r="L135" s="2166"/>
      <c r="M135" s="2166"/>
      <c r="N135" s="2166"/>
      <c r="O135" s="2166"/>
      <c r="P135" s="2171"/>
      <c r="Q135" s="2167"/>
      <c r="R135" s="437"/>
      <c r="S135" s="2168"/>
      <c r="T135" s="179"/>
      <c r="U135" s="178"/>
      <c r="V135" s="2168"/>
      <c r="W135" s="2168"/>
      <c r="X135" s="470"/>
      <c r="Y135" s="470"/>
      <c r="Z135" s="471"/>
      <c r="AA135" s="471"/>
      <c r="AB135" s="466"/>
    </row>
    <row r="136" spans="1:29" s="352" customFormat="1" ht="18" customHeight="1" x14ac:dyDescent="0.2">
      <c r="A136" s="2166"/>
      <c r="B136" s="177"/>
      <c r="C136" s="177"/>
      <c r="D136" s="2166"/>
      <c r="E136" s="2166"/>
      <c r="F136" s="2166"/>
      <c r="G136" s="2166"/>
      <c r="H136" s="2171"/>
      <c r="I136" s="2168"/>
      <c r="J136" s="178"/>
      <c r="K136" s="2168"/>
      <c r="L136" s="2166"/>
      <c r="M136" s="2166"/>
      <c r="N136" s="2166"/>
      <c r="O136" s="2166"/>
      <c r="P136" s="2171"/>
      <c r="Q136" s="2167"/>
      <c r="R136" s="437"/>
      <c r="S136" s="2168"/>
      <c r="T136" s="179"/>
      <c r="U136" s="178"/>
      <c r="V136" s="2168"/>
      <c r="W136" s="2168"/>
      <c r="X136" s="470"/>
      <c r="Y136" s="470"/>
      <c r="Z136" s="471"/>
      <c r="AA136" s="471"/>
      <c r="AB136" s="466"/>
    </row>
    <row r="137" spans="1:29" s="352" customFormat="1" ht="18" customHeight="1" x14ac:dyDescent="0.2">
      <c r="A137" s="2166"/>
      <c r="B137" s="177"/>
      <c r="C137" s="177"/>
      <c r="D137" s="2166"/>
      <c r="E137" s="2166"/>
      <c r="F137" s="2166"/>
      <c r="G137" s="2166"/>
      <c r="H137" s="2171"/>
      <c r="I137" s="2168"/>
      <c r="J137" s="178"/>
      <c r="K137" s="2168"/>
      <c r="L137" s="2166"/>
      <c r="M137" s="2166"/>
      <c r="N137" s="2166"/>
      <c r="O137" s="2166"/>
      <c r="P137" s="2171"/>
      <c r="Q137" s="2167"/>
      <c r="R137" s="437"/>
      <c r="S137" s="2168"/>
      <c r="T137" s="179"/>
      <c r="U137" s="178"/>
      <c r="V137" s="2168"/>
      <c r="W137" s="2168"/>
      <c r="X137" s="470"/>
      <c r="Y137" s="470"/>
      <c r="Z137" s="471"/>
      <c r="AA137" s="471"/>
      <c r="AB137" s="466"/>
    </row>
    <row r="138" spans="1:29" s="352" customFormat="1" ht="18" customHeight="1" x14ac:dyDescent="0.2">
      <c r="A138" s="2166"/>
      <c r="B138" s="177"/>
      <c r="C138" s="177"/>
      <c r="D138" s="2166"/>
      <c r="E138" s="2166"/>
      <c r="F138" s="2166"/>
      <c r="G138" s="2166"/>
      <c r="H138" s="2171"/>
      <c r="I138" s="2168"/>
      <c r="J138" s="178"/>
      <c r="K138" s="2168"/>
      <c r="L138" s="2166"/>
      <c r="M138" s="2166"/>
      <c r="N138" s="2166"/>
      <c r="O138" s="2166"/>
      <c r="P138" s="2171"/>
      <c r="Q138" s="2167"/>
      <c r="R138" s="437"/>
      <c r="S138" s="2168"/>
      <c r="T138" s="179"/>
      <c r="U138" s="178"/>
      <c r="V138" s="2168"/>
      <c r="W138" s="2168"/>
      <c r="X138" s="470"/>
      <c r="Y138" s="470"/>
      <c r="Z138" s="471"/>
      <c r="AA138" s="471"/>
      <c r="AB138" s="466"/>
    </row>
    <row r="139" spans="1:29" s="352" customFormat="1" ht="18" customHeight="1" x14ac:dyDescent="0.2">
      <c r="A139" s="2166"/>
      <c r="B139" s="177"/>
      <c r="C139" s="177"/>
      <c r="D139" s="2166"/>
      <c r="E139" s="2166"/>
      <c r="F139" s="2166"/>
      <c r="G139" s="2166"/>
      <c r="H139" s="2171"/>
      <c r="I139" s="2168"/>
      <c r="J139" s="178"/>
      <c r="K139" s="2168"/>
      <c r="L139" s="2166"/>
      <c r="M139" s="2166"/>
      <c r="N139" s="2166"/>
      <c r="O139" s="2166"/>
      <c r="P139" s="2171"/>
      <c r="Q139" s="2167"/>
      <c r="R139" s="437"/>
      <c r="S139" s="2168"/>
      <c r="T139" s="179"/>
      <c r="U139" s="178"/>
      <c r="V139" s="2168"/>
      <c r="W139" s="2168"/>
      <c r="X139" s="470"/>
      <c r="Y139" s="470"/>
      <c r="Z139" s="471"/>
      <c r="AA139" s="471"/>
      <c r="AB139" s="466"/>
    </row>
    <row r="140" spans="1:29" s="352" customFormat="1" ht="18" customHeight="1" x14ac:dyDescent="0.2">
      <c r="A140" s="2166"/>
      <c r="B140" s="177"/>
      <c r="C140" s="177"/>
      <c r="D140" s="2166"/>
      <c r="E140" s="2166"/>
      <c r="F140" s="2166"/>
      <c r="G140" s="2166"/>
      <c r="H140" s="2171"/>
      <c r="I140" s="2168"/>
      <c r="J140" s="178"/>
      <c r="K140" s="2168"/>
      <c r="L140" s="2166"/>
      <c r="M140" s="2166"/>
      <c r="N140" s="2166"/>
      <c r="O140" s="2166"/>
      <c r="P140" s="2171"/>
      <c r="Q140" s="2167"/>
      <c r="R140" s="437"/>
      <c r="S140" s="2168"/>
      <c r="T140" s="179"/>
      <c r="U140" s="178"/>
      <c r="V140" s="2168"/>
      <c r="W140" s="2168"/>
      <c r="X140" s="470"/>
      <c r="Y140" s="470"/>
      <c r="Z140" s="471"/>
      <c r="AA140" s="471"/>
      <c r="AB140" s="466"/>
    </row>
    <row r="141" spans="1:29" s="352" customFormat="1" ht="18" customHeight="1" x14ac:dyDescent="0.2">
      <c r="A141" s="2166"/>
      <c r="B141" s="177"/>
      <c r="C141" s="177"/>
      <c r="D141" s="2166"/>
      <c r="E141" s="2166"/>
      <c r="F141" s="2166"/>
      <c r="G141" s="2166"/>
      <c r="H141" s="2171"/>
      <c r="I141" s="2168"/>
      <c r="J141" s="178"/>
      <c r="K141" s="2168"/>
      <c r="L141" s="2166"/>
      <c r="M141" s="2166"/>
      <c r="N141" s="2166"/>
      <c r="O141" s="2166"/>
      <c r="P141" s="2171"/>
      <c r="Q141" s="2167"/>
      <c r="R141" s="437"/>
      <c r="S141" s="2168"/>
      <c r="T141" s="179"/>
      <c r="U141" s="178"/>
      <c r="V141" s="2168"/>
      <c r="W141" s="2168"/>
      <c r="X141" s="470"/>
      <c r="Y141" s="470"/>
      <c r="Z141" s="471"/>
      <c r="AA141" s="471"/>
      <c r="AB141" s="466"/>
    </row>
    <row r="142" spans="1:29" s="352" customFormat="1" ht="18" customHeight="1" x14ac:dyDescent="0.2">
      <c r="A142" s="88"/>
      <c r="B142" s="180"/>
      <c r="C142" s="180"/>
      <c r="D142" s="88"/>
      <c r="E142" s="88"/>
      <c r="F142" s="88"/>
      <c r="G142" s="88"/>
      <c r="H142" s="120"/>
      <c r="I142" s="121"/>
      <c r="J142" s="181"/>
      <c r="K142" s="121"/>
      <c r="L142" s="88"/>
      <c r="M142" s="88"/>
      <c r="N142" s="88"/>
      <c r="O142" s="88"/>
      <c r="P142" s="88"/>
      <c r="Q142" s="129"/>
      <c r="R142" s="445"/>
      <c r="S142" s="121"/>
      <c r="T142" s="182"/>
      <c r="U142" s="181"/>
      <c r="V142" s="121"/>
      <c r="W142" s="121"/>
      <c r="X142" s="472"/>
      <c r="Y142" s="472"/>
      <c r="Z142" s="473"/>
      <c r="AA142" s="473"/>
      <c r="AB142" s="410"/>
    </row>
    <row r="143" spans="1:29" s="352" customFormat="1" ht="18" customHeight="1" x14ac:dyDescent="0.2">
      <c r="A143" s="1850"/>
      <c r="B143" s="1850"/>
      <c r="C143" s="1850"/>
      <c r="D143" s="1850"/>
      <c r="E143" s="1850"/>
      <c r="F143" s="1850"/>
      <c r="G143" s="1850"/>
      <c r="H143" s="1851"/>
      <c r="I143" s="1852"/>
      <c r="J143" s="1853"/>
      <c r="K143" s="1852"/>
      <c r="L143" s="1852"/>
      <c r="M143" s="1852"/>
      <c r="N143" s="1852"/>
      <c r="O143" s="1852"/>
      <c r="P143" s="1852"/>
      <c r="Q143" s="1852"/>
      <c r="R143" s="1854"/>
      <c r="S143" s="1852"/>
      <c r="T143" s="1855"/>
      <c r="U143" s="1853"/>
      <c r="V143" s="1852"/>
      <c r="W143" s="1852"/>
      <c r="X143" s="1856"/>
      <c r="Y143" s="1856"/>
      <c r="Z143" s="1857"/>
      <c r="AA143" s="1857"/>
      <c r="AB143" s="1847">
        <f>SUM(AB129:AB142)</f>
        <v>0</v>
      </c>
    </row>
    <row r="144" spans="1:29" s="352" customFormat="1" ht="18" customHeight="1" x14ac:dyDescent="0.2">
      <c r="A144" s="2778" t="s">
        <v>76</v>
      </c>
      <c r="B144" s="2778"/>
      <c r="C144" s="2779" t="s">
        <v>77</v>
      </c>
      <c r="D144" s="2779"/>
      <c r="E144" s="2779"/>
      <c r="F144" s="2779"/>
      <c r="G144" s="2779"/>
      <c r="H144" s="2779"/>
      <c r="I144" s="424" t="s">
        <v>78</v>
      </c>
      <c r="J144" s="424"/>
      <c r="K144" s="424"/>
      <c r="L144" s="424"/>
      <c r="M144" s="424"/>
      <c r="N144" s="424"/>
      <c r="AB144" s="425"/>
    </row>
    <row r="145" spans="1:29" s="352" customFormat="1" ht="18" customHeight="1" x14ac:dyDescent="0.2">
      <c r="A145" s="424"/>
      <c r="B145" s="426"/>
      <c r="C145" s="424"/>
      <c r="D145" s="424"/>
      <c r="E145" s="424"/>
      <c r="F145" s="424"/>
      <c r="G145" s="424"/>
      <c r="H145" s="424"/>
      <c r="I145" s="424" t="s">
        <v>79</v>
      </c>
      <c r="J145" s="424"/>
      <c r="K145" s="424"/>
      <c r="L145" s="424"/>
      <c r="M145" s="424"/>
      <c r="N145" s="424"/>
      <c r="AB145" s="425"/>
    </row>
    <row r="146" spans="1:29" s="352" customFormat="1" ht="18" customHeight="1" x14ac:dyDescent="0.2">
      <c r="A146" s="424"/>
      <c r="B146" s="426"/>
      <c r="C146" s="424"/>
      <c r="D146" s="424"/>
      <c r="E146" s="424"/>
      <c r="F146" s="424"/>
      <c r="G146" s="424"/>
      <c r="H146" s="424"/>
      <c r="I146" s="424" t="s">
        <v>80</v>
      </c>
      <c r="J146" s="424"/>
      <c r="K146" s="424"/>
      <c r="L146" s="424"/>
      <c r="M146" s="424"/>
      <c r="N146" s="424"/>
      <c r="AB146" s="425"/>
    </row>
    <row r="147" spans="1:29" s="352" customFormat="1" ht="18" customHeight="1" x14ac:dyDescent="0.2">
      <c r="A147" s="424"/>
      <c r="B147" s="426"/>
      <c r="C147" s="424"/>
      <c r="D147" s="424"/>
      <c r="E147" s="424"/>
      <c r="F147" s="424"/>
      <c r="G147" s="424"/>
      <c r="H147" s="424"/>
      <c r="I147" s="424" t="s">
        <v>81</v>
      </c>
      <c r="J147" s="424"/>
      <c r="K147" s="424"/>
      <c r="L147" s="424"/>
      <c r="M147" s="424"/>
      <c r="N147" s="424"/>
      <c r="AB147" s="425"/>
    </row>
    <row r="148" spans="1:29" s="352" customFormat="1" ht="18" customHeight="1" x14ac:dyDescent="0.2">
      <c r="A148" s="424"/>
      <c r="B148" s="426"/>
      <c r="C148" s="424"/>
      <c r="D148" s="424"/>
      <c r="E148" s="424"/>
      <c r="F148" s="424"/>
      <c r="G148" s="424"/>
      <c r="H148" s="424"/>
      <c r="I148" s="424" t="s">
        <v>88</v>
      </c>
      <c r="J148" s="424"/>
      <c r="K148" s="424"/>
      <c r="L148" s="424"/>
      <c r="M148" s="424"/>
      <c r="N148" s="424"/>
      <c r="AB148" s="425"/>
    </row>
    <row r="149" spans="1:29" s="352" customFormat="1" ht="18" customHeight="1" x14ac:dyDescent="0.2">
      <c r="A149" s="338"/>
      <c r="B149" s="338"/>
      <c r="C149" s="338"/>
      <c r="D149" s="338"/>
      <c r="E149" s="338"/>
      <c r="F149" s="338"/>
      <c r="G149" s="338"/>
      <c r="H149" s="338"/>
      <c r="I149" s="338"/>
      <c r="J149" s="338"/>
      <c r="K149" s="338"/>
      <c r="L149" s="338"/>
      <c r="M149" s="338"/>
      <c r="N149" s="338"/>
      <c r="O149" s="338"/>
      <c r="P149" s="338"/>
      <c r="Q149" s="338"/>
      <c r="R149" s="338"/>
      <c r="S149" s="338"/>
      <c r="T149" s="338"/>
      <c r="U149" s="338"/>
      <c r="V149" s="338"/>
      <c r="W149" s="338"/>
      <c r="X149" s="338"/>
      <c r="Y149" s="338"/>
      <c r="Z149" s="338"/>
      <c r="AA149" s="2774" t="s">
        <v>0</v>
      </c>
      <c r="AB149" s="2774"/>
    </row>
    <row r="150" spans="1:29" s="352" customFormat="1" ht="18" customHeight="1" x14ac:dyDescent="0.2">
      <c r="A150" s="2703" t="s">
        <v>1</v>
      </c>
      <c r="B150" s="2703"/>
      <c r="C150" s="2703"/>
      <c r="D150" s="2703"/>
      <c r="E150" s="2703"/>
      <c r="F150" s="2703"/>
      <c r="G150" s="2703"/>
      <c r="H150" s="2703"/>
      <c r="I150" s="2703"/>
      <c r="J150" s="2703"/>
      <c r="K150" s="2703"/>
      <c r="L150" s="2703"/>
      <c r="M150" s="2703"/>
      <c r="N150" s="2703"/>
      <c r="O150" s="2703"/>
      <c r="P150" s="2703"/>
      <c r="Q150" s="2703"/>
      <c r="R150" s="2703"/>
      <c r="S150" s="2703"/>
      <c r="T150" s="2703"/>
      <c r="U150" s="2703"/>
      <c r="V150" s="2703"/>
      <c r="W150" s="2703"/>
      <c r="X150" s="2703"/>
      <c r="Y150" s="2703"/>
      <c r="Z150" s="2703"/>
      <c r="AA150" s="2703"/>
      <c r="AB150" s="2703"/>
    </row>
    <row r="151" spans="1:29" s="352" customFormat="1" ht="18" customHeight="1" x14ac:dyDescent="0.2">
      <c r="A151" s="2780" t="s">
        <v>596</v>
      </c>
      <c r="B151" s="2780"/>
      <c r="C151" s="2780"/>
      <c r="D151" s="2780"/>
      <c r="E151" s="2780"/>
      <c r="F151" s="2780"/>
      <c r="G151" s="2780"/>
      <c r="H151" s="2780"/>
      <c r="I151" s="2780"/>
      <c r="J151" s="2780"/>
      <c r="K151" s="2780"/>
      <c r="L151" s="2780"/>
      <c r="M151" s="2780"/>
      <c r="N151" s="2780"/>
      <c r="O151" s="2780"/>
      <c r="P151" s="2780"/>
      <c r="Q151" s="2780"/>
      <c r="R151" s="2780"/>
      <c r="S151" s="2780"/>
      <c r="T151" s="2780"/>
      <c r="U151" s="2780"/>
      <c r="V151" s="2780"/>
      <c r="W151" s="2780"/>
      <c r="X151" s="2780"/>
      <c r="Y151" s="2780"/>
      <c r="Z151" s="2780"/>
      <c r="AA151" s="2780"/>
      <c r="AB151" s="2780"/>
    </row>
    <row r="152" spans="1:29" s="352" customFormat="1" ht="18" customHeight="1" x14ac:dyDescent="0.2">
      <c r="A152" s="2686" t="s">
        <v>2</v>
      </c>
      <c r="B152" s="360"/>
      <c r="C152" s="2686" t="s">
        <v>3</v>
      </c>
      <c r="D152" s="360"/>
      <c r="E152" s="360"/>
      <c r="F152" s="2693" t="s">
        <v>4</v>
      </c>
      <c r="G152" s="2693"/>
      <c r="H152" s="2693"/>
      <c r="I152" s="2694"/>
      <c r="J152" s="2694"/>
      <c r="K152" s="2695"/>
      <c r="L152" s="361"/>
      <c r="M152" s="2679" t="s">
        <v>5</v>
      </c>
      <c r="N152" s="2679"/>
      <c r="O152" s="2679"/>
      <c r="P152" s="2679"/>
      <c r="Q152" s="2696"/>
      <c r="R152" s="2696"/>
      <c r="S152" s="2696"/>
      <c r="T152" s="2696"/>
      <c r="U152" s="2696"/>
      <c r="V152" s="2697"/>
      <c r="W152" s="362" t="s">
        <v>6</v>
      </c>
      <c r="X152" s="363" t="s">
        <v>7</v>
      </c>
      <c r="Y152" s="364"/>
      <c r="Z152" s="364"/>
      <c r="AA152" s="363"/>
      <c r="AB152" s="365"/>
    </row>
    <row r="153" spans="1:29" s="352" customFormat="1" ht="18" customHeight="1" x14ac:dyDescent="0.2">
      <c r="A153" s="2687"/>
      <c r="B153" s="367"/>
      <c r="C153" s="2687"/>
      <c r="D153" s="2158" t="s">
        <v>9</v>
      </c>
      <c r="E153" s="368" t="s">
        <v>10</v>
      </c>
      <c r="F153" s="2698" t="s">
        <v>11</v>
      </c>
      <c r="G153" s="2694"/>
      <c r="H153" s="2695"/>
      <c r="I153" s="360"/>
      <c r="J153" s="369" t="s">
        <v>12</v>
      </c>
      <c r="K153" s="360"/>
      <c r="L153" s="2679" t="s">
        <v>2</v>
      </c>
      <c r="M153" s="2162"/>
      <c r="N153" s="2162"/>
      <c r="O153" s="2162"/>
      <c r="P153" s="371"/>
      <c r="Q153" s="372" t="s">
        <v>13</v>
      </c>
      <c r="R153" s="373" t="s">
        <v>12</v>
      </c>
      <c r="S153" s="2162" t="s">
        <v>6</v>
      </c>
      <c r="T153" s="2682" t="s">
        <v>14</v>
      </c>
      <c r="U153" s="2683"/>
      <c r="V153" s="375" t="s">
        <v>7</v>
      </c>
      <c r="W153" s="376" t="s">
        <v>15</v>
      </c>
      <c r="X153" s="377" t="s">
        <v>16</v>
      </c>
      <c r="Y153" s="377" t="s">
        <v>17</v>
      </c>
      <c r="Z153" s="377" t="s">
        <v>18</v>
      </c>
      <c r="AA153" s="377"/>
      <c r="AB153" s="378" t="s">
        <v>19</v>
      </c>
    </row>
    <row r="154" spans="1:29" s="352" customFormat="1" ht="18" customHeight="1" x14ac:dyDescent="0.2">
      <c r="A154" s="2687"/>
      <c r="B154" s="2158" t="s">
        <v>23</v>
      </c>
      <c r="C154" s="2687"/>
      <c r="D154" s="2158" t="s">
        <v>24</v>
      </c>
      <c r="E154" s="368" t="s">
        <v>25</v>
      </c>
      <c r="F154" s="2699"/>
      <c r="G154" s="2700"/>
      <c r="H154" s="2701"/>
      <c r="I154" s="2158" t="s">
        <v>26</v>
      </c>
      <c r="J154" s="379" t="s">
        <v>15</v>
      </c>
      <c r="K154" s="2159" t="s">
        <v>6</v>
      </c>
      <c r="L154" s="2680"/>
      <c r="M154" s="2163" t="s">
        <v>27</v>
      </c>
      <c r="N154" s="2163" t="s">
        <v>10</v>
      </c>
      <c r="O154" s="382" t="s">
        <v>10</v>
      </c>
      <c r="P154" s="383" t="s">
        <v>28</v>
      </c>
      <c r="Q154" s="384" t="s">
        <v>29</v>
      </c>
      <c r="R154" s="383" t="s">
        <v>15</v>
      </c>
      <c r="S154" s="385" t="s">
        <v>15</v>
      </c>
      <c r="T154" s="2684"/>
      <c r="U154" s="2685"/>
      <c r="V154" s="375" t="s">
        <v>30</v>
      </c>
      <c r="W154" s="376" t="s">
        <v>31</v>
      </c>
      <c r="X154" s="377" t="s">
        <v>30</v>
      </c>
      <c r="Y154" s="377" t="s">
        <v>32</v>
      </c>
      <c r="Z154" s="377" t="s">
        <v>7</v>
      </c>
      <c r="AA154" s="377" t="s">
        <v>33</v>
      </c>
      <c r="AB154" s="378" t="s">
        <v>34</v>
      </c>
    </row>
    <row r="155" spans="1:29" s="352" customFormat="1" ht="18" customHeight="1" x14ac:dyDescent="0.2">
      <c r="A155" s="2687"/>
      <c r="B155" s="2158" t="s">
        <v>39</v>
      </c>
      <c r="C155" s="2687"/>
      <c r="D155" s="2158" t="s">
        <v>40</v>
      </c>
      <c r="E155" s="368" t="s">
        <v>41</v>
      </c>
      <c r="F155" s="2686" t="s">
        <v>42</v>
      </c>
      <c r="G155" s="2686" t="s">
        <v>43</v>
      </c>
      <c r="H155" s="2688" t="s">
        <v>44</v>
      </c>
      <c r="I155" s="2158" t="s">
        <v>45</v>
      </c>
      <c r="J155" s="379" t="s">
        <v>46</v>
      </c>
      <c r="K155" s="2159" t="s">
        <v>47</v>
      </c>
      <c r="L155" s="2680"/>
      <c r="M155" s="2163" t="s">
        <v>30</v>
      </c>
      <c r="N155" s="2163" t="s">
        <v>30</v>
      </c>
      <c r="O155" s="382" t="s">
        <v>25</v>
      </c>
      <c r="P155" s="383" t="s">
        <v>30</v>
      </c>
      <c r="Q155" s="384" t="s">
        <v>48</v>
      </c>
      <c r="R155" s="383" t="s">
        <v>49</v>
      </c>
      <c r="S155" s="385" t="s">
        <v>30</v>
      </c>
      <c r="T155" s="386" t="s">
        <v>50</v>
      </c>
      <c r="U155" s="2161" t="s">
        <v>13</v>
      </c>
      <c r="V155" s="375" t="s">
        <v>51</v>
      </c>
      <c r="W155" s="376" t="s">
        <v>52</v>
      </c>
      <c r="X155" s="377" t="s">
        <v>53</v>
      </c>
      <c r="Y155" s="377" t="s">
        <v>54</v>
      </c>
      <c r="Z155" s="377" t="s">
        <v>55</v>
      </c>
      <c r="AA155" s="377" t="s">
        <v>56</v>
      </c>
      <c r="AB155" s="378" t="s">
        <v>57</v>
      </c>
    </row>
    <row r="156" spans="1:29" s="352" customFormat="1" ht="18" customHeight="1" x14ac:dyDescent="0.2">
      <c r="A156" s="2687"/>
      <c r="B156" s="2158" t="s">
        <v>61</v>
      </c>
      <c r="C156" s="2687"/>
      <c r="D156" s="2158" t="s">
        <v>62</v>
      </c>
      <c r="E156" s="368" t="s">
        <v>63</v>
      </c>
      <c r="F156" s="2687"/>
      <c r="G156" s="2687"/>
      <c r="H156" s="2689"/>
      <c r="I156" s="2158" t="s">
        <v>64</v>
      </c>
      <c r="J156" s="379" t="s">
        <v>59</v>
      </c>
      <c r="K156" s="2159" t="s">
        <v>59</v>
      </c>
      <c r="L156" s="2680"/>
      <c r="M156" s="2163"/>
      <c r="N156" s="2163"/>
      <c r="O156" s="382" t="s">
        <v>41</v>
      </c>
      <c r="P156" s="383" t="s">
        <v>65</v>
      </c>
      <c r="Q156" s="384" t="s">
        <v>66</v>
      </c>
      <c r="R156" s="383" t="s">
        <v>67</v>
      </c>
      <c r="S156" s="385" t="s">
        <v>59</v>
      </c>
      <c r="T156" s="387" t="s">
        <v>68</v>
      </c>
      <c r="U156" s="375" t="s">
        <v>14</v>
      </c>
      <c r="V156" s="375" t="s">
        <v>14</v>
      </c>
      <c r="W156" s="376" t="s">
        <v>30</v>
      </c>
      <c r="X156" s="388" t="s">
        <v>69</v>
      </c>
      <c r="Y156" s="388" t="s">
        <v>70</v>
      </c>
      <c r="Z156" s="377" t="s">
        <v>71</v>
      </c>
      <c r="AA156" s="377" t="s">
        <v>72</v>
      </c>
      <c r="AB156" s="378" t="s">
        <v>59</v>
      </c>
    </row>
    <row r="157" spans="1:29" s="352" customFormat="1" ht="18" customHeight="1" x14ac:dyDescent="0.2">
      <c r="A157" s="2692"/>
      <c r="B157" s="390"/>
      <c r="C157" s="2692"/>
      <c r="D157" s="390"/>
      <c r="E157" s="2160"/>
      <c r="F157" s="390"/>
      <c r="G157" s="390"/>
      <c r="H157" s="391"/>
      <c r="I157" s="2160"/>
      <c r="J157" s="392"/>
      <c r="K157" s="393"/>
      <c r="L157" s="2681"/>
      <c r="M157" s="2164"/>
      <c r="N157" s="2164"/>
      <c r="O157" s="2164" t="s">
        <v>63</v>
      </c>
      <c r="P157" s="395"/>
      <c r="Q157" s="396" t="s">
        <v>72</v>
      </c>
      <c r="R157" s="397" t="s">
        <v>59</v>
      </c>
      <c r="S157" s="398"/>
      <c r="T157" s="397" t="s">
        <v>73</v>
      </c>
      <c r="U157" s="398" t="s">
        <v>59</v>
      </c>
      <c r="V157" s="399" t="s">
        <v>59</v>
      </c>
      <c r="W157" s="400" t="s">
        <v>59</v>
      </c>
      <c r="X157" s="401" t="s">
        <v>59</v>
      </c>
      <c r="Y157" s="401" t="s">
        <v>59</v>
      </c>
      <c r="Z157" s="401" t="s">
        <v>59</v>
      </c>
      <c r="AA157" s="402"/>
      <c r="AB157" s="403"/>
    </row>
    <row r="158" spans="1:29" s="352" customFormat="1" ht="18" customHeight="1" x14ac:dyDescent="0.25">
      <c r="A158" s="16">
        <v>1</v>
      </c>
      <c r="B158" s="333">
        <v>22568</v>
      </c>
      <c r="C158" s="41">
        <v>1637</v>
      </c>
      <c r="D158" s="15" t="s">
        <v>84</v>
      </c>
      <c r="E158" s="15">
        <v>3</v>
      </c>
      <c r="F158" s="41">
        <v>0</v>
      </c>
      <c r="G158" s="41">
        <v>1</v>
      </c>
      <c r="H158" s="267">
        <v>27</v>
      </c>
      <c r="I158" s="296">
        <f>F158*400+G158*100+H158</f>
        <v>127</v>
      </c>
      <c r="J158" s="759">
        <v>2300</v>
      </c>
      <c r="K158" s="297">
        <f>SUM(I158*J158)</f>
        <v>292100</v>
      </c>
      <c r="L158" s="45">
        <v>1</v>
      </c>
      <c r="M158" s="2166">
        <v>504</v>
      </c>
      <c r="N158" s="15" t="s">
        <v>82</v>
      </c>
      <c r="O158" s="50">
        <v>3</v>
      </c>
      <c r="P158" s="758">
        <f>20.25*13.45</f>
        <v>272.36250000000001</v>
      </c>
      <c r="Q158" s="62" t="s">
        <v>75</v>
      </c>
      <c r="R158" s="296">
        <v>3100</v>
      </c>
      <c r="S158" s="296">
        <f>+P158*R158</f>
        <v>844323.75</v>
      </c>
      <c r="T158" s="298">
        <v>13</v>
      </c>
      <c r="U158" s="299">
        <f>S158*55/100</f>
        <v>464378.0625</v>
      </c>
      <c r="V158" s="299">
        <f>+S158-U158</f>
        <v>379945.6875</v>
      </c>
      <c r="W158" s="296">
        <f>K158+V158</f>
        <v>672045.6875</v>
      </c>
      <c r="X158" s="299">
        <f>W158</f>
        <v>672045.6875</v>
      </c>
      <c r="Y158" s="669"/>
      <c r="Z158" s="299">
        <f>X158</f>
        <v>672045.6875</v>
      </c>
      <c r="AA158" s="670">
        <v>0.3</v>
      </c>
      <c r="AB158" s="465">
        <f>+Z158*AA158/100</f>
        <v>2016.1370625</v>
      </c>
      <c r="AC158" s="352" t="s">
        <v>595</v>
      </c>
    </row>
    <row r="159" spans="1:29" s="352" customFormat="1" ht="18" customHeight="1" x14ac:dyDescent="0.25">
      <c r="A159" s="269">
        <v>2</v>
      </c>
      <c r="B159" s="269">
        <v>30475</v>
      </c>
      <c r="C159" s="285" t="s">
        <v>289</v>
      </c>
      <c r="D159" s="15"/>
      <c r="E159" s="15"/>
      <c r="F159" s="268"/>
      <c r="G159" s="269"/>
      <c r="H159" s="266">
        <v>48</v>
      </c>
      <c r="I159" s="296">
        <f>F159*400+G159*100+H159</f>
        <v>48</v>
      </c>
      <c r="J159" s="759">
        <v>3000</v>
      </c>
      <c r="K159" s="297">
        <f>SUM(I159*J159)</f>
        <v>144000</v>
      </c>
      <c r="L159" s="269"/>
      <c r="M159" s="2166"/>
      <c r="N159" s="15"/>
      <c r="O159" s="50"/>
      <c r="P159" s="758"/>
      <c r="Q159" s="62"/>
      <c r="R159" s="296"/>
      <c r="S159" s="296"/>
      <c r="T159" s="298"/>
      <c r="U159" s="299"/>
      <c r="V159" s="299"/>
      <c r="W159" s="296">
        <f>K159+V159</f>
        <v>144000</v>
      </c>
      <c r="X159" s="299">
        <f>W159</f>
        <v>144000</v>
      </c>
      <c r="Y159" s="669"/>
      <c r="Z159" s="299">
        <v>0</v>
      </c>
      <c r="AA159" s="670">
        <v>0.3</v>
      </c>
      <c r="AB159" s="410">
        <f t="shared" ref="AB159:AB160" si="27">+Z159*AA159/100</f>
        <v>0</v>
      </c>
    </row>
    <row r="160" spans="1:29" s="352" customFormat="1" ht="18" customHeight="1" x14ac:dyDescent="0.25">
      <c r="A160" s="269">
        <v>3</v>
      </c>
      <c r="B160" s="269">
        <v>30192</v>
      </c>
      <c r="C160" s="285" t="s">
        <v>175</v>
      </c>
      <c r="D160" s="273"/>
      <c r="E160" s="273"/>
      <c r="F160" s="268"/>
      <c r="G160" s="269"/>
      <c r="H160" s="266">
        <v>49</v>
      </c>
      <c r="I160" s="296">
        <f>F160*400+G160*100+H160</f>
        <v>49</v>
      </c>
      <c r="J160" s="759">
        <v>3001</v>
      </c>
      <c r="K160" s="297">
        <f>SUM(I160*J160)</f>
        <v>147049</v>
      </c>
      <c r="L160" s="269"/>
      <c r="M160" s="2166"/>
      <c r="N160" s="15"/>
      <c r="O160" s="50"/>
      <c r="P160" s="758"/>
      <c r="Q160" s="62"/>
      <c r="R160" s="296"/>
      <c r="S160" s="296"/>
      <c r="T160" s="298"/>
      <c r="U160" s="299"/>
      <c r="V160" s="299"/>
      <c r="W160" s="296">
        <f>K160+V160</f>
        <v>147049</v>
      </c>
      <c r="X160" s="299">
        <f>W160</f>
        <v>147049</v>
      </c>
      <c r="Y160" s="669"/>
      <c r="Z160" s="299">
        <v>0</v>
      </c>
      <c r="AA160" s="670">
        <v>0.3</v>
      </c>
      <c r="AB160" s="410">
        <f t="shared" si="27"/>
        <v>0</v>
      </c>
    </row>
    <row r="161" spans="1:28" s="352" customFormat="1" ht="18" customHeight="1" x14ac:dyDescent="0.2">
      <c r="A161" s="2166"/>
      <c r="B161" s="177"/>
      <c r="C161" s="177"/>
      <c r="D161" s="2166"/>
      <c r="E161" s="2166"/>
      <c r="F161" s="2166"/>
      <c r="G161" s="2166"/>
      <c r="H161" s="2171"/>
      <c r="I161" s="2168"/>
      <c r="J161" s="178"/>
      <c r="K161" s="2168"/>
      <c r="L161" s="2166"/>
      <c r="M161" s="2166"/>
      <c r="N161" s="2166"/>
      <c r="O161" s="2166"/>
      <c r="P161" s="2171"/>
      <c r="Q161" s="2167"/>
      <c r="R161" s="437"/>
      <c r="S161" s="2168"/>
      <c r="T161" s="179"/>
      <c r="U161" s="178"/>
      <c r="V161" s="2168"/>
      <c r="W161" s="2168"/>
      <c r="X161" s="470"/>
      <c r="Y161" s="470"/>
      <c r="Z161" s="471"/>
      <c r="AA161" s="471"/>
      <c r="AB161" s="466"/>
    </row>
    <row r="162" spans="1:28" s="352" customFormat="1" ht="18" customHeight="1" x14ac:dyDescent="0.2">
      <c r="A162" s="2166"/>
      <c r="B162" s="177"/>
      <c r="C162" s="177"/>
      <c r="D162" s="2166"/>
      <c r="E162" s="2166"/>
      <c r="F162" s="2166"/>
      <c r="G162" s="2166"/>
      <c r="H162" s="2171"/>
      <c r="I162" s="2168"/>
      <c r="J162" s="178"/>
      <c r="K162" s="2168"/>
      <c r="L162" s="2166"/>
      <c r="M162" s="2166"/>
      <c r="N162" s="2166"/>
      <c r="O162" s="2166"/>
      <c r="P162" s="2171"/>
      <c r="Q162" s="2167"/>
      <c r="R162" s="437"/>
      <c r="S162" s="2168"/>
      <c r="T162" s="179"/>
      <c r="U162" s="178"/>
      <c r="V162" s="2168"/>
      <c r="W162" s="2168"/>
      <c r="X162" s="470"/>
      <c r="Y162" s="470"/>
      <c r="Z162" s="471"/>
      <c r="AA162" s="471"/>
      <c r="AB162" s="466"/>
    </row>
    <row r="163" spans="1:28" s="352" customFormat="1" ht="18" customHeight="1" x14ac:dyDescent="0.2">
      <c r="A163" s="2166"/>
      <c r="B163" s="177"/>
      <c r="C163" s="177"/>
      <c r="D163" s="2166"/>
      <c r="E163" s="2166"/>
      <c r="F163" s="2166"/>
      <c r="G163" s="2166"/>
      <c r="H163" s="2171"/>
      <c r="I163" s="2168"/>
      <c r="J163" s="178"/>
      <c r="K163" s="2168"/>
      <c r="L163" s="2166"/>
      <c r="M163" s="2166"/>
      <c r="N163" s="2166"/>
      <c r="O163" s="2166"/>
      <c r="P163" s="2171"/>
      <c r="Q163" s="2167"/>
      <c r="R163" s="437"/>
      <c r="S163" s="2168"/>
      <c r="T163" s="179"/>
      <c r="U163" s="178"/>
      <c r="V163" s="2168"/>
      <c r="W163" s="2168"/>
      <c r="X163" s="470"/>
      <c r="Y163" s="470"/>
      <c r="Z163" s="471"/>
      <c r="AA163" s="471"/>
      <c r="AB163" s="466"/>
    </row>
    <row r="164" spans="1:28" s="352" customFormat="1" ht="18" customHeight="1" x14ac:dyDescent="0.2">
      <c r="A164" s="2166"/>
      <c r="B164" s="177"/>
      <c r="C164" s="177"/>
      <c r="D164" s="2166"/>
      <c r="E164" s="2166"/>
      <c r="F164" s="2166"/>
      <c r="G164" s="2166"/>
      <c r="H164" s="2171"/>
      <c r="I164" s="2168"/>
      <c r="J164" s="178"/>
      <c r="K164" s="2168"/>
      <c r="L164" s="2166"/>
      <c r="M164" s="2166"/>
      <c r="N164" s="2166"/>
      <c r="O164" s="2166"/>
      <c r="P164" s="2171"/>
      <c r="Q164" s="2167"/>
      <c r="R164" s="437"/>
      <c r="S164" s="2168"/>
      <c r="T164" s="179"/>
      <c r="U164" s="178"/>
      <c r="V164" s="2168"/>
      <c r="W164" s="2168"/>
      <c r="X164" s="470"/>
      <c r="Y164" s="470"/>
      <c r="Z164" s="471"/>
      <c r="AA164" s="471"/>
      <c r="AB164" s="466"/>
    </row>
    <row r="165" spans="1:28" s="352" customFormat="1" ht="18" customHeight="1" x14ac:dyDescent="0.2">
      <c r="A165" s="2166"/>
      <c r="B165" s="177"/>
      <c r="C165" s="177"/>
      <c r="D165" s="2166"/>
      <c r="E165" s="2166"/>
      <c r="F165" s="2166"/>
      <c r="G165" s="2166"/>
      <c r="H165" s="2171"/>
      <c r="I165" s="2168"/>
      <c r="J165" s="178"/>
      <c r="K165" s="2168"/>
      <c r="L165" s="2166"/>
      <c r="M165" s="2166"/>
      <c r="N165" s="2166"/>
      <c r="O165" s="2166"/>
      <c r="P165" s="2171"/>
      <c r="Q165" s="2167"/>
      <c r="R165" s="437"/>
      <c r="S165" s="2168"/>
      <c r="T165" s="179"/>
      <c r="U165" s="178"/>
      <c r="V165" s="2168"/>
      <c r="W165" s="2168"/>
      <c r="X165" s="470"/>
      <c r="Y165" s="470"/>
      <c r="Z165" s="471"/>
      <c r="AA165" s="471"/>
      <c r="AB165" s="466"/>
    </row>
    <row r="166" spans="1:28" s="352" customFormat="1" ht="18" customHeight="1" x14ac:dyDescent="0.2">
      <c r="A166" s="2166"/>
      <c r="B166" s="177"/>
      <c r="C166" s="177"/>
      <c r="D166" s="2166"/>
      <c r="E166" s="2166"/>
      <c r="F166" s="2166"/>
      <c r="G166" s="2166"/>
      <c r="H166" s="2171"/>
      <c r="I166" s="2168"/>
      <c r="J166" s="178"/>
      <c r="K166" s="2168"/>
      <c r="L166" s="2166"/>
      <c r="M166" s="2166"/>
      <c r="N166" s="2166"/>
      <c r="O166" s="2166"/>
      <c r="P166" s="2171"/>
      <c r="Q166" s="2167"/>
      <c r="R166" s="437"/>
      <c r="S166" s="2168"/>
      <c r="T166" s="179"/>
      <c r="U166" s="178"/>
      <c r="V166" s="2168"/>
      <c r="W166" s="2168"/>
      <c r="X166" s="470"/>
      <c r="Y166" s="470"/>
      <c r="Z166" s="471"/>
      <c r="AA166" s="471"/>
      <c r="AB166" s="466"/>
    </row>
    <row r="167" spans="1:28" s="352" customFormat="1" ht="18" customHeight="1" x14ac:dyDescent="0.2">
      <c r="A167" s="2166"/>
      <c r="B167" s="177"/>
      <c r="C167" s="177"/>
      <c r="D167" s="2166"/>
      <c r="E167" s="2166"/>
      <c r="F167" s="2166"/>
      <c r="G167" s="2166"/>
      <c r="H167" s="2171"/>
      <c r="I167" s="2168"/>
      <c r="J167" s="178"/>
      <c r="K167" s="2168"/>
      <c r="L167" s="2166"/>
      <c r="M167" s="2166"/>
      <c r="N167" s="2166"/>
      <c r="O167" s="2166"/>
      <c r="P167" s="2171"/>
      <c r="Q167" s="2167"/>
      <c r="R167" s="437"/>
      <c r="S167" s="2168"/>
      <c r="T167" s="179"/>
      <c r="U167" s="178"/>
      <c r="V167" s="2168"/>
      <c r="W167" s="2168"/>
      <c r="X167" s="470"/>
      <c r="Y167" s="470"/>
      <c r="Z167" s="471"/>
      <c r="AA167" s="471"/>
      <c r="AB167" s="466"/>
    </row>
    <row r="168" spans="1:28" s="352" customFormat="1" ht="18" customHeight="1" x14ac:dyDescent="0.2">
      <c r="A168" s="2166"/>
      <c r="B168" s="177"/>
      <c r="C168" s="177"/>
      <c r="D168" s="2166"/>
      <c r="E168" s="2166"/>
      <c r="F168" s="2166"/>
      <c r="G168" s="2166"/>
      <c r="H168" s="2171"/>
      <c r="I168" s="2168"/>
      <c r="J168" s="178"/>
      <c r="K168" s="2168"/>
      <c r="L168" s="2166"/>
      <c r="M168" s="2166"/>
      <c r="N168" s="2166"/>
      <c r="O168" s="2166"/>
      <c r="P168" s="2171"/>
      <c r="Q168" s="2167"/>
      <c r="R168" s="437"/>
      <c r="S168" s="2168"/>
      <c r="T168" s="179"/>
      <c r="U168" s="178"/>
      <c r="V168" s="2168"/>
      <c r="W168" s="2168"/>
      <c r="X168" s="470"/>
      <c r="Y168" s="470"/>
      <c r="Z168" s="471"/>
      <c r="AA168" s="471"/>
      <c r="AB168" s="466"/>
    </row>
    <row r="169" spans="1:28" s="352" customFormat="1" ht="18" customHeight="1" x14ac:dyDescent="0.2">
      <c r="A169" s="2166"/>
      <c r="B169" s="177"/>
      <c r="C169" s="177"/>
      <c r="D169" s="2166"/>
      <c r="E169" s="2166"/>
      <c r="F169" s="2166"/>
      <c r="G169" s="2166"/>
      <c r="H169" s="2171"/>
      <c r="I169" s="2168"/>
      <c r="J169" s="178"/>
      <c r="K169" s="2168"/>
      <c r="L169" s="2166"/>
      <c r="M169" s="2166"/>
      <c r="N169" s="2166"/>
      <c r="O169" s="2166"/>
      <c r="P169" s="2171"/>
      <c r="Q169" s="2167"/>
      <c r="R169" s="437"/>
      <c r="S169" s="2168"/>
      <c r="T169" s="179"/>
      <c r="U169" s="178"/>
      <c r="V169" s="2168"/>
      <c r="W169" s="2168"/>
      <c r="X169" s="470"/>
      <c r="Y169" s="470"/>
      <c r="Z169" s="471"/>
      <c r="AA169" s="471"/>
      <c r="AB169" s="466"/>
    </row>
    <row r="170" spans="1:28" s="352" customFormat="1" ht="18" customHeight="1" x14ac:dyDescent="0.2">
      <c r="A170" s="2166"/>
      <c r="B170" s="177"/>
      <c r="C170" s="177"/>
      <c r="D170" s="2166"/>
      <c r="E170" s="2166"/>
      <c r="F170" s="2166"/>
      <c r="G170" s="2166"/>
      <c r="H170" s="2171"/>
      <c r="I170" s="2168"/>
      <c r="J170" s="178"/>
      <c r="K170" s="2168"/>
      <c r="L170" s="2166"/>
      <c r="M170" s="2166"/>
      <c r="N170" s="2166"/>
      <c r="O170" s="2166"/>
      <c r="P170" s="2171"/>
      <c r="Q170" s="2167"/>
      <c r="R170" s="437"/>
      <c r="S170" s="2168"/>
      <c r="T170" s="179"/>
      <c r="U170" s="178"/>
      <c r="V170" s="2168"/>
      <c r="W170" s="2168"/>
      <c r="X170" s="470"/>
      <c r="Y170" s="470"/>
      <c r="Z170" s="471"/>
      <c r="AA170" s="471"/>
      <c r="AB170" s="466"/>
    </row>
    <row r="171" spans="1:28" s="352" customFormat="1" ht="18" customHeight="1" x14ac:dyDescent="0.2">
      <c r="A171" s="88"/>
      <c r="B171" s="180"/>
      <c r="C171" s="180"/>
      <c r="D171" s="88"/>
      <c r="E171" s="88"/>
      <c r="F171" s="88"/>
      <c r="G171" s="88"/>
      <c r="H171" s="120"/>
      <c r="I171" s="121"/>
      <c r="J171" s="181"/>
      <c r="K171" s="121"/>
      <c r="L171" s="88"/>
      <c r="M171" s="88"/>
      <c r="N171" s="88"/>
      <c r="O171" s="88"/>
      <c r="P171" s="88"/>
      <c r="Q171" s="129"/>
      <c r="R171" s="445"/>
      <c r="S171" s="121"/>
      <c r="T171" s="182"/>
      <c r="U171" s="181"/>
      <c r="V171" s="121"/>
      <c r="W171" s="121"/>
      <c r="X171" s="472"/>
      <c r="Y171" s="472"/>
      <c r="Z171" s="473"/>
      <c r="AA171" s="473"/>
      <c r="AB171" s="410"/>
    </row>
    <row r="172" spans="1:28" s="352" customFormat="1" ht="18" customHeight="1" x14ac:dyDescent="0.2">
      <c r="A172" s="1850"/>
      <c r="B172" s="1850"/>
      <c r="C172" s="1850"/>
      <c r="D172" s="1850"/>
      <c r="E172" s="1850"/>
      <c r="F172" s="1850"/>
      <c r="G172" s="1850"/>
      <c r="H172" s="1851"/>
      <c r="I172" s="1852"/>
      <c r="J172" s="1853"/>
      <c r="K172" s="1852"/>
      <c r="L172" s="1852"/>
      <c r="M172" s="1852"/>
      <c r="N172" s="1852"/>
      <c r="O172" s="1852"/>
      <c r="P172" s="1852"/>
      <c r="Q172" s="1852"/>
      <c r="R172" s="1854"/>
      <c r="S172" s="1852"/>
      <c r="T172" s="1855"/>
      <c r="U172" s="1853"/>
      <c r="V172" s="1852"/>
      <c r="W172" s="1852"/>
      <c r="X172" s="1856"/>
      <c r="Y172" s="1856"/>
      <c r="Z172" s="1857"/>
      <c r="AA172" s="1857"/>
      <c r="AB172" s="1847"/>
    </row>
    <row r="173" spans="1:28" s="352" customFormat="1" ht="18" customHeight="1" x14ac:dyDescent="0.2">
      <c r="A173" s="2778" t="s">
        <v>76</v>
      </c>
      <c r="B173" s="2778"/>
      <c r="C173" s="2779" t="s">
        <v>77</v>
      </c>
      <c r="D173" s="2779"/>
      <c r="E173" s="2779"/>
      <c r="F173" s="2779"/>
      <c r="G173" s="2779"/>
      <c r="H173" s="2779"/>
      <c r="I173" s="424" t="s">
        <v>78</v>
      </c>
      <c r="J173" s="424"/>
      <c r="K173" s="424"/>
      <c r="L173" s="424"/>
      <c r="M173" s="424"/>
      <c r="N173" s="424"/>
      <c r="AB173" s="425"/>
    </row>
    <row r="174" spans="1:28" s="352" customFormat="1" ht="18" customHeight="1" x14ac:dyDescent="0.2">
      <c r="A174" s="424"/>
      <c r="B174" s="426"/>
      <c r="C174" s="424"/>
      <c r="D174" s="424"/>
      <c r="E174" s="424"/>
      <c r="F174" s="424"/>
      <c r="G174" s="424"/>
      <c r="H174" s="424"/>
      <c r="I174" s="424" t="s">
        <v>79</v>
      </c>
      <c r="J174" s="424"/>
      <c r="K174" s="424"/>
      <c r="L174" s="424"/>
      <c r="M174" s="424"/>
      <c r="N174" s="424"/>
      <c r="AB174" s="425"/>
    </row>
    <row r="175" spans="1:28" s="352" customFormat="1" ht="18" customHeight="1" x14ac:dyDescent="0.2">
      <c r="A175" s="424"/>
      <c r="B175" s="426"/>
      <c r="C175" s="424"/>
      <c r="D175" s="424"/>
      <c r="E175" s="424"/>
      <c r="F175" s="424"/>
      <c r="G175" s="424"/>
      <c r="H175" s="424"/>
      <c r="I175" s="424" t="s">
        <v>80</v>
      </c>
      <c r="J175" s="424"/>
      <c r="K175" s="424"/>
      <c r="L175" s="424"/>
      <c r="M175" s="424"/>
      <c r="N175" s="424"/>
      <c r="AB175" s="425"/>
    </row>
    <row r="176" spans="1:28" s="352" customFormat="1" ht="18" customHeight="1" x14ac:dyDescent="0.2">
      <c r="A176" s="424"/>
      <c r="B176" s="426"/>
      <c r="C176" s="424"/>
      <c r="D176" s="424"/>
      <c r="E176" s="424"/>
      <c r="F176" s="424"/>
      <c r="G176" s="424"/>
      <c r="H176" s="424"/>
      <c r="I176" s="424" t="s">
        <v>81</v>
      </c>
      <c r="J176" s="424"/>
      <c r="K176" s="424"/>
      <c r="L176" s="424"/>
      <c r="M176" s="424"/>
      <c r="N176" s="424"/>
      <c r="AB176" s="425"/>
    </row>
    <row r="177" spans="1:29" s="352" customFormat="1" ht="18" customHeight="1" x14ac:dyDescent="0.2">
      <c r="A177" s="424"/>
      <c r="B177" s="426"/>
      <c r="C177" s="424"/>
      <c r="D177" s="424"/>
      <c r="E177" s="424"/>
      <c r="F177" s="424"/>
      <c r="G177" s="424"/>
      <c r="H177" s="424"/>
      <c r="I177" s="424" t="s">
        <v>88</v>
      </c>
      <c r="J177" s="424"/>
      <c r="K177" s="424"/>
      <c r="L177" s="424"/>
      <c r="M177" s="424"/>
      <c r="N177" s="424"/>
      <c r="AB177" s="425"/>
    </row>
    <row r="178" spans="1:29" s="352" customFormat="1" ht="18" customHeight="1" x14ac:dyDescent="0.2">
      <c r="A178" s="338"/>
      <c r="B178" s="338"/>
      <c r="C178" s="338"/>
      <c r="D178" s="338"/>
      <c r="E178" s="338"/>
      <c r="F178" s="338"/>
      <c r="G178" s="338"/>
      <c r="H178" s="338"/>
      <c r="I178" s="338"/>
      <c r="J178" s="338"/>
      <c r="K178" s="338"/>
      <c r="L178" s="338"/>
      <c r="M178" s="338"/>
      <c r="N178" s="338"/>
      <c r="O178" s="338"/>
      <c r="P178" s="338"/>
      <c r="Q178" s="338"/>
      <c r="R178" s="338"/>
      <c r="S178" s="338"/>
      <c r="T178" s="338"/>
      <c r="U178" s="338"/>
      <c r="V178" s="338"/>
      <c r="W178" s="338"/>
      <c r="X178" s="338"/>
      <c r="Y178" s="338"/>
      <c r="Z178" s="338"/>
      <c r="AA178" s="2774" t="s">
        <v>0</v>
      </c>
      <c r="AB178" s="2774"/>
    </row>
    <row r="179" spans="1:29" s="352" customFormat="1" ht="18" customHeight="1" x14ac:dyDescent="0.2">
      <c r="A179" s="2703" t="s">
        <v>1</v>
      </c>
      <c r="B179" s="2703"/>
      <c r="C179" s="2703"/>
      <c r="D179" s="2703"/>
      <c r="E179" s="2703"/>
      <c r="F179" s="2703"/>
      <c r="G179" s="2703"/>
      <c r="H179" s="2703"/>
      <c r="I179" s="2703"/>
      <c r="J179" s="2703"/>
      <c r="K179" s="2703"/>
      <c r="L179" s="2703"/>
      <c r="M179" s="2703"/>
      <c r="N179" s="2703"/>
      <c r="O179" s="2703"/>
      <c r="P179" s="2703"/>
      <c r="Q179" s="2703"/>
      <c r="R179" s="2703"/>
      <c r="S179" s="2703"/>
      <c r="T179" s="2703"/>
      <c r="U179" s="2703"/>
      <c r="V179" s="2703"/>
      <c r="W179" s="2703"/>
      <c r="X179" s="2703"/>
      <c r="Y179" s="2703"/>
      <c r="Z179" s="2703"/>
      <c r="AA179" s="2703"/>
      <c r="AB179" s="2703"/>
    </row>
    <row r="180" spans="1:29" s="352" customFormat="1" ht="18" customHeight="1" x14ac:dyDescent="0.2">
      <c r="A180" s="2780" t="s">
        <v>607</v>
      </c>
      <c r="B180" s="2780"/>
      <c r="C180" s="2780"/>
      <c r="D180" s="2780"/>
      <c r="E180" s="2780"/>
      <c r="F180" s="2780"/>
      <c r="G180" s="2780"/>
      <c r="H180" s="2780"/>
      <c r="I180" s="2780"/>
      <c r="J180" s="2780"/>
      <c r="K180" s="2780"/>
      <c r="L180" s="2780"/>
      <c r="M180" s="2780"/>
      <c r="N180" s="2780"/>
      <c r="O180" s="2780"/>
      <c r="P180" s="2780"/>
      <c r="Q180" s="2780"/>
      <c r="R180" s="2780"/>
      <c r="S180" s="2780"/>
      <c r="T180" s="2780"/>
      <c r="U180" s="2780"/>
      <c r="V180" s="2780"/>
      <c r="W180" s="2780"/>
      <c r="X180" s="2780"/>
      <c r="Y180" s="2780"/>
      <c r="Z180" s="2780"/>
      <c r="AA180" s="2780"/>
      <c r="AB180" s="2780"/>
    </row>
    <row r="181" spans="1:29" s="352" customFormat="1" ht="18" customHeight="1" x14ac:dyDescent="0.2">
      <c r="A181" s="2686" t="s">
        <v>2</v>
      </c>
      <c r="B181" s="360"/>
      <c r="C181" s="2686" t="s">
        <v>3</v>
      </c>
      <c r="D181" s="360"/>
      <c r="E181" s="360"/>
      <c r="F181" s="2693" t="s">
        <v>4</v>
      </c>
      <c r="G181" s="2693"/>
      <c r="H181" s="2693"/>
      <c r="I181" s="2694"/>
      <c r="J181" s="2694"/>
      <c r="K181" s="2695"/>
      <c r="L181" s="361"/>
      <c r="M181" s="2679" t="s">
        <v>5</v>
      </c>
      <c r="N181" s="2679"/>
      <c r="O181" s="2679"/>
      <c r="P181" s="2679"/>
      <c r="Q181" s="2696"/>
      <c r="R181" s="2696"/>
      <c r="S181" s="2696"/>
      <c r="T181" s="2696"/>
      <c r="U181" s="2696"/>
      <c r="V181" s="2697"/>
      <c r="W181" s="362" t="s">
        <v>6</v>
      </c>
      <c r="X181" s="363" t="s">
        <v>7</v>
      </c>
      <c r="Y181" s="364"/>
      <c r="Z181" s="364"/>
      <c r="AA181" s="363"/>
      <c r="AB181" s="365"/>
    </row>
    <row r="182" spans="1:29" s="352" customFormat="1" ht="18" customHeight="1" x14ac:dyDescent="0.2">
      <c r="A182" s="2687"/>
      <c r="B182" s="367"/>
      <c r="C182" s="2687"/>
      <c r="D182" s="2158" t="s">
        <v>9</v>
      </c>
      <c r="E182" s="368" t="s">
        <v>10</v>
      </c>
      <c r="F182" s="2698" t="s">
        <v>11</v>
      </c>
      <c r="G182" s="2694"/>
      <c r="H182" s="2695"/>
      <c r="I182" s="360"/>
      <c r="J182" s="369" t="s">
        <v>12</v>
      </c>
      <c r="K182" s="360"/>
      <c r="L182" s="2679" t="s">
        <v>2</v>
      </c>
      <c r="M182" s="2162"/>
      <c r="N182" s="2162"/>
      <c r="O182" s="2162"/>
      <c r="P182" s="371"/>
      <c r="Q182" s="372" t="s">
        <v>13</v>
      </c>
      <c r="R182" s="373" t="s">
        <v>12</v>
      </c>
      <c r="S182" s="2162" t="s">
        <v>6</v>
      </c>
      <c r="T182" s="2682" t="s">
        <v>14</v>
      </c>
      <c r="U182" s="2683"/>
      <c r="V182" s="375" t="s">
        <v>7</v>
      </c>
      <c r="W182" s="376" t="s">
        <v>15</v>
      </c>
      <c r="X182" s="377" t="s">
        <v>16</v>
      </c>
      <c r="Y182" s="377" t="s">
        <v>17</v>
      </c>
      <c r="Z182" s="377" t="s">
        <v>18</v>
      </c>
      <c r="AA182" s="377"/>
      <c r="AB182" s="378" t="s">
        <v>19</v>
      </c>
    </row>
    <row r="183" spans="1:29" s="352" customFormat="1" ht="18" customHeight="1" x14ac:dyDescent="0.2">
      <c r="A183" s="2687"/>
      <c r="B183" s="2158" t="s">
        <v>23</v>
      </c>
      <c r="C183" s="2687"/>
      <c r="D183" s="2158" t="s">
        <v>24</v>
      </c>
      <c r="E183" s="368" t="s">
        <v>25</v>
      </c>
      <c r="F183" s="2699"/>
      <c r="G183" s="2700"/>
      <c r="H183" s="2701"/>
      <c r="I183" s="2158" t="s">
        <v>26</v>
      </c>
      <c r="J183" s="379" t="s">
        <v>15</v>
      </c>
      <c r="K183" s="2159" t="s">
        <v>6</v>
      </c>
      <c r="L183" s="2680"/>
      <c r="M183" s="2163" t="s">
        <v>27</v>
      </c>
      <c r="N183" s="2163" t="s">
        <v>10</v>
      </c>
      <c r="O183" s="382" t="s">
        <v>10</v>
      </c>
      <c r="P183" s="383" t="s">
        <v>28</v>
      </c>
      <c r="Q183" s="384" t="s">
        <v>29</v>
      </c>
      <c r="R183" s="383" t="s">
        <v>15</v>
      </c>
      <c r="S183" s="385" t="s">
        <v>15</v>
      </c>
      <c r="T183" s="2684"/>
      <c r="U183" s="2685"/>
      <c r="V183" s="375" t="s">
        <v>30</v>
      </c>
      <c r="W183" s="376" t="s">
        <v>31</v>
      </c>
      <c r="X183" s="377" t="s">
        <v>30</v>
      </c>
      <c r="Y183" s="377" t="s">
        <v>32</v>
      </c>
      <c r="Z183" s="377" t="s">
        <v>7</v>
      </c>
      <c r="AA183" s="377" t="s">
        <v>33</v>
      </c>
      <c r="AB183" s="378" t="s">
        <v>34</v>
      </c>
    </row>
    <row r="184" spans="1:29" s="352" customFormat="1" ht="18" customHeight="1" x14ac:dyDescent="0.2">
      <c r="A184" s="2687"/>
      <c r="B184" s="2158" t="s">
        <v>39</v>
      </c>
      <c r="C184" s="2687"/>
      <c r="D184" s="2158" t="s">
        <v>40</v>
      </c>
      <c r="E184" s="368" t="s">
        <v>41</v>
      </c>
      <c r="F184" s="2686" t="s">
        <v>42</v>
      </c>
      <c r="G184" s="2686" t="s">
        <v>43</v>
      </c>
      <c r="H184" s="2688" t="s">
        <v>44</v>
      </c>
      <c r="I184" s="2158" t="s">
        <v>45</v>
      </c>
      <c r="J184" s="379" t="s">
        <v>46</v>
      </c>
      <c r="K184" s="2159" t="s">
        <v>47</v>
      </c>
      <c r="L184" s="2680"/>
      <c r="M184" s="2163" t="s">
        <v>30</v>
      </c>
      <c r="N184" s="2163" t="s">
        <v>30</v>
      </c>
      <c r="O184" s="382" t="s">
        <v>25</v>
      </c>
      <c r="P184" s="383" t="s">
        <v>30</v>
      </c>
      <c r="Q184" s="384" t="s">
        <v>48</v>
      </c>
      <c r="R184" s="383" t="s">
        <v>49</v>
      </c>
      <c r="S184" s="385" t="s">
        <v>30</v>
      </c>
      <c r="T184" s="386" t="s">
        <v>50</v>
      </c>
      <c r="U184" s="2161" t="s">
        <v>13</v>
      </c>
      <c r="V184" s="375" t="s">
        <v>51</v>
      </c>
      <c r="W184" s="376" t="s">
        <v>52</v>
      </c>
      <c r="X184" s="377" t="s">
        <v>53</v>
      </c>
      <c r="Y184" s="377" t="s">
        <v>54</v>
      </c>
      <c r="Z184" s="377" t="s">
        <v>55</v>
      </c>
      <c r="AA184" s="377" t="s">
        <v>56</v>
      </c>
      <c r="AB184" s="378" t="s">
        <v>57</v>
      </c>
    </row>
    <row r="185" spans="1:29" s="352" customFormat="1" ht="18" customHeight="1" x14ac:dyDescent="0.2">
      <c r="A185" s="2687"/>
      <c r="B185" s="2158" t="s">
        <v>61</v>
      </c>
      <c r="C185" s="2687"/>
      <c r="D185" s="2158" t="s">
        <v>62</v>
      </c>
      <c r="E185" s="368" t="s">
        <v>63</v>
      </c>
      <c r="F185" s="2687"/>
      <c r="G185" s="2687"/>
      <c r="H185" s="2689"/>
      <c r="I185" s="2158" t="s">
        <v>64</v>
      </c>
      <c r="J185" s="379" t="s">
        <v>59</v>
      </c>
      <c r="K185" s="2159" t="s">
        <v>59</v>
      </c>
      <c r="L185" s="2680"/>
      <c r="M185" s="2163"/>
      <c r="N185" s="2163"/>
      <c r="O185" s="382" t="s">
        <v>41</v>
      </c>
      <c r="P185" s="383" t="s">
        <v>65</v>
      </c>
      <c r="Q185" s="384" t="s">
        <v>66</v>
      </c>
      <c r="R185" s="383" t="s">
        <v>67</v>
      </c>
      <c r="S185" s="385" t="s">
        <v>59</v>
      </c>
      <c r="T185" s="387" t="s">
        <v>68</v>
      </c>
      <c r="U185" s="375" t="s">
        <v>14</v>
      </c>
      <c r="V185" s="375" t="s">
        <v>14</v>
      </c>
      <c r="W185" s="376" t="s">
        <v>30</v>
      </c>
      <c r="X185" s="388" t="s">
        <v>69</v>
      </c>
      <c r="Y185" s="388" t="s">
        <v>70</v>
      </c>
      <c r="Z185" s="377" t="s">
        <v>71</v>
      </c>
      <c r="AA185" s="377" t="s">
        <v>72</v>
      </c>
      <c r="AB185" s="378" t="s">
        <v>59</v>
      </c>
    </row>
    <row r="186" spans="1:29" s="352" customFormat="1" ht="18" customHeight="1" x14ac:dyDescent="0.2">
      <c r="A186" s="2692"/>
      <c r="B186" s="390"/>
      <c r="C186" s="2692"/>
      <c r="D186" s="390"/>
      <c r="E186" s="2160"/>
      <c r="F186" s="390"/>
      <c r="G186" s="390"/>
      <c r="H186" s="391"/>
      <c r="I186" s="2160"/>
      <c r="J186" s="392"/>
      <c r="K186" s="393"/>
      <c r="L186" s="2681"/>
      <c r="M186" s="2164"/>
      <c r="N186" s="2164"/>
      <c r="O186" s="2164" t="s">
        <v>63</v>
      </c>
      <c r="P186" s="395"/>
      <c r="Q186" s="396" t="s">
        <v>72</v>
      </c>
      <c r="R186" s="397" t="s">
        <v>59</v>
      </c>
      <c r="S186" s="398"/>
      <c r="T186" s="397" t="s">
        <v>73</v>
      </c>
      <c r="U186" s="398" t="s">
        <v>59</v>
      </c>
      <c r="V186" s="399" t="s">
        <v>59</v>
      </c>
      <c r="W186" s="400" t="s">
        <v>59</v>
      </c>
      <c r="X186" s="401" t="s">
        <v>59</v>
      </c>
      <c r="Y186" s="401" t="s">
        <v>59</v>
      </c>
      <c r="Z186" s="401" t="s">
        <v>59</v>
      </c>
      <c r="AA186" s="402"/>
      <c r="AB186" s="403"/>
    </row>
    <row r="187" spans="1:29" s="352" customFormat="1" ht="18" customHeight="1" x14ac:dyDescent="0.25">
      <c r="A187" s="41">
        <v>1</v>
      </c>
      <c r="B187" s="333">
        <v>48691</v>
      </c>
      <c r="C187" s="41">
        <v>1505</v>
      </c>
      <c r="D187" s="41" t="s">
        <v>84</v>
      </c>
      <c r="E187" s="41">
        <v>2</v>
      </c>
      <c r="F187" s="41">
        <v>0</v>
      </c>
      <c r="G187" s="41">
        <v>1</v>
      </c>
      <c r="H187" s="267">
        <v>74</v>
      </c>
      <c r="I187" s="302">
        <f>F187*400+G187*100+H187</f>
        <v>174</v>
      </c>
      <c r="J187" s="667">
        <v>2000</v>
      </c>
      <c r="K187" s="303">
        <f>SUM(I187*J187)</f>
        <v>348000</v>
      </c>
      <c r="L187" s="16">
        <v>1</v>
      </c>
      <c r="M187" s="82">
        <v>103</v>
      </c>
      <c r="N187" s="41" t="s">
        <v>74</v>
      </c>
      <c r="O187" s="16">
        <v>2</v>
      </c>
      <c r="P187" s="756">
        <f>15.8*15.3</f>
        <v>241.74</v>
      </c>
      <c r="Q187" s="14" t="s">
        <v>75</v>
      </c>
      <c r="R187" s="302">
        <v>9050</v>
      </c>
      <c r="S187" s="302">
        <f>+P187*R187</f>
        <v>2187747</v>
      </c>
      <c r="T187" s="41">
        <v>18</v>
      </c>
      <c r="U187" s="310">
        <f>+S187*0.26</f>
        <v>568814.22</v>
      </c>
      <c r="V187" s="302">
        <f>+S187-U187</f>
        <v>1618932.78</v>
      </c>
      <c r="W187" s="302">
        <f>K187+V187</f>
        <v>1966932.78</v>
      </c>
      <c r="X187" s="302">
        <f>W187</f>
        <v>1966932.78</v>
      </c>
      <c r="Y187" s="302" t="s">
        <v>263</v>
      </c>
      <c r="Z187" s="310">
        <v>0</v>
      </c>
      <c r="AA187" s="494">
        <v>0.02</v>
      </c>
      <c r="AB187" s="123">
        <f>+Z187*AA187/100</f>
        <v>0</v>
      </c>
    </row>
    <row r="188" spans="1:29" s="352" customFormat="1" ht="18" customHeight="1" x14ac:dyDescent="0.25">
      <c r="A188" s="45">
        <v>2</v>
      </c>
      <c r="B188" s="273">
        <v>48692</v>
      </c>
      <c r="C188" s="27">
        <v>1504</v>
      </c>
      <c r="D188" s="15" t="s">
        <v>84</v>
      </c>
      <c r="E188" s="15">
        <v>3</v>
      </c>
      <c r="F188" s="15">
        <v>0</v>
      </c>
      <c r="G188" s="15">
        <v>0</v>
      </c>
      <c r="H188" s="284">
        <v>17.5</v>
      </c>
      <c r="I188" s="296">
        <f>F188*400+G188*100+H188</f>
        <v>17.5</v>
      </c>
      <c r="J188" s="759">
        <v>2000</v>
      </c>
      <c r="K188" s="297">
        <f>SUM(I188*J188)</f>
        <v>35000</v>
      </c>
      <c r="L188" s="50">
        <v>2</v>
      </c>
      <c r="M188" s="2166" t="s">
        <v>260</v>
      </c>
      <c r="N188" s="15" t="s">
        <v>74</v>
      </c>
      <c r="O188" s="50">
        <v>3</v>
      </c>
      <c r="P188" s="758">
        <f>5.9*11.8</f>
        <v>69.62</v>
      </c>
      <c r="Q188" s="76" t="s">
        <v>75</v>
      </c>
      <c r="R188" s="296">
        <v>8650</v>
      </c>
      <c r="S188" s="296">
        <f>+P188*R188</f>
        <v>602213</v>
      </c>
      <c r="T188" s="15">
        <v>13</v>
      </c>
      <c r="U188" s="306">
        <f>+S188*0.16</f>
        <v>96354.08</v>
      </c>
      <c r="V188" s="296">
        <f>S188-U188</f>
        <v>505858.92</v>
      </c>
      <c r="W188" s="296">
        <f>V188+K188</f>
        <v>540858.91999999993</v>
      </c>
      <c r="X188" s="296">
        <f>W188</f>
        <v>540858.91999999993</v>
      </c>
      <c r="Y188" s="296"/>
      <c r="Z188" s="296">
        <f>+X188</f>
        <v>540858.91999999993</v>
      </c>
      <c r="AA188" s="494">
        <v>0.3</v>
      </c>
      <c r="AB188" s="121">
        <f>+Z188*AA188/100</f>
        <v>1622.5767599999997</v>
      </c>
      <c r="AC188" s="2304">
        <f>AB188+AB189</f>
        <v>1746.6335599999998</v>
      </c>
    </row>
    <row r="189" spans="1:29" s="352" customFormat="1" ht="18" customHeight="1" x14ac:dyDescent="0.25">
      <c r="A189" s="50"/>
      <c r="B189" s="287"/>
      <c r="C189" s="15"/>
      <c r="D189" s="15"/>
      <c r="E189" s="15"/>
      <c r="F189" s="15"/>
      <c r="G189" s="15">
        <v>1</v>
      </c>
      <c r="H189" s="284">
        <v>50.5</v>
      </c>
      <c r="I189" s="296">
        <f>F189*400+G189*100+H189</f>
        <v>150.5</v>
      </c>
      <c r="J189" s="759">
        <v>2000</v>
      </c>
      <c r="K189" s="297">
        <f>SUM(I189*J189)</f>
        <v>301000</v>
      </c>
      <c r="L189" s="50">
        <v>3</v>
      </c>
      <c r="M189" s="88">
        <v>103</v>
      </c>
      <c r="N189" s="15" t="s">
        <v>74</v>
      </c>
      <c r="O189" s="50">
        <v>2</v>
      </c>
      <c r="P189" s="758">
        <v>42</v>
      </c>
      <c r="Q189" s="76" t="s">
        <v>75</v>
      </c>
      <c r="R189" s="296">
        <v>9050</v>
      </c>
      <c r="S189" s="296">
        <f>+P189*R189</f>
        <v>380100</v>
      </c>
      <c r="T189" s="15">
        <v>13</v>
      </c>
      <c r="U189" s="306">
        <f>+S189*0.16</f>
        <v>60816</v>
      </c>
      <c r="V189" s="296">
        <f>S189-U189</f>
        <v>319284</v>
      </c>
      <c r="W189" s="296">
        <f>V189+K189</f>
        <v>620284</v>
      </c>
      <c r="X189" s="296">
        <f>W189</f>
        <v>620284</v>
      </c>
      <c r="Y189" s="296"/>
      <c r="Z189" s="296">
        <f>+X189</f>
        <v>620284</v>
      </c>
      <c r="AA189" s="494">
        <v>0.02</v>
      </c>
      <c r="AB189" s="121">
        <f>+Z189*AA189/100</f>
        <v>124.05680000000001</v>
      </c>
    </row>
    <row r="190" spans="1:29" s="352" customFormat="1" ht="18" customHeight="1" x14ac:dyDescent="0.2">
      <c r="A190" s="242"/>
      <c r="B190" s="242"/>
      <c r="C190" s="496"/>
      <c r="D190" s="85"/>
      <c r="E190" s="85"/>
      <c r="F190" s="411"/>
      <c r="G190" s="242"/>
      <c r="H190" s="497"/>
      <c r="I190" s="77"/>
      <c r="J190" s="275"/>
      <c r="K190" s="78"/>
      <c r="L190" s="242"/>
      <c r="M190" s="88"/>
      <c r="N190" s="2166"/>
      <c r="O190" s="61"/>
      <c r="P190" s="497"/>
      <c r="Q190" s="174"/>
      <c r="R190" s="408"/>
      <c r="S190" s="77"/>
      <c r="T190" s="505"/>
      <c r="U190" s="74"/>
      <c r="V190" s="74"/>
      <c r="W190" s="77"/>
      <c r="X190" s="74"/>
      <c r="Y190" s="77"/>
      <c r="Z190" s="77"/>
      <c r="AA190" s="2170"/>
      <c r="AB190" s="121"/>
    </row>
    <row r="191" spans="1:29" s="352" customFormat="1" ht="18" customHeight="1" x14ac:dyDescent="0.2">
      <c r="A191" s="242"/>
      <c r="B191" s="242"/>
      <c r="C191" s="496"/>
      <c r="D191" s="85"/>
      <c r="E191" s="85"/>
      <c r="F191" s="411"/>
      <c r="G191" s="242"/>
      <c r="H191" s="497"/>
      <c r="I191" s="77"/>
      <c r="J191" s="275"/>
      <c r="K191" s="78"/>
      <c r="L191" s="242"/>
      <c r="M191" s="241"/>
      <c r="N191" s="242"/>
      <c r="O191" s="61"/>
      <c r="P191" s="497"/>
      <c r="Q191" s="174"/>
      <c r="R191" s="408"/>
      <c r="S191" s="77"/>
      <c r="T191" s="505"/>
      <c r="U191" s="74"/>
      <c r="V191" s="74"/>
      <c r="W191" s="77"/>
      <c r="X191" s="74"/>
      <c r="Y191" s="77"/>
      <c r="Z191" s="77"/>
      <c r="AA191" s="2170"/>
      <c r="AB191" s="121"/>
    </row>
    <row r="192" spans="1:29" s="352" customFormat="1" ht="18" customHeight="1" x14ac:dyDescent="0.2">
      <c r="A192" s="242"/>
      <c r="B192" s="242"/>
      <c r="C192" s="496"/>
      <c r="D192" s="85"/>
      <c r="E192" s="85"/>
      <c r="F192" s="411"/>
      <c r="G192" s="242"/>
      <c r="H192" s="497"/>
      <c r="I192" s="77"/>
      <c r="J192" s="275"/>
      <c r="K192" s="78"/>
      <c r="L192" s="242"/>
      <c r="M192" s="242"/>
      <c r="N192" s="242"/>
      <c r="O192" s="61"/>
      <c r="P192" s="497"/>
      <c r="Q192" s="174"/>
      <c r="R192" s="408"/>
      <c r="S192" s="77"/>
      <c r="T192" s="505"/>
      <c r="U192" s="74"/>
      <c r="V192" s="74"/>
      <c r="W192" s="77"/>
      <c r="X192" s="74"/>
      <c r="Y192" s="77"/>
      <c r="Z192" s="77"/>
      <c r="AA192" s="2170"/>
      <c r="AB192" s="121"/>
    </row>
    <row r="193" spans="1:28" s="352" customFormat="1" ht="18" customHeight="1" x14ac:dyDescent="0.2">
      <c r="A193" s="242"/>
      <c r="B193" s="242"/>
      <c r="C193" s="496"/>
      <c r="D193" s="85"/>
      <c r="E193" s="85"/>
      <c r="F193" s="411"/>
      <c r="G193" s="242"/>
      <c r="H193" s="497"/>
      <c r="I193" s="77"/>
      <c r="J193" s="275"/>
      <c r="K193" s="78"/>
      <c r="L193" s="242"/>
      <c r="M193" s="815"/>
      <c r="O193" s="817"/>
      <c r="P193" s="497"/>
      <c r="Q193" s="496"/>
      <c r="R193" s="503"/>
      <c r="S193" s="504"/>
      <c r="T193" s="505"/>
      <c r="U193" s="504"/>
      <c r="V193" s="504"/>
      <c r="W193" s="504"/>
      <c r="X193" s="504"/>
      <c r="Y193" s="504"/>
      <c r="Z193" s="504"/>
      <c r="AA193" s="2170"/>
      <c r="AB193" s="121"/>
    </row>
    <row r="194" spans="1:28" s="352" customFormat="1" ht="18" customHeight="1" x14ac:dyDescent="0.2">
      <c r="A194" s="2166"/>
      <c r="B194" s="177"/>
      <c r="C194" s="177"/>
      <c r="D194" s="2166"/>
      <c r="E194" s="2166"/>
      <c r="F194" s="2166"/>
      <c r="G194" s="2166"/>
      <c r="H194" s="2171"/>
      <c r="I194" s="2168"/>
      <c r="J194" s="178"/>
      <c r="K194" s="2168"/>
      <c r="L194" s="2166"/>
      <c r="M194" s="2166"/>
      <c r="N194" s="2166"/>
      <c r="O194" s="2166"/>
      <c r="P194" s="2171"/>
      <c r="Q194" s="2167"/>
      <c r="R194" s="437"/>
      <c r="S194" s="2168"/>
      <c r="T194" s="179"/>
      <c r="U194" s="178"/>
      <c r="V194" s="2168"/>
      <c r="W194" s="2168"/>
      <c r="X194" s="470"/>
      <c r="Y194" s="470"/>
      <c r="Z194" s="471"/>
      <c r="AA194" s="471"/>
      <c r="AB194" s="466"/>
    </row>
    <row r="195" spans="1:28" s="352" customFormat="1" ht="18" customHeight="1" x14ac:dyDescent="0.2">
      <c r="A195" s="2166"/>
      <c r="B195" s="177"/>
      <c r="C195" s="177"/>
      <c r="D195" s="2166"/>
      <c r="E195" s="2166"/>
      <c r="F195" s="2166"/>
      <c r="G195" s="2166"/>
      <c r="H195" s="2171"/>
      <c r="I195" s="2168"/>
      <c r="J195" s="178"/>
      <c r="K195" s="2168"/>
      <c r="L195" s="2166"/>
      <c r="M195" s="2166"/>
      <c r="N195" s="2166"/>
      <c r="O195" s="2166"/>
      <c r="P195" s="2171"/>
      <c r="Q195" s="2167"/>
      <c r="R195" s="437"/>
      <c r="S195" s="2168"/>
      <c r="T195" s="179"/>
      <c r="U195" s="178"/>
      <c r="V195" s="2168"/>
      <c r="W195" s="2168"/>
      <c r="X195" s="470"/>
      <c r="Y195" s="470"/>
      <c r="Z195" s="471"/>
      <c r="AA195" s="471"/>
      <c r="AB195" s="466"/>
    </row>
    <row r="196" spans="1:28" s="352" customFormat="1" ht="18" customHeight="1" x14ac:dyDescent="0.2">
      <c r="A196" s="2166"/>
      <c r="B196" s="177"/>
      <c r="C196" s="177"/>
      <c r="D196" s="2166"/>
      <c r="E196" s="2166"/>
      <c r="F196" s="2166"/>
      <c r="G196" s="2166"/>
      <c r="H196" s="2171"/>
      <c r="I196" s="2168"/>
      <c r="J196" s="178"/>
      <c r="K196" s="2168"/>
      <c r="L196" s="2166"/>
      <c r="M196" s="2166"/>
      <c r="N196" s="2166"/>
      <c r="O196" s="2166"/>
      <c r="P196" s="2171"/>
      <c r="Q196" s="2167"/>
      <c r="R196" s="437"/>
      <c r="S196" s="2168"/>
      <c r="T196" s="179"/>
      <c r="U196" s="178"/>
      <c r="V196" s="2168"/>
      <c r="W196" s="2168"/>
      <c r="X196" s="470"/>
      <c r="Y196" s="470"/>
      <c r="Z196" s="471"/>
      <c r="AA196" s="471"/>
      <c r="AB196" s="466"/>
    </row>
    <row r="197" spans="1:28" s="352" customFormat="1" ht="18" customHeight="1" x14ac:dyDescent="0.2">
      <c r="A197" s="2166"/>
      <c r="B197" s="177"/>
      <c r="C197" s="177"/>
      <c r="D197" s="2166"/>
      <c r="E197" s="2166"/>
      <c r="F197" s="2166"/>
      <c r="G197" s="2166"/>
      <c r="H197" s="2171"/>
      <c r="I197" s="2168"/>
      <c r="J197" s="178"/>
      <c r="K197" s="2168"/>
      <c r="L197" s="2166"/>
      <c r="M197" s="2166"/>
      <c r="N197" s="2166"/>
      <c r="O197" s="2166"/>
      <c r="P197" s="2171"/>
      <c r="Q197" s="2167"/>
      <c r="R197" s="437"/>
      <c r="S197" s="2168"/>
      <c r="T197" s="179"/>
      <c r="U197" s="178"/>
      <c r="V197" s="2168"/>
      <c r="W197" s="2168"/>
      <c r="X197" s="470"/>
      <c r="Y197" s="470"/>
      <c r="Z197" s="471"/>
      <c r="AA197" s="471"/>
      <c r="AB197" s="466"/>
    </row>
    <row r="198" spans="1:28" s="352" customFormat="1" ht="18" customHeight="1" x14ac:dyDescent="0.2">
      <c r="A198" s="2166"/>
      <c r="B198" s="177"/>
      <c r="C198" s="177"/>
      <c r="D198" s="2166"/>
      <c r="E198" s="2166"/>
      <c r="F198" s="2166"/>
      <c r="G198" s="2166"/>
      <c r="H198" s="2171"/>
      <c r="I198" s="2168"/>
      <c r="J198" s="178"/>
      <c r="K198" s="2168"/>
      <c r="L198" s="2166"/>
      <c r="M198" s="2166"/>
      <c r="N198" s="2166"/>
      <c r="O198" s="2166"/>
      <c r="P198" s="2171"/>
      <c r="Q198" s="2167"/>
      <c r="R198" s="437"/>
      <c r="S198" s="2168"/>
      <c r="T198" s="179"/>
      <c r="U198" s="178"/>
      <c r="V198" s="2168"/>
      <c r="W198" s="2168"/>
      <c r="X198" s="470"/>
      <c r="Y198" s="470"/>
      <c r="Z198" s="471"/>
      <c r="AA198" s="471"/>
      <c r="AB198" s="466"/>
    </row>
    <row r="199" spans="1:28" s="352" customFormat="1" ht="18" customHeight="1" x14ac:dyDescent="0.2">
      <c r="A199" s="2166"/>
      <c r="B199" s="177"/>
      <c r="C199" s="177"/>
      <c r="D199" s="2166"/>
      <c r="E199" s="2166"/>
      <c r="F199" s="2166"/>
      <c r="G199" s="2166"/>
      <c r="H199" s="2171"/>
      <c r="I199" s="2168"/>
      <c r="J199" s="178"/>
      <c r="K199" s="2168"/>
      <c r="L199" s="2166"/>
      <c r="M199" s="2166"/>
      <c r="N199" s="2166"/>
      <c r="O199" s="2166"/>
      <c r="P199" s="2171"/>
      <c r="Q199" s="2167"/>
      <c r="R199" s="437"/>
      <c r="S199" s="2168"/>
      <c r="T199" s="179"/>
      <c r="U199" s="178"/>
      <c r="V199" s="2168"/>
      <c r="W199" s="2168"/>
      <c r="X199" s="470"/>
      <c r="Y199" s="470"/>
      <c r="Z199" s="471"/>
      <c r="AA199" s="471"/>
      <c r="AB199" s="466"/>
    </row>
    <row r="200" spans="1:28" s="352" customFormat="1" ht="18" customHeight="1" x14ac:dyDescent="0.2">
      <c r="A200" s="88"/>
      <c r="B200" s="180"/>
      <c r="C200" s="180"/>
      <c r="D200" s="88"/>
      <c r="E200" s="88"/>
      <c r="F200" s="88"/>
      <c r="G200" s="88"/>
      <c r="H200" s="120"/>
      <c r="I200" s="121"/>
      <c r="J200" s="181"/>
      <c r="K200" s="121"/>
      <c r="L200" s="88"/>
      <c r="M200" s="88"/>
      <c r="N200" s="88"/>
      <c r="O200" s="88"/>
      <c r="P200" s="88"/>
      <c r="Q200" s="129"/>
      <c r="R200" s="445"/>
      <c r="S200" s="121"/>
      <c r="T200" s="182"/>
      <c r="U200" s="181"/>
      <c r="V200" s="121"/>
      <c r="W200" s="121"/>
      <c r="X200" s="472"/>
      <c r="Y200" s="472"/>
      <c r="Z200" s="473"/>
      <c r="AA200" s="473"/>
      <c r="AB200" s="410"/>
    </row>
    <row r="201" spans="1:28" s="352" customFormat="1" ht="18" customHeight="1" x14ac:dyDescent="0.2">
      <c r="A201" s="1850"/>
      <c r="B201" s="1850"/>
      <c r="C201" s="1850"/>
      <c r="D201" s="1850"/>
      <c r="E201" s="1850"/>
      <c r="F201" s="1850"/>
      <c r="G201" s="1850"/>
      <c r="H201" s="1851"/>
      <c r="I201" s="1852"/>
      <c r="J201" s="1853"/>
      <c r="K201" s="1852"/>
      <c r="L201" s="1852"/>
      <c r="M201" s="1852"/>
      <c r="N201" s="1852"/>
      <c r="O201" s="1852"/>
      <c r="P201" s="1852"/>
      <c r="Q201" s="1852"/>
      <c r="R201" s="1854"/>
      <c r="S201" s="1852"/>
      <c r="T201" s="1855"/>
      <c r="U201" s="1853"/>
      <c r="V201" s="1852"/>
      <c r="W201" s="1852"/>
      <c r="X201" s="1856"/>
      <c r="Y201" s="1856"/>
      <c r="Z201" s="1857"/>
      <c r="AA201" s="1857"/>
      <c r="AB201" s="1847">
        <f>SUM(AB187:AB200)</f>
        <v>1746.6335599999998</v>
      </c>
    </row>
    <row r="202" spans="1:28" s="352" customFormat="1" ht="18" customHeight="1" x14ac:dyDescent="0.2">
      <c r="A202" s="2778" t="s">
        <v>76</v>
      </c>
      <c r="B202" s="2778"/>
      <c r="C202" s="2779" t="s">
        <v>77</v>
      </c>
      <c r="D202" s="2779"/>
      <c r="E202" s="2779"/>
      <c r="F202" s="2779"/>
      <c r="G202" s="2779"/>
      <c r="H202" s="2779"/>
      <c r="I202" s="424" t="s">
        <v>78</v>
      </c>
      <c r="J202" s="424"/>
      <c r="K202" s="424"/>
      <c r="L202" s="424"/>
      <c r="M202" s="424"/>
      <c r="N202" s="424"/>
      <c r="AB202" s="425"/>
    </row>
    <row r="203" spans="1:28" s="352" customFormat="1" ht="18" customHeight="1" x14ac:dyDescent="0.2">
      <c r="A203" s="424"/>
      <c r="B203" s="426"/>
      <c r="C203" s="424"/>
      <c r="D203" s="424"/>
      <c r="E203" s="424"/>
      <c r="F203" s="424"/>
      <c r="G203" s="424"/>
      <c r="H203" s="424"/>
      <c r="I203" s="424" t="s">
        <v>79</v>
      </c>
      <c r="J203" s="424"/>
      <c r="K203" s="424"/>
      <c r="L203" s="424"/>
      <c r="M203" s="424"/>
      <c r="N203" s="424"/>
      <c r="AB203" s="425"/>
    </row>
    <row r="204" spans="1:28" s="352" customFormat="1" ht="18" customHeight="1" x14ac:dyDescent="0.2">
      <c r="A204" s="424"/>
      <c r="B204" s="426"/>
      <c r="C204" s="424"/>
      <c r="D204" s="424"/>
      <c r="E204" s="424"/>
      <c r="F204" s="424"/>
      <c r="G204" s="424"/>
      <c r="H204" s="424"/>
      <c r="I204" s="424" t="s">
        <v>80</v>
      </c>
      <c r="J204" s="424"/>
      <c r="K204" s="424"/>
      <c r="L204" s="424"/>
      <c r="M204" s="424"/>
      <c r="N204" s="424"/>
      <c r="AB204" s="425"/>
    </row>
    <row r="205" spans="1:28" s="352" customFormat="1" ht="18" customHeight="1" x14ac:dyDescent="0.2">
      <c r="A205" s="424"/>
      <c r="B205" s="426"/>
      <c r="C205" s="424"/>
      <c r="D205" s="424"/>
      <c r="E205" s="424"/>
      <c r="F205" s="424"/>
      <c r="G205" s="424"/>
      <c r="H205" s="424"/>
      <c r="I205" s="424" t="s">
        <v>81</v>
      </c>
      <c r="J205" s="424"/>
      <c r="K205" s="424"/>
      <c r="L205" s="424"/>
      <c r="M205" s="424"/>
      <c r="N205" s="424"/>
      <c r="AB205" s="425"/>
    </row>
    <row r="206" spans="1:28" s="352" customFormat="1" ht="18" customHeight="1" x14ac:dyDescent="0.2">
      <c r="A206" s="424"/>
      <c r="B206" s="426"/>
      <c r="C206" s="424"/>
      <c r="D206" s="424"/>
      <c r="E206" s="424"/>
      <c r="F206" s="424"/>
      <c r="G206" s="424"/>
      <c r="H206" s="424"/>
      <c r="I206" s="424" t="s">
        <v>88</v>
      </c>
      <c r="J206" s="424"/>
      <c r="K206" s="424"/>
      <c r="L206" s="424"/>
      <c r="M206" s="424"/>
      <c r="N206" s="424"/>
      <c r="AB206" s="425"/>
    </row>
    <row r="207" spans="1:28" s="352" customFormat="1" ht="18" customHeight="1" x14ac:dyDescent="0.2">
      <c r="A207" s="338"/>
      <c r="B207" s="338"/>
      <c r="C207" s="338"/>
      <c r="D207" s="338"/>
      <c r="E207" s="338"/>
      <c r="F207" s="338"/>
      <c r="G207" s="338"/>
      <c r="H207" s="338"/>
      <c r="I207" s="338"/>
      <c r="J207" s="338"/>
      <c r="K207" s="338"/>
      <c r="L207" s="338"/>
      <c r="M207" s="338"/>
      <c r="N207" s="338"/>
      <c r="O207" s="338"/>
      <c r="P207" s="338"/>
      <c r="Q207" s="338"/>
      <c r="R207" s="338"/>
      <c r="S207" s="338"/>
      <c r="T207" s="338"/>
      <c r="U207" s="338"/>
      <c r="V207" s="338"/>
      <c r="W207" s="338"/>
      <c r="X207" s="338"/>
      <c r="Y207" s="338"/>
      <c r="Z207" s="338"/>
      <c r="AA207" s="2774" t="s">
        <v>0</v>
      </c>
      <c r="AB207" s="2774"/>
    </row>
    <row r="208" spans="1:28" s="352" customFormat="1" ht="18" customHeight="1" x14ac:dyDescent="0.2">
      <c r="A208" s="2703" t="s">
        <v>1</v>
      </c>
      <c r="B208" s="2703"/>
      <c r="C208" s="2703"/>
      <c r="D208" s="2703"/>
      <c r="E208" s="2703"/>
      <c r="F208" s="2703"/>
      <c r="G208" s="2703"/>
      <c r="H208" s="2703"/>
      <c r="I208" s="2703"/>
      <c r="J208" s="2703"/>
      <c r="K208" s="2703"/>
      <c r="L208" s="2703"/>
      <c r="M208" s="2703"/>
      <c r="N208" s="2703"/>
      <c r="O208" s="2703"/>
      <c r="P208" s="2703"/>
      <c r="Q208" s="2703"/>
      <c r="R208" s="2703"/>
      <c r="S208" s="2703"/>
      <c r="T208" s="2703"/>
      <c r="U208" s="2703"/>
      <c r="V208" s="2703"/>
      <c r="W208" s="2703"/>
      <c r="X208" s="2703"/>
      <c r="Y208" s="2703"/>
      <c r="Z208" s="2703"/>
      <c r="AA208" s="2703"/>
      <c r="AB208" s="2703"/>
    </row>
    <row r="209" spans="1:28" s="352" customFormat="1" ht="18" customHeight="1" x14ac:dyDescent="0.2">
      <c r="A209" s="2780" t="s">
        <v>608</v>
      </c>
      <c r="B209" s="2780"/>
      <c r="C209" s="2780"/>
      <c r="D209" s="2780"/>
      <c r="E209" s="2780"/>
      <c r="F209" s="2780"/>
      <c r="G209" s="2780"/>
      <c r="H209" s="2780"/>
      <c r="I209" s="2780"/>
      <c r="J209" s="2780"/>
      <c r="K209" s="2780"/>
      <c r="L209" s="2780"/>
      <c r="M209" s="2780"/>
      <c r="N209" s="2780"/>
      <c r="O209" s="2780"/>
      <c r="P209" s="2780"/>
      <c r="Q209" s="2780"/>
      <c r="R209" s="2780"/>
      <c r="S209" s="2780"/>
      <c r="T209" s="2780"/>
      <c r="U209" s="2780"/>
      <c r="V209" s="2780"/>
      <c r="W209" s="2780"/>
      <c r="X209" s="2780"/>
      <c r="Y209" s="2780"/>
      <c r="Z209" s="2780"/>
      <c r="AA209" s="2780"/>
      <c r="AB209" s="2780"/>
    </row>
    <row r="210" spans="1:28" s="352" customFormat="1" ht="18" customHeight="1" x14ac:dyDescent="0.2">
      <c r="A210" s="2686" t="s">
        <v>2</v>
      </c>
      <c r="B210" s="360"/>
      <c r="C210" s="2686" t="s">
        <v>3</v>
      </c>
      <c r="D210" s="360"/>
      <c r="E210" s="360"/>
      <c r="F210" s="2693" t="s">
        <v>4</v>
      </c>
      <c r="G210" s="2693"/>
      <c r="H210" s="2693"/>
      <c r="I210" s="2694"/>
      <c r="J210" s="2694"/>
      <c r="K210" s="2695"/>
      <c r="L210" s="361"/>
      <c r="M210" s="2679" t="s">
        <v>5</v>
      </c>
      <c r="N210" s="2679"/>
      <c r="O210" s="2679"/>
      <c r="P210" s="2679"/>
      <c r="Q210" s="2696"/>
      <c r="R210" s="2696"/>
      <c r="S210" s="2696"/>
      <c r="T210" s="2696"/>
      <c r="U210" s="2696"/>
      <c r="V210" s="2697"/>
      <c r="W210" s="362" t="s">
        <v>6</v>
      </c>
      <c r="X210" s="363" t="s">
        <v>7</v>
      </c>
      <c r="Y210" s="364"/>
      <c r="Z210" s="364"/>
      <c r="AA210" s="363"/>
      <c r="AB210" s="365"/>
    </row>
    <row r="211" spans="1:28" s="352" customFormat="1" ht="18" customHeight="1" x14ac:dyDescent="0.2">
      <c r="A211" s="2687"/>
      <c r="B211" s="367"/>
      <c r="C211" s="2687"/>
      <c r="D211" s="2158" t="s">
        <v>9</v>
      </c>
      <c r="E211" s="368" t="s">
        <v>10</v>
      </c>
      <c r="F211" s="2698" t="s">
        <v>11</v>
      </c>
      <c r="G211" s="2694"/>
      <c r="H211" s="2695"/>
      <c r="I211" s="360"/>
      <c r="J211" s="369" t="s">
        <v>12</v>
      </c>
      <c r="K211" s="360"/>
      <c r="L211" s="2679" t="s">
        <v>2</v>
      </c>
      <c r="M211" s="2162"/>
      <c r="N211" s="2162"/>
      <c r="O211" s="2162"/>
      <c r="P211" s="371"/>
      <c r="Q211" s="372" t="s">
        <v>13</v>
      </c>
      <c r="R211" s="373" t="s">
        <v>12</v>
      </c>
      <c r="S211" s="2162" t="s">
        <v>6</v>
      </c>
      <c r="T211" s="2682" t="s">
        <v>14</v>
      </c>
      <c r="U211" s="2683"/>
      <c r="V211" s="375" t="s">
        <v>7</v>
      </c>
      <c r="W211" s="376" t="s">
        <v>15</v>
      </c>
      <c r="X211" s="377" t="s">
        <v>16</v>
      </c>
      <c r="Y211" s="377" t="s">
        <v>17</v>
      </c>
      <c r="Z211" s="377" t="s">
        <v>18</v>
      </c>
      <c r="AA211" s="377"/>
      <c r="AB211" s="378" t="s">
        <v>19</v>
      </c>
    </row>
    <row r="212" spans="1:28" s="352" customFormat="1" ht="18" customHeight="1" x14ac:dyDescent="0.2">
      <c r="A212" s="2687"/>
      <c r="B212" s="2158" t="s">
        <v>23</v>
      </c>
      <c r="C212" s="2687"/>
      <c r="D212" s="2158" t="s">
        <v>24</v>
      </c>
      <c r="E212" s="368" t="s">
        <v>25</v>
      </c>
      <c r="F212" s="2699"/>
      <c r="G212" s="2700"/>
      <c r="H212" s="2701"/>
      <c r="I212" s="2158" t="s">
        <v>26</v>
      </c>
      <c r="J212" s="379" t="s">
        <v>15</v>
      </c>
      <c r="K212" s="2159" t="s">
        <v>6</v>
      </c>
      <c r="L212" s="2680"/>
      <c r="M212" s="2163" t="s">
        <v>27</v>
      </c>
      <c r="N212" s="2163" t="s">
        <v>10</v>
      </c>
      <c r="O212" s="382" t="s">
        <v>10</v>
      </c>
      <c r="P212" s="383" t="s">
        <v>28</v>
      </c>
      <c r="Q212" s="384" t="s">
        <v>29</v>
      </c>
      <c r="R212" s="383" t="s">
        <v>15</v>
      </c>
      <c r="S212" s="385" t="s">
        <v>15</v>
      </c>
      <c r="T212" s="2684"/>
      <c r="U212" s="2685"/>
      <c r="V212" s="375" t="s">
        <v>30</v>
      </c>
      <c r="W212" s="376" t="s">
        <v>31</v>
      </c>
      <c r="X212" s="377" t="s">
        <v>30</v>
      </c>
      <c r="Y212" s="377" t="s">
        <v>32</v>
      </c>
      <c r="Z212" s="377" t="s">
        <v>7</v>
      </c>
      <c r="AA212" s="377" t="s">
        <v>33</v>
      </c>
      <c r="AB212" s="378" t="s">
        <v>34</v>
      </c>
    </row>
    <row r="213" spans="1:28" s="352" customFormat="1" ht="18" customHeight="1" x14ac:dyDescent="0.2">
      <c r="A213" s="2687"/>
      <c r="B213" s="2158" t="s">
        <v>39</v>
      </c>
      <c r="C213" s="2687"/>
      <c r="D213" s="2158" t="s">
        <v>40</v>
      </c>
      <c r="E213" s="368" t="s">
        <v>41</v>
      </c>
      <c r="F213" s="2686" t="s">
        <v>42</v>
      </c>
      <c r="G213" s="2686" t="s">
        <v>43</v>
      </c>
      <c r="H213" s="2688" t="s">
        <v>44</v>
      </c>
      <c r="I213" s="2158" t="s">
        <v>45</v>
      </c>
      <c r="J213" s="379" t="s">
        <v>46</v>
      </c>
      <c r="K213" s="2159" t="s">
        <v>47</v>
      </c>
      <c r="L213" s="2680"/>
      <c r="M213" s="2163" t="s">
        <v>30</v>
      </c>
      <c r="N213" s="2163" t="s">
        <v>30</v>
      </c>
      <c r="O213" s="382" t="s">
        <v>25</v>
      </c>
      <c r="P213" s="383" t="s">
        <v>30</v>
      </c>
      <c r="Q213" s="384" t="s">
        <v>48</v>
      </c>
      <c r="R213" s="383" t="s">
        <v>49</v>
      </c>
      <c r="S213" s="385" t="s">
        <v>30</v>
      </c>
      <c r="T213" s="386" t="s">
        <v>50</v>
      </c>
      <c r="U213" s="2161" t="s">
        <v>13</v>
      </c>
      <c r="V213" s="375" t="s">
        <v>51</v>
      </c>
      <c r="W213" s="376" t="s">
        <v>52</v>
      </c>
      <c r="X213" s="377" t="s">
        <v>53</v>
      </c>
      <c r="Y213" s="377" t="s">
        <v>54</v>
      </c>
      <c r="Z213" s="377" t="s">
        <v>55</v>
      </c>
      <c r="AA213" s="377" t="s">
        <v>56</v>
      </c>
      <c r="AB213" s="378" t="s">
        <v>57</v>
      </c>
    </row>
    <row r="214" spans="1:28" s="352" customFormat="1" ht="18" customHeight="1" x14ac:dyDescent="0.2">
      <c r="A214" s="2687"/>
      <c r="B214" s="2158" t="s">
        <v>61</v>
      </c>
      <c r="C214" s="2687"/>
      <c r="D214" s="2158" t="s">
        <v>62</v>
      </c>
      <c r="E214" s="368" t="s">
        <v>63</v>
      </c>
      <c r="F214" s="2687"/>
      <c r="G214" s="2687"/>
      <c r="H214" s="2689"/>
      <c r="I214" s="2158" t="s">
        <v>64</v>
      </c>
      <c r="J214" s="379" t="s">
        <v>59</v>
      </c>
      <c r="K214" s="2159" t="s">
        <v>59</v>
      </c>
      <c r="L214" s="2680"/>
      <c r="M214" s="2163"/>
      <c r="N214" s="2163"/>
      <c r="O214" s="382" t="s">
        <v>41</v>
      </c>
      <c r="P214" s="383" t="s">
        <v>65</v>
      </c>
      <c r="Q214" s="384" t="s">
        <v>66</v>
      </c>
      <c r="R214" s="383" t="s">
        <v>67</v>
      </c>
      <c r="S214" s="385" t="s">
        <v>59</v>
      </c>
      <c r="T214" s="387" t="s">
        <v>68</v>
      </c>
      <c r="U214" s="375" t="s">
        <v>14</v>
      </c>
      <c r="V214" s="375" t="s">
        <v>14</v>
      </c>
      <c r="W214" s="376" t="s">
        <v>30</v>
      </c>
      <c r="X214" s="388" t="s">
        <v>69</v>
      </c>
      <c r="Y214" s="388" t="s">
        <v>70</v>
      </c>
      <c r="Z214" s="377" t="s">
        <v>71</v>
      </c>
      <c r="AA214" s="377" t="s">
        <v>72</v>
      </c>
      <c r="AB214" s="378" t="s">
        <v>59</v>
      </c>
    </row>
    <row r="215" spans="1:28" s="352" customFormat="1" ht="18" customHeight="1" x14ac:dyDescent="0.2">
      <c r="A215" s="2692"/>
      <c r="B215" s="390"/>
      <c r="C215" s="2692"/>
      <c r="D215" s="390"/>
      <c r="E215" s="2160"/>
      <c r="F215" s="390"/>
      <c r="G215" s="390"/>
      <c r="H215" s="391"/>
      <c r="I215" s="2160"/>
      <c r="J215" s="392"/>
      <c r="K215" s="393"/>
      <c r="L215" s="2681"/>
      <c r="M215" s="2164"/>
      <c r="N215" s="2164"/>
      <c r="O215" s="2164" t="s">
        <v>63</v>
      </c>
      <c r="P215" s="395"/>
      <c r="Q215" s="396" t="s">
        <v>72</v>
      </c>
      <c r="R215" s="397" t="s">
        <v>59</v>
      </c>
      <c r="S215" s="398"/>
      <c r="T215" s="397" t="s">
        <v>73</v>
      </c>
      <c r="U215" s="398" t="s">
        <v>59</v>
      </c>
      <c r="V215" s="399" t="s">
        <v>59</v>
      </c>
      <c r="W215" s="400" t="s">
        <v>59</v>
      </c>
      <c r="X215" s="401" t="s">
        <v>59</v>
      </c>
      <c r="Y215" s="401" t="s">
        <v>59</v>
      </c>
      <c r="Z215" s="401" t="s">
        <v>59</v>
      </c>
      <c r="AA215" s="402"/>
      <c r="AB215" s="403"/>
    </row>
    <row r="216" spans="1:28" s="352" customFormat="1" ht="18" customHeight="1" x14ac:dyDescent="0.25">
      <c r="A216" s="269">
        <v>1</v>
      </c>
      <c r="B216" s="269">
        <v>36241</v>
      </c>
      <c r="C216" s="285" t="s">
        <v>122</v>
      </c>
      <c r="D216" s="273" t="s">
        <v>121</v>
      </c>
      <c r="E216" s="15">
        <v>3</v>
      </c>
      <c r="F216" s="268">
        <v>0</v>
      </c>
      <c r="G216" s="269">
        <v>0</v>
      </c>
      <c r="H216" s="266">
        <v>35</v>
      </c>
      <c r="I216" s="296">
        <f>F216*400+G216*100+H216</f>
        <v>35</v>
      </c>
      <c r="J216" s="759">
        <v>2300</v>
      </c>
      <c r="K216" s="297">
        <f>SUM(I216*J216)</f>
        <v>80500</v>
      </c>
      <c r="L216" s="269">
        <v>3</v>
      </c>
      <c r="M216" s="2166">
        <v>101</v>
      </c>
      <c r="N216" s="15" t="s">
        <v>82</v>
      </c>
      <c r="O216" s="50">
        <v>2</v>
      </c>
      <c r="P216" s="758">
        <f>6.6*2.8</f>
        <v>18.479999999999997</v>
      </c>
      <c r="Q216" s="62" t="s">
        <v>75</v>
      </c>
      <c r="R216" s="296">
        <v>7700</v>
      </c>
      <c r="S216" s="296">
        <f>P216*R216</f>
        <v>142295.99999999997</v>
      </c>
      <c r="T216" s="15">
        <v>19</v>
      </c>
      <c r="U216" s="299">
        <f>+S216*0.93</f>
        <v>132335.27999999997</v>
      </c>
      <c r="V216" s="299">
        <f>SUM(S216-U216)</f>
        <v>9960.7200000000012</v>
      </c>
      <c r="W216" s="296">
        <f t="shared" ref="W216:W219" si="28">K216+V216</f>
        <v>90460.72</v>
      </c>
      <c r="X216" s="299">
        <f t="shared" ref="X216:X219" si="29">W216</f>
        <v>90460.72</v>
      </c>
      <c r="Y216" s="296" t="s">
        <v>87</v>
      </c>
      <c r="Z216" s="296"/>
      <c r="AA216" s="494">
        <v>0.02</v>
      </c>
      <c r="AB216" s="466">
        <f>+Z216*AA216/100</f>
        <v>0</v>
      </c>
    </row>
    <row r="217" spans="1:28" s="352" customFormat="1" ht="18" customHeight="1" x14ac:dyDescent="0.25">
      <c r="A217" s="269">
        <v>2</v>
      </c>
      <c r="B217" s="269">
        <v>36240</v>
      </c>
      <c r="C217" s="285" t="s">
        <v>123</v>
      </c>
      <c r="D217" s="273" t="s">
        <v>121</v>
      </c>
      <c r="E217" s="15">
        <v>3</v>
      </c>
      <c r="F217" s="268">
        <v>0</v>
      </c>
      <c r="G217" s="269">
        <v>0</v>
      </c>
      <c r="H217" s="266">
        <v>54</v>
      </c>
      <c r="I217" s="296">
        <f>F217*400+G217*100+H217</f>
        <v>54</v>
      </c>
      <c r="J217" s="759">
        <v>2300</v>
      </c>
      <c r="K217" s="297">
        <f>SUM(I217*J217)</f>
        <v>124200</v>
      </c>
      <c r="L217" s="269">
        <v>4</v>
      </c>
      <c r="M217" s="2166">
        <v>504</v>
      </c>
      <c r="N217" s="15" t="s">
        <v>82</v>
      </c>
      <c r="O217" s="50">
        <v>3</v>
      </c>
      <c r="P217" s="758">
        <v>237.16</v>
      </c>
      <c r="Q217" s="62" t="s">
        <v>75</v>
      </c>
      <c r="R217" s="296">
        <v>3100</v>
      </c>
      <c r="S217" s="296">
        <f>P217*R217</f>
        <v>735196</v>
      </c>
      <c r="T217" s="15">
        <v>20</v>
      </c>
      <c r="U217" s="299">
        <f>+S217*0.93</f>
        <v>683732.28</v>
      </c>
      <c r="V217" s="299">
        <f>SUM(S217-U217)</f>
        <v>51463.719999999972</v>
      </c>
      <c r="W217" s="296">
        <f t="shared" si="28"/>
        <v>175663.71999999997</v>
      </c>
      <c r="X217" s="299">
        <f t="shared" si="29"/>
        <v>175663.71999999997</v>
      </c>
      <c r="Y217" s="296">
        <v>0</v>
      </c>
      <c r="Z217" s="296">
        <f>+X217</f>
        <v>175663.71999999997</v>
      </c>
      <c r="AA217" s="494">
        <v>0.3</v>
      </c>
      <c r="AB217" s="466">
        <f>+Z217*AA217/100</f>
        <v>526.99115999999992</v>
      </c>
    </row>
    <row r="218" spans="1:28" s="352" customFormat="1" ht="18" customHeight="1" x14ac:dyDescent="0.25">
      <c r="A218" s="269">
        <v>3</v>
      </c>
      <c r="B218" s="269">
        <v>47925</v>
      </c>
      <c r="C218" s="285" t="s">
        <v>124</v>
      </c>
      <c r="D218" s="273" t="s">
        <v>121</v>
      </c>
      <c r="E218" s="15">
        <v>2</v>
      </c>
      <c r="F218" s="288">
        <v>0</v>
      </c>
      <c r="G218" s="289">
        <v>0</v>
      </c>
      <c r="H218" s="289">
        <v>15.7</v>
      </c>
      <c r="I218" s="296">
        <f t="shared" ref="I218:I219" si="30">F218*400+G218*100+H218</f>
        <v>15.7</v>
      </c>
      <c r="J218" s="759">
        <v>2300</v>
      </c>
      <c r="K218" s="297">
        <f>SUM(I218*J218)</f>
        <v>36110</v>
      </c>
      <c r="L218" s="269"/>
      <c r="M218" s="2166"/>
      <c r="N218" s="15"/>
      <c r="O218" s="50">
        <v>2</v>
      </c>
      <c r="P218" s="1065"/>
      <c r="Q218" s="62"/>
      <c r="R218" s="305"/>
      <c r="S218" s="296">
        <f t="shared" ref="S218:S219" si="31">P218*R218</f>
        <v>0</v>
      </c>
      <c r="T218" s="323"/>
      <c r="U218" s="299">
        <f t="shared" ref="U218" si="32">+S218*0.65</f>
        <v>0</v>
      </c>
      <c r="V218" s="299">
        <f t="shared" ref="V218:V219" si="33">SUM(S218-U218)</f>
        <v>0</v>
      </c>
      <c r="W218" s="296">
        <f t="shared" si="28"/>
        <v>36110</v>
      </c>
      <c r="X218" s="299">
        <f t="shared" si="29"/>
        <v>36110</v>
      </c>
      <c r="Y218" s="296" t="s">
        <v>87</v>
      </c>
      <c r="Z218" s="296">
        <v>0</v>
      </c>
      <c r="AA218" s="494">
        <v>0.02</v>
      </c>
      <c r="AB218" s="466">
        <f t="shared" ref="AB218:AB219" si="34">+Z218*AA218/100</f>
        <v>0</v>
      </c>
    </row>
    <row r="219" spans="1:28" s="352" customFormat="1" ht="18" customHeight="1" x14ac:dyDescent="0.25">
      <c r="A219" s="273">
        <v>4</v>
      </c>
      <c r="B219" s="1018">
        <v>47937</v>
      </c>
      <c r="C219" s="1018">
        <v>1483</v>
      </c>
      <c r="D219" s="273" t="s">
        <v>128</v>
      </c>
      <c r="E219" s="269">
        <v>2</v>
      </c>
      <c r="F219" s="287">
        <v>0</v>
      </c>
      <c r="G219" s="287">
        <v>1</v>
      </c>
      <c r="H219" s="709">
        <v>9</v>
      </c>
      <c r="I219" s="984">
        <f t="shared" si="30"/>
        <v>109</v>
      </c>
      <c r="J219" s="759">
        <v>1600</v>
      </c>
      <c r="K219" s="297">
        <f>SUM(I219*J219)</f>
        <v>174400</v>
      </c>
      <c r="L219" s="984">
        <v>5</v>
      </c>
      <c r="M219" s="1066">
        <v>101</v>
      </c>
      <c r="N219" s="85" t="s">
        <v>82</v>
      </c>
      <c r="O219" s="268">
        <v>2</v>
      </c>
      <c r="P219" s="1067">
        <v>160.07499999999999</v>
      </c>
      <c r="Q219" s="1066">
        <v>100</v>
      </c>
      <c r="R219" s="1068">
        <v>7700</v>
      </c>
      <c r="S219" s="296">
        <f t="shared" si="31"/>
        <v>1232577.5</v>
      </c>
      <c r="T219" s="1066">
        <v>43</v>
      </c>
      <c r="U219" s="299">
        <f>+S219*0.93</f>
        <v>1146297.075</v>
      </c>
      <c r="V219" s="299">
        <f t="shared" si="33"/>
        <v>86280.425000000047</v>
      </c>
      <c r="W219" s="296">
        <f t="shared" si="28"/>
        <v>260680.42500000005</v>
      </c>
      <c r="X219" s="299">
        <f t="shared" si="29"/>
        <v>260680.42500000005</v>
      </c>
      <c r="Y219" s="984"/>
      <c r="Z219" s="296">
        <f t="shared" ref="Z219" si="35">+X219</f>
        <v>260680.42500000005</v>
      </c>
      <c r="AA219" s="494">
        <v>0.02</v>
      </c>
      <c r="AB219" s="466">
        <f t="shared" si="34"/>
        <v>52.136085000000008</v>
      </c>
    </row>
    <row r="220" spans="1:28" s="352" customFormat="1" ht="18" customHeight="1" x14ac:dyDescent="0.25">
      <c r="A220" s="269"/>
      <c r="B220" s="269"/>
      <c r="C220" s="285"/>
      <c r="D220" s="273"/>
      <c r="E220" s="15"/>
      <c r="F220" s="288"/>
      <c r="G220" s="289"/>
      <c r="H220" s="289"/>
      <c r="I220" s="296"/>
      <c r="J220" s="759"/>
      <c r="K220" s="297"/>
      <c r="L220" s="269"/>
      <c r="M220" s="2166"/>
      <c r="N220" s="15"/>
      <c r="O220" s="50"/>
      <c r="P220" s="1065"/>
      <c r="Q220" s="62"/>
      <c r="R220" s="305"/>
      <c r="S220" s="296"/>
      <c r="T220" s="323"/>
      <c r="U220" s="299"/>
      <c r="V220" s="299"/>
      <c r="W220" s="296"/>
      <c r="X220" s="299"/>
      <c r="Y220" s="296"/>
      <c r="Z220" s="296"/>
      <c r="AA220" s="494"/>
      <c r="AB220" s="466"/>
    </row>
    <row r="221" spans="1:28" s="352" customFormat="1" ht="18" customHeight="1" x14ac:dyDescent="0.25">
      <c r="A221" s="273"/>
      <c r="B221" s="1018"/>
      <c r="C221" s="1018"/>
      <c r="D221" s="273"/>
      <c r="E221" s="269"/>
      <c r="F221" s="287"/>
      <c r="G221" s="287"/>
      <c r="H221" s="709"/>
      <c r="I221" s="984"/>
      <c r="J221" s="759"/>
      <c r="K221" s="297"/>
      <c r="L221" s="984"/>
      <c r="M221" s="1066"/>
      <c r="N221" s="85"/>
      <c r="O221" s="268"/>
      <c r="P221" s="1067"/>
      <c r="Q221" s="1066"/>
      <c r="R221" s="1068"/>
      <c r="S221" s="296"/>
      <c r="T221" s="1066"/>
      <c r="U221" s="299"/>
      <c r="V221" s="299"/>
      <c r="W221" s="296"/>
      <c r="X221" s="299"/>
      <c r="Y221" s="984"/>
      <c r="Z221" s="296"/>
      <c r="AA221" s="494"/>
      <c r="AB221" s="466"/>
    </row>
    <row r="222" spans="1:28" s="352" customFormat="1" ht="18" customHeight="1" x14ac:dyDescent="0.2">
      <c r="A222" s="242"/>
      <c r="B222" s="242"/>
      <c r="C222" s="496"/>
      <c r="D222" s="2166"/>
      <c r="E222" s="2166"/>
      <c r="F222" s="411"/>
      <c r="G222" s="242"/>
      <c r="H222" s="497"/>
      <c r="I222" s="77"/>
      <c r="J222" s="275"/>
      <c r="K222" s="78"/>
      <c r="L222" s="242"/>
      <c r="M222" s="242"/>
      <c r="N222" s="242"/>
      <c r="O222" s="61"/>
      <c r="P222" s="497"/>
      <c r="Q222" s="174"/>
      <c r="R222" s="408"/>
      <c r="S222" s="77"/>
      <c r="T222" s="505"/>
      <c r="U222" s="74"/>
      <c r="V222" s="74"/>
      <c r="W222" s="77"/>
      <c r="X222" s="74"/>
      <c r="Y222" s="77"/>
      <c r="Z222" s="77"/>
      <c r="AA222" s="2170"/>
      <c r="AB222" s="466"/>
    </row>
    <row r="223" spans="1:28" s="352" customFormat="1" ht="18" customHeight="1" x14ac:dyDescent="0.2">
      <c r="A223" s="2166"/>
      <c r="B223" s="177"/>
      <c r="C223" s="177"/>
      <c r="D223" s="2166"/>
      <c r="E223" s="2166"/>
      <c r="F223" s="2166"/>
      <c r="G223" s="2166"/>
      <c r="H223" s="2171"/>
      <c r="I223" s="2168"/>
      <c r="J223" s="178"/>
      <c r="K223" s="2168"/>
      <c r="L223" s="2166"/>
      <c r="M223" s="2166"/>
      <c r="N223" s="2166"/>
      <c r="O223" s="2166"/>
      <c r="P223" s="2171"/>
      <c r="Q223" s="2167"/>
      <c r="R223" s="437"/>
      <c r="S223" s="2168"/>
      <c r="T223" s="179"/>
      <c r="U223" s="178"/>
      <c r="V223" s="2168"/>
      <c r="W223" s="2168"/>
      <c r="X223" s="470"/>
      <c r="Y223" s="470"/>
      <c r="Z223" s="471"/>
      <c r="AA223" s="471"/>
      <c r="AB223" s="466"/>
    </row>
    <row r="224" spans="1:28" s="352" customFormat="1" ht="18" customHeight="1" x14ac:dyDescent="0.2">
      <c r="A224" s="2166"/>
      <c r="B224" s="177"/>
      <c r="C224" s="177"/>
      <c r="D224" s="2166"/>
      <c r="E224" s="2166"/>
      <c r="F224" s="2166"/>
      <c r="G224" s="2166"/>
      <c r="H224" s="2171"/>
      <c r="I224" s="2168"/>
      <c r="J224" s="178"/>
      <c r="K224" s="2168"/>
      <c r="L224" s="2166"/>
      <c r="M224" s="2166"/>
      <c r="N224" s="2166"/>
      <c r="O224" s="2166"/>
      <c r="P224" s="2171"/>
      <c r="Q224" s="2167"/>
      <c r="R224" s="437"/>
      <c r="S224" s="2168"/>
      <c r="T224" s="179"/>
      <c r="U224" s="178"/>
      <c r="V224" s="2168"/>
      <c r="W224" s="2168"/>
      <c r="X224" s="470"/>
      <c r="Y224" s="470"/>
      <c r="Z224" s="471"/>
      <c r="AA224" s="471"/>
      <c r="AB224" s="466"/>
    </row>
    <row r="225" spans="1:28" s="352" customFormat="1" ht="18" customHeight="1" x14ac:dyDescent="0.2">
      <c r="A225" s="2166"/>
      <c r="B225" s="177"/>
      <c r="C225" s="177"/>
      <c r="D225" s="2166"/>
      <c r="E225" s="2166"/>
      <c r="F225" s="2166"/>
      <c r="G225" s="2166"/>
      <c r="H225" s="2171"/>
      <c r="I225" s="2168"/>
      <c r="J225" s="178"/>
      <c r="K225" s="2168"/>
      <c r="L225" s="2166"/>
      <c r="M225" s="2166"/>
      <c r="N225" s="2166"/>
      <c r="O225" s="2166"/>
      <c r="P225" s="2171"/>
      <c r="Q225" s="2167"/>
      <c r="R225" s="437"/>
      <c r="S225" s="2168"/>
      <c r="T225" s="179"/>
      <c r="U225" s="178"/>
      <c r="V225" s="2168"/>
      <c r="W225" s="2168"/>
      <c r="X225" s="470"/>
      <c r="Y225" s="470"/>
      <c r="Z225" s="471"/>
      <c r="AA225" s="471"/>
      <c r="AB225" s="466"/>
    </row>
    <row r="226" spans="1:28" s="352" customFormat="1" ht="18" customHeight="1" x14ac:dyDescent="0.2">
      <c r="A226" s="2166"/>
      <c r="B226" s="177"/>
      <c r="C226" s="177"/>
      <c r="D226" s="2166"/>
      <c r="E226" s="2166"/>
      <c r="F226" s="2166"/>
      <c r="G226" s="2166"/>
      <c r="H226" s="2171"/>
      <c r="I226" s="2168"/>
      <c r="J226" s="178"/>
      <c r="K226" s="2168"/>
      <c r="L226" s="2166"/>
      <c r="M226" s="2166"/>
      <c r="N226" s="2166"/>
      <c r="O226" s="2166"/>
      <c r="P226" s="2171"/>
      <c r="Q226" s="2167"/>
      <c r="R226" s="437"/>
      <c r="S226" s="2168"/>
      <c r="T226" s="179"/>
      <c r="U226" s="178"/>
      <c r="V226" s="2168"/>
      <c r="W226" s="2168"/>
      <c r="X226" s="470"/>
      <c r="Y226" s="470"/>
      <c r="Z226" s="471"/>
      <c r="AA226" s="471"/>
      <c r="AB226" s="466"/>
    </row>
    <row r="227" spans="1:28" s="352" customFormat="1" ht="18" customHeight="1" x14ac:dyDescent="0.2">
      <c r="A227" s="2166"/>
      <c r="B227" s="177"/>
      <c r="C227" s="177"/>
      <c r="D227" s="2166"/>
      <c r="E227" s="2166"/>
      <c r="F227" s="2166"/>
      <c r="G227" s="2166"/>
      <c r="H227" s="2171"/>
      <c r="I227" s="2168"/>
      <c r="J227" s="178"/>
      <c r="K227" s="2168"/>
      <c r="L227" s="2166"/>
      <c r="M227" s="2166"/>
      <c r="N227" s="2166"/>
      <c r="O227" s="2166"/>
      <c r="P227" s="2171"/>
      <c r="Q227" s="2167"/>
      <c r="R227" s="437"/>
      <c r="S227" s="2168"/>
      <c r="T227" s="179"/>
      <c r="U227" s="178"/>
      <c r="V227" s="2168"/>
      <c r="W227" s="2168"/>
      <c r="X227" s="470"/>
      <c r="Y227" s="470"/>
      <c r="Z227" s="471"/>
      <c r="AA227" s="471"/>
      <c r="AB227" s="466"/>
    </row>
    <row r="228" spans="1:28" s="352" customFormat="1" ht="18" customHeight="1" x14ac:dyDescent="0.2">
      <c r="A228" s="2166"/>
      <c r="B228" s="177"/>
      <c r="C228" s="177"/>
      <c r="D228" s="2166"/>
      <c r="E228" s="2166"/>
      <c r="F228" s="2166"/>
      <c r="G228" s="2166"/>
      <c r="H228" s="2171"/>
      <c r="I228" s="2168"/>
      <c r="J228" s="178"/>
      <c r="K228" s="2168"/>
      <c r="L228" s="2166"/>
      <c r="M228" s="2166"/>
      <c r="N228" s="2166"/>
      <c r="O228" s="2166"/>
      <c r="P228" s="2171"/>
      <c r="Q228" s="2167"/>
      <c r="R228" s="437"/>
      <c r="S228" s="2168"/>
      <c r="T228" s="179"/>
      <c r="U228" s="178"/>
      <c r="V228" s="2168"/>
      <c r="W228" s="2168"/>
      <c r="X228" s="470"/>
      <c r="Y228" s="470"/>
      <c r="Z228" s="471"/>
      <c r="AA228" s="471"/>
      <c r="AB228" s="466"/>
    </row>
    <row r="229" spans="1:28" s="352" customFormat="1" ht="18" customHeight="1" x14ac:dyDescent="0.2">
      <c r="A229" s="88"/>
      <c r="B229" s="180"/>
      <c r="C229" s="180"/>
      <c r="D229" s="88"/>
      <c r="E229" s="88"/>
      <c r="F229" s="88"/>
      <c r="G229" s="88"/>
      <c r="H229" s="120"/>
      <c r="I229" s="121"/>
      <c r="J229" s="181"/>
      <c r="K229" s="121"/>
      <c r="L229" s="88"/>
      <c r="M229" s="88"/>
      <c r="N229" s="88"/>
      <c r="O229" s="88"/>
      <c r="P229" s="88"/>
      <c r="Q229" s="129"/>
      <c r="R229" s="445"/>
      <c r="S229" s="121"/>
      <c r="T229" s="182"/>
      <c r="U229" s="181"/>
      <c r="V229" s="121"/>
      <c r="W229" s="121"/>
      <c r="X229" s="472"/>
      <c r="Y229" s="472"/>
      <c r="Z229" s="473"/>
      <c r="AA229" s="473"/>
      <c r="AB229" s="410"/>
    </row>
    <row r="230" spans="1:28" s="352" customFormat="1" ht="18" customHeight="1" x14ac:dyDescent="0.2">
      <c r="A230" s="1850"/>
      <c r="B230" s="1850"/>
      <c r="C230" s="1850"/>
      <c r="D230" s="1850"/>
      <c r="E230" s="1850"/>
      <c r="F230" s="1850"/>
      <c r="G230" s="1850"/>
      <c r="H230" s="1851"/>
      <c r="I230" s="1852"/>
      <c r="J230" s="1853"/>
      <c r="K230" s="1852"/>
      <c r="L230" s="1852"/>
      <c r="M230" s="1852"/>
      <c r="N230" s="1852"/>
      <c r="O230" s="1852"/>
      <c r="P230" s="1852"/>
      <c r="Q230" s="1852"/>
      <c r="R230" s="1854"/>
      <c r="S230" s="1852"/>
      <c r="T230" s="1855"/>
      <c r="U230" s="1853"/>
      <c r="V230" s="1852"/>
      <c r="W230" s="1852"/>
      <c r="X230" s="1856"/>
      <c r="Y230" s="1856"/>
      <c r="Z230" s="1857"/>
      <c r="AA230" s="1857"/>
      <c r="AB230" s="1847">
        <f>SUM(AB216:AB229)</f>
        <v>579.1272449999999</v>
      </c>
    </row>
    <row r="231" spans="1:28" s="352" customFormat="1" ht="18" customHeight="1" x14ac:dyDescent="0.2">
      <c r="A231" s="2778" t="s">
        <v>76</v>
      </c>
      <c r="B231" s="2778"/>
      <c r="C231" s="2779" t="s">
        <v>77</v>
      </c>
      <c r="D231" s="2779"/>
      <c r="E231" s="2779"/>
      <c r="F231" s="2779"/>
      <c r="G231" s="2779"/>
      <c r="H231" s="2779"/>
      <c r="I231" s="424" t="s">
        <v>78</v>
      </c>
      <c r="J231" s="424"/>
      <c r="K231" s="424"/>
      <c r="L231" s="424"/>
      <c r="M231" s="424"/>
      <c r="N231" s="424"/>
      <c r="AB231" s="425"/>
    </row>
    <row r="232" spans="1:28" s="352" customFormat="1" ht="18" customHeight="1" x14ac:dyDescent="0.2">
      <c r="A232" s="424"/>
      <c r="B232" s="426"/>
      <c r="C232" s="424"/>
      <c r="D232" s="424"/>
      <c r="E232" s="424"/>
      <c r="F232" s="424"/>
      <c r="G232" s="424"/>
      <c r="H232" s="424"/>
      <c r="I232" s="424" t="s">
        <v>79</v>
      </c>
      <c r="J232" s="424"/>
      <c r="K232" s="424"/>
      <c r="L232" s="424"/>
      <c r="M232" s="424"/>
      <c r="N232" s="424"/>
      <c r="AB232" s="425"/>
    </row>
    <row r="233" spans="1:28" s="352" customFormat="1" ht="18" customHeight="1" x14ac:dyDescent="0.2">
      <c r="A233" s="424"/>
      <c r="B233" s="426"/>
      <c r="C233" s="424"/>
      <c r="D233" s="424"/>
      <c r="E233" s="424"/>
      <c r="F233" s="424"/>
      <c r="G233" s="424"/>
      <c r="H233" s="424"/>
      <c r="I233" s="424" t="s">
        <v>80</v>
      </c>
      <c r="J233" s="424"/>
      <c r="K233" s="424"/>
      <c r="L233" s="424"/>
      <c r="M233" s="424"/>
      <c r="N233" s="424"/>
      <c r="AB233" s="425"/>
    </row>
    <row r="234" spans="1:28" s="352" customFormat="1" ht="18" customHeight="1" x14ac:dyDescent="0.2">
      <c r="A234" s="424"/>
      <c r="B234" s="426"/>
      <c r="C234" s="424"/>
      <c r="D234" s="424"/>
      <c r="E234" s="424"/>
      <c r="F234" s="424"/>
      <c r="G234" s="424"/>
      <c r="H234" s="424"/>
      <c r="I234" s="424" t="s">
        <v>81</v>
      </c>
      <c r="J234" s="424"/>
      <c r="K234" s="424"/>
      <c r="L234" s="424"/>
      <c r="M234" s="424"/>
      <c r="N234" s="424"/>
      <c r="AB234" s="425"/>
    </row>
    <row r="235" spans="1:28" s="352" customFormat="1" ht="18" customHeight="1" x14ac:dyDescent="0.2">
      <c r="A235" s="424"/>
      <c r="B235" s="426"/>
      <c r="C235" s="424"/>
      <c r="D235" s="424"/>
      <c r="E235" s="424"/>
      <c r="F235" s="424"/>
      <c r="G235" s="424"/>
      <c r="H235" s="424"/>
      <c r="I235" s="424" t="s">
        <v>88</v>
      </c>
      <c r="J235" s="424"/>
      <c r="K235" s="424"/>
      <c r="L235" s="424"/>
      <c r="M235" s="424"/>
      <c r="N235" s="424"/>
      <c r="AB235" s="425"/>
    </row>
    <row r="236" spans="1:28" s="352" customFormat="1" ht="18" customHeight="1" x14ac:dyDescent="0.2">
      <c r="A236" s="338"/>
      <c r="B236" s="338"/>
      <c r="C236" s="338"/>
      <c r="D236" s="338"/>
      <c r="E236" s="338"/>
      <c r="F236" s="338"/>
      <c r="G236" s="338"/>
      <c r="H236" s="338"/>
      <c r="I236" s="338"/>
      <c r="J236" s="338"/>
      <c r="K236" s="338"/>
      <c r="L236" s="338"/>
      <c r="M236" s="338"/>
      <c r="N236" s="338"/>
      <c r="O236" s="338"/>
      <c r="P236" s="338"/>
      <c r="Q236" s="338"/>
      <c r="R236" s="338"/>
      <c r="S236" s="338"/>
      <c r="T236" s="338"/>
      <c r="U236" s="338"/>
      <c r="V236" s="338"/>
      <c r="W236" s="338"/>
      <c r="X236" s="338"/>
      <c r="Y236" s="338"/>
      <c r="Z236" s="338"/>
      <c r="AA236" s="2774" t="s">
        <v>0</v>
      </c>
      <c r="AB236" s="2774"/>
    </row>
    <row r="237" spans="1:28" s="352" customFormat="1" ht="18" customHeight="1" x14ac:dyDescent="0.2">
      <c r="A237" s="2702" t="s">
        <v>1</v>
      </c>
      <c r="B237" s="2702"/>
      <c r="C237" s="2702"/>
      <c r="D237" s="2702"/>
      <c r="E237" s="2702"/>
      <c r="F237" s="2702"/>
      <c r="G237" s="2702"/>
      <c r="H237" s="2702"/>
      <c r="I237" s="2702"/>
      <c r="J237" s="2702"/>
      <c r="K237" s="2702"/>
      <c r="L237" s="2702"/>
      <c r="M237" s="2702"/>
      <c r="N237" s="2702"/>
      <c r="O237" s="2702"/>
      <c r="P237" s="2702"/>
      <c r="Q237" s="2702"/>
      <c r="R237" s="2702"/>
      <c r="S237" s="2702"/>
      <c r="T237" s="2702"/>
      <c r="U237" s="2702"/>
      <c r="V237" s="2702"/>
      <c r="W237" s="2702"/>
      <c r="X237" s="2702"/>
      <c r="Y237" s="2702"/>
      <c r="Z237" s="2702"/>
      <c r="AA237" s="2702"/>
      <c r="AB237" s="2702"/>
    </row>
    <row r="238" spans="1:28" s="352" customFormat="1" ht="18" customHeight="1" x14ac:dyDescent="0.2">
      <c r="A238" s="2780" t="s">
        <v>609</v>
      </c>
      <c r="B238" s="2780"/>
      <c r="C238" s="2780"/>
      <c r="D238" s="2780"/>
      <c r="E238" s="2780"/>
      <c r="F238" s="2780"/>
      <c r="G238" s="2780"/>
      <c r="H238" s="2780"/>
      <c r="I238" s="2780"/>
      <c r="J238" s="2780"/>
      <c r="K238" s="2780"/>
      <c r="L238" s="2780"/>
      <c r="M238" s="2780"/>
      <c r="N238" s="2780"/>
      <c r="O238" s="2780"/>
      <c r="P238" s="2780"/>
      <c r="Q238" s="2780"/>
      <c r="R238" s="2780"/>
      <c r="S238" s="2780"/>
      <c r="T238" s="2780"/>
      <c r="U238" s="2780"/>
      <c r="V238" s="2780"/>
      <c r="W238" s="2780"/>
      <c r="X238" s="2780"/>
      <c r="Y238" s="2780"/>
      <c r="Z238" s="2780"/>
      <c r="AA238" s="2780"/>
      <c r="AB238" s="2780"/>
    </row>
    <row r="239" spans="1:28" s="352" customFormat="1" ht="18" customHeight="1" x14ac:dyDescent="0.2">
      <c r="A239" s="2686" t="s">
        <v>2</v>
      </c>
      <c r="B239" s="360"/>
      <c r="C239" s="2686" t="s">
        <v>3</v>
      </c>
      <c r="D239" s="360"/>
      <c r="E239" s="360"/>
      <c r="F239" s="2693" t="s">
        <v>4</v>
      </c>
      <c r="G239" s="2693"/>
      <c r="H239" s="2693"/>
      <c r="I239" s="2694"/>
      <c r="J239" s="2694"/>
      <c r="K239" s="2695"/>
      <c r="L239" s="361"/>
      <c r="M239" s="2679" t="s">
        <v>5</v>
      </c>
      <c r="N239" s="2679"/>
      <c r="O239" s="2679"/>
      <c r="P239" s="2679"/>
      <c r="Q239" s="2696"/>
      <c r="R239" s="2696"/>
      <c r="S239" s="2696"/>
      <c r="T239" s="2696"/>
      <c r="U239" s="2696"/>
      <c r="V239" s="2697"/>
      <c r="W239" s="362" t="s">
        <v>6</v>
      </c>
      <c r="X239" s="363" t="s">
        <v>7</v>
      </c>
      <c r="Y239" s="364"/>
      <c r="Z239" s="364"/>
      <c r="AA239" s="363"/>
      <c r="AB239" s="365"/>
    </row>
    <row r="240" spans="1:28" s="352" customFormat="1" ht="18" customHeight="1" x14ac:dyDescent="0.2">
      <c r="A240" s="2687"/>
      <c r="B240" s="367"/>
      <c r="C240" s="2687"/>
      <c r="D240" s="2158" t="s">
        <v>9</v>
      </c>
      <c r="E240" s="368" t="s">
        <v>10</v>
      </c>
      <c r="F240" s="2698" t="s">
        <v>11</v>
      </c>
      <c r="G240" s="2694"/>
      <c r="H240" s="2695"/>
      <c r="I240" s="360"/>
      <c r="J240" s="369" t="s">
        <v>12</v>
      </c>
      <c r="K240" s="360"/>
      <c r="L240" s="2679" t="s">
        <v>2</v>
      </c>
      <c r="M240" s="2162"/>
      <c r="N240" s="2162"/>
      <c r="O240" s="2162"/>
      <c r="P240" s="371"/>
      <c r="Q240" s="372" t="s">
        <v>13</v>
      </c>
      <c r="R240" s="373" t="s">
        <v>12</v>
      </c>
      <c r="S240" s="2162" t="s">
        <v>6</v>
      </c>
      <c r="T240" s="2682" t="s">
        <v>14</v>
      </c>
      <c r="U240" s="2683"/>
      <c r="V240" s="375" t="s">
        <v>7</v>
      </c>
      <c r="W240" s="376" t="s">
        <v>15</v>
      </c>
      <c r="X240" s="377" t="s">
        <v>16</v>
      </c>
      <c r="Y240" s="377" t="s">
        <v>17</v>
      </c>
      <c r="Z240" s="377" t="s">
        <v>18</v>
      </c>
      <c r="AA240" s="377"/>
      <c r="AB240" s="378" t="s">
        <v>19</v>
      </c>
    </row>
    <row r="241" spans="1:29" s="352" customFormat="1" ht="18" customHeight="1" x14ac:dyDescent="0.2">
      <c r="A241" s="2687"/>
      <c r="B241" s="2158" t="s">
        <v>23</v>
      </c>
      <c r="C241" s="2687"/>
      <c r="D241" s="2158" t="s">
        <v>24</v>
      </c>
      <c r="E241" s="368" t="s">
        <v>25</v>
      </c>
      <c r="F241" s="2699"/>
      <c r="G241" s="2700"/>
      <c r="H241" s="2701"/>
      <c r="I241" s="2158" t="s">
        <v>26</v>
      </c>
      <c r="J241" s="379" t="s">
        <v>15</v>
      </c>
      <c r="K241" s="2159" t="s">
        <v>6</v>
      </c>
      <c r="L241" s="2680"/>
      <c r="M241" s="2163" t="s">
        <v>27</v>
      </c>
      <c r="N241" s="2163" t="s">
        <v>10</v>
      </c>
      <c r="O241" s="382" t="s">
        <v>10</v>
      </c>
      <c r="P241" s="383" t="s">
        <v>28</v>
      </c>
      <c r="Q241" s="384" t="s">
        <v>29</v>
      </c>
      <c r="R241" s="383" t="s">
        <v>15</v>
      </c>
      <c r="S241" s="385" t="s">
        <v>15</v>
      </c>
      <c r="T241" s="2684"/>
      <c r="U241" s="2685"/>
      <c r="V241" s="375" t="s">
        <v>30</v>
      </c>
      <c r="W241" s="376" t="s">
        <v>31</v>
      </c>
      <c r="X241" s="377" t="s">
        <v>30</v>
      </c>
      <c r="Y241" s="377" t="s">
        <v>32</v>
      </c>
      <c r="Z241" s="377" t="s">
        <v>7</v>
      </c>
      <c r="AA241" s="377" t="s">
        <v>33</v>
      </c>
      <c r="AB241" s="378" t="s">
        <v>34</v>
      </c>
    </row>
    <row r="242" spans="1:29" s="352" customFormat="1" ht="18" customHeight="1" x14ac:dyDescent="0.2">
      <c r="A242" s="2687"/>
      <c r="B242" s="2158" t="s">
        <v>39</v>
      </c>
      <c r="C242" s="2687"/>
      <c r="D242" s="2158" t="s">
        <v>40</v>
      </c>
      <c r="E242" s="368" t="s">
        <v>41</v>
      </c>
      <c r="F242" s="2686" t="s">
        <v>42</v>
      </c>
      <c r="G242" s="2686" t="s">
        <v>43</v>
      </c>
      <c r="H242" s="2688" t="s">
        <v>44</v>
      </c>
      <c r="I242" s="2158" t="s">
        <v>45</v>
      </c>
      <c r="J242" s="379" t="s">
        <v>46</v>
      </c>
      <c r="K242" s="2159" t="s">
        <v>47</v>
      </c>
      <c r="L242" s="2680"/>
      <c r="M242" s="2163" t="s">
        <v>30</v>
      </c>
      <c r="N242" s="2163" t="s">
        <v>30</v>
      </c>
      <c r="O242" s="382" t="s">
        <v>25</v>
      </c>
      <c r="P242" s="383" t="s">
        <v>30</v>
      </c>
      <c r="Q242" s="384" t="s">
        <v>48</v>
      </c>
      <c r="R242" s="383" t="s">
        <v>49</v>
      </c>
      <c r="S242" s="385" t="s">
        <v>30</v>
      </c>
      <c r="T242" s="386" t="s">
        <v>50</v>
      </c>
      <c r="U242" s="2161" t="s">
        <v>13</v>
      </c>
      <c r="V242" s="375" t="s">
        <v>51</v>
      </c>
      <c r="W242" s="376" t="s">
        <v>52</v>
      </c>
      <c r="X242" s="377" t="s">
        <v>53</v>
      </c>
      <c r="Y242" s="377" t="s">
        <v>54</v>
      </c>
      <c r="Z242" s="377" t="s">
        <v>55</v>
      </c>
      <c r="AA242" s="377" t="s">
        <v>56</v>
      </c>
      <c r="AB242" s="378" t="s">
        <v>57</v>
      </c>
    </row>
    <row r="243" spans="1:29" s="352" customFormat="1" ht="18" customHeight="1" x14ac:dyDescent="0.2">
      <c r="A243" s="2687"/>
      <c r="B243" s="2158" t="s">
        <v>61</v>
      </c>
      <c r="C243" s="2687"/>
      <c r="D243" s="2158" t="s">
        <v>62</v>
      </c>
      <c r="E243" s="368" t="s">
        <v>63</v>
      </c>
      <c r="F243" s="2687"/>
      <c r="G243" s="2687"/>
      <c r="H243" s="2689"/>
      <c r="I243" s="2158" t="s">
        <v>64</v>
      </c>
      <c r="J243" s="379" t="s">
        <v>59</v>
      </c>
      <c r="K243" s="2159" t="s">
        <v>59</v>
      </c>
      <c r="L243" s="2680"/>
      <c r="M243" s="2163"/>
      <c r="N243" s="2163"/>
      <c r="O243" s="382" t="s">
        <v>41</v>
      </c>
      <c r="P243" s="383" t="s">
        <v>65</v>
      </c>
      <c r="Q243" s="384" t="s">
        <v>66</v>
      </c>
      <c r="R243" s="383" t="s">
        <v>67</v>
      </c>
      <c r="S243" s="385" t="s">
        <v>59</v>
      </c>
      <c r="T243" s="387" t="s">
        <v>68</v>
      </c>
      <c r="U243" s="375" t="s">
        <v>14</v>
      </c>
      <c r="V243" s="375" t="s">
        <v>14</v>
      </c>
      <c r="W243" s="376" t="s">
        <v>30</v>
      </c>
      <c r="X243" s="388" t="s">
        <v>69</v>
      </c>
      <c r="Y243" s="388" t="s">
        <v>70</v>
      </c>
      <c r="Z243" s="377" t="s">
        <v>71</v>
      </c>
      <c r="AA243" s="377" t="s">
        <v>72</v>
      </c>
      <c r="AB243" s="378" t="s">
        <v>59</v>
      </c>
    </row>
    <row r="244" spans="1:29" s="352" customFormat="1" ht="18" customHeight="1" x14ac:dyDescent="0.2">
      <c r="A244" s="2692"/>
      <c r="B244" s="390"/>
      <c r="C244" s="2692"/>
      <c r="D244" s="390"/>
      <c r="E244" s="2160"/>
      <c r="F244" s="390"/>
      <c r="G244" s="390"/>
      <c r="H244" s="391"/>
      <c r="I244" s="2160"/>
      <c r="J244" s="392"/>
      <c r="K244" s="393"/>
      <c r="L244" s="2681"/>
      <c r="M244" s="2164"/>
      <c r="N244" s="2164"/>
      <c r="O244" s="2164" t="s">
        <v>63</v>
      </c>
      <c r="P244" s="395"/>
      <c r="Q244" s="396" t="s">
        <v>72</v>
      </c>
      <c r="R244" s="397" t="s">
        <v>59</v>
      </c>
      <c r="S244" s="398"/>
      <c r="T244" s="397" t="s">
        <v>73</v>
      </c>
      <c r="U244" s="398" t="s">
        <v>59</v>
      </c>
      <c r="V244" s="399" t="s">
        <v>59</v>
      </c>
      <c r="W244" s="400" t="s">
        <v>59</v>
      </c>
      <c r="X244" s="401" t="s">
        <v>59</v>
      </c>
      <c r="Y244" s="401" t="s">
        <v>59</v>
      </c>
      <c r="Z244" s="401" t="s">
        <v>59</v>
      </c>
      <c r="AA244" s="402"/>
      <c r="AB244" s="403"/>
    </row>
    <row r="245" spans="1:29" s="352" customFormat="1" ht="18" customHeight="1" x14ac:dyDescent="0.25">
      <c r="A245" s="53">
        <v>1</v>
      </c>
      <c r="B245" s="333">
        <v>49418</v>
      </c>
      <c r="C245" s="41">
        <v>1496</v>
      </c>
      <c r="D245" s="41" t="s">
        <v>84</v>
      </c>
      <c r="E245" s="41">
        <v>5</v>
      </c>
      <c r="F245" s="41">
        <v>0</v>
      </c>
      <c r="G245" s="41">
        <v>2</v>
      </c>
      <c r="H245" s="267">
        <v>92.33</v>
      </c>
      <c r="I245" s="310">
        <f>F245*400+G245*100+H245</f>
        <v>292.33</v>
      </c>
      <c r="J245" s="667">
        <v>1000</v>
      </c>
      <c r="K245" s="310">
        <f>SUM(I245*J245)</f>
        <v>292330</v>
      </c>
      <c r="L245" s="16">
        <v>1</v>
      </c>
      <c r="M245" s="82">
        <v>103</v>
      </c>
      <c r="N245" s="41" t="s">
        <v>74</v>
      </c>
      <c r="O245" s="16">
        <v>2</v>
      </c>
      <c r="P245" s="756">
        <f>16.75*24.6</f>
        <v>412.05</v>
      </c>
      <c r="Q245" s="14" t="s">
        <v>75</v>
      </c>
      <c r="R245" s="302">
        <v>9050</v>
      </c>
      <c r="S245" s="302">
        <f>+P245*R245</f>
        <v>3729052.5</v>
      </c>
      <c r="T245" s="309">
        <v>40</v>
      </c>
      <c r="U245" s="302">
        <f>+S245*0.7</f>
        <v>2610336.75</v>
      </c>
      <c r="V245" s="302">
        <f>+S245-U245</f>
        <v>1118715.75</v>
      </c>
      <c r="W245" s="302">
        <f>K245+V245</f>
        <v>1411045.75</v>
      </c>
      <c r="X245" s="302">
        <f>W245</f>
        <v>1411045.75</v>
      </c>
      <c r="Y245" s="790" t="s">
        <v>87</v>
      </c>
      <c r="Z245" s="310">
        <v>0</v>
      </c>
      <c r="AA245" s="494">
        <v>0.02</v>
      </c>
      <c r="AB245" s="406">
        <f>+Z245*AA245/100</f>
        <v>0</v>
      </c>
    </row>
    <row r="246" spans="1:29" s="2204" customFormat="1" ht="18" customHeight="1" x14ac:dyDescent="0.2">
      <c r="A246" s="1753"/>
      <c r="B246" s="1801"/>
      <c r="C246" s="1801"/>
      <c r="D246" s="1801"/>
      <c r="E246" s="1801"/>
      <c r="F246" s="1801"/>
      <c r="G246" s="1801"/>
      <c r="H246" s="2275">
        <v>24.69</v>
      </c>
      <c r="I246" s="1368">
        <f t="shared" ref="I246:I247" si="36">F246*400+G246*100+H246</f>
        <v>24.69</v>
      </c>
      <c r="J246" s="1368">
        <v>1000</v>
      </c>
      <c r="K246" s="1368">
        <f t="shared" ref="K246:K247" si="37">SUM(I246*J246)</f>
        <v>24690</v>
      </c>
      <c r="L246" s="1814">
        <v>2</v>
      </c>
      <c r="M246" s="1783">
        <v>106</v>
      </c>
      <c r="N246" s="1801" t="s">
        <v>96</v>
      </c>
      <c r="O246" s="1814">
        <v>2</v>
      </c>
      <c r="P246" s="2203">
        <f>7.9*12.5</f>
        <v>98.75</v>
      </c>
      <c r="Q246" s="2276" t="s">
        <v>75</v>
      </c>
      <c r="R246" s="1795">
        <v>7950</v>
      </c>
      <c r="S246" s="1795">
        <f>+P246*R246</f>
        <v>785062.5</v>
      </c>
      <c r="T246" s="2277">
        <v>43</v>
      </c>
      <c r="U246" s="1795">
        <f>+S246*0.85</f>
        <v>667303.125</v>
      </c>
      <c r="V246" s="1795">
        <f>+S246-U246</f>
        <v>117759.375</v>
      </c>
      <c r="W246" s="1795">
        <f>K246+V246</f>
        <v>142449.375</v>
      </c>
      <c r="X246" s="1795">
        <f>W246</f>
        <v>142449.375</v>
      </c>
      <c r="Y246" s="2278"/>
      <c r="Z246" s="1795">
        <f>X246</f>
        <v>142449.375</v>
      </c>
      <c r="AA246" s="1796">
        <v>0.02</v>
      </c>
      <c r="AB246" s="1465">
        <f>Z246*AA246/100</f>
        <v>28.489875000000001</v>
      </c>
      <c r="AC246" s="2204" t="s">
        <v>699</v>
      </c>
    </row>
    <row r="247" spans="1:29" s="352" customFormat="1" ht="18" customHeight="1" x14ac:dyDescent="0.25">
      <c r="A247" s="242"/>
      <c r="B247" s="269"/>
      <c r="C247" s="285"/>
      <c r="D247" s="15"/>
      <c r="E247" s="273"/>
      <c r="F247" s="268"/>
      <c r="G247" s="269"/>
      <c r="H247" s="266">
        <v>29.07</v>
      </c>
      <c r="I247" s="305">
        <f t="shared" si="36"/>
        <v>29.07</v>
      </c>
      <c r="J247" s="671">
        <v>1000</v>
      </c>
      <c r="K247" s="297">
        <f t="shared" si="37"/>
        <v>29070</v>
      </c>
      <c r="L247" s="50">
        <v>3</v>
      </c>
      <c r="M247" s="2166">
        <v>504</v>
      </c>
      <c r="N247" s="15" t="s">
        <v>74</v>
      </c>
      <c r="O247" s="50">
        <v>3</v>
      </c>
      <c r="P247" s="758">
        <f>11.4*10.2</f>
        <v>116.28</v>
      </c>
      <c r="Q247" s="62" t="s">
        <v>75</v>
      </c>
      <c r="R247" s="296">
        <v>3100</v>
      </c>
      <c r="S247" s="296">
        <f>+P247*R247</f>
        <v>360468</v>
      </c>
      <c r="T247" s="298">
        <v>40</v>
      </c>
      <c r="U247" s="296">
        <f>+S247*0.7</f>
        <v>252327.59999999998</v>
      </c>
      <c r="V247" s="299">
        <f>+S247-U247</f>
        <v>108140.40000000002</v>
      </c>
      <c r="W247" s="296">
        <f>K247+V247</f>
        <v>137210.40000000002</v>
      </c>
      <c r="X247" s="299">
        <f>W247</f>
        <v>137210.40000000002</v>
      </c>
      <c r="Y247" s="790" t="s">
        <v>87</v>
      </c>
      <c r="Z247" s="296">
        <v>0</v>
      </c>
      <c r="AA247" s="494">
        <v>0.02</v>
      </c>
      <c r="AB247" s="410">
        <f>+Z247*AA247/100</f>
        <v>0</v>
      </c>
    </row>
    <row r="248" spans="1:29" s="352" customFormat="1" ht="18" customHeight="1" x14ac:dyDescent="0.2">
      <c r="A248" s="2166"/>
      <c r="B248" s="177"/>
      <c r="C248" s="177"/>
      <c r="D248" s="2166"/>
      <c r="E248" s="2166"/>
      <c r="F248" s="2166"/>
      <c r="G248" s="2166"/>
      <c r="H248" s="2171"/>
      <c r="I248" s="2168"/>
      <c r="J248" s="178"/>
      <c r="K248" s="2168"/>
      <c r="L248" s="2166"/>
      <c r="M248" s="2166"/>
      <c r="N248" s="2166"/>
      <c r="O248" s="2166"/>
      <c r="P248" s="2171"/>
      <c r="Q248" s="2167"/>
      <c r="R248" s="437"/>
      <c r="S248" s="2168"/>
      <c r="T248" s="179"/>
      <c r="U248" s="178" t="s">
        <v>92</v>
      </c>
      <c r="V248" s="2168"/>
      <c r="W248" s="2168"/>
      <c r="X248" s="470"/>
      <c r="Y248" s="470"/>
      <c r="Z248" s="471"/>
      <c r="AA248" s="471"/>
      <c r="AB248" s="466"/>
    </row>
    <row r="249" spans="1:29" s="352" customFormat="1" ht="18" customHeight="1" x14ac:dyDescent="0.2">
      <c r="A249" s="2166"/>
      <c r="B249" s="177"/>
      <c r="C249" s="177"/>
      <c r="D249" s="2166"/>
      <c r="E249" s="2166"/>
      <c r="F249" s="2166"/>
      <c r="G249" s="2166"/>
      <c r="H249" s="2171"/>
      <c r="I249" s="2168"/>
      <c r="J249" s="178"/>
      <c r="K249" s="2168"/>
      <c r="L249" s="2166"/>
      <c r="M249" s="2166"/>
      <c r="N249" s="2166"/>
      <c r="O249" s="2166"/>
      <c r="P249" s="2171"/>
      <c r="Q249" s="2167"/>
      <c r="R249" s="437"/>
      <c r="S249" s="2168"/>
      <c r="T249" s="179"/>
      <c r="U249" s="178"/>
      <c r="V249" s="2168"/>
      <c r="W249" s="2168"/>
      <c r="X249" s="470"/>
      <c r="Y249" s="470"/>
      <c r="Z249" s="471"/>
      <c r="AA249" s="471"/>
      <c r="AB249" s="466"/>
    </row>
    <row r="250" spans="1:29" s="352" customFormat="1" ht="18" customHeight="1" x14ac:dyDescent="0.2">
      <c r="A250" s="2166"/>
      <c r="B250" s="177"/>
      <c r="C250" s="177"/>
      <c r="D250" s="2166"/>
      <c r="E250" s="2166"/>
      <c r="F250" s="2166"/>
      <c r="G250" s="2166"/>
      <c r="H250" s="2171"/>
      <c r="I250" s="2168"/>
      <c r="J250" s="178"/>
      <c r="K250" s="178"/>
      <c r="L250" s="2166"/>
      <c r="M250" s="2166"/>
      <c r="N250" s="2166"/>
      <c r="O250" s="2166"/>
      <c r="P250" s="2171"/>
      <c r="Q250" s="2167"/>
      <c r="R250" s="437"/>
      <c r="S250" s="2168"/>
      <c r="T250" s="179"/>
      <c r="U250" s="178"/>
      <c r="V250" s="2168"/>
      <c r="W250" s="2168"/>
      <c r="X250" s="470"/>
      <c r="Y250" s="470"/>
      <c r="Z250" s="471"/>
      <c r="AA250" s="471"/>
      <c r="AB250" s="466"/>
    </row>
    <row r="251" spans="1:29" s="352" customFormat="1" ht="18" customHeight="1" x14ac:dyDescent="0.2">
      <c r="A251" s="2166"/>
      <c r="B251" s="177"/>
      <c r="C251" s="177"/>
      <c r="D251" s="2166"/>
      <c r="E251" s="2166"/>
      <c r="F251" s="2166"/>
      <c r="G251" s="2166"/>
      <c r="H251" s="2171"/>
      <c r="I251" s="2168"/>
      <c r="J251" s="178"/>
      <c r="K251" s="2168"/>
      <c r="L251" s="2166"/>
      <c r="M251" s="2166"/>
      <c r="N251" s="2166"/>
      <c r="O251" s="2166"/>
      <c r="P251" s="2171"/>
      <c r="Q251" s="2167"/>
      <c r="R251" s="437"/>
      <c r="S251" s="2168"/>
      <c r="T251" s="179"/>
      <c r="U251" s="178"/>
      <c r="V251" s="2168"/>
      <c r="W251" s="2168"/>
      <c r="X251" s="470"/>
      <c r="Y251" s="470"/>
      <c r="Z251" s="471"/>
      <c r="AA251" s="471"/>
      <c r="AB251" s="466"/>
    </row>
    <row r="252" spans="1:29" s="352" customFormat="1" ht="18" customHeight="1" x14ac:dyDescent="0.2">
      <c r="A252" s="2166"/>
      <c r="B252" s="177"/>
      <c r="C252" s="177"/>
      <c r="D252" s="2166"/>
      <c r="E252" s="2166"/>
      <c r="F252" s="2166"/>
      <c r="G252" s="2166"/>
      <c r="H252" s="2171"/>
      <c r="I252" s="2168"/>
      <c r="J252" s="178"/>
      <c r="K252" s="2168"/>
      <c r="L252" s="2166"/>
      <c r="M252" s="2166"/>
      <c r="N252" s="2166"/>
      <c r="O252" s="2166"/>
      <c r="P252" s="2171"/>
      <c r="Q252" s="2167"/>
      <c r="R252" s="437"/>
      <c r="S252" s="2168"/>
      <c r="T252" s="179"/>
      <c r="U252" s="178"/>
      <c r="V252" s="2168"/>
      <c r="W252" s="2168"/>
      <c r="X252" s="470"/>
      <c r="Y252" s="470"/>
      <c r="Z252" s="471"/>
      <c r="AA252" s="471"/>
      <c r="AB252" s="466"/>
    </row>
    <row r="253" spans="1:29" s="352" customFormat="1" ht="18" customHeight="1" x14ac:dyDescent="0.2">
      <c r="A253" s="2166"/>
      <c r="B253" s="177"/>
      <c r="C253" s="177"/>
      <c r="D253" s="2166"/>
      <c r="E253" s="2166"/>
      <c r="F253" s="2166"/>
      <c r="G253" s="2166"/>
      <c r="H253" s="2171"/>
      <c r="I253" s="2168"/>
      <c r="J253" s="178"/>
      <c r="K253" s="2168"/>
      <c r="L253" s="2166"/>
      <c r="M253" s="2166"/>
      <c r="N253" s="2166"/>
      <c r="O253" s="2166"/>
      <c r="P253" s="2171"/>
      <c r="Q253" s="2167"/>
      <c r="R253" s="437"/>
      <c r="S253" s="2168"/>
      <c r="T253" s="179"/>
      <c r="U253" s="178"/>
      <c r="V253" s="2168"/>
      <c r="W253" s="2168"/>
      <c r="X253" s="470"/>
      <c r="Y253" s="470"/>
      <c r="Z253" s="471"/>
      <c r="AA253" s="471"/>
      <c r="AB253" s="466"/>
    </row>
    <row r="254" spans="1:29" s="352" customFormat="1" ht="18" customHeight="1" x14ac:dyDescent="0.2">
      <c r="A254" s="2166"/>
      <c r="B254" s="177"/>
      <c r="C254" s="177"/>
      <c r="D254" s="2166"/>
      <c r="E254" s="2166"/>
      <c r="F254" s="2166"/>
      <c r="G254" s="2166"/>
      <c r="H254" s="2171"/>
      <c r="I254" s="2168"/>
      <c r="J254" s="178"/>
      <c r="K254" s="2168"/>
      <c r="L254" s="2166"/>
      <c r="M254" s="2166"/>
      <c r="N254" s="2166"/>
      <c r="O254" s="2166"/>
      <c r="P254" s="2171"/>
      <c r="Q254" s="2167"/>
      <c r="R254" s="437"/>
      <c r="S254" s="2168"/>
      <c r="T254" s="179"/>
      <c r="U254" s="178"/>
      <c r="V254" s="2168"/>
      <c r="W254" s="2168"/>
      <c r="X254" s="470"/>
      <c r="Y254" s="470"/>
      <c r="Z254" s="471"/>
      <c r="AA254" s="471"/>
      <c r="AB254" s="466"/>
    </row>
    <row r="255" spans="1:29" s="352" customFormat="1" ht="18" customHeight="1" x14ac:dyDescent="0.2">
      <c r="A255" s="2166"/>
      <c r="B255" s="177"/>
      <c r="C255" s="177"/>
      <c r="D255" s="2166"/>
      <c r="E255" s="2166"/>
      <c r="F255" s="2166"/>
      <c r="G255" s="2166"/>
      <c r="H255" s="2171"/>
      <c r="I255" s="2168"/>
      <c r="J255" s="178"/>
      <c r="K255" s="2168"/>
      <c r="L255" s="2166"/>
      <c r="M255" s="2166"/>
      <c r="N255" s="2166"/>
      <c r="O255" s="2166"/>
      <c r="P255" s="2171"/>
      <c r="Q255" s="2167"/>
      <c r="R255" s="437"/>
      <c r="S255" s="2168"/>
      <c r="T255" s="179"/>
      <c r="U255" s="178"/>
      <c r="V255" s="2168"/>
      <c r="W255" s="2168"/>
      <c r="X255" s="470"/>
      <c r="Y255" s="470"/>
      <c r="Z255" s="471"/>
      <c r="AA255" s="471"/>
      <c r="AB255" s="466"/>
    </row>
    <row r="256" spans="1:29" s="352" customFormat="1" ht="18" customHeight="1" x14ac:dyDescent="0.2">
      <c r="A256" s="2166"/>
      <c r="B256" s="177"/>
      <c r="C256" s="177"/>
      <c r="D256" s="2166"/>
      <c r="E256" s="2166"/>
      <c r="F256" s="2166"/>
      <c r="G256" s="2166"/>
      <c r="H256" s="2171"/>
      <c r="I256" s="2168"/>
      <c r="J256" s="178"/>
      <c r="K256" s="2168"/>
      <c r="L256" s="2166"/>
      <c r="M256" s="2166"/>
      <c r="N256" s="2166"/>
      <c r="O256" s="2166"/>
      <c r="P256" s="2171"/>
      <c r="Q256" s="2167"/>
      <c r="R256" s="437"/>
      <c r="S256" s="2168"/>
      <c r="T256" s="179"/>
      <c r="U256" s="178"/>
      <c r="V256" s="2168"/>
      <c r="W256" s="2168"/>
      <c r="X256" s="470"/>
      <c r="Y256" s="470"/>
      <c r="Z256" s="471"/>
      <c r="AA256" s="471"/>
      <c r="AB256" s="466"/>
    </row>
    <row r="257" spans="1:28" s="352" customFormat="1" ht="18" customHeight="1" x14ac:dyDescent="0.2">
      <c r="A257" s="2166"/>
      <c r="B257" s="177"/>
      <c r="C257" s="177"/>
      <c r="D257" s="2166"/>
      <c r="E257" s="2166"/>
      <c r="F257" s="2166"/>
      <c r="G257" s="2166"/>
      <c r="H257" s="2171"/>
      <c r="I257" s="2168"/>
      <c r="J257" s="178"/>
      <c r="K257" s="2168"/>
      <c r="L257" s="2166"/>
      <c r="M257" s="2166"/>
      <c r="N257" s="2166"/>
      <c r="O257" s="2166"/>
      <c r="P257" s="2171"/>
      <c r="Q257" s="2167"/>
      <c r="R257" s="437"/>
      <c r="S257" s="2168"/>
      <c r="T257" s="179"/>
      <c r="U257" s="178"/>
      <c r="V257" s="2168"/>
      <c r="W257" s="2168"/>
      <c r="X257" s="470"/>
      <c r="Y257" s="470"/>
      <c r="Z257" s="471"/>
      <c r="AA257" s="471"/>
      <c r="AB257" s="466"/>
    </row>
    <row r="258" spans="1:28" s="352" customFormat="1" ht="18" customHeight="1" x14ac:dyDescent="0.2">
      <c r="A258" s="88"/>
      <c r="B258" s="180"/>
      <c r="C258" s="180"/>
      <c r="D258" s="88"/>
      <c r="E258" s="88"/>
      <c r="F258" s="88"/>
      <c r="G258" s="88"/>
      <c r="H258" s="120"/>
      <c r="I258" s="121"/>
      <c r="J258" s="181"/>
      <c r="K258" s="121"/>
      <c r="L258" s="88"/>
      <c r="M258" s="88"/>
      <c r="N258" s="88"/>
      <c r="O258" s="88"/>
      <c r="P258" s="88"/>
      <c r="Q258" s="129"/>
      <c r="R258" s="445"/>
      <c r="S258" s="121"/>
      <c r="T258" s="182"/>
      <c r="U258" s="181"/>
      <c r="V258" s="121"/>
      <c r="W258" s="121"/>
      <c r="X258" s="472"/>
      <c r="Y258" s="472"/>
      <c r="Z258" s="473"/>
      <c r="AA258" s="473"/>
      <c r="AB258" s="410"/>
    </row>
    <row r="259" spans="1:28" s="352" customFormat="1" ht="18" customHeight="1" x14ac:dyDescent="0.2">
      <c r="A259" s="1850"/>
      <c r="B259" s="1850"/>
      <c r="C259" s="1850"/>
      <c r="D259" s="1850"/>
      <c r="E259" s="1850"/>
      <c r="F259" s="1850"/>
      <c r="G259" s="1850"/>
      <c r="H259" s="1851"/>
      <c r="I259" s="1852"/>
      <c r="J259" s="1853"/>
      <c r="K259" s="1852"/>
      <c r="L259" s="1852"/>
      <c r="M259" s="1852"/>
      <c r="N259" s="1852"/>
      <c r="O259" s="1852"/>
      <c r="P259" s="1852"/>
      <c r="Q259" s="1852"/>
      <c r="R259" s="1854"/>
      <c r="S259" s="1852"/>
      <c r="T259" s="1855"/>
      <c r="U259" s="1853"/>
      <c r="V259" s="1852"/>
      <c r="W259" s="1852"/>
      <c r="X259" s="1856"/>
      <c r="Y259" s="1856"/>
      <c r="Z259" s="1857"/>
      <c r="AA259" s="1857"/>
      <c r="AB259" s="1847">
        <f>SUM(AB245:AB258)</f>
        <v>28.489875000000001</v>
      </c>
    </row>
    <row r="260" spans="1:28" s="352" customFormat="1" ht="18" customHeight="1" x14ac:dyDescent="0.2">
      <c r="A260" s="2778" t="s">
        <v>76</v>
      </c>
      <c r="B260" s="2778"/>
      <c r="C260" s="2779" t="s">
        <v>77</v>
      </c>
      <c r="D260" s="2779"/>
      <c r="E260" s="2779"/>
      <c r="F260" s="2779"/>
      <c r="G260" s="2779"/>
      <c r="H260" s="2779"/>
      <c r="I260" s="424" t="s">
        <v>78</v>
      </c>
      <c r="J260" s="424"/>
      <c r="K260" s="424"/>
      <c r="L260" s="424"/>
      <c r="M260" s="424"/>
      <c r="N260" s="424"/>
      <c r="AB260" s="425"/>
    </row>
    <row r="261" spans="1:28" s="352" customFormat="1" ht="18" customHeight="1" x14ac:dyDescent="0.2">
      <c r="A261" s="424"/>
      <c r="B261" s="426"/>
      <c r="C261" s="424"/>
      <c r="D261" s="424"/>
      <c r="E261" s="424"/>
      <c r="F261" s="424"/>
      <c r="G261" s="424"/>
      <c r="H261" s="424"/>
      <c r="I261" s="424" t="s">
        <v>79</v>
      </c>
      <c r="J261" s="424"/>
      <c r="K261" s="424"/>
      <c r="L261" s="424"/>
      <c r="M261" s="424"/>
      <c r="N261" s="424"/>
      <c r="AB261" s="425"/>
    </row>
    <row r="262" spans="1:28" s="352" customFormat="1" ht="18" customHeight="1" x14ac:dyDescent="0.2">
      <c r="A262" s="424"/>
      <c r="B262" s="426"/>
      <c r="C262" s="424"/>
      <c r="D262" s="424"/>
      <c r="E262" s="424"/>
      <c r="F262" s="424"/>
      <c r="G262" s="424"/>
      <c r="H262" s="424"/>
      <c r="I262" s="424" t="s">
        <v>80</v>
      </c>
      <c r="J262" s="424"/>
      <c r="K262" s="424"/>
      <c r="L262" s="424"/>
      <c r="M262" s="424"/>
      <c r="N262" s="424"/>
      <c r="AB262" s="425"/>
    </row>
    <row r="263" spans="1:28" s="352" customFormat="1" ht="18" customHeight="1" x14ac:dyDescent="0.2">
      <c r="A263" s="424"/>
      <c r="B263" s="426"/>
      <c r="C263" s="424"/>
      <c r="D263" s="424"/>
      <c r="E263" s="424"/>
      <c r="F263" s="424"/>
      <c r="G263" s="424"/>
      <c r="H263" s="424"/>
      <c r="I263" s="424" t="s">
        <v>81</v>
      </c>
      <c r="J263" s="424"/>
      <c r="K263" s="424"/>
      <c r="L263" s="424"/>
      <c r="M263" s="424"/>
      <c r="N263" s="424"/>
      <c r="AB263" s="425"/>
    </row>
    <row r="264" spans="1:28" s="352" customFormat="1" ht="18" customHeight="1" x14ac:dyDescent="0.2">
      <c r="A264" s="424"/>
      <c r="B264" s="426"/>
      <c r="C264" s="424"/>
      <c r="D264" s="424"/>
      <c r="E264" s="424"/>
      <c r="F264" s="424"/>
      <c r="G264" s="424"/>
      <c r="H264" s="424"/>
      <c r="I264" s="424" t="s">
        <v>88</v>
      </c>
      <c r="J264" s="424"/>
      <c r="K264" s="424"/>
      <c r="L264" s="424"/>
      <c r="M264" s="424"/>
      <c r="N264" s="424"/>
      <c r="AB264" s="425"/>
    </row>
    <row r="265" spans="1:28" s="352" customFormat="1" ht="18" customHeight="1" x14ac:dyDescent="0.2">
      <c r="A265" s="338"/>
      <c r="B265" s="338"/>
      <c r="C265" s="338"/>
      <c r="D265" s="338"/>
      <c r="E265" s="338"/>
      <c r="F265" s="338"/>
      <c r="G265" s="338"/>
      <c r="H265" s="338"/>
      <c r="I265" s="338"/>
      <c r="J265" s="338"/>
      <c r="K265" s="338"/>
      <c r="L265" s="338"/>
      <c r="M265" s="338"/>
      <c r="N265" s="338"/>
      <c r="O265" s="338"/>
      <c r="P265" s="338"/>
      <c r="Q265" s="338"/>
      <c r="R265" s="338"/>
      <c r="S265" s="338"/>
      <c r="T265" s="338"/>
      <c r="U265" s="338"/>
      <c r="V265" s="338"/>
      <c r="W265" s="338"/>
      <c r="X265" s="338"/>
      <c r="Y265" s="338"/>
      <c r="Z265" s="338"/>
      <c r="AA265" s="2774" t="s">
        <v>0</v>
      </c>
      <c r="AB265" s="2774"/>
    </row>
    <row r="266" spans="1:28" s="352" customFormat="1" ht="18" customHeight="1" x14ac:dyDescent="0.2">
      <c r="A266" s="2703" t="s">
        <v>1</v>
      </c>
      <c r="B266" s="2703"/>
      <c r="C266" s="2703"/>
      <c r="D266" s="2703"/>
      <c r="E266" s="2703"/>
      <c r="F266" s="2703"/>
      <c r="G266" s="2703"/>
      <c r="H266" s="2703"/>
      <c r="I266" s="2703"/>
      <c r="J266" s="2703"/>
      <c r="K266" s="2703"/>
      <c r="L266" s="2703"/>
      <c r="M266" s="2703"/>
      <c r="N266" s="2703"/>
      <c r="O266" s="2703"/>
      <c r="P266" s="2703"/>
      <c r="Q266" s="2703"/>
      <c r="R266" s="2703"/>
      <c r="S266" s="2703"/>
      <c r="T266" s="2703"/>
      <c r="U266" s="2703"/>
      <c r="V266" s="2703"/>
      <c r="W266" s="2703"/>
      <c r="X266" s="2703"/>
      <c r="Y266" s="2703"/>
      <c r="Z266" s="2703"/>
      <c r="AA266" s="2703"/>
      <c r="AB266" s="2703"/>
    </row>
    <row r="267" spans="1:28" s="352" customFormat="1" ht="18" customHeight="1" x14ac:dyDescent="0.2">
      <c r="A267" s="2780" t="s">
        <v>610</v>
      </c>
      <c r="B267" s="2780"/>
      <c r="C267" s="2780"/>
      <c r="D267" s="2780"/>
      <c r="E267" s="2780"/>
      <c r="F267" s="2780"/>
      <c r="G267" s="2780"/>
      <c r="H267" s="2780"/>
      <c r="I267" s="2780"/>
      <c r="J267" s="2780"/>
      <c r="K267" s="2780"/>
      <c r="L267" s="2780"/>
      <c r="M267" s="2780"/>
      <c r="N267" s="2780"/>
      <c r="O267" s="2780"/>
      <c r="P267" s="2780"/>
      <c r="Q267" s="2780"/>
      <c r="R267" s="2780"/>
      <c r="S267" s="2780"/>
      <c r="T267" s="2780"/>
      <c r="U267" s="2780"/>
      <c r="V267" s="2780"/>
      <c r="W267" s="2780"/>
      <c r="X267" s="2780"/>
      <c r="Y267" s="2780"/>
      <c r="Z267" s="2780"/>
      <c r="AA267" s="2780"/>
      <c r="AB267" s="2780"/>
    </row>
    <row r="268" spans="1:28" s="352" customFormat="1" ht="18" customHeight="1" x14ac:dyDescent="0.2">
      <c r="A268" s="2686" t="s">
        <v>2</v>
      </c>
      <c r="B268" s="360"/>
      <c r="C268" s="2686" t="s">
        <v>3</v>
      </c>
      <c r="D268" s="360"/>
      <c r="E268" s="360"/>
      <c r="F268" s="2693" t="s">
        <v>4</v>
      </c>
      <c r="G268" s="2693"/>
      <c r="H268" s="2693"/>
      <c r="I268" s="2694"/>
      <c r="J268" s="2694"/>
      <c r="K268" s="2695"/>
      <c r="L268" s="361"/>
      <c r="M268" s="2679" t="s">
        <v>5</v>
      </c>
      <c r="N268" s="2679"/>
      <c r="O268" s="2679"/>
      <c r="P268" s="2679"/>
      <c r="Q268" s="2696"/>
      <c r="R268" s="2696"/>
      <c r="S268" s="2696"/>
      <c r="T268" s="2696"/>
      <c r="U268" s="2696"/>
      <c r="V268" s="2697"/>
      <c r="W268" s="362" t="s">
        <v>6</v>
      </c>
      <c r="X268" s="363" t="s">
        <v>7</v>
      </c>
      <c r="Y268" s="364"/>
      <c r="Z268" s="364"/>
      <c r="AA268" s="363"/>
      <c r="AB268" s="365"/>
    </row>
    <row r="269" spans="1:28" s="352" customFormat="1" ht="18" customHeight="1" x14ac:dyDescent="0.2">
      <c r="A269" s="2687"/>
      <c r="B269" s="367"/>
      <c r="C269" s="2687"/>
      <c r="D269" s="2158" t="s">
        <v>9</v>
      </c>
      <c r="E269" s="368" t="s">
        <v>10</v>
      </c>
      <c r="F269" s="2698" t="s">
        <v>11</v>
      </c>
      <c r="G269" s="2694"/>
      <c r="H269" s="2695"/>
      <c r="I269" s="360"/>
      <c r="J269" s="369" t="s">
        <v>12</v>
      </c>
      <c r="K269" s="360"/>
      <c r="L269" s="2679" t="s">
        <v>2</v>
      </c>
      <c r="M269" s="2162"/>
      <c r="N269" s="2162"/>
      <c r="O269" s="2162"/>
      <c r="P269" s="371"/>
      <c r="Q269" s="372" t="s">
        <v>13</v>
      </c>
      <c r="R269" s="373" t="s">
        <v>12</v>
      </c>
      <c r="S269" s="2162" t="s">
        <v>6</v>
      </c>
      <c r="T269" s="2682" t="s">
        <v>14</v>
      </c>
      <c r="U269" s="2683"/>
      <c r="V269" s="375" t="s">
        <v>7</v>
      </c>
      <c r="W269" s="376" t="s">
        <v>15</v>
      </c>
      <c r="X269" s="377" t="s">
        <v>16</v>
      </c>
      <c r="Y269" s="377" t="s">
        <v>17</v>
      </c>
      <c r="Z269" s="377" t="s">
        <v>18</v>
      </c>
      <c r="AA269" s="377"/>
      <c r="AB269" s="378" t="s">
        <v>19</v>
      </c>
    </row>
    <row r="270" spans="1:28" s="352" customFormat="1" ht="18" customHeight="1" x14ac:dyDescent="0.2">
      <c r="A270" s="2687"/>
      <c r="B270" s="2158" t="s">
        <v>23</v>
      </c>
      <c r="C270" s="2687"/>
      <c r="D270" s="2158" t="s">
        <v>24</v>
      </c>
      <c r="E270" s="368" t="s">
        <v>25</v>
      </c>
      <c r="F270" s="2699"/>
      <c r="G270" s="2700"/>
      <c r="H270" s="2701"/>
      <c r="I270" s="2158" t="s">
        <v>26</v>
      </c>
      <c r="J270" s="379" t="s">
        <v>15</v>
      </c>
      <c r="K270" s="2159" t="s">
        <v>6</v>
      </c>
      <c r="L270" s="2680"/>
      <c r="M270" s="2163" t="s">
        <v>27</v>
      </c>
      <c r="N270" s="2163" t="s">
        <v>10</v>
      </c>
      <c r="O270" s="382" t="s">
        <v>10</v>
      </c>
      <c r="P270" s="383" t="s">
        <v>28</v>
      </c>
      <c r="Q270" s="384" t="s">
        <v>29</v>
      </c>
      <c r="R270" s="383" t="s">
        <v>15</v>
      </c>
      <c r="S270" s="385" t="s">
        <v>15</v>
      </c>
      <c r="T270" s="2684"/>
      <c r="U270" s="2685"/>
      <c r="V270" s="375" t="s">
        <v>30</v>
      </c>
      <c r="W270" s="376" t="s">
        <v>31</v>
      </c>
      <c r="X270" s="377" t="s">
        <v>30</v>
      </c>
      <c r="Y270" s="377" t="s">
        <v>32</v>
      </c>
      <c r="Z270" s="377" t="s">
        <v>7</v>
      </c>
      <c r="AA270" s="377" t="s">
        <v>33</v>
      </c>
      <c r="AB270" s="378" t="s">
        <v>34</v>
      </c>
    </row>
    <row r="271" spans="1:28" s="352" customFormat="1" ht="18" customHeight="1" x14ac:dyDescent="0.2">
      <c r="A271" s="2687"/>
      <c r="B271" s="2158" t="s">
        <v>39</v>
      </c>
      <c r="C271" s="2687"/>
      <c r="D271" s="2158" t="s">
        <v>40</v>
      </c>
      <c r="E271" s="368" t="s">
        <v>41</v>
      </c>
      <c r="F271" s="2686" t="s">
        <v>42</v>
      </c>
      <c r="G271" s="2686" t="s">
        <v>43</v>
      </c>
      <c r="H271" s="2688" t="s">
        <v>44</v>
      </c>
      <c r="I271" s="2158" t="s">
        <v>45</v>
      </c>
      <c r="J271" s="379" t="s">
        <v>46</v>
      </c>
      <c r="K271" s="2159" t="s">
        <v>47</v>
      </c>
      <c r="L271" s="2680"/>
      <c r="M271" s="2163" t="s">
        <v>30</v>
      </c>
      <c r="N271" s="2163" t="s">
        <v>30</v>
      </c>
      <c r="O271" s="382" t="s">
        <v>25</v>
      </c>
      <c r="P271" s="383" t="s">
        <v>30</v>
      </c>
      <c r="Q271" s="384" t="s">
        <v>48</v>
      </c>
      <c r="R271" s="383" t="s">
        <v>49</v>
      </c>
      <c r="S271" s="385" t="s">
        <v>30</v>
      </c>
      <c r="T271" s="386" t="s">
        <v>50</v>
      </c>
      <c r="U271" s="2161" t="s">
        <v>13</v>
      </c>
      <c r="V271" s="375" t="s">
        <v>51</v>
      </c>
      <c r="W271" s="376" t="s">
        <v>52</v>
      </c>
      <c r="X271" s="377" t="s">
        <v>53</v>
      </c>
      <c r="Y271" s="377" t="s">
        <v>54</v>
      </c>
      <c r="Z271" s="377" t="s">
        <v>55</v>
      </c>
      <c r="AA271" s="377" t="s">
        <v>56</v>
      </c>
      <c r="AB271" s="378" t="s">
        <v>57</v>
      </c>
    </row>
    <row r="272" spans="1:28" s="352" customFormat="1" ht="18" customHeight="1" x14ac:dyDescent="0.2">
      <c r="A272" s="2687"/>
      <c r="B272" s="2158" t="s">
        <v>61</v>
      </c>
      <c r="C272" s="2687"/>
      <c r="D272" s="2158" t="s">
        <v>62</v>
      </c>
      <c r="E272" s="368" t="s">
        <v>63</v>
      </c>
      <c r="F272" s="2687"/>
      <c r="G272" s="2687"/>
      <c r="H272" s="2689"/>
      <c r="I272" s="2158" t="s">
        <v>64</v>
      </c>
      <c r="J272" s="379" t="s">
        <v>59</v>
      </c>
      <c r="K272" s="2159" t="s">
        <v>59</v>
      </c>
      <c r="L272" s="2680"/>
      <c r="M272" s="2163"/>
      <c r="N272" s="2163"/>
      <c r="O272" s="382" t="s">
        <v>41</v>
      </c>
      <c r="P272" s="383" t="s">
        <v>65</v>
      </c>
      <c r="Q272" s="384" t="s">
        <v>66</v>
      </c>
      <c r="R272" s="383" t="s">
        <v>67</v>
      </c>
      <c r="S272" s="385" t="s">
        <v>59</v>
      </c>
      <c r="T272" s="387" t="s">
        <v>68</v>
      </c>
      <c r="U272" s="375" t="s">
        <v>14</v>
      </c>
      <c r="V272" s="375" t="s">
        <v>14</v>
      </c>
      <c r="W272" s="376" t="s">
        <v>30</v>
      </c>
      <c r="X272" s="388" t="s">
        <v>69</v>
      </c>
      <c r="Y272" s="388" t="s">
        <v>70</v>
      </c>
      <c r="Z272" s="377" t="s">
        <v>71</v>
      </c>
      <c r="AA272" s="377" t="s">
        <v>72</v>
      </c>
      <c r="AB272" s="378" t="s">
        <v>59</v>
      </c>
    </row>
    <row r="273" spans="1:28" s="352" customFormat="1" ht="18" customHeight="1" x14ac:dyDescent="0.2">
      <c r="A273" s="2692"/>
      <c r="B273" s="390"/>
      <c r="C273" s="2692"/>
      <c r="D273" s="390"/>
      <c r="E273" s="2160"/>
      <c r="F273" s="390"/>
      <c r="G273" s="390"/>
      <c r="H273" s="391"/>
      <c r="I273" s="2160"/>
      <c r="J273" s="392"/>
      <c r="K273" s="393"/>
      <c r="L273" s="2681"/>
      <c r="M273" s="2164"/>
      <c r="N273" s="2164"/>
      <c r="O273" s="2164" t="s">
        <v>63</v>
      </c>
      <c r="P273" s="395"/>
      <c r="Q273" s="396" t="s">
        <v>72</v>
      </c>
      <c r="R273" s="397" t="s">
        <v>59</v>
      </c>
      <c r="S273" s="398"/>
      <c r="T273" s="397" t="s">
        <v>73</v>
      </c>
      <c r="U273" s="398" t="s">
        <v>59</v>
      </c>
      <c r="V273" s="399" t="s">
        <v>59</v>
      </c>
      <c r="W273" s="400" t="s">
        <v>59</v>
      </c>
      <c r="X273" s="401" t="s">
        <v>59</v>
      </c>
      <c r="Y273" s="401" t="s">
        <v>59</v>
      </c>
      <c r="Z273" s="401" t="s">
        <v>59</v>
      </c>
      <c r="AA273" s="402"/>
      <c r="AB273" s="403"/>
    </row>
    <row r="274" spans="1:28" s="352" customFormat="1" ht="18" customHeight="1" x14ac:dyDescent="0.25">
      <c r="A274" s="53">
        <v>1</v>
      </c>
      <c r="B274" s="333">
        <v>34330</v>
      </c>
      <c r="C274" s="41">
        <v>1056</v>
      </c>
      <c r="D274" s="41" t="s">
        <v>84</v>
      </c>
      <c r="E274" s="41">
        <v>5</v>
      </c>
      <c r="F274" s="41">
        <v>0</v>
      </c>
      <c r="G274" s="41">
        <v>1</v>
      </c>
      <c r="H274" s="267">
        <v>9.6199999999999992</v>
      </c>
      <c r="I274" s="1125">
        <f>F274*400+G274*100+H274</f>
        <v>109.62</v>
      </c>
      <c r="J274" s="667">
        <v>1000</v>
      </c>
      <c r="K274" s="311">
        <f>SUM(I274*J274)</f>
        <v>109620</v>
      </c>
      <c r="L274" s="16">
        <v>1</v>
      </c>
      <c r="M274" s="53">
        <v>103</v>
      </c>
      <c r="N274" s="16" t="s">
        <v>96</v>
      </c>
      <c r="O274" s="41">
        <v>2</v>
      </c>
      <c r="P274" s="337">
        <f>14.4*19.1</f>
        <v>275.04000000000002</v>
      </c>
      <c r="Q274" s="62" t="s">
        <v>75</v>
      </c>
      <c r="R274" s="296">
        <v>6750</v>
      </c>
      <c r="S274" s="296">
        <f>+P274*R274</f>
        <v>1856520.0000000002</v>
      </c>
      <c r="T274" s="298">
        <v>42</v>
      </c>
      <c r="U274" s="299">
        <f>+S274*0.85</f>
        <v>1578042.0000000002</v>
      </c>
      <c r="V274" s="299">
        <f>SUM(S274-U274)</f>
        <v>278478</v>
      </c>
      <c r="W274" s="296">
        <f>K274+V274</f>
        <v>388098</v>
      </c>
      <c r="X274" s="299">
        <f>W274</f>
        <v>388098</v>
      </c>
      <c r="Y274" s="792" t="s">
        <v>89</v>
      </c>
      <c r="Z274" s="296">
        <v>0</v>
      </c>
      <c r="AA274" s="494">
        <v>0.02</v>
      </c>
      <c r="AB274" s="406">
        <f>+Z274*AA274/100</f>
        <v>0</v>
      </c>
    </row>
    <row r="275" spans="1:28" s="352" customFormat="1" ht="18" customHeight="1" x14ac:dyDescent="0.2">
      <c r="A275" s="242"/>
      <c r="B275" s="15"/>
      <c r="C275" s="15"/>
      <c r="D275" s="15"/>
      <c r="E275" s="15"/>
      <c r="F275" s="15"/>
      <c r="G275" s="15"/>
      <c r="H275" s="284">
        <v>84.38</v>
      </c>
      <c r="I275" s="1126">
        <f>F275*400+G275*100+H275</f>
        <v>84.38</v>
      </c>
      <c r="J275" s="671">
        <v>1000</v>
      </c>
      <c r="K275" s="312">
        <f>SUM(I275*J275)</f>
        <v>84380</v>
      </c>
      <c r="L275" s="50">
        <v>2</v>
      </c>
      <c r="M275" s="61">
        <v>504</v>
      </c>
      <c r="N275" s="50" t="s">
        <v>74</v>
      </c>
      <c r="O275" s="50">
        <v>3</v>
      </c>
      <c r="P275" s="337">
        <f>15*22.5</f>
        <v>337.5</v>
      </c>
      <c r="Q275" s="62" t="s">
        <v>75</v>
      </c>
      <c r="R275" s="296">
        <v>3100</v>
      </c>
      <c r="S275" s="296">
        <f>+P275*R275</f>
        <v>1046250</v>
      </c>
      <c r="T275" s="298">
        <v>34</v>
      </c>
      <c r="U275" s="299">
        <f>+S275*0.58</f>
        <v>606825</v>
      </c>
      <c r="V275" s="299">
        <f>SUM(S275-U275)</f>
        <v>439425</v>
      </c>
      <c r="W275" s="296">
        <f>K275+V275</f>
        <v>523805</v>
      </c>
      <c r="X275" s="299">
        <f>W275</f>
        <v>523805</v>
      </c>
      <c r="Y275" s="792"/>
      <c r="Z275" s="296">
        <f>+X275</f>
        <v>523805</v>
      </c>
      <c r="AA275" s="494">
        <v>0.3</v>
      </c>
      <c r="AB275" s="415">
        <f>+Z275*AA275/100</f>
        <v>1571.415</v>
      </c>
    </row>
    <row r="276" spans="1:28" s="352" customFormat="1" ht="18" customHeight="1" x14ac:dyDescent="0.2">
      <c r="A276" s="242"/>
      <c r="B276" s="242"/>
      <c r="C276" s="496"/>
      <c r="D276" s="2166"/>
      <c r="E276" s="85"/>
      <c r="F276" s="411"/>
      <c r="G276" s="242"/>
      <c r="H276" s="497"/>
      <c r="I276" s="77"/>
      <c r="J276" s="275"/>
      <c r="K276" s="78"/>
      <c r="L276" s="61"/>
      <c r="M276" s="2166"/>
      <c r="N276" s="2166"/>
      <c r="O276" s="61"/>
      <c r="P276" s="2166"/>
      <c r="Q276" s="174"/>
      <c r="R276" s="408"/>
      <c r="S276" s="77"/>
      <c r="T276" s="135"/>
      <c r="U276" s="74"/>
      <c r="V276" s="74"/>
      <c r="W276" s="77"/>
      <c r="X276" s="74"/>
      <c r="Y276" s="676"/>
      <c r="Z276" s="77"/>
      <c r="AA276" s="2170"/>
      <c r="AB276" s="415"/>
    </row>
    <row r="277" spans="1:28" s="352" customFormat="1" ht="18" customHeight="1" x14ac:dyDescent="0.2">
      <c r="A277" s="242"/>
      <c r="B277" s="242"/>
      <c r="C277" s="496"/>
      <c r="D277" s="85"/>
      <c r="E277" s="85"/>
      <c r="F277" s="411"/>
      <c r="G277" s="242"/>
      <c r="H277" s="497"/>
      <c r="I277" s="77"/>
      <c r="J277" s="761"/>
      <c r="K277" s="762"/>
      <c r="L277" s="242"/>
      <c r="M277" s="242"/>
      <c r="N277" s="242"/>
      <c r="O277" s="61"/>
      <c r="P277" s="497"/>
      <c r="Q277" s="174"/>
      <c r="R277" s="408"/>
      <c r="S277" s="77"/>
      <c r="T277" s="135"/>
      <c r="U277" s="74"/>
      <c r="V277" s="74"/>
      <c r="W277" s="77"/>
      <c r="X277" s="74"/>
      <c r="Y277" s="676"/>
      <c r="Z277" s="77"/>
      <c r="AA277" s="2170"/>
      <c r="AB277" s="415"/>
    </row>
    <row r="278" spans="1:28" s="352" customFormat="1" ht="18" customHeight="1" x14ac:dyDescent="0.2">
      <c r="A278" s="242"/>
      <c r="B278" s="242"/>
      <c r="C278" s="496"/>
      <c r="D278" s="85"/>
      <c r="E278" s="85"/>
      <c r="F278" s="411"/>
      <c r="G278" s="242"/>
      <c r="H278" s="497"/>
      <c r="I278" s="77"/>
      <c r="J278" s="761"/>
      <c r="K278" s="762"/>
      <c r="L278" s="242"/>
      <c r="M278" s="242"/>
      <c r="N278" s="242"/>
      <c r="O278" s="61"/>
      <c r="P278" s="497"/>
      <c r="Q278" s="174"/>
      <c r="R278" s="408"/>
      <c r="S278" s="77"/>
      <c r="T278" s="135"/>
      <c r="U278" s="74"/>
      <c r="V278" s="74"/>
      <c r="W278" s="77"/>
      <c r="X278" s="74"/>
      <c r="Y278" s="676"/>
      <c r="Z278" s="77"/>
      <c r="AA278" s="2170"/>
      <c r="AB278" s="410"/>
    </row>
    <row r="279" spans="1:28" s="352" customFormat="1" ht="18" customHeight="1" x14ac:dyDescent="0.2">
      <c r="A279" s="2166"/>
      <c r="B279" s="177"/>
      <c r="C279" s="177"/>
      <c r="D279" s="2166"/>
      <c r="E279" s="2166"/>
      <c r="F279" s="2166"/>
      <c r="G279" s="2166"/>
      <c r="H279" s="2171"/>
      <c r="I279" s="2168"/>
      <c r="J279" s="178"/>
      <c r="K279" s="2168"/>
      <c r="L279" s="2166"/>
      <c r="M279" s="2166"/>
      <c r="N279" s="2166"/>
      <c r="O279" s="2166"/>
      <c r="P279" s="2171"/>
      <c r="Q279" s="2167"/>
      <c r="R279" s="437"/>
      <c r="S279" s="2168"/>
      <c r="T279" s="179"/>
      <c r="U279" s="178"/>
      <c r="V279" s="2168"/>
      <c r="W279" s="2168"/>
      <c r="X279" s="470"/>
      <c r="Y279" s="470"/>
      <c r="Z279" s="471"/>
      <c r="AA279" s="471"/>
      <c r="AB279" s="466"/>
    </row>
    <row r="280" spans="1:28" s="352" customFormat="1" ht="18" customHeight="1" x14ac:dyDescent="0.2">
      <c r="A280" s="2166"/>
      <c r="B280" s="177"/>
      <c r="C280" s="177"/>
      <c r="D280" s="2166"/>
      <c r="E280" s="2166"/>
      <c r="F280" s="2166"/>
      <c r="G280" s="2166"/>
      <c r="H280" s="2171"/>
      <c r="I280" s="2168"/>
      <c r="J280" s="178"/>
      <c r="K280" s="2168"/>
      <c r="L280" s="2166"/>
      <c r="M280" s="2166"/>
      <c r="N280" s="2166"/>
      <c r="O280" s="2166"/>
      <c r="P280" s="2171"/>
      <c r="Q280" s="2167"/>
      <c r="R280" s="437"/>
      <c r="S280" s="2168"/>
      <c r="T280" s="179"/>
      <c r="U280" s="178"/>
      <c r="V280" s="2168"/>
      <c r="W280" s="2168"/>
      <c r="X280" s="470"/>
      <c r="Y280" s="470"/>
      <c r="Z280" s="471"/>
      <c r="AA280" s="471"/>
      <c r="AB280" s="466"/>
    </row>
    <row r="281" spans="1:28" s="352" customFormat="1" ht="18" customHeight="1" x14ac:dyDescent="0.2">
      <c r="A281" s="2166"/>
      <c r="B281" s="177"/>
      <c r="C281" s="177"/>
      <c r="D281" s="2166"/>
      <c r="E281" s="2166"/>
      <c r="F281" s="2166"/>
      <c r="G281" s="2166"/>
      <c r="H281" s="2171"/>
      <c r="I281" s="2168"/>
      <c r="J281" s="178"/>
      <c r="K281" s="2168"/>
      <c r="L281" s="2166"/>
      <c r="M281" s="2166"/>
      <c r="N281" s="2166"/>
      <c r="O281" s="2166"/>
      <c r="P281" s="2171"/>
      <c r="Q281" s="2167"/>
      <c r="R281" s="437"/>
      <c r="S281" s="2168"/>
      <c r="T281" s="179"/>
      <c r="U281" s="178"/>
      <c r="V281" s="2168"/>
      <c r="W281" s="2168"/>
      <c r="X281" s="470"/>
      <c r="Y281" s="470"/>
      <c r="Z281" s="471"/>
      <c r="AA281" s="471"/>
      <c r="AB281" s="466"/>
    </row>
    <row r="282" spans="1:28" s="352" customFormat="1" ht="18" customHeight="1" x14ac:dyDescent="0.2">
      <c r="A282" s="2166"/>
      <c r="B282" s="177"/>
      <c r="C282" s="177"/>
      <c r="D282" s="2166"/>
      <c r="E282" s="2166"/>
      <c r="F282" s="2166"/>
      <c r="G282" s="2166"/>
      <c r="H282" s="2171"/>
      <c r="I282" s="2168"/>
      <c r="J282" s="178"/>
      <c r="K282" s="2168"/>
      <c r="L282" s="2166"/>
      <c r="M282" s="2166"/>
      <c r="N282" s="2166"/>
      <c r="O282" s="2166"/>
      <c r="P282" s="2171"/>
      <c r="Q282" s="2167"/>
      <c r="R282" s="437"/>
      <c r="S282" s="2168"/>
      <c r="T282" s="179"/>
      <c r="U282" s="178"/>
      <c r="V282" s="2168"/>
      <c r="W282" s="2168"/>
      <c r="X282" s="470"/>
      <c r="Y282" s="470"/>
      <c r="Z282" s="471"/>
      <c r="AA282" s="471"/>
      <c r="AB282" s="466"/>
    </row>
    <row r="283" spans="1:28" s="352" customFormat="1" ht="18" customHeight="1" x14ac:dyDescent="0.2">
      <c r="A283" s="2166"/>
      <c r="B283" s="177"/>
      <c r="C283" s="177"/>
      <c r="D283" s="2166"/>
      <c r="E283" s="2166"/>
      <c r="F283" s="2166"/>
      <c r="G283" s="2166"/>
      <c r="H283" s="2171"/>
      <c r="I283" s="2168"/>
      <c r="J283" s="178"/>
      <c r="K283" s="2168"/>
      <c r="L283" s="2166"/>
      <c r="M283" s="2166"/>
      <c r="N283" s="2166"/>
      <c r="O283" s="2166"/>
      <c r="P283" s="2171"/>
      <c r="Q283" s="2167"/>
      <c r="R283" s="437"/>
      <c r="S283" s="2168"/>
      <c r="T283" s="179"/>
      <c r="U283" s="178"/>
      <c r="V283" s="2168"/>
      <c r="W283" s="2168"/>
      <c r="X283" s="470"/>
      <c r="Y283" s="470"/>
      <c r="Z283" s="471"/>
      <c r="AA283" s="471"/>
      <c r="AB283" s="466"/>
    </row>
    <row r="284" spans="1:28" s="352" customFormat="1" ht="18" customHeight="1" x14ac:dyDescent="0.2">
      <c r="A284" s="2166"/>
      <c r="B284" s="177"/>
      <c r="C284" s="177"/>
      <c r="D284" s="2166"/>
      <c r="E284" s="2166"/>
      <c r="F284" s="2166"/>
      <c r="G284" s="2166"/>
      <c r="H284" s="2171"/>
      <c r="I284" s="2168"/>
      <c r="J284" s="178"/>
      <c r="K284" s="2168"/>
      <c r="L284" s="2166"/>
      <c r="M284" s="2166"/>
      <c r="N284" s="2166"/>
      <c r="O284" s="2166"/>
      <c r="P284" s="2171"/>
      <c r="Q284" s="2167"/>
      <c r="R284" s="437"/>
      <c r="S284" s="2168"/>
      <c r="T284" s="179"/>
      <c r="U284" s="178"/>
      <c r="V284" s="2168"/>
      <c r="W284" s="2168"/>
      <c r="X284" s="470"/>
      <c r="Y284" s="470"/>
      <c r="Z284" s="471"/>
      <c r="AA284" s="471"/>
      <c r="AB284" s="466"/>
    </row>
    <row r="285" spans="1:28" s="352" customFormat="1" ht="18" customHeight="1" x14ac:dyDescent="0.2">
      <c r="A285" s="2166"/>
      <c r="B285" s="177"/>
      <c r="C285" s="177"/>
      <c r="D285" s="2166"/>
      <c r="E285" s="2166"/>
      <c r="F285" s="2166"/>
      <c r="G285" s="2166"/>
      <c r="H285" s="2171"/>
      <c r="I285" s="2168"/>
      <c r="J285" s="178"/>
      <c r="K285" s="2168"/>
      <c r="L285" s="2166"/>
      <c r="M285" s="2166"/>
      <c r="N285" s="2166"/>
      <c r="O285" s="2166"/>
      <c r="P285" s="2171"/>
      <c r="Q285" s="2167"/>
      <c r="R285" s="437"/>
      <c r="S285" s="2168"/>
      <c r="T285" s="179"/>
      <c r="U285" s="178"/>
      <c r="V285" s="2168"/>
      <c r="W285" s="2168"/>
      <c r="X285" s="470"/>
      <c r="Y285" s="470"/>
      <c r="Z285" s="471"/>
      <c r="AA285" s="471"/>
      <c r="AB285" s="466"/>
    </row>
    <row r="286" spans="1:28" s="352" customFormat="1" ht="18" customHeight="1" x14ac:dyDescent="0.2">
      <c r="A286" s="2166"/>
      <c r="B286" s="177"/>
      <c r="C286" s="177"/>
      <c r="D286" s="2166"/>
      <c r="E286" s="2166"/>
      <c r="F286" s="2166"/>
      <c r="G286" s="2166"/>
      <c r="H286" s="2171"/>
      <c r="I286" s="2168"/>
      <c r="J286" s="178"/>
      <c r="K286" s="2168"/>
      <c r="L286" s="2166"/>
      <c r="M286" s="2166"/>
      <c r="N286" s="2166"/>
      <c r="O286" s="2166"/>
      <c r="P286" s="2171"/>
      <c r="Q286" s="2167"/>
      <c r="R286" s="437"/>
      <c r="S286" s="2168"/>
      <c r="T286" s="179"/>
      <c r="U286" s="178"/>
      <c r="V286" s="2168"/>
      <c r="W286" s="2168"/>
      <c r="X286" s="470"/>
      <c r="Y286" s="470"/>
      <c r="Z286" s="471"/>
      <c r="AA286" s="471"/>
      <c r="AB286" s="466"/>
    </row>
    <row r="287" spans="1:28" s="352" customFormat="1" ht="18" customHeight="1" x14ac:dyDescent="0.2">
      <c r="A287" s="88"/>
      <c r="B287" s="180"/>
      <c r="C287" s="180"/>
      <c r="D287" s="88"/>
      <c r="E287" s="88"/>
      <c r="F287" s="88"/>
      <c r="G287" s="88"/>
      <c r="H287" s="120"/>
      <c r="I287" s="121"/>
      <c r="J287" s="181"/>
      <c r="K287" s="121"/>
      <c r="L287" s="88"/>
      <c r="M287" s="88"/>
      <c r="N287" s="88"/>
      <c r="O287" s="88"/>
      <c r="P287" s="88"/>
      <c r="Q287" s="129"/>
      <c r="R287" s="445"/>
      <c r="S287" s="121"/>
      <c r="T287" s="182"/>
      <c r="U287" s="181"/>
      <c r="V287" s="121"/>
      <c r="W287" s="121"/>
      <c r="X287" s="472"/>
      <c r="Y287" s="472"/>
      <c r="Z287" s="473"/>
      <c r="AA287" s="473"/>
      <c r="AB287" s="410"/>
    </row>
    <row r="288" spans="1:28" s="352" customFormat="1" ht="18" customHeight="1" x14ac:dyDescent="0.2">
      <c r="A288" s="1850"/>
      <c r="B288" s="1850"/>
      <c r="C288" s="1850"/>
      <c r="D288" s="1850"/>
      <c r="E288" s="1850"/>
      <c r="F288" s="1850"/>
      <c r="G288" s="1850"/>
      <c r="H288" s="1851"/>
      <c r="I288" s="1852"/>
      <c r="J288" s="1853"/>
      <c r="K288" s="1852"/>
      <c r="L288" s="1852"/>
      <c r="M288" s="1852"/>
      <c r="N288" s="1852"/>
      <c r="O288" s="1852"/>
      <c r="P288" s="1852"/>
      <c r="Q288" s="1852"/>
      <c r="R288" s="1854"/>
      <c r="S288" s="1852"/>
      <c r="T288" s="1855"/>
      <c r="U288" s="1853"/>
      <c r="V288" s="1852"/>
      <c r="W288" s="1852"/>
      <c r="X288" s="1856"/>
      <c r="Y288" s="1856"/>
      <c r="Z288" s="1857"/>
      <c r="AA288" s="1857"/>
      <c r="AB288" s="1847">
        <f>SUM(AB274:AB287)</f>
        <v>1571.415</v>
      </c>
    </row>
    <row r="289" spans="1:28" s="352" customFormat="1" ht="18" customHeight="1" x14ac:dyDescent="0.2">
      <c r="A289" s="2778" t="s">
        <v>76</v>
      </c>
      <c r="B289" s="2778"/>
      <c r="C289" s="2779" t="s">
        <v>77</v>
      </c>
      <c r="D289" s="2779"/>
      <c r="E289" s="2779"/>
      <c r="F289" s="2779"/>
      <c r="G289" s="2779"/>
      <c r="H289" s="2779"/>
      <c r="I289" s="424" t="s">
        <v>78</v>
      </c>
      <c r="J289" s="424"/>
      <c r="K289" s="424"/>
      <c r="L289" s="424"/>
      <c r="M289" s="424"/>
      <c r="N289" s="424"/>
      <c r="AB289" s="425"/>
    </row>
    <row r="290" spans="1:28" s="352" customFormat="1" ht="18" customHeight="1" x14ac:dyDescent="0.2">
      <c r="A290" s="424"/>
      <c r="B290" s="426"/>
      <c r="C290" s="424"/>
      <c r="D290" s="424"/>
      <c r="E290" s="424"/>
      <c r="F290" s="424"/>
      <c r="G290" s="424"/>
      <c r="H290" s="424"/>
      <c r="I290" s="424" t="s">
        <v>79</v>
      </c>
      <c r="J290" s="424"/>
      <c r="K290" s="424"/>
      <c r="L290" s="424"/>
      <c r="M290" s="424"/>
      <c r="N290" s="424"/>
      <c r="AB290" s="425"/>
    </row>
    <row r="291" spans="1:28" s="352" customFormat="1" ht="18" customHeight="1" x14ac:dyDescent="0.2">
      <c r="A291" s="424"/>
      <c r="B291" s="426"/>
      <c r="C291" s="424"/>
      <c r="D291" s="424"/>
      <c r="E291" s="424"/>
      <c r="F291" s="424"/>
      <c r="G291" s="424"/>
      <c r="H291" s="424"/>
      <c r="I291" s="424" t="s">
        <v>80</v>
      </c>
      <c r="J291" s="424"/>
      <c r="K291" s="424"/>
      <c r="L291" s="424"/>
      <c r="M291" s="424"/>
      <c r="N291" s="424"/>
      <c r="AB291" s="425"/>
    </row>
    <row r="292" spans="1:28" s="352" customFormat="1" ht="18" customHeight="1" x14ac:dyDescent="0.2">
      <c r="A292" s="424"/>
      <c r="B292" s="426"/>
      <c r="C292" s="424"/>
      <c r="D292" s="424"/>
      <c r="E292" s="424"/>
      <c r="F292" s="424"/>
      <c r="G292" s="424"/>
      <c r="H292" s="424"/>
      <c r="I292" s="424" t="s">
        <v>81</v>
      </c>
      <c r="J292" s="424"/>
      <c r="K292" s="424"/>
      <c r="L292" s="424"/>
      <c r="M292" s="424"/>
      <c r="N292" s="424"/>
      <c r="AB292" s="425"/>
    </row>
    <row r="293" spans="1:28" s="352" customFormat="1" ht="18" customHeight="1" x14ac:dyDescent="0.2">
      <c r="A293" s="424"/>
      <c r="B293" s="426"/>
      <c r="C293" s="424"/>
      <c r="D293" s="424"/>
      <c r="E293" s="424"/>
      <c r="F293" s="424"/>
      <c r="G293" s="424"/>
      <c r="H293" s="424"/>
      <c r="I293" s="424" t="s">
        <v>88</v>
      </c>
      <c r="J293" s="424"/>
      <c r="K293" s="424"/>
      <c r="L293" s="424"/>
      <c r="M293" s="424"/>
      <c r="N293" s="424"/>
      <c r="AB293" s="425"/>
    </row>
    <row r="294" spans="1:28" s="352" customFormat="1" ht="18" customHeight="1" x14ac:dyDescent="0.2">
      <c r="A294" s="338"/>
      <c r="B294" s="338"/>
      <c r="C294" s="338"/>
      <c r="D294" s="338"/>
      <c r="E294" s="338"/>
      <c r="F294" s="338"/>
      <c r="G294" s="338"/>
      <c r="H294" s="338"/>
      <c r="I294" s="338"/>
      <c r="J294" s="338"/>
      <c r="K294" s="338"/>
      <c r="L294" s="338"/>
      <c r="M294" s="338"/>
      <c r="N294" s="338"/>
      <c r="O294" s="338"/>
      <c r="P294" s="338"/>
      <c r="Q294" s="338"/>
      <c r="R294" s="338"/>
      <c r="S294" s="338"/>
      <c r="T294" s="338"/>
      <c r="U294" s="338"/>
      <c r="V294" s="338"/>
      <c r="W294" s="338"/>
      <c r="X294" s="338"/>
      <c r="Y294" s="338"/>
      <c r="Z294" s="338"/>
      <c r="AA294" s="2774" t="s">
        <v>0</v>
      </c>
      <c r="AB294" s="2774"/>
    </row>
    <row r="295" spans="1:28" s="352" customFormat="1" ht="18" customHeight="1" x14ac:dyDescent="0.2">
      <c r="A295" s="2703" t="s">
        <v>1</v>
      </c>
      <c r="B295" s="2703"/>
      <c r="C295" s="2703"/>
      <c r="D295" s="2703"/>
      <c r="E295" s="2703"/>
      <c r="F295" s="2703"/>
      <c r="G295" s="2703"/>
      <c r="H295" s="2703"/>
      <c r="I295" s="2703"/>
      <c r="J295" s="2703"/>
      <c r="K295" s="2703"/>
      <c r="L295" s="2703"/>
      <c r="M295" s="2703"/>
      <c r="N295" s="2703"/>
      <c r="O295" s="2703"/>
      <c r="P295" s="2703"/>
      <c r="Q295" s="2703"/>
      <c r="R295" s="2703"/>
      <c r="S295" s="2703"/>
      <c r="T295" s="2703"/>
      <c r="U295" s="2703"/>
      <c r="V295" s="2703"/>
      <c r="W295" s="2703"/>
      <c r="X295" s="2703"/>
      <c r="Y295" s="2703"/>
      <c r="Z295" s="2703"/>
      <c r="AA295" s="2703"/>
      <c r="AB295" s="2703"/>
    </row>
    <row r="296" spans="1:28" s="352" customFormat="1" ht="18" customHeight="1" x14ac:dyDescent="0.2">
      <c r="A296" s="2780" t="s">
        <v>611</v>
      </c>
      <c r="B296" s="2780"/>
      <c r="C296" s="2780"/>
      <c r="D296" s="2780"/>
      <c r="E296" s="2780"/>
      <c r="F296" s="2780"/>
      <c r="G296" s="2780"/>
      <c r="H296" s="2780"/>
      <c r="I296" s="2780"/>
      <c r="J296" s="2780"/>
      <c r="K296" s="2780"/>
      <c r="L296" s="2780"/>
      <c r="M296" s="2780"/>
      <c r="N296" s="2780"/>
      <c r="O296" s="2780"/>
      <c r="P296" s="2780"/>
      <c r="Q296" s="2780"/>
      <c r="R296" s="2780"/>
      <c r="S296" s="2780"/>
      <c r="T296" s="2780"/>
      <c r="U296" s="2780"/>
      <c r="V296" s="2780"/>
      <c r="W296" s="2780"/>
      <c r="X296" s="2780"/>
      <c r="Y296" s="2780"/>
      <c r="Z296" s="2780"/>
      <c r="AA296" s="2780"/>
      <c r="AB296" s="2780"/>
    </row>
    <row r="297" spans="1:28" s="352" customFormat="1" ht="18" customHeight="1" x14ac:dyDescent="0.2">
      <c r="A297" s="2686" t="s">
        <v>2</v>
      </c>
      <c r="B297" s="360"/>
      <c r="C297" s="2686" t="s">
        <v>3</v>
      </c>
      <c r="D297" s="360"/>
      <c r="E297" s="360"/>
      <c r="F297" s="2693" t="s">
        <v>4</v>
      </c>
      <c r="G297" s="2693"/>
      <c r="H297" s="2693"/>
      <c r="I297" s="2694"/>
      <c r="J297" s="2694"/>
      <c r="K297" s="2695"/>
      <c r="L297" s="361"/>
      <c r="M297" s="2679" t="s">
        <v>5</v>
      </c>
      <c r="N297" s="2679"/>
      <c r="O297" s="2679"/>
      <c r="P297" s="2679"/>
      <c r="Q297" s="2696"/>
      <c r="R297" s="2696"/>
      <c r="S297" s="2696"/>
      <c r="T297" s="2696"/>
      <c r="U297" s="2696"/>
      <c r="V297" s="2697"/>
      <c r="W297" s="362" t="s">
        <v>6</v>
      </c>
      <c r="X297" s="363" t="s">
        <v>7</v>
      </c>
      <c r="Y297" s="364"/>
      <c r="Z297" s="364"/>
      <c r="AA297" s="363"/>
      <c r="AB297" s="365"/>
    </row>
    <row r="298" spans="1:28" s="352" customFormat="1" ht="18" customHeight="1" x14ac:dyDescent="0.2">
      <c r="A298" s="2687"/>
      <c r="B298" s="367"/>
      <c r="C298" s="2687"/>
      <c r="D298" s="2158" t="s">
        <v>9</v>
      </c>
      <c r="E298" s="368" t="s">
        <v>10</v>
      </c>
      <c r="F298" s="2698" t="s">
        <v>11</v>
      </c>
      <c r="G298" s="2694"/>
      <c r="H298" s="2695"/>
      <c r="I298" s="360"/>
      <c r="J298" s="369" t="s">
        <v>12</v>
      </c>
      <c r="K298" s="360"/>
      <c r="L298" s="2679" t="s">
        <v>2</v>
      </c>
      <c r="M298" s="2162"/>
      <c r="N298" s="2162"/>
      <c r="O298" s="2162"/>
      <c r="P298" s="371"/>
      <c r="Q298" s="372" t="s">
        <v>13</v>
      </c>
      <c r="R298" s="373" t="s">
        <v>12</v>
      </c>
      <c r="S298" s="2162" t="s">
        <v>6</v>
      </c>
      <c r="T298" s="2682" t="s">
        <v>14</v>
      </c>
      <c r="U298" s="2683"/>
      <c r="V298" s="375" t="s">
        <v>7</v>
      </c>
      <c r="W298" s="376" t="s">
        <v>15</v>
      </c>
      <c r="X298" s="377" t="s">
        <v>16</v>
      </c>
      <c r="Y298" s="377" t="s">
        <v>17</v>
      </c>
      <c r="Z298" s="377" t="s">
        <v>18</v>
      </c>
      <c r="AA298" s="377"/>
      <c r="AB298" s="378" t="s">
        <v>19</v>
      </c>
    </row>
    <row r="299" spans="1:28" s="352" customFormat="1" ht="18" customHeight="1" x14ac:dyDescent="0.2">
      <c r="A299" s="2687"/>
      <c r="B299" s="2158" t="s">
        <v>23</v>
      </c>
      <c r="C299" s="2687"/>
      <c r="D299" s="2158" t="s">
        <v>24</v>
      </c>
      <c r="E299" s="368" t="s">
        <v>25</v>
      </c>
      <c r="F299" s="2699"/>
      <c r="G299" s="2700"/>
      <c r="H299" s="2701"/>
      <c r="I299" s="2158" t="s">
        <v>26</v>
      </c>
      <c r="J299" s="379" t="s">
        <v>15</v>
      </c>
      <c r="K299" s="2159" t="s">
        <v>6</v>
      </c>
      <c r="L299" s="2680"/>
      <c r="M299" s="2163" t="s">
        <v>27</v>
      </c>
      <c r="N299" s="2163" t="s">
        <v>10</v>
      </c>
      <c r="O299" s="382" t="s">
        <v>10</v>
      </c>
      <c r="P299" s="383" t="s">
        <v>28</v>
      </c>
      <c r="Q299" s="384" t="s">
        <v>29</v>
      </c>
      <c r="R299" s="383" t="s">
        <v>15</v>
      </c>
      <c r="S299" s="385" t="s">
        <v>15</v>
      </c>
      <c r="T299" s="2684"/>
      <c r="U299" s="2685"/>
      <c r="V299" s="375" t="s">
        <v>30</v>
      </c>
      <c r="W299" s="376" t="s">
        <v>31</v>
      </c>
      <c r="X299" s="377" t="s">
        <v>30</v>
      </c>
      <c r="Y299" s="377" t="s">
        <v>32</v>
      </c>
      <c r="Z299" s="377" t="s">
        <v>7</v>
      </c>
      <c r="AA299" s="377" t="s">
        <v>33</v>
      </c>
      <c r="AB299" s="378" t="s">
        <v>34</v>
      </c>
    </row>
    <row r="300" spans="1:28" s="352" customFormat="1" ht="18" customHeight="1" x14ac:dyDescent="0.2">
      <c r="A300" s="2687"/>
      <c r="B300" s="2158" t="s">
        <v>39</v>
      </c>
      <c r="C300" s="2687"/>
      <c r="D300" s="2158" t="s">
        <v>40</v>
      </c>
      <c r="E300" s="368" t="s">
        <v>41</v>
      </c>
      <c r="F300" s="2686" t="s">
        <v>42</v>
      </c>
      <c r="G300" s="2686" t="s">
        <v>43</v>
      </c>
      <c r="H300" s="2688" t="s">
        <v>44</v>
      </c>
      <c r="I300" s="2158" t="s">
        <v>45</v>
      </c>
      <c r="J300" s="379" t="s">
        <v>46</v>
      </c>
      <c r="K300" s="2159" t="s">
        <v>47</v>
      </c>
      <c r="L300" s="2680"/>
      <c r="M300" s="2163" t="s">
        <v>30</v>
      </c>
      <c r="N300" s="2163" t="s">
        <v>30</v>
      </c>
      <c r="O300" s="382" t="s">
        <v>25</v>
      </c>
      <c r="P300" s="383" t="s">
        <v>30</v>
      </c>
      <c r="Q300" s="384" t="s">
        <v>48</v>
      </c>
      <c r="R300" s="383" t="s">
        <v>49</v>
      </c>
      <c r="S300" s="385" t="s">
        <v>30</v>
      </c>
      <c r="T300" s="386" t="s">
        <v>50</v>
      </c>
      <c r="U300" s="2161" t="s">
        <v>13</v>
      </c>
      <c r="V300" s="375" t="s">
        <v>51</v>
      </c>
      <c r="W300" s="376" t="s">
        <v>52</v>
      </c>
      <c r="X300" s="377" t="s">
        <v>53</v>
      </c>
      <c r="Y300" s="377" t="s">
        <v>54</v>
      </c>
      <c r="Z300" s="377" t="s">
        <v>55</v>
      </c>
      <c r="AA300" s="377" t="s">
        <v>56</v>
      </c>
      <c r="AB300" s="378" t="s">
        <v>57</v>
      </c>
    </row>
    <row r="301" spans="1:28" s="352" customFormat="1" ht="18" customHeight="1" x14ac:dyDescent="0.2">
      <c r="A301" s="2687"/>
      <c r="B301" s="2158" t="s">
        <v>61</v>
      </c>
      <c r="C301" s="2687"/>
      <c r="D301" s="2158" t="s">
        <v>62</v>
      </c>
      <c r="E301" s="368" t="s">
        <v>63</v>
      </c>
      <c r="F301" s="2687"/>
      <c r="G301" s="2687"/>
      <c r="H301" s="2689"/>
      <c r="I301" s="2158" t="s">
        <v>64</v>
      </c>
      <c r="J301" s="379" t="s">
        <v>59</v>
      </c>
      <c r="K301" s="2159" t="s">
        <v>59</v>
      </c>
      <c r="L301" s="2680"/>
      <c r="M301" s="2163"/>
      <c r="N301" s="2163"/>
      <c r="O301" s="382" t="s">
        <v>41</v>
      </c>
      <c r="P301" s="383" t="s">
        <v>65</v>
      </c>
      <c r="Q301" s="384" t="s">
        <v>66</v>
      </c>
      <c r="R301" s="383" t="s">
        <v>67</v>
      </c>
      <c r="S301" s="385" t="s">
        <v>59</v>
      </c>
      <c r="T301" s="387" t="s">
        <v>68</v>
      </c>
      <c r="U301" s="375" t="s">
        <v>14</v>
      </c>
      <c r="V301" s="375" t="s">
        <v>14</v>
      </c>
      <c r="W301" s="376" t="s">
        <v>30</v>
      </c>
      <c r="X301" s="388" t="s">
        <v>69</v>
      </c>
      <c r="Y301" s="388" t="s">
        <v>70</v>
      </c>
      <c r="Z301" s="377" t="s">
        <v>71</v>
      </c>
      <c r="AA301" s="377" t="s">
        <v>72</v>
      </c>
      <c r="AB301" s="378" t="s">
        <v>59</v>
      </c>
    </row>
    <row r="302" spans="1:28" s="352" customFormat="1" ht="18" customHeight="1" x14ac:dyDescent="0.2">
      <c r="A302" s="2692"/>
      <c r="B302" s="390"/>
      <c r="C302" s="2692"/>
      <c r="D302" s="390"/>
      <c r="E302" s="2160"/>
      <c r="F302" s="390"/>
      <c r="G302" s="390"/>
      <c r="H302" s="391"/>
      <c r="I302" s="2160"/>
      <c r="J302" s="392"/>
      <c r="K302" s="393"/>
      <c r="L302" s="2681"/>
      <c r="M302" s="2164"/>
      <c r="N302" s="2164"/>
      <c r="O302" s="2164" t="s">
        <v>63</v>
      </c>
      <c r="P302" s="395"/>
      <c r="Q302" s="396" t="s">
        <v>72</v>
      </c>
      <c r="R302" s="397" t="s">
        <v>59</v>
      </c>
      <c r="S302" s="398"/>
      <c r="T302" s="397" t="s">
        <v>73</v>
      </c>
      <c r="U302" s="398" t="s">
        <v>59</v>
      </c>
      <c r="V302" s="399" t="s">
        <v>59</v>
      </c>
      <c r="W302" s="400" t="s">
        <v>59</v>
      </c>
      <c r="X302" s="401" t="s">
        <v>59</v>
      </c>
      <c r="Y302" s="401" t="s">
        <v>59</v>
      </c>
      <c r="Z302" s="401" t="s">
        <v>59</v>
      </c>
      <c r="AA302" s="402"/>
      <c r="AB302" s="403"/>
    </row>
    <row r="303" spans="1:28" s="352" customFormat="1" ht="18" customHeight="1" x14ac:dyDescent="0.25">
      <c r="A303" s="53">
        <v>1</v>
      </c>
      <c r="B303" s="333">
        <v>43275</v>
      </c>
      <c r="C303" s="41">
        <v>1296</v>
      </c>
      <c r="D303" s="41" t="s">
        <v>84</v>
      </c>
      <c r="E303" s="41">
        <v>5</v>
      </c>
      <c r="F303" s="41">
        <v>0</v>
      </c>
      <c r="G303" s="41">
        <v>1</v>
      </c>
      <c r="H303" s="267">
        <v>25</v>
      </c>
      <c r="I303" s="302">
        <v>125</v>
      </c>
      <c r="J303" s="667">
        <v>2300</v>
      </c>
      <c r="K303" s="311">
        <v>200000</v>
      </c>
      <c r="L303" s="16"/>
      <c r="M303" s="82"/>
      <c r="N303" s="41"/>
      <c r="O303" s="16"/>
      <c r="P303" s="2305">
        <v>222.58</v>
      </c>
      <c r="Q303" s="14"/>
      <c r="R303" s="302"/>
      <c r="S303" s="301"/>
      <c r="T303" s="309"/>
      <c r="U303" s="310"/>
      <c r="V303" s="302"/>
      <c r="W303" s="302"/>
      <c r="X303" s="310"/>
      <c r="Y303" s="296"/>
      <c r="Z303" s="296"/>
      <c r="AA303" s="494"/>
      <c r="AB303" s="757"/>
    </row>
    <row r="304" spans="1:28" s="2302" customFormat="1" ht="18" customHeight="1" x14ac:dyDescent="0.2">
      <c r="A304" s="2286"/>
      <c r="B304" s="2312"/>
      <c r="C304" s="2312"/>
      <c r="D304" s="2312"/>
      <c r="E304" s="2312"/>
      <c r="F304" s="2312">
        <v>0</v>
      </c>
      <c r="G304" s="2312">
        <v>1</v>
      </c>
      <c r="H304" s="2313">
        <v>0</v>
      </c>
      <c r="I304" s="2314">
        <v>100</v>
      </c>
      <c r="J304" s="2315">
        <v>2300</v>
      </c>
      <c r="K304" s="2316">
        <v>98436.52</v>
      </c>
      <c r="L304" s="2287">
        <v>1</v>
      </c>
      <c r="M304" s="2317">
        <v>103</v>
      </c>
      <c r="N304" s="2312" t="s">
        <v>74</v>
      </c>
      <c r="O304" s="2287" t="s">
        <v>131</v>
      </c>
      <c r="P304" s="2318">
        <v>109.55</v>
      </c>
      <c r="Q304" s="2319" t="s">
        <v>75</v>
      </c>
      <c r="R304" s="2320">
        <v>9050</v>
      </c>
      <c r="S304" s="2315">
        <f>R304*P304</f>
        <v>991427.5</v>
      </c>
      <c r="T304" s="2321">
        <v>39</v>
      </c>
      <c r="U304" s="2315">
        <f>S304*0.68</f>
        <v>674170.70000000007</v>
      </c>
      <c r="V304" s="2320">
        <f>S304-U304</f>
        <v>317256.79999999993</v>
      </c>
      <c r="W304" s="2320">
        <f>V304+K304</f>
        <v>415693.31999999995</v>
      </c>
      <c r="X304" s="2322">
        <f>W304</f>
        <v>415693.31999999995</v>
      </c>
      <c r="Y304" s="2320" t="s">
        <v>87</v>
      </c>
      <c r="Z304" s="2320"/>
      <c r="AA304" s="2323">
        <v>0.02</v>
      </c>
      <c r="AB304" s="2303"/>
    </row>
    <row r="305" spans="1:28" s="2338" customFormat="1" ht="18" customHeight="1" x14ac:dyDescent="0.2">
      <c r="A305" s="2324"/>
      <c r="B305" s="2325"/>
      <c r="C305" s="2325"/>
      <c r="D305" s="2325"/>
      <c r="E305" s="2325"/>
      <c r="F305" s="2325"/>
      <c r="G305" s="2325"/>
      <c r="H305" s="2326"/>
      <c r="I305" s="2327"/>
      <c r="J305" s="2328"/>
      <c r="K305" s="2329"/>
      <c r="L305" s="2330"/>
      <c r="M305" s="2331"/>
      <c r="N305" s="2325"/>
      <c r="O305" s="2330">
        <v>2</v>
      </c>
      <c r="P305" s="2332">
        <v>63</v>
      </c>
      <c r="Q305" s="2333" t="s">
        <v>132</v>
      </c>
      <c r="R305" s="2327">
        <v>9050</v>
      </c>
      <c r="S305" s="2334">
        <f t="shared" ref="S305:S307" si="38">R305*P305</f>
        <v>570150</v>
      </c>
      <c r="T305" s="2335">
        <v>39</v>
      </c>
      <c r="U305" s="2334">
        <f>S305*0.68</f>
        <v>387702</v>
      </c>
      <c r="V305" s="2327">
        <f t="shared" ref="V305:V307" si="39">S305-U305</f>
        <v>182448</v>
      </c>
      <c r="W305" s="2327"/>
      <c r="X305" s="2328">
        <f>X304*Q305/100</f>
        <v>239065.22833199997</v>
      </c>
      <c r="Y305" s="2327" t="s">
        <v>87</v>
      </c>
      <c r="Z305" s="2327">
        <v>0</v>
      </c>
      <c r="AA305" s="2336">
        <v>0.02</v>
      </c>
      <c r="AB305" s="2337">
        <f>+Z305*AA305/100</f>
        <v>0</v>
      </c>
    </row>
    <row r="306" spans="1:28" s="2338" customFormat="1" ht="18" customHeight="1" x14ac:dyDescent="0.25">
      <c r="A306" s="2339"/>
      <c r="B306" s="2340"/>
      <c r="C306" s="2341"/>
      <c r="D306" s="2342"/>
      <c r="E306" s="2342"/>
      <c r="F306" s="2343"/>
      <c r="G306" s="2340"/>
      <c r="H306" s="2344"/>
      <c r="I306" s="2327"/>
      <c r="J306" s="2345"/>
      <c r="K306" s="2346"/>
      <c r="L306" s="2340"/>
      <c r="M306" s="2339"/>
      <c r="N306" s="2340"/>
      <c r="O306" s="2330">
        <v>3</v>
      </c>
      <c r="P306" s="2347">
        <v>46.55</v>
      </c>
      <c r="Q306" s="2333" t="s">
        <v>133</v>
      </c>
      <c r="R306" s="2327">
        <v>9050</v>
      </c>
      <c r="S306" s="2334">
        <f t="shared" si="38"/>
        <v>421277.5</v>
      </c>
      <c r="T306" s="2348">
        <v>39</v>
      </c>
      <c r="U306" s="2334">
        <f>S306*0.68</f>
        <v>286468.7</v>
      </c>
      <c r="V306" s="2327">
        <f t="shared" si="39"/>
        <v>134808.79999999999</v>
      </c>
      <c r="W306" s="2327"/>
      <c r="X306" s="2328">
        <f>X304*Q306/100</f>
        <v>176628.09166800001</v>
      </c>
      <c r="Y306" s="2327"/>
      <c r="Z306" s="2327">
        <f>X306</f>
        <v>176628.09166800001</v>
      </c>
      <c r="AA306" s="2336">
        <v>0.3</v>
      </c>
      <c r="AB306" s="2349">
        <f>+Z306*AA306/100</f>
        <v>529.88427500399996</v>
      </c>
    </row>
    <row r="307" spans="1:28" s="352" customFormat="1" ht="18" customHeight="1" x14ac:dyDescent="0.25">
      <c r="A307" s="2166"/>
      <c r="B307" s="269"/>
      <c r="C307" s="285"/>
      <c r="D307" s="273"/>
      <c r="E307" s="273"/>
      <c r="F307" s="268">
        <v>0</v>
      </c>
      <c r="G307" s="269">
        <v>0</v>
      </c>
      <c r="H307" s="266">
        <v>25</v>
      </c>
      <c r="I307" s="296">
        <v>25</v>
      </c>
      <c r="J307" s="324">
        <v>2300</v>
      </c>
      <c r="K307" s="330">
        <v>101563.48</v>
      </c>
      <c r="L307" s="269">
        <v>2</v>
      </c>
      <c r="M307" s="242">
        <v>103</v>
      </c>
      <c r="N307" s="269" t="s">
        <v>74</v>
      </c>
      <c r="O307" s="269">
        <v>2</v>
      </c>
      <c r="P307" s="2306">
        <v>113.03</v>
      </c>
      <c r="Q307" s="285" t="s">
        <v>75</v>
      </c>
      <c r="R307" s="321">
        <v>9050</v>
      </c>
      <c r="S307" s="305">
        <f t="shared" si="38"/>
        <v>1022921.5</v>
      </c>
      <c r="T307" s="323">
        <v>39</v>
      </c>
      <c r="U307" s="305">
        <f>S307*0.68</f>
        <v>695586.62</v>
      </c>
      <c r="V307" s="296">
        <f t="shared" si="39"/>
        <v>327334.88</v>
      </c>
      <c r="W307" s="296">
        <f t="shared" ref="W307" si="40">V307+K307</f>
        <v>428898.36</v>
      </c>
      <c r="X307" s="306">
        <f t="shared" ref="X307" si="41">W307</f>
        <v>428898.36</v>
      </c>
      <c r="Y307" s="321"/>
      <c r="Z307" s="296">
        <f>X307</f>
        <v>428898.36</v>
      </c>
      <c r="AA307" s="708">
        <v>0.02</v>
      </c>
      <c r="AB307" s="415">
        <f>+Z307*AA307/100</f>
        <v>85.779671999999991</v>
      </c>
    </row>
    <row r="308" spans="1:28" s="352" customFormat="1" ht="18" customHeight="1" x14ac:dyDescent="0.2">
      <c r="A308" s="2166"/>
      <c r="B308" s="177"/>
      <c r="C308" s="177"/>
      <c r="D308" s="2166"/>
      <c r="E308" s="2166"/>
      <c r="F308" s="2166"/>
      <c r="G308" s="2166"/>
      <c r="H308" s="2171"/>
      <c r="I308" s="2168"/>
      <c r="J308" s="178"/>
      <c r="K308" s="2168"/>
      <c r="L308" s="2166"/>
      <c r="M308" s="2166"/>
      <c r="N308" s="2166"/>
      <c r="O308" s="2166"/>
      <c r="P308" s="2171"/>
      <c r="Q308" s="2167"/>
      <c r="R308" s="437"/>
      <c r="S308" s="2168"/>
      <c r="T308" s="179"/>
      <c r="U308" s="178"/>
      <c r="V308" s="2168"/>
      <c r="W308" s="2168"/>
      <c r="X308" s="470"/>
      <c r="Y308" s="470"/>
      <c r="Z308" s="471"/>
      <c r="AA308" s="471"/>
      <c r="AB308" s="466"/>
    </row>
    <row r="309" spans="1:28" s="352" customFormat="1" ht="18" customHeight="1" x14ac:dyDescent="0.2">
      <c r="A309" s="2166"/>
      <c r="B309" s="177"/>
      <c r="C309" s="177"/>
      <c r="D309" s="2166"/>
      <c r="E309" s="2166"/>
      <c r="F309" s="2166"/>
      <c r="G309" s="2166"/>
      <c r="H309" s="2171"/>
      <c r="I309" s="2168"/>
      <c r="J309" s="178"/>
      <c r="K309" s="2168"/>
      <c r="L309" s="2166"/>
      <c r="M309" s="2166"/>
      <c r="N309" s="2166"/>
      <c r="O309" s="2166"/>
      <c r="P309" s="2171"/>
      <c r="Q309" s="2167"/>
      <c r="R309" s="437"/>
      <c r="S309" s="2168"/>
      <c r="T309" s="179"/>
      <c r="U309" s="178"/>
      <c r="V309" s="2168"/>
      <c r="W309" s="2168"/>
      <c r="X309" s="470"/>
      <c r="Y309" s="470"/>
      <c r="Z309" s="471"/>
      <c r="AA309" s="471"/>
      <c r="AB309" s="466"/>
    </row>
    <row r="310" spans="1:28" s="352" customFormat="1" ht="18" customHeight="1" x14ac:dyDescent="0.2">
      <c r="A310" s="2166"/>
      <c r="B310" s="177"/>
      <c r="C310" s="177"/>
      <c r="D310" s="2166"/>
      <c r="E310" s="2166"/>
      <c r="F310" s="2166"/>
      <c r="G310" s="2166"/>
      <c r="H310" s="2171"/>
      <c r="I310" s="2168"/>
      <c r="J310" s="178"/>
      <c r="K310" s="2168"/>
      <c r="L310" s="2166"/>
      <c r="M310" s="2166"/>
      <c r="N310" s="2166"/>
      <c r="O310" s="2166"/>
      <c r="P310" s="2171"/>
      <c r="Q310" s="2167"/>
      <c r="R310" s="437"/>
      <c r="S310" s="2168"/>
      <c r="T310" s="179"/>
      <c r="U310" s="178"/>
      <c r="V310" s="2168"/>
      <c r="W310" s="2168"/>
      <c r="X310" s="470"/>
      <c r="Y310" s="470"/>
      <c r="Z310" s="471"/>
      <c r="AA310" s="471"/>
      <c r="AB310" s="466"/>
    </row>
    <row r="311" spans="1:28" s="352" customFormat="1" ht="18" customHeight="1" x14ac:dyDescent="0.2">
      <c r="A311" s="2166"/>
      <c r="B311" s="177"/>
      <c r="C311" s="177"/>
      <c r="D311" s="2166"/>
      <c r="E311" s="2166"/>
      <c r="F311" s="2166"/>
      <c r="G311" s="2166"/>
      <c r="H311" s="2171"/>
      <c r="I311" s="2168"/>
      <c r="J311" s="178"/>
      <c r="K311" s="2168"/>
      <c r="L311" s="2166"/>
      <c r="M311" s="2166"/>
      <c r="N311" s="2166"/>
      <c r="O311" s="2166"/>
      <c r="P311" s="2171"/>
      <c r="Q311" s="2167"/>
      <c r="R311" s="437"/>
      <c r="S311" s="2168"/>
      <c r="T311" s="179"/>
      <c r="U311" s="178"/>
      <c r="V311" s="2168"/>
      <c r="W311" s="2168"/>
      <c r="X311" s="470"/>
      <c r="Y311" s="470"/>
      <c r="Z311" s="471"/>
      <c r="AA311" s="471"/>
      <c r="AB311" s="466"/>
    </row>
    <row r="312" spans="1:28" s="352" customFormat="1" ht="18" customHeight="1" x14ac:dyDescent="0.2">
      <c r="A312" s="2166"/>
      <c r="B312" s="177"/>
      <c r="C312" s="177"/>
      <c r="D312" s="2166"/>
      <c r="E312" s="2166"/>
      <c r="F312" s="2166"/>
      <c r="G312" s="2166"/>
      <c r="H312" s="2171"/>
      <c r="I312" s="2168"/>
      <c r="J312" s="178"/>
      <c r="K312" s="2168"/>
      <c r="L312" s="2166"/>
      <c r="M312" s="2166"/>
      <c r="N312" s="2166"/>
      <c r="O312" s="2166"/>
      <c r="P312" s="2171"/>
      <c r="Q312" s="2167"/>
      <c r="R312" s="437"/>
      <c r="S312" s="2168"/>
      <c r="T312" s="179"/>
      <c r="U312" s="178"/>
      <c r="V312" s="2168"/>
      <c r="W312" s="2168"/>
      <c r="X312" s="470"/>
      <c r="Y312" s="470"/>
      <c r="Z312" s="471"/>
      <c r="AA312" s="471"/>
      <c r="AB312" s="466"/>
    </row>
    <row r="313" spans="1:28" s="352" customFormat="1" ht="18" customHeight="1" x14ac:dyDescent="0.2">
      <c r="A313" s="2166"/>
      <c r="B313" s="177"/>
      <c r="C313" s="177"/>
      <c r="D313" s="2166"/>
      <c r="E313" s="2166"/>
      <c r="F313" s="2166"/>
      <c r="G313" s="2166"/>
      <c r="H313" s="2171"/>
      <c r="I313" s="2168"/>
      <c r="J313" s="178"/>
      <c r="K313" s="2168"/>
      <c r="L313" s="2166"/>
      <c r="M313" s="2166"/>
      <c r="N313" s="2166"/>
      <c r="O313" s="2166"/>
      <c r="P313" s="2171"/>
      <c r="Q313" s="2167"/>
      <c r="R313" s="437"/>
      <c r="S313" s="2168"/>
      <c r="T313" s="179"/>
      <c r="U313" s="178"/>
      <c r="V313" s="2168"/>
      <c r="W313" s="2168"/>
      <c r="X313" s="470"/>
      <c r="Y313" s="470"/>
      <c r="Z313" s="471"/>
      <c r="AA313" s="471"/>
      <c r="AB313" s="466"/>
    </row>
    <row r="314" spans="1:28" s="352" customFormat="1" ht="18" customHeight="1" x14ac:dyDescent="0.2">
      <c r="A314" s="2166"/>
      <c r="B314" s="177"/>
      <c r="C314" s="177"/>
      <c r="D314" s="2166"/>
      <c r="E314" s="2166"/>
      <c r="F314" s="2166"/>
      <c r="G314" s="2166"/>
      <c r="H314" s="2171"/>
      <c r="I314" s="2168"/>
      <c r="J314" s="178"/>
      <c r="K314" s="2168"/>
      <c r="L314" s="2166"/>
      <c r="M314" s="2166"/>
      <c r="N314" s="2166"/>
      <c r="O314" s="2166"/>
      <c r="P314" s="2171"/>
      <c r="Q314" s="2167"/>
      <c r="R314" s="437"/>
      <c r="S314" s="2168"/>
      <c r="T314" s="179"/>
      <c r="U314" s="178"/>
      <c r="V314" s="2168"/>
      <c r="W314" s="2168"/>
      <c r="X314" s="470"/>
      <c r="Y314" s="470"/>
      <c r="Z314" s="471"/>
      <c r="AA314" s="471"/>
      <c r="AB314" s="466"/>
    </row>
    <row r="315" spans="1:28" s="352" customFormat="1" ht="18" customHeight="1" x14ac:dyDescent="0.2">
      <c r="A315" s="2166"/>
      <c r="B315" s="177"/>
      <c r="C315" s="177"/>
      <c r="D315" s="2166"/>
      <c r="E315" s="2166"/>
      <c r="F315" s="2166"/>
      <c r="G315" s="2166"/>
      <c r="H315" s="2171"/>
      <c r="I315" s="2168"/>
      <c r="J315" s="178"/>
      <c r="K315" s="2168"/>
      <c r="L315" s="2166"/>
      <c r="M315" s="2166"/>
      <c r="N315" s="2166"/>
      <c r="O315" s="2166"/>
      <c r="P315" s="2171"/>
      <c r="Q315" s="2167"/>
      <c r="R315" s="437"/>
      <c r="S315" s="2168"/>
      <c r="T315" s="179"/>
      <c r="U315" s="178"/>
      <c r="V315" s="2168"/>
      <c r="W315" s="2168"/>
      <c r="X315" s="470"/>
      <c r="Y315" s="470"/>
      <c r="Z315" s="471"/>
      <c r="AA315" s="471"/>
      <c r="AB315" s="466"/>
    </row>
    <row r="316" spans="1:28" s="352" customFormat="1" ht="18" customHeight="1" x14ac:dyDescent="0.2">
      <c r="A316" s="88"/>
      <c r="B316" s="180"/>
      <c r="C316" s="180"/>
      <c r="D316" s="88"/>
      <c r="E316" s="88"/>
      <c r="F316" s="88"/>
      <c r="G316" s="88"/>
      <c r="H316" s="120"/>
      <c r="I316" s="121"/>
      <c r="J316" s="181"/>
      <c r="K316" s="121"/>
      <c r="L316" s="88"/>
      <c r="M316" s="88"/>
      <c r="N316" s="88"/>
      <c r="O316" s="88"/>
      <c r="P316" s="88"/>
      <c r="Q316" s="129"/>
      <c r="R316" s="445"/>
      <c r="S316" s="121"/>
      <c r="T316" s="182"/>
      <c r="U316" s="181"/>
      <c r="V316" s="121"/>
      <c r="W316" s="121"/>
      <c r="X316" s="472"/>
      <c r="Y316" s="472"/>
      <c r="Z316" s="473"/>
      <c r="AA316" s="473"/>
      <c r="AB316" s="410"/>
    </row>
    <row r="317" spans="1:28" s="352" customFormat="1" ht="18" customHeight="1" x14ac:dyDescent="0.2">
      <c r="A317" s="1850"/>
      <c r="B317" s="1850"/>
      <c r="C317" s="1850"/>
      <c r="D317" s="1850"/>
      <c r="E317" s="1850"/>
      <c r="F317" s="1850"/>
      <c r="G317" s="1850"/>
      <c r="H317" s="1851"/>
      <c r="I317" s="1852"/>
      <c r="J317" s="1853"/>
      <c r="K317" s="1852"/>
      <c r="L317" s="1852"/>
      <c r="M317" s="1852"/>
      <c r="N317" s="1852"/>
      <c r="O317" s="1852"/>
      <c r="P317" s="1852"/>
      <c r="Q317" s="1852"/>
      <c r="R317" s="1854"/>
      <c r="S317" s="1852"/>
      <c r="T317" s="1855"/>
      <c r="U317" s="1853"/>
      <c r="V317" s="1852"/>
      <c r="W317" s="1852"/>
      <c r="X317" s="1856"/>
      <c r="Y317" s="1856"/>
      <c r="Z317" s="1857"/>
      <c r="AA317" s="1857"/>
      <c r="AB317" s="1847">
        <f>SUM(AB304:AB316)</f>
        <v>615.66394700399997</v>
      </c>
    </row>
    <row r="318" spans="1:28" s="352" customFormat="1" ht="18" customHeight="1" x14ac:dyDescent="0.2">
      <c r="A318" s="2778" t="s">
        <v>76</v>
      </c>
      <c r="B318" s="2778"/>
      <c r="C318" s="2779" t="s">
        <v>77</v>
      </c>
      <c r="D318" s="2779"/>
      <c r="E318" s="2779"/>
      <c r="F318" s="2779"/>
      <c r="G318" s="2779"/>
      <c r="H318" s="2779"/>
      <c r="I318" s="424" t="s">
        <v>78</v>
      </c>
      <c r="J318" s="424"/>
      <c r="K318" s="424"/>
      <c r="L318" s="424"/>
      <c r="M318" s="424"/>
      <c r="N318" s="424"/>
      <c r="AB318" s="425"/>
    </row>
    <row r="319" spans="1:28" s="352" customFormat="1" ht="18" customHeight="1" x14ac:dyDescent="0.2">
      <c r="A319" s="424"/>
      <c r="B319" s="426"/>
      <c r="C319" s="424"/>
      <c r="D319" s="424"/>
      <c r="E319" s="424"/>
      <c r="F319" s="424"/>
      <c r="G319" s="424"/>
      <c r="H319" s="424"/>
      <c r="I319" s="424" t="s">
        <v>79</v>
      </c>
      <c r="J319" s="424"/>
      <c r="K319" s="424"/>
      <c r="L319" s="424"/>
      <c r="M319" s="424"/>
      <c r="N319" s="424"/>
      <c r="AB319" s="425"/>
    </row>
    <row r="320" spans="1:28" s="352" customFormat="1" ht="18" customHeight="1" x14ac:dyDescent="0.2">
      <c r="A320" s="424"/>
      <c r="B320" s="426"/>
      <c r="C320" s="424"/>
      <c r="D320" s="424"/>
      <c r="E320" s="424"/>
      <c r="F320" s="424"/>
      <c r="G320" s="424"/>
      <c r="H320" s="424"/>
      <c r="I320" s="424" t="s">
        <v>80</v>
      </c>
      <c r="J320" s="424"/>
      <c r="K320" s="424"/>
      <c r="L320" s="424"/>
      <c r="M320" s="424"/>
      <c r="N320" s="424"/>
      <c r="AB320" s="425"/>
    </row>
    <row r="321" spans="1:28" s="352" customFormat="1" ht="18" customHeight="1" x14ac:dyDescent="0.2">
      <c r="A321" s="424"/>
      <c r="B321" s="426"/>
      <c r="C321" s="424"/>
      <c r="D321" s="424"/>
      <c r="E321" s="424"/>
      <c r="F321" s="424"/>
      <c r="G321" s="424"/>
      <c r="H321" s="424"/>
      <c r="I321" s="424" t="s">
        <v>81</v>
      </c>
      <c r="J321" s="424"/>
      <c r="K321" s="424"/>
      <c r="L321" s="424"/>
      <c r="M321" s="424"/>
      <c r="N321" s="424"/>
      <c r="AB321" s="425"/>
    </row>
    <row r="322" spans="1:28" s="352" customFormat="1" ht="18" customHeight="1" x14ac:dyDescent="0.2">
      <c r="A322" s="424"/>
      <c r="B322" s="426"/>
      <c r="C322" s="424"/>
      <c r="D322" s="424"/>
      <c r="E322" s="424"/>
      <c r="F322" s="424"/>
      <c r="G322" s="424"/>
      <c r="H322" s="424"/>
      <c r="I322" s="424" t="s">
        <v>88</v>
      </c>
      <c r="J322" s="424"/>
      <c r="K322" s="424"/>
      <c r="L322" s="424"/>
      <c r="M322" s="424"/>
      <c r="N322" s="424"/>
      <c r="AB322" s="425"/>
    </row>
    <row r="323" spans="1:28" s="352" customFormat="1" ht="18" customHeight="1" x14ac:dyDescent="0.2">
      <c r="A323" s="338"/>
      <c r="B323" s="338"/>
      <c r="C323" s="338"/>
      <c r="D323" s="338"/>
      <c r="E323" s="338"/>
      <c r="F323" s="338"/>
      <c r="G323" s="338"/>
      <c r="H323" s="338"/>
      <c r="I323" s="338"/>
      <c r="J323" s="338"/>
      <c r="K323" s="338"/>
      <c r="L323" s="338"/>
      <c r="M323" s="338"/>
      <c r="N323" s="338"/>
      <c r="O323" s="338"/>
      <c r="P323" s="338"/>
      <c r="Q323" s="338"/>
      <c r="R323" s="338"/>
      <c r="S323" s="338"/>
      <c r="T323" s="338"/>
      <c r="U323" s="338"/>
      <c r="V323" s="338"/>
      <c r="W323" s="338"/>
      <c r="X323" s="338"/>
      <c r="Y323" s="338"/>
      <c r="Z323" s="338"/>
      <c r="AA323" s="2774" t="s">
        <v>0</v>
      </c>
      <c r="AB323" s="2774"/>
    </row>
    <row r="324" spans="1:28" s="352" customFormat="1" ht="18" customHeight="1" x14ac:dyDescent="0.2">
      <c r="A324" s="2703" t="s">
        <v>1</v>
      </c>
      <c r="B324" s="2703"/>
      <c r="C324" s="2703"/>
      <c r="D324" s="2703"/>
      <c r="E324" s="2703"/>
      <c r="F324" s="2703"/>
      <c r="G324" s="2703"/>
      <c r="H324" s="2703"/>
      <c r="I324" s="2703"/>
      <c r="J324" s="2703"/>
      <c r="K324" s="2703"/>
      <c r="L324" s="2703"/>
      <c r="M324" s="2703"/>
      <c r="N324" s="2703"/>
      <c r="O324" s="2703"/>
      <c r="P324" s="2703"/>
      <c r="Q324" s="2703"/>
      <c r="R324" s="2703"/>
      <c r="S324" s="2703"/>
      <c r="T324" s="2703"/>
      <c r="U324" s="2703"/>
      <c r="V324" s="2703"/>
      <c r="W324" s="2703"/>
      <c r="X324" s="2703"/>
      <c r="Y324" s="2703"/>
      <c r="Z324" s="2703"/>
      <c r="AA324" s="2703"/>
      <c r="AB324" s="2703"/>
    </row>
    <row r="325" spans="1:28" s="352" customFormat="1" ht="18" customHeight="1" x14ac:dyDescent="0.2">
      <c r="A325" s="2780" t="s">
        <v>318</v>
      </c>
      <c r="B325" s="2780"/>
      <c r="C325" s="2780"/>
      <c r="D325" s="2780"/>
      <c r="E325" s="2780"/>
      <c r="F325" s="2780"/>
      <c r="G325" s="2780"/>
      <c r="H325" s="2780"/>
      <c r="I325" s="2780"/>
      <c r="J325" s="2780"/>
      <c r="K325" s="2780"/>
      <c r="L325" s="2780"/>
      <c r="M325" s="2780"/>
      <c r="N325" s="2780"/>
      <c r="O325" s="2780"/>
      <c r="P325" s="2780"/>
      <c r="Q325" s="2780"/>
      <c r="R325" s="2780"/>
      <c r="S325" s="2780"/>
      <c r="T325" s="2780"/>
      <c r="U325" s="2780"/>
      <c r="V325" s="2780"/>
      <c r="W325" s="2780"/>
      <c r="X325" s="2780"/>
      <c r="Y325" s="2780"/>
      <c r="Z325" s="2780"/>
      <c r="AA325" s="2780"/>
      <c r="AB325" s="2780"/>
    </row>
    <row r="326" spans="1:28" s="352" customFormat="1" ht="18" customHeight="1" x14ac:dyDescent="0.2">
      <c r="A326" s="2686" t="s">
        <v>2</v>
      </c>
      <c r="B326" s="360"/>
      <c r="C326" s="2686" t="s">
        <v>3</v>
      </c>
      <c r="D326" s="360"/>
      <c r="E326" s="360"/>
      <c r="F326" s="2693" t="s">
        <v>4</v>
      </c>
      <c r="G326" s="2693"/>
      <c r="H326" s="2693"/>
      <c r="I326" s="2694"/>
      <c r="J326" s="2694"/>
      <c r="K326" s="2695"/>
      <c r="L326" s="361"/>
      <c r="M326" s="2679" t="s">
        <v>5</v>
      </c>
      <c r="N326" s="2679"/>
      <c r="O326" s="2679"/>
      <c r="P326" s="2679"/>
      <c r="Q326" s="2696"/>
      <c r="R326" s="2696"/>
      <c r="S326" s="2696"/>
      <c r="T326" s="2696"/>
      <c r="U326" s="2696"/>
      <c r="V326" s="2697"/>
      <c r="W326" s="362" t="s">
        <v>6</v>
      </c>
      <c r="X326" s="363" t="s">
        <v>7</v>
      </c>
      <c r="Y326" s="364"/>
      <c r="Z326" s="364"/>
      <c r="AA326" s="363"/>
      <c r="AB326" s="365"/>
    </row>
    <row r="327" spans="1:28" s="352" customFormat="1" ht="18" customHeight="1" x14ac:dyDescent="0.2">
      <c r="A327" s="2687"/>
      <c r="B327" s="367"/>
      <c r="C327" s="2687"/>
      <c r="D327" s="2158" t="s">
        <v>9</v>
      </c>
      <c r="E327" s="368" t="s">
        <v>10</v>
      </c>
      <c r="F327" s="2698" t="s">
        <v>11</v>
      </c>
      <c r="G327" s="2694"/>
      <c r="H327" s="2695"/>
      <c r="I327" s="360"/>
      <c r="J327" s="369" t="s">
        <v>12</v>
      </c>
      <c r="K327" s="360"/>
      <c r="L327" s="2679" t="s">
        <v>2</v>
      </c>
      <c r="M327" s="2162"/>
      <c r="N327" s="2162"/>
      <c r="O327" s="2162"/>
      <c r="P327" s="371"/>
      <c r="Q327" s="372" t="s">
        <v>13</v>
      </c>
      <c r="R327" s="373" t="s">
        <v>12</v>
      </c>
      <c r="S327" s="2162" t="s">
        <v>6</v>
      </c>
      <c r="T327" s="2682" t="s">
        <v>14</v>
      </c>
      <c r="U327" s="2683"/>
      <c r="V327" s="375" t="s">
        <v>7</v>
      </c>
      <c r="W327" s="376" t="s">
        <v>15</v>
      </c>
      <c r="X327" s="377" t="s">
        <v>16</v>
      </c>
      <c r="Y327" s="377" t="s">
        <v>17</v>
      </c>
      <c r="Z327" s="377" t="s">
        <v>18</v>
      </c>
      <c r="AA327" s="377"/>
      <c r="AB327" s="378" t="s">
        <v>19</v>
      </c>
    </row>
    <row r="328" spans="1:28" s="352" customFormat="1" ht="18" customHeight="1" x14ac:dyDescent="0.2">
      <c r="A328" s="2687"/>
      <c r="B328" s="2158" t="s">
        <v>23</v>
      </c>
      <c r="C328" s="2687"/>
      <c r="D328" s="2158" t="s">
        <v>24</v>
      </c>
      <c r="E328" s="368" t="s">
        <v>25</v>
      </c>
      <c r="F328" s="2699"/>
      <c r="G328" s="2700"/>
      <c r="H328" s="2701"/>
      <c r="I328" s="2158" t="s">
        <v>26</v>
      </c>
      <c r="J328" s="379" t="s">
        <v>15</v>
      </c>
      <c r="K328" s="2159" t="s">
        <v>6</v>
      </c>
      <c r="L328" s="2680"/>
      <c r="M328" s="2163" t="s">
        <v>27</v>
      </c>
      <c r="N328" s="2163" t="s">
        <v>10</v>
      </c>
      <c r="O328" s="382" t="s">
        <v>10</v>
      </c>
      <c r="P328" s="383" t="s">
        <v>28</v>
      </c>
      <c r="Q328" s="384" t="s">
        <v>29</v>
      </c>
      <c r="R328" s="383" t="s">
        <v>15</v>
      </c>
      <c r="S328" s="385" t="s">
        <v>15</v>
      </c>
      <c r="T328" s="2684"/>
      <c r="U328" s="2685"/>
      <c r="V328" s="375" t="s">
        <v>30</v>
      </c>
      <c r="W328" s="376" t="s">
        <v>31</v>
      </c>
      <c r="X328" s="377" t="s">
        <v>30</v>
      </c>
      <c r="Y328" s="377" t="s">
        <v>32</v>
      </c>
      <c r="Z328" s="377" t="s">
        <v>7</v>
      </c>
      <c r="AA328" s="377" t="s">
        <v>33</v>
      </c>
      <c r="AB328" s="378" t="s">
        <v>34</v>
      </c>
    </row>
    <row r="329" spans="1:28" s="352" customFormat="1" ht="18" customHeight="1" x14ac:dyDescent="0.2">
      <c r="A329" s="2687"/>
      <c r="B329" s="2158" t="s">
        <v>39</v>
      </c>
      <c r="C329" s="2687"/>
      <c r="D329" s="2158" t="s">
        <v>40</v>
      </c>
      <c r="E329" s="368" t="s">
        <v>41</v>
      </c>
      <c r="F329" s="2686" t="s">
        <v>42</v>
      </c>
      <c r="G329" s="2686" t="s">
        <v>43</v>
      </c>
      <c r="H329" s="2688" t="s">
        <v>44</v>
      </c>
      <c r="I329" s="2158" t="s">
        <v>45</v>
      </c>
      <c r="J329" s="379" t="s">
        <v>46</v>
      </c>
      <c r="K329" s="2159" t="s">
        <v>47</v>
      </c>
      <c r="L329" s="2680"/>
      <c r="M329" s="2163" t="s">
        <v>30</v>
      </c>
      <c r="N329" s="2163" t="s">
        <v>30</v>
      </c>
      <c r="O329" s="382" t="s">
        <v>25</v>
      </c>
      <c r="P329" s="383" t="s">
        <v>30</v>
      </c>
      <c r="Q329" s="384" t="s">
        <v>48</v>
      </c>
      <c r="R329" s="383" t="s">
        <v>49</v>
      </c>
      <c r="S329" s="385" t="s">
        <v>30</v>
      </c>
      <c r="T329" s="386" t="s">
        <v>50</v>
      </c>
      <c r="U329" s="2161" t="s">
        <v>13</v>
      </c>
      <c r="V329" s="375" t="s">
        <v>51</v>
      </c>
      <c r="W329" s="376" t="s">
        <v>52</v>
      </c>
      <c r="X329" s="377" t="s">
        <v>53</v>
      </c>
      <c r="Y329" s="377" t="s">
        <v>54</v>
      </c>
      <c r="Z329" s="377" t="s">
        <v>55</v>
      </c>
      <c r="AA329" s="377" t="s">
        <v>56</v>
      </c>
      <c r="AB329" s="378" t="s">
        <v>57</v>
      </c>
    </row>
    <row r="330" spans="1:28" s="352" customFormat="1" ht="18" customHeight="1" x14ac:dyDescent="0.2">
      <c r="A330" s="2687"/>
      <c r="B330" s="2158" t="s">
        <v>61</v>
      </c>
      <c r="C330" s="2687"/>
      <c r="D330" s="2158" t="s">
        <v>62</v>
      </c>
      <c r="E330" s="368" t="s">
        <v>63</v>
      </c>
      <c r="F330" s="2687"/>
      <c r="G330" s="2687"/>
      <c r="H330" s="2689"/>
      <c r="I330" s="2158" t="s">
        <v>64</v>
      </c>
      <c r="J330" s="379" t="s">
        <v>59</v>
      </c>
      <c r="K330" s="2159" t="s">
        <v>59</v>
      </c>
      <c r="L330" s="2680"/>
      <c r="M330" s="2163"/>
      <c r="N330" s="2163"/>
      <c r="O330" s="382" t="s">
        <v>41</v>
      </c>
      <c r="P330" s="383" t="s">
        <v>65</v>
      </c>
      <c r="Q330" s="384" t="s">
        <v>66</v>
      </c>
      <c r="R330" s="383" t="s">
        <v>67</v>
      </c>
      <c r="S330" s="385" t="s">
        <v>59</v>
      </c>
      <c r="T330" s="387" t="s">
        <v>68</v>
      </c>
      <c r="U330" s="375" t="s">
        <v>14</v>
      </c>
      <c r="V330" s="375" t="s">
        <v>14</v>
      </c>
      <c r="W330" s="376" t="s">
        <v>30</v>
      </c>
      <c r="X330" s="388" t="s">
        <v>69</v>
      </c>
      <c r="Y330" s="388" t="s">
        <v>70</v>
      </c>
      <c r="Z330" s="377" t="s">
        <v>71</v>
      </c>
      <c r="AA330" s="377" t="s">
        <v>72</v>
      </c>
      <c r="AB330" s="378" t="s">
        <v>59</v>
      </c>
    </row>
    <row r="331" spans="1:28" s="352" customFormat="1" ht="18" customHeight="1" x14ac:dyDescent="0.2">
      <c r="A331" s="2692"/>
      <c r="B331" s="390"/>
      <c r="C331" s="2692"/>
      <c r="D331" s="390"/>
      <c r="E331" s="2160"/>
      <c r="F331" s="390"/>
      <c r="G331" s="390"/>
      <c r="H331" s="391"/>
      <c r="I331" s="2160"/>
      <c r="J331" s="392"/>
      <c r="K331" s="393"/>
      <c r="L331" s="2681"/>
      <c r="M331" s="2164"/>
      <c r="N331" s="2164"/>
      <c r="O331" s="2164" t="s">
        <v>63</v>
      </c>
      <c r="P331" s="395"/>
      <c r="Q331" s="396" t="s">
        <v>72</v>
      </c>
      <c r="R331" s="397" t="s">
        <v>59</v>
      </c>
      <c r="S331" s="398"/>
      <c r="T331" s="397" t="s">
        <v>73</v>
      </c>
      <c r="U331" s="398" t="s">
        <v>59</v>
      </c>
      <c r="V331" s="399" t="s">
        <v>59</v>
      </c>
      <c r="W331" s="400" t="s">
        <v>59</v>
      </c>
      <c r="X331" s="401" t="s">
        <v>59</v>
      </c>
      <c r="Y331" s="401" t="s">
        <v>59</v>
      </c>
      <c r="Z331" s="401" t="s">
        <v>59</v>
      </c>
      <c r="AA331" s="402"/>
      <c r="AB331" s="403"/>
    </row>
    <row r="332" spans="1:28" s="352" customFormat="1" ht="18" customHeight="1" x14ac:dyDescent="0.25">
      <c r="A332" s="53">
        <v>1</v>
      </c>
      <c r="B332" s="333">
        <v>48686</v>
      </c>
      <c r="C332" s="41">
        <v>1493</v>
      </c>
      <c r="D332" s="41" t="s">
        <v>84</v>
      </c>
      <c r="E332" s="15">
        <v>5</v>
      </c>
      <c r="F332" s="41">
        <v>0</v>
      </c>
      <c r="G332" s="41">
        <v>3</v>
      </c>
      <c r="H332" s="267">
        <v>45</v>
      </c>
      <c r="I332" s="296">
        <f>+F332*400+G332*100+H332</f>
        <v>345</v>
      </c>
      <c r="J332" s="759">
        <v>1000</v>
      </c>
      <c r="K332" s="297">
        <f>SUM(I332*J332)</f>
        <v>345000</v>
      </c>
      <c r="L332" s="41">
        <v>1</v>
      </c>
      <c r="M332" s="957">
        <v>103</v>
      </c>
      <c r="N332" s="958" t="s">
        <v>74</v>
      </c>
      <c r="O332" s="294">
        <v>2</v>
      </c>
      <c r="P332" s="756">
        <f>13.8*20.4</f>
        <v>281.52</v>
      </c>
      <c r="Q332" s="62" t="s">
        <v>234</v>
      </c>
      <c r="R332" s="296">
        <v>9050</v>
      </c>
      <c r="S332" s="296">
        <f>+P332*R332</f>
        <v>2547756</v>
      </c>
      <c r="T332" s="298">
        <v>14</v>
      </c>
      <c r="U332" s="299">
        <f>+S332*0.18</f>
        <v>458596.07999999996</v>
      </c>
      <c r="V332" s="299">
        <f>+S332-U332</f>
        <v>2089159.92</v>
      </c>
      <c r="W332" s="296">
        <f>K332+V332</f>
        <v>2434159.92</v>
      </c>
      <c r="X332" s="299">
        <f>W332</f>
        <v>2434159.92</v>
      </c>
      <c r="Y332" s="296" t="s">
        <v>89</v>
      </c>
      <c r="Z332" s="296">
        <v>0</v>
      </c>
      <c r="AA332" s="494">
        <v>0.02</v>
      </c>
      <c r="AB332" s="406"/>
    </row>
    <row r="333" spans="1:28" s="352" customFormat="1" ht="18" customHeight="1" x14ac:dyDescent="0.25">
      <c r="A333" s="242"/>
      <c r="B333" s="269"/>
      <c r="C333" s="285"/>
      <c r="D333" s="273"/>
      <c r="E333" s="273"/>
      <c r="F333" s="268"/>
      <c r="G333" s="269"/>
      <c r="H333" s="266">
        <v>12</v>
      </c>
      <c r="I333" s="296">
        <f>+F333*400+G333*100+H333</f>
        <v>12</v>
      </c>
      <c r="J333" s="759">
        <v>1000</v>
      </c>
      <c r="K333" s="297">
        <f>SUM(I333*J333)</f>
        <v>12000</v>
      </c>
      <c r="L333" s="273">
        <v>2</v>
      </c>
      <c r="M333" s="957">
        <v>103</v>
      </c>
      <c r="N333" s="88" t="s">
        <v>74</v>
      </c>
      <c r="O333" s="269">
        <v>2</v>
      </c>
      <c r="P333" s="760">
        <v>48</v>
      </c>
      <c r="Q333" s="285" t="s">
        <v>235</v>
      </c>
      <c r="R333" s="296">
        <v>9050</v>
      </c>
      <c r="S333" s="296">
        <f>+P333*R333</f>
        <v>434400</v>
      </c>
      <c r="T333" s="298">
        <v>14</v>
      </c>
      <c r="U333" s="299">
        <f>+S333*0.18</f>
        <v>78192</v>
      </c>
      <c r="V333" s="299">
        <f>+S333-U333</f>
        <v>356208</v>
      </c>
      <c r="W333" s="296">
        <f>K333+V333</f>
        <v>368208</v>
      </c>
      <c r="X333" s="299">
        <f>W333</f>
        <v>368208</v>
      </c>
      <c r="Y333" s="296"/>
      <c r="Z333" s="296">
        <f>+X333</f>
        <v>368208</v>
      </c>
      <c r="AA333" s="494">
        <v>0.3</v>
      </c>
      <c r="AB333" s="410">
        <f>+Z333*AA333/100</f>
        <v>1104.624</v>
      </c>
    </row>
    <row r="334" spans="1:28" s="352" customFormat="1" ht="18" customHeight="1" x14ac:dyDescent="0.2">
      <c r="A334" s="242"/>
      <c r="B334" s="242"/>
      <c r="C334" s="496"/>
      <c r="D334" s="85"/>
      <c r="E334" s="85"/>
      <c r="F334" s="411"/>
      <c r="G334" s="242"/>
      <c r="H334" s="497"/>
      <c r="I334" s="77"/>
      <c r="J334" s="761"/>
      <c r="K334" s="762"/>
      <c r="L334" s="242"/>
      <c r="M334" s="242"/>
      <c r="N334" s="242"/>
      <c r="O334" s="242"/>
      <c r="P334" s="497"/>
      <c r="Q334" s="496"/>
      <c r="R334" s="408"/>
      <c r="S334" s="77"/>
      <c r="T334" s="135"/>
      <c r="U334" s="74"/>
      <c r="V334" s="74"/>
      <c r="W334" s="77"/>
      <c r="X334" s="74"/>
      <c r="Y334" s="77"/>
      <c r="Z334" s="77"/>
      <c r="AA334" s="2170"/>
      <c r="AB334" s="410"/>
    </row>
    <row r="335" spans="1:28" s="352" customFormat="1" ht="18" customHeight="1" x14ac:dyDescent="0.2">
      <c r="A335" s="2166"/>
      <c r="B335" s="177"/>
      <c r="C335" s="177"/>
      <c r="D335" s="2166"/>
      <c r="E335" s="2166"/>
      <c r="F335" s="2166"/>
      <c r="G335" s="2166"/>
      <c r="H335" s="2171"/>
      <c r="I335" s="2168"/>
      <c r="J335" s="178"/>
      <c r="K335" s="2168"/>
      <c r="L335" s="2166"/>
      <c r="M335" s="2166"/>
      <c r="N335" s="2166"/>
      <c r="O335" s="2166"/>
      <c r="P335" s="2171"/>
      <c r="Q335" s="2167"/>
      <c r="R335" s="437"/>
      <c r="S335" s="2168"/>
      <c r="T335" s="179"/>
      <c r="U335" s="178"/>
      <c r="V335" s="2168"/>
      <c r="W335" s="2168"/>
      <c r="X335" s="470"/>
      <c r="Y335" s="470"/>
      <c r="Z335" s="471"/>
      <c r="AA335" s="471"/>
      <c r="AB335" s="466"/>
    </row>
    <row r="336" spans="1:28" s="352" customFormat="1" ht="18" customHeight="1" x14ac:dyDescent="0.2">
      <c r="A336" s="2166"/>
      <c r="B336" s="177"/>
      <c r="C336" s="177"/>
      <c r="D336" s="2166"/>
      <c r="E336" s="2166"/>
      <c r="F336" s="2166"/>
      <c r="G336" s="2166"/>
      <c r="H336" s="2171"/>
      <c r="I336" s="2168"/>
      <c r="J336" s="178"/>
      <c r="K336" s="2168"/>
      <c r="L336" s="2166"/>
      <c r="M336" s="2166"/>
      <c r="N336" s="2166"/>
      <c r="O336" s="2166"/>
      <c r="P336" s="2171"/>
      <c r="Q336" s="2167"/>
      <c r="R336" s="437"/>
      <c r="S336" s="2168"/>
      <c r="T336" s="179"/>
      <c r="U336" s="178"/>
      <c r="V336" s="2168"/>
      <c r="W336" s="2168"/>
      <c r="X336" s="470"/>
      <c r="Y336" s="470"/>
      <c r="Z336" s="471"/>
      <c r="AA336" s="471"/>
      <c r="AB336" s="466"/>
    </row>
    <row r="337" spans="1:28" s="352" customFormat="1" ht="18" customHeight="1" x14ac:dyDescent="0.2">
      <c r="A337" s="2166"/>
      <c r="B337" s="177"/>
      <c r="C337" s="177"/>
      <c r="D337" s="2166"/>
      <c r="E337" s="2166"/>
      <c r="F337" s="2166"/>
      <c r="G337" s="2166"/>
      <c r="H337" s="2171"/>
      <c r="I337" s="2168"/>
      <c r="J337" s="178"/>
      <c r="K337" s="2168"/>
      <c r="L337" s="2166"/>
      <c r="M337" s="2166"/>
      <c r="N337" s="2166"/>
      <c r="O337" s="2166"/>
      <c r="P337" s="2171"/>
      <c r="Q337" s="2167"/>
      <c r="R337" s="437"/>
      <c r="S337" s="2168"/>
      <c r="T337" s="179"/>
      <c r="U337" s="178"/>
      <c r="V337" s="2168"/>
      <c r="W337" s="2168"/>
      <c r="X337" s="470"/>
      <c r="Y337" s="470"/>
      <c r="Z337" s="471"/>
      <c r="AA337" s="471"/>
      <c r="AB337" s="466"/>
    </row>
    <row r="338" spans="1:28" s="352" customFormat="1" ht="18" customHeight="1" x14ac:dyDescent="0.2">
      <c r="A338" s="2166"/>
      <c r="B338" s="177"/>
      <c r="C338" s="177"/>
      <c r="D338" s="2166"/>
      <c r="E338" s="2166"/>
      <c r="F338" s="2166"/>
      <c r="G338" s="2166"/>
      <c r="H338" s="2171"/>
      <c r="I338" s="2168"/>
      <c r="J338" s="178"/>
      <c r="K338" s="2168"/>
      <c r="L338" s="2166"/>
      <c r="M338" s="2166"/>
      <c r="N338" s="2166"/>
      <c r="O338" s="2166"/>
      <c r="P338" s="2171"/>
      <c r="Q338" s="2167"/>
      <c r="R338" s="437"/>
      <c r="S338" s="2168"/>
      <c r="T338" s="179"/>
      <c r="U338" s="178"/>
      <c r="V338" s="2168"/>
      <c r="W338" s="2168"/>
      <c r="X338" s="470"/>
      <c r="Y338" s="470"/>
      <c r="Z338" s="471"/>
      <c r="AA338" s="471"/>
      <c r="AB338" s="466"/>
    </row>
    <row r="339" spans="1:28" s="352" customFormat="1" ht="18" customHeight="1" x14ac:dyDescent="0.2">
      <c r="A339" s="2166"/>
      <c r="B339" s="177"/>
      <c r="C339" s="177"/>
      <c r="D339" s="2166"/>
      <c r="E339" s="2166"/>
      <c r="F339" s="2166"/>
      <c r="G339" s="2166"/>
      <c r="H339" s="2171"/>
      <c r="I339" s="2168"/>
      <c r="J339" s="178"/>
      <c r="K339" s="2168"/>
      <c r="L339" s="2166"/>
      <c r="M339" s="2166"/>
      <c r="N339" s="2166"/>
      <c r="O339" s="2166"/>
      <c r="P339" s="2171"/>
      <c r="Q339" s="2167"/>
      <c r="R339" s="437"/>
      <c r="S339" s="2168"/>
      <c r="T339" s="179"/>
      <c r="U339" s="178"/>
      <c r="V339" s="2168"/>
      <c r="W339" s="2168"/>
      <c r="X339" s="470"/>
      <c r="Y339" s="470"/>
      <c r="Z339" s="471"/>
      <c r="AA339" s="471"/>
      <c r="AB339" s="466"/>
    </row>
    <row r="340" spans="1:28" s="352" customFormat="1" ht="18" customHeight="1" x14ac:dyDescent="0.2">
      <c r="A340" s="2166"/>
      <c r="B340" s="177"/>
      <c r="C340" s="177"/>
      <c r="D340" s="2166"/>
      <c r="E340" s="2166"/>
      <c r="F340" s="2166"/>
      <c r="G340" s="2166"/>
      <c r="H340" s="2171"/>
      <c r="I340" s="2168"/>
      <c r="J340" s="178"/>
      <c r="K340" s="2168"/>
      <c r="L340" s="2166"/>
      <c r="M340" s="2166"/>
      <c r="N340" s="2166"/>
      <c r="O340" s="2166"/>
      <c r="P340" s="2171"/>
      <c r="Q340" s="2167"/>
      <c r="R340" s="437"/>
      <c r="S340" s="2168"/>
      <c r="T340" s="179"/>
      <c r="U340" s="178"/>
      <c r="V340" s="2168"/>
      <c r="W340" s="2168"/>
      <c r="X340" s="470"/>
      <c r="Y340" s="470"/>
      <c r="Z340" s="471"/>
      <c r="AA340" s="471"/>
      <c r="AB340" s="466"/>
    </row>
    <row r="341" spans="1:28" s="352" customFormat="1" ht="18" customHeight="1" x14ac:dyDescent="0.2">
      <c r="A341" s="2166"/>
      <c r="B341" s="177"/>
      <c r="C341" s="177"/>
      <c r="D341" s="2166"/>
      <c r="E341" s="2166"/>
      <c r="F341" s="2166"/>
      <c r="G341" s="2166"/>
      <c r="H341" s="2171"/>
      <c r="I341" s="2168"/>
      <c r="J341" s="178"/>
      <c r="K341" s="2168"/>
      <c r="L341" s="2166"/>
      <c r="M341" s="2166"/>
      <c r="N341" s="2166"/>
      <c r="O341" s="2166"/>
      <c r="P341" s="2171"/>
      <c r="Q341" s="2167"/>
      <c r="R341" s="437"/>
      <c r="S341" s="2168"/>
      <c r="T341" s="179"/>
      <c r="U341" s="178"/>
      <c r="V341" s="2168"/>
      <c r="W341" s="2168"/>
      <c r="X341" s="470"/>
      <c r="Y341" s="470"/>
      <c r="Z341" s="471"/>
      <c r="AA341" s="471"/>
      <c r="AB341" s="466"/>
    </row>
    <row r="342" spans="1:28" s="352" customFormat="1" ht="18" customHeight="1" x14ac:dyDescent="0.2">
      <c r="A342" s="2166"/>
      <c r="B342" s="177"/>
      <c r="C342" s="177"/>
      <c r="D342" s="2166"/>
      <c r="E342" s="2166"/>
      <c r="F342" s="2166"/>
      <c r="G342" s="2166"/>
      <c r="H342" s="2171"/>
      <c r="I342" s="2168"/>
      <c r="J342" s="178"/>
      <c r="K342" s="2168"/>
      <c r="L342" s="2166"/>
      <c r="M342" s="2166"/>
      <c r="N342" s="2166"/>
      <c r="O342" s="2166"/>
      <c r="P342" s="2171"/>
      <c r="Q342" s="2167"/>
      <c r="R342" s="437"/>
      <c r="S342" s="2168"/>
      <c r="T342" s="179"/>
      <c r="U342" s="178"/>
      <c r="V342" s="2168"/>
      <c r="W342" s="2168"/>
      <c r="X342" s="470"/>
      <c r="Y342" s="470"/>
      <c r="Z342" s="471"/>
      <c r="AA342" s="471"/>
      <c r="AB342" s="466"/>
    </row>
    <row r="343" spans="1:28" s="352" customFormat="1" ht="18" customHeight="1" x14ac:dyDescent="0.2">
      <c r="A343" s="2166"/>
      <c r="B343" s="177"/>
      <c r="C343" s="177"/>
      <c r="D343" s="2166"/>
      <c r="E343" s="2166"/>
      <c r="F343" s="2166"/>
      <c r="G343" s="2166"/>
      <c r="H343" s="2171"/>
      <c r="I343" s="2168"/>
      <c r="J343" s="178"/>
      <c r="K343" s="2168"/>
      <c r="L343" s="2166"/>
      <c r="M343" s="2166"/>
      <c r="N343" s="2166"/>
      <c r="O343" s="2166"/>
      <c r="P343" s="2171"/>
      <c r="Q343" s="2167"/>
      <c r="R343" s="437"/>
      <c r="S343" s="2168"/>
      <c r="T343" s="179"/>
      <c r="U343" s="178"/>
      <c r="V343" s="2168"/>
      <c r="W343" s="2168"/>
      <c r="X343" s="470"/>
      <c r="Y343" s="470"/>
      <c r="Z343" s="471"/>
      <c r="AA343" s="471"/>
      <c r="AB343" s="466"/>
    </row>
    <row r="344" spans="1:28" s="352" customFormat="1" ht="18" customHeight="1" x14ac:dyDescent="0.2">
      <c r="A344" s="2166"/>
      <c r="B344" s="177"/>
      <c r="C344" s="177"/>
      <c r="D344" s="2166"/>
      <c r="E344" s="2166"/>
      <c r="F344" s="2166"/>
      <c r="G344" s="2166"/>
      <c r="H344" s="2171"/>
      <c r="I344" s="2168"/>
      <c r="J344" s="178"/>
      <c r="K344" s="2168"/>
      <c r="L344" s="2166"/>
      <c r="M344" s="2166"/>
      <c r="N344" s="2166"/>
      <c r="O344" s="2166"/>
      <c r="P344" s="2171"/>
      <c r="Q344" s="2167"/>
      <c r="R344" s="437"/>
      <c r="S344" s="2168"/>
      <c r="T344" s="179"/>
      <c r="U344" s="178"/>
      <c r="V344" s="2168"/>
      <c r="W344" s="2168"/>
      <c r="X344" s="470"/>
      <c r="Y344" s="470"/>
      <c r="Z344" s="471"/>
      <c r="AA344" s="471"/>
      <c r="AB344" s="466"/>
    </row>
    <row r="345" spans="1:28" s="352" customFormat="1" ht="18" customHeight="1" x14ac:dyDescent="0.2">
      <c r="A345" s="88"/>
      <c r="B345" s="180"/>
      <c r="C345" s="180"/>
      <c r="D345" s="88"/>
      <c r="E345" s="88"/>
      <c r="F345" s="88"/>
      <c r="G345" s="88"/>
      <c r="H345" s="120"/>
      <c r="I345" s="121"/>
      <c r="J345" s="181"/>
      <c r="K345" s="121"/>
      <c r="L345" s="88"/>
      <c r="M345" s="88"/>
      <c r="N345" s="88"/>
      <c r="O345" s="88"/>
      <c r="P345" s="88"/>
      <c r="Q345" s="129"/>
      <c r="R345" s="445"/>
      <c r="S345" s="121"/>
      <c r="T345" s="182"/>
      <c r="U345" s="181"/>
      <c r="V345" s="121"/>
      <c r="W345" s="121"/>
      <c r="X345" s="472"/>
      <c r="Y345" s="472"/>
      <c r="Z345" s="473"/>
      <c r="AA345" s="473"/>
      <c r="AB345" s="410"/>
    </row>
    <row r="346" spans="1:28" s="352" customFormat="1" ht="18" customHeight="1" x14ac:dyDescent="0.2">
      <c r="A346" s="1850"/>
      <c r="B346" s="1850"/>
      <c r="C346" s="1850"/>
      <c r="D346" s="1850"/>
      <c r="E346" s="1850"/>
      <c r="F346" s="1850"/>
      <c r="G346" s="1850"/>
      <c r="H346" s="1851"/>
      <c r="I346" s="1852"/>
      <c r="J346" s="1853"/>
      <c r="K346" s="1852"/>
      <c r="L346" s="1852"/>
      <c r="M346" s="1852"/>
      <c r="N346" s="1852"/>
      <c r="O346" s="1852"/>
      <c r="P346" s="1852"/>
      <c r="Q346" s="1852"/>
      <c r="R346" s="1854"/>
      <c r="S346" s="1852"/>
      <c r="T346" s="1855"/>
      <c r="U346" s="1853"/>
      <c r="V346" s="1852"/>
      <c r="W346" s="1852"/>
      <c r="X346" s="1856"/>
      <c r="Y346" s="1856"/>
      <c r="Z346" s="1857"/>
      <c r="AA346" s="1857"/>
      <c r="AB346" s="1847">
        <f>SUM(AB333:AB345)</f>
        <v>1104.624</v>
      </c>
    </row>
    <row r="347" spans="1:28" s="352" customFormat="1" ht="18" customHeight="1" x14ac:dyDescent="0.2">
      <c r="A347" s="2778" t="s">
        <v>76</v>
      </c>
      <c r="B347" s="2778"/>
      <c r="C347" s="2779" t="s">
        <v>77</v>
      </c>
      <c r="D347" s="2779"/>
      <c r="E347" s="2779"/>
      <c r="F347" s="2779"/>
      <c r="G347" s="2779"/>
      <c r="H347" s="2779"/>
      <c r="I347" s="424" t="s">
        <v>78</v>
      </c>
      <c r="J347" s="424"/>
      <c r="K347" s="424"/>
      <c r="L347" s="424"/>
      <c r="M347" s="424"/>
      <c r="N347" s="424"/>
      <c r="AB347" s="425"/>
    </row>
    <row r="348" spans="1:28" s="352" customFormat="1" ht="18" customHeight="1" x14ac:dyDescent="0.2">
      <c r="A348" s="424"/>
      <c r="B348" s="426"/>
      <c r="C348" s="424"/>
      <c r="D348" s="424"/>
      <c r="E348" s="424"/>
      <c r="F348" s="424"/>
      <c r="G348" s="424"/>
      <c r="H348" s="424"/>
      <c r="I348" s="424" t="s">
        <v>79</v>
      </c>
      <c r="J348" s="424"/>
      <c r="K348" s="424"/>
      <c r="L348" s="424"/>
      <c r="M348" s="424"/>
      <c r="N348" s="424"/>
      <c r="AB348" s="425"/>
    </row>
    <row r="349" spans="1:28" s="352" customFormat="1" ht="18" customHeight="1" x14ac:dyDescent="0.2">
      <c r="A349" s="424"/>
      <c r="B349" s="426"/>
      <c r="C349" s="424"/>
      <c r="D349" s="424"/>
      <c r="E349" s="424"/>
      <c r="F349" s="424"/>
      <c r="G349" s="424"/>
      <c r="H349" s="424"/>
      <c r="I349" s="424" t="s">
        <v>80</v>
      </c>
      <c r="J349" s="424"/>
      <c r="K349" s="424"/>
      <c r="L349" s="424"/>
      <c r="M349" s="424"/>
      <c r="N349" s="424"/>
      <c r="AB349" s="425"/>
    </row>
    <row r="350" spans="1:28" s="352" customFormat="1" ht="18" customHeight="1" x14ac:dyDescent="0.2">
      <c r="A350" s="424"/>
      <c r="B350" s="426"/>
      <c r="C350" s="424"/>
      <c r="D350" s="424"/>
      <c r="E350" s="424"/>
      <c r="F350" s="424"/>
      <c r="G350" s="424"/>
      <c r="H350" s="424"/>
      <c r="I350" s="424" t="s">
        <v>81</v>
      </c>
      <c r="J350" s="424"/>
      <c r="K350" s="424"/>
      <c r="L350" s="424"/>
      <c r="M350" s="424"/>
      <c r="N350" s="424"/>
      <c r="AB350" s="425"/>
    </row>
    <row r="351" spans="1:28" s="352" customFormat="1" ht="18" customHeight="1" x14ac:dyDescent="0.2">
      <c r="A351" s="424"/>
      <c r="B351" s="426"/>
      <c r="C351" s="424"/>
      <c r="D351" s="424"/>
      <c r="E351" s="424"/>
      <c r="F351" s="424"/>
      <c r="G351" s="424"/>
      <c r="H351" s="424"/>
      <c r="I351" s="424" t="s">
        <v>88</v>
      </c>
      <c r="J351" s="424"/>
      <c r="K351" s="424"/>
      <c r="L351" s="424"/>
      <c r="M351" s="424"/>
      <c r="N351" s="424"/>
      <c r="AB351" s="425"/>
    </row>
    <row r="352" spans="1:28" s="352" customFormat="1" ht="18" customHeight="1" x14ac:dyDescent="0.2">
      <c r="A352" s="1073"/>
      <c r="B352" s="1073"/>
      <c r="C352" s="1073"/>
      <c r="D352" s="1073"/>
      <c r="E352" s="1073"/>
      <c r="F352" s="1073"/>
      <c r="G352" s="1073"/>
      <c r="H352" s="1073"/>
      <c r="I352" s="1073"/>
      <c r="J352" s="1073"/>
      <c r="K352" s="1073"/>
      <c r="L352" s="1073"/>
      <c r="M352" s="1073"/>
      <c r="N352" s="1073"/>
      <c r="O352" s="1073"/>
      <c r="P352" s="1073"/>
      <c r="Q352" s="1073"/>
      <c r="R352" s="1073"/>
      <c r="S352" s="1073"/>
      <c r="T352" s="1073"/>
      <c r="U352" s="1073"/>
      <c r="V352" s="1073"/>
      <c r="W352" s="1073"/>
      <c r="X352" s="1073"/>
      <c r="Y352" s="1073"/>
      <c r="Z352" s="1073"/>
      <c r="AA352" s="2784" t="s">
        <v>0</v>
      </c>
      <c r="AB352" s="2784"/>
    </row>
    <row r="353" spans="1:28" s="352" customFormat="1" ht="18" customHeight="1" x14ac:dyDescent="0.2">
      <c r="A353" s="2703" t="s">
        <v>1</v>
      </c>
      <c r="B353" s="2703"/>
      <c r="C353" s="2703"/>
      <c r="D353" s="2703"/>
      <c r="E353" s="2703"/>
      <c r="F353" s="2703"/>
      <c r="G353" s="2703"/>
      <c r="H353" s="2703"/>
      <c r="I353" s="2703"/>
      <c r="J353" s="2703"/>
      <c r="K353" s="2703"/>
      <c r="L353" s="2703"/>
      <c r="M353" s="2703"/>
      <c r="N353" s="2703"/>
      <c r="O353" s="2703"/>
      <c r="P353" s="2703"/>
      <c r="Q353" s="2703"/>
      <c r="R353" s="2703"/>
      <c r="S353" s="2703"/>
      <c r="T353" s="2703"/>
      <c r="U353" s="2703"/>
      <c r="V353" s="2703"/>
      <c r="W353" s="2703"/>
      <c r="X353" s="2703"/>
      <c r="Y353" s="2703"/>
      <c r="Z353" s="2703"/>
      <c r="AA353" s="2703"/>
      <c r="AB353" s="2703"/>
    </row>
    <row r="354" spans="1:28" s="352" customFormat="1" ht="18" customHeight="1" x14ac:dyDescent="0.2">
      <c r="A354" s="2780" t="s">
        <v>491</v>
      </c>
      <c r="B354" s="2780"/>
      <c r="C354" s="2780"/>
      <c r="D354" s="2780"/>
      <c r="E354" s="2780"/>
      <c r="F354" s="2780"/>
      <c r="G354" s="2780"/>
      <c r="H354" s="2780"/>
      <c r="I354" s="2780"/>
      <c r="J354" s="2780"/>
      <c r="K354" s="2780"/>
      <c r="L354" s="2780"/>
      <c r="M354" s="2780"/>
      <c r="N354" s="2780"/>
      <c r="O354" s="2780"/>
      <c r="P354" s="2780"/>
      <c r="Q354" s="2780"/>
      <c r="R354" s="2780"/>
      <c r="S354" s="2780"/>
      <c r="T354" s="2780"/>
      <c r="U354" s="2780"/>
      <c r="V354" s="2780"/>
      <c r="W354" s="2780"/>
      <c r="X354" s="2780"/>
      <c r="Y354" s="2780"/>
      <c r="Z354" s="2780"/>
      <c r="AA354" s="2780"/>
      <c r="AB354" s="2780"/>
    </row>
    <row r="355" spans="1:28" s="352" customFormat="1" ht="18" customHeight="1" x14ac:dyDescent="0.2">
      <c r="A355" s="2686" t="s">
        <v>2</v>
      </c>
      <c r="B355" s="360"/>
      <c r="C355" s="2686" t="s">
        <v>3</v>
      </c>
      <c r="D355" s="360"/>
      <c r="E355" s="360"/>
      <c r="F355" s="2693" t="s">
        <v>4</v>
      </c>
      <c r="G355" s="2693"/>
      <c r="H355" s="2693"/>
      <c r="I355" s="2694"/>
      <c r="J355" s="2694"/>
      <c r="K355" s="2695"/>
      <c r="L355" s="361"/>
      <c r="M355" s="2679" t="s">
        <v>5</v>
      </c>
      <c r="N355" s="2679"/>
      <c r="O355" s="2679"/>
      <c r="P355" s="2679"/>
      <c r="Q355" s="2696"/>
      <c r="R355" s="2696"/>
      <c r="S355" s="2696"/>
      <c r="T355" s="2696"/>
      <c r="U355" s="2696"/>
      <c r="V355" s="2697"/>
      <c r="W355" s="362" t="s">
        <v>6</v>
      </c>
      <c r="X355" s="363" t="s">
        <v>7</v>
      </c>
      <c r="Y355" s="364"/>
      <c r="Z355" s="364"/>
      <c r="AA355" s="363"/>
      <c r="AB355" s="365"/>
    </row>
    <row r="356" spans="1:28" s="352" customFormat="1" ht="18" customHeight="1" x14ac:dyDescent="0.2">
      <c r="A356" s="2687"/>
      <c r="B356" s="367"/>
      <c r="C356" s="2687"/>
      <c r="D356" s="2158" t="s">
        <v>9</v>
      </c>
      <c r="E356" s="368" t="s">
        <v>10</v>
      </c>
      <c r="F356" s="2698" t="s">
        <v>11</v>
      </c>
      <c r="G356" s="2694"/>
      <c r="H356" s="2695"/>
      <c r="I356" s="360"/>
      <c r="J356" s="369" t="s">
        <v>12</v>
      </c>
      <c r="K356" s="360"/>
      <c r="L356" s="2679" t="s">
        <v>2</v>
      </c>
      <c r="M356" s="2162"/>
      <c r="N356" s="2162"/>
      <c r="O356" s="2162"/>
      <c r="P356" s="371"/>
      <c r="Q356" s="372" t="s">
        <v>13</v>
      </c>
      <c r="R356" s="373" t="s">
        <v>12</v>
      </c>
      <c r="S356" s="2162" t="s">
        <v>6</v>
      </c>
      <c r="T356" s="2682" t="s">
        <v>14</v>
      </c>
      <c r="U356" s="2683"/>
      <c r="V356" s="375" t="s">
        <v>7</v>
      </c>
      <c r="W356" s="376" t="s">
        <v>15</v>
      </c>
      <c r="X356" s="377" t="s">
        <v>16</v>
      </c>
      <c r="Y356" s="377" t="s">
        <v>17</v>
      </c>
      <c r="Z356" s="377" t="s">
        <v>18</v>
      </c>
      <c r="AA356" s="377"/>
      <c r="AB356" s="378" t="s">
        <v>19</v>
      </c>
    </row>
    <row r="357" spans="1:28" s="352" customFormat="1" ht="18" customHeight="1" x14ac:dyDescent="0.2">
      <c r="A357" s="2687"/>
      <c r="B357" s="2158" t="s">
        <v>23</v>
      </c>
      <c r="C357" s="2687"/>
      <c r="D357" s="2158" t="s">
        <v>24</v>
      </c>
      <c r="E357" s="368" t="s">
        <v>25</v>
      </c>
      <c r="F357" s="2699"/>
      <c r="G357" s="2700"/>
      <c r="H357" s="2701"/>
      <c r="I357" s="2158" t="s">
        <v>26</v>
      </c>
      <c r="J357" s="379" t="s">
        <v>15</v>
      </c>
      <c r="K357" s="2159" t="s">
        <v>6</v>
      </c>
      <c r="L357" s="2680"/>
      <c r="M357" s="2163" t="s">
        <v>27</v>
      </c>
      <c r="N357" s="2163" t="s">
        <v>10</v>
      </c>
      <c r="O357" s="382" t="s">
        <v>10</v>
      </c>
      <c r="P357" s="383" t="s">
        <v>28</v>
      </c>
      <c r="Q357" s="384" t="s">
        <v>29</v>
      </c>
      <c r="R357" s="383" t="s">
        <v>15</v>
      </c>
      <c r="S357" s="385" t="s">
        <v>15</v>
      </c>
      <c r="T357" s="2684"/>
      <c r="U357" s="2685"/>
      <c r="V357" s="375" t="s">
        <v>30</v>
      </c>
      <c r="W357" s="376" t="s">
        <v>31</v>
      </c>
      <c r="X357" s="377" t="s">
        <v>30</v>
      </c>
      <c r="Y357" s="377" t="s">
        <v>32</v>
      </c>
      <c r="Z357" s="377" t="s">
        <v>7</v>
      </c>
      <c r="AA357" s="377" t="s">
        <v>33</v>
      </c>
      <c r="AB357" s="378" t="s">
        <v>34</v>
      </c>
    </row>
    <row r="358" spans="1:28" s="352" customFormat="1" ht="18" customHeight="1" x14ac:dyDescent="0.2">
      <c r="A358" s="2687"/>
      <c r="B358" s="2158" t="s">
        <v>39</v>
      </c>
      <c r="C358" s="2687"/>
      <c r="D358" s="2158" t="s">
        <v>40</v>
      </c>
      <c r="E358" s="368" t="s">
        <v>41</v>
      </c>
      <c r="F358" s="2686" t="s">
        <v>42</v>
      </c>
      <c r="G358" s="2686" t="s">
        <v>43</v>
      </c>
      <c r="H358" s="2688" t="s">
        <v>44</v>
      </c>
      <c r="I358" s="2158" t="s">
        <v>45</v>
      </c>
      <c r="J358" s="379" t="s">
        <v>46</v>
      </c>
      <c r="K358" s="2159" t="s">
        <v>47</v>
      </c>
      <c r="L358" s="2680"/>
      <c r="M358" s="2163" t="s">
        <v>30</v>
      </c>
      <c r="N358" s="2163" t="s">
        <v>30</v>
      </c>
      <c r="O358" s="382" t="s">
        <v>25</v>
      </c>
      <c r="P358" s="383" t="s">
        <v>30</v>
      </c>
      <c r="Q358" s="384" t="s">
        <v>48</v>
      </c>
      <c r="R358" s="383" t="s">
        <v>49</v>
      </c>
      <c r="S358" s="385" t="s">
        <v>30</v>
      </c>
      <c r="T358" s="386" t="s">
        <v>50</v>
      </c>
      <c r="U358" s="2161" t="s">
        <v>13</v>
      </c>
      <c r="V358" s="375" t="s">
        <v>51</v>
      </c>
      <c r="W358" s="376" t="s">
        <v>52</v>
      </c>
      <c r="X358" s="377" t="s">
        <v>53</v>
      </c>
      <c r="Y358" s="377" t="s">
        <v>54</v>
      </c>
      <c r="Z358" s="377" t="s">
        <v>55</v>
      </c>
      <c r="AA358" s="377" t="s">
        <v>56</v>
      </c>
      <c r="AB358" s="378" t="s">
        <v>57</v>
      </c>
    </row>
    <row r="359" spans="1:28" s="352" customFormat="1" ht="18" customHeight="1" x14ac:dyDescent="0.2">
      <c r="A359" s="2687"/>
      <c r="B359" s="2158" t="s">
        <v>61</v>
      </c>
      <c r="C359" s="2687"/>
      <c r="D359" s="2158" t="s">
        <v>62</v>
      </c>
      <c r="E359" s="368" t="s">
        <v>63</v>
      </c>
      <c r="F359" s="2687"/>
      <c r="G359" s="2687"/>
      <c r="H359" s="2689"/>
      <c r="I359" s="2158" t="s">
        <v>64</v>
      </c>
      <c r="J359" s="379" t="s">
        <v>59</v>
      </c>
      <c r="K359" s="2159" t="s">
        <v>59</v>
      </c>
      <c r="L359" s="2680"/>
      <c r="M359" s="2163"/>
      <c r="N359" s="2163"/>
      <c r="O359" s="382" t="s">
        <v>41</v>
      </c>
      <c r="P359" s="383" t="s">
        <v>65</v>
      </c>
      <c r="Q359" s="384" t="s">
        <v>66</v>
      </c>
      <c r="R359" s="383" t="s">
        <v>67</v>
      </c>
      <c r="S359" s="385" t="s">
        <v>59</v>
      </c>
      <c r="T359" s="387" t="s">
        <v>68</v>
      </c>
      <c r="U359" s="375" t="s">
        <v>14</v>
      </c>
      <c r="V359" s="375" t="s">
        <v>14</v>
      </c>
      <c r="W359" s="376" t="s">
        <v>30</v>
      </c>
      <c r="X359" s="388" t="s">
        <v>69</v>
      </c>
      <c r="Y359" s="388" t="s">
        <v>70</v>
      </c>
      <c r="Z359" s="377" t="s">
        <v>71</v>
      </c>
      <c r="AA359" s="377" t="s">
        <v>72</v>
      </c>
      <c r="AB359" s="378" t="s">
        <v>59</v>
      </c>
    </row>
    <row r="360" spans="1:28" s="352" customFormat="1" ht="18" customHeight="1" x14ac:dyDescent="0.2">
      <c r="A360" s="2692"/>
      <c r="B360" s="390"/>
      <c r="C360" s="2692"/>
      <c r="D360" s="390"/>
      <c r="E360" s="2160"/>
      <c r="F360" s="390"/>
      <c r="G360" s="390"/>
      <c r="H360" s="391"/>
      <c r="I360" s="2160"/>
      <c r="J360" s="392"/>
      <c r="K360" s="393"/>
      <c r="L360" s="2681"/>
      <c r="M360" s="2164"/>
      <c r="N360" s="2164"/>
      <c r="O360" s="2164" t="s">
        <v>63</v>
      </c>
      <c r="P360" s="395"/>
      <c r="Q360" s="396" t="s">
        <v>72</v>
      </c>
      <c r="R360" s="397" t="s">
        <v>59</v>
      </c>
      <c r="S360" s="398"/>
      <c r="T360" s="397" t="s">
        <v>73</v>
      </c>
      <c r="U360" s="398" t="s">
        <v>59</v>
      </c>
      <c r="V360" s="399" t="s">
        <v>59</v>
      </c>
      <c r="W360" s="400" t="s">
        <v>59</v>
      </c>
      <c r="X360" s="401" t="s">
        <v>59</v>
      </c>
      <c r="Y360" s="401" t="s">
        <v>59</v>
      </c>
      <c r="Z360" s="401" t="s">
        <v>59</v>
      </c>
      <c r="AA360" s="402"/>
      <c r="AB360" s="403"/>
    </row>
    <row r="361" spans="1:28" s="352" customFormat="1" ht="18" customHeight="1" x14ac:dyDescent="0.25">
      <c r="A361" s="53">
        <v>1</v>
      </c>
      <c r="B361" s="333">
        <v>49422</v>
      </c>
      <c r="C361" s="41">
        <v>1542</v>
      </c>
      <c r="D361" s="41" t="s">
        <v>84</v>
      </c>
      <c r="E361" s="41">
        <v>5</v>
      </c>
      <c r="F361" s="41">
        <v>0</v>
      </c>
      <c r="G361" s="41">
        <v>2</v>
      </c>
      <c r="H361" s="267">
        <v>94.1</v>
      </c>
      <c r="I361" s="302">
        <f>F361*400+G361*100+H361</f>
        <v>294.10000000000002</v>
      </c>
      <c r="J361" s="667">
        <v>2300</v>
      </c>
      <c r="K361" s="311">
        <f>SUM(I361*J361)</f>
        <v>676430</v>
      </c>
      <c r="L361" s="16">
        <v>1</v>
      </c>
      <c r="M361" s="82">
        <v>103</v>
      </c>
      <c r="N361" s="41" t="s">
        <v>74</v>
      </c>
      <c r="O361" s="16">
        <v>2</v>
      </c>
      <c r="P361" s="756">
        <f>13*13</f>
        <v>169</v>
      </c>
      <c r="Q361" s="14" t="s">
        <v>75</v>
      </c>
      <c r="R361" s="302">
        <v>9050</v>
      </c>
      <c r="S361" s="302">
        <f>+P361*R361</f>
        <v>1529450</v>
      </c>
      <c r="T361" s="309">
        <v>24</v>
      </c>
      <c r="U361" s="306">
        <f>+S361*0.38</f>
        <v>581191</v>
      </c>
      <c r="V361" s="310">
        <f>+S361-U361</f>
        <v>948259</v>
      </c>
      <c r="W361" s="296">
        <f>K361+V361</f>
        <v>1624689</v>
      </c>
      <c r="X361" s="299">
        <f>W361</f>
        <v>1624689</v>
      </c>
      <c r="Y361" s="296" t="s">
        <v>87</v>
      </c>
      <c r="Z361" s="296">
        <v>0</v>
      </c>
      <c r="AA361" s="494">
        <v>0.02</v>
      </c>
      <c r="AB361" s="465">
        <f>+Z361*AA361/100</f>
        <v>0</v>
      </c>
    </row>
    <row r="362" spans="1:28" s="352" customFormat="1" ht="18" customHeight="1" x14ac:dyDescent="0.2">
      <c r="A362" s="61"/>
      <c r="B362" s="15"/>
      <c r="C362" s="27"/>
      <c r="D362" s="27"/>
      <c r="E362" s="15"/>
      <c r="F362" s="15"/>
      <c r="G362" s="15"/>
      <c r="H362" s="284">
        <v>17.875</v>
      </c>
      <c r="I362" s="299">
        <f t="shared" ref="I362:I363" si="42">F362*400+G362*100+H362</f>
        <v>17.875</v>
      </c>
      <c r="J362" s="671">
        <v>2300</v>
      </c>
      <c r="K362" s="312">
        <f t="shared" ref="K362:K363" si="43">SUM(I362*J362)</f>
        <v>41112.5</v>
      </c>
      <c r="L362" s="45">
        <v>2</v>
      </c>
      <c r="M362" s="88">
        <v>504</v>
      </c>
      <c r="N362" s="27" t="s">
        <v>74</v>
      </c>
      <c r="O362" s="45">
        <v>3</v>
      </c>
      <c r="P362" s="1019">
        <f>13*5.5</f>
        <v>71.5</v>
      </c>
      <c r="Q362" s="62" t="s">
        <v>75</v>
      </c>
      <c r="R362" s="299">
        <v>3100</v>
      </c>
      <c r="S362" s="299">
        <f>+P362*R362</f>
        <v>221650</v>
      </c>
      <c r="T362" s="298">
        <v>24</v>
      </c>
      <c r="U362" s="305">
        <f>+S362*0.38</f>
        <v>84227</v>
      </c>
      <c r="V362" s="306">
        <f>+S362-U362</f>
        <v>137423</v>
      </c>
      <c r="W362" s="296">
        <f>K362+V362</f>
        <v>178535.5</v>
      </c>
      <c r="X362" s="299">
        <f>W362</f>
        <v>178535.5</v>
      </c>
      <c r="Y362" s="296"/>
      <c r="Z362" s="296">
        <f>+X362</f>
        <v>178535.5</v>
      </c>
      <c r="AA362" s="494">
        <v>0.3</v>
      </c>
      <c r="AB362" s="416">
        <f>+Z362*AA362/100</f>
        <v>535.60649999999998</v>
      </c>
    </row>
    <row r="363" spans="1:28" s="352" customFormat="1" ht="18" customHeight="1" x14ac:dyDescent="0.2">
      <c r="A363" s="242"/>
      <c r="B363" s="27"/>
      <c r="C363" s="15"/>
      <c r="D363" s="270"/>
      <c r="E363" s="15"/>
      <c r="F363" s="27"/>
      <c r="G363" s="27"/>
      <c r="H363" s="557"/>
      <c r="I363" s="299">
        <f t="shared" si="42"/>
        <v>0</v>
      </c>
      <c r="J363" s="671"/>
      <c r="K363" s="312">
        <f t="shared" si="43"/>
        <v>0</v>
      </c>
      <c r="L363" s="50">
        <v>3</v>
      </c>
      <c r="M363" s="88">
        <v>101</v>
      </c>
      <c r="N363" s="27" t="s">
        <v>82</v>
      </c>
      <c r="O363" s="45">
        <v>2</v>
      </c>
      <c r="P363" s="1019">
        <f>16.13*12.3</f>
        <v>198.399</v>
      </c>
      <c r="Q363" s="76" t="s">
        <v>75</v>
      </c>
      <c r="R363" s="296">
        <v>7700</v>
      </c>
      <c r="S363" s="299">
        <f>+P363*R363</f>
        <v>1527672.3</v>
      </c>
      <c r="T363" s="298">
        <v>22</v>
      </c>
      <c r="U363" s="305">
        <f>+S363*0.93</f>
        <v>1420735.2390000001</v>
      </c>
      <c r="V363" s="306">
        <f>+S363-U363</f>
        <v>106937.06099999999</v>
      </c>
      <c r="W363" s="296">
        <f>K363+V363</f>
        <v>106937.06099999999</v>
      </c>
      <c r="X363" s="299">
        <f>W363</f>
        <v>106937.06099999999</v>
      </c>
      <c r="Y363" s="296" t="s">
        <v>125</v>
      </c>
      <c r="Z363" s="296"/>
      <c r="AA363" s="494">
        <v>0.02</v>
      </c>
      <c r="AB363" s="415">
        <f>+Z363*AA363/100</f>
        <v>0</v>
      </c>
    </row>
    <row r="364" spans="1:28" s="352" customFormat="1" ht="18" customHeight="1" x14ac:dyDescent="0.2">
      <c r="A364" s="242"/>
      <c r="B364" s="242"/>
      <c r="C364" s="496"/>
      <c r="D364" s="85"/>
      <c r="E364" s="85"/>
      <c r="F364" s="411"/>
      <c r="G364" s="242"/>
      <c r="H364" s="497"/>
      <c r="I364" s="77"/>
      <c r="J364" s="761"/>
      <c r="K364" s="762"/>
      <c r="L364" s="242"/>
      <c r="M364" s="242"/>
      <c r="N364" s="242"/>
      <c r="O364" s="242"/>
      <c r="P364" s="497"/>
      <c r="Q364" s="496"/>
      <c r="R364" s="408"/>
      <c r="S364" s="77"/>
      <c r="T364" s="135"/>
      <c r="U364" s="74"/>
      <c r="V364" s="74"/>
      <c r="W364" s="77"/>
      <c r="X364" s="74"/>
      <c r="Y364" s="77"/>
      <c r="Z364" s="77"/>
      <c r="AA364" s="2170"/>
      <c r="AB364" s="410"/>
    </row>
    <row r="365" spans="1:28" s="352" customFormat="1" ht="18" customHeight="1" x14ac:dyDescent="0.2">
      <c r="A365" s="242"/>
      <c r="B365" s="242"/>
      <c r="C365" s="496"/>
      <c r="D365" s="85"/>
      <c r="E365" s="85"/>
      <c r="F365" s="411"/>
      <c r="G365" s="242"/>
      <c r="H365" s="497"/>
      <c r="I365" s="77"/>
      <c r="J365" s="761"/>
      <c r="K365" s="762"/>
      <c r="L365" s="75"/>
      <c r="M365" s="2166"/>
      <c r="N365" s="2166"/>
      <c r="O365" s="61"/>
      <c r="P365" s="2166"/>
      <c r="Q365" s="174"/>
      <c r="R365" s="408"/>
      <c r="S365" s="77"/>
      <c r="T365" s="135"/>
      <c r="U365" s="74"/>
      <c r="V365" s="74"/>
      <c r="W365" s="77"/>
      <c r="X365" s="74"/>
      <c r="Y365" s="77"/>
      <c r="Z365" s="77"/>
      <c r="AA365" s="2170"/>
      <c r="AB365" s="416"/>
    </row>
    <row r="366" spans="1:28" s="352" customFormat="1" ht="18" customHeight="1" x14ac:dyDescent="0.2">
      <c r="A366" s="242"/>
      <c r="B366" s="242"/>
      <c r="C366" s="496"/>
      <c r="D366" s="85"/>
      <c r="E366" s="85"/>
      <c r="F366" s="411"/>
      <c r="G366" s="242"/>
      <c r="H366" s="497"/>
      <c r="I366" s="77"/>
      <c r="J366" s="761"/>
      <c r="K366" s="762"/>
      <c r="L366" s="242"/>
      <c r="M366" s="2166"/>
      <c r="N366" s="2166"/>
      <c r="O366" s="61"/>
      <c r="P366" s="497"/>
      <c r="Q366" s="174"/>
      <c r="R366" s="408"/>
      <c r="S366" s="77"/>
      <c r="T366" s="135"/>
      <c r="U366" s="74"/>
      <c r="V366" s="74"/>
      <c r="W366" s="77"/>
      <c r="X366" s="74"/>
      <c r="Y366" s="77"/>
      <c r="Z366" s="77"/>
      <c r="AA366" s="2170"/>
      <c r="AB366" s="415"/>
    </row>
    <row r="367" spans="1:28" s="352" customFormat="1" ht="18" customHeight="1" x14ac:dyDescent="0.2">
      <c r="A367" s="242"/>
      <c r="B367" s="242"/>
      <c r="C367" s="496"/>
      <c r="D367" s="85"/>
      <c r="E367" s="85"/>
      <c r="F367" s="411"/>
      <c r="G367" s="242"/>
      <c r="H367" s="497"/>
      <c r="I367" s="77"/>
      <c r="J367" s="761"/>
      <c r="K367" s="762"/>
      <c r="L367" s="242"/>
      <c r="M367" s="2166"/>
      <c r="N367" s="2166"/>
      <c r="O367" s="61"/>
      <c r="P367" s="497"/>
      <c r="Q367" s="174"/>
      <c r="R367" s="408"/>
      <c r="S367" s="77"/>
      <c r="T367" s="135"/>
      <c r="U367" s="74"/>
      <c r="V367" s="74"/>
      <c r="W367" s="77"/>
      <c r="X367" s="74"/>
      <c r="Y367" s="77"/>
      <c r="Z367" s="77"/>
      <c r="AA367" s="2170"/>
      <c r="AB367" s="410"/>
    </row>
    <row r="368" spans="1:28" s="352" customFormat="1" ht="18" customHeight="1" x14ac:dyDescent="0.2">
      <c r="A368" s="2166"/>
      <c r="B368" s="177"/>
      <c r="C368" s="177"/>
      <c r="D368" s="2166"/>
      <c r="E368" s="2166"/>
      <c r="F368" s="2166"/>
      <c r="G368" s="2166"/>
      <c r="H368" s="2171"/>
      <c r="I368" s="2168"/>
      <c r="J368" s="178"/>
      <c r="K368" s="2168"/>
      <c r="L368" s="2166"/>
      <c r="M368" s="2166"/>
      <c r="N368" s="2166"/>
      <c r="O368" s="2166"/>
      <c r="P368" s="2171"/>
      <c r="Q368" s="2167"/>
      <c r="R368" s="437"/>
      <c r="S368" s="2168"/>
      <c r="T368" s="179"/>
      <c r="U368" s="178"/>
      <c r="V368" s="2168"/>
      <c r="W368" s="2168"/>
      <c r="X368" s="470"/>
      <c r="Y368" s="470"/>
      <c r="Z368" s="471"/>
      <c r="AA368" s="471"/>
      <c r="AB368" s="466"/>
    </row>
    <row r="369" spans="1:28" s="352" customFormat="1" ht="18" customHeight="1" x14ac:dyDescent="0.2">
      <c r="A369" s="2166"/>
      <c r="B369" s="177"/>
      <c r="C369" s="177"/>
      <c r="D369" s="2166"/>
      <c r="E369" s="2166"/>
      <c r="F369" s="2166"/>
      <c r="G369" s="2166"/>
      <c r="H369" s="2171"/>
      <c r="I369" s="2168"/>
      <c r="J369" s="178"/>
      <c r="K369" s="2168"/>
      <c r="L369" s="2166"/>
      <c r="M369" s="2166"/>
      <c r="N369" s="2166"/>
      <c r="O369" s="2166"/>
      <c r="P369" s="2171"/>
      <c r="Q369" s="2167"/>
      <c r="R369" s="437"/>
      <c r="S369" s="2168"/>
      <c r="T369" s="179"/>
      <c r="U369" s="178"/>
      <c r="V369" s="2168"/>
      <c r="W369" s="2168"/>
      <c r="X369" s="470"/>
      <c r="Y369" s="470"/>
      <c r="Z369" s="471"/>
      <c r="AA369" s="471"/>
      <c r="AB369" s="466"/>
    </row>
    <row r="370" spans="1:28" s="352" customFormat="1" ht="18" customHeight="1" x14ac:dyDescent="0.2">
      <c r="A370" s="2166"/>
      <c r="B370" s="177"/>
      <c r="C370" s="177"/>
      <c r="D370" s="2166"/>
      <c r="E370" s="2166"/>
      <c r="F370" s="2166"/>
      <c r="G370" s="2166"/>
      <c r="H370" s="2171"/>
      <c r="I370" s="2168"/>
      <c r="J370" s="178"/>
      <c r="K370" s="2168"/>
      <c r="L370" s="2166"/>
      <c r="M370" s="2166"/>
      <c r="N370" s="2166"/>
      <c r="O370" s="2166"/>
      <c r="P370" s="2171"/>
      <c r="Q370" s="2167"/>
      <c r="R370" s="437"/>
      <c r="S370" s="2168"/>
      <c r="T370" s="179"/>
      <c r="U370" s="178"/>
      <c r="V370" s="2168"/>
      <c r="W370" s="2168"/>
      <c r="X370" s="470"/>
      <c r="Y370" s="470"/>
      <c r="Z370" s="471"/>
      <c r="AA370" s="471"/>
      <c r="AB370" s="466"/>
    </row>
    <row r="371" spans="1:28" s="352" customFormat="1" ht="18" customHeight="1" x14ac:dyDescent="0.2">
      <c r="A371" s="2166"/>
      <c r="B371" s="177"/>
      <c r="C371" s="177"/>
      <c r="D371" s="2166"/>
      <c r="E371" s="2166"/>
      <c r="F371" s="2166"/>
      <c r="G371" s="2166"/>
      <c r="H371" s="2171"/>
      <c r="I371" s="2168"/>
      <c r="J371" s="178"/>
      <c r="K371" s="2168"/>
      <c r="L371" s="2166"/>
      <c r="M371" s="2166"/>
      <c r="N371" s="2166"/>
      <c r="O371" s="2166"/>
      <c r="P371" s="2171"/>
      <c r="Q371" s="2167"/>
      <c r="R371" s="437"/>
      <c r="S371" s="2168"/>
      <c r="T371" s="179"/>
      <c r="U371" s="178"/>
      <c r="V371" s="2168"/>
      <c r="W371" s="2168"/>
      <c r="X371" s="470"/>
      <c r="Y371" s="470"/>
      <c r="Z371" s="471"/>
      <c r="AA371" s="471"/>
      <c r="AB371" s="466"/>
    </row>
    <row r="372" spans="1:28" s="352" customFormat="1" ht="18" customHeight="1" x14ac:dyDescent="0.2">
      <c r="A372" s="2166"/>
      <c r="B372" s="177"/>
      <c r="C372" s="177"/>
      <c r="D372" s="2166"/>
      <c r="E372" s="2166"/>
      <c r="F372" s="2166"/>
      <c r="G372" s="2166"/>
      <c r="H372" s="2171"/>
      <c r="I372" s="2168"/>
      <c r="J372" s="178"/>
      <c r="K372" s="2168"/>
      <c r="L372" s="2166"/>
      <c r="M372" s="2166"/>
      <c r="N372" s="2166"/>
      <c r="O372" s="2166"/>
      <c r="P372" s="2171"/>
      <c r="Q372" s="2167"/>
      <c r="R372" s="437"/>
      <c r="S372" s="2168"/>
      <c r="T372" s="179"/>
      <c r="U372" s="178"/>
      <c r="V372" s="2168"/>
      <c r="W372" s="2168"/>
      <c r="X372" s="470"/>
      <c r="Y372" s="470"/>
      <c r="Z372" s="471"/>
      <c r="AA372" s="471"/>
      <c r="AB372" s="466"/>
    </row>
    <row r="373" spans="1:28" s="352" customFormat="1" ht="18" customHeight="1" x14ac:dyDescent="0.2">
      <c r="A373" s="2166"/>
      <c r="B373" s="177"/>
      <c r="C373" s="177"/>
      <c r="D373" s="2166"/>
      <c r="E373" s="2166"/>
      <c r="F373" s="2166"/>
      <c r="G373" s="2166"/>
      <c r="H373" s="2171"/>
      <c r="I373" s="2168"/>
      <c r="J373" s="178"/>
      <c r="K373" s="2168"/>
      <c r="L373" s="2166"/>
      <c r="M373" s="2166"/>
      <c r="N373" s="2166"/>
      <c r="O373" s="2166"/>
      <c r="P373" s="2171"/>
      <c r="Q373" s="2167"/>
      <c r="R373" s="437"/>
      <c r="S373" s="2168"/>
      <c r="T373" s="179"/>
      <c r="U373" s="178"/>
      <c r="V373" s="2168"/>
      <c r="W373" s="2168"/>
      <c r="X373" s="470"/>
      <c r="Y373" s="470"/>
      <c r="Z373" s="471"/>
      <c r="AA373" s="471"/>
      <c r="AB373" s="466"/>
    </row>
    <row r="374" spans="1:28" s="352" customFormat="1" ht="18" customHeight="1" x14ac:dyDescent="0.2">
      <c r="A374" s="88"/>
      <c r="B374" s="180"/>
      <c r="C374" s="180"/>
      <c r="D374" s="88"/>
      <c r="E374" s="88"/>
      <c r="F374" s="88"/>
      <c r="G374" s="88"/>
      <c r="H374" s="120"/>
      <c r="I374" s="121"/>
      <c r="J374" s="181"/>
      <c r="K374" s="121"/>
      <c r="L374" s="88" t="s">
        <v>90</v>
      </c>
      <c r="M374" s="88"/>
      <c r="N374" s="88"/>
      <c r="O374" s="88"/>
      <c r="P374" s="88"/>
      <c r="Q374" s="129"/>
      <c r="R374" s="445"/>
      <c r="S374" s="121"/>
      <c r="T374" s="182"/>
      <c r="U374" s="181"/>
      <c r="V374" s="121"/>
      <c r="W374" s="121"/>
      <c r="X374" s="472"/>
      <c r="Y374" s="472"/>
      <c r="Z374" s="473"/>
      <c r="AA374" s="473"/>
      <c r="AB374" s="410"/>
    </row>
    <row r="375" spans="1:28" s="352" customFormat="1" ht="18" customHeight="1" x14ac:dyDescent="0.2">
      <c r="A375" s="1850"/>
      <c r="B375" s="1850"/>
      <c r="C375" s="1850"/>
      <c r="D375" s="1850"/>
      <c r="E375" s="1850"/>
      <c r="F375" s="1850"/>
      <c r="G375" s="1850"/>
      <c r="H375" s="1851"/>
      <c r="I375" s="1852"/>
      <c r="J375" s="1853"/>
      <c r="K375" s="1852"/>
      <c r="L375" s="1852"/>
      <c r="M375" s="1852"/>
      <c r="N375" s="1852"/>
      <c r="O375" s="1852"/>
      <c r="P375" s="1852"/>
      <c r="Q375" s="1852"/>
      <c r="R375" s="1854"/>
      <c r="S375" s="1852"/>
      <c r="T375" s="1855"/>
      <c r="U375" s="1853"/>
      <c r="V375" s="1852"/>
      <c r="W375" s="1852"/>
      <c r="X375" s="1856"/>
      <c r="Y375" s="1856"/>
      <c r="Z375" s="1857"/>
      <c r="AA375" s="1857"/>
      <c r="AB375" s="1847">
        <f>SUM(AB361:AB374)</f>
        <v>535.60649999999998</v>
      </c>
    </row>
    <row r="376" spans="1:28" s="352" customFormat="1" ht="18" customHeight="1" x14ac:dyDescent="0.2">
      <c r="A376" s="2778" t="s">
        <v>76</v>
      </c>
      <c r="B376" s="2778"/>
      <c r="C376" s="2779" t="s">
        <v>77</v>
      </c>
      <c r="D376" s="2779"/>
      <c r="E376" s="2779"/>
      <c r="F376" s="2779"/>
      <c r="G376" s="2779"/>
      <c r="H376" s="2779"/>
      <c r="I376" s="424" t="s">
        <v>78</v>
      </c>
      <c r="J376" s="424"/>
      <c r="K376" s="424"/>
      <c r="L376" s="424"/>
      <c r="M376" s="424"/>
      <c r="N376" s="424"/>
      <c r="AB376" s="425"/>
    </row>
    <row r="377" spans="1:28" s="352" customFormat="1" ht="18" customHeight="1" x14ac:dyDescent="0.2">
      <c r="A377" s="424"/>
      <c r="B377" s="426"/>
      <c r="C377" s="424"/>
      <c r="D377" s="424"/>
      <c r="E377" s="424"/>
      <c r="F377" s="424"/>
      <c r="G377" s="424"/>
      <c r="H377" s="424"/>
      <c r="I377" s="424" t="s">
        <v>79</v>
      </c>
      <c r="J377" s="424"/>
      <c r="K377" s="424"/>
      <c r="L377" s="424"/>
      <c r="M377" s="424"/>
      <c r="N377" s="424"/>
      <c r="AB377" s="425"/>
    </row>
    <row r="378" spans="1:28" s="352" customFormat="1" ht="18" customHeight="1" x14ac:dyDescent="0.2">
      <c r="A378" s="424"/>
      <c r="B378" s="426"/>
      <c r="C378" s="424"/>
      <c r="D378" s="424"/>
      <c r="E378" s="424"/>
      <c r="F378" s="424"/>
      <c r="G378" s="424"/>
      <c r="H378" s="424"/>
      <c r="I378" s="424" t="s">
        <v>80</v>
      </c>
      <c r="J378" s="424"/>
      <c r="K378" s="424"/>
      <c r="L378" s="424"/>
      <c r="M378" s="424"/>
      <c r="N378" s="424"/>
      <c r="AB378" s="425"/>
    </row>
    <row r="379" spans="1:28" s="352" customFormat="1" ht="18" customHeight="1" x14ac:dyDescent="0.2">
      <c r="A379" s="424"/>
      <c r="B379" s="426"/>
      <c r="C379" s="424"/>
      <c r="D379" s="424"/>
      <c r="E379" s="424"/>
      <c r="F379" s="424"/>
      <c r="G379" s="424"/>
      <c r="H379" s="424"/>
      <c r="I379" s="424" t="s">
        <v>81</v>
      </c>
      <c r="J379" s="424"/>
      <c r="K379" s="424"/>
      <c r="L379" s="424"/>
      <c r="M379" s="424"/>
      <c r="N379" s="424"/>
      <c r="AB379" s="425"/>
    </row>
    <row r="380" spans="1:28" s="352" customFormat="1" ht="18" customHeight="1" x14ac:dyDescent="0.2">
      <c r="A380" s="424"/>
      <c r="B380" s="426"/>
      <c r="C380" s="424"/>
      <c r="D380" s="424"/>
      <c r="E380" s="424"/>
      <c r="F380" s="424"/>
      <c r="G380" s="424"/>
      <c r="H380" s="424"/>
      <c r="I380" s="424" t="s">
        <v>88</v>
      </c>
      <c r="J380" s="424"/>
      <c r="K380" s="424"/>
      <c r="L380" s="424"/>
      <c r="M380" s="424"/>
      <c r="N380" s="424"/>
      <c r="AB380" s="425"/>
    </row>
    <row r="381" spans="1:28" s="352" customFormat="1" ht="18" customHeight="1" x14ac:dyDescent="0.2">
      <c r="A381" s="338"/>
      <c r="B381" s="338"/>
      <c r="C381" s="338"/>
      <c r="D381" s="338"/>
      <c r="E381" s="338"/>
      <c r="F381" s="338"/>
      <c r="G381" s="338"/>
      <c r="H381" s="338"/>
      <c r="I381" s="338"/>
      <c r="J381" s="338"/>
      <c r="K381" s="338"/>
      <c r="L381" s="338"/>
      <c r="M381" s="338"/>
      <c r="N381" s="338"/>
      <c r="O381" s="338"/>
      <c r="P381" s="338"/>
      <c r="Q381" s="338"/>
      <c r="R381" s="338"/>
      <c r="S381" s="338"/>
      <c r="T381" s="338"/>
      <c r="U381" s="338"/>
      <c r="V381" s="338"/>
      <c r="W381" s="338"/>
      <c r="X381" s="338"/>
      <c r="Y381" s="338"/>
      <c r="Z381" s="338"/>
      <c r="AA381" s="2774" t="s">
        <v>0</v>
      </c>
      <c r="AB381" s="2774"/>
    </row>
    <row r="382" spans="1:28" s="352" customFormat="1" ht="18" customHeight="1" x14ac:dyDescent="0.2">
      <c r="A382" s="2703" t="s">
        <v>1</v>
      </c>
      <c r="B382" s="2703"/>
      <c r="C382" s="2703"/>
      <c r="D382" s="2703"/>
      <c r="E382" s="2703"/>
      <c r="F382" s="2703"/>
      <c r="G382" s="2703"/>
      <c r="H382" s="2703"/>
      <c r="I382" s="2703"/>
      <c r="J382" s="2703"/>
      <c r="K382" s="2703"/>
      <c r="L382" s="2703"/>
      <c r="M382" s="2703"/>
      <c r="N382" s="2703"/>
      <c r="O382" s="2703"/>
      <c r="P382" s="2703"/>
      <c r="Q382" s="2703"/>
      <c r="R382" s="2703"/>
      <c r="S382" s="2703"/>
      <c r="T382" s="2703"/>
      <c r="U382" s="2703"/>
      <c r="V382" s="2703"/>
      <c r="W382" s="2703"/>
      <c r="X382" s="2703"/>
      <c r="Y382" s="2703"/>
      <c r="Z382" s="2703"/>
      <c r="AA382" s="2703"/>
      <c r="AB382" s="2703"/>
    </row>
    <row r="383" spans="1:28" s="352" customFormat="1" ht="18" customHeight="1" x14ac:dyDescent="0.2">
      <c r="A383" s="2780" t="s">
        <v>612</v>
      </c>
      <c r="B383" s="2780"/>
      <c r="C383" s="2780"/>
      <c r="D383" s="2780"/>
      <c r="E383" s="2780"/>
      <c r="F383" s="2780"/>
      <c r="G383" s="2780"/>
      <c r="H383" s="2780"/>
      <c r="I383" s="2780"/>
      <c r="J383" s="2780"/>
      <c r="K383" s="2780"/>
      <c r="L383" s="2780"/>
      <c r="M383" s="2780"/>
      <c r="N383" s="2780"/>
      <c r="O383" s="2780"/>
      <c r="P383" s="2780"/>
      <c r="Q383" s="2780"/>
      <c r="R383" s="2780"/>
      <c r="S383" s="2780"/>
      <c r="T383" s="2780"/>
      <c r="U383" s="2780"/>
      <c r="V383" s="2780"/>
      <c r="W383" s="2780"/>
      <c r="X383" s="2780"/>
      <c r="Y383" s="2780"/>
      <c r="Z383" s="2780"/>
      <c r="AA383" s="2780"/>
      <c r="AB383" s="2780"/>
    </row>
    <row r="384" spans="1:28" s="352" customFormat="1" ht="18" customHeight="1" x14ac:dyDescent="0.2">
      <c r="A384" s="2686" t="s">
        <v>2</v>
      </c>
      <c r="B384" s="360"/>
      <c r="C384" s="2686" t="s">
        <v>3</v>
      </c>
      <c r="D384" s="360"/>
      <c r="E384" s="360"/>
      <c r="F384" s="2693" t="s">
        <v>4</v>
      </c>
      <c r="G384" s="2693"/>
      <c r="H384" s="2693"/>
      <c r="I384" s="2694"/>
      <c r="J384" s="2694"/>
      <c r="K384" s="2695"/>
      <c r="L384" s="361"/>
      <c r="M384" s="2679" t="s">
        <v>5</v>
      </c>
      <c r="N384" s="2679"/>
      <c r="O384" s="2679"/>
      <c r="P384" s="2679"/>
      <c r="Q384" s="2696"/>
      <c r="R384" s="2696"/>
      <c r="S384" s="2696"/>
      <c r="T384" s="2696"/>
      <c r="U384" s="2696"/>
      <c r="V384" s="2697"/>
      <c r="W384" s="362" t="s">
        <v>6</v>
      </c>
      <c r="X384" s="363" t="s">
        <v>7</v>
      </c>
      <c r="Y384" s="364"/>
      <c r="Z384" s="364"/>
      <c r="AA384" s="363"/>
      <c r="AB384" s="365"/>
    </row>
    <row r="385" spans="1:28" s="352" customFormat="1" ht="18" customHeight="1" x14ac:dyDescent="0.2">
      <c r="A385" s="2687"/>
      <c r="B385" s="367"/>
      <c r="C385" s="2687"/>
      <c r="D385" s="2158" t="s">
        <v>9</v>
      </c>
      <c r="E385" s="368" t="s">
        <v>10</v>
      </c>
      <c r="F385" s="2698" t="s">
        <v>11</v>
      </c>
      <c r="G385" s="2694"/>
      <c r="H385" s="2695"/>
      <c r="I385" s="360"/>
      <c r="J385" s="369" t="s">
        <v>12</v>
      </c>
      <c r="K385" s="360"/>
      <c r="L385" s="2679" t="s">
        <v>2</v>
      </c>
      <c r="M385" s="2162"/>
      <c r="N385" s="2162"/>
      <c r="O385" s="2162"/>
      <c r="P385" s="371"/>
      <c r="Q385" s="372" t="s">
        <v>13</v>
      </c>
      <c r="R385" s="373" t="s">
        <v>12</v>
      </c>
      <c r="S385" s="2162" t="s">
        <v>6</v>
      </c>
      <c r="T385" s="2682" t="s">
        <v>14</v>
      </c>
      <c r="U385" s="2683"/>
      <c r="V385" s="375" t="s">
        <v>7</v>
      </c>
      <c r="W385" s="376" t="s">
        <v>15</v>
      </c>
      <c r="X385" s="377" t="s">
        <v>16</v>
      </c>
      <c r="Y385" s="377" t="s">
        <v>17</v>
      </c>
      <c r="Z385" s="377" t="s">
        <v>18</v>
      </c>
      <c r="AA385" s="377"/>
      <c r="AB385" s="378" t="s">
        <v>19</v>
      </c>
    </row>
    <row r="386" spans="1:28" s="352" customFormat="1" ht="18" customHeight="1" x14ac:dyDescent="0.2">
      <c r="A386" s="2687"/>
      <c r="B386" s="2158" t="s">
        <v>23</v>
      </c>
      <c r="C386" s="2687"/>
      <c r="D386" s="2158" t="s">
        <v>24</v>
      </c>
      <c r="E386" s="368" t="s">
        <v>25</v>
      </c>
      <c r="F386" s="2699"/>
      <c r="G386" s="2700"/>
      <c r="H386" s="2701"/>
      <c r="I386" s="2158" t="s">
        <v>26</v>
      </c>
      <c r="J386" s="379" t="s">
        <v>15</v>
      </c>
      <c r="K386" s="2159" t="s">
        <v>6</v>
      </c>
      <c r="L386" s="2680"/>
      <c r="M386" s="2163" t="s">
        <v>27</v>
      </c>
      <c r="N386" s="2163" t="s">
        <v>10</v>
      </c>
      <c r="O386" s="382" t="s">
        <v>10</v>
      </c>
      <c r="P386" s="383" t="s">
        <v>28</v>
      </c>
      <c r="Q386" s="384" t="s">
        <v>29</v>
      </c>
      <c r="R386" s="383" t="s">
        <v>15</v>
      </c>
      <c r="S386" s="385" t="s">
        <v>15</v>
      </c>
      <c r="T386" s="2684"/>
      <c r="U386" s="2685"/>
      <c r="V386" s="375" t="s">
        <v>30</v>
      </c>
      <c r="W386" s="376" t="s">
        <v>31</v>
      </c>
      <c r="X386" s="377" t="s">
        <v>30</v>
      </c>
      <c r="Y386" s="377" t="s">
        <v>32</v>
      </c>
      <c r="Z386" s="377" t="s">
        <v>7</v>
      </c>
      <c r="AA386" s="377" t="s">
        <v>33</v>
      </c>
      <c r="AB386" s="378" t="s">
        <v>34</v>
      </c>
    </row>
    <row r="387" spans="1:28" s="352" customFormat="1" ht="18" customHeight="1" x14ac:dyDescent="0.2">
      <c r="A387" s="2687"/>
      <c r="B387" s="2158" t="s">
        <v>39</v>
      </c>
      <c r="C387" s="2687"/>
      <c r="D387" s="2158" t="s">
        <v>40</v>
      </c>
      <c r="E387" s="368" t="s">
        <v>41</v>
      </c>
      <c r="F387" s="2686" t="s">
        <v>42</v>
      </c>
      <c r="G387" s="2686" t="s">
        <v>43</v>
      </c>
      <c r="H387" s="2688" t="s">
        <v>44</v>
      </c>
      <c r="I387" s="2158" t="s">
        <v>45</v>
      </c>
      <c r="J387" s="379" t="s">
        <v>46</v>
      </c>
      <c r="K387" s="2159" t="s">
        <v>47</v>
      </c>
      <c r="L387" s="2680"/>
      <c r="M387" s="2163" t="s">
        <v>30</v>
      </c>
      <c r="N387" s="2163" t="s">
        <v>30</v>
      </c>
      <c r="O387" s="382" t="s">
        <v>25</v>
      </c>
      <c r="P387" s="383" t="s">
        <v>30</v>
      </c>
      <c r="Q387" s="384" t="s">
        <v>48</v>
      </c>
      <c r="R387" s="383" t="s">
        <v>49</v>
      </c>
      <c r="S387" s="385" t="s">
        <v>30</v>
      </c>
      <c r="T387" s="386" t="s">
        <v>50</v>
      </c>
      <c r="U387" s="2161" t="s">
        <v>13</v>
      </c>
      <c r="V387" s="375" t="s">
        <v>51</v>
      </c>
      <c r="W387" s="376" t="s">
        <v>52</v>
      </c>
      <c r="X387" s="377" t="s">
        <v>53</v>
      </c>
      <c r="Y387" s="377" t="s">
        <v>54</v>
      </c>
      <c r="Z387" s="377" t="s">
        <v>55</v>
      </c>
      <c r="AA387" s="377" t="s">
        <v>56</v>
      </c>
      <c r="AB387" s="378" t="s">
        <v>57</v>
      </c>
    </row>
    <row r="388" spans="1:28" s="352" customFormat="1" ht="18" customHeight="1" x14ac:dyDescent="0.2">
      <c r="A388" s="2687"/>
      <c r="B388" s="2158" t="s">
        <v>61</v>
      </c>
      <c r="C388" s="2687"/>
      <c r="D388" s="2158" t="s">
        <v>62</v>
      </c>
      <c r="E388" s="368" t="s">
        <v>63</v>
      </c>
      <c r="F388" s="2687"/>
      <c r="G388" s="2687"/>
      <c r="H388" s="2689"/>
      <c r="I388" s="2158" t="s">
        <v>64</v>
      </c>
      <c r="J388" s="379" t="s">
        <v>59</v>
      </c>
      <c r="K388" s="2159" t="s">
        <v>59</v>
      </c>
      <c r="L388" s="2680"/>
      <c r="M388" s="2163"/>
      <c r="N388" s="2163"/>
      <c r="O388" s="382" t="s">
        <v>41</v>
      </c>
      <c r="P388" s="383" t="s">
        <v>65</v>
      </c>
      <c r="Q388" s="384" t="s">
        <v>66</v>
      </c>
      <c r="R388" s="383" t="s">
        <v>67</v>
      </c>
      <c r="S388" s="385" t="s">
        <v>59</v>
      </c>
      <c r="T388" s="387" t="s">
        <v>68</v>
      </c>
      <c r="U388" s="375" t="s">
        <v>14</v>
      </c>
      <c r="V388" s="375" t="s">
        <v>14</v>
      </c>
      <c r="W388" s="376" t="s">
        <v>30</v>
      </c>
      <c r="X388" s="388" t="s">
        <v>69</v>
      </c>
      <c r="Y388" s="388" t="s">
        <v>70</v>
      </c>
      <c r="Z388" s="377" t="s">
        <v>71</v>
      </c>
      <c r="AA388" s="377" t="s">
        <v>72</v>
      </c>
      <c r="AB388" s="378" t="s">
        <v>59</v>
      </c>
    </row>
    <row r="389" spans="1:28" s="352" customFormat="1" ht="18" customHeight="1" x14ac:dyDescent="0.2">
      <c r="A389" s="2692"/>
      <c r="B389" s="390"/>
      <c r="C389" s="2692"/>
      <c r="D389" s="390"/>
      <c r="E389" s="2160"/>
      <c r="F389" s="390"/>
      <c r="G389" s="390"/>
      <c r="H389" s="391"/>
      <c r="I389" s="2160"/>
      <c r="J389" s="392"/>
      <c r="K389" s="393"/>
      <c r="L389" s="2681"/>
      <c r="M389" s="2164"/>
      <c r="N389" s="2164"/>
      <c r="O389" s="2164" t="s">
        <v>63</v>
      </c>
      <c r="P389" s="395"/>
      <c r="Q389" s="396" t="s">
        <v>72</v>
      </c>
      <c r="R389" s="397" t="s">
        <v>59</v>
      </c>
      <c r="S389" s="398"/>
      <c r="T389" s="397" t="s">
        <v>73</v>
      </c>
      <c r="U389" s="398" t="s">
        <v>59</v>
      </c>
      <c r="V389" s="399" t="s">
        <v>59</v>
      </c>
      <c r="W389" s="400" t="s">
        <v>59</v>
      </c>
      <c r="X389" s="401" t="s">
        <v>59</v>
      </c>
      <c r="Y389" s="401" t="s">
        <v>59</v>
      </c>
      <c r="Z389" s="401" t="s">
        <v>59</v>
      </c>
      <c r="AA389" s="402"/>
      <c r="AB389" s="403"/>
    </row>
    <row r="390" spans="1:28" s="352" customFormat="1" ht="18" customHeight="1" x14ac:dyDescent="0.25">
      <c r="A390" s="53">
        <v>1</v>
      </c>
      <c r="B390" s="333">
        <v>66725</v>
      </c>
      <c r="C390" s="41">
        <v>1990</v>
      </c>
      <c r="D390" s="41" t="s">
        <v>84</v>
      </c>
      <c r="E390" s="41">
        <v>5</v>
      </c>
      <c r="F390" s="41">
        <v>0</v>
      </c>
      <c r="G390" s="41">
        <v>2</v>
      </c>
      <c r="H390" s="267">
        <v>37.6</v>
      </c>
      <c r="I390" s="310">
        <f>F390*400+G390*100+H390</f>
        <v>237.6</v>
      </c>
      <c r="J390" s="306">
        <v>880</v>
      </c>
      <c r="K390" s="297">
        <f>SUM(I390*J390)</f>
        <v>209088</v>
      </c>
      <c r="L390" s="45">
        <v>1</v>
      </c>
      <c r="M390" s="61">
        <v>106</v>
      </c>
      <c r="N390" s="50" t="s">
        <v>96</v>
      </c>
      <c r="O390" s="50">
        <v>2</v>
      </c>
      <c r="P390" s="337">
        <f>11.7*5.8</f>
        <v>67.86</v>
      </c>
      <c r="Q390" s="62" t="s">
        <v>75</v>
      </c>
      <c r="R390" s="296">
        <v>7950</v>
      </c>
      <c r="S390" s="296">
        <f>+P390*R390</f>
        <v>539487</v>
      </c>
      <c r="T390" s="298">
        <v>62</v>
      </c>
      <c r="U390" s="299">
        <f>+S390*0.93</f>
        <v>501722.91000000003</v>
      </c>
      <c r="V390" s="299">
        <f>+S390-U390</f>
        <v>37764.089999999967</v>
      </c>
      <c r="W390" s="296">
        <f>K390+V390</f>
        <v>246852.08999999997</v>
      </c>
      <c r="X390" s="299">
        <f>W390</f>
        <v>246852.08999999997</v>
      </c>
      <c r="Y390" s="296" t="s">
        <v>87</v>
      </c>
      <c r="Z390" s="296">
        <v>0</v>
      </c>
      <c r="AA390" s="494">
        <v>0.02</v>
      </c>
      <c r="AB390" s="406"/>
    </row>
    <row r="391" spans="1:28" s="352" customFormat="1" ht="18" customHeight="1" x14ac:dyDescent="0.2">
      <c r="A391" s="75"/>
      <c r="B391" s="27"/>
      <c r="C391" s="27"/>
      <c r="D391" s="27"/>
      <c r="E391" s="27"/>
      <c r="F391" s="27"/>
      <c r="G391" s="27"/>
      <c r="H391" s="557">
        <v>7.8</v>
      </c>
      <c r="I391" s="306">
        <f>F391*400+G391*100+H391</f>
        <v>7.8</v>
      </c>
      <c r="J391" s="306">
        <v>880</v>
      </c>
      <c r="K391" s="297">
        <f>SUM(I391*J391)</f>
        <v>6864</v>
      </c>
      <c r="L391" s="45">
        <v>2</v>
      </c>
      <c r="M391" s="61">
        <v>504</v>
      </c>
      <c r="N391" s="50" t="s">
        <v>74</v>
      </c>
      <c r="O391" s="50">
        <v>3</v>
      </c>
      <c r="P391" s="337">
        <f>6.5*4.8</f>
        <v>31.2</v>
      </c>
      <c r="Q391" s="62" t="s">
        <v>75</v>
      </c>
      <c r="R391" s="296">
        <v>3100</v>
      </c>
      <c r="S391" s="296">
        <f>+P391*R391</f>
        <v>96720</v>
      </c>
      <c r="T391" s="298">
        <v>5</v>
      </c>
      <c r="U391" s="299">
        <f>+S391*0.05</f>
        <v>4836</v>
      </c>
      <c r="V391" s="299">
        <f>+S391-U391</f>
        <v>91884</v>
      </c>
      <c r="W391" s="296">
        <f>K391+V391</f>
        <v>98748</v>
      </c>
      <c r="X391" s="299">
        <f>+W391</f>
        <v>98748</v>
      </c>
      <c r="Y391" s="296"/>
      <c r="Z391" s="296">
        <f>+X391</f>
        <v>98748</v>
      </c>
      <c r="AA391" s="494">
        <v>0.3</v>
      </c>
      <c r="AB391" s="410">
        <f>Z391*AA391/100</f>
        <v>296.24399999999997</v>
      </c>
    </row>
    <row r="392" spans="1:28" s="352" customFormat="1" ht="18" customHeight="1" x14ac:dyDescent="0.2">
      <c r="A392" s="88"/>
      <c r="B392" s="2166"/>
      <c r="C392" s="2166"/>
      <c r="D392" s="2166"/>
      <c r="E392" s="2166"/>
      <c r="F392" s="2166"/>
      <c r="G392" s="2166"/>
      <c r="H392" s="407"/>
      <c r="I392" s="77"/>
      <c r="J392" s="2168"/>
      <c r="K392" s="78"/>
      <c r="L392" s="75"/>
      <c r="M392" s="61"/>
      <c r="N392" s="61"/>
      <c r="O392" s="61"/>
      <c r="P392" s="173"/>
      <c r="Q392" s="174"/>
      <c r="R392" s="408"/>
      <c r="S392" s="77"/>
      <c r="T392" s="135"/>
      <c r="U392" s="74"/>
      <c r="V392" s="74"/>
      <c r="W392" s="77"/>
      <c r="X392" s="74"/>
      <c r="Y392" s="77"/>
      <c r="Z392" s="77"/>
      <c r="AA392" s="2170"/>
      <c r="AB392" s="466"/>
    </row>
    <row r="393" spans="1:28" s="352" customFormat="1" ht="18" customHeight="1" x14ac:dyDescent="0.2">
      <c r="A393" s="242"/>
      <c r="B393" s="242"/>
      <c r="C393" s="496"/>
      <c r="D393" s="85"/>
      <c r="E393" s="85"/>
      <c r="F393" s="411"/>
      <c r="G393" s="242"/>
      <c r="H393" s="497"/>
      <c r="I393" s="77"/>
      <c r="J393" s="2168"/>
      <c r="K393" s="78"/>
      <c r="L393" s="75"/>
      <c r="M393" s="2166"/>
      <c r="N393" s="2166"/>
      <c r="O393" s="61"/>
      <c r="P393" s="2166"/>
      <c r="Q393" s="196"/>
      <c r="R393" s="408" t="s">
        <v>134</v>
      </c>
      <c r="S393" s="77"/>
      <c r="T393" s="2166"/>
      <c r="U393" s="77"/>
      <c r="V393" s="74"/>
      <c r="W393" s="77"/>
      <c r="X393" s="74"/>
      <c r="Y393" s="77"/>
      <c r="Z393" s="2168"/>
      <c r="AA393" s="2170"/>
      <c r="AB393" s="466"/>
    </row>
    <row r="394" spans="1:28" s="352" customFormat="1" ht="18" customHeight="1" x14ac:dyDescent="0.2">
      <c r="A394" s="2166"/>
      <c r="B394" s="177"/>
      <c r="C394" s="177"/>
      <c r="D394" s="2166"/>
      <c r="E394" s="2166"/>
      <c r="F394" s="2166"/>
      <c r="G394" s="2166"/>
      <c r="H394" s="2171"/>
      <c r="I394" s="2168"/>
      <c r="J394" s="178"/>
      <c r="K394" s="2168"/>
      <c r="L394" s="2166"/>
      <c r="M394" s="2166"/>
      <c r="N394" s="2166"/>
      <c r="O394" s="2166"/>
      <c r="P394" s="2171"/>
      <c r="Q394" s="2167"/>
      <c r="R394" s="437"/>
      <c r="S394" s="2168"/>
      <c r="T394" s="179"/>
      <c r="U394" s="178"/>
      <c r="V394" s="2168"/>
      <c r="W394" s="2168"/>
      <c r="X394" s="470"/>
      <c r="Y394" s="470"/>
      <c r="Z394" s="471"/>
      <c r="AA394" s="471"/>
      <c r="AB394" s="466"/>
    </row>
    <row r="395" spans="1:28" s="352" customFormat="1" ht="18" customHeight="1" x14ac:dyDescent="0.2">
      <c r="A395" s="2166"/>
      <c r="B395" s="177"/>
      <c r="C395" s="177"/>
      <c r="D395" s="2166"/>
      <c r="E395" s="2166"/>
      <c r="F395" s="2166"/>
      <c r="G395" s="2166"/>
      <c r="H395" s="2171"/>
      <c r="I395" s="2168"/>
      <c r="J395" s="178"/>
      <c r="K395" s="2168"/>
      <c r="L395" s="2166"/>
      <c r="M395" s="2166"/>
      <c r="N395" s="2166"/>
      <c r="O395" s="2166"/>
      <c r="P395" s="2171"/>
      <c r="Q395" s="2167"/>
      <c r="R395" s="437"/>
      <c r="S395" s="2168"/>
      <c r="T395" s="179"/>
      <c r="U395" s="178"/>
      <c r="V395" s="2168"/>
      <c r="W395" s="2168"/>
      <c r="X395" s="470"/>
      <c r="Y395" s="470"/>
      <c r="Z395" s="471"/>
      <c r="AA395" s="471"/>
      <c r="AB395" s="466"/>
    </row>
    <row r="396" spans="1:28" s="352" customFormat="1" ht="18" customHeight="1" x14ac:dyDescent="0.2">
      <c r="A396" s="2166"/>
      <c r="B396" s="177"/>
      <c r="C396" s="177"/>
      <c r="D396" s="2166"/>
      <c r="E396" s="2166"/>
      <c r="F396" s="2166"/>
      <c r="G396" s="2166"/>
      <c r="H396" s="2171"/>
      <c r="I396" s="2168"/>
      <c r="J396" s="178"/>
      <c r="K396" s="2168"/>
      <c r="L396" s="2166"/>
      <c r="M396" s="2166"/>
      <c r="N396" s="2166"/>
      <c r="O396" s="2166"/>
      <c r="P396" s="2171"/>
      <c r="Q396" s="2167"/>
      <c r="R396" s="437"/>
      <c r="S396" s="2168"/>
      <c r="T396" s="179"/>
      <c r="U396" s="178"/>
      <c r="V396" s="2168"/>
      <c r="W396" s="2168"/>
      <c r="X396" s="470"/>
      <c r="Y396" s="470"/>
      <c r="Z396" s="471"/>
      <c r="AA396" s="471"/>
      <c r="AB396" s="466"/>
    </row>
    <row r="397" spans="1:28" s="352" customFormat="1" ht="18" customHeight="1" x14ac:dyDescent="0.2">
      <c r="A397" s="2166"/>
      <c r="B397" s="177"/>
      <c r="C397" s="177"/>
      <c r="D397" s="2166"/>
      <c r="E397" s="2166"/>
      <c r="F397" s="2166"/>
      <c r="G397" s="2166"/>
      <c r="H397" s="2171"/>
      <c r="I397" s="2168"/>
      <c r="J397" s="178"/>
      <c r="K397" s="2168"/>
      <c r="L397" s="2166"/>
      <c r="M397" s="2166"/>
      <c r="N397" s="2166"/>
      <c r="O397" s="2166"/>
      <c r="P397" s="2171"/>
      <c r="Q397" s="2167"/>
      <c r="R397" s="437"/>
      <c r="S397" s="2168"/>
      <c r="T397" s="179"/>
      <c r="U397" s="178"/>
      <c r="V397" s="2168"/>
      <c r="W397" s="2168"/>
      <c r="X397" s="470"/>
      <c r="Y397" s="470"/>
      <c r="Z397" s="471"/>
      <c r="AA397" s="471"/>
      <c r="AB397" s="466"/>
    </row>
    <row r="398" spans="1:28" s="352" customFormat="1" ht="18" customHeight="1" x14ac:dyDescent="0.2">
      <c r="A398" s="2166"/>
      <c r="B398" s="177"/>
      <c r="C398" s="177"/>
      <c r="D398" s="2166"/>
      <c r="E398" s="2166"/>
      <c r="F398" s="2166"/>
      <c r="G398" s="2166"/>
      <c r="H398" s="2171"/>
      <c r="I398" s="2168"/>
      <c r="J398" s="178"/>
      <c r="K398" s="2168"/>
      <c r="L398" s="2166"/>
      <c r="M398" s="2166"/>
      <c r="N398" s="2166"/>
      <c r="O398" s="2166"/>
      <c r="P398" s="2171"/>
      <c r="Q398" s="2167"/>
      <c r="R398" s="437"/>
      <c r="S398" s="2168"/>
      <c r="T398" s="179"/>
      <c r="U398" s="178"/>
      <c r="V398" s="2168"/>
      <c r="W398" s="2168"/>
      <c r="X398" s="470"/>
      <c r="Y398" s="470"/>
      <c r="Z398" s="471"/>
      <c r="AA398" s="471"/>
      <c r="AB398" s="466"/>
    </row>
    <row r="399" spans="1:28" s="352" customFormat="1" ht="18" customHeight="1" x14ac:dyDescent="0.2">
      <c r="A399" s="2166"/>
      <c r="B399" s="177"/>
      <c r="C399" s="177"/>
      <c r="D399" s="2166"/>
      <c r="E399" s="2166"/>
      <c r="F399" s="2166"/>
      <c r="G399" s="2166"/>
      <c r="H399" s="2171"/>
      <c r="I399" s="2168"/>
      <c r="J399" s="178"/>
      <c r="K399" s="2168"/>
      <c r="L399" s="2166"/>
      <c r="M399" s="2166"/>
      <c r="N399" s="2166"/>
      <c r="O399" s="2166"/>
      <c r="P399" s="2171"/>
      <c r="Q399" s="2167"/>
      <c r="R399" s="437"/>
      <c r="S399" s="2168"/>
      <c r="T399" s="179"/>
      <c r="U399" s="178"/>
      <c r="V399" s="2168"/>
      <c r="W399" s="2168"/>
      <c r="X399" s="470"/>
      <c r="Y399" s="470"/>
      <c r="Z399" s="471"/>
      <c r="AA399" s="471"/>
      <c r="AB399" s="466"/>
    </row>
    <row r="400" spans="1:28" s="352" customFormat="1" ht="18" customHeight="1" x14ac:dyDescent="0.2">
      <c r="A400" s="2166"/>
      <c r="B400" s="177"/>
      <c r="C400" s="177"/>
      <c r="D400" s="2166"/>
      <c r="E400" s="2166"/>
      <c r="F400" s="2166"/>
      <c r="G400" s="2166"/>
      <c r="H400" s="2171"/>
      <c r="I400" s="2168"/>
      <c r="J400" s="178"/>
      <c r="K400" s="2168"/>
      <c r="L400" s="2166"/>
      <c r="M400" s="2166"/>
      <c r="N400" s="2166"/>
      <c r="O400" s="2166"/>
      <c r="P400" s="2171"/>
      <c r="Q400" s="2167"/>
      <c r="R400" s="437"/>
      <c r="S400" s="2168"/>
      <c r="T400" s="179"/>
      <c r="U400" s="178"/>
      <c r="V400" s="2168"/>
      <c r="W400" s="2168"/>
      <c r="X400" s="470"/>
      <c r="Y400" s="470"/>
      <c r="Z400" s="471"/>
      <c r="AA400" s="471"/>
      <c r="AB400" s="466"/>
    </row>
    <row r="401" spans="1:28" s="352" customFormat="1" ht="18" customHeight="1" x14ac:dyDescent="0.2">
      <c r="A401" s="2166"/>
      <c r="B401" s="177"/>
      <c r="C401" s="177"/>
      <c r="D401" s="2166"/>
      <c r="E401" s="2166"/>
      <c r="F401" s="2166"/>
      <c r="G401" s="2166"/>
      <c r="H401" s="2171"/>
      <c r="I401" s="2168"/>
      <c r="J401" s="178"/>
      <c r="K401" s="2168"/>
      <c r="L401" s="2166"/>
      <c r="M401" s="2166"/>
      <c r="N401" s="2166"/>
      <c r="O401" s="2166"/>
      <c r="P401" s="2171"/>
      <c r="Q401" s="2167"/>
      <c r="R401" s="437"/>
      <c r="S401" s="2168"/>
      <c r="T401" s="179"/>
      <c r="U401" s="178"/>
      <c r="V401" s="2168"/>
      <c r="W401" s="2168"/>
      <c r="X401" s="470"/>
      <c r="Y401" s="470"/>
      <c r="Z401" s="471"/>
      <c r="AA401" s="471"/>
      <c r="AB401" s="466"/>
    </row>
    <row r="402" spans="1:28" s="352" customFormat="1" ht="18" customHeight="1" x14ac:dyDescent="0.2">
      <c r="A402" s="2166"/>
      <c r="B402" s="177"/>
      <c r="C402" s="177"/>
      <c r="D402" s="2166"/>
      <c r="E402" s="2166"/>
      <c r="F402" s="2166"/>
      <c r="G402" s="2166"/>
      <c r="H402" s="2171"/>
      <c r="I402" s="2168"/>
      <c r="J402" s="178"/>
      <c r="K402" s="2168"/>
      <c r="L402" s="2166"/>
      <c r="M402" s="2166"/>
      <c r="N402" s="2166"/>
      <c r="O402" s="2166"/>
      <c r="P402" s="2171"/>
      <c r="Q402" s="2167"/>
      <c r="R402" s="437"/>
      <c r="S402" s="2168"/>
      <c r="T402" s="179"/>
      <c r="U402" s="178"/>
      <c r="V402" s="2168"/>
      <c r="W402" s="2168"/>
      <c r="X402" s="470"/>
      <c r="Y402" s="470"/>
      <c r="Z402" s="471"/>
      <c r="AA402" s="471"/>
      <c r="AB402" s="466"/>
    </row>
    <row r="403" spans="1:28" s="352" customFormat="1" ht="18" customHeight="1" x14ac:dyDescent="0.2">
      <c r="A403" s="88"/>
      <c r="B403" s="180"/>
      <c r="C403" s="180"/>
      <c r="D403" s="88"/>
      <c r="E403" s="88"/>
      <c r="F403" s="88"/>
      <c r="G403" s="88"/>
      <c r="H403" s="120"/>
      <c r="I403" s="121"/>
      <c r="J403" s="181"/>
      <c r="K403" s="121"/>
      <c r="L403" s="88"/>
      <c r="M403" s="88"/>
      <c r="N403" s="88"/>
      <c r="O403" s="88"/>
      <c r="P403" s="88"/>
      <c r="Q403" s="129"/>
      <c r="R403" s="445"/>
      <c r="S403" s="121"/>
      <c r="T403" s="182"/>
      <c r="U403" s="181"/>
      <c r="V403" s="121"/>
      <c r="W403" s="121"/>
      <c r="X403" s="472"/>
      <c r="Y403" s="472"/>
      <c r="Z403" s="473"/>
      <c r="AA403" s="473"/>
      <c r="AB403" s="410"/>
    </row>
    <row r="404" spans="1:28" s="352" customFormat="1" ht="18" customHeight="1" x14ac:dyDescent="0.2">
      <c r="A404" s="1850"/>
      <c r="B404" s="1850"/>
      <c r="C404" s="1850"/>
      <c r="D404" s="1850"/>
      <c r="E404" s="1850"/>
      <c r="F404" s="1850"/>
      <c r="G404" s="1850"/>
      <c r="H404" s="1851"/>
      <c r="I404" s="1852"/>
      <c r="J404" s="1853"/>
      <c r="K404" s="1852"/>
      <c r="L404" s="1852"/>
      <c r="M404" s="1852"/>
      <c r="N404" s="1852"/>
      <c r="O404" s="1852"/>
      <c r="P404" s="1852"/>
      <c r="Q404" s="1852"/>
      <c r="R404" s="1854"/>
      <c r="S404" s="1852"/>
      <c r="T404" s="1855"/>
      <c r="U404" s="1853"/>
      <c r="V404" s="1852"/>
      <c r="W404" s="1852"/>
      <c r="X404" s="1856"/>
      <c r="Y404" s="1856"/>
      <c r="Z404" s="1857"/>
      <c r="AA404" s="1857"/>
      <c r="AB404" s="1847">
        <f>SUM(AB391:AB403)</f>
        <v>296.24399999999997</v>
      </c>
    </row>
    <row r="405" spans="1:28" s="352" customFormat="1" ht="18" customHeight="1" x14ac:dyDescent="0.2">
      <c r="A405" s="2778" t="s">
        <v>76</v>
      </c>
      <c r="B405" s="2778"/>
      <c r="C405" s="2779" t="s">
        <v>77</v>
      </c>
      <c r="D405" s="2779"/>
      <c r="E405" s="2779"/>
      <c r="F405" s="2779"/>
      <c r="G405" s="2779"/>
      <c r="H405" s="2779"/>
      <c r="I405" s="424" t="s">
        <v>78</v>
      </c>
      <c r="J405" s="424"/>
      <c r="K405" s="424"/>
      <c r="L405" s="424"/>
      <c r="M405" s="424"/>
      <c r="N405" s="424"/>
      <c r="AB405" s="425"/>
    </row>
    <row r="406" spans="1:28" s="352" customFormat="1" ht="18" customHeight="1" x14ac:dyDescent="0.2">
      <c r="A406" s="424"/>
      <c r="B406" s="426"/>
      <c r="C406" s="424"/>
      <c r="D406" s="424"/>
      <c r="E406" s="424"/>
      <c r="F406" s="424"/>
      <c r="G406" s="424"/>
      <c r="H406" s="424"/>
      <c r="I406" s="424" t="s">
        <v>79</v>
      </c>
      <c r="J406" s="424"/>
      <c r="K406" s="424"/>
      <c r="L406" s="424"/>
      <c r="M406" s="424"/>
      <c r="N406" s="424"/>
      <c r="AB406" s="425"/>
    </row>
    <row r="407" spans="1:28" s="352" customFormat="1" ht="18" customHeight="1" x14ac:dyDescent="0.2">
      <c r="A407" s="424"/>
      <c r="B407" s="426"/>
      <c r="C407" s="424"/>
      <c r="D407" s="424"/>
      <c r="E407" s="424"/>
      <c r="F407" s="424"/>
      <c r="G407" s="424"/>
      <c r="H407" s="424"/>
      <c r="I407" s="424" t="s">
        <v>80</v>
      </c>
      <c r="J407" s="424"/>
      <c r="K407" s="424"/>
      <c r="L407" s="424"/>
      <c r="M407" s="424"/>
      <c r="N407" s="424"/>
      <c r="AB407" s="425"/>
    </row>
    <row r="408" spans="1:28" s="352" customFormat="1" ht="18" customHeight="1" x14ac:dyDescent="0.2">
      <c r="A408" s="424"/>
      <c r="B408" s="426"/>
      <c r="C408" s="424"/>
      <c r="D408" s="424"/>
      <c r="E408" s="424"/>
      <c r="F408" s="424"/>
      <c r="G408" s="424"/>
      <c r="H408" s="424"/>
      <c r="I408" s="424" t="s">
        <v>81</v>
      </c>
      <c r="J408" s="424"/>
      <c r="K408" s="424"/>
      <c r="L408" s="424"/>
      <c r="M408" s="424"/>
      <c r="N408" s="424"/>
      <c r="AB408" s="425"/>
    </row>
    <row r="409" spans="1:28" s="352" customFormat="1" ht="18" customHeight="1" x14ac:dyDescent="0.2">
      <c r="A409" s="424"/>
      <c r="B409" s="426"/>
      <c r="C409" s="424"/>
      <c r="D409" s="424"/>
      <c r="E409" s="424"/>
      <c r="F409" s="424"/>
      <c r="G409" s="424"/>
      <c r="H409" s="424"/>
      <c r="I409" s="424" t="s">
        <v>88</v>
      </c>
      <c r="J409" s="424"/>
      <c r="K409" s="424"/>
      <c r="L409" s="424"/>
      <c r="M409" s="424"/>
      <c r="N409" s="424"/>
      <c r="AB409" s="425"/>
    </row>
    <row r="410" spans="1:28" s="352" customFormat="1" ht="18" customHeight="1" x14ac:dyDescent="0.2">
      <c r="A410" s="338"/>
      <c r="B410" s="338"/>
      <c r="C410" s="338"/>
      <c r="D410" s="338"/>
      <c r="E410" s="338"/>
      <c r="F410" s="338"/>
      <c r="G410" s="338"/>
      <c r="H410" s="338"/>
      <c r="I410" s="338"/>
      <c r="J410" s="338"/>
      <c r="K410" s="338"/>
      <c r="L410" s="338"/>
      <c r="M410" s="338"/>
      <c r="N410" s="338"/>
      <c r="O410" s="338"/>
      <c r="P410" s="338"/>
      <c r="Q410" s="338"/>
      <c r="R410" s="338"/>
      <c r="S410" s="338"/>
      <c r="T410" s="338"/>
      <c r="U410" s="338"/>
      <c r="V410" s="338"/>
      <c r="W410" s="338"/>
      <c r="X410" s="338"/>
      <c r="Y410" s="338"/>
      <c r="Z410" s="338"/>
      <c r="AA410" s="2774" t="s">
        <v>0</v>
      </c>
      <c r="AB410" s="2774"/>
    </row>
    <row r="411" spans="1:28" s="352" customFormat="1" ht="18" customHeight="1" x14ac:dyDescent="0.2">
      <c r="A411" s="2703" t="s">
        <v>1</v>
      </c>
      <c r="B411" s="2703"/>
      <c r="C411" s="2703"/>
      <c r="D411" s="2703"/>
      <c r="E411" s="2703"/>
      <c r="F411" s="2703"/>
      <c r="G411" s="2703"/>
      <c r="H411" s="2703"/>
      <c r="I411" s="2703"/>
      <c r="J411" s="2703"/>
      <c r="K411" s="2703"/>
      <c r="L411" s="2703"/>
      <c r="M411" s="2703"/>
      <c r="N411" s="2703"/>
      <c r="O411" s="2703"/>
      <c r="P411" s="2703"/>
      <c r="Q411" s="2703"/>
      <c r="R411" s="2703"/>
      <c r="S411" s="2703"/>
      <c r="T411" s="2703"/>
      <c r="U411" s="2703"/>
      <c r="V411" s="2703"/>
      <c r="W411" s="2703"/>
      <c r="X411" s="2703"/>
      <c r="Y411" s="2703"/>
      <c r="Z411" s="2703"/>
      <c r="AA411" s="2703"/>
      <c r="AB411" s="2703"/>
    </row>
    <row r="412" spans="1:28" s="352" customFormat="1" ht="18" customHeight="1" x14ac:dyDescent="0.2">
      <c r="A412" s="2780" t="s">
        <v>613</v>
      </c>
      <c r="B412" s="2780"/>
      <c r="C412" s="2780"/>
      <c r="D412" s="2780"/>
      <c r="E412" s="2780"/>
      <c r="F412" s="2780"/>
      <c r="G412" s="2780"/>
      <c r="H412" s="2780"/>
      <c r="I412" s="2780"/>
      <c r="J412" s="2780"/>
      <c r="K412" s="2780"/>
      <c r="L412" s="2780"/>
      <c r="M412" s="2780"/>
      <c r="N412" s="2780"/>
      <c r="O412" s="2780"/>
      <c r="P412" s="2780"/>
      <c r="Q412" s="2780"/>
      <c r="R412" s="2780"/>
      <c r="S412" s="2780"/>
      <c r="T412" s="2780"/>
      <c r="U412" s="2780"/>
      <c r="V412" s="2780"/>
      <c r="W412" s="2780"/>
      <c r="X412" s="2780"/>
      <c r="Y412" s="2780"/>
      <c r="Z412" s="2780"/>
      <c r="AA412" s="2780"/>
      <c r="AB412" s="2780"/>
    </row>
    <row r="413" spans="1:28" s="352" customFormat="1" ht="18" customHeight="1" x14ac:dyDescent="0.2">
      <c r="A413" s="2686" t="s">
        <v>2</v>
      </c>
      <c r="B413" s="360"/>
      <c r="C413" s="2686" t="s">
        <v>3</v>
      </c>
      <c r="D413" s="360"/>
      <c r="E413" s="360"/>
      <c r="F413" s="2693" t="s">
        <v>4</v>
      </c>
      <c r="G413" s="2693"/>
      <c r="H413" s="2693"/>
      <c r="I413" s="2694"/>
      <c r="J413" s="2694"/>
      <c r="K413" s="2695"/>
      <c r="L413" s="361"/>
      <c r="M413" s="2679" t="s">
        <v>5</v>
      </c>
      <c r="N413" s="2679"/>
      <c r="O413" s="2679"/>
      <c r="P413" s="2679"/>
      <c r="Q413" s="2696"/>
      <c r="R413" s="2696"/>
      <c r="S413" s="2696"/>
      <c r="T413" s="2696"/>
      <c r="U413" s="2696"/>
      <c r="V413" s="2697"/>
      <c r="W413" s="362" t="s">
        <v>6</v>
      </c>
      <c r="X413" s="363" t="s">
        <v>7</v>
      </c>
      <c r="Y413" s="364"/>
      <c r="Z413" s="364"/>
      <c r="AA413" s="363"/>
      <c r="AB413" s="365"/>
    </row>
    <row r="414" spans="1:28" s="352" customFormat="1" ht="18" customHeight="1" x14ac:dyDescent="0.2">
      <c r="A414" s="2687"/>
      <c r="B414" s="367"/>
      <c r="C414" s="2687"/>
      <c r="D414" s="2158" t="s">
        <v>9</v>
      </c>
      <c r="E414" s="368" t="s">
        <v>10</v>
      </c>
      <c r="F414" s="2698" t="s">
        <v>11</v>
      </c>
      <c r="G414" s="2694"/>
      <c r="H414" s="2695"/>
      <c r="I414" s="360"/>
      <c r="J414" s="369" t="s">
        <v>12</v>
      </c>
      <c r="K414" s="360"/>
      <c r="L414" s="2679" t="s">
        <v>2</v>
      </c>
      <c r="M414" s="2162"/>
      <c r="N414" s="2162"/>
      <c r="O414" s="2162"/>
      <c r="P414" s="371"/>
      <c r="Q414" s="372" t="s">
        <v>13</v>
      </c>
      <c r="R414" s="373" t="s">
        <v>12</v>
      </c>
      <c r="S414" s="2162" t="s">
        <v>6</v>
      </c>
      <c r="T414" s="2682" t="s">
        <v>14</v>
      </c>
      <c r="U414" s="2683"/>
      <c r="V414" s="375" t="s">
        <v>7</v>
      </c>
      <c r="W414" s="376" t="s">
        <v>15</v>
      </c>
      <c r="X414" s="377" t="s">
        <v>16</v>
      </c>
      <c r="Y414" s="377" t="s">
        <v>17</v>
      </c>
      <c r="Z414" s="377" t="s">
        <v>18</v>
      </c>
      <c r="AA414" s="377"/>
      <c r="AB414" s="378" t="s">
        <v>19</v>
      </c>
    </row>
    <row r="415" spans="1:28" s="352" customFormat="1" ht="18" customHeight="1" x14ac:dyDescent="0.2">
      <c r="A415" s="2687"/>
      <c r="B415" s="2158" t="s">
        <v>23</v>
      </c>
      <c r="C415" s="2687"/>
      <c r="D415" s="2158" t="s">
        <v>24</v>
      </c>
      <c r="E415" s="368" t="s">
        <v>25</v>
      </c>
      <c r="F415" s="2699"/>
      <c r="G415" s="2700"/>
      <c r="H415" s="2701"/>
      <c r="I415" s="2158" t="s">
        <v>26</v>
      </c>
      <c r="J415" s="379" t="s">
        <v>15</v>
      </c>
      <c r="K415" s="2159" t="s">
        <v>6</v>
      </c>
      <c r="L415" s="2680"/>
      <c r="M415" s="2163" t="s">
        <v>27</v>
      </c>
      <c r="N415" s="2163" t="s">
        <v>10</v>
      </c>
      <c r="O415" s="382" t="s">
        <v>10</v>
      </c>
      <c r="P415" s="383" t="s">
        <v>28</v>
      </c>
      <c r="Q415" s="384" t="s">
        <v>29</v>
      </c>
      <c r="R415" s="383" t="s">
        <v>15</v>
      </c>
      <c r="S415" s="385" t="s">
        <v>15</v>
      </c>
      <c r="T415" s="2684"/>
      <c r="U415" s="2685"/>
      <c r="V415" s="375" t="s">
        <v>30</v>
      </c>
      <c r="W415" s="376" t="s">
        <v>31</v>
      </c>
      <c r="X415" s="377" t="s">
        <v>30</v>
      </c>
      <c r="Y415" s="377" t="s">
        <v>32</v>
      </c>
      <c r="Z415" s="377" t="s">
        <v>7</v>
      </c>
      <c r="AA415" s="377" t="s">
        <v>33</v>
      </c>
      <c r="AB415" s="378" t="s">
        <v>34</v>
      </c>
    </row>
    <row r="416" spans="1:28" s="352" customFormat="1" ht="18" customHeight="1" x14ac:dyDescent="0.2">
      <c r="A416" s="2687"/>
      <c r="B416" s="2158" t="s">
        <v>39</v>
      </c>
      <c r="C416" s="2687"/>
      <c r="D416" s="2158" t="s">
        <v>40</v>
      </c>
      <c r="E416" s="368" t="s">
        <v>41</v>
      </c>
      <c r="F416" s="2686" t="s">
        <v>42</v>
      </c>
      <c r="G416" s="2686" t="s">
        <v>43</v>
      </c>
      <c r="H416" s="2688" t="s">
        <v>44</v>
      </c>
      <c r="I416" s="2158" t="s">
        <v>45</v>
      </c>
      <c r="J416" s="379" t="s">
        <v>46</v>
      </c>
      <c r="K416" s="2159" t="s">
        <v>47</v>
      </c>
      <c r="L416" s="2680"/>
      <c r="M416" s="2163" t="s">
        <v>30</v>
      </c>
      <c r="N416" s="2163" t="s">
        <v>30</v>
      </c>
      <c r="O416" s="382" t="s">
        <v>25</v>
      </c>
      <c r="P416" s="383" t="s">
        <v>30</v>
      </c>
      <c r="Q416" s="384" t="s">
        <v>48</v>
      </c>
      <c r="R416" s="383" t="s">
        <v>49</v>
      </c>
      <c r="S416" s="385" t="s">
        <v>30</v>
      </c>
      <c r="T416" s="386" t="s">
        <v>50</v>
      </c>
      <c r="U416" s="2161" t="s">
        <v>13</v>
      </c>
      <c r="V416" s="375" t="s">
        <v>51</v>
      </c>
      <c r="W416" s="376" t="s">
        <v>52</v>
      </c>
      <c r="X416" s="377" t="s">
        <v>53</v>
      </c>
      <c r="Y416" s="377" t="s">
        <v>54</v>
      </c>
      <c r="Z416" s="377" t="s">
        <v>55</v>
      </c>
      <c r="AA416" s="377" t="s">
        <v>56</v>
      </c>
      <c r="AB416" s="378" t="s">
        <v>57</v>
      </c>
    </row>
    <row r="417" spans="1:28" s="352" customFormat="1" ht="18" customHeight="1" x14ac:dyDescent="0.2">
      <c r="A417" s="2687"/>
      <c r="B417" s="2158" t="s">
        <v>61</v>
      </c>
      <c r="C417" s="2687"/>
      <c r="D417" s="2158" t="s">
        <v>62</v>
      </c>
      <c r="E417" s="368" t="s">
        <v>63</v>
      </c>
      <c r="F417" s="2687"/>
      <c r="G417" s="2687"/>
      <c r="H417" s="2689"/>
      <c r="I417" s="2158" t="s">
        <v>64</v>
      </c>
      <c r="J417" s="379" t="s">
        <v>59</v>
      </c>
      <c r="K417" s="2159" t="s">
        <v>59</v>
      </c>
      <c r="L417" s="2680"/>
      <c r="M417" s="2163"/>
      <c r="N417" s="2163"/>
      <c r="O417" s="382" t="s">
        <v>41</v>
      </c>
      <c r="P417" s="383" t="s">
        <v>65</v>
      </c>
      <c r="Q417" s="384" t="s">
        <v>66</v>
      </c>
      <c r="R417" s="383" t="s">
        <v>67</v>
      </c>
      <c r="S417" s="385" t="s">
        <v>59</v>
      </c>
      <c r="T417" s="387" t="s">
        <v>68</v>
      </c>
      <c r="U417" s="375" t="s">
        <v>14</v>
      </c>
      <c r="V417" s="375" t="s">
        <v>14</v>
      </c>
      <c r="W417" s="376" t="s">
        <v>30</v>
      </c>
      <c r="X417" s="388" t="s">
        <v>69</v>
      </c>
      <c r="Y417" s="388" t="s">
        <v>70</v>
      </c>
      <c r="Z417" s="377" t="s">
        <v>71</v>
      </c>
      <c r="AA417" s="377" t="s">
        <v>72</v>
      </c>
      <c r="AB417" s="378" t="s">
        <v>59</v>
      </c>
    </row>
    <row r="418" spans="1:28" s="352" customFormat="1" ht="18" customHeight="1" x14ac:dyDescent="0.2">
      <c r="A418" s="2692"/>
      <c r="B418" s="390"/>
      <c r="C418" s="2692"/>
      <c r="D418" s="390"/>
      <c r="E418" s="2160"/>
      <c r="F418" s="390"/>
      <c r="G418" s="390"/>
      <c r="H418" s="391"/>
      <c r="I418" s="2160"/>
      <c r="J418" s="392"/>
      <c r="K418" s="393"/>
      <c r="L418" s="2681"/>
      <c r="M418" s="2164"/>
      <c r="N418" s="2164"/>
      <c r="O418" s="2164" t="s">
        <v>63</v>
      </c>
      <c r="P418" s="395"/>
      <c r="Q418" s="396" t="s">
        <v>72</v>
      </c>
      <c r="R418" s="397" t="s">
        <v>59</v>
      </c>
      <c r="S418" s="398"/>
      <c r="T418" s="397" t="s">
        <v>73</v>
      </c>
      <c r="U418" s="398" t="s">
        <v>59</v>
      </c>
      <c r="V418" s="399" t="s">
        <v>59</v>
      </c>
      <c r="W418" s="400" t="s">
        <v>59</v>
      </c>
      <c r="X418" s="401" t="s">
        <v>59</v>
      </c>
      <c r="Y418" s="401" t="s">
        <v>59</v>
      </c>
      <c r="Z418" s="401" t="s">
        <v>59</v>
      </c>
      <c r="AA418" s="402"/>
      <c r="AB418" s="403"/>
    </row>
    <row r="419" spans="1:28" s="352" customFormat="1" ht="18" customHeight="1" x14ac:dyDescent="0.25">
      <c r="A419" s="53">
        <v>1</v>
      </c>
      <c r="B419" s="333">
        <v>27783</v>
      </c>
      <c r="C419" s="41">
        <v>34</v>
      </c>
      <c r="D419" s="41" t="s">
        <v>84</v>
      </c>
      <c r="E419" s="15">
        <v>2</v>
      </c>
      <c r="F419" s="41">
        <v>0</v>
      </c>
      <c r="G419" s="41">
        <v>1</v>
      </c>
      <c r="H419" s="267">
        <v>8</v>
      </c>
      <c r="I419" s="296">
        <f>F419*400+G419*100+H419</f>
        <v>108</v>
      </c>
      <c r="J419" s="306">
        <v>3000</v>
      </c>
      <c r="K419" s="297">
        <f>SUM(I419*J419)</f>
        <v>324000</v>
      </c>
      <c r="L419" s="45">
        <v>1</v>
      </c>
      <c r="M419" s="61">
        <v>401</v>
      </c>
      <c r="N419" s="50" t="s">
        <v>74</v>
      </c>
      <c r="O419" s="50">
        <v>2</v>
      </c>
      <c r="P419" s="337">
        <f>16.23*10.75</f>
        <v>174.4725</v>
      </c>
      <c r="Q419" s="62" t="s">
        <v>75</v>
      </c>
      <c r="R419" s="296">
        <v>8000</v>
      </c>
      <c r="S419" s="296">
        <f>+P419*R419</f>
        <v>1395780</v>
      </c>
      <c r="T419" s="298">
        <v>4</v>
      </c>
      <c r="U419" s="299">
        <f>+S419*0.04</f>
        <v>55831.200000000004</v>
      </c>
      <c r="V419" s="299">
        <f>SUM(S419-U419)</f>
        <v>1339948.8</v>
      </c>
      <c r="W419" s="296">
        <f>K419+V419</f>
        <v>1663948.8</v>
      </c>
      <c r="X419" s="299">
        <f>W419</f>
        <v>1663948.8</v>
      </c>
      <c r="Y419" s="792"/>
      <c r="Z419" s="296">
        <f>+X419</f>
        <v>1663948.8</v>
      </c>
      <c r="AA419" s="494">
        <v>0.02</v>
      </c>
      <c r="AB419" s="465">
        <f>+Z419*AA419/100</f>
        <v>332.78976</v>
      </c>
    </row>
    <row r="420" spans="1:28" s="352" customFormat="1" ht="18" customHeight="1" x14ac:dyDescent="0.2">
      <c r="A420" s="242"/>
      <c r="B420" s="88"/>
      <c r="C420" s="88"/>
      <c r="D420" s="88"/>
      <c r="E420" s="88"/>
      <c r="F420" s="88"/>
      <c r="G420" s="88"/>
      <c r="H420" s="495"/>
      <c r="I420" s="121"/>
      <c r="J420" s="2168"/>
      <c r="K420" s="78"/>
      <c r="L420" s="75"/>
      <c r="M420" s="61"/>
      <c r="N420" s="61"/>
      <c r="O420" s="61"/>
      <c r="P420" s="173"/>
      <c r="Q420" s="174"/>
      <c r="R420" s="408"/>
      <c r="S420" s="77"/>
      <c r="T420" s="135"/>
      <c r="U420" s="74"/>
      <c r="V420" s="74"/>
      <c r="W420" s="77"/>
      <c r="X420" s="74"/>
      <c r="Y420" s="676"/>
      <c r="Z420" s="77"/>
      <c r="AA420" s="2170"/>
      <c r="AB420" s="410"/>
    </row>
    <row r="421" spans="1:28" s="352" customFormat="1" ht="18" customHeight="1" x14ac:dyDescent="0.2">
      <c r="A421" s="2166"/>
      <c r="B421" s="177"/>
      <c r="C421" s="177"/>
      <c r="D421" s="2166"/>
      <c r="E421" s="2166"/>
      <c r="F421" s="2166"/>
      <c r="G421" s="2166"/>
      <c r="H421" s="2171"/>
      <c r="I421" s="2168"/>
      <c r="J421" s="178"/>
      <c r="K421" s="2168"/>
      <c r="L421" s="2166"/>
      <c r="M421" s="2166"/>
      <c r="N421" s="2166"/>
      <c r="O421" s="2166"/>
      <c r="P421" s="2171"/>
      <c r="Q421" s="2167"/>
      <c r="R421" s="437"/>
      <c r="S421" s="2168"/>
      <c r="T421" s="179"/>
      <c r="U421" s="178"/>
      <c r="V421" s="2168"/>
      <c r="W421" s="2168"/>
      <c r="X421" s="470"/>
      <c r="Y421" s="470"/>
      <c r="Z421" s="471"/>
      <c r="AA421" s="471"/>
      <c r="AB421" s="466"/>
    </row>
    <row r="422" spans="1:28" s="352" customFormat="1" ht="18" customHeight="1" x14ac:dyDescent="0.2">
      <c r="A422" s="2166"/>
      <c r="B422" s="177"/>
      <c r="C422" s="177"/>
      <c r="D422" s="2166"/>
      <c r="E422" s="2166"/>
      <c r="F422" s="2166"/>
      <c r="G422" s="2166"/>
      <c r="H422" s="2171"/>
      <c r="I422" s="2168"/>
      <c r="J422" s="178"/>
      <c r="K422" s="2168"/>
      <c r="L422" s="2166"/>
      <c r="M422" s="2166"/>
      <c r="N422" s="2166"/>
      <c r="O422" s="2166"/>
      <c r="P422" s="2171"/>
      <c r="Q422" s="2167"/>
      <c r="R422" s="437"/>
      <c r="S422" s="2168"/>
      <c r="T422" s="179"/>
      <c r="U422" s="178"/>
      <c r="V422" s="2168"/>
      <c r="W422" s="2168"/>
      <c r="X422" s="470"/>
      <c r="Y422" s="470"/>
      <c r="Z422" s="471"/>
      <c r="AA422" s="471"/>
      <c r="AB422" s="466"/>
    </row>
    <row r="423" spans="1:28" s="352" customFormat="1" ht="18" customHeight="1" x14ac:dyDescent="0.2">
      <c r="A423" s="2166"/>
      <c r="B423" s="177"/>
      <c r="C423" s="177"/>
      <c r="D423" s="2166"/>
      <c r="E423" s="2166"/>
      <c r="F423" s="2166"/>
      <c r="G423" s="2166"/>
      <c r="H423" s="2171"/>
      <c r="I423" s="2168"/>
      <c r="J423" s="178"/>
      <c r="K423" s="2168"/>
      <c r="L423" s="2166"/>
      <c r="M423" s="2166"/>
      <c r="N423" s="2166"/>
      <c r="O423" s="2166"/>
      <c r="P423" s="2171"/>
      <c r="Q423" s="2167"/>
      <c r="R423" s="437"/>
      <c r="S423" s="2168"/>
      <c r="T423" s="179"/>
      <c r="U423" s="178"/>
      <c r="V423" s="2168"/>
      <c r="W423" s="2168"/>
      <c r="X423" s="470"/>
      <c r="Y423" s="470"/>
      <c r="Z423" s="471"/>
      <c r="AA423" s="471"/>
      <c r="AB423" s="466"/>
    </row>
    <row r="424" spans="1:28" s="352" customFormat="1" ht="18" customHeight="1" x14ac:dyDescent="0.2">
      <c r="A424" s="2166"/>
      <c r="B424" s="177"/>
      <c r="C424" s="177"/>
      <c r="D424" s="2166"/>
      <c r="E424" s="2166"/>
      <c r="F424" s="2166"/>
      <c r="G424" s="2166"/>
      <c r="H424" s="2171"/>
      <c r="I424" s="2168"/>
      <c r="J424" s="178"/>
      <c r="K424" s="2168"/>
      <c r="L424" s="2166"/>
      <c r="M424" s="2166"/>
      <c r="N424" s="2166"/>
      <c r="O424" s="2166"/>
      <c r="P424" s="2171"/>
      <c r="Q424" s="2167"/>
      <c r="R424" s="437"/>
      <c r="S424" s="2168"/>
      <c r="T424" s="179"/>
      <c r="U424" s="178"/>
      <c r="V424" s="2168"/>
      <c r="W424" s="2168"/>
      <c r="X424" s="470"/>
      <c r="Y424" s="470"/>
      <c r="Z424" s="471"/>
      <c r="AA424" s="471"/>
      <c r="AB424" s="466"/>
    </row>
    <row r="425" spans="1:28" s="352" customFormat="1" ht="18" customHeight="1" x14ac:dyDescent="0.2">
      <c r="A425" s="2166"/>
      <c r="B425" s="177"/>
      <c r="C425" s="177"/>
      <c r="D425" s="2166"/>
      <c r="E425" s="2166"/>
      <c r="F425" s="2166"/>
      <c r="G425" s="2166"/>
      <c r="H425" s="2171"/>
      <c r="I425" s="2168"/>
      <c r="J425" s="178"/>
      <c r="K425" s="2168"/>
      <c r="L425" s="2166"/>
      <c r="M425" s="2166"/>
      <c r="N425" s="2166"/>
      <c r="O425" s="2166"/>
      <c r="P425" s="2171"/>
      <c r="Q425" s="2167"/>
      <c r="R425" s="437"/>
      <c r="S425" s="2168"/>
      <c r="T425" s="179"/>
      <c r="U425" s="178"/>
      <c r="V425" s="2168"/>
      <c r="W425" s="2168"/>
      <c r="X425" s="470"/>
      <c r="Y425" s="470"/>
      <c r="Z425" s="471"/>
      <c r="AA425" s="471"/>
      <c r="AB425" s="466"/>
    </row>
    <row r="426" spans="1:28" s="352" customFormat="1" ht="18" customHeight="1" x14ac:dyDescent="0.2">
      <c r="A426" s="2166"/>
      <c r="B426" s="177"/>
      <c r="C426" s="177"/>
      <c r="D426" s="2166"/>
      <c r="E426" s="2166"/>
      <c r="F426" s="2166"/>
      <c r="G426" s="2166"/>
      <c r="H426" s="2171"/>
      <c r="I426" s="2168"/>
      <c r="J426" s="178"/>
      <c r="K426" s="2168"/>
      <c r="L426" s="2166"/>
      <c r="M426" s="2166"/>
      <c r="N426" s="2166"/>
      <c r="O426" s="2166"/>
      <c r="P426" s="2171"/>
      <c r="Q426" s="2167"/>
      <c r="R426" s="437"/>
      <c r="S426" s="2168"/>
      <c r="T426" s="179"/>
      <c r="U426" s="178"/>
      <c r="V426" s="2168"/>
      <c r="W426" s="2168"/>
      <c r="X426" s="470"/>
      <c r="Y426" s="470"/>
      <c r="Z426" s="471"/>
      <c r="AA426" s="471"/>
      <c r="AB426" s="466"/>
    </row>
    <row r="427" spans="1:28" s="352" customFormat="1" ht="18" customHeight="1" x14ac:dyDescent="0.2">
      <c r="A427" s="2166"/>
      <c r="B427" s="177"/>
      <c r="C427" s="177"/>
      <c r="D427" s="2166"/>
      <c r="E427" s="2166"/>
      <c r="F427" s="2166"/>
      <c r="G427" s="2166"/>
      <c r="H427" s="2171"/>
      <c r="I427" s="2168"/>
      <c r="J427" s="178"/>
      <c r="K427" s="2168"/>
      <c r="L427" s="2166"/>
      <c r="M427" s="2166"/>
      <c r="N427" s="2166"/>
      <c r="O427" s="2166"/>
      <c r="P427" s="2171"/>
      <c r="Q427" s="2167"/>
      <c r="R427" s="437"/>
      <c r="S427" s="2168"/>
      <c r="T427" s="179"/>
      <c r="U427" s="178"/>
      <c r="V427" s="2168"/>
      <c r="W427" s="2168"/>
      <c r="X427" s="470"/>
      <c r="Y427" s="470"/>
      <c r="Z427" s="471"/>
      <c r="AA427" s="471"/>
      <c r="AB427" s="466"/>
    </row>
    <row r="428" spans="1:28" s="352" customFormat="1" ht="18" customHeight="1" x14ac:dyDescent="0.2">
      <c r="A428" s="2166"/>
      <c r="B428" s="177"/>
      <c r="C428" s="177"/>
      <c r="D428" s="2166"/>
      <c r="E428" s="2166"/>
      <c r="F428" s="2166"/>
      <c r="G428" s="2166"/>
      <c r="H428" s="2171"/>
      <c r="I428" s="2168"/>
      <c r="J428" s="178"/>
      <c r="K428" s="2168"/>
      <c r="L428" s="2166"/>
      <c r="M428" s="2166"/>
      <c r="N428" s="2166"/>
      <c r="O428" s="2166"/>
      <c r="P428" s="2171"/>
      <c r="Q428" s="2167"/>
      <c r="R428" s="437"/>
      <c r="S428" s="2168"/>
      <c r="T428" s="179"/>
      <c r="U428" s="178"/>
      <c r="V428" s="2168"/>
      <c r="W428" s="2168"/>
      <c r="X428" s="470"/>
      <c r="Y428" s="470"/>
      <c r="Z428" s="471"/>
      <c r="AA428" s="471"/>
      <c r="AB428" s="466"/>
    </row>
    <row r="429" spans="1:28" s="352" customFormat="1" ht="18" customHeight="1" x14ac:dyDescent="0.2">
      <c r="A429" s="2166"/>
      <c r="B429" s="177"/>
      <c r="C429" s="177"/>
      <c r="D429" s="2166"/>
      <c r="E429" s="2166"/>
      <c r="F429" s="2166"/>
      <c r="G429" s="2166"/>
      <c r="H429" s="2171"/>
      <c r="I429" s="2168"/>
      <c r="J429" s="178"/>
      <c r="K429" s="2168"/>
      <c r="L429" s="2166"/>
      <c r="M429" s="2166"/>
      <c r="N429" s="2166"/>
      <c r="O429" s="2166"/>
      <c r="P429" s="2171"/>
      <c r="Q429" s="2167"/>
      <c r="R429" s="437"/>
      <c r="S429" s="2168"/>
      <c r="T429" s="179"/>
      <c r="U429" s="178"/>
      <c r="V429" s="2168"/>
      <c r="W429" s="2168"/>
      <c r="X429" s="470"/>
      <c r="Y429" s="470"/>
      <c r="Z429" s="471"/>
      <c r="AA429" s="471"/>
      <c r="AB429" s="466"/>
    </row>
    <row r="430" spans="1:28" s="352" customFormat="1" ht="18" customHeight="1" x14ac:dyDescent="0.2">
      <c r="A430" s="2166"/>
      <c r="B430" s="177"/>
      <c r="C430" s="177"/>
      <c r="D430" s="2166"/>
      <c r="E430" s="2166"/>
      <c r="F430" s="2166"/>
      <c r="G430" s="2166"/>
      <c r="H430" s="2171"/>
      <c r="I430" s="2168"/>
      <c r="J430" s="178"/>
      <c r="K430" s="2168"/>
      <c r="L430" s="2166"/>
      <c r="M430" s="2166"/>
      <c r="N430" s="2166"/>
      <c r="O430" s="2166"/>
      <c r="P430" s="2171"/>
      <c r="Q430" s="2167"/>
      <c r="R430" s="437"/>
      <c r="S430" s="2168"/>
      <c r="T430" s="179"/>
      <c r="U430" s="178"/>
      <c r="V430" s="2168"/>
      <c r="W430" s="2168"/>
      <c r="X430" s="470"/>
      <c r="Y430" s="470"/>
      <c r="Z430" s="471"/>
      <c r="AA430" s="471"/>
      <c r="AB430" s="466"/>
    </row>
    <row r="431" spans="1:28" s="352" customFormat="1" ht="18" customHeight="1" x14ac:dyDescent="0.2">
      <c r="A431" s="2166"/>
      <c r="B431" s="177"/>
      <c r="C431" s="177"/>
      <c r="D431" s="2166"/>
      <c r="E431" s="2166"/>
      <c r="F431" s="2166"/>
      <c r="G431" s="2166"/>
      <c r="H431" s="2171"/>
      <c r="I431" s="2168"/>
      <c r="J431" s="178"/>
      <c r="K431" s="2168"/>
      <c r="L431" s="2166"/>
      <c r="M431" s="2166"/>
      <c r="N431" s="2166"/>
      <c r="O431" s="2166"/>
      <c r="P431" s="2171"/>
      <c r="Q431" s="2167"/>
      <c r="R431" s="437"/>
      <c r="S431" s="2168"/>
      <c r="T431" s="179"/>
      <c r="U431" s="178"/>
      <c r="V431" s="2168"/>
      <c r="W431" s="2168"/>
      <c r="X431" s="470"/>
      <c r="Y431" s="470"/>
      <c r="Z431" s="471"/>
      <c r="AA431" s="471"/>
      <c r="AB431" s="466"/>
    </row>
    <row r="432" spans="1:28" s="352" customFormat="1" ht="18" customHeight="1" x14ac:dyDescent="0.2">
      <c r="A432" s="88"/>
      <c r="B432" s="180"/>
      <c r="C432" s="180"/>
      <c r="D432" s="88"/>
      <c r="E432" s="88"/>
      <c r="F432" s="88"/>
      <c r="G432" s="88"/>
      <c r="H432" s="120"/>
      <c r="I432" s="121"/>
      <c r="J432" s="181"/>
      <c r="K432" s="121"/>
      <c r="L432" s="88"/>
      <c r="M432" s="88"/>
      <c r="N432" s="88"/>
      <c r="O432" s="88"/>
      <c r="P432" s="88"/>
      <c r="Q432" s="129"/>
      <c r="R432" s="445"/>
      <c r="S432" s="121"/>
      <c r="T432" s="182"/>
      <c r="U432" s="181"/>
      <c r="V432" s="121"/>
      <c r="W432" s="121"/>
      <c r="X432" s="472"/>
      <c r="Y432" s="472"/>
      <c r="Z432" s="473"/>
      <c r="AA432" s="473"/>
      <c r="AB432" s="410"/>
    </row>
    <row r="433" spans="1:28" s="2205" customFormat="1" ht="18" customHeight="1" x14ac:dyDescent="0.2">
      <c r="A433" s="2126"/>
      <c r="B433" s="2126"/>
      <c r="C433" s="2126"/>
      <c r="D433" s="2126"/>
      <c r="E433" s="2126"/>
      <c r="F433" s="2126"/>
      <c r="G433" s="2126"/>
      <c r="H433" s="2127"/>
      <c r="I433" s="2128"/>
      <c r="J433" s="2129"/>
      <c r="K433" s="2128"/>
      <c r="L433" s="2128"/>
      <c r="M433" s="2128"/>
      <c r="N433" s="2128"/>
      <c r="O433" s="2128"/>
      <c r="P433" s="2128"/>
      <c r="Q433" s="2128"/>
      <c r="R433" s="2130"/>
      <c r="S433" s="2128"/>
      <c r="T433" s="2131"/>
      <c r="U433" s="2129"/>
      <c r="V433" s="2128"/>
      <c r="W433" s="2128"/>
      <c r="X433" s="2132"/>
      <c r="Y433" s="2132"/>
      <c r="Z433" s="2133"/>
      <c r="AA433" s="2133"/>
      <c r="AB433" s="2135">
        <f>SUM(AB419:AB432)</f>
        <v>332.78976</v>
      </c>
    </row>
    <row r="434" spans="1:28" s="352" customFormat="1" ht="18" customHeight="1" x14ac:dyDescent="0.2">
      <c r="A434" s="2778" t="s">
        <v>76</v>
      </c>
      <c r="B434" s="2778"/>
      <c r="C434" s="2779" t="s">
        <v>77</v>
      </c>
      <c r="D434" s="2779"/>
      <c r="E434" s="2779"/>
      <c r="F434" s="2779"/>
      <c r="G434" s="2779"/>
      <c r="H434" s="2779"/>
      <c r="I434" s="424" t="s">
        <v>78</v>
      </c>
      <c r="J434" s="424"/>
      <c r="K434" s="424"/>
      <c r="L434" s="424"/>
      <c r="M434" s="424"/>
      <c r="N434" s="424"/>
      <c r="AB434" s="425"/>
    </row>
    <row r="435" spans="1:28" s="352" customFormat="1" ht="18" customHeight="1" x14ac:dyDescent="0.2">
      <c r="A435" s="424"/>
      <c r="B435" s="426"/>
      <c r="C435" s="424"/>
      <c r="D435" s="424"/>
      <c r="E435" s="424"/>
      <c r="F435" s="424"/>
      <c r="G435" s="424"/>
      <c r="H435" s="424"/>
      <c r="I435" s="424" t="s">
        <v>79</v>
      </c>
      <c r="J435" s="424"/>
      <c r="K435" s="424"/>
      <c r="L435" s="424"/>
      <c r="M435" s="424"/>
      <c r="N435" s="424"/>
      <c r="AB435" s="425"/>
    </row>
    <row r="436" spans="1:28" s="352" customFormat="1" ht="18" customHeight="1" x14ac:dyDescent="0.2">
      <c r="A436" s="424"/>
      <c r="B436" s="426"/>
      <c r="C436" s="424"/>
      <c r="D436" s="424"/>
      <c r="E436" s="424"/>
      <c r="F436" s="424"/>
      <c r="G436" s="424"/>
      <c r="H436" s="424"/>
      <c r="I436" s="424" t="s">
        <v>80</v>
      </c>
      <c r="J436" s="424"/>
      <c r="K436" s="424"/>
      <c r="L436" s="424"/>
      <c r="M436" s="424"/>
      <c r="N436" s="424"/>
      <c r="AB436" s="425"/>
    </row>
    <row r="437" spans="1:28" s="352" customFormat="1" ht="18" customHeight="1" x14ac:dyDescent="0.2">
      <c r="A437" s="424"/>
      <c r="B437" s="426"/>
      <c r="C437" s="424"/>
      <c r="D437" s="424"/>
      <c r="E437" s="424"/>
      <c r="F437" s="424"/>
      <c r="G437" s="424"/>
      <c r="H437" s="424"/>
      <c r="I437" s="424" t="s">
        <v>81</v>
      </c>
      <c r="J437" s="424"/>
      <c r="K437" s="424"/>
      <c r="L437" s="424"/>
      <c r="M437" s="424"/>
      <c r="N437" s="424"/>
      <c r="AB437" s="425"/>
    </row>
    <row r="438" spans="1:28" s="352" customFormat="1" ht="18" customHeight="1" x14ac:dyDescent="0.2">
      <c r="A438" s="424"/>
      <c r="B438" s="426"/>
      <c r="C438" s="424"/>
      <c r="D438" s="424"/>
      <c r="E438" s="424"/>
      <c r="F438" s="424"/>
      <c r="G438" s="424"/>
      <c r="H438" s="424"/>
      <c r="I438" s="424" t="s">
        <v>88</v>
      </c>
      <c r="J438" s="424"/>
      <c r="K438" s="424"/>
      <c r="L438" s="424"/>
      <c r="M438" s="424"/>
      <c r="N438" s="424"/>
      <c r="AB438" s="425"/>
    </row>
    <row r="439" spans="1:28" s="352" customFormat="1" ht="18" customHeight="1" x14ac:dyDescent="0.2">
      <c r="A439" s="338"/>
      <c r="B439" s="338"/>
      <c r="C439" s="338"/>
      <c r="D439" s="338"/>
      <c r="E439" s="338"/>
      <c r="F439" s="338"/>
      <c r="G439" s="338"/>
      <c r="H439" s="338"/>
      <c r="I439" s="338"/>
      <c r="J439" s="338"/>
      <c r="K439" s="338"/>
      <c r="L439" s="338"/>
      <c r="M439" s="338"/>
      <c r="N439" s="338"/>
      <c r="O439" s="338"/>
      <c r="P439" s="338"/>
      <c r="Q439" s="338"/>
      <c r="R439" s="338"/>
      <c r="S439" s="338"/>
      <c r="T439" s="338"/>
      <c r="U439" s="338"/>
      <c r="V439" s="338"/>
      <c r="W439" s="338"/>
      <c r="X439" s="338"/>
      <c r="Y439" s="338"/>
      <c r="Z439" s="338"/>
      <c r="AA439" s="2774" t="s">
        <v>0</v>
      </c>
      <c r="AB439" s="2774"/>
    </row>
    <row r="440" spans="1:28" s="352" customFormat="1" ht="18" customHeight="1" x14ac:dyDescent="0.2">
      <c r="A440" s="2703" t="s">
        <v>1</v>
      </c>
      <c r="B440" s="2703"/>
      <c r="C440" s="2703"/>
      <c r="D440" s="2703"/>
      <c r="E440" s="2703"/>
      <c r="F440" s="2703"/>
      <c r="G440" s="2703"/>
      <c r="H440" s="2703"/>
      <c r="I440" s="2703"/>
      <c r="J440" s="2703"/>
      <c r="K440" s="2703"/>
      <c r="L440" s="2703"/>
      <c r="M440" s="2703"/>
      <c r="N440" s="2703"/>
      <c r="O440" s="2703"/>
      <c r="P440" s="2703"/>
      <c r="Q440" s="2703"/>
      <c r="R440" s="2703"/>
      <c r="S440" s="2703"/>
      <c r="T440" s="2703"/>
      <c r="U440" s="2703"/>
      <c r="V440" s="2703"/>
      <c r="W440" s="2703"/>
      <c r="X440" s="2703"/>
      <c r="Y440" s="2703"/>
      <c r="Z440" s="2703"/>
      <c r="AA440" s="2703"/>
      <c r="AB440" s="2703"/>
    </row>
    <row r="441" spans="1:28" s="352" customFormat="1" ht="18" customHeight="1" x14ac:dyDescent="0.2">
      <c r="A441" s="2780" t="s">
        <v>614</v>
      </c>
      <c r="B441" s="2780"/>
      <c r="C441" s="2780"/>
      <c r="D441" s="2780"/>
      <c r="E441" s="2780"/>
      <c r="F441" s="2780"/>
      <c r="G441" s="2780"/>
      <c r="H441" s="2780"/>
      <c r="I441" s="2780"/>
      <c r="J441" s="2780"/>
      <c r="K441" s="2780"/>
      <c r="L441" s="2780"/>
      <c r="M441" s="2780"/>
      <c r="N441" s="2780"/>
      <c r="O441" s="2780"/>
      <c r="P441" s="2780"/>
      <c r="Q441" s="2780"/>
      <c r="R441" s="2780"/>
      <c r="S441" s="2780"/>
      <c r="T441" s="2780"/>
      <c r="U441" s="2780"/>
      <c r="V441" s="2780"/>
      <c r="W441" s="2780"/>
      <c r="X441" s="2780"/>
      <c r="Y441" s="2780"/>
      <c r="Z441" s="2780"/>
      <c r="AA441" s="2780"/>
      <c r="AB441" s="2780"/>
    </row>
    <row r="442" spans="1:28" s="352" customFormat="1" ht="18" customHeight="1" x14ac:dyDescent="0.2">
      <c r="A442" s="2686" t="s">
        <v>2</v>
      </c>
      <c r="B442" s="360"/>
      <c r="C442" s="2686" t="s">
        <v>3</v>
      </c>
      <c r="D442" s="360"/>
      <c r="E442" s="360"/>
      <c r="F442" s="2693" t="s">
        <v>4</v>
      </c>
      <c r="G442" s="2693"/>
      <c r="H442" s="2693"/>
      <c r="I442" s="2694"/>
      <c r="J442" s="2694"/>
      <c r="K442" s="2695"/>
      <c r="L442" s="361"/>
      <c r="M442" s="2679" t="s">
        <v>5</v>
      </c>
      <c r="N442" s="2679"/>
      <c r="O442" s="2679"/>
      <c r="P442" s="2679"/>
      <c r="Q442" s="2696"/>
      <c r="R442" s="2696"/>
      <c r="S442" s="2696"/>
      <c r="T442" s="2696"/>
      <c r="U442" s="2696"/>
      <c r="V442" s="2697"/>
      <c r="W442" s="362" t="s">
        <v>6</v>
      </c>
      <c r="X442" s="363" t="s">
        <v>7</v>
      </c>
      <c r="Y442" s="364"/>
      <c r="Z442" s="364"/>
      <c r="AA442" s="363"/>
      <c r="AB442" s="365"/>
    </row>
    <row r="443" spans="1:28" s="352" customFormat="1" ht="18" customHeight="1" x14ac:dyDescent="0.2">
      <c r="A443" s="2687"/>
      <c r="B443" s="367"/>
      <c r="C443" s="2687"/>
      <c r="D443" s="2158" t="s">
        <v>9</v>
      </c>
      <c r="E443" s="368" t="s">
        <v>10</v>
      </c>
      <c r="F443" s="2698" t="s">
        <v>11</v>
      </c>
      <c r="G443" s="2694"/>
      <c r="H443" s="2695"/>
      <c r="I443" s="360"/>
      <c r="J443" s="369" t="s">
        <v>12</v>
      </c>
      <c r="K443" s="360"/>
      <c r="L443" s="2679" t="s">
        <v>2</v>
      </c>
      <c r="M443" s="2162"/>
      <c r="N443" s="2162"/>
      <c r="O443" s="2162"/>
      <c r="P443" s="371"/>
      <c r="Q443" s="372" t="s">
        <v>13</v>
      </c>
      <c r="R443" s="373" t="s">
        <v>12</v>
      </c>
      <c r="S443" s="2162" t="s">
        <v>6</v>
      </c>
      <c r="T443" s="2682" t="s">
        <v>14</v>
      </c>
      <c r="U443" s="2683"/>
      <c r="V443" s="375" t="s">
        <v>7</v>
      </c>
      <c r="W443" s="376" t="s">
        <v>15</v>
      </c>
      <c r="X443" s="377" t="s">
        <v>16</v>
      </c>
      <c r="Y443" s="377" t="s">
        <v>17</v>
      </c>
      <c r="Z443" s="377" t="s">
        <v>18</v>
      </c>
      <c r="AA443" s="377"/>
      <c r="AB443" s="378" t="s">
        <v>19</v>
      </c>
    </row>
    <row r="444" spans="1:28" s="352" customFormat="1" ht="18" customHeight="1" x14ac:dyDescent="0.2">
      <c r="A444" s="2687"/>
      <c r="B444" s="2158" t="s">
        <v>23</v>
      </c>
      <c r="C444" s="2687"/>
      <c r="D444" s="2158" t="s">
        <v>24</v>
      </c>
      <c r="E444" s="368" t="s">
        <v>25</v>
      </c>
      <c r="F444" s="2699"/>
      <c r="G444" s="2700"/>
      <c r="H444" s="2701"/>
      <c r="I444" s="2158" t="s">
        <v>26</v>
      </c>
      <c r="J444" s="379" t="s">
        <v>15</v>
      </c>
      <c r="K444" s="2159" t="s">
        <v>6</v>
      </c>
      <c r="L444" s="2680"/>
      <c r="M444" s="2163" t="s">
        <v>27</v>
      </c>
      <c r="N444" s="2163" t="s">
        <v>10</v>
      </c>
      <c r="O444" s="382" t="s">
        <v>10</v>
      </c>
      <c r="P444" s="383" t="s">
        <v>28</v>
      </c>
      <c r="Q444" s="384" t="s">
        <v>29</v>
      </c>
      <c r="R444" s="383" t="s">
        <v>15</v>
      </c>
      <c r="S444" s="385" t="s">
        <v>15</v>
      </c>
      <c r="T444" s="2684"/>
      <c r="U444" s="2685"/>
      <c r="V444" s="375" t="s">
        <v>30</v>
      </c>
      <c r="W444" s="376" t="s">
        <v>31</v>
      </c>
      <c r="X444" s="377" t="s">
        <v>30</v>
      </c>
      <c r="Y444" s="377" t="s">
        <v>32</v>
      </c>
      <c r="Z444" s="377" t="s">
        <v>7</v>
      </c>
      <c r="AA444" s="377" t="s">
        <v>33</v>
      </c>
      <c r="AB444" s="378" t="s">
        <v>34</v>
      </c>
    </row>
    <row r="445" spans="1:28" s="352" customFormat="1" ht="18" customHeight="1" x14ac:dyDescent="0.2">
      <c r="A445" s="2687"/>
      <c r="B445" s="2158" t="s">
        <v>39</v>
      </c>
      <c r="C445" s="2687"/>
      <c r="D445" s="2158" t="s">
        <v>40</v>
      </c>
      <c r="E445" s="368" t="s">
        <v>41</v>
      </c>
      <c r="F445" s="2686" t="s">
        <v>42</v>
      </c>
      <c r="G445" s="2686" t="s">
        <v>43</v>
      </c>
      <c r="H445" s="2688" t="s">
        <v>44</v>
      </c>
      <c r="I445" s="2158" t="s">
        <v>45</v>
      </c>
      <c r="J445" s="379" t="s">
        <v>46</v>
      </c>
      <c r="K445" s="2159" t="s">
        <v>47</v>
      </c>
      <c r="L445" s="2680"/>
      <c r="M445" s="2163" t="s">
        <v>30</v>
      </c>
      <c r="N445" s="2163" t="s">
        <v>30</v>
      </c>
      <c r="O445" s="382" t="s">
        <v>25</v>
      </c>
      <c r="P445" s="383" t="s">
        <v>30</v>
      </c>
      <c r="Q445" s="384" t="s">
        <v>48</v>
      </c>
      <c r="R445" s="383" t="s">
        <v>49</v>
      </c>
      <c r="S445" s="385" t="s">
        <v>30</v>
      </c>
      <c r="T445" s="386" t="s">
        <v>50</v>
      </c>
      <c r="U445" s="2161" t="s">
        <v>13</v>
      </c>
      <c r="V445" s="375" t="s">
        <v>51</v>
      </c>
      <c r="W445" s="376" t="s">
        <v>52</v>
      </c>
      <c r="X445" s="377" t="s">
        <v>53</v>
      </c>
      <c r="Y445" s="377" t="s">
        <v>54</v>
      </c>
      <c r="Z445" s="377" t="s">
        <v>55</v>
      </c>
      <c r="AA445" s="377" t="s">
        <v>56</v>
      </c>
      <c r="AB445" s="378" t="s">
        <v>57</v>
      </c>
    </row>
    <row r="446" spans="1:28" s="352" customFormat="1" ht="18" customHeight="1" x14ac:dyDescent="0.2">
      <c r="A446" s="2687"/>
      <c r="B446" s="2158" t="s">
        <v>61</v>
      </c>
      <c r="C446" s="2687"/>
      <c r="D446" s="2158" t="s">
        <v>62</v>
      </c>
      <c r="E446" s="368" t="s">
        <v>63</v>
      </c>
      <c r="F446" s="2687"/>
      <c r="G446" s="2687"/>
      <c r="H446" s="2689"/>
      <c r="I446" s="2158" t="s">
        <v>64</v>
      </c>
      <c r="J446" s="379" t="s">
        <v>59</v>
      </c>
      <c r="K446" s="2159" t="s">
        <v>59</v>
      </c>
      <c r="L446" s="2680"/>
      <c r="M446" s="2163"/>
      <c r="N446" s="2163"/>
      <c r="O446" s="382" t="s">
        <v>41</v>
      </c>
      <c r="P446" s="383" t="s">
        <v>65</v>
      </c>
      <c r="Q446" s="384" t="s">
        <v>66</v>
      </c>
      <c r="R446" s="383" t="s">
        <v>67</v>
      </c>
      <c r="S446" s="385" t="s">
        <v>59</v>
      </c>
      <c r="T446" s="387" t="s">
        <v>68</v>
      </c>
      <c r="U446" s="375" t="s">
        <v>14</v>
      </c>
      <c r="V446" s="375" t="s">
        <v>14</v>
      </c>
      <c r="W446" s="376" t="s">
        <v>30</v>
      </c>
      <c r="X446" s="388" t="s">
        <v>69</v>
      </c>
      <c r="Y446" s="388" t="s">
        <v>70</v>
      </c>
      <c r="Z446" s="377" t="s">
        <v>71</v>
      </c>
      <c r="AA446" s="377" t="s">
        <v>72</v>
      </c>
      <c r="AB446" s="378" t="s">
        <v>59</v>
      </c>
    </row>
    <row r="447" spans="1:28" s="352" customFormat="1" ht="18" customHeight="1" x14ac:dyDescent="0.2">
      <c r="A447" s="2692"/>
      <c r="B447" s="390"/>
      <c r="C447" s="2692"/>
      <c r="D447" s="390"/>
      <c r="E447" s="2160"/>
      <c r="F447" s="390"/>
      <c r="G447" s="390"/>
      <c r="H447" s="391"/>
      <c r="I447" s="2160"/>
      <c r="J447" s="392"/>
      <c r="K447" s="393"/>
      <c r="L447" s="2681"/>
      <c r="M447" s="2164"/>
      <c r="N447" s="2164"/>
      <c r="O447" s="2164" t="s">
        <v>63</v>
      </c>
      <c r="P447" s="395"/>
      <c r="Q447" s="396" t="s">
        <v>72</v>
      </c>
      <c r="R447" s="397" t="s">
        <v>59</v>
      </c>
      <c r="S447" s="398"/>
      <c r="T447" s="397" t="s">
        <v>73</v>
      </c>
      <c r="U447" s="398" t="s">
        <v>59</v>
      </c>
      <c r="V447" s="399" t="s">
        <v>59</v>
      </c>
      <c r="W447" s="400" t="s">
        <v>59</v>
      </c>
      <c r="X447" s="401" t="s">
        <v>59</v>
      </c>
      <c r="Y447" s="401" t="s">
        <v>59</v>
      </c>
      <c r="Z447" s="401" t="s">
        <v>59</v>
      </c>
      <c r="AA447" s="402"/>
      <c r="AB447" s="403"/>
    </row>
    <row r="448" spans="1:28" s="352" customFormat="1" ht="18" customHeight="1" x14ac:dyDescent="0.2">
      <c r="A448" s="75">
        <v>1</v>
      </c>
      <c r="B448" s="85">
        <v>35433</v>
      </c>
      <c r="C448" s="88">
        <v>400</v>
      </c>
      <c r="D448" s="88" t="s">
        <v>84</v>
      </c>
      <c r="E448" s="88">
        <v>2</v>
      </c>
      <c r="F448" s="88">
        <v>0</v>
      </c>
      <c r="G448" s="88">
        <v>0</v>
      </c>
      <c r="H448" s="495">
        <v>20.7</v>
      </c>
      <c r="I448" s="77">
        <v>13.8</v>
      </c>
      <c r="J448" s="2168">
        <v>3950</v>
      </c>
      <c r="K448" s="70">
        <f t="shared" ref="K448:K453" si="44">SUM(I448*J448)</f>
        <v>54510</v>
      </c>
      <c r="L448" s="53">
        <v>1</v>
      </c>
      <c r="M448" s="53">
        <v>404</v>
      </c>
      <c r="N448" s="53" t="s">
        <v>74</v>
      </c>
      <c r="O448" s="53">
        <v>2</v>
      </c>
      <c r="P448" s="1123">
        <v>169.12</v>
      </c>
      <c r="Q448" s="197" t="s">
        <v>291</v>
      </c>
      <c r="R448" s="444">
        <v>8500</v>
      </c>
      <c r="S448" s="70">
        <f t="shared" ref="S448:S453" si="45">+P448*R448</f>
        <v>1437520</v>
      </c>
      <c r="T448" s="1124">
        <v>28</v>
      </c>
      <c r="U448" s="70">
        <f t="shared" ref="U448:U453" si="46">+S448*0.46</f>
        <v>661259.20000000007</v>
      </c>
      <c r="V448" s="70">
        <f t="shared" ref="V448:V453" si="47">SUM(S448-U448)</f>
        <v>776260.79999999993</v>
      </c>
      <c r="W448" s="70">
        <f>K448+V448</f>
        <v>830770.79999999993</v>
      </c>
      <c r="X448" s="70">
        <f t="shared" ref="X448:X453" si="48">W448</f>
        <v>830770.79999999993</v>
      </c>
      <c r="Y448" s="945"/>
      <c r="Z448" s="70">
        <f t="shared" ref="Z448:Z453" si="49">+X448</f>
        <v>830770.79999999993</v>
      </c>
      <c r="AA448" s="464">
        <v>0.02</v>
      </c>
      <c r="AB448" s="465">
        <f>+Z448*AA448/100</f>
        <v>166.15415999999996</v>
      </c>
    </row>
    <row r="449" spans="1:28" s="352" customFormat="1" ht="18" customHeight="1" x14ac:dyDescent="0.2">
      <c r="A449" s="242"/>
      <c r="B449" s="242"/>
      <c r="C449" s="496"/>
      <c r="D449" s="85"/>
      <c r="E449" s="88"/>
      <c r="F449" s="411"/>
      <c r="G449" s="242"/>
      <c r="H449" s="497"/>
      <c r="I449" s="77">
        <v>6.9</v>
      </c>
      <c r="J449" s="2168">
        <v>3950</v>
      </c>
      <c r="K449" s="74">
        <f t="shared" si="44"/>
        <v>27255</v>
      </c>
      <c r="L449" s="72"/>
      <c r="M449" s="75">
        <v>404</v>
      </c>
      <c r="N449" s="75" t="s">
        <v>74</v>
      </c>
      <c r="O449" s="88">
        <v>3</v>
      </c>
      <c r="P449" s="120">
        <v>84.56</v>
      </c>
      <c r="Q449" s="129" t="s">
        <v>290</v>
      </c>
      <c r="R449" s="413">
        <v>8500</v>
      </c>
      <c r="S449" s="74">
        <f t="shared" si="45"/>
        <v>718760</v>
      </c>
      <c r="T449" s="135">
        <v>28</v>
      </c>
      <c r="U449" s="74">
        <f t="shared" si="46"/>
        <v>330629.60000000003</v>
      </c>
      <c r="V449" s="74">
        <f t="shared" si="47"/>
        <v>388130.39999999997</v>
      </c>
      <c r="W449" s="74">
        <f t="shared" ref="W449:W453" si="50">K449+V449</f>
        <v>415385.39999999997</v>
      </c>
      <c r="X449" s="74">
        <f t="shared" si="48"/>
        <v>415385.39999999997</v>
      </c>
      <c r="Y449" s="606"/>
      <c r="Z449" s="74">
        <f t="shared" si="49"/>
        <v>415385.39999999997</v>
      </c>
      <c r="AA449" s="414">
        <v>0.3</v>
      </c>
      <c r="AB449" s="410">
        <f t="shared" ref="AB449:AB454" si="51">+Z449*AA449/100</f>
        <v>1246.1561999999999</v>
      </c>
    </row>
    <row r="450" spans="1:28" s="352" customFormat="1" ht="18" customHeight="1" x14ac:dyDescent="0.2">
      <c r="A450" s="242">
        <v>2</v>
      </c>
      <c r="B450" s="242">
        <v>35434</v>
      </c>
      <c r="C450" s="496" t="s">
        <v>126</v>
      </c>
      <c r="D450" s="85" t="s">
        <v>84</v>
      </c>
      <c r="E450" s="88">
        <v>2</v>
      </c>
      <c r="F450" s="411">
        <v>0</v>
      </c>
      <c r="G450" s="242">
        <v>0</v>
      </c>
      <c r="H450" s="497">
        <v>11.4</v>
      </c>
      <c r="I450" s="77">
        <v>7.6</v>
      </c>
      <c r="J450" s="2168">
        <v>3950</v>
      </c>
      <c r="K450" s="74">
        <f t="shared" si="44"/>
        <v>30020</v>
      </c>
      <c r="L450" s="72">
        <v>2</v>
      </c>
      <c r="M450" s="88">
        <v>404</v>
      </c>
      <c r="N450" s="88" t="s">
        <v>74</v>
      </c>
      <c r="O450" s="88">
        <v>2</v>
      </c>
      <c r="P450" s="188">
        <v>169.12</v>
      </c>
      <c r="Q450" s="174" t="s">
        <v>291</v>
      </c>
      <c r="R450" s="446">
        <v>8500</v>
      </c>
      <c r="S450" s="73">
        <f t="shared" si="45"/>
        <v>1437520</v>
      </c>
      <c r="T450" s="1025">
        <v>28</v>
      </c>
      <c r="U450" s="73">
        <f t="shared" si="46"/>
        <v>661259.20000000007</v>
      </c>
      <c r="V450" s="73">
        <f t="shared" si="47"/>
        <v>776260.79999999993</v>
      </c>
      <c r="W450" s="74">
        <f t="shared" si="50"/>
        <v>806280.79999999993</v>
      </c>
      <c r="X450" s="73">
        <f t="shared" si="48"/>
        <v>806280.79999999993</v>
      </c>
      <c r="Y450" s="1026"/>
      <c r="Z450" s="73">
        <f t="shared" si="49"/>
        <v>806280.79999999993</v>
      </c>
      <c r="AA450" s="414">
        <v>0.02</v>
      </c>
      <c r="AB450" s="410">
        <f t="shared" si="51"/>
        <v>161.25615999999999</v>
      </c>
    </row>
    <row r="451" spans="1:28" s="352" customFormat="1" ht="18" customHeight="1" x14ac:dyDescent="0.2">
      <c r="A451" s="2166"/>
      <c r="B451" s="1088"/>
      <c r="C451" s="177"/>
      <c r="D451" s="2166"/>
      <c r="E451" s="2166"/>
      <c r="F451" s="2166"/>
      <c r="G451" s="2166"/>
      <c r="H451" s="2171"/>
      <c r="I451" s="2168">
        <v>3.8</v>
      </c>
      <c r="J451" s="2168">
        <v>3950</v>
      </c>
      <c r="K451" s="74">
        <f t="shared" si="44"/>
        <v>15010</v>
      </c>
      <c r="L451" s="88"/>
      <c r="M451" s="88">
        <v>404</v>
      </c>
      <c r="N451" s="88" t="s">
        <v>74</v>
      </c>
      <c r="O451" s="88">
        <v>3</v>
      </c>
      <c r="P451" s="120">
        <v>84.56</v>
      </c>
      <c r="Q451" s="129" t="s">
        <v>290</v>
      </c>
      <c r="R451" s="446">
        <v>8500</v>
      </c>
      <c r="S451" s="73">
        <f t="shared" si="45"/>
        <v>718760</v>
      </c>
      <c r="T451" s="1025">
        <v>28</v>
      </c>
      <c r="U451" s="73">
        <f t="shared" si="46"/>
        <v>330629.60000000003</v>
      </c>
      <c r="V451" s="73">
        <f t="shared" si="47"/>
        <v>388130.39999999997</v>
      </c>
      <c r="W451" s="74">
        <f t="shared" si="50"/>
        <v>403140.39999999997</v>
      </c>
      <c r="X451" s="73">
        <f t="shared" si="48"/>
        <v>403140.39999999997</v>
      </c>
      <c r="Y451" s="1026"/>
      <c r="Z451" s="73">
        <f t="shared" si="49"/>
        <v>403140.39999999997</v>
      </c>
      <c r="AA451" s="414">
        <v>0.3</v>
      </c>
      <c r="AB451" s="410">
        <f t="shared" si="51"/>
        <v>1209.4211999999998</v>
      </c>
    </row>
    <row r="452" spans="1:28" s="352" customFormat="1" ht="18" customHeight="1" x14ac:dyDescent="0.2">
      <c r="A452" s="242">
        <v>3</v>
      </c>
      <c r="B452" s="242">
        <v>35435</v>
      </c>
      <c r="C452" s="496" t="s">
        <v>127</v>
      </c>
      <c r="D452" s="85" t="s">
        <v>84</v>
      </c>
      <c r="E452" s="88">
        <v>2</v>
      </c>
      <c r="F452" s="411">
        <v>0</v>
      </c>
      <c r="G452" s="242">
        <v>0</v>
      </c>
      <c r="H452" s="497">
        <v>11.4</v>
      </c>
      <c r="I452" s="77">
        <v>7.6</v>
      </c>
      <c r="J452" s="2168">
        <v>3950</v>
      </c>
      <c r="K452" s="74">
        <f t="shared" si="44"/>
        <v>30020</v>
      </c>
      <c r="L452" s="72">
        <v>3</v>
      </c>
      <c r="M452" s="88">
        <v>404</v>
      </c>
      <c r="N452" s="88" t="s">
        <v>74</v>
      </c>
      <c r="O452" s="88">
        <v>2</v>
      </c>
      <c r="P452" s="188">
        <v>169.12</v>
      </c>
      <c r="Q452" s="174" t="s">
        <v>291</v>
      </c>
      <c r="R452" s="446">
        <v>8500</v>
      </c>
      <c r="S452" s="73">
        <f t="shared" si="45"/>
        <v>1437520</v>
      </c>
      <c r="T452" s="1025">
        <v>28</v>
      </c>
      <c r="U452" s="73">
        <f t="shared" si="46"/>
        <v>661259.20000000007</v>
      </c>
      <c r="V452" s="73">
        <f t="shared" si="47"/>
        <v>776260.79999999993</v>
      </c>
      <c r="W452" s="74">
        <f t="shared" si="50"/>
        <v>806280.79999999993</v>
      </c>
      <c r="X452" s="73">
        <f t="shared" si="48"/>
        <v>806280.79999999993</v>
      </c>
      <c r="Y452" s="1026"/>
      <c r="Z452" s="73">
        <f t="shared" si="49"/>
        <v>806280.79999999993</v>
      </c>
      <c r="AA452" s="414">
        <v>0.02</v>
      </c>
      <c r="AB452" s="410">
        <f t="shared" si="51"/>
        <v>161.25615999999999</v>
      </c>
    </row>
    <row r="453" spans="1:28" s="352" customFormat="1" ht="18" customHeight="1" x14ac:dyDescent="0.2">
      <c r="A453" s="2166"/>
      <c r="B453" s="177"/>
      <c r="C453" s="177"/>
      <c r="D453" s="2166"/>
      <c r="E453" s="2166"/>
      <c r="F453" s="2166"/>
      <c r="G453" s="2166"/>
      <c r="H453" s="2171"/>
      <c r="I453" s="2168">
        <v>3.8</v>
      </c>
      <c r="J453" s="2168">
        <v>3950</v>
      </c>
      <c r="K453" s="74">
        <f t="shared" si="44"/>
        <v>15010</v>
      </c>
      <c r="L453" s="72"/>
      <c r="M453" s="88">
        <v>404</v>
      </c>
      <c r="N453" s="88" t="s">
        <v>74</v>
      </c>
      <c r="O453" s="88">
        <v>3</v>
      </c>
      <c r="P453" s="120">
        <v>84.56</v>
      </c>
      <c r="Q453" s="129" t="s">
        <v>290</v>
      </c>
      <c r="R453" s="446">
        <v>8500</v>
      </c>
      <c r="S453" s="73">
        <f t="shared" si="45"/>
        <v>718760</v>
      </c>
      <c r="T453" s="1025">
        <v>28</v>
      </c>
      <c r="U453" s="73">
        <f t="shared" si="46"/>
        <v>330629.60000000003</v>
      </c>
      <c r="V453" s="73">
        <f t="shared" si="47"/>
        <v>388130.39999999997</v>
      </c>
      <c r="W453" s="74">
        <f t="shared" si="50"/>
        <v>403140.39999999997</v>
      </c>
      <c r="X453" s="73">
        <f t="shared" si="48"/>
        <v>403140.39999999997</v>
      </c>
      <c r="Y453" s="1026"/>
      <c r="Z453" s="73">
        <f t="shared" si="49"/>
        <v>403140.39999999997</v>
      </c>
      <c r="AA453" s="414">
        <v>0.3</v>
      </c>
      <c r="AB453" s="410">
        <f t="shared" si="51"/>
        <v>1209.4211999999998</v>
      </c>
    </row>
    <row r="454" spans="1:28" s="352" customFormat="1" ht="18" customHeight="1" x14ac:dyDescent="0.2">
      <c r="A454" s="2166"/>
      <c r="B454" s="177"/>
      <c r="C454" s="177"/>
      <c r="D454" s="2166"/>
      <c r="E454" s="2166"/>
      <c r="F454" s="2166"/>
      <c r="G454" s="2166"/>
      <c r="H454" s="2171"/>
      <c r="I454" s="2168"/>
      <c r="J454" s="178"/>
      <c r="K454" s="121"/>
      <c r="L454" s="88"/>
      <c r="M454" s="88"/>
      <c r="N454" s="88"/>
      <c r="O454" s="88"/>
      <c r="P454" s="120"/>
      <c r="Q454" s="129"/>
      <c r="R454" s="445"/>
      <c r="S454" s="121"/>
      <c r="T454" s="182"/>
      <c r="U454" s="181"/>
      <c r="V454" s="121"/>
      <c r="W454" s="121"/>
      <c r="X454" s="472"/>
      <c r="Y454" s="472"/>
      <c r="Z454" s="473"/>
      <c r="AA454" s="473"/>
      <c r="AB454" s="410">
        <f t="shared" si="51"/>
        <v>0</v>
      </c>
    </row>
    <row r="455" spans="1:28" s="343" customFormat="1" ht="18" customHeight="1" x14ac:dyDescent="0.2">
      <c r="A455" s="177"/>
      <c r="B455" s="177"/>
      <c r="C455" s="177"/>
      <c r="D455" s="177"/>
      <c r="E455" s="177"/>
      <c r="F455" s="177"/>
      <c r="G455" s="177"/>
      <c r="H455" s="274"/>
      <c r="I455" s="275"/>
      <c r="J455" s="275"/>
      <c r="K455" s="280"/>
      <c r="L455" s="180"/>
      <c r="M455" s="180"/>
      <c r="N455" s="180"/>
      <c r="O455" s="180"/>
      <c r="P455" s="315"/>
      <c r="Q455" s="316"/>
      <c r="R455" s="694"/>
      <c r="S455" s="280"/>
      <c r="T455" s="317"/>
      <c r="U455" s="280"/>
      <c r="V455" s="280"/>
      <c r="W455" s="280"/>
      <c r="X455" s="695"/>
      <c r="Y455" s="695"/>
      <c r="Z455" s="696"/>
      <c r="AA455" s="696"/>
      <c r="AB455" s="688"/>
    </row>
    <row r="456" spans="1:28" s="343" customFormat="1" ht="18" customHeight="1" x14ac:dyDescent="0.2">
      <c r="A456" s="177"/>
      <c r="B456" s="177"/>
      <c r="C456" s="177"/>
      <c r="D456" s="177"/>
      <c r="E456" s="177"/>
      <c r="F456" s="177"/>
      <c r="G456" s="177"/>
      <c r="H456" s="274"/>
      <c r="I456" s="275"/>
      <c r="J456" s="275"/>
      <c r="K456" s="280"/>
      <c r="L456" s="180"/>
      <c r="M456" s="180"/>
      <c r="N456" s="180"/>
      <c r="O456" s="180"/>
      <c r="P456" s="315"/>
      <c r="Q456" s="316"/>
      <c r="R456" s="694"/>
      <c r="S456" s="280"/>
      <c r="T456" s="317"/>
      <c r="U456" s="280"/>
      <c r="V456" s="280"/>
      <c r="W456" s="280"/>
      <c r="X456" s="695"/>
      <c r="Y456" s="695"/>
      <c r="Z456" s="696"/>
      <c r="AA456" s="696"/>
      <c r="AB456" s="688"/>
    </row>
    <row r="457" spans="1:28" s="352" customFormat="1" ht="18" customHeight="1" x14ac:dyDescent="0.2">
      <c r="A457" s="2166"/>
      <c r="B457" s="177"/>
      <c r="C457" s="177"/>
      <c r="D457" s="2166"/>
      <c r="E457" s="2166"/>
      <c r="F457" s="2166"/>
      <c r="G457" s="2166"/>
      <c r="H457" s="2171"/>
      <c r="I457" s="2168"/>
      <c r="J457" s="178"/>
      <c r="K457" s="2168"/>
      <c r="L457" s="2166"/>
      <c r="M457" s="2166"/>
      <c r="N457" s="2166"/>
      <c r="O457" s="2166"/>
      <c r="P457" s="2171"/>
      <c r="Q457" s="2167"/>
      <c r="R457" s="437"/>
      <c r="S457" s="2168"/>
      <c r="T457" s="179"/>
      <c r="U457" s="178"/>
      <c r="V457" s="2168"/>
      <c r="W457" s="2168"/>
      <c r="X457" s="470"/>
      <c r="Y457" s="470"/>
      <c r="Z457" s="471"/>
      <c r="AA457" s="471"/>
      <c r="AB457" s="466"/>
    </row>
    <row r="458" spans="1:28" s="352" customFormat="1" ht="18" customHeight="1" x14ac:dyDescent="0.2">
      <c r="A458" s="2166"/>
      <c r="B458" s="177"/>
      <c r="C458" s="177"/>
      <c r="D458" s="2166"/>
      <c r="E458" s="2166"/>
      <c r="F458" s="2166"/>
      <c r="G458" s="2166"/>
      <c r="H458" s="2171"/>
      <c r="I458" s="2168"/>
      <c r="J458" s="178"/>
      <c r="K458" s="2168"/>
      <c r="L458" s="2166"/>
      <c r="M458" s="2166"/>
      <c r="N458" s="2166"/>
      <c r="O458" s="2166"/>
      <c r="P458" s="2171"/>
      <c r="Q458" s="2167"/>
      <c r="R458" s="437"/>
      <c r="S458" s="2168"/>
      <c r="T458" s="179"/>
      <c r="U458" s="178"/>
      <c r="V458" s="2168"/>
      <c r="W458" s="2168"/>
      <c r="X458" s="470"/>
      <c r="Y458" s="470"/>
      <c r="Z458" s="471"/>
      <c r="AA458" s="471"/>
      <c r="AB458" s="466"/>
    </row>
    <row r="459" spans="1:28" s="352" customFormat="1" ht="18" customHeight="1" x14ac:dyDescent="0.2">
      <c r="A459" s="2166"/>
      <c r="B459" s="177"/>
      <c r="C459" s="177"/>
      <c r="D459" s="2166"/>
      <c r="E459" s="2166"/>
      <c r="F459" s="2166"/>
      <c r="G459" s="2166"/>
      <c r="H459" s="2171"/>
      <c r="I459" s="2168"/>
      <c r="J459" s="178"/>
      <c r="K459" s="2168"/>
      <c r="L459" s="2166"/>
      <c r="M459" s="2166"/>
      <c r="N459" s="2166"/>
      <c r="O459" s="2166"/>
      <c r="P459" s="2171"/>
      <c r="Q459" s="2167"/>
      <c r="R459" s="437"/>
      <c r="S459" s="2168"/>
      <c r="T459" s="179"/>
      <c r="U459" s="178"/>
      <c r="V459" s="2168"/>
      <c r="W459" s="2168"/>
      <c r="X459" s="470"/>
      <c r="Y459" s="470"/>
      <c r="Z459" s="471"/>
      <c r="AA459" s="471"/>
      <c r="AB459" s="466"/>
    </row>
    <row r="460" spans="1:28" s="352" customFormat="1" ht="18" customHeight="1" x14ac:dyDescent="0.2">
      <c r="A460" s="2166"/>
      <c r="B460" s="177"/>
      <c r="C460" s="177"/>
      <c r="D460" s="2166"/>
      <c r="E460" s="2166"/>
      <c r="F460" s="2166"/>
      <c r="G460" s="2166"/>
      <c r="H460" s="2171"/>
      <c r="I460" s="2168"/>
      <c r="J460" s="178"/>
      <c r="K460" s="2168"/>
      <c r="L460" s="2166"/>
      <c r="M460" s="2166"/>
      <c r="N460" s="2166"/>
      <c r="O460" s="2166"/>
      <c r="P460" s="2171"/>
      <c r="Q460" s="2167"/>
      <c r="R460" s="437"/>
      <c r="S460" s="2168"/>
      <c r="T460" s="179"/>
      <c r="U460" s="178"/>
      <c r="V460" s="2168"/>
      <c r="W460" s="2168"/>
      <c r="X460" s="470"/>
      <c r="Y460" s="470"/>
      <c r="Z460" s="471"/>
      <c r="AA460" s="471"/>
      <c r="AB460" s="466"/>
    </row>
    <row r="461" spans="1:28" s="352" customFormat="1" ht="18" customHeight="1" x14ac:dyDescent="0.2">
      <c r="A461" s="88"/>
      <c r="B461" s="180"/>
      <c r="C461" s="180"/>
      <c r="D461" s="88"/>
      <c r="E461" s="88"/>
      <c r="F461" s="88"/>
      <c r="G461" s="88"/>
      <c r="H461" s="120"/>
      <c r="I461" s="121"/>
      <c r="J461" s="181"/>
      <c r="K461" s="121"/>
      <c r="L461" s="88"/>
      <c r="M461" s="88"/>
      <c r="N461" s="88"/>
      <c r="O461" s="88"/>
      <c r="P461" s="88"/>
      <c r="Q461" s="129"/>
      <c r="R461" s="445"/>
      <c r="S461" s="121"/>
      <c r="T461" s="182"/>
      <c r="U461" s="181"/>
      <c r="V461" s="121"/>
      <c r="W461" s="121"/>
      <c r="X461" s="472"/>
      <c r="Y461" s="472"/>
      <c r="Z461" s="473"/>
      <c r="AA461" s="473"/>
      <c r="AB461" s="410"/>
    </row>
    <row r="462" spans="1:28" s="352" customFormat="1" ht="18" customHeight="1" x14ac:dyDescent="0.2">
      <c r="A462" s="1850"/>
      <c r="B462" s="1850"/>
      <c r="C462" s="1850"/>
      <c r="D462" s="1850"/>
      <c r="E462" s="1850"/>
      <c r="F462" s="1850"/>
      <c r="G462" s="1850"/>
      <c r="H462" s="1851"/>
      <c r="I462" s="1852"/>
      <c r="J462" s="1853"/>
      <c r="K462" s="1852"/>
      <c r="L462" s="1852"/>
      <c r="M462" s="1852"/>
      <c r="N462" s="1852"/>
      <c r="O462" s="1852"/>
      <c r="P462" s="1852"/>
      <c r="Q462" s="1852"/>
      <c r="R462" s="1854"/>
      <c r="S462" s="1852"/>
      <c r="T462" s="1855"/>
      <c r="U462" s="1853"/>
      <c r="V462" s="1852"/>
      <c r="W462" s="1852"/>
      <c r="X462" s="1856"/>
      <c r="Y462" s="1856"/>
      <c r="Z462" s="1857"/>
      <c r="AA462" s="1857"/>
      <c r="AB462" s="1847">
        <f>SUM(AB448:AB461)</f>
        <v>4153.6650799999989</v>
      </c>
    </row>
    <row r="463" spans="1:28" s="352" customFormat="1" ht="18" customHeight="1" x14ac:dyDescent="0.2">
      <c r="A463" s="2778" t="s">
        <v>76</v>
      </c>
      <c r="B463" s="2778"/>
      <c r="C463" s="2779" t="s">
        <v>77</v>
      </c>
      <c r="D463" s="2779"/>
      <c r="E463" s="2779"/>
      <c r="F463" s="2779"/>
      <c r="G463" s="2779"/>
      <c r="H463" s="2779"/>
      <c r="I463" s="424" t="s">
        <v>78</v>
      </c>
      <c r="J463" s="424"/>
      <c r="K463" s="424"/>
      <c r="L463" s="424"/>
      <c r="M463" s="424"/>
      <c r="N463" s="424"/>
      <c r="AB463" s="425"/>
    </row>
    <row r="464" spans="1:28" s="352" customFormat="1" ht="18" customHeight="1" x14ac:dyDescent="0.2">
      <c r="A464" s="424"/>
      <c r="B464" s="426"/>
      <c r="C464" s="424"/>
      <c r="D464" s="424"/>
      <c r="E464" s="424"/>
      <c r="F464" s="424"/>
      <c r="G464" s="424"/>
      <c r="H464" s="424"/>
      <c r="I464" s="424" t="s">
        <v>79</v>
      </c>
      <c r="J464" s="424"/>
      <c r="K464" s="424"/>
      <c r="L464" s="424"/>
      <c r="M464" s="424"/>
      <c r="N464" s="424"/>
      <c r="AB464" s="425"/>
    </row>
    <row r="465" spans="1:28" s="352" customFormat="1" ht="18" customHeight="1" x14ac:dyDescent="0.2">
      <c r="A465" s="424"/>
      <c r="B465" s="426"/>
      <c r="C465" s="424"/>
      <c r="D465" s="424"/>
      <c r="E465" s="424"/>
      <c r="F465" s="424"/>
      <c r="G465" s="424"/>
      <c r="H465" s="424"/>
      <c r="I465" s="424" t="s">
        <v>80</v>
      </c>
      <c r="J465" s="424"/>
      <c r="K465" s="424"/>
      <c r="L465" s="424"/>
      <c r="M465" s="424"/>
      <c r="N465" s="424"/>
      <c r="AB465" s="425"/>
    </row>
    <row r="466" spans="1:28" s="352" customFormat="1" ht="18" customHeight="1" x14ac:dyDescent="0.2">
      <c r="A466" s="424"/>
      <c r="B466" s="426"/>
      <c r="C466" s="424"/>
      <c r="D466" s="424"/>
      <c r="E466" s="424"/>
      <c r="F466" s="424"/>
      <c r="G466" s="424"/>
      <c r="H466" s="424"/>
      <c r="I466" s="424" t="s">
        <v>81</v>
      </c>
      <c r="J466" s="424"/>
      <c r="K466" s="424"/>
      <c r="L466" s="424"/>
      <c r="M466" s="424"/>
      <c r="N466" s="424"/>
      <c r="AB466" s="425"/>
    </row>
    <row r="467" spans="1:28" s="352" customFormat="1" ht="18" customHeight="1" x14ac:dyDescent="0.2">
      <c r="A467" s="424"/>
      <c r="B467" s="426"/>
      <c r="C467" s="424"/>
      <c r="D467" s="424"/>
      <c r="E467" s="424"/>
      <c r="F467" s="424"/>
      <c r="G467" s="424"/>
      <c r="H467" s="424"/>
      <c r="I467" s="424" t="s">
        <v>88</v>
      </c>
      <c r="J467" s="424"/>
      <c r="K467" s="424"/>
      <c r="L467" s="424"/>
      <c r="M467" s="424"/>
      <c r="N467" s="424"/>
      <c r="AB467" s="425"/>
    </row>
    <row r="468" spans="1:28" s="352" customFormat="1" ht="18" customHeight="1" x14ac:dyDescent="0.2">
      <c r="A468" s="338"/>
      <c r="B468" s="338"/>
      <c r="C468" s="338"/>
      <c r="D468" s="338"/>
      <c r="E468" s="338"/>
      <c r="F468" s="338"/>
      <c r="G468" s="338"/>
      <c r="H468" s="338"/>
      <c r="I468" s="338"/>
      <c r="J468" s="338"/>
      <c r="K468" s="338"/>
      <c r="L468" s="338"/>
      <c r="M468" s="338"/>
      <c r="N468" s="338"/>
      <c r="O468" s="338"/>
      <c r="P468" s="338"/>
      <c r="Q468" s="338"/>
      <c r="R468" s="338"/>
      <c r="S468" s="338"/>
      <c r="T468" s="338"/>
      <c r="U468" s="338"/>
      <c r="V468" s="338"/>
      <c r="W468" s="338"/>
      <c r="X468" s="338"/>
      <c r="Y468" s="338"/>
      <c r="Z468" s="338"/>
      <c r="AA468" s="2774" t="s">
        <v>0</v>
      </c>
      <c r="AB468" s="2774"/>
    </row>
    <row r="469" spans="1:28" s="352" customFormat="1" ht="18" customHeight="1" x14ac:dyDescent="0.2">
      <c r="A469" s="2703" t="s">
        <v>1</v>
      </c>
      <c r="B469" s="2703"/>
      <c r="C469" s="2703"/>
      <c r="D469" s="2703"/>
      <c r="E469" s="2703"/>
      <c r="F469" s="2703"/>
      <c r="G469" s="2703"/>
      <c r="H469" s="2703"/>
      <c r="I469" s="2703"/>
      <c r="J469" s="2703"/>
      <c r="K469" s="2703"/>
      <c r="L469" s="2703"/>
      <c r="M469" s="2703"/>
      <c r="N469" s="2703"/>
      <c r="O469" s="2703"/>
      <c r="P469" s="2703"/>
      <c r="Q469" s="2703"/>
      <c r="R469" s="2703"/>
      <c r="S469" s="2703"/>
      <c r="T469" s="2703"/>
      <c r="U469" s="2703"/>
      <c r="V469" s="2703"/>
      <c r="W469" s="2703"/>
      <c r="X469" s="2703"/>
      <c r="Y469" s="2703"/>
      <c r="Z469" s="2703"/>
      <c r="AA469" s="2703"/>
      <c r="AB469" s="2703"/>
    </row>
    <row r="470" spans="1:28" s="352" customFormat="1" ht="18" customHeight="1" x14ac:dyDescent="0.2">
      <c r="A470" s="2780" t="s">
        <v>615</v>
      </c>
      <c r="B470" s="2780"/>
      <c r="C470" s="2780"/>
      <c r="D470" s="2780"/>
      <c r="E470" s="2780"/>
      <c r="F470" s="2780"/>
      <c r="G470" s="2780"/>
      <c r="H470" s="2780"/>
      <c r="I470" s="2780"/>
      <c r="J470" s="2780"/>
      <c r="K470" s="2780"/>
      <c r="L470" s="2780"/>
      <c r="M470" s="2780"/>
      <c r="N470" s="2780"/>
      <c r="O470" s="2780"/>
      <c r="P470" s="2780"/>
      <c r="Q470" s="2780"/>
      <c r="R470" s="2780"/>
      <c r="S470" s="2780"/>
      <c r="T470" s="2780"/>
      <c r="U470" s="2780"/>
      <c r="V470" s="2780"/>
      <c r="W470" s="2780"/>
      <c r="X470" s="2780"/>
      <c r="Y470" s="2780"/>
      <c r="Z470" s="2780"/>
      <c r="AA470" s="2780"/>
      <c r="AB470" s="2780"/>
    </row>
    <row r="471" spans="1:28" s="352" customFormat="1" ht="18" customHeight="1" x14ac:dyDescent="0.2">
      <c r="A471" s="2686" t="s">
        <v>2</v>
      </c>
      <c r="B471" s="360"/>
      <c r="C471" s="2686" t="s">
        <v>3</v>
      </c>
      <c r="D471" s="360"/>
      <c r="E471" s="360"/>
      <c r="F471" s="2693" t="s">
        <v>4</v>
      </c>
      <c r="G471" s="2693"/>
      <c r="H471" s="2693"/>
      <c r="I471" s="2694"/>
      <c r="J471" s="2694"/>
      <c r="K471" s="2695"/>
      <c r="L471" s="361"/>
      <c r="M471" s="2679" t="s">
        <v>5</v>
      </c>
      <c r="N471" s="2679"/>
      <c r="O471" s="2679"/>
      <c r="P471" s="2679"/>
      <c r="Q471" s="2696"/>
      <c r="R471" s="2696"/>
      <c r="S471" s="2696"/>
      <c r="T471" s="2696"/>
      <c r="U471" s="2696"/>
      <c r="V471" s="2697"/>
      <c r="W471" s="362" t="s">
        <v>6</v>
      </c>
      <c r="X471" s="363" t="s">
        <v>7</v>
      </c>
      <c r="Y471" s="364"/>
      <c r="Z471" s="364"/>
      <c r="AA471" s="363"/>
      <c r="AB471" s="365"/>
    </row>
    <row r="472" spans="1:28" s="352" customFormat="1" ht="18" customHeight="1" x14ac:dyDescent="0.2">
      <c r="A472" s="2687"/>
      <c r="B472" s="367"/>
      <c r="C472" s="2687"/>
      <c r="D472" s="2158" t="s">
        <v>9</v>
      </c>
      <c r="E472" s="368" t="s">
        <v>10</v>
      </c>
      <c r="F472" s="2698" t="s">
        <v>11</v>
      </c>
      <c r="G472" s="2694"/>
      <c r="H472" s="2695"/>
      <c r="I472" s="360"/>
      <c r="J472" s="369" t="s">
        <v>12</v>
      </c>
      <c r="K472" s="360"/>
      <c r="L472" s="2679" t="s">
        <v>2</v>
      </c>
      <c r="M472" s="2162"/>
      <c r="N472" s="2162"/>
      <c r="O472" s="2162"/>
      <c r="P472" s="371"/>
      <c r="Q472" s="372" t="s">
        <v>13</v>
      </c>
      <c r="R472" s="373" t="s">
        <v>12</v>
      </c>
      <c r="S472" s="2162" t="s">
        <v>6</v>
      </c>
      <c r="T472" s="2682" t="s">
        <v>14</v>
      </c>
      <c r="U472" s="2683"/>
      <c r="V472" s="375" t="s">
        <v>7</v>
      </c>
      <c r="W472" s="376" t="s">
        <v>15</v>
      </c>
      <c r="X472" s="377" t="s">
        <v>16</v>
      </c>
      <c r="Y472" s="377" t="s">
        <v>17</v>
      </c>
      <c r="Z472" s="377" t="s">
        <v>18</v>
      </c>
      <c r="AA472" s="377"/>
      <c r="AB472" s="378" t="s">
        <v>19</v>
      </c>
    </row>
    <row r="473" spans="1:28" s="352" customFormat="1" ht="18" customHeight="1" x14ac:dyDescent="0.2">
      <c r="A473" s="2687"/>
      <c r="B473" s="2158" t="s">
        <v>23</v>
      </c>
      <c r="C473" s="2687"/>
      <c r="D473" s="2158" t="s">
        <v>24</v>
      </c>
      <c r="E473" s="368" t="s">
        <v>25</v>
      </c>
      <c r="F473" s="2699"/>
      <c r="G473" s="2700"/>
      <c r="H473" s="2701"/>
      <c r="I473" s="2158" t="s">
        <v>26</v>
      </c>
      <c r="J473" s="379" t="s">
        <v>15</v>
      </c>
      <c r="K473" s="2159" t="s">
        <v>6</v>
      </c>
      <c r="L473" s="2680"/>
      <c r="M473" s="2163" t="s">
        <v>27</v>
      </c>
      <c r="N473" s="2163" t="s">
        <v>10</v>
      </c>
      <c r="O473" s="382" t="s">
        <v>10</v>
      </c>
      <c r="P473" s="383" t="s">
        <v>28</v>
      </c>
      <c r="Q473" s="384" t="s">
        <v>29</v>
      </c>
      <c r="R473" s="383" t="s">
        <v>15</v>
      </c>
      <c r="S473" s="385" t="s">
        <v>15</v>
      </c>
      <c r="T473" s="2684"/>
      <c r="U473" s="2685"/>
      <c r="V473" s="375" t="s">
        <v>30</v>
      </c>
      <c r="W473" s="376" t="s">
        <v>31</v>
      </c>
      <c r="X473" s="377" t="s">
        <v>30</v>
      </c>
      <c r="Y473" s="377" t="s">
        <v>32</v>
      </c>
      <c r="Z473" s="377" t="s">
        <v>7</v>
      </c>
      <c r="AA473" s="377" t="s">
        <v>33</v>
      </c>
      <c r="AB473" s="378" t="s">
        <v>34</v>
      </c>
    </row>
    <row r="474" spans="1:28" s="352" customFormat="1" ht="18" customHeight="1" x14ac:dyDescent="0.2">
      <c r="A474" s="2687"/>
      <c r="B474" s="2158" t="s">
        <v>39</v>
      </c>
      <c r="C474" s="2687"/>
      <c r="D474" s="2158" t="s">
        <v>40</v>
      </c>
      <c r="E474" s="368" t="s">
        <v>41</v>
      </c>
      <c r="F474" s="2686" t="s">
        <v>42</v>
      </c>
      <c r="G474" s="2686" t="s">
        <v>43</v>
      </c>
      <c r="H474" s="2688" t="s">
        <v>44</v>
      </c>
      <c r="I474" s="2158" t="s">
        <v>45</v>
      </c>
      <c r="J474" s="379" t="s">
        <v>46</v>
      </c>
      <c r="K474" s="2159" t="s">
        <v>47</v>
      </c>
      <c r="L474" s="2680"/>
      <c r="M474" s="2163" t="s">
        <v>30</v>
      </c>
      <c r="N474" s="2163" t="s">
        <v>30</v>
      </c>
      <c r="O474" s="382" t="s">
        <v>25</v>
      </c>
      <c r="P474" s="383" t="s">
        <v>30</v>
      </c>
      <c r="Q474" s="384" t="s">
        <v>48</v>
      </c>
      <c r="R474" s="383" t="s">
        <v>49</v>
      </c>
      <c r="S474" s="385" t="s">
        <v>30</v>
      </c>
      <c r="T474" s="386" t="s">
        <v>50</v>
      </c>
      <c r="U474" s="2161" t="s">
        <v>13</v>
      </c>
      <c r="V474" s="375" t="s">
        <v>51</v>
      </c>
      <c r="W474" s="376" t="s">
        <v>52</v>
      </c>
      <c r="X474" s="377" t="s">
        <v>53</v>
      </c>
      <c r="Y474" s="377" t="s">
        <v>54</v>
      </c>
      <c r="Z474" s="377" t="s">
        <v>55</v>
      </c>
      <c r="AA474" s="377" t="s">
        <v>56</v>
      </c>
      <c r="AB474" s="378" t="s">
        <v>57</v>
      </c>
    </row>
    <row r="475" spans="1:28" s="352" customFormat="1" ht="18" customHeight="1" x14ac:dyDescent="0.2">
      <c r="A475" s="2687"/>
      <c r="B475" s="2158" t="s">
        <v>61</v>
      </c>
      <c r="C475" s="2687"/>
      <c r="D475" s="2158" t="s">
        <v>62</v>
      </c>
      <c r="E475" s="368" t="s">
        <v>63</v>
      </c>
      <c r="F475" s="2687"/>
      <c r="G475" s="2687"/>
      <c r="H475" s="2689"/>
      <c r="I475" s="2158" t="s">
        <v>64</v>
      </c>
      <c r="J475" s="379" t="s">
        <v>59</v>
      </c>
      <c r="K475" s="2159" t="s">
        <v>59</v>
      </c>
      <c r="L475" s="2680"/>
      <c r="M475" s="2163"/>
      <c r="N475" s="2163"/>
      <c r="O475" s="382" t="s">
        <v>41</v>
      </c>
      <c r="P475" s="383" t="s">
        <v>65</v>
      </c>
      <c r="Q475" s="384" t="s">
        <v>66</v>
      </c>
      <c r="R475" s="383" t="s">
        <v>67</v>
      </c>
      <c r="S475" s="385" t="s">
        <v>59</v>
      </c>
      <c r="T475" s="387" t="s">
        <v>68</v>
      </c>
      <c r="U475" s="375" t="s">
        <v>14</v>
      </c>
      <c r="V475" s="375" t="s">
        <v>14</v>
      </c>
      <c r="W475" s="376" t="s">
        <v>30</v>
      </c>
      <c r="X475" s="388" t="s">
        <v>69</v>
      </c>
      <c r="Y475" s="388" t="s">
        <v>70</v>
      </c>
      <c r="Z475" s="377" t="s">
        <v>71</v>
      </c>
      <c r="AA475" s="377" t="s">
        <v>72</v>
      </c>
      <c r="AB475" s="378" t="s">
        <v>59</v>
      </c>
    </row>
    <row r="476" spans="1:28" s="352" customFormat="1" ht="18" customHeight="1" x14ac:dyDescent="0.2">
      <c r="A476" s="2692"/>
      <c r="B476" s="390"/>
      <c r="C476" s="2692"/>
      <c r="D476" s="390"/>
      <c r="E476" s="2160"/>
      <c r="F476" s="390"/>
      <c r="G476" s="390"/>
      <c r="H476" s="391"/>
      <c r="I476" s="2160"/>
      <c r="J476" s="392"/>
      <c r="K476" s="393"/>
      <c r="L476" s="2681"/>
      <c r="M476" s="2164"/>
      <c r="N476" s="2164"/>
      <c r="O476" s="2164" t="s">
        <v>63</v>
      </c>
      <c r="P476" s="395"/>
      <c r="Q476" s="396" t="s">
        <v>72</v>
      </c>
      <c r="R476" s="397" t="s">
        <v>59</v>
      </c>
      <c r="S476" s="398"/>
      <c r="T476" s="397" t="s">
        <v>73</v>
      </c>
      <c r="U476" s="398" t="s">
        <v>59</v>
      </c>
      <c r="V476" s="399" t="s">
        <v>59</v>
      </c>
      <c r="W476" s="400" t="s">
        <v>59</v>
      </c>
      <c r="X476" s="401" t="s">
        <v>59</v>
      </c>
      <c r="Y476" s="401" t="s">
        <v>59</v>
      </c>
      <c r="Z476" s="401" t="s">
        <v>59</v>
      </c>
      <c r="AA476" s="402"/>
      <c r="AB476" s="403"/>
    </row>
    <row r="477" spans="1:28" s="352" customFormat="1" ht="18" customHeight="1" x14ac:dyDescent="0.2">
      <c r="A477" s="68">
        <v>1</v>
      </c>
      <c r="B477" s="95">
        <v>37522</v>
      </c>
      <c r="C477" s="82">
        <v>421</v>
      </c>
      <c r="D477" s="27" t="s">
        <v>121</v>
      </c>
      <c r="E477" s="41">
        <v>0</v>
      </c>
      <c r="F477" s="958">
        <v>0</v>
      </c>
      <c r="G477" s="958">
        <v>0</v>
      </c>
      <c r="H477" s="958">
        <v>13</v>
      </c>
      <c r="I477" s="310">
        <f t="shared" ref="I477:I483" si="52">F477*400+G477*100+H477</f>
        <v>13</v>
      </c>
      <c r="J477" s="310">
        <v>3950</v>
      </c>
      <c r="K477" s="310">
        <f t="shared" ref="K477:K483" si="53">SUM(I477*J477)</f>
        <v>51350</v>
      </c>
      <c r="L477" s="16">
        <v>1</v>
      </c>
      <c r="M477" s="82">
        <v>401</v>
      </c>
      <c r="N477" s="41" t="s">
        <v>293</v>
      </c>
      <c r="O477" s="16">
        <v>3</v>
      </c>
      <c r="P477" s="756">
        <v>49.2</v>
      </c>
      <c r="Q477" s="1017" t="s">
        <v>75</v>
      </c>
      <c r="R477" s="302">
        <v>8500</v>
      </c>
      <c r="S477" s="302">
        <f>+P477*R477</f>
        <v>418200</v>
      </c>
      <c r="T477" s="309">
        <v>29</v>
      </c>
      <c r="U477" s="302">
        <f>+S477*48/100</f>
        <v>200736</v>
      </c>
      <c r="V477" s="310">
        <f>+S477-U477</f>
        <v>217464</v>
      </c>
      <c r="W477" s="296">
        <f t="shared" ref="W477:W483" si="54">K477+V477</f>
        <v>268814</v>
      </c>
      <c r="X477" s="299">
        <f t="shared" ref="X477:X483" si="55">W477</f>
        <v>268814</v>
      </c>
      <c r="Y477" s="296"/>
      <c r="Z477" s="296">
        <f>+X477</f>
        <v>268814</v>
      </c>
      <c r="AA477" s="494">
        <v>0.3</v>
      </c>
      <c r="AB477" s="406">
        <f>+Z477*AA477/100</f>
        <v>806.44200000000001</v>
      </c>
    </row>
    <row r="478" spans="1:28" s="352" customFormat="1" ht="18" customHeight="1" x14ac:dyDescent="0.2">
      <c r="A478" s="65">
        <v>2</v>
      </c>
      <c r="B478" s="85">
        <v>23127</v>
      </c>
      <c r="C478" s="88">
        <v>983</v>
      </c>
      <c r="D478" s="27"/>
      <c r="E478" s="27"/>
      <c r="F478" s="1018">
        <v>0</v>
      </c>
      <c r="G478" s="1018">
        <v>0</v>
      </c>
      <c r="H478" s="1018">
        <v>51</v>
      </c>
      <c r="I478" s="305">
        <f t="shared" si="52"/>
        <v>51</v>
      </c>
      <c r="J478" s="305">
        <v>4500</v>
      </c>
      <c r="K478" s="305">
        <f t="shared" si="53"/>
        <v>229500</v>
      </c>
      <c r="L478" s="45"/>
      <c r="M478" s="88"/>
      <c r="N478" s="27"/>
      <c r="O478" s="45"/>
      <c r="P478" s="1019"/>
      <c r="Q478" s="32"/>
      <c r="R478" s="296"/>
      <c r="S478" s="296"/>
      <c r="T478" s="300"/>
      <c r="U478" s="296"/>
      <c r="V478" s="296"/>
      <c r="W478" s="296">
        <f t="shared" si="54"/>
        <v>229500</v>
      </c>
      <c r="X478" s="299">
        <f t="shared" si="55"/>
        <v>229500</v>
      </c>
      <c r="Y478" s="296"/>
      <c r="Z478" s="296">
        <f t="shared" ref="Z478:Z483" si="56">+X478</f>
        <v>229500</v>
      </c>
      <c r="AA478" s="494">
        <v>0.6</v>
      </c>
      <c r="AB478" s="410">
        <f t="shared" ref="AB478:AB483" si="57">+Z478*AA478/100</f>
        <v>1377</v>
      </c>
    </row>
    <row r="479" spans="1:28" s="352" customFormat="1" ht="18" customHeight="1" x14ac:dyDescent="0.2">
      <c r="A479" s="61">
        <v>3</v>
      </c>
      <c r="B479" s="85">
        <v>37520</v>
      </c>
      <c r="C479" s="88">
        <v>419</v>
      </c>
      <c r="D479" s="27"/>
      <c r="E479" s="27"/>
      <c r="F479" s="1018">
        <v>0</v>
      </c>
      <c r="G479" s="1018">
        <v>0</v>
      </c>
      <c r="H479" s="1018">
        <v>13</v>
      </c>
      <c r="I479" s="305">
        <f t="shared" si="52"/>
        <v>13</v>
      </c>
      <c r="J479" s="305">
        <v>3000</v>
      </c>
      <c r="K479" s="305">
        <f t="shared" si="53"/>
        <v>39000</v>
      </c>
      <c r="L479" s="45"/>
      <c r="M479" s="88"/>
      <c r="N479" s="27"/>
      <c r="O479" s="45"/>
      <c r="P479" s="1019"/>
      <c r="Q479" s="32"/>
      <c r="R479" s="296"/>
      <c r="S479" s="296"/>
      <c r="T479" s="298"/>
      <c r="U479" s="299"/>
      <c r="V479" s="299"/>
      <c r="W479" s="296">
        <f t="shared" si="54"/>
        <v>39000</v>
      </c>
      <c r="X479" s="299">
        <f t="shared" si="55"/>
        <v>39000</v>
      </c>
      <c r="Y479" s="296"/>
      <c r="Z479" s="296">
        <f t="shared" si="56"/>
        <v>39000</v>
      </c>
      <c r="AA479" s="494">
        <v>0.6</v>
      </c>
      <c r="AB479" s="416">
        <f t="shared" si="57"/>
        <v>234</v>
      </c>
    </row>
    <row r="480" spans="1:28" s="352" customFormat="1" ht="18" customHeight="1" x14ac:dyDescent="0.25">
      <c r="A480" s="61">
        <v>4</v>
      </c>
      <c r="B480" s="273">
        <v>33999</v>
      </c>
      <c r="C480" s="88">
        <v>348</v>
      </c>
      <c r="D480" s="27"/>
      <c r="E480" s="27"/>
      <c r="F480" s="1018">
        <v>0</v>
      </c>
      <c r="G480" s="1018">
        <v>0</v>
      </c>
      <c r="H480" s="1018">
        <v>15</v>
      </c>
      <c r="I480" s="305">
        <f t="shared" si="52"/>
        <v>15</v>
      </c>
      <c r="J480" s="305">
        <v>3000</v>
      </c>
      <c r="K480" s="305">
        <f t="shared" si="53"/>
        <v>45000</v>
      </c>
      <c r="L480" s="45"/>
      <c r="M480" s="88"/>
      <c r="N480" s="27"/>
      <c r="O480" s="45"/>
      <c r="P480" s="1019"/>
      <c r="Q480" s="32"/>
      <c r="R480" s="296"/>
      <c r="S480" s="296"/>
      <c r="T480" s="298"/>
      <c r="U480" s="299"/>
      <c r="V480" s="299"/>
      <c r="W480" s="296">
        <f t="shared" si="54"/>
        <v>45000</v>
      </c>
      <c r="X480" s="299">
        <f t="shared" si="55"/>
        <v>45000</v>
      </c>
      <c r="Y480" s="296"/>
      <c r="Z480" s="296">
        <f t="shared" si="56"/>
        <v>45000</v>
      </c>
      <c r="AA480" s="494">
        <v>0.6</v>
      </c>
      <c r="AB480" s="415">
        <f t="shared" si="57"/>
        <v>270</v>
      </c>
    </row>
    <row r="481" spans="1:28" s="352" customFormat="1" ht="18" customHeight="1" x14ac:dyDescent="0.25">
      <c r="A481" s="61">
        <v>5</v>
      </c>
      <c r="B481" s="85">
        <v>37519</v>
      </c>
      <c r="C481" s="88">
        <v>418</v>
      </c>
      <c r="D481" s="287"/>
      <c r="E481" s="270"/>
      <c r="F481" s="1018">
        <v>0</v>
      </c>
      <c r="G481" s="1018">
        <v>0</v>
      </c>
      <c r="H481" s="1018">
        <v>13</v>
      </c>
      <c r="I481" s="305">
        <f t="shared" si="52"/>
        <v>13</v>
      </c>
      <c r="J481" s="1008">
        <v>3000</v>
      </c>
      <c r="K481" s="305">
        <f t="shared" si="53"/>
        <v>39000</v>
      </c>
      <c r="L481" s="58"/>
      <c r="M481" s="231"/>
      <c r="N481" s="270"/>
      <c r="O481" s="58"/>
      <c r="P481" s="1020"/>
      <c r="Q481" s="895"/>
      <c r="R481" s="296"/>
      <c r="S481" s="296"/>
      <c r="T481" s="298"/>
      <c r="U481" s="299"/>
      <c r="V481" s="299"/>
      <c r="W481" s="296">
        <f t="shared" si="54"/>
        <v>39000</v>
      </c>
      <c r="X481" s="299">
        <f t="shared" si="55"/>
        <v>39000</v>
      </c>
      <c r="Y481" s="296"/>
      <c r="Z481" s="296">
        <f t="shared" si="56"/>
        <v>39000</v>
      </c>
      <c r="AA481" s="494">
        <v>0.6</v>
      </c>
      <c r="AB481" s="415">
        <f t="shared" si="57"/>
        <v>234</v>
      </c>
    </row>
    <row r="482" spans="1:28" s="352" customFormat="1" ht="18" customHeight="1" x14ac:dyDescent="0.25">
      <c r="A482" s="61">
        <v>6</v>
      </c>
      <c r="B482" s="85">
        <v>37518</v>
      </c>
      <c r="C482" s="88">
        <v>417</v>
      </c>
      <c r="D482" s="273"/>
      <c r="E482" s="273"/>
      <c r="F482" s="1018">
        <v>0</v>
      </c>
      <c r="G482" s="1018">
        <v>0</v>
      </c>
      <c r="H482" s="1018">
        <v>13</v>
      </c>
      <c r="I482" s="305">
        <f t="shared" si="52"/>
        <v>13</v>
      </c>
      <c r="J482" s="1008">
        <v>3000</v>
      </c>
      <c r="K482" s="305">
        <f t="shared" si="53"/>
        <v>39000</v>
      </c>
      <c r="L482" s="269"/>
      <c r="M482" s="242"/>
      <c r="N482" s="269"/>
      <c r="O482" s="269"/>
      <c r="P482" s="760"/>
      <c r="Q482" s="285"/>
      <c r="R482" s="321"/>
      <c r="S482" s="321"/>
      <c r="T482" s="323"/>
      <c r="U482" s="321"/>
      <c r="V482" s="321"/>
      <c r="W482" s="296">
        <f t="shared" si="54"/>
        <v>39000</v>
      </c>
      <c r="X482" s="299">
        <f t="shared" si="55"/>
        <v>39000</v>
      </c>
      <c r="Y482" s="321"/>
      <c r="Z482" s="296">
        <f t="shared" si="56"/>
        <v>39000</v>
      </c>
      <c r="AA482" s="494">
        <v>0.6</v>
      </c>
      <c r="AB482" s="415">
        <f t="shared" si="57"/>
        <v>234</v>
      </c>
    </row>
    <row r="483" spans="1:28" s="352" customFormat="1" ht="18" customHeight="1" x14ac:dyDescent="0.25">
      <c r="A483" s="242">
        <v>7</v>
      </c>
      <c r="B483" s="85">
        <v>33998</v>
      </c>
      <c r="C483" s="88">
        <v>347</v>
      </c>
      <c r="D483" s="273"/>
      <c r="E483" s="273"/>
      <c r="F483" s="1018">
        <v>0</v>
      </c>
      <c r="G483" s="1018">
        <v>0</v>
      </c>
      <c r="H483" s="1018">
        <v>13</v>
      </c>
      <c r="I483" s="305">
        <f t="shared" si="52"/>
        <v>13</v>
      </c>
      <c r="J483" s="1008">
        <v>3000</v>
      </c>
      <c r="K483" s="305">
        <f t="shared" si="53"/>
        <v>39000</v>
      </c>
      <c r="L483" s="269"/>
      <c r="M483" s="242"/>
      <c r="N483" s="269"/>
      <c r="O483" s="269"/>
      <c r="P483" s="760"/>
      <c r="Q483" s="285"/>
      <c r="R483" s="321"/>
      <c r="S483" s="321"/>
      <c r="T483" s="323"/>
      <c r="U483" s="321"/>
      <c r="V483" s="321"/>
      <c r="W483" s="296">
        <f t="shared" si="54"/>
        <v>39000</v>
      </c>
      <c r="X483" s="299">
        <f t="shared" si="55"/>
        <v>39000</v>
      </c>
      <c r="Y483" s="321"/>
      <c r="Z483" s="296">
        <f t="shared" si="56"/>
        <v>39000</v>
      </c>
      <c r="AA483" s="494">
        <v>0.6</v>
      </c>
      <c r="AB483" s="410">
        <f t="shared" si="57"/>
        <v>234</v>
      </c>
    </row>
    <row r="484" spans="1:28" s="352" customFormat="1" ht="18" customHeight="1" x14ac:dyDescent="0.2">
      <c r="A484" s="2166"/>
      <c r="B484" s="177"/>
      <c r="C484" s="177"/>
      <c r="D484" s="2166"/>
      <c r="E484" s="2166"/>
      <c r="F484" s="2166"/>
      <c r="G484" s="2166"/>
      <c r="H484" s="2171"/>
      <c r="I484" s="2168"/>
      <c r="J484" s="178"/>
      <c r="K484" s="2168"/>
      <c r="L484" s="2166"/>
      <c r="M484" s="2166"/>
      <c r="N484" s="2166"/>
      <c r="O484" s="2166"/>
      <c r="P484" s="2171"/>
      <c r="Q484" s="2167"/>
      <c r="R484" s="437"/>
      <c r="S484" s="2168"/>
      <c r="T484" s="179"/>
      <c r="U484" s="178"/>
      <c r="V484" s="2168"/>
      <c r="W484" s="2168"/>
      <c r="X484" s="470"/>
      <c r="Y484" s="470"/>
      <c r="Z484" s="471"/>
      <c r="AA484" s="471"/>
      <c r="AB484" s="466"/>
    </row>
    <row r="485" spans="1:28" s="352" customFormat="1" ht="18" customHeight="1" x14ac:dyDescent="0.2">
      <c r="A485" s="2166"/>
      <c r="B485" s="177"/>
      <c r="C485" s="177"/>
      <c r="D485" s="2166"/>
      <c r="E485" s="2166"/>
      <c r="F485" s="2166"/>
      <c r="G485" s="2166"/>
      <c r="H485" s="2171"/>
      <c r="I485" s="2168"/>
      <c r="J485" s="178"/>
      <c r="K485" s="2168"/>
      <c r="L485" s="2166"/>
      <c r="M485" s="2166"/>
      <c r="N485" s="2166"/>
      <c r="O485" s="2166"/>
      <c r="P485" s="2171"/>
      <c r="Q485" s="2167"/>
      <c r="R485" s="437"/>
      <c r="S485" s="2168"/>
      <c r="T485" s="179"/>
      <c r="U485" s="178"/>
      <c r="V485" s="2168"/>
      <c r="W485" s="2168"/>
      <c r="X485" s="470"/>
      <c r="Y485" s="470"/>
      <c r="Z485" s="471"/>
      <c r="AA485" s="471"/>
      <c r="AB485" s="466"/>
    </row>
    <row r="486" spans="1:28" s="352" customFormat="1" ht="18" customHeight="1" x14ac:dyDescent="0.2">
      <c r="A486" s="2166"/>
      <c r="B486" s="177"/>
      <c r="C486" s="177"/>
      <c r="D486" s="2166"/>
      <c r="E486" s="2166"/>
      <c r="F486" s="2166"/>
      <c r="G486" s="2166"/>
      <c r="H486" s="2171"/>
      <c r="I486" s="2168"/>
      <c r="J486" s="178"/>
      <c r="K486" s="2168"/>
      <c r="L486" s="2166"/>
      <c r="M486" s="2166"/>
      <c r="N486" s="2166"/>
      <c r="O486" s="2166"/>
      <c r="P486" s="2171"/>
      <c r="Q486" s="2167"/>
      <c r="R486" s="437"/>
      <c r="S486" s="2168"/>
      <c r="T486" s="179"/>
      <c r="U486" s="178"/>
      <c r="V486" s="2168"/>
      <c r="W486" s="2168"/>
      <c r="X486" s="470"/>
      <c r="Y486" s="470"/>
      <c r="Z486" s="471"/>
      <c r="AA486" s="471"/>
      <c r="AB486" s="466"/>
    </row>
    <row r="487" spans="1:28" s="352" customFormat="1" ht="18" customHeight="1" x14ac:dyDescent="0.2">
      <c r="A487" s="2166"/>
      <c r="B487" s="177"/>
      <c r="C487" s="177"/>
      <c r="D487" s="2166"/>
      <c r="E487" s="2166"/>
      <c r="F487" s="2166"/>
      <c r="G487" s="2166"/>
      <c r="H487" s="2171"/>
      <c r="I487" s="2168"/>
      <c r="J487" s="178"/>
      <c r="K487" s="2168"/>
      <c r="L487" s="2166"/>
      <c r="M487" s="2166"/>
      <c r="N487" s="2166"/>
      <c r="O487" s="2166"/>
      <c r="P487" s="2171"/>
      <c r="Q487" s="2167"/>
      <c r="R487" s="437"/>
      <c r="S487" s="2168"/>
      <c r="T487" s="179"/>
      <c r="U487" s="178"/>
      <c r="V487" s="2168"/>
      <c r="W487" s="2168"/>
      <c r="X487" s="470"/>
      <c r="Y487" s="470"/>
      <c r="Z487" s="471"/>
      <c r="AA487" s="471"/>
      <c r="AB487" s="466"/>
    </row>
    <row r="488" spans="1:28" s="352" customFormat="1" ht="18" customHeight="1" x14ac:dyDescent="0.2">
      <c r="A488" s="2166"/>
      <c r="B488" s="177"/>
      <c r="C488" s="177"/>
      <c r="D488" s="2166"/>
      <c r="E488" s="2166"/>
      <c r="F488" s="2166"/>
      <c r="G488" s="2166"/>
      <c r="H488" s="2171"/>
      <c r="I488" s="2168"/>
      <c r="J488" s="178"/>
      <c r="K488" s="2168"/>
      <c r="L488" s="2166"/>
      <c r="M488" s="2166"/>
      <c r="N488" s="2166"/>
      <c r="O488" s="2166"/>
      <c r="P488" s="2171"/>
      <c r="Q488" s="2167"/>
      <c r="R488" s="437"/>
      <c r="S488" s="2168"/>
      <c r="T488" s="179"/>
      <c r="U488" s="178"/>
      <c r="V488" s="2168"/>
      <c r="W488" s="2168"/>
      <c r="X488" s="470"/>
      <c r="Y488" s="470"/>
      <c r="Z488" s="471"/>
      <c r="AA488" s="471"/>
      <c r="AB488" s="466"/>
    </row>
    <row r="489" spans="1:28" s="352" customFormat="1" ht="18" customHeight="1" x14ac:dyDescent="0.2">
      <c r="A489" s="2166"/>
      <c r="B489" s="177"/>
      <c r="C489" s="177"/>
      <c r="D489" s="2166"/>
      <c r="E489" s="2166"/>
      <c r="F489" s="2166"/>
      <c r="G489" s="2166"/>
      <c r="H489" s="2171"/>
      <c r="I489" s="2168"/>
      <c r="J489" s="178"/>
      <c r="K489" s="2168"/>
      <c r="L489" s="2166"/>
      <c r="M489" s="2166"/>
      <c r="N489" s="2166"/>
      <c r="O489" s="2166"/>
      <c r="P489" s="2171"/>
      <c r="Q489" s="2167"/>
      <c r="R489" s="437"/>
      <c r="S489" s="2168"/>
      <c r="T489" s="179"/>
      <c r="U489" s="178"/>
      <c r="V489" s="2168"/>
      <c r="W489" s="2168"/>
      <c r="X489" s="470"/>
      <c r="Y489" s="470"/>
      <c r="Z489" s="471"/>
      <c r="AA489" s="471"/>
      <c r="AB489" s="466"/>
    </row>
    <row r="490" spans="1:28" s="352" customFormat="1" ht="18" customHeight="1" x14ac:dyDescent="0.2">
      <c r="A490" s="88"/>
      <c r="B490" s="180"/>
      <c r="C490" s="180"/>
      <c r="D490" s="88"/>
      <c r="E490" s="88"/>
      <c r="F490" s="88"/>
      <c r="G490" s="88"/>
      <c r="H490" s="120"/>
      <c r="I490" s="121"/>
      <c r="J490" s="181"/>
      <c r="K490" s="121"/>
      <c r="L490" s="88"/>
      <c r="M490" s="88"/>
      <c r="N490" s="88"/>
      <c r="O490" s="88"/>
      <c r="P490" s="88"/>
      <c r="Q490" s="129"/>
      <c r="R490" s="445"/>
      <c r="S490" s="121"/>
      <c r="T490" s="182"/>
      <c r="U490" s="181"/>
      <c r="V490" s="121"/>
      <c r="W490" s="121"/>
      <c r="X490" s="472"/>
      <c r="Y490" s="472"/>
      <c r="Z490" s="473"/>
      <c r="AA490" s="473"/>
      <c r="AB490" s="410"/>
    </row>
    <row r="491" spans="1:28" s="352" customFormat="1" ht="18" customHeight="1" x14ac:dyDescent="0.2">
      <c r="A491" s="1850"/>
      <c r="B491" s="1850"/>
      <c r="C491" s="1850"/>
      <c r="D491" s="1850"/>
      <c r="E491" s="1850"/>
      <c r="F491" s="1850"/>
      <c r="G491" s="1850"/>
      <c r="H491" s="1851"/>
      <c r="I491" s="1852"/>
      <c r="J491" s="1853"/>
      <c r="K491" s="1852"/>
      <c r="L491" s="1852"/>
      <c r="M491" s="1852"/>
      <c r="N491" s="1852"/>
      <c r="O491" s="1852"/>
      <c r="P491" s="1852"/>
      <c r="Q491" s="1852"/>
      <c r="R491" s="1854"/>
      <c r="S491" s="1852"/>
      <c r="T491" s="1855"/>
      <c r="U491" s="1853"/>
      <c r="V491" s="1852"/>
      <c r="W491" s="1852"/>
      <c r="X491" s="1856"/>
      <c r="Y491" s="1856"/>
      <c r="Z491" s="1857"/>
      <c r="AA491" s="1857"/>
      <c r="AB491" s="1847">
        <f>SUM(AB477:AB490)</f>
        <v>3389.442</v>
      </c>
    </row>
    <row r="492" spans="1:28" s="352" customFormat="1" ht="18" customHeight="1" x14ac:dyDescent="0.2">
      <c r="A492" s="2778" t="s">
        <v>76</v>
      </c>
      <c r="B492" s="2778"/>
      <c r="C492" s="2779" t="s">
        <v>77</v>
      </c>
      <c r="D492" s="2779"/>
      <c r="E492" s="2779"/>
      <c r="F492" s="2779"/>
      <c r="G492" s="2779"/>
      <c r="H492" s="2779"/>
      <c r="I492" s="424" t="s">
        <v>78</v>
      </c>
      <c r="J492" s="424"/>
      <c r="K492" s="424"/>
      <c r="L492" s="424"/>
      <c r="M492" s="424"/>
      <c r="N492" s="424"/>
      <c r="AB492" s="425"/>
    </row>
    <row r="493" spans="1:28" s="352" customFormat="1" ht="18" customHeight="1" x14ac:dyDescent="0.2">
      <c r="A493" s="424"/>
      <c r="B493" s="426"/>
      <c r="C493" s="424"/>
      <c r="D493" s="424"/>
      <c r="E493" s="424"/>
      <c r="F493" s="424"/>
      <c r="G493" s="424"/>
      <c r="H493" s="424"/>
      <c r="I493" s="424" t="s">
        <v>79</v>
      </c>
      <c r="J493" s="424"/>
      <c r="K493" s="424"/>
      <c r="L493" s="424"/>
      <c r="M493" s="424"/>
      <c r="N493" s="424"/>
      <c r="AB493" s="425"/>
    </row>
    <row r="494" spans="1:28" s="352" customFormat="1" ht="18" customHeight="1" x14ac:dyDescent="0.2">
      <c r="A494" s="424"/>
      <c r="B494" s="426"/>
      <c r="C494" s="424"/>
      <c r="D494" s="424"/>
      <c r="E494" s="424"/>
      <c r="F494" s="424"/>
      <c r="G494" s="424"/>
      <c r="H494" s="424"/>
      <c r="I494" s="424" t="s">
        <v>80</v>
      </c>
      <c r="J494" s="424"/>
      <c r="K494" s="424"/>
      <c r="L494" s="424"/>
      <c r="M494" s="424"/>
      <c r="N494" s="424"/>
      <c r="AB494" s="425"/>
    </row>
    <row r="495" spans="1:28" s="352" customFormat="1" ht="18" customHeight="1" x14ac:dyDescent="0.2">
      <c r="A495" s="424"/>
      <c r="B495" s="426"/>
      <c r="C495" s="424"/>
      <c r="D495" s="424"/>
      <c r="E495" s="424"/>
      <c r="F495" s="424"/>
      <c r="G495" s="424"/>
      <c r="H495" s="424"/>
      <c r="I495" s="424" t="s">
        <v>81</v>
      </c>
      <c r="J495" s="424"/>
      <c r="K495" s="424"/>
      <c r="L495" s="424"/>
      <c r="M495" s="424"/>
      <c r="N495" s="424"/>
      <c r="AB495" s="425"/>
    </row>
    <row r="496" spans="1:28" s="352" customFormat="1" ht="18" customHeight="1" x14ac:dyDescent="0.2">
      <c r="A496" s="424"/>
      <c r="B496" s="426"/>
      <c r="C496" s="424"/>
      <c r="D496" s="424"/>
      <c r="E496" s="424"/>
      <c r="F496" s="424"/>
      <c r="G496" s="424"/>
      <c r="H496" s="424"/>
      <c r="I496" s="424" t="s">
        <v>88</v>
      </c>
      <c r="J496" s="424"/>
      <c r="K496" s="424"/>
      <c r="L496" s="424"/>
      <c r="M496" s="424"/>
      <c r="N496" s="424"/>
      <c r="AB496" s="425"/>
    </row>
    <row r="497" spans="1:28" s="352" customFormat="1" ht="18" customHeight="1" x14ac:dyDescent="0.2">
      <c r="A497" s="338"/>
      <c r="B497" s="338"/>
      <c r="C497" s="338"/>
      <c r="D497" s="338"/>
      <c r="E497" s="338"/>
      <c r="F497" s="338"/>
      <c r="G497" s="338"/>
      <c r="H497" s="338"/>
      <c r="I497" s="338"/>
      <c r="J497" s="338"/>
      <c r="K497" s="338"/>
      <c r="L497" s="338"/>
      <c r="M497" s="338"/>
      <c r="N497" s="338"/>
      <c r="O497" s="338"/>
      <c r="P497" s="338"/>
      <c r="Q497" s="338"/>
      <c r="R497" s="338"/>
      <c r="S497" s="338"/>
      <c r="T497" s="338"/>
      <c r="U497" s="338"/>
      <c r="V497" s="338"/>
      <c r="W497" s="338"/>
      <c r="X497" s="338"/>
      <c r="Y497" s="338"/>
      <c r="Z497" s="338"/>
      <c r="AA497" s="2774" t="s">
        <v>0</v>
      </c>
      <c r="AB497" s="2774"/>
    </row>
    <row r="498" spans="1:28" s="352" customFormat="1" ht="18" customHeight="1" x14ac:dyDescent="0.2">
      <c r="A498" s="2703" t="s">
        <v>1</v>
      </c>
      <c r="B498" s="2703"/>
      <c r="C498" s="2703"/>
      <c r="D498" s="2703"/>
      <c r="E498" s="2703"/>
      <c r="F498" s="2703"/>
      <c r="G498" s="2703"/>
      <c r="H498" s="2703"/>
      <c r="I498" s="2703"/>
      <c r="J498" s="2703"/>
      <c r="K498" s="2703"/>
      <c r="L498" s="2703"/>
      <c r="M498" s="2703"/>
      <c r="N498" s="2703"/>
      <c r="O498" s="2703"/>
      <c r="P498" s="2703"/>
      <c r="Q498" s="2703"/>
      <c r="R498" s="2703"/>
      <c r="S498" s="2703"/>
      <c r="T498" s="2703"/>
      <c r="U498" s="2703"/>
      <c r="V498" s="2703"/>
      <c r="W498" s="2703"/>
      <c r="X498" s="2703"/>
      <c r="Y498" s="2703"/>
      <c r="Z498" s="2703"/>
      <c r="AA498" s="2703"/>
      <c r="AB498" s="2703"/>
    </row>
    <row r="499" spans="1:28" s="352" customFormat="1" ht="18" customHeight="1" x14ac:dyDescent="0.2">
      <c r="A499" s="2780" t="s">
        <v>616</v>
      </c>
      <c r="B499" s="2780"/>
      <c r="C499" s="2780"/>
      <c r="D499" s="2780"/>
      <c r="E499" s="2780"/>
      <c r="F499" s="2780"/>
      <c r="G499" s="2780"/>
      <c r="H499" s="2780"/>
      <c r="I499" s="2780"/>
      <c r="J499" s="2780"/>
      <c r="K499" s="2780"/>
      <c r="L499" s="2780"/>
      <c r="M499" s="2780"/>
      <c r="N499" s="2780"/>
      <c r="O499" s="2780"/>
      <c r="P499" s="2780"/>
      <c r="Q499" s="2780"/>
      <c r="R499" s="2780"/>
      <c r="S499" s="2780"/>
      <c r="T499" s="2780"/>
      <c r="U499" s="2780"/>
      <c r="V499" s="2780"/>
      <c r="W499" s="2780"/>
      <c r="X499" s="2780"/>
      <c r="Y499" s="2780"/>
      <c r="Z499" s="2780"/>
      <c r="AA499" s="2780"/>
      <c r="AB499" s="2780"/>
    </row>
    <row r="500" spans="1:28" s="352" customFormat="1" ht="18" customHeight="1" x14ac:dyDescent="0.2">
      <c r="A500" s="2686" t="s">
        <v>2</v>
      </c>
      <c r="B500" s="360"/>
      <c r="C500" s="2686" t="s">
        <v>3</v>
      </c>
      <c r="D500" s="360"/>
      <c r="E500" s="360"/>
      <c r="F500" s="2693" t="s">
        <v>4</v>
      </c>
      <c r="G500" s="2693"/>
      <c r="H500" s="2693"/>
      <c r="I500" s="2694"/>
      <c r="J500" s="2694"/>
      <c r="K500" s="2695"/>
      <c r="L500" s="361"/>
      <c r="M500" s="2679" t="s">
        <v>5</v>
      </c>
      <c r="N500" s="2679"/>
      <c r="O500" s="2679"/>
      <c r="P500" s="2679"/>
      <c r="Q500" s="2696"/>
      <c r="R500" s="2696"/>
      <c r="S500" s="2696"/>
      <c r="T500" s="2696"/>
      <c r="U500" s="2696"/>
      <c r="V500" s="2697"/>
      <c r="W500" s="362" t="s">
        <v>6</v>
      </c>
      <c r="X500" s="363" t="s">
        <v>7</v>
      </c>
      <c r="Y500" s="364"/>
      <c r="Z500" s="364"/>
      <c r="AA500" s="363"/>
      <c r="AB500" s="365"/>
    </row>
    <row r="501" spans="1:28" s="352" customFormat="1" ht="18" customHeight="1" x14ac:dyDescent="0.2">
      <c r="A501" s="2687"/>
      <c r="B501" s="367"/>
      <c r="C501" s="2687"/>
      <c r="D501" s="2158" t="s">
        <v>9</v>
      </c>
      <c r="E501" s="368" t="s">
        <v>10</v>
      </c>
      <c r="F501" s="2698" t="s">
        <v>11</v>
      </c>
      <c r="G501" s="2694"/>
      <c r="H501" s="2695"/>
      <c r="I501" s="360"/>
      <c r="J501" s="369" t="s">
        <v>12</v>
      </c>
      <c r="K501" s="360"/>
      <c r="L501" s="2679" t="s">
        <v>2</v>
      </c>
      <c r="M501" s="2162"/>
      <c r="N501" s="2162"/>
      <c r="O501" s="2162"/>
      <c r="P501" s="371"/>
      <c r="Q501" s="372" t="s">
        <v>13</v>
      </c>
      <c r="R501" s="373" t="s">
        <v>12</v>
      </c>
      <c r="S501" s="2162" t="s">
        <v>6</v>
      </c>
      <c r="T501" s="2682" t="s">
        <v>14</v>
      </c>
      <c r="U501" s="2683"/>
      <c r="V501" s="375" t="s">
        <v>7</v>
      </c>
      <c r="W501" s="376" t="s">
        <v>15</v>
      </c>
      <c r="X501" s="377" t="s">
        <v>16</v>
      </c>
      <c r="Y501" s="377" t="s">
        <v>17</v>
      </c>
      <c r="Z501" s="377" t="s">
        <v>18</v>
      </c>
      <c r="AA501" s="377"/>
      <c r="AB501" s="378" t="s">
        <v>19</v>
      </c>
    </row>
    <row r="502" spans="1:28" s="352" customFormat="1" ht="18" customHeight="1" x14ac:dyDescent="0.2">
      <c r="A502" s="2687"/>
      <c r="B502" s="2158" t="s">
        <v>23</v>
      </c>
      <c r="C502" s="2687"/>
      <c r="D502" s="2158" t="s">
        <v>24</v>
      </c>
      <c r="E502" s="368" t="s">
        <v>25</v>
      </c>
      <c r="F502" s="2699"/>
      <c r="G502" s="2700"/>
      <c r="H502" s="2701"/>
      <c r="I502" s="2158" t="s">
        <v>26</v>
      </c>
      <c r="J502" s="379" t="s">
        <v>15</v>
      </c>
      <c r="K502" s="2159" t="s">
        <v>6</v>
      </c>
      <c r="L502" s="2680"/>
      <c r="M502" s="2163" t="s">
        <v>27</v>
      </c>
      <c r="N502" s="2163" t="s">
        <v>10</v>
      </c>
      <c r="O502" s="382" t="s">
        <v>10</v>
      </c>
      <c r="P502" s="383" t="s">
        <v>28</v>
      </c>
      <c r="Q502" s="384" t="s">
        <v>29</v>
      </c>
      <c r="R502" s="383" t="s">
        <v>15</v>
      </c>
      <c r="S502" s="385" t="s">
        <v>15</v>
      </c>
      <c r="T502" s="2684"/>
      <c r="U502" s="2685"/>
      <c r="V502" s="375" t="s">
        <v>30</v>
      </c>
      <c r="W502" s="376" t="s">
        <v>31</v>
      </c>
      <c r="X502" s="377" t="s">
        <v>30</v>
      </c>
      <c r="Y502" s="377" t="s">
        <v>32</v>
      </c>
      <c r="Z502" s="377" t="s">
        <v>7</v>
      </c>
      <c r="AA502" s="377" t="s">
        <v>33</v>
      </c>
      <c r="AB502" s="378" t="s">
        <v>34</v>
      </c>
    </row>
    <row r="503" spans="1:28" s="352" customFormat="1" ht="18" customHeight="1" x14ac:dyDescent="0.2">
      <c r="A503" s="2687"/>
      <c r="B503" s="2158" t="s">
        <v>39</v>
      </c>
      <c r="C503" s="2687"/>
      <c r="D503" s="2158" t="s">
        <v>40</v>
      </c>
      <c r="E503" s="368" t="s">
        <v>41</v>
      </c>
      <c r="F503" s="2686" t="s">
        <v>42</v>
      </c>
      <c r="G503" s="2686" t="s">
        <v>43</v>
      </c>
      <c r="H503" s="2688" t="s">
        <v>44</v>
      </c>
      <c r="I503" s="2158" t="s">
        <v>45</v>
      </c>
      <c r="J503" s="379" t="s">
        <v>46</v>
      </c>
      <c r="K503" s="2159" t="s">
        <v>47</v>
      </c>
      <c r="L503" s="2680"/>
      <c r="M503" s="2163" t="s">
        <v>30</v>
      </c>
      <c r="N503" s="2163" t="s">
        <v>30</v>
      </c>
      <c r="O503" s="382" t="s">
        <v>25</v>
      </c>
      <c r="P503" s="383" t="s">
        <v>30</v>
      </c>
      <c r="Q503" s="384" t="s">
        <v>48</v>
      </c>
      <c r="R503" s="383" t="s">
        <v>49</v>
      </c>
      <c r="S503" s="385" t="s">
        <v>30</v>
      </c>
      <c r="T503" s="386" t="s">
        <v>50</v>
      </c>
      <c r="U503" s="2161" t="s">
        <v>13</v>
      </c>
      <c r="V503" s="375" t="s">
        <v>51</v>
      </c>
      <c r="W503" s="376" t="s">
        <v>52</v>
      </c>
      <c r="X503" s="377" t="s">
        <v>53</v>
      </c>
      <c r="Y503" s="377" t="s">
        <v>54</v>
      </c>
      <c r="Z503" s="377" t="s">
        <v>55</v>
      </c>
      <c r="AA503" s="377" t="s">
        <v>56</v>
      </c>
      <c r="AB503" s="378" t="s">
        <v>57</v>
      </c>
    </row>
    <row r="504" spans="1:28" s="352" customFormat="1" ht="18" customHeight="1" x14ac:dyDescent="0.2">
      <c r="A504" s="2687"/>
      <c r="B504" s="2158" t="s">
        <v>61</v>
      </c>
      <c r="C504" s="2687"/>
      <c r="D504" s="2158" t="s">
        <v>62</v>
      </c>
      <c r="E504" s="368" t="s">
        <v>63</v>
      </c>
      <c r="F504" s="2687"/>
      <c r="G504" s="2687"/>
      <c r="H504" s="2689"/>
      <c r="I504" s="2158" t="s">
        <v>64</v>
      </c>
      <c r="J504" s="379" t="s">
        <v>59</v>
      </c>
      <c r="K504" s="2159" t="s">
        <v>59</v>
      </c>
      <c r="L504" s="2680"/>
      <c r="M504" s="2163"/>
      <c r="N504" s="2163"/>
      <c r="O504" s="382" t="s">
        <v>41</v>
      </c>
      <c r="P504" s="383" t="s">
        <v>65</v>
      </c>
      <c r="Q504" s="384" t="s">
        <v>66</v>
      </c>
      <c r="R504" s="383" t="s">
        <v>67</v>
      </c>
      <c r="S504" s="385" t="s">
        <v>59</v>
      </c>
      <c r="T504" s="387" t="s">
        <v>68</v>
      </c>
      <c r="U504" s="375" t="s">
        <v>14</v>
      </c>
      <c r="V504" s="375" t="s">
        <v>14</v>
      </c>
      <c r="W504" s="376" t="s">
        <v>30</v>
      </c>
      <c r="X504" s="388" t="s">
        <v>69</v>
      </c>
      <c r="Y504" s="388" t="s">
        <v>70</v>
      </c>
      <c r="Z504" s="377" t="s">
        <v>71</v>
      </c>
      <c r="AA504" s="377" t="s">
        <v>72</v>
      </c>
      <c r="AB504" s="378" t="s">
        <v>59</v>
      </c>
    </row>
    <row r="505" spans="1:28" s="352" customFormat="1" ht="18" customHeight="1" x14ac:dyDescent="0.2">
      <c r="A505" s="2692"/>
      <c r="B505" s="390"/>
      <c r="C505" s="2692"/>
      <c r="D505" s="390"/>
      <c r="E505" s="2160"/>
      <c r="F505" s="390"/>
      <c r="G505" s="390"/>
      <c r="H505" s="391"/>
      <c r="I505" s="2160"/>
      <c r="J505" s="392"/>
      <c r="K505" s="393"/>
      <c r="L505" s="2681"/>
      <c r="M505" s="2164"/>
      <c r="N505" s="2164"/>
      <c r="O505" s="2164" t="s">
        <v>63</v>
      </c>
      <c r="P505" s="395"/>
      <c r="Q505" s="396" t="s">
        <v>72</v>
      </c>
      <c r="R505" s="397" t="s">
        <v>59</v>
      </c>
      <c r="S505" s="398"/>
      <c r="T505" s="397" t="s">
        <v>73</v>
      </c>
      <c r="U505" s="398" t="s">
        <v>59</v>
      </c>
      <c r="V505" s="399" t="s">
        <v>59</v>
      </c>
      <c r="W505" s="400" t="s">
        <v>59</v>
      </c>
      <c r="X505" s="401" t="s">
        <v>59</v>
      </c>
      <c r="Y505" s="401" t="s">
        <v>59</v>
      </c>
      <c r="Z505" s="401" t="s">
        <v>59</v>
      </c>
      <c r="AA505" s="402"/>
      <c r="AB505" s="403"/>
    </row>
    <row r="506" spans="1:28" s="352" customFormat="1" ht="18" customHeight="1" x14ac:dyDescent="0.25">
      <c r="A506" s="68">
        <v>1</v>
      </c>
      <c r="B506" s="1387">
        <v>37521</v>
      </c>
      <c r="C506" s="259">
        <v>420</v>
      </c>
      <c r="D506" s="259" t="s">
        <v>107</v>
      </c>
      <c r="E506" s="259">
        <v>2</v>
      </c>
      <c r="F506" s="259">
        <v>0</v>
      </c>
      <c r="G506" s="41">
        <v>0</v>
      </c>
      <c r="H506" s="267">
        <v>4.3319999999999999</v>
      </c>
      <c r="I506" s="302">
        <f>F506*400+G506*100+H506</f>
        <v>4.3319999999999999</v>
      </c>
      <c r="J506" s="310">
        <v>3950</v>
      </c>
      <c r="K506" s="311">
        <f>SUM(I506*J506)</f>
        <v>17111.399999999998</v>
      </c>
      <c r="L506" s="63">
        <v>1</v>
      </c>
      <c r="M506" s="2169">
        <v>404</v>
      </c>
      <c r="N506" s="259" t="s">
        <v>74</v>
      </c>
      <c r="O506" s="63">
        <v>3</v>
      </c>
      <c r="P506" s="1021">
        <f>4.3*14.5</f>
        <v>62.349999999999994</v>
      </c>
      <c r="Q506" s="799" t="s">
        <v>290</v>
      </c>
      <c r="R506" s="296">
        <v>8500</v>
      </c>
      <c r="S506" s="296">
        <f>+P506*R506</f>
        <v>529975</v>
      </c>
      <c r="T506" s="298">
        <v>28</v>
      </c>
      <c r="U506" s="299">
        <f>+S506*46/100</f>
        <v>243788.5</v>
      </c>
      <c r="V506" s="299">
        <f>+S506-U506</f>
        <v>286186.5</v>
      </c>
      <c r="W506" s="296">
        <f>K506+V506</f>
        <v>303297.90000000002</v>
      </c>
      <c r="X506" s="299">
        <f>W506</f>
        <v>303297.90000000002</v>
      </c>
      <c r="Y506" s="296"/>
      <c r="Z506" s="296">
        <f>+X506</f>
        <v>303297.90000000002</v>
      </c>
      <c r="AA506" s="494">
        <v>0.3</v>
      </c>
      <c r="AB506" s="465">
        <f>+Z506*AA506/100</f>
        <v>909.89370000000008</v>
      </c>
    </row>
    <row r="507" spans="1:28" s="352" customFormat="1" ht="18" customHeight="1" x14ac:dyDescent="0.25">
      <c r="A507" s="75"/>
      <c r="B507" s="27"/>
      <c r="C507" s="27"/>
      <c r="D507" s="27"/>
      <c r="E507" s="273"/>
      <c r="F507" s="27"/>
      <c r="G507" s="15"/>
      <c r="H507" s="15">
        <v>8.6999999999999993</v>
      </c>
      <c r="I507" s="299">
        <f>F507*400+G507*100+H507</f>
        <v>8.6999999999999993</v>
      </c>
      <c r="J507" s="305">
        <v>3951</v>
      </c>
      <c r="K507" s="312">
        <f>SUM(I507*J507)</f>
        <v>34373.699999999997</v>
      </c>
      <c r="L507" s="269"/>
      <c r="M507" s="242"/>
      <c r="N507" s="269"/>
      <c r="O507" s="269">
        <v>2</v>
      </c>
      <c r="P507" s="760">
        <v>124.7</v>
      </c>
      <c r="Q507" s="285" t="s">
        <v>291</v>
      </c>
      <c r="R507" s="321">
        <v>8500</v>
      </c>
      <c r="S507" s="296">
        <f>+P507*R507</f>
        <v>1059950</v>
      </c>
      <c r="T507" s="323">
        <v>28</v>
      </c>
      <c r="U507" s="299">
        <f>+S507*46/100</f>
        <v>487577</v>
      </c>
      <c r="V507" s="299">
        <f>+S507-U507</f>
        <v>572373</v>
      </c>
      <c r="W507" s="296">
        <f>K507+V507</f>
        <v>606746.69999999995</v>
      </c>
      <c r="X507" s="299">
        <f>W507</f>
        <v>606746.69999999995</v>
      </c>
      <c r="Y507" s="1022" t="s">
        <v>292</v>
      </c>
      <c r="Z507" s="296">
        <v>0</v>
      </c>
      <c r="AA507" s="708">
        <v>0.02</v>
      </c>
      <c r="AB507" s="410"/>
    </row>
    <row r="508" spans="1:28" s="352" customFormat="1" ht="18" customHeight="1" x14ac:dyDescent="0.2">
      <c r="A508" s="61"/>
      <c r="B508" s="2166"/>
      <c r="C508" s="2166"/>
      <c r="D508" s="2166"/>
      <c r="E508" s="2166"/>
      <c r="F508" s="2166"/>
      <c r="G508" s="2166"/>
      <c r="H508" s="407"/>
      <c r="I508" s="77"/>
      <c r="J508" s="2168"/>
      <c r="K508" s="78"/>
      <c r="L508" s="61"/>
      <c r="M508" s="2166"/>
      <c r="N508" s="2166"/>
      <c r="O508" s="61"/>
      <c r="P508" s="2166"/>
      <c r="Q508" s="196"/>
      <c r="R508" s="408"/>
      <c r="S508" s="77"/>
      <c r="T508" s="803"/>
      <c r="U508" s="77"/>
      <c r="V508" s="77"/>
      <c r="W508" s="77"/>
      <c r="X508" s="77"/>
      <c r="Y508" s="77"/>
      <c r="Z508" s="77"/>
      <c r="AA508" s="2170"/>
      <c r="AB508" s="466"/>
    </row>
    <row r="509" spans="1:28" s="352" customFormat="1" ht="18" customHeight="1" x14ac:dyDescent="0.2">
      <c r="A509" s="2166"/>
      <c r="B509" s="177"/>
      <c r="C509" s="177"/>
      <c r="D509" s="2166"/>
      <c r="E509" s="2166"/>
      <c r="F509" s="2166"/>
      <c r="G509" s="2166"/>
      <c r="H509" s="2171"/>
      <c r="I509" s="2168"/>
      <c r="J509" s="178"/>
      <c r="K509" s="2168"/>
      <c r="L509" s="2166"/>
      <c r="M509" s="2166"/>
      <c r="N509" s="2166"/>
      <c r="O509" s="2166"/>
      <c r="P509" s="2171"/>
      <c r="Q509" s="2167"/>
      <c r="R509" s="437"/>
      <c r="S509" s="2168"/>
      <c r="T509" s="179"/>
      <c r="U509" s="178"/>
      <c r="V509" s="2168"/>
      <c r="W509" s="2168"/>
      <c r="X509" s="470"/>
      <c r="Y509" s="470"/>
      <c r="Z509" s="471"/>
      <c r="AA509" s="471"/>
      <c r="AB509" s="466"/>
    </row>
    <row r="510" spans="1:28" s="352" customFormat="1" ht="18" customHeight="1" x14ac:dyDescent="0.2">
      <c r="A510" s="2166"/>
      <c r="B510" s="177"/>
      <c r="C510" s="177"/>
      <c r="D510" s="2166"/>
      <c r="E510" s="2166"/>
      <c r="F510" s="2166"/>
      <c r="G510" s="2166"/>
      <c r="H510" s="2171"/>
      <c r="I510" s="2168"/>
      <c r="J510" s="178"/>
      <c r="K510" s="2168"/>
      <c r="L510" s="2166"/>
      <c r="M510" s="2166"/>
      <c r="N510" s="2166"/>
      <c r="O510" s="2166"/>
      <c r="P510" s="2171"/>
      <c r="Q510" s="2167"/>
      <c r="R510" s="437"/>
      <c r="S510" s="2168"/>
      <c r="T510" s="179"/>
      <c r="U510" s="178"/>
      <c r="V510" s="2168"/>
      <c r="W510" s="2168"/>
      <c r="X510" s="470"/>
      <c r="Y510" s="470"/>
      <c r="Z510" s="471"/>
      <c r="AA510" s="471"/>
      <c r="AB510" s="466"/>
    </row>
    <row r="511" spans="1:28" s="352" customFormat="1" ht="18" customHeight="1" x14ac:dyDescent="0.2">
      <c r="A511" s="2166"/>
      <c r="B511" s="177"/>
      <c r="C511" s="177"/>
      <c r="D511" s="2166"/>
      <c r="E511" s="2166"/>
      <c r="F511" s="2166"/>
      <c r="G511" s="2166"/>
      <c r="H511" s="2171"/>
      <c r="I511" s="2168"/>
      <c r="J511" s="178"/>
      <c r="K511" s="2168"/>
      <c r="L511" s="2166"/>
      <c r="M511" s="2166"/>
      <c r="N511" s="2166"/>
      <c r="O511" s="2166"/>
      <c r="P511" s="2171"/>
      <c r="Q511" s="2167"/>
      <c r="R511" s="437"/>
      <c r="S511" s="2168"/>
      <c r="T511" s="179"/>
      <c r="U511" s="178"/>
      <c r="V511" s="2168"/>
      <c r="W511" s="2168"/>
      <c r="X511" s="470"/>
      <c r="Y511" s="470"/>
      <c r="Z511" s="471"/>
      <c r="AA511" s="471"/>
      <c r="AB511" s="466"/>
    </row>
    <row r="512" spans="1:28" s="352" customFormat="1" ht="18" customHeight="1" x14ac:dyDescent="0.2">
      <c r="A512" s="2166"/>
      <c r="B512" s="177"/>
      <c r="C512" s="177"/>
      <c r="D512" s="2166"/>
      <c r="E512" s="2166"/>
      <c r="F512" s="2166"/>
      <c r="G512" s="2166"/>
      <c r="H512" s="2171"/>
      <c r="I512" s="2168"/>
      <c r="J512" s="178"/>
      <c r="K512" s="2168"/>
      <c r="L512" s="2166"/>
      <c r="M512" s="2166"/>
      <c r="N512" s="2166"/>
      <c r="O512" s="2166"/>
      <c r="P512" s="2171"/>
      <c r="Q512" s="2167"/>
      <c r="R512" s="437"/>
      <c r="S512" s="2168"/>
      <c r="T512" s="179"/>
      <c r="U512" s="178"/>
      <c r="V512" s="2168"/>
      <c r="W512" s="2168"/>
      <c r="X512" s="470"/>
      <c r="Y512" s="470"/>
      <c r="Z512" s="471"/>
      <c r="AA512" s="471"/>
      <c r="AB512" s="466"/>
    </row>
    <row r="513" spans="1:28" s="352" customFormat="1" ht="18" customHeight="1" x14ac:dyDescent="0.2">
      <c r="A513" s="2166"/>
      <c r="B513" s="177"/>
      <c r="C513" s="177"/>
      <c r="D513" s="2166"/>
      <c r="E513" s="2166"/>
      <c r="F513" s="2166"/>
      <c r="G513" s="2166"/>
      <c r="H513" s="2171"/>
      <c r="I513" s="2168"/>
      <c r="J513" s="178"/>
      <c r="K513" s="2168"/>
      <c r="L513" s="2166"/>
      <c r="M513" s="2166"/>
      <c r="N513" s="2166"/>
      <c r="O513" s="2166"/>
      <c r="P513" s="2171"/>
      <c r="Q513" s="2167"/>
      <c r="R513" s="437"/>
      <c r="S513" s="2168"/>
      <c r="T513" s="179"/>
      <c r="U513" s="178"/>
      <c r="V513" s="2168"/>
      <c r="W513" s="2168"/>
      <c r="X513" s="470"/>
      <c r="Y513" s="470"/>
      <c r="Z513" s="471"/>
      <c r="AA513" s="471"/>
      <c r="AB513" s="466"/>
    </row>
    <row r="514" spans="1:28" s="352" customFormat="1" ht="18" customHeight="1" x14ac:dyDescent="0.2">
      <c r="A514" s="2166"/>
      <c r="B514" s="177"/>
      <c r="C514" s="177"/>
      <c r="D514" s="2166"/>
      <c r="E514" s="2166"/>
      <c r="F514" s="2166"/>
      <c r="G514" s="2166"/>
      <c r="H514" s="2171"/>
      <c r="I514" s="2168"/>
      <c r="J514" s="178"/>
      <c r="K514" s="2168"/>
      <c r="L514" s="2166"/>
      <c r="M514" s="2166"/>
      <c r="N514" s="2166"/>
      <c r="O514" s="2166"/>
      <c r="P514" s="2171"/>
      <c r="Q514" s="2167"/>
      <c r="R514" s="437"/>
      <c r="S514" s="2168"/>
      <c r="T514" s="179"/>
      <c r="U514" s="178"/>
      <c r="V514" s="2168"/>
      <c r="W514" s="2168"/>
      <c r="X514" s="470"/>
      <c r="Y514" s="470"/>
      <c r="Z514" s="471"/>
      <c r="AA514" s="471"/>
      <c r="AB514" s="466"/>
    </row>
    <row r="515" spans="1:28" s="352" customFormat="1" ht="18" customHeight="1" x14ac:dyDescent="0.2">
      <c r="A515" s="2166"/>
      <c r="B515" s="177"/>
      <c r="C515" s="177"/>
      <c r="D515" s="2166"/>
      <c r="E515" s="2166"/>
      <c r="F515" s="2166"/>
      <c r="G515" s="2166"/>
      <c r="H515" s="2171"/>
      <c r="I515" s="2168"/>
      <c r="J515" s="178"/>
      <c r="K515" s="2168"/>
      <c r="L515" s="2166"/>
      <c r="M515" s="2166"/>
      <c r="N515" s="2166"/>
      <c r="O515" s="2166"/>
      <c r="P515" s="2171"/>
      <c r="Q515" s="2167"/>
      <c r="R515" s="437"/>
      <c r="S515" s="2168"/>
      <c r="T515" s="179"/>
      <c r="U515" s="178"/>
      <c r="V515" s="2168"/>
      <c r="W515" s="2168"/>
      <c r="X515" s="470"/>
      <c r="Y515" s="470"/>
      <c r="Z515" s="471"/>
      <c r="AA515" s="471"/>
      <c r="AB515" s="466"/>
    </row>
    <row r="516" spans="1:28" s="352" customFormat="1" ht="18" customHeight="1" x14ac:dyDescent="0.2">
      <c r="A516" s="2166"/>
      <c r="B516" s="177"/>
      <c r="C516" s="177"/>
      <c r="D516" s="2166"/>
      <c r="E516" s="2166"/>
      <c r="F516" s="2166"/>
      <c r="G516" s="2166"/>
      <c r="H516" s="2171"/>
      <c r="I516" s="2168"/>
      <c r="J516" s="178"/>
      <c r="K516" s="2168"/>
      <c r="L516" s="2166"/>
      <c r="M516" s="2166"/>
      <c r="N516" s="2166"/>
      <c r="O516" s="2166"/>
      <c r="P516" s="2171"/>
      <c r="Q516" s="2167"/>
      <c r="R516" s="437"/>
      <c r="S516" s="2168"/>
      <c r="T516" s="179"/>
      <c r="U516" s="178"/>
      <c r="V516" s="2168"/>
      <c r="W516" s="2168"/>
      <c r="X516" s="470"/>
      <c r="Y516" s="470"/>
      <c r="Z516" s="471"/>
      <c r="AA516" s="471"/>
      <c r="AB516" s="466"/>
    </row>
    <row r="517" spans="1:28" s="352" customFormat="1" ht="18" customHeight="1" x14ac:dyDescent="0.2">
      <c r="A517" s="2166"/>
      <c r="B517" s="177"/>
      <c r="C517" s="177"/>
      <c r="D517" s="2166"/>
      <c r="E517" s="2166"/>
      <c r="F517" s="2166"/>
      <c r="G517" s="2166"/>
      <c r="H517" s="2171"/>
      <c r="I517" s="2168"/>
      <c r="J517" s="178"/>
      <c r="K517" s="2168"/>
      <c r="L517" s="2166"/>
      <c r="M517" s="2166"/>
      <c r="N517" s="2166"/>
      <c r="O517" s="2166"/>
      <c r="P517" s="2171"/>
      <c r="Q517" s="2167"/>
      <c r="R517" s="437"/>
      <c r="S517" s="2168"/>
      <c r="T517" s="179"/>
      <c r="U517" s="178"/>
      <c r="V517" s="2168"/>
      <c r="W517" s="2168"/>
      <c r="X517" s="470"/>
      <c r="Y517" s="470"/>
      <c r="Z517" s="471"/>
      <c r="AA517" s="471"/>
      <c r="AB517" s="466"/>
    </row>
    <row r="518" spans="1:28" s="352" customFormat="1" ht="18" customHeight="1" x14ac:dyDescent="0.2">
      <c r="A518" s="2166"/>
      <c r="B518" s="177"/>
      <c r="C518" s="177"/>
      <c r="D518" s="2166"/>
      <c r="E518" s="2166"/>
      <c r="F518" s="2166"/>
      <c r="G518" s="2166"/>
      <c r="H518" s="2171"/>
      <c r="I518" s="2168"/>
      <c r="J518" s="178"/>
      <c r="K518" s="2168"/>
      <c r="L518" s="2166"/>
      <c r="M518" s="2166"/>
      <c r="N518" s="2166"/>
      <c r="O518" s="2166"/>
      <c r="P518" s="2171"/>
      <c r="Q518" s="2167"/>
      <c r="R518" s="437"/>
      <c r="S518" s="2168"/>
      <c r="T518" s="179"/>
      <c r="U518" s="178"/>
      <c r="V518" s="2168"/>
      <c r="W518" s="2168"/>
      <c r="X518" s="470"/>
      <c r="Y518" s="470"/>
      <c r="Z518" s="471"/>
      <c r="AA518" s="471"/>
      <c r="AB518" s="466"/>
    </row>
    <row r="519" spans="1:28" s="352" customFormat="1" ht="18" customHeight="1" x14ac:dyDescent="0.2">
      <c r="A519" s="88"/>
      <c r="B519" s="180"/>
      <c r="C519" s="180"/>
      <c r="D519" s="88"/>
      <c r="E519" s="88"/>
      <c r="F519" s="88"/>
      <c r="G519" s="88"/>
      <c r="H519" s="120"/>
      <c r="I519" s="121"/>
      <c r="J519" s="181"/>
      <c r="K519" s="121"/>
      <c r="L519" s="88"/>
      <c r="M519" s="88"/>
      <c r="N519" s="88"/>
      <c r="O519" s="88"/>
      <c r="P519" s="88"/>
      <c r="Q519" s="129"/>
      <c r="R519" s="445"/>
      <c r="S519" s="121"/>
      <c r="T519" s="182"/>
      <c r="U519" s="181"/>
      <c r="V519" s="121"/>
      <c r="W519" s="121"/>
      <c r="X519" s="472"/>
      <c r="Y519" s="472"/>
      <c r="Z519" s="473"/>
      <c r="AA519" s="473"/>
      <c r="AB519" s="410"/>
    </row>
    <row r="520" spans="1:28" s="352" customFormat="1" ht="18" customHeight="1" x14ac:dyDescent="0.2">
      <c r="A520" s="1850"/>
      <c r="B520" s="1850"/>
      <c r="C520" s="1850"/>
      <c r="D520" s="1850"/>
      <c r="E520" s="1850"/>
      <c r="F520" s="1850"/>
      <c r="G520" s="1850"/>
      <c r="H520" s="1851"/>
      <c r="I520" s="1852"/>
      <c r="J520" s="1853"/>
      <c r="K520" s="1852"/>
      <c r="L520" s="1852"/>
      <c r="M520" s="1852"/>
      <c r="N520" s="1852"/>
      <c r="O520" s="1852"/>
      <c r="P520" s="1852"/>
      <c r="Q520" s="1852"/>
      <c r="R520" s="1854"/>
      <c r="S520" s="1852"/>
      <c r="T520" s="1855"/>
      <c r="U520" s="1853"/>
      <c r="V520" s="1852"/>
      <c r="W520" s="1852"/>
      <c r="X520" s="1856"/>
      <c r="Y520" s="1856"/>
      <c r="Z520" s="1857"/>
      <c r="AA520" s="1857"/>
      <c r="AB520" s="1847">
        <f>SUM(AB506:AB519)</f>
        <v>909.89370000000008</v>
      </c>
    </row>
    <row r="521" spans="1:28" s="352" customFormat="1" ht="18" customHeight="1" x14ac:dyDescent="0.2">
      <c r="A521" s="2778" t="s">
        <v>76</v>
      </c>
      <c r="B521" s="2778"/>
      <c r="C521" s="2779" t="s">
        <v>77</v>
      </c>
      <c r="D521" s="2779"/>
      <c r="E521" s="2779"/>
      <c r="F521" s="2779"/>
      <c r="G521" s="2779"/>
      <c r="H521" s="2779"/>
      <c r="I521" s="424" t="s">
        <v>78</v>
      </c>
      <c r="J521" s="424"/>
      <c r="K521" s="424"/>
      <c r="L521" s="424"/>
      <c r="M521" s="424"/>
      <c r="N521" s="424"/>
      <c r="AB521" s="425"/>
    </row>
    <row r="522" spans="1:28" s="352" customFormat="1" ht="18" customHeight="1" x14ac:dyDescent="0.2">
      <c r="A522" s="424"/>
      <c r="B522" s="426"/>
      <c r="C522" s="424"/>
      <c r="D522" s="424"/>
      <c r="E522" s="424"/>
      <c r="F522" s="424"/>
      <c r="G522" s="424"/>
      <c r="H522" s="424"/>
      <c r="I522" s="424" t="s">
        <v>79</v>
      </c>
      <c r="J522" s="424"/>
      <c r="K522" s="424"/>
      <c r="L522" s="424"/>
      <c r="M522" s="424"/>
      <c r="N522" s="424"/>
      <c r="AB522" s="425"/>
    </row>
    <row r="523" spans="1:28" s="352" customFormat="1" ht="18" customHeight="1" x14ac:dyDescent="0.2">
      <c r="A523" s="424"/>
      <c r="B523" s="426"/>
      <c r="C523" s="424"/>
      <c r="D523" s="424"/>
      <c r="E523" s="424"/>
      <c r="F523" s="424"/>
      <c r="G523" s="424"/>
      <c r="H523" s="424"/>
      <c r="I523" s="424" t="s">
        <v>80</v>
      </c>
      <c r="J523" s="424"/>
      <c r="K523" s="424"/>
      <c r="L523" s="424"/>
      <c r="M523" s="424"/>
      <c r="N523" s="424"/>
      <c r="AB523" s="425"/>
    </row>
    <row r="524" spans="1:28" s="352" customFormat="1" ht="18" customHeight="1" x14ac:dyDescent="0.2">
      <c r="A524" s="424"/>
      <c r="B524" s="426"/>
      <c r="C524" s="424"/>
      <c r="D524" s="424"/>
      <c r="E524" s="424"/>
      <c r="F524" s="424"/>
      <c r="G524" s="424"/>
      <c r="H524" s="424"/>
      <c r="I524" s="424" t="s">
        <v>81</v>
      </c>
      <c r="J524" s="424"/>
      <c r="K524" s="424"/>
      <c r="L524" s="424"/>
      <c r="M524" s="424"/>
      <c r="N524" s="424"/>
      <c r="AB524" s="425"/>
    </row>
    <row r="525" spans="1:28" s="352" customFormat="1" ht="18" customHeight="1" x14ac:dyDescent="0.2">
      <c r="A525" s="424"/>
      <c r="B525" s="426"/>
      <c r="C525" s="424"/>
      <c r="D525" s="424"/>
      <c r="E525" s="424"/>
      <c r="F525" s="424"/>
      <c r="G525" s="424"/>
      <c r="H525" s="424"/>
      <c r="I525" s="424" t="s">
        <v>88</v>
      </c>
      <c r="J525" s="424"/>
      <c r="K525" s="424"/>
      <c r="L525" s="424"/>
      <c r="M525" s="424"/>
      <c r="N525" s="424"/>
      <c r="AB525" s="425"/>
    </row>
    <row r="526" spans="1:28" s="352" customFormat="1" ht="18" customHeight="1" x14ac:dyDescent="0.2">
      <c r="A526" s="338"/>
      <c r="B526" s="338"/>
      <c r="C526" s="338"/>
      <c r="D526" s="338"/>
      <c r="E526" s="338"/>
      <c r="F526" s="338"/>
      <c r="G526" s="338"/>
      <c r="H526" s="338"/>
      <c r="I526" s="338"/>
      <c r="J526" s="338"/>
      <c r="K526" s="338"/>
      <c r="L526" s="338"/>
      <c r="M526" s="338"/>
      <c r="N526" s="338"/>
      <c r="O526" s="338"/>
      <c r="P526" s="338"/>
      <c r="Q526" s="338"/>
      <c r="R526" s="338"/>
      <c r="S526" s="338"/>
      <c r="T526" s="338"/>
      <c r="U526" s="338"/>
      <c r="V526" s="338"/>
      <c r="W526" s="338"/>
      <c r="X526" s="338"/>
      <c r="Y526" s="338"/>
      <c r="Z526" s="338"/>
      <c r="AA526" s="2774" t="s">
        <v>0</v>
      </c>
      <c r="AB526" s="2774"/>
    </row>
    <row r="527" spans="1:28" s="352" customFormat="1" ht="18" customHeight="1" x14ac:dyDescent="0.2">
      <c r="A527" s="2703" t="s">
        <v>1</v>
      </c>
      <c r="B527" s="2703"/>
      <c r="C527" s="2703"/>
      <c r="D527" s="2703"/>
      <c r="E527" s="2703"/>
      <c r="F527" s="2703"/>
      <c r="G527" s="2703"/>
      <c r="H527" s="2703"/>
      <c r="I527" s="2703"/>
      <c r="J527" s="2703"/>
      <c r="K527" s="2703"/>
      <c r="L527" s="2703"/>
      <c r="M527" s="2703"/>
      <c r="N527" s="2703"/>
      <c r="O527" s="2703"/>
      <c r="P527" s="2703"/>
      <c r="Q527" s="2703"/>
      <c r="R527" s="2703"/>
      <c r="S527" s="2703"/>
      <c r="T527" s="2703"/>
      <c r="U527" s="2703"/>
      <c r="V527" s="2703"/>
      <c r="W527" s="2703"/>
      <c r="X527" s="2703"/>
      <c r="Y527" s="2703"/>
      <c r="Z527" s="2703"/>
      <c r="AA527" s="2703"/>
      <c r="AB527" s="2703"/>
    </row>
    <row r="528" spans="1:28" s="352" customFormat="1" ht="18" customHeight="1" x14ac:dyDescent="0.2">
      <c r="A528" s="2780" t="s">
        <v>617</v>
      </c>
      <c r="B528" s="2780"/>
      <c r="C528" s="2780"/>
      <c r="D528" s="2780"/>
      <c r="E528" s="2780"/>
      <c r="F528" s="2780"/>
      <c r="G528" s="2780"/>
      <c r="H528" s="2780"/>
      <c r="I528" s="2780"/>
      <c r="J528" s="2780"/>
      <c r="K528" s="2780"/>
      <c r="L528" s="2780"/>
      <c r="M528" s="2780"/>
      <c r="N528" s="2780"/>
      <c r="O528" s="2780"/>
      <c r="P528" s="2780"/>
      <c r="Q528" s="2780"/>
      <c r="R528" s="2780"/>
      <c r="S528" s="2780"/>
      <c r="T528" s="2780"/>
      <c r="U528" s="2780"/>
      <c r="V528" s="2780"/>
      <c r="W528" s="2780"/>
      <c r="X528" s="2780"/>
      <c r="Y528" s="2780"/>
      <c r="Z528" s="2780"/>
      <c r="AA528" s="2780"/>
      <c r="AB528" s="2780"/>
    </row>
    <row r="529" spans="1:28" s="352" customFormat="1" ht="18" customHeight="1" x14ac:dyDescent="0.2">
      <c r="A529" s="2686" t="s">
        <v>2</v>
      </c>
      <c r="B529" s="360"/>
      <c r="C529" s="2686" t="s">
        <v>3</v>
      </c>
      <c r="D529" s="360"/>
      <c r="E529" s="360"/>
      <c r="F529" s="2693" t="s">
        <v>4</v>
      </c>
      <c r="G529" s="2693"/>
      <c r="H529" s="2693"/>
      <c r="I529" s="2694"/>
      <c r="J529" s="2694"/>
      <c r="K529" s="2695"/>
      <c r="L529" s="361"/>
      <c r="M529" s="2679" t="s">
        <v>5</v>
      </c>
      <c r="N529" s="2679"/>
      <c r="O529" s="2679"/>
      <c r="P529" s="2679"/>
      <c r="Q529" s="2696"/>
      <c r="R529" s="2696"/>
      <c r="S529" s="2696"/>
      <c r="T529" s="2696"/>
      <c r="U529" s="2696"/>
      <c r="V529" s="2697"/>
      <c r="W529" s="362" t="s">
        <v>6</v>
      </c>
      <c r="X529" s="363" t="s">
        <v>7</v>
      </c>
      <c r="Y529" s="364"/>
      <c r="Z529" s="364"/>
      <c r="AA529" s="363"/>
      <c r="AB529" s="365"/>
    </row>
    <row r="530" spans="1:28" s="352" customFormat="1" ht="18" customHeight="1" x14ac:dyDescent="0.2">
      <c r="A530" s="2687"/>
      <c r="B530" s="367"/>
      <c r="C530" s="2687"/>
      <c r="D530" s="2158" t="s">
        <v>9</v>
      </c>
      <c r="E530" s="368" t="s">
        <v>10</v>
      </c>
      <c r="F530" s="2698" t="s">
        <v>11</v>
      </c>
      <c r="G530" s="2694"/>
      <c r="H530" s="2695"/>
      <c r="I530" s="360"/>
      <c r="J530" s="369" t="s">
        <v>12</v>
      </c>
      <c r="K530" s="360"/>
      <c r="L530" s="2679" t="s">
        <v>2</v>
      </c>
      <c r="M530" s="2162"/>
      <c r="N530" s="2162"/>
      <c r="O530" s="2162"/>
      <c r="P530" s="371"/>
      <c r="Q530" s="372" t="s">
        <v>13</v>
      </c>
      <c r="R530" s="373" t="s">
        <v>12</v>
      </c>
      <c r="S530" s="2162" t="s">
        <v>6</v>
      </c>
      <c r="T530" s="2682" t="s">
        <v>14</v>
      </c>
      <c r="U530" s="2683"/>
      <c r="V530" s="375" t="s">
        <v>7</v>
      </c>
      <c r="W530" s="376" t="s">
        <v>15</v>
      </c>
      <c r="X530" s="377" t="s">
        <v>16</v>
      </c>
      <c r="Y530" s="377" t="s">
        <v>17</v>
      </c>
      <c r="Z530" s="377" t="s">
        <v>18</v>
      </c>
      <c r="AA530" s="377"/>
      <c r="AB530" s="378" t="s">
        <v>19</v>
      </c>
    </row>
    <row r="531" spans="1:28" s="352" customFormat="1" ht="18" customHeight="1" x14ac:dyDescent="0.2">
      <c r="A531" s="2687"/>
      <c r="B531" s="2158" t="s">
        <v>23</v>
      </c>
      <c r="C531" s="2687"/>
      <c r="D531" s="2158" t="s">
        <v>24</v>
      </c>
      <c r="E531" s="368" t="s">
        <v>25</v>
      </c>
      <c r="F531" s="2699"/>
      <c r="G531" s="2700"/>
      <c r="H531" s="2701"/>
      <c r="I531" s="2158" t="s">
        <v>26</v>
      </c>
      <c r="J531" s="379" t="s">
        <v>15</v>
      </c>
      <c r="K531" s="2159" t="s">
        <v>6</v>
      </c>
      <c r="L531" s="2680"/>
      <c r="M531" s="2163" t="s">
        <v>27</v>
      </c>
      <c r="N531" s="2163" t="s">
        <v>10</v>
      </c>
      <c r="O531" s="382" t="s">
        <v>10</v>
      </c>
      <c r="P531" s="383" t="s">
        <v>28</v>
      </c>
      <c r="Q531" s="384" t="s">
        <v>29</v>
      </c>
      <c r="R531" s="383" t="s">
        <v>15</v>
      </c>
      <c r="S531" s="385" t="s">
        <v>15</v>
      </c>
      <c r="T531" s="2684"/>
      <c r="U531" s="2685"/>
      <c r="V531" s="375" t="s">
        <v>30</v>
      </c>
      <c r="W531" s="376" t="s">
        <v>31</v>
      </c>
      <c r="X531" s="377" t="s">
        <v>30</v>
      </c>
      <c r="Y531" s="377" t="s">
        <v>32</v>
      </c>
      <c r="Z531" s="377" t="s">
        <v>7</v>
      </c>
      <c r="AA531" s="377" t="s">
        <v>33</v>
      </c>
      <c r="AB531" s="378" t="s">
        <v>34</v>
      </c>
    </row>
    <row r="532" spans="1:28" s="352" customFormat="1" ht="18" customHeight="1" x14ac:dyDescent="0.2">
      <c r="A532" s="2687"/>
      <c r="B532" s="2158" t="s">
        <v>39</v>
      </c>
      <c r="C532" s="2687"/>
      <c r="D532" s="2158" t="s">
        <v>40</v>
      </c>
      <c r="E532" s="368" t="s">
        <v>41</v>
      </c>
      <c r="F532" s="2686" t="s">
        <v>42</v>
      </c>
      <c r="G532" s="2686" t="s">
        <v>43</v>
      </c>
      <c r="H532" s="2688" t="s">
        <v>44</v>
      </c>
      <c r="I532" s="2158" t="s">
        <v>45</v>
      </c>
      <c r="J532" s="379" t="s">
        <v>46</v>
      </c>
      <c r="K532" s="2159" t="s">
        <v>47</v>
      </c>
      <c r="L532" s="2680"/>
      <c r="M532" s="2163" t="s">
        <v>30</v>
      </c>
      <c r="N532" s="2163" t="s">
        <v>30</v>
      </c>
      <c r="O532" s="382" t="s">
        <v>25</v>
      </c>
      <c r="P532" s="383" t="s">
        <v>30</v>
      </c>
      <c r="Q532" s="384" t="s">
        <v>48</v>
      </c>
      <c r="R532" s="383" t="s">
        <v>49</v>
      </c>
      <c r="S532" s="385" t="s">
        <v>30</v>
      </c>
      <c r="T532" s="386" t="s">
        <v>50</v>
      </c>
      <c r="U532" s="2161" t="s">
        <v>13</v>
      </c>
      <c r="V532" s="375" t="s">
        <v>51</v>
      </c>
      <c r="W532" s="376" t="s">
        <v>52</v>
      </c>
      <c r="X532" s="377" t="s">
        <v>53</v>
      </c>
      <c r="Y532" s="377" t="s">
        <v>54</v>
      </c>
      <c r="Z532" s="377" t="s">
        <v>55</v>
      </c>
      <c r="AA532" s="377" t="s">
        <v>56</v>
      </c>
      <c r="AB532" s="378" t="s">
        <v>57</v>
      </c>
    </row>
    <row r="533" spans="1:28" s="352" customFormat="1" ht="18" customHeight="1" x14ac:dyDescent="0.2">
      <c r="A533" s="2687"/>
      <c r="B533" s="2158" t="s">
        <v>61</v>
      </c>
      <c r="C533" s="2687"/>
      <c r="D533" s="2158" t="s">
        <v>62</v>
      </c>
      <c r="E533" s="368" t="s">
        <v>63</v>
      </c>
      <c r="F533" s="2687"/>
      <c r="G533" s="2687"/>
      <c r="H533" s="2689"/>
      <c r="I533" s="2158" t="s">
        <v>64</v>
      </c>
      <c r="J533" s="379" t="s">
        <v>59</v>
      </c>
      <c r="K533" s="2159" t="s">
        <v>59</v>
      </c>
      <c r="L533" s="2680"/>
      <c r="M533" s="2163"/>
      <c r="N533" s="2163"/>
      <c r="O533" s="382" t="s">
        <v>41</v>
      </c>
      <c r="P533" s="383" t="s">
        <v>65</v>
      </c>
      <c r="Q533" s="384" t="s">
        <v>66</v>
      </c>
      <c r="R533" s="383" t="s">
        <v>67</v>
      </c>
      <c r="S533" s="385" t="s">
        <v>59</v>
      </c>
      <c r="T533" s="387" t="s">
        <v>68</v>
      </c>
      <c r="U533" s="375" t="s">
        <v>14</v>
      </c>
      <c r="V533" s="375" t="s">
        <v>14</v>
      </c>
      <c r="W533" s="376" t="s">
        <v>30</v>
      </c>
      <c r="X533" s="388" t="s">
        <v>69</v>
      </c>
      <c r="Y533" s="388" t="s">
        <v>70</v>
      </c>
      <c r="Z533" s="377" t="s">
        <v>71</v>
      </c>
      <c r="AA533" s="377" t="s">
        <v>72</v>
      </c>
      <c r="AB533" s="378" t="s">
        <v>59</v>
      </c>
    </row>
    <row r="534" spans="1:28" s="352" customFormat="1" ht="18" customHeight="1" x14ac:dyDescent="0.2">
      <c r="A534" s="2692"/>
      <c r="B534" s="390"/>
      <c r="C534" s="2692"/>
      <c r="D534" s="390"/>
      <c r="E534" s="2160"/>
      <c r="F534" s="390"/>
      <c r="G534" s="390"/>
      <c r="H534" s="391"/>
      <c r="I534" s="2160"/>
      <c r="J534" s="392"/>
      <c r="K534" s="393"/>
      <c r="L534" s="2681"/>
      <c r="M534" s="2164"/>
      <c r="N534" s="2164"/>
      <c r="O534" s="2164" t="s">
        <v>63</v>
      </c>
      <c r="P534" s="395"/>
      <c r="Q534" s="396" t="s">
        <v>72</v>
      </c>
      <c r="R534" s="397" t="s">
        <v>59</v>
      </c>
      <c r="S534" s="398"/>
      <c r="T534" s="397" t="s">
        <v>73</v>
      </c>
      <c r="U534" s="398" t="s">
        <v>59</v>
      </c>
      <c r="V534" s="399" t="s">
        <v>59</v>
      </c>
      <c r="W534" s="400" t="s">
        <v>59</v>
      </c>
      <c r="X534" s="401" t="s">
        <v>59</v>
      </c>
      <c r="Y534" s="401" t="s">
        <v>59</v>
      </c>
      <c r="Z534" s="401" t="s">
        <v>59</v>
      </c>
      <c r="AA534" s="402"/>
      <c r="AB534" s="403"/>
    </row>
    <row r="535" spans="1:28" s="352" customFormat="1" ht="18" customHeight="1" x14ac:dyDescent="0.25">
      <c r="A535" s="53">
        <v>1</v>
      </c>
      <c r="B535" s="333">
        <v>37523</v>
      </c>
      <c r="C535" s="41">
        <v>422</v>
      </c>
      <c r="D535" s="27" t="s">
        <v>121</v>
      </c>
      <c r="E535" s="41">
        <v>0</v>
      </c>
      <c r="F535" s="41">
        <v>0</v>
      </c>
      <c r="G535" s="41">
        <v>0</v>
      </c>
      <c r="H535" s="267">
        <v>13</v>
      </c>
      <c r="I535" s="302">
        <f t="shared" ref="I535" si="58">F535*400+G535*100+H535</f>
        <v>13</v>
      </c>
      <c r="J535" s="310">
        <v>3000</v>
      </c>
      <c r="K535" s="303">
        <f t="shared" ref="K535" si="59">SUM(I535*J535)</f>
        <v>39000</v>
      </c>
      <c r="L535" s="16">
        <v>1</v>
      </c>
      <c r="M535" s="82">
        <v>401</v>
      </c>
      <c r="N535" s="41" t="s">
        <v>74</v>
      </c>
      <c r="O535" s="16">
        <v>3</v>
      </c>
      <c r="P535" s="756">
        <f>4.5*13</f>
        <v>58.5</v>
      </c>
      <c r="Q535" s="1017" t="s">
        <v>75</v>
      </c>
      <c r="R535" s="302">
        <v>8500</v>
      </c>
      <c r="S535" s="302">
        <f>+P535*R535</f>
        <v>497250</v>
      </c>
      <c r="T535" s="309">
        <v>28</v>
      </c>
      <c r="U535" s="302">
        <f>+S535*46/100</f>
        <v>228735</v>
      </c>
      <c r="V535" s="310">
        <f>+S535-U535</f>
        <v>268515</v>
      </c>
      <c r="W535" s="296">
        <f t="shared" ref="W535" si="60">K535+V535</f>
        <v>307515</v>
      </c>
      <c r="X535" s="299">
        <f t="shared" ref="X535" si="61">W535</f>
        <v>307515</v>
      </c>
      <c r="Y535" s="296"/>
      <c r="Z535" s="296">
        <f>+X535</f>
        <v>307515</v>
      </c>
      <c r="AA535" s="494">
        <v>0.3</v>
      </c>
      <c r="AB535" s="406">
        <f>+Z535*AA535/100</f>
        <v>922.54499999999996</v>
      </c>
    </row>
    <row r="536" spans="1:28" s="352" customFormat="1" ht="18" customHeight="1" x14ac:dyDescent="0.2">
      <c r="A536" s="2166"/>
      <c r="B536" s="177"/>
      <c r="C536" s="177"/>
      <c r="D536" s="2166"/>
      <c r="E536" s="2166"/>
      <c r="F536" s="2166"/>
      <c r="G536" s="2166"/>
      <c r="H536" s="2171"/>
      <c r="I536" s="2168"/>
      <c r="J536" s="178"/>
      <c r="K536" s="2168"/>
      <c r="L536" s="2166"/>
      <c r="M536" s="2166"/>
      <c r="N536" s="2166"/>
      <c r="O536" s="2166"/>
      <c r="P536" s="2171"/>
      <c r="Q536" s="2167"/>
      <c r="R536" s="437"/>
      <c r="S536" s="2168"/>
      <c r="T536" s="179"/>
      <c r="U536" s="178"/>
      <c r="V536" s="2168"/>
      <c r="W536" s="2168"/>
      <c r="X536" s="470"/>
      <c r="Y536" s="470"/>
      <c r="Z536" s="471"/>
      <c r="AA536" s="471"/>
      <c r="AB536" s="410" t="s">
        <v>92</v>
      </c>
    </row>
    <row r="537" spans="1:28" s="352" customFormat="1" ht="18" customHeight="1" x14ac:dyDescent="0.2">
      <c r="A537" s="2166"/>
      <c r="B537" s="177"/>
      <c r="C537" s="177"/>
      <c r="D537" s="2166"/>
      <c r="E537" s="2166"/>
      <c r="F537" s="2166"/>
      <c r="G537" s="2166"/>
      <c r="H537" s="2171"/>
      <c r="I537" s="2168"/>
      <c r="J537" s="178"/>
      <c r="K537" s="2168"/>
      <c r="L537" s="2166"/>
      <c r="M537" s="2166"/>
      <c r="N537" s="2166"/>
      <c r="O537" s="2166"/>
      <c r="P537" s="2171"/>
      <c r="Q537" s="2167"/>
      <c r="R537" s="437"/>
      <c r="S537" s="2168"/>
      <c r="T537" s="179"/>
      <c r="U537" s="178"/>
      <c r="V537" s="2168"/>
      <c r="W537" s="2168"/>
      <c r="X537" s="470"/>
      <c r="Y537" s="470"/>
      <c r="Z537" s="471"/>
      <c r="AA537" s="471"/>
      <c r="AB537" s="466"/>
    </row>
    <row r="538" spans="1:28" s="352" customFormat="1" ht="18" customHeight="1" x14ac:dyDescent="0.2">
      <c r="A538" s="2166"/>
      <c r="B538" s="177"/>
      <c r="C538" s="177"/>
      <c r="D538" s="2166"/>
      <c r="E538" s="2166"/>
      <c r="F538" s="2166"/>
      <c r="G538" s="2166"/>
      <c r="H538" s="2171"/>
      <c r="I538" s="2168"/>
      <c r="J538" s="178"/>
      <c r="K538" s="2168"/>
      <c r="L538" s="2166"/>
      <c r="M538" s="2166"/>
      <c r="N538" s="2166"/>
      <c r="O538" s="2166"/>
      <c r="P538" s="2171"/>
      <c r="Q538" s="2167"/>
      <c r="R538" s="437"/>
      <c r="S538" s="2168"/>
      <c r="T538" s="179"/>
      <c r="U538" s="178"/>
      <c r="V538" s="2168"/>
      <c r="W538" s="2168"/>
      <c r="X538" s="470"/>
      <c r="Y538" s="470"/>
      <c r="Z538" s="471"/>
      <c r="AA538" s="471"/>
      <c r="AB538" s="466"/>
    </row>
    <row r="539" spans="1:28" s="352" customFormat="1" ht="18" customHeight="1" x14ac:dyDescent="0.2">
      <c r="A539" s="2166"/>
      <c r="B539" s="177"/>
      <c r="C539" s="177"/>
      <c r="D539" s="2166"/>
      <c r="E539" s="2166"/>
      <c r="F539" s="2166"/>
      <c r="G539" s="2166"/>
      <c r="H539" s="2171"/>
      <c r="I539" s="2168"/>
      <c r="J539" s="178"/>
      <c r="K539" s="2168"/>
      <c r="L539" s="2166"/>
      <c r="M539" s="2166"/>
      <c r="N539" s="2166"/>
      <c r="O539" s="2166"/>
      <c r="P539" s="2171"/>
      <c r="Q539" s="2167"/>
      <c r="R539" s="437"/>
      <c r="S539" s="2168"/>
      <c r="T539" s="179"/>
      <c r="U539" s="178"/>
      <c r="V539" s="2168"/>
      <c r="W539" s="2168"/>
      <c r="X539" s="470"/>
      <c r="Y539" s="470"/>
      <c r="Z539" s="471"/>
      <c r="AA539" s="471"/>
      <c r="AB539" s="466"/>
    </row>
    <row r="540" spans="1:28" s="352" customFormat="1" ht="18" customHeight="1" x14ac:dyDescent="0.2">
      <c r="A540" s="2166"/>
      <c r="B540" s="177"/>
      <c r="C540" s="177"/>
      <c r="D540" s="2166"/>
      <c r="E540" s="2166"/>
      <c r="F540" s="2166"/>
      <c r="G540" s="2166"/>
      <c r="H540" s="2171"/>
      <c r="I540" s="2168"/>
      <c r="J540" s="178"/>
      <c r="K540" s="2168"/>
      <c r="L540" s="2166"/>
      <c r="M540" s="2166"/>
      <c r="N540" s="2166"/>
      <c r="O540" s="2166"/>
      <c r="P540" s="2171"/>
      <c r="Q540" s="2167"/>
      <c r="R540" s="437"/>
      <c r="S540" s="2168"/>
      <c r="T540" s="179"/>
      <c r="U540" s="178"/>
      <c r="V540" s="2168"/>
      <c r="W540" s="2168"/>
      <c r="X540" s="470"/>
      <c r="Y540" s="470"/>
      <c r="Z540" s="471"/>
      <c r="AA540" s="471"/>
      <c r="AB540" s="466"/>
    </row>
    <row r="541" spans="1:28" s="352" customFormat="1" ht="18" customHeight="1" x14ac:dyDescent="0.2">
      <c r="A541" s="2166"/>
      <c r="B541" s="177"/>
      <c r="C541" s="177"/>
      <c r="D541" s="2166"/>
      <c r="E541" s="2166"/>
      <c r="F541" s="2166"/>
      <c r="G541" s="2166"/>
      <c r="H541" s="2171"/>
      <c r="I541" s="2168"/>
      <c r="J541" s="178"/>
      <c r="K541" s="2168"/>
      <c r="L541" s="2166"/>
      <c r="M541" s="2166"/>
      <c r="N541" s="2166"/>
      <c r="O541" s="2166"/>
      <c r="P541" s="2171"/>
      <c r="Q541" s="2167"/>
      <c r="R541" s="437"/>
      <c r="S541" s="2168"/>
      <c r="T541" s="179"/>
      <c r="U541" s="178"/>
      <c r="V541" s="2168"/>
      <c r="W541" s="2168"/>
      <c r="X541" s="470"/>
      <c r="Y541" s="470"/>
      <c r="Z541" s="471"/>
      <c r="AA541" s="471"/>
      <c r="AB541" s="466"/>
    </row>
    <row r="542" spans="1:28" s="352" customFormat="1" ht="18" customHeight="1" x14ac:dyDescent="0.2">
      <c r="A542" s="2166"/>
      <c r="B542" s="177"/>
      <c r="C542" s="177"/>
      <c r="D542" s="2166"/>
      <c r="E542" s="2166"/>
      <c r="F542" s="2166"/>
      <c r="G542" s="2166"/>
      <c r="H542" s="2171"/>
      <c r="I542" s="2168"/>
      <c r="J542" s="178"/>
      <c r="K542" s="2168"/>
      <c r="L542" s="2166"/>
      <c r="M542" s="2166"/>
      <c r="N542" s="2166"/>
      <c r="O542" s="2166"/>
      <c r="P542" s="2171"/>
      <c r="Q542" s="2167"/>
      <c r="R542" s="437"/>
      <c r="S542" s="2168"/>
      <c r="T542" s="179"/>
      <c r="U542" s="178"/>
      <c r="V542" s="2168"/>
      <c r="W542" s="2168"/>
      <c r="X542" s="470"/>
      <c r="Y542" s="470"/>
      <c r="Z542" s="471"/>
      <c r="AA542" s="471"/>
      <c r="AB542" s="466"/>
    </row>
    <row r="543" spans="1:28" s="352" customFormat="1" ht="18" customHeight="1" x14ac:dyDescent="0.2">
      <c r="A543" s="2166"/>
      <c r="B543" s="177"/>
      <c r="C543" s="177"/>
      <c r="D543" s="2166"/>
      <c r="E543" s="2166"/>
      <c r="F543" s="2166"/>
      <c r="G543" s="2166"/>
      <c r="H543" s="2171"/>
      <c r="I543" s="2168"/>
      <c r="J543" s="178"/>
      <c r="K543" s="2168"/>
      <c r="L543" s="2166"/>
      <c r="M543" s="2166"/>
      <c r="N543" s="2166"/>
      <c r="O543" s="2166"/>
      <c r="P543" s="2171"/>
      <c r="Q543" s="2167"/>
      <c r="R543" s="437"/>
      <c r="S543" s="2168"/>
      <c r="T543" s="179"/>
      <c r="U543" s="178"/>
      <c r="V543" s="2168"/>
      <c r="W543" s="2168"/>
      <c r="X543" s="470"/>
      <c r="Y543" s="470"/>
      <c r="Z543" s="471"/>
      <c r="AA543" s="471"/>
      <c r="AB543" s="466"/>
    </row>
    <row r="544" spans="1:28" s="352" customFormat="1" ht="18" customHeight="1" x14ac:dyDescent="0.2">
      <c r="A544" s="2166"/>
      <c r="B544" s="177"/>
      <c r="C544" s="177"/>
      <c r="D544" s="2166"/>
      <c r="E544" s="2166"/>
      <c r="F544" s="2166"/>
      <c r="G544" s="2166"/>
      <c r="H544" s="2171"/>
      <c r="I544" s="2168"/>
      <c r="J544" s="178"/>
      <c r="K544" s="2168"/>
      <c r="L544" s="2166"/>
      <c r="M544" s="2166"/>
      <c r="N544" s="2166"/>
      <c r="O544" s="2166"/>
      <c r="P544" s="2171"/>
      <c r="Q544" s="2167"/>
      <c r="R544" s="437"/>
      <c r="S544" s="2168"/>
      <c r="T544" s="179"/>
      <c r="U544" s="178"/>
      <c r="V544" s="2168"/>
      <c r="W544" s="2168"/>
      <c r="X544" s="470"/>
      <c r="Y544" s="470"/>
      <c r="Z544" s="471"/>
      <c r="AA544" s="471"/>
      <c r="AB544" s="466"/>
    </row>
    <row r="545" spans="1:28" s="352" customFormat="1" ht="18" customHeight="1" x14ac:dyDescent="0.2">
      <c r="A545" s="2166"/>
      <c r="B545" s="177"/>
      <c r="C545" s="177"/>
      <c r="D545" s="2166"/>
      <c r="E545" s="2166"/>
      <c r="F545" s="2166"/>
      <c r="G545" s="2166"/>
      <c r="H545" s="2171"/>
      <c r="I545" s="2168"/>
      <c r="J545" s="178"/>
      <c r="K545" s="2168"/>
      <c r="L545" s="2166"/>
      <c r="M545" s="2166"/>
      <c r="N545" s="2166"/>
      <c r="O545" s="2166"/>
      <c r="P545" s="2171"/>
      <c r="Q545" s="2167"/>
      <c r="R545" s="437"/>
      <c r="S545" s="2168"/>
      <c r="T545" s="179"/>
      <c r="U545" s="178"/>
      <c r="V545" s="2168"/>
      <c r="W545" s="2168"/>
      <c r="X545" s="470"/>
      <c r="Y545" s="470"/>
      <c r="Z545" s="471"/>
      <c r="AA545" s="471"/>
      <c r="AB545" s="466"/>
    </row>
    <row r="546" spans="1:28" s="352" customFormat="1" ht="18" customHeight="1" x14ac:dyDescent="0.2">
      <c r="A546" s="2166"/>
      <c r="B546" s="177"/>
      <c r="C546" s="177"/>
      <c r="D546" s="2166"/>
      <c r="E546" s="2166"/>
      <c r="F546" s="2166"/>
      <c r="G546" s="2166"/>
      <c r="H546" s="2171"/>
      <c r="I546" s="2168"/>
      <c r="J546" s="178"/>
      <c r="K546" s="2168"/>
      <c r="L546" s="2166"/>
      <c r="M546" s="2166"/>
      <c r="N546" s="2166"/>
      <c r="O546" s="2166"/>
      <c r="P546" s="2171"/>
      <c r="Q546" s="2167"/>
      <c r="R546" s="437"/>
      <c r="S546" s="2168"/>
      <c r="T546" s="179"/>
      <c r="U546" s="178"/>
      <c r="V546" s="2168"/>
      <c r="W546" s="2168"/>
      <c r="X546" s="470"/>
      <c r="Y546" s="470"/>
      <c r="Z546" s="471"/>
      <c r="AA546" s="471"/>
      <c r="AB546" s="466"/>
    </row>
    <row r="547" spans="1:28" s="352" customFormat="1" ht="18" customHeight="1" x14ac:dyDescent="0.2">
      <c r="A547" s="2166"/>
      <c r="B547" s="177"/>
      <c r="C547" s="177"/>
      <c r="D547" s="2166"/>
      <c r="E547" s="2166"/>
      <c r="F547" s="2166"/>
      <c r="G547" s="2166"/>
      <c r="H547" s="2171"/>
      <c r="I547" s="2168"/>
      <c r="J547" s="178"/>
      <c r="K547" s="2168"/>
      <c r="L547" s="2166"/>
      <c r="M547" s="2166"/>
      <c r="N547" s="2166"/>
      <c r="O547" s="2166"/>
      <c r="P547" s="2171"/>
      <c r="Q547" s="2167"/>
      <c r="R547" s="437"/>
      <c r="S547" s="2168"/>
      <c r="T547" s="179"/>
      <c r="U547" s="178"/>
      <c r="V547" s="2168"/>
      <c r="W547" s="2168"/>
      <c r="X547" s="470"/>
      <c r="Y547" s="470"/>
      <c r="Z547" s="471"/>
      <c r="AA547" s="471"/>
      <c r="AB547" s="466"/>
    </row>
    <row r="548" spans="1:28" s="352" customFormat="1" ht="18" customHeight="1" x14ac:dyDescent="0.2">
      <c r="A548" s="88"/>
      <c r="B548" s="180"/>
      <c r="C548" s="180"/>
      <c r="D548" s="88"/>
      <c r="E548" s="88"/>
      <c r="F548" s="88"/>
      <c r="G548" s="88"/>
      <c r="H548" s="120"/>
      <c r="I548" s="121"/>
      <c r="J548" s="181"/>
      <c r="K548" s="121"/>
      <c r="L548" s="88"/>
      <c r="M548" s="88"/>
      <c r="N548" s="88"/>
      <c r="O548" s="88"/>
      <c r="P548" s="88"/>
      <c r="Q548" s="129"/>
      <c r="R548" s="445"/>
      <c r="S548" s="121"/>
      <c r="T548" s="182"/>
      <c r="U548" s="181"/>
      <c r="V548" s="121"/>
      <c r="W548" s="121"/>
      <c r="X548" s="472"/>
      <c r="Y548" s="472"/>
      <c r="Z548" s="473"/>
      <c r="AA548" s="473"/>
      <c r="AB548" s="410"/>
    </row>
    <row r="549" spans="1:28" s="352" customFormat="1" ht="18" customHeight="1" x14ac:dyDescent="0.2">
      <c r="A549" s="1850"/>
      <c r="B549" s="1850"/>
      <c r="C549" s="1850"/>
      <c r="D549" s="1850"/>
      <c r="E549" s="1850"/>
      <c r="F549" s="1850"/>
      <c r="G549" s="1850"/>
      <c r="H549" s="1851"/>
      <c r="I549" s="1852"/>
      <c r="J549" s="1853"/>
      <c r="K549" s="1852"/>
      <c r="L549" s="1852"/>
      <c r="M549" s="1852"/>
      <c r="N549" s="1852"/>
      <c r="O549" s="1852"/>
      <c r="P549" s="1852"/>
      <c r="Q549" s="1852"/>
      <c r="R549" s="1854"/>
      <c r="S549" s="1852"/>
      <c r="T549" s="1855"/>
      <c r="U549" s="1853"/>
      <c r="V549" s="1852"/>
      <c r="W549" s="1852"/>
      <c r="X549" s="1856"/>
      <c r="Y549" s="1856"/>
      <c r="Z549" s="1857"/>
      <c r="AA549" s="1857"/>
      <c r="AB549" s="1847">
        <f>SUM(AB535:AB548)</f>
        <v>922.54499999999996</v>
      </c>
    </row>
    <row r="550" spans="1:28" s="352" customFormat="1" ht="18" customHeight="1" x14ac:dyDescent="0.2">
      <c r="A550" s="2778" t="s">
        <v>76</v>
      </c>
      <c r="B550" s="2778"/>
      <c r="C550" s="2779" t="s">
        <v>77</v>
      </c>
      <c r="D550" s="2779"/>
      <c r="E550" s="2779"/>
      <c r="F550" s="2779"/>
      <c r="G550" s="2779"/>
      <c r="H550" s="2779"/>
      <c r="I550" s="424" t="s">
        <v>78</v>
      </c>
      <c r="J550" s="424"/>
      <c r="K550" s="424"/>
      <c r="L550" s="424"/>
      <c r="M550" s="424"/>
      <c r="N550" s="424"/>
      <c r="AB550" s="425"/>
    </row>
    <row r="551" spans="1:28" s="352" customFormat="1" ht="18" customHeight="1" x14ac:dyDescent="0.2">
      <c r="A551" s="424"/>
      <c r="B551" s="426"/>
      <c r="C551" s="424"/>
      <c r="D551" s="424"/>
      <c r="E551" s="424"/>
      <c r="F551" s="424"/>
      <c r="G551" s="424"/>
      <c r="H551" s="424"/>
      <c r="I551" s="424" t="s">
        <v>79</v>
      </c>
      <c r="J551" s="424"/>
      <c r="K551" s="424"/>
      <c r="L551" s="424"/>
      <c r="M551" s="424"/>
      <c r="N551" s="424"/>
      <c r="AB551" s="425"/>
    </row>
    <row r="552" spans="1:28" s="352" customFormat="1" ht="18" customHeight="1" x14ac:dyDescent="0.2">
      <c r="A552" s="424"/>
      <c r="B552" s="426"/>
      <c r="C552" s="424"/>
      <c r="D552" s="424"/>
      <c r="E552" s="424"/>
      <c r="F552" s="424"/>
      <c r="G552" s="424"/>
      <c r="H552" s="424"/>
      <c r="I552" s="424" t="s">
        <v>80</v>
      </c>
      <c r="J552" s="424"/>
      <c r="K552" s="424"/>
      <c r="L552" s="424"/>
      <c r="M552" s="424"/>
      <c r="N552" s="424"/>
      <c r="AB552" s="425"/>
    </row>
    <row r="553" spans="1:28" s="352" customFormat="1" ht="18" customHeight="1" x14ac:dyDescent="0.2">
      <c r="A553" s="424"/>
      <c r="B553" s="426"/>
      <c r="C553" s="424"/>
      <c r="D553" s="424"/>
      <c r="E553" s="424"/>
      <c r="F553" s="424"/>
      <c r="G553" s="424"/>
      <c r="H553" s="424"/>
      <c r="I553" s="424" t="s">
        <v>81</v>
      </c>
      <c r="J553" s="424"/>
      <c r="K553" s="424"/>
      <c r="L553" s="424"/>
      <c r="M553" s="424"/>
      <c r="N553" s="424"/>
      <c r="AB553" s="425"/>
    </row>
    <row r="554" spans="1:28" s="352" customFormat="1" ht="18" customHeight="1" x14ac:dyDescent="0.2">
      <c r="A554" s="424"/>
      <c r="B554" s="426"/>
      <c r="C554" s="424"/>
      <c r="D554" s="424"/>
      <c r="E554" s="424"/>
      <c r="F554" s="424"/>
      <c r="G554" s="424"/>
      <c r="H554" s="424"/>
      <c r="I554" s="424" t="s">
        <v>88</v>
      </c>
      <c r="J554" s="424"/>
      <c r="K554" s="424"/>
      <c r="L554" s="424"/>
      <c r="M554" s="424"/>
      <c r="N554" s="424"/>
      <c r="AB554" s="425"/>
    </row>
    <row r="555" spans="1:28" s="352" customFormat="1" ht="18" customHeight="1" x14ac:dyDescent="0.2">
      <c r="A555" s="1073"/>
      <c r="B555" s="1073"/>
      <c r="C555" s="1073"/>
      <c r="D555" s="1073"/>
      <c r="E555" s="1073"/>
      <c r="F555" s="1073"/>
      <c r="G555" s="1073"/>
      <c r="H555" s="1073"/>
      <c r="I555" s="1073"/>
      <c r="J555" s="1073"/>
      <c r="K555" s="1073"/>
      <c r="L555" s="1073"/>
      <c r="M555" s="1073"/>
      <c r="N555" s="1073"/>
      <c r="O555" s="1073"/>
      <c r="P555" s="1073"/>
      <c r="Q555" s="1073"/>
      <c r="R555" s="1073"/>
      <c r="S555" s="1073"/>
      <c r="T555" s="1073"/>
      <c r="U555" s="1073"/>
      <c r="V555" s="1073"/>
      <c r="W555" s="1073"/>
      <c r="X555" s="1073"/>
      <c r="Y555" s="1073"/>
      <c r="Z555" s="1073"/>
      <c r="AA555" s="2784" t="s">
        <v>0</v>
      </c>
      <c r="AB555" s="2784"/>
    </row>
    <row r="556" spans="1:28" s="352" customFormat="1" ht="18" customHeight="1" x14ac:dyDescent="0.2">
      <c r="A556" s="2703" t="s">
        <v>1</v>
      </c>
      <c r="B556" s="2703"/>
      <c r="C556" s="2703"/>
      <c r="D556" s="2703"/>
      <c r="E556" s="2703"/>
      <c r="F556" s="2703"/>
      <c r="G556" s="2703"/>
      <c r="H556" s="2703"/>
      <c r="I556" s="2703"/>
      <c r="J556" s="2703"/>
      <c r="K556" s="2703"/>
      <c r="L556" s="2703"/>
      <c r="M556" s="2703"/>
      <c r="N556" s="2703"/>
      <c r="O556" s="2703"/>
      <c r="P556" s="2703"/>
      <c r="Q556" s="2703"/>
      <c r="R556" s="2703"/>
      <c r="S556" s="2703"/>
      <c r="T556" s="2703"/>
      <c r="U556" s="2703"/>
      <c r="V556" s="2703"/>
      <c r="W556" s="2703"/>
      <c r="X556" s="2703"/>
      <c r="Y556" s="2703"/>
      <c r="Z556" s="2703"/>
      <c r="AA556" s="2703"/>
      <c r="AB556" s="2703"/>
    </row>
    <row r="557" spans="1:28" s="352" customFormat="1" ht="18" customHeight="1" x14ac:dyDescent="0.2">
      <c r="A557" s="2780" t="s">
        <v>618</v>
      </c>
      <c r="B557" s="2780"/>
      <c r="C557" s="2780"/>
      <c r="D557" s="2780"/>
      <c r="E557" s="2780"/>
      <c r="F557" s="2780"/>
      <c r="G557" s="2780"/>
      <c r="H557" s="2780"/>
      <c r="I557" s="2780"/>
      <c r="J557" s="2780"/>
      <c r="K557" s="2780"/>
      <c r="L557" s="2780"/>
      <c r="M557" s="2780"/>
      <c r="N557" s="2780"/>
      <c r="O557" s="2780"/>
      <c r="P557" s="2780"/>
      <c r="Q557" s="2780"/>
      <c r="R557" s="2780"/>
      <c r="S557" s="2780"/>
      <c r="T557" s="2780"/>
      <c r="U557" s="2780"/>
      <c r="V557" s="2780"/>
      <c r="W557" s="2780"/>
      <c r="X557" s="2780"/>
      <c r="Y557" s="2780"/>
      <c r="Z557" s="2780"/>
      <c r="AA557" s="2780"/>
      <c r="AB557" s="2780"/>
    </row>
    <row r="558" spans="1:28" s="352" customFormat="1" ht="18" customHeight="1" x14ac:dyDescent="0.2">
      <c r="A558" s="2686" t="s">
        <v>2</v>
      </c>
      <c r="B558" s="360"/>
      <c r="C558" s="2686" t="s">
        <v>3</v>
      </c>
      <c r="D558" s="360"/>
      <c r="E558" s="360"/>
      <c r="F558" s="2693" t="s">
        <v>4</v>
      </c>
      <c r="G558" s="2693"/>
      <c r="H558" s="2693"/>
      <c r="I558" s="2694"/>
      <c r="J558" s="2694"/>
      <c r="K558" s="2695"/>
      <c r="L558" s="361"/>
      <c r="M558" s="2679" t="s">
        <v>5</v>
      </c>
      <c r="N558" s="2679"/>
      <c r="O558" s="2679"/>
      <c r="P558" s="2679"/>
      <c r="Q558" s="2696"/>
      <c r="R558" s="2696"/>
      <c r="S558" s="2696"/>
      <c r="T558" s="2696"/>
      <c r="U558" s="2696"/>
      <c r="V558" s="2697"/>
      <c r="W558" s="362" t="s">
        <v>6</v>
      </c>
      <c r="X558" s="363" t="s">
        <v>7</v>
      </c>
      <c r="Y558" s="364"/>
      <c r="Z558" s="364"/>
      <c r="AA558" s="363"/>
      <c r="AB558" s="365"/>
    </row>
    <row r="559" spans="1:28" s="352" customFormat="1" ht="18" customHeight="1" x14ac:dyDescent="0.2">
      <c r="A559" s="2687"/>
      <c r="B559" s="367"/>
      <c r="C559" s="2687"/>
      <c r="D559" s="2158" t="s">
        <v>9</v>
      </c>
      <c r="E559" s="368" t="s">
        <v>10</v>
      </c>
      <c r="F559" s="2698" t="s">
        <v>11</v>
      </c>
      <c r="G559" s="2694"/>
      <c r="H559" s="2695"/>
      <c r="I559" s="360"/>
      <c r="J559" s="369" t="s">
        <v>12</v>
      </c>
      <c r="K559" s="360"/>
      <c r="L559" s="2679" t="s">
        <v>2</v>
      </c>
      <c r="M559" s="2162"/>
      <c r="N559" s="2162"/>
      <c r="O559" s="2162"/>
      <c r="P559" s="371"/>
      <c r="Q559" s="372" t="s">
        <v>13</v>
      </c>
      <c r="R559" s="373" t="s">
        <v>12</v>
      </c>
      <c r="S559" s="2162" t="s">
        <v>6</v>
      </c>
      <c r="T559" s="2682" t="s">
        <v>14</v>
      </c>
      <c r="U559" s="2683"/>
      <c r="V559" s="375" t="s">
        <v>7</v>
      </c>
      <c r="W559" s="376" t="s">
        <v>15</v>
      </c>
      <c r="X559" s="377" t="s">
        <v>16</v>
      </c>
      <c r="Y559" s="377" t="s">
        <v>17</v>
      </c>
      <c r="Z559" s="377" t="s">
        <v>18</v>
      </c>
      <c r="AA559" s="377"/>
      <c r="AB559" s="378" t="s">
        <v>19</v>
      </c>
    </row>
    <row r="560" spans="1:28" s="352" customFormat="1" ht="18" customHeight="1" x14ac:dyDescent="0.2">
      <c r="A560" s="2687"/>
      <c r="B560" s="2158" t="s">
        <v>23</v>
      </c>
      <c r="C560" s="2687"/>
      <c r="D560" s="2158" t="s">
        <v>24</v>
      </c>
      <c r="E560" s="368" t="s">
        <v>25</v>
      </c>
      <c r="F560" s="2699"/>
      <c r="G560" s="2700"/>
      <c r="H560" s="2701"/>
      <c r="I560" s="2158" t="s">
        <v>26</v>
      </c>
      <c r="J560" s="379" t="s">
        <v>15</v>
      </c>
      <c r="K560" s="2159" t="s">
        <v>6</v>
      </c>
      <c r="L560" s="2680"/>
      <c r="M560" s="2163" t="s">
        <v>27</v>
      </c>
      <c r="N560" s="2163" t="s">
        <v>10</v>
      </c>
      <c r="O560" s="382" t="s">
        <v>10</v>
      </c>
      <c r="P560" s="383" t="s">
        <v>28</v>
      </c>
      <c r="Q560" s="384" t="s">
        <v>29</v>
      </c>
      <c r="R560" s="383" t="s">
        <v>15</v>
      </c>
      <c r="S560" s="385" t="s">
        <v>15</v>
      </c>
      <c r="T560" s="2684"/>
      <c r="U560" s="2685"/>
      <c r="V560" s="375" t="s">
        <v>30</v>
      </c>
      <c r="W560" s="376" t="s">
        <v>31</v>
      </c>
      <c r="X560" s="377" t="s">
        <v>30</v>
      </c>
      <c r="Y560" s="377" t="s">
        <v>32</v>
      </c>
      <c r="Z560" s="377" t="s">
        <v>7</v>
      </c>
      <c r="AA560" s="377" t="s">
        <v>33</v>
      </c>
      <c r="AB560" s="378" t="s">
        <v>34</v>
      </c>
    </row>
    <row r="561" spans="1:28" s="352" customFormat="1" ht="18" customHeight="1" x14ac:dyDescent="0.2">
      <c r="A561" s="2687"/>
      <c r="B561" s="2158" t="s">
        <v>39</v>
      </c>
      <c r="C561" s="2687"/>
      <c r="D561" s="2158" t="s">
        <v>40</v>
      </c>
      <c r="E561" s="368" t="s">
        <v>41</v>
      </c>
      <c r="F561" s="2686" t="s">
        <v>42</v>
      </c>
      <c r="G561" s="2686" t="s">
        <v>43</v>
      </c>
      <c r="H561" s="2688" t="s">
        <v>44</v>
      </c>
      <c r="I561" s="2158" t="s">
        <v>45</v>
      </c>
      <c r="J561" s="379" t="s">
        <v>46</v>
      </c>
      <c r="K561" s="2159" t="s">
        <v>47</v>
      </c>
      <c r="L561" s="2680"/>
      <c r="M561" s="2163" t="s">
        <v>30</v>
      </c>
      <c r="N561" s="2163" t="s">
        <v>30</v>
      </c>
      <c r="O561" s="382" t="s">
        <v>25</v>
      </c>
      <c r="P561" s="383" t="s">
        <v>30</v>
      </c>
      <c r="Q561" s="384" t="s">
        <v>48</v>
      </c>
      <c r="R561" s="383" t="s">
        <v>49</v>
      </c>
      <c r="S561" s="385" t="s">
        <v>30</v>
      </c>
      <c r="T561" s="386" t="s">
        <v>50</v>
      </c>
      <c r="U561" s="2161" t="s">
        <v>13</v>
      </c>
      <c r="V561" s="375" t="s">
        <v>51</v>
      </c>
      <c r="W561" s="376" t="s">
        <v>52</v>
      </c>
      <c r="X561" s="377" t="s">
        <v>53</v>
      </c>
      <c r="Y561" s="377" t="s">
        <v>54</v>
      </c>
      <c r="Z561" s="377" t="s">
        <v>55</v>
      </c>
      <c r="AA561" s="377" t="s">
        <v>56</v>
      </c>
      <c r="AB561" s="378" t="s">
        <v>57</v>
      </c>
    </row>
    <row r="562" spans="1:28" s="352" customFormat="1" ht="18" customHeight="1" x14ac:dyDescent="0.2">
      <c r="A562" s="2687"/>
      <c r="B562" s="2158" t="s">
        <v>61</v>
      </c>
      <c r="C562" s="2687"/>
      <c r="D562" s="2158" t="s">
        <v>62</v>
      </c>
      <c r="E562" s="368" t="s">
        <v>63</v>
      </c>
      <c r="F562" s="2687"/>
      <c r="G562" s="2687"/>
      <c r="H562" s="2689"/>
      <c r="I562" s="2158" t="s">
        <v>64</v>
      </c>
      <c r="J562" s="379" t="s">
        <v>59</v>
      </c>
      <c r="K562" s="2159" t="s">
        <v>59</v>
      </c>
      <c r="L562" s="2680"/>
      <c r="M562" s="2163"/>
      <c r="N562" s="2163"/>
      <c r="O562" s="382" t="s">
        <v>41</v>
      </c>
      <c r="P562" s="383" t="s">
        <v>65</v>
      </c>
      <c r="Q562" s="384" t="s">
        <v>66</v>
      </c>
      <c r="R562" s="383" t="s">
        <v>67</v>
      </c>
      <c r="S562" s="385" t="s">
        <v>59</v>
      </c>
      <c r="T562" s="387" t="s">
        <v>68</v>
      </c>
      <c r="U562" s="375" t="s">
        <v>14</v>
      </c>
      <c r="V562" s="375" t="s">
        <v>14</v>
      </c>
      <c r="W562" s="376" t="s">
        <v>30</v>
      </c>
      <c r="X562" s="388" t="s">
        <v>69</v>
      </c>
      <c r="Y562" s="388" t="s">
        <v>70</v>
      </c>
      <c r="Z562" s="377" t="s">
        <v>71</v>
      </c>
      <c r="AA562" s="377" t="s">
        <v>72</v>
      </c>
      <c r="AB562" s="378" t="s">
        <v>59</v>
      </c>
    </row>
    <row r="563" spans="1:28" s="352" customFormat="1" ht="18" customHeight="1" x14ac:dyDescent="0.2">
      <c r="A563" s="2692"/>
      <c r="B563" s="390"/>
      <c r="C563" s="2692"/>
      <c r="D563" s="390"/>
      <c r="E563" s="2160"/>
      <c r="F563" s="390"/>
      <c r="G563" s="390"/>
      <c r="H563" s="391"/>
      <c r="I563" s="2160"/>
      <c r="J563" s="392"/>
      <c r="K563" s="393"/>
      <c r="L563" s="2681"/>
      <c r="M563" s="2164"/>
      <c r="N563" s="2164"/>
      <c r="O563" s="2164" t="s">
        <v>63</v>
      </c>
      <c r="P563" s="395"/>
      <c r="Q563" s="396" t="s">
        <v>72</v>
      </c>
      <c r="R563" s="397" t="s">
        <v>59</v>
      </c>
      <c r="S563" s="398"/>
      <c r="T563" s="397" t="s">
        <v>73</v>
      </c>
      <c r="U563" s="398" t="s">
        <v>59</v>
      </c>
      <c r="V563" s="399" t="s">
        <v>59</v>
      </c>
      <c r="W563" s="400" t="s">
        <v>59</v>
      </c>
      <c r="X563" s="401" t="s">
        <v>59</v>
      </c>
      <c r="Y563" s="401" t="s">
        <v>59</v>
      </c>
      <c r="Z563" s="401" t="s">
        <v>59</v>
      </c>
      <c r="AA563" s="402"/>
      <c r="AB563" s="403"/>
    </row>
    <row r="564" spans="1:28" s="352" customFormat="1" ht="18" customHeight="1" x14ac:dyDescent="0.25">
      <c r="A564" s="16">
        <v>1</v>
      </c>
      <c r="B564" s="333">
        <v>40365</v>
      </c>
      <c r="C564" s="41">
        <v>1206</v>
      </c>
      <c r="D564" s="41" t="s">
        <v>84</v>
      </c>
      <c r="E564" s="41">
        <v>4</v>
      </c>
      <c r="F564" s="41">
        <v>0</v>
      </c>
      <c r="G564" s="41">
        <v>2</v>
      </c>
      <c r="H564" s="267">
        <v>43</v>
      </c>
      <c r="I564" s="302">
        <f>F564*400+G564*100+H564</f>
        <v>243</v>
      </c>
      <c r="J564" s="310">
        <v>1600</v>
      </c>
      <c r="K564" s="311">
        <f>SUM(I564*J564)</f>
        <v>388800</v>
      </c>
      <c r="L564" s="16"/>
      <c r="M564" s="53"/>
      <c r="N564" s="16"/>
      <c r="O564" s="16">
        <v>4</v>
      </c>
      <c r="P564" s="1074"/>
      <c r="Q564" s="14"/>
      <c r="R564" s="302"/>
      <c r="S564" s="302"/>
      <c r="T564" s="309"/>
      <c r="U564" s="302"/>
      <c r="V564" s="302"/>
      <c r="W564" s="302">
        <f t="shared" ref="W564:W565" si="62">K564+V564</f>
        <v>388800</v>
      </c>
      <c r="X564" s="302">
        <f t="shared" ref="X564:X565" si="63">W564</f>
        <v>388800</v>
      </c>
      <c r="Y564" s="790"/>
      <c r="Z564" s="310">
        <f t="shared" ref="Z564:Z565" si="64">X564-Y564</f>
        <v>388800</v>
      </c>
      <c r="AA564" s="405">
        <v>0.6</v>
      </c>
      <c r="AB564" s="465">
        <f>+Z564*AA564/100</f>
        <v>2332.8000000000002</v>
      </c>
    </row>
    <row r="565" spans="1:28" s="352" customFormat="1" ht="18" customHeight="1" x14ac:dyDescent="0.25">
      <c r="A565" s="45">
        <v>2</v>
      </c>
      <c r="B565" s="273">
        <v>40366</v>
      </c>
      <c r="C565" s="27">
        <v>1207</v>
      </c>
      <c r="D565" s="27"/>
      <c r="E565" s="27">
        <v>4</v>
      </c>
      <c r="F565" s="27">
        <v>0</v>
      </c>
      <c r="G565" s="27">
        <v>1</v>
      </c>
      <c r="H565" s="557">
        <v>44</v>
      </c>
      <c r="I565" s="299">
        <f>F565*400+G565*100+H565</f>
        <v>144</v>
      </c>
      <c r="J565" s="305">
        <v>280</v>
      </c>
      <c r="K565" s="312">
        <f>SUM(I565*J565)</f>
        <v>40320</v>
      </c>
      <c r="L565" s="45"/>
      <c r="M565" s="75"/>
      <c r="N565" s="45"/>
      <c r="O565" s="45">
        <v>4</v>
      </c>
      <c r="P565" s="1443"/>
      <c r="Q565" s="62"/>
      <c r="R565" s="299"/>
      <c r="S565" s="299"/>
      <c r="T565" s="298"/>
      <c r="U565" s="299"/>
      <c r="V565" s="299"/>
      <c r="W565" s="299">
        <f t="shared" si="62"/>
        <v>40320</v>
      </c>
      <c r="X565" s="299">
        <f t="shared" si="63"/>
        <v>40320</v>
      </c>
      <c r="Y565" s="669"/>
      <c r="Z565" s="305">
        <f t="shared" si="64"/>
        <v>40320</v>
      </c>
      <c r="AA565" s="670">
        <v>0.6</v>
      </c>
      <c r="AB565" s="410">
        <f>+Z565*AA565/100</f>
        <v>241.92</v>
      </c>
    </row>
    <row r="566" spans="1:28" s="352" customFormat="1" ht="18" customHeight="1" x14ac:dyDescent="0.2">
      <c r="A566" s="241"/>
      <c r="B566" s="241"/>
      <c r="C566" s="498"/>
      <c r="D566" s="102"/>
      <c r="E566" s="231"/>
      <c r="F566" s="231"/>
      <c r="G566" s="231"/>
      <c r="H566" s="1075"/>
      <c r="I566" s="74"/>
      <c r="J566" s="121"/>
      <c r="K566" s="159"/>
      <c r="L566" s="88"/>
      <c r="M566" s="88"/>
      <c r="N566" s="88"/>
      <c r="O566" s="88"/>
      <c r="P566" s="88"/>
      <c r="Q566" s="129"/>
      <c r="R566" s="446"/>
      <c r="S566" s="73"/>
      <c r="T566" s="89"/>
      <c r="U566" s="73"/>
      <c r="V566" s="73"/>
      <c r="W566" s="73"/>
      <c r="X566" s="73"/>
      <c r="Y566" s="73"/>
      <c r="Z566" s="73"/>
      <c r="AA566" s="414"/>
      <c r="AB566" s="660"/>
    </row>
    <row r="567" spans="1:28" s="352" customFormat="1" ht="18" customHeight="1" x14ac:dyDescent="0.2">
      <c r="A567" s="242"/>
      <c r="B567" s="242"/>
      <c r="C567" s="496"/>
      <c r="D567" s="85"/>
      <c r="E567" s="85"/>
      <c r="F567" s="411"/>
      <c r="G567" s="242"/>
      <c r="H567" s="497"/>
      <c r="I567" s="77"/>
      <c r="J567" s="1004"/>
      <c r="K567" s="104"/>
      <c r="L567" s="242"/>
      <c r="M567" s="242"/>
      <c r="N567" s="88"/>
      <c r="O567" s="88"/>
      <c r="P567" s="88"/>
      <c r="Q567" s="129"/>
      <c r="R567" s="446"/>
      <c r="S567" s="73"/>
      <c r="T567" s="89"/>
      <c r="U567" s="73"/>
      <c r="V567" s="73"/>
      <c r="W567" s="73"/>
      <c r="X567" s="73"/>
      <c r="Y567" s="73"/>
      <c r="Z567" s="73"/>
      <c r="AA567" s="414"/>
      <c r="AB567" s="660"/>
    </row>
    <row r="568" spans="1:28" s="352" customFormat="1" ht="18" customHeight="1" x14ac:dyDescent="0.2">
      <c r="A568" s="2166"/>
      <c r="B568" s="2166"/>
      <c r="C568" s="2166"/>
      <c r="D568" s="2166"/>
      <c r="E568" s="231"/>
      <c r="F568" s="231"/>
      <c r="G568" s="231"/>
      <c r="H568" s="152"/>
      <c r="I568" s="232"/>
      <c r="J568" s="232"/>
      <c r="K568" s="232"/>
      <c r="L568" s="231"/>
      <c r="M568" s="233"/>
      <c r="N568" s="231"/>
      <c r="O568" s="231"/>
      <c r="P568" s="654"/>
      <c r="Q568" s="234"/>
      <c r="R568" s="655"/>
      <c r="S568" s="232"/>
      <c r="T568" s="65"/>
      <c r="U568" s="232"/>
      <c r="V568" s="232"/>
      <c r="W568" s="232"/>
      <c r="X568" s="656"/>
      <c r="Y568" s="235"/>
      <c r="Z568" s="657"/>
      <c r="AA568" s="236"/>
      <c r="AB568" s="658"/>
    </row>
    <row r="569" spans="1:28" s="352" customFormat="1" ht="18" customHeight="1" x14ac:dyDescent="0.2">
      <c r="A569" s="2166"/>
      <c r="B569" s="2166"/>
      <c r="C569" s="2166"/>
      <c r="D569" s="88"/>
      <c r="E569" s="239"/>
      <c r="F569" s="88"/>
      <c r="G569" s="88"/>
      <c r="H569" s="120"/>
      <c r="I569" s="181"/>
      <c r="J569" s="181"/>
      <c r="K569" s="181"/>
      <c r="L569" s="88"/>
      <c r="M569" s="237"/>
      <c r="N569" s="88"/>
      <c r="O569" s="88"/>
      <c r="P569" s="188"/>
      <c r="Q569" s="129"/>
      <c r="R569" s="445"/>
      <c r="S569" s="181"/>
      <c r="T569" s="75"/>
      <c r="U569" s="181"/>
      <c r="V569" s="181"/>
      <c r="W569" s="181"/>
      <c r="X569" s="472"/>
      <c r="Y569" s="192"/>
      <c r="Z569" s="659"/>
      <c r="AA569" s="193"/>
      <c r="AB569" s="660"/>
    </row>
    <row r="570" spans="1:28" s="352" customFormat="1" ht="18" customHeight="1" x14ac:dyDescent="0.2">
      <c r="A570" s="2166"/>
      <c r="B570" s="2166"/>
      <c r="C570" s="2166"/>
      <c r="D570" s="2166"/>
      <c r="E570" s="88"/>
      <c r="F570" s="88"/>
      <c r="G570" s="88"/>
      <c r="H570" s="120"/>
      <c r="I570" s="181"/>
      <c r="J570" s="181"/>
      <c r="K570" s="181"/>
      <c r="L570" s="88"/>
      <c r="M570" s="237"/>
      <c r="N570" s="88"/>
      <c r="O570" s="88"/>
      <c r="P570" s="88"/>
      <c r="Q570" s="129"/>
      <c r="R570" s="445"/>
      <c r="S570" s="181"/>
      <c r="T570" s="88"/>
      <c r="U570" s="181"/>
      <c r="V570" s="181"/>
      <c r="W570" s="181"/>
      <c r="X570" s="472"/>
      <c r="Y570" s="192"/>
      <c r="Z570" s="659"/>
      <c r="AA570" s="193"/>
      <c r="AB570" s="660"/>
    </row>
    <row r="571" spans="1:28" s="352" customFormat="1" ht="18" customHeight="1" x14ac:dyDescent="0.2">
      <c r="A571" s="2166"/>
      <c r="B571" s="177"/>
      <c r="C571" s="177"/>
      <c r="D571" s="2166"/>
      <c r="E571" s="2166"/>
      <c r="F571" s="2166"/>
      <c r="G571" s="2166"/>
      <c r="H571" s="2171"/>
      <c r="I571" s="2168"/>
      <c r="J571" s="178"/>
      <c r="K571" s="2168"/>
      <c r="L571" s="2166"/>
      <c r="M571" s="2166"/>
      <c r="N571" s="2166"/>
      <c r="O571" s="2166"/>
      <c r="P571" s="2171"/>
      <c r="Q571" s="2167"/>
      <c r="R571" s="437"/>
      <c r="S571" s="2168"/>
      <c r="T571" s="179"/>
      <c r="U571" s="178"/>
      <c r="V571" s="2168"/>
      <c r="W571" s="2168"/>
      <c r="X571" s="470"/>
      <c r="Y571" s="470"/>
      <c r="Z571" s="471"/>
      <c r="AA571" s="471"/>
      <c r="AB571" s="466"/>
    </row>
    <row r="572" spans="1:28" s="352" customFormat="1" ht="18" customHeight="1" x14ac:dyDescent="0.2">
      <c r="A572" s="2166"/>
      <c r="B572" s="177"/>
      <c r="C572" s="177"/>
      <c r="D572" s="2166"/>
      <c r="E572" s="2166"/>
      <c r="F572" s="2166"/>
      <c r="G572" s="2166"/>
      <c r="H572" s="2171"/>
      <c r="I572" s="2168"/>
      <c r="J572" s="178"/>
      <c r="K572" s="2168"/>
      <c r="L572" s="2166"/>
      <c r="M572" s="2166"/>
      <c r="N572" s="2166"/>
      <c r="O572" s="2166"/>
      <c r="P572" s="2171"/>
      <c r="Q572" s="2167"/>
      <c r="R572" s="437"/>
      <c r="S572" s="2168"/>
      <c r="T572" s="179"/>
      <c r="U572" s="178"/>
      <c r="V572" s="2168"/>
      <c r="W572" s="2168"/>
      <c r="X572" s="470"/>
      <c r="Y572" s="470"/>
      <c r="Z572" s="471"/>
      <c r="AA572" s="471"/>
      <c r="AB572" s="466"/>
    </row>
    <row r="573" spans="1:28" s="352" customFormat="1" ht="18" customHeight="1" x14ac:dyDescent="0.2">
      <c r="A573" s="2166"/>
      <c r="B573" s="177"/>
      <c r="C573" s="177"/>
      <c r="D573" s="2166"/>
      <c r="E573" s="2166"/>
      <c r="F573" s="2166"/>
      <c r="G573" s="2166"/>
      <c r="H573" s="2171"/>
      <c r="I573" s="2168"/>
      <c r="J573" s="178"/>
      <c r="K573" s="2168"/>
      <c r="L573" s="2166"/>
      <c r="M573" s="2166"/>
      <c r="N573" s="2166"/>
      <c r="O573" s="2166"/>
      <c r="P573" s="2171"/>
      <c r="Q573" s="2167"/>
      <c r="R573" s="437"/>
      <c r="S573" s="2168"/>
      <c r="T573" s="179"/>
      <c r="U573" s="178"/>
      <c r="V573" s="2168"/>
      <c r="W573" s="2168"/>
      <c r="X573" s="470"/>
      <c r="Y573" s="470"/>
      <c r="Z573" s="471"/>
      <c r="AA573" s="471"/>
      <c r="AB573" s="466"/>
    </row>
    <row r="574" spans="1:28" s="352" customFormat="1" ht="18" customHeight="1" x14ac:dyDescent="0.2">
      <c r="A574" s="2166"/>
      <c r="B574" s="177"/>
      <c r="C574" s="177"/>
      <c r="D574" s="2166"/>
      <c r="E574" s="2166"/>
      <c r="F574" s="2166"/>
      <c r="G574" s="2166"/>
      <c r="H574" s="2171"/>
      <c r="I574" s="2168"/>
      <c r="J574" s="178"/>
      <c r="K574" s="2168"/>
      <c r="L574" s="2166"/>
      <c r="M574" s="2166"/>
      <c r="N574" s="2166"/>
      <c r="O574" s="2166"/>
      <c r="P574" s="2171"/>
      <c r="Q574" s="2167"/>
      <c r="R574" s="437"/>
      <c r="S574" s="2168"/>
      <c r="T574" s="179"/>
      <c r="U574" s="178"/>
      <c r="V574" s="2168"/>
      <c r="W574" s="2168"/>
      <c r="X574" s="470"/>
      <c r="Y574" s="470"/>
      <c r="Z574" s="471"/>
      <c r="AA574" s="471"/>
      <c r="AB574" s="466"/>
    </row>
    <row r="575" spans="1:28" s="352" customFormat="1" ht="18" customHeight="1" x14ac:dyDescent="0.2">
      <c r="A575" s="2166"/>
      <c r="B575" s="177"/>
      <c r="C575" s="177"/>
      <c r="D575" s="2166"/>
      <c r="E575" s="2166"/>
      <c r="F575" s="2166"/>
      <c r="G575" s="2166"/>
      <c r="H575" s="2171"/>
      <c r="I575" s="2168"/>
      <c r="J575" s="178"/>
      <c r="K575" s="2168"/>
      <c r="L575" s="2166"/>
      <c r="M575" s="2166"/>
      <c r="N575" s="2166"/>
      <c r="O575" s="2166"/>
      <c r="P575" s="2171"/>
      <c r="Q575" s="2167"/>
      <c r="R575" s="437"/>
      <c r="S575" s="2168"/>
      <c r="T575" s="179"/>
      <c r="U575" s="178"/>
      <c r="V575" s="2168"/>
      <c r="W575" s="2168"/>
      <c r="X575" s="470"/>
      <c r="Y575" s="470"/>
      <c r="Z575" s="471"/>
      <c r="AA575" s="471"/>
      <c r="AB575" s="466"/>
    </row>
    <row r="576" spans="1:28" s="352" customFormat="1" ht="18" customHeight="1" x14ac:dyDescent="0.2">
      <c r="A576" s="2166"/>
      <c r="B576" s="177"/>
      <c r="C576" s="177"/>
      <c r="D576" s="2166"/>
      <c r="E576" s="2166"/>
      <c r="F576" s="2166"/>
      <c r="G576" s="2166"/>
      <c r="H576" s="2171"/>
      <c r="I576" s="2168"/>
      <c r="J576" s="178"/>
      <c r="K576" s="2168"/>
      <c r="L576" s="2166"/>
      <c r="M576" s="2166"/>
      <c r="N576" s="2166"/>
      <c r="O576" s="2166"/>
      <c r="P576" s="2171"/>
      <c r="Q576" s="2167"/>
      <c r="R576" s="437"/>
      <c r="S576" s="2168"/>
      <c r="T576" s="179"/>
      <c r="U576" s="178"/>
      <c r="V576" s="2168"/>
      <c r="W576" s="2168"/>
      <c r="X576" s="470"/>
      <c r="Y576" s="470"/>
      <c r="Z576" s="471"/>
      <c r="AA576" s="471"/>
      <c r="AB576" s="466"/>
    </row>
    <row r="577" spans="1:28" s="352" customFormat="1" ht="18" customHeight="1" x14ac:dyDescent="0.2">
      <c r="A577" s="88"/>
      <c r="B577" s="180"/>
      <c r="C577" s="180"/>
      <c r="D577" s="88"/>
      <c r="E577" s="88"/>
      <c r="F577" s="88"/>
      <c r="G577" s="88"/>
      <c r="H577" s="120"/>
      <c r="I577" s="121"/>
      <c r="J577" s="181"/>
      <c r="K577" s="121"/>
      <c r="L577" s="88"/>
      <c r="M577" s="88"/>
      <c r="N577" s="88"/>
      <c r="O577" s="88"/>
      <c r="P577" s="88"/>
      <c r="Q577" s="129"/>
      <c r="R577" s="445"/>
      <c r="S577" s="121"/>
      <c r="T577" s="182"/>
      <c r="U577" s="181"/>
      <c r="V577" s="121"/>
      <c r="W577" s="121"/>
      <c r="X577" s="472"/>
      <c r="Y577" s="472"/>
      <c r="Z577" s="473"/>
      <c r="AA577" s="473"/>
      <c r="AB577" s="410"/>
    </row>
    <row r="578" spans="1:28" s="352" customFormat="1" ht="18" customHeight="1" x14ac:dyDescent="0.2">
      <c r="A578" s="1850"/>
      <c r="B578" s="1850"/>
      <c r="C578" s="1850"/>
      <c r="D578" s="1850"/>
      <c r="E578" s="1850"/>
      <c r="F578" s="1850"/>
      <c r="G578" s="1850"/>
      <c r="H578" s="1851"/>
      <c r="I578" s="1852"/>
      <c r="J578" s="1853"/>
      <c r="K578" s="1852"/>
      <c r="L578" s="1852"/>
      <c r="M578" s="1852"/>
      <c r="N578" s="1852"/>
      <c r="O578" s="1852"/>
      <c r="P578" s="1852"/>
      <c r="Q578" s="1852"/>
      <c r="R578" s="1854"/>
      <c r="S578" s="1852"/>
      <c r="T578" s="1855"/>
      <c r="U578" s="1853"/>
      <c r="V578" s="1852"/>
      <c r="W578" s="1852"/>
      <c r="X578" s="1856"/>
      <c r="Y578" s="1856"/>
      <c r="Z578" s="1857"/>
      <c r="AA578" s="1857"/>
      <c r="AB578" s="1847">
        <f>SUM(AB564:AB577)</f>
        <v>2574.7200000000003</v>
      </c>
    </row>
    <row r="579" spans="1:28" s="352" customFormat="1" ht="18" customHeight="1" x14ac:dyDescent="0.2">
      <c r="A579" s="2778" t="s">
        <v>76</v>
      </c>
      <c r="B579" s="2778"/>
      <c r="C579" s="2779" t="s">
        <v>77</v>
      </c>
      <c r="D579" s="2779"/>
      <c r="E579" s="2779"/>
      <c r="F579" s="2779"/>
      <c r="G579" s="2779"/>
      <c r="H579" s="2779"/>
      <c r="I579" s="424" t="s">
        <v>78</v>
      </c>
      <c r="J579" s="424"/>
      <c r="K579" s="424"/>
      <c r="L579" s="424"/>
      <c r="M579" s="424"/>
      <c r="N579" s="424"/>
      <c r="AB579" s="425"/>
    </row>
    <row r="580" spans="1:28" s="352" customFormat="1" ht="18" customHeight="1" x14ac:dyDescent="0.2">
      <c r="A580" s="424"/>
      <c r="B580" s="426"/>
      <c r="C580" s="424"/>
      <c r="D580" s="424"/>
      <c r="E580" s="424"/>
      <c r="F580" s="424"/>
      <c r="G580" s="424"/>
      <c r="H580" s="424"/>
      <c r="I580" s="424" t="s">
        <v>79</v>
      </c>
      <c r="J580" s="424"/>
      <c r="K580" s="424"/>
      <c r="L580" s="424"/>
      <c r="M580" s="424"/>
      <c r="N580" s="424"/>
      <c r="AB580" s="425"/>
    </row>
    <row r="581" spans="1:28" s="352" customFormat="1" ht="18" customHeight="1" x14ac:dyDescent="0.2">
      <c r="A581" s="424"/>
      <c r="B581" s="426"/>
      <c r="C581" s="424"/>
      <c r="D581" s="424"/>
      <c r="E581" s="424"/>
      <c r="F581" s="424"/>
      <c r="G581" s="424"/>
      <c r="H581" s="424"/>
      <c r="I581" s="424" t="s">
        <v>80</v>
      </c>
      <c r="J581" s="424"/>
      <c r="K581" s="424"/>
      <c r="L581" s="424"/>
      <c r="M581" s="424"/>
      <c r="N581" s="424"/>
      <c r="AB581" s="425"/>
    </row>
    <row r="582" spans="1:28" s="352" customFormat="1" ht="18" customHeight="1" x14ac:dyDescent="0.2">
      <c r="A582" s="424"/>
      <c r="B582" s="426"/>
      <c r="C582" s="424"/>
      <c r="D582" s="424"/>
      <c r="E582" s="424"/>
      <c r="F582" s="424"/>
      <c r="G582" s="424"/>
      <c r="H582" s="424"/>
      <c r="I582" s="424" t="s">
        <v>81</v>
      </c>
      <c r="J582" s="424"/>
      <c r="K582" s="424"/>
      <c r="L582" s="424"/>
      <c r="M582" s="424"/>
      <c r="N582" s="424"/>
      <c r="AB582" s="425"/>
    </row>
    <row r="583" spans="1:28" s="352" customFormat="1" ht="18" customHeight="1" x14ac:dyDescent="0.2">
      <c r="A583" s="424"/>
      <c r="B583" s="426"/>
      <c r="C583" s="424"/>
      <c r="D583" s="424"/>
      <c r="E583" s="424"/>
      <c r="F583" s="424"/>
      <c r="G583" s="424"/>
      <c r="H583" s="424"/>
      <c r="I583" s="424" t="s">
        <v>88</v>
      </c>
      <c r="J583" s="424"/>
      <c r="K583" s="424"/>
      <c r="L583" s="424"/>
      <c r="M583" s="424"/>
      <c r="N583" s="424"/>
      <c r="AB583" s="425"/>
    </row>
    <row r="584" spans="1:28" s="352" customFormat="1" ht="18" customHeight="1" x14ac:dyDescent="0.2">
      <c r="A584" s="338"/>
      <c r="B584" s="338"/>
      <c r="C584" s="338"/>
      <c r="D584" s="338"/>
      <c r="E584" s="338"/>
      <c r="F584" s="338"/>
      <c r="G584" s="338"/>
      <c r="H584" s="338"/>
      <c r="I584" s="338"/>
      <c r="J584" s="338"/>
      <c r="K584" s="338"/>
      <c r="L584" s="338"/>
      <c r="M584" s="338"/>
      <c r="N584" s="338"/>
      <c r="O584" s="338"/>
      <c r="P584" s="338"/>
      <c r="Q584" s="338"/>
      <c r="R584" s="338"/>
      <c r="S584" s="338"/>
      <c r="T584" s="338"/>
      <c r="U584" s="338"/>
      <c r="V584" s="338"/>
      <c r="W584" s="338"/>
      <c r="X584" s="338"/>
      <c r="Y584" s="338"/>
      <c r="Z584" s="338"/>
      <c r="AA584" s="2774" t="s">
        <v>0</v>
      </c>
      <c r="AB584" s="2774"/>
    </row>
    <row r="585" spans="1:28" s="352" customFormat="1" ht="18" customHeight="1" x14ac:dyDescent="0.2">
      <c r="A585" s="2703" t="s">
        <v>1</v>
      </c>
      <c r="B585" s="2703"/>
      <c r="C585" s="2703"/>
      <c r="D585" s="2703"/>
      <c r="E585" s="2703"/>
      <c r="F585" s="2703"/>
      <c r="G585" s="2703"/>
      <c r="H585" s="2703"/>
      <c r="I585" s="2703"/>
      <c r="J585" s="2703"/>
      <c r="K585" s="2703"/>
      <c r="L585" s="2703"/>
      <c r="M585" s="2703"/>
      <c r="N585" s="2703"/>
      <c r="O585" s="2703"/>
      <c r="P585" s="2703"/>
      <c r="Q585" s="2703"/>
      <c r="R585" s="2703"/>
      <c r="S585" s="2703"/>
      <c r="T585" s="2703"/>
      <c r="U585" s="2703"/>
      <c r="V585" s="2703"/>
      <c r="W585" s="2703"/>
      <c r="X585" s="2703"/>
      <c r="Y585" s="2703"/>
      <c r="Z585" s="2703"/>
      <c r="AA585" s="2703"/>
      <c r="AB585" s="2703"/>
    </row>
    <row r="586" spans="1:28" s="352" customFormat="1" ht="18" customHeight="1" x14ac:dyDescent="0.2">
      <c r="A586" s="2780" t="s">
        <v>619</v>
      </c>
      <c r="B586" s="2780"/>
      <c r="C586" s="2780"/>
      <c r="D586" s="2780"/>
      <c r="E586" s="2780"/>
      <c r="F586" s="2780"/>
      <c r="G586" s="2780"/>
      <c r="H586" s="2780"/>
      <c r="I586" s="2780"/>
      <c r="J586" s="2780"/>
      <c r="K586" s="2780"/>
      <c r="L586" s="2780"/>
      <c r="M586" s="2780"/>
      <c r="N586" s="2780"/>
      <c r="O586" s="2780"/>
      <c r="P586" s="2780"/>
      <c r="Q586" s="2780"/>
      <c r="R586" s="2780"/>
      <c r="S586" s="2780"/>
      <c r="T586" s="2780"/>
      <c r="U586" s="2780"/>
      <c r="V586" s="2780"/>
      <c r="W586" s="2780"/>
      <c r="X586" s="2780"/>
      <c r="Y586" s="2780"/>
      <c r="Z586" s="2780"/>
      <c r="AA586" s="2780"/>
      <c r="AB586" s="2780"/>
    </row>
    <row r="587" spans="1:28" s="352" customFormat="1" ht="18" customHeight="1" x14ac:dyDescent="0.2">
      <c r="A587" s="2686" t="s">
        <v>2</v>
      </c>
      <c r="B587" s="360"/>
      <c r="C587" s="2686" t="s">
        <v>3</v>
      </c>
      <c r="D587" s="360"/>
      <c r="E587" s="360"/>
      <c r="F587" s="2693" t="s">
        <v>4</v>
      </c>
      <c r="G587" s="2693"/>
      <c r="H587" s="2693"/>
      <c r="I587" s="2694"/>
      <c r="J587" s="2694"/>
      <c r="K587" s="2695"/>
      <c r="L587" s="361"/>
      <c r="M587" s="2679" t="s">
        <v>5</v>
      </c>
      <c r="N587" s="2679"/>
      <c r="O587" s="2679"/>
      <c r="P587" s="2679"/>
      <c r="Q587" s="2696"/>
      <c r="R587" s="2696"/>
      <c r="S587" s="2696"/>
      <c r="T587" s="2696"/>
      <c r="U587" s="2696"/>
      <c r="V587" s="2697"/>
      <c r="W587" s="362" t="s">
        <v>6</v>
      </c>
      <c r="X587" s="363" t="s">
        <v>7</v>
      </c>
      <c r="Y587" s="364"/>
      <c r="Z587" s="364"/>
      <c r="AA587" s="363"/>
      <c r="AB587" s="365"/>
    </row>
    <row r="588" spans="1:28" s="352" customFormat="1" ht="18" customHeight="1" x14ac:dyDescent="0.2">
      <c r="A588" s="2687"/>
      <c r="B588" s="367"/>
      <c r="C588" s="2687"/>
      <c r="D588" s="2158" t="s">
        <v>9</v>
      </c>
      <c r="E588" s="368" t="s">
        <v>10</v>
      </c>
      <c r="F588" s="2698" t="s">
        <v>11</v>
      </c>
      <c r="G588" s="2694"/>
      <c r="H588" s="2695"/>
      <c r="I588" s="360"/>
      <c r="J588" s="369" t="s">
        <v>12</v>
      </c>
      <c r="K588" s="360"/>
      <c r="L588" s="2679" t="s">
        <v>2</v>
      </c>
      <c r="M588" s="2162"/>
      <c r="N588" s="2162"/>
      <c r="O588" s="2162"/>
      <c r="P588" s="371"/>
      <c r="Q588" s="372" t="s">
        <v>13</v>
      </c>
      <c r="R588" s="373" t="s">
        <v>12</v>
      </c>
      <c r="S588" s="2162" t="s">
        <v>6</v>
      </c>
      <c r="T588" s="2682" t="s">
        <v>14</v>
      </c>
      <c r="U588" s="2683"/>
      <c r="V588" s="375" t="s">
        <v>7</v>
      </c>
      <c r="W588" s="376" t="s">
        <v>15</v>
      </c>
      <c r="X588" s="377" t="s">
        <v>16</v>
      </c>
      <c r="Y588" s="377" t="s">
        <v>17</v>
      </c>
      <c r="Z588" s="377" t="s">
        <v>18</v>
      </c>
      <c r="AA588" s="377"/>
      <c r="AB588" s="378" t="s">
        <v>19</v>
      </c>
    </row>
    <row r="589" spans="1:28" s="352" customFormat="1" ht="18" customHeight="1" x14ac:dyDescent="0.2">
      <c r="A589" s="2687"/>
      <c r="B589" s="2158" t="s">
        <v>23</v>
      </c>
      <c r="C589" s="2687"/>
      <c r="D589" s="2158" t="s">
        <v>24</v>
      </c>
      <c r="E589" s="368" t="s">
        <v>25</v>
      </c>
      <c r="F589" s="2699"/>
      <c r="G589" s="2700"/>
      <c r="H589" s="2701"/>
      <c r="I589" s="2158" t="s">
        <v>26</v>
      </c>
      <c r="J589" s="379" t="s">
        <v>15</v>
      </c>
      <c r="K589" s="2159" t="s">
        <v>6</v>
      </c>
      <c r="L589" s="2680"/>
      <c r="M589" s="2163" t="s">
        <v>27</v>
      </c>
      <c r="N589" s="2163" t="s">
        <v>10</v>
      </c>
      <c r="O589" s="382" t="s">
        <v>10</v>
      </c>
      <c r="P589" s="383" t="s">
        <v>28</v>
      </c>
      <c r="Q589" s="384" t="s">
        <v>29</v>
      </c>
      <c r="R589" s="383" t="s">
        <v>15</v>
      </c>
      <c r="S589" s="385" t="s">
        <v>15</v>
      </c>
      <c r="T589" s="2684"/>
      <c r="U589" s="2685"/>
      <c r="V589" s="375" t="s">
        <v>30</v>
      </c>
      <c r="W589" s="376" t="s">
        <v>31</v>
      </c>
      <c r="X589" s="377" t="s">
        <v>30</v>
      </c>
      <c r="Y589" s="377" t="s">
        <v>32</v>
      </c>
      <c r="Z589" s="377" t="s">
        <v>7</v>
      </c>
      <c r="AA589" s="377" t="s">
        <v>33</v>
      </c>
      <c r="AB589" s="378" t="s">
        <v>34</v>
      </c>
    </row>
    <row r="590" spans="1:28" s="352" customFormat="1" ht="18" customHeight="1" x14ac:dyDescent="0.2">
      <c r="A590" s="2687"/>
      <c r="B590" s="2158" t="s">
        <v>39</v>
      </c>
      <c r="C590" s="2687"/>
      <c r="D590" s="2158" t="s">
        <v>40</v>
      </c>
      <c r="E590" s="368" t="s">
        <v>41</v>
      </c>
      <c r="F590" s="2686" t="s">
        <v>42</v>
      </c>
      <c r="G590" s="2686" t="s">
        <v>43</v>
      </c>
      <c r="H590" s="2688" t="s">
        <v>44</v>
      </c>
      <c r="I590" s="2158" t="s">
        <v>45</v>
      </c>
      <c r="J590" s="379" t="s">
        <v>46</v>
      </c>
      <c r="K590" s="2159" t="s">
        <v>47</v>
      </c>
      <c r="L590" s="2680"/>
      <c r="M590" s="2163" t="s">
        <v>30</v>
      </c>
      <c r="N590" s="2163" t="s">
        <v>30</v>
      </c>
      <c r="O590" s="382" t="s">
        <v>25</v>
      </c>
      <c r="P590" s="383" t="s">
        <v>30</v>
      </c>
      <c r="Q590" s="384" t="s">
        <v>48</v>
      </c>
      <c r="R590" s="383" t="s">
        <v>49</v>
      </c>
      <c r="S590" s="385" t="s">
        <v>30</v>
      </c>
      <c r="T590" s="386" t="s">
        <v>50</v>
      </c>
      <c r="U590" s="2161" t="s">
        <v>13</v>
      </c>
      <c r="V590" s="375" t="s">
        <v>51</v>
      </c>
      <c r="W590" s="376" t="s">
        <v>52</v>
      </c>
      <c r="X590" s="377" t="s">
        <v>53</v>
      </c>
      <c r="Y590" s="377" t="s">
        <v>54</v>
      </c>
      <c r="Z590" s="377" t="s">
        <v>55</v>
      </c>
      <c r="AA590" s="377" t="s">
        <v>56</v>
      </c>
      <c r="AB590" s="378" t="s">
        <v>57</v>
      </c>
    </row>
    <row r="591" spans="1:28" s="352" customFormat="1" ht="18" customHeight="1" x14ac:dyDescent="0.2">
      <c r="A591" s="2687"/>
      <c r="B591" s="2158" t="s">
        <v>61</v>
      </c>
      <c r="C591" s="2687"/>
      <c r="D591" s="2158" t="s">
        <v>62</v>
      </c>
      <c r="E591" s="368" t="s">
        <v>63</v>
      </c>
      <c r="F591" s="2687"/>
      <c r="G591" s="2687"/>
      <c r="H591" s="2689"/>
      <c r="I591" s="2158" t="s">
        <v>64</v>
      </c>
      <c r="J591" s="379" t="s">
        <v>59</v>
      </c>
      <c r="K591" s="2159" t="s">
        <v>59</v>
      </c>
      <c r="L591" s="2680"/>
      <c r="M591" s="2163"/>
      <c r="N591" s="2163"/>
      <c r="O591" s="382" t="s">
        <v>41</v>
      </c>
      <c r="P591" s="383" t="s">
        <v>65</v>
      </c>
      <c r="Q591" s="384" t="s">
        <v>66</v>
      </c>
      <c r="R591" s="383" t="s">
        <v>67</v>
      </c>
      <c r="S591" s="385" t="s">
        <v>59</v>
      </c>
      <c r="T591" s="387" t="s">
        <v>68</v>
      </c>
      <c r="U591" s="375" t="s">
        <v>14</v>
      </c>
      <c r="V591" s="375" t="s">
        <v>14</v>
      </c>
      <c r="W591" s="376" t="s">
        <v>30</v>
      </c>
      <c r="X591" s="388" t="s">
        <v>69</v>
      </c>
      <c r="Y591" s="388" t="s">
        <v>70</v>
      </c>
      <c r="Z591" s="377" t="s">
        <v>71</v>
      </c>
      <c r="AA591" s="377" t="s">
        <v>72</v>
      </c>
      <c r="AB591" s="378" t="s">
        <v>59</v>
      </c>
    </row>
    <row r="592" spans="1:28" s="352" customFormat="1" ht="18" customHeight="1" x14ac:dyDescent="0.2">
      <c r="A592" s="2692"/>
      <c r="B592" s="390"/>
      <c r="C592" s="2692"/>
      <c r="D592" s="390"/>
      <c r="E592" s="2160"/>
      <c r="F592" s="390"/>
      <c r="G592" s="390"/>
      <c r="H592" s="391"/>
      <c r="I592" s="2160"/>
      <c r="J592" s="392"/>
      <c r="K592" s="393"/>
      <c r="L592" s="2681"/>
      <c r="M592" s="2164"/>
      <c r="N592" s="2164"/>
      <c r="O592" s="2164" t="s">
        <v>63</v>
      </c>
      <c r="P592" s="395"/>
      <c r="Q592" s="396" t="s">
        <v>72</v>
      </c>
      <c r="R592" s="397" t="s">
        <v>59</v>
      </c>
      <c r="S592" s="398"/>
      <c r="T592" s="397" t="s">
        <v>73</v>
      </c>
      <c r="U592" s="398" t="s">
        <v>59</v>
      </c>
      <c r="V592" s="399" t="s">
        <v>59</v>
      </c>
      <c r="W592" s="400" t="s">
        <v>59</v>
      </c>
      <c r="X592" s="401" t="s">
        <v>59</v>
      </c>
      <c r="Y592" s="401" t="s">
        <v>59</v>
      </c>
      <c r="Z592" s="401" t="s">
        <v>59</v>
      </c>
      <c r="AA592" s="402"/>
      <c r="AB592" s="403"/>
    </row>
    <row r="593" spans="1:28" s="352" customFormat="1" ht="18" customHeight="1" x14ac:dyDescent="0.25">
      <c r="A593" s="53">
        <v>1</v>
      </c>
      <c r="B593" s="333">
        <v>27781</v>
      </c>
      <c r="C593" s="41">
        <v>32</v>
      </c>
      <c r="D593" s="41" t="s">
        <v>84</v>
      </c>
      <c r="E593" s="41">
        <v>4</v>
      </c>
      <c r="F593" s="41">
        <v>0</v>
      </c>
      <c r="G593" s="41">
        <v>1</v>
      </c>
      <c r="H593" s="267">
        <v>16</v>
      </c>
      <c r="I593" s="302">
        <f>F593*400+G593*100+H593</f>
        <v>116</v>
      </c>
      <c r="J593" s="310">
        <v>3000</v>
      </c>
      <c r="K593" s="303">
        <f>SUM(I593*J593)</f>
        <v>348000</v>
      </c>
      <c r="L593" s="16"/>
      <c r="M593" s="53"/>
      <c r="N593" s="16"/>
      <c r="O593" s="16">
        <v>4</v>
      </c>
      <c r="P593" s="1074"/>
      <c r="Q593" s="14"/>
      <c r="R593" s="302"/>
      <c r="S593" s="302"/>
      <c r="T593" s="309"/>
      <c r="U593" s="302"/>
      <c r="V593" s="302"/>
      <c r="W593" s="302">
        <f t="shared" ref="W593" si="65">K593+V593</f>
        <v>348000</v>
      </c>
      <c r="X593" s="302">
        <f t="shared" ref="X593" si="66">W593</f>
        <v>348000</v>
      </c>
      <c r="Y593" s="790"/>
      <c r="Z593" s="302">
        <f t="shared" ref="Z593" si="67">X593-Y593</f>
        <v>348000</v>
      </c>
      <c r="AA593" s="405">
        <v>0.6</v>
      </c>
      <c r="AB593" s="465">
        <f>+Z593*AA593/100</f>
        <v>2088</v>
      </c>
    </row>
    <row r="594" spans="1:28" s="352" customFormat="1" ht="18" customHeight="1" x14ac:dyDescent="0.2">
      <c r="A594" s="61"/>
      <c r="B594" s="2166"/>
      <c r="C594" s="2166"/>
      <c r="D594" s="2166"/>
      <c r="E594" s="2166"/>
      <c r="F594" s="2166"/>
      <c r="G594" s="2166"/>
      <c r="H594" s="407"/>
      <c r="I594" s="77"/>
      <c r="J594" s="2168"/>
      <c r="K594" s="78"/>
      <c r="L594" s="61"/>
      <c r="M594" s="61"/>
      <c r="N594" s="61"/>
      <c r="O594" s="61"/>
      <c r="P594" s="173"/>
      <c r="Q594" s="196"/>
      <c r="R594" s="408"/>
      <c r="S594" s="77"/>
      <c r="T594" s="803"/>
      <c r="U594" s="77"/>
      <c r="V594" s="77"/>
      <c r="W594" s="77"/>
      <c r="X594" s="77"/>
      <c r="Y594" s="676"/>
      <c r="Z594" s="77"/>
      <c r="AA594" s="2170"/>
      <c r="AB594" s="466"/>
    </row>
    <row r="595" spans="1:28" s="352" customFormat="1" ht="18" customHeight="1" x14ac:dyDescent="0.2">
      <c r="A595" s="75"/>
      <c r="B595" s="88"/>
      <c r="C595" s="88"/>
      <c r="D595" s="88"/>
      <c r="E595" s="88"/>
      <c r="F595" s="88"/>
      <c r="G595" s="88"/>
      <c r="H595" s="495"/>
      <c r="I595" s="74"/>
      <c r="J595" s="121"/>
      <c r="K595" s="159"/>
      <c r="L595" s="75"/>
      <c r="M595" s="75"/>
      <c r="N595" s="75"/>
      <c r="O595" s="75"/>
      <c r="P595" s="188"/>
      <c r="Q595" s="174"/>
      <c r="R595" s="413"/>
      <c r="S595" s="74"/>
      <c r="T595" s="135"/>
      <c r="U595" s="74"/>
      <c r="V595" s="74"/>
      <c r="W595" s="74"/>
      <c r="X595" s="74"/>
      <c r="Y595" s="606"/>
      <c r="Z595" s="74"/>
      <c r="AA595" s="414"/>
      <c r="AB595" s="416"/>
    </row>
    <row r="596" spans="1:28" s="352" customFormat="1" ht="18" customHeight="1" x14ac:dyDescent="0.2">
      <c r="A596" s="75"/>
      <c r="B596" s="88"/>
      <c r="C596" s="88"/>
      <c r="D596" s="88"/>
      <c r="E596" s="88"/>
      <c r="F596" s="88"/>
      <c r="G596" s="88"/>
      <c r="H596" s="495"/>
      <c r="I596" s="74"/>
      <c r="J596" s="121"/>
      <c r="K596" s="159"/>
      <c r="L596" s="75"/>
      <c r="M596" s="75"/>
      <c r="N596" s="75"/>
      <c r="O596" s="75"/>
      <c r="P596" s="188"/>
      <c r="Q596" s="174"/>
      <c r="R596" s="413"/>
      <c r="S596" s="74"/>
      <c r="T596" s="135"/>
      <c r="U596" s="74"/>
      <c r="V596" s="74"/>
      <c r="W596" s="74"/>
      <c r="X596" s="74"/>
      <c r="Y596" s="606"/>
      <c r="Z596" s="74"/>
      <c r="AA596" s="414"/>
      <c r="AB596" s="410"/>
    </row>
    <row r="597" spans="1:28" s="352" customFormat="1" ht="18" customHeight="1" x14ac:dyDescent="0.2">
      <c r="A597" s="75"/>
      <c r="B597" s="88"/>
      <c r="C597" s="88"/>
      <c r="D597" s="88"/>
      <c r="E597" s="88"/>
      <c r="F597" s="88"/>
      <c r="G597" s="88"/>
      <c r="H597" s="495"/>
      <c r="I597" s="74"/>
      <c r="J597" s="121"/>
      <c r="K597" s="159"/>
      <c r="L597" s="75"/>
      <c r="M597" s="75"/>
      <c r="N597" s="75"/>
      <c r="O597" s="75"/>
      <c r="P597" s="188"/>
      <c r="Q597" s="174"/>
      <c r="R597" s="413"/>
      <c r="S597" s="74"/>
      <c r="T597" s="135"/>
      <c r="U597" s="74"/>
      <c r="V597" s="74"/>
      <c r="W597" s="74"/>
      <c r="X597" s="74"/>
      <c r="Y597" s="606"/>
      <c r="Z597" s="74"/>
      <c r="AA597" s="414"/>
      <c r="AB597" s="416"/>
    </row>
    <row r="598" spans="1:28" s="352" customFormat="1" ht="18" customHeight="1" x14ac:dyDescent="0.2">
      <c r="A598" s="75"/>
      <c r="B598" s="88"/>
      <c r="C598" s="88"/>
      <c r="D598" s="88"/>
      <c r="E598" s="88"/>
      <c r="F598" s="88"/>
      <c r="G598" s="88"/>
      <c r="H598" s="495"/>
      <c r="I598" s="121"/>
      <c r="J598" s="121"/>
      <c r="K598" s="159"/>
      <c r="L598" s="75"/>
      <c r="M598" s="75"/>
      <c r="N598" s="75"/>
      <c r="O598" s="75"/>
      <c r="P598" s="188"/>
      <c r="Q598" s="174"/>
      <c r="R598" s="413"/>
      <c r="S598" s="74"/>
      <c r="T598" s="135"/>
      <c r="U598" s="74"/>
      <c r="V598" s="74"/>
      <c r="W598" s="74"/>
      <c r="X598" s="74"/>
      <c r="Y598" s="606"/>
      <c r="Z598" s="74"/>
      <c r="AA598" s="414"/>
      <c r="AB598" s="415"/>
    </row>
    <row r="599" spans="1:28" s="352" customFormat="1" ht="18" customHeight="1" x14ac:dyDescent="0.2">
      <c r="A599" s="75"/>
      <c r="B599" s="88"/>
      <c r="C599" s="88"/>
      <c r="D599" s="88"/>
      <c r="E599" s="88"/>
      <c r="F599" s="88"/>
      <c r="G599" s="88"/>
      <c r="H599" s="495"/>
      <c r="I599" s="121"/>
      <c r="J599" s="121"/>
      <c r="K599" s="159"/>
      <c r="L599" s="88"/>
      <c r="M599" s="61"/>
      <c r="N599" s="61"/>
      <c r="O599" s="61"/>
      <c r="P599" s="173"/>
      <c r="Q599" s="196" t="s">
        <v>134</v>
      </c>
      <c r="R599" s="408"/>
      <c r="S599" s="77"/>
      <c r="T599" s="803"/>
      <c r="U599" s="77"/>
      <c r="V599" s="77"/>
      <c r="W599" s="77"/>
      <c r="X599" s="77"/>
      <c r="Y599" s="676"/>
      <c r="Z599" s="77"/>
      <c r="AA599" s="2170"/>
      <c r="AB599" s="415"/>
    </row>
    <row r="600" spans="1:28" s="352" customFormat="1" ht="18" customHeight="1" x14ac:dyDescent="0.2">
      <c r="A600" s="65"/>
      <c r="B600" s="231"/>
      <c r="C600" s="231"/>
      <c r="D600" s="231"/>
      <c r="E600" s="231"/>
      <c r="F600" s="231"/>
      <c r="G600" s="231"/>
      <c r="H600" s="1075"/>
      <c r="I600" s="77"/>
      <c r="J600" s="2168"/>
      <c r="K600" s="78"/>
      <c r="L600" s="61"/>
      <c r="M600" s="61"/>
      <c r="N600" s="61"/>
      <c r="O600" s="61"/>
      <c r="P600" s="173"/>
      <c r="Q600" s="174"/>
      <c r="R600" s="408"/>
      <c r="S600" s="77"/>
      <c r="T600" s="135"/>
      <c r="U600" s="74"/>
      <c r="V600" s="74"/>
      <c r="W600" s="77"/>
      <c r="X600" s="74"/>
      <c r="Y600" s="676"/>
      <c r="Z600" s="77"/>
      <c r="AA600" s="2170"/>
      <c r="AB600" s="410"/>
    </row>
    <row r="601" spans="1:28" s="352" customFormat="1" ht="18" customHeight="1" x14ac:dyDescent="0.2">
      <c r="A601" s="2166"/>
      <c r="B601" s="177"/>
      <c r="C601" s="177"/>
      <c r="D601" s="2166"/>
      <c r="E601" s="2166"/>
      <c r="F601" s="2166"/>
      <c r="G601" s="2166"/>
      <c r="H601" s="2171"/>
      <c r="I601" s="2168"/>
      <c r="J601" s="178"/>
      <c r="K601" s="2168"/>
      <c r="L601" s="2166"/>
      <c r="M601" s="2166"/>
      <c r="N601" s="2166"/>
      <c r="O601" s="2166"/>
      <c r="P601" s="2171"/>
      <c r="Q601" s="2167"/>
      <c r="R601" s="437"/>
      <c r="S601" s="2168"/>
      <c r="T601" s="179"/>
      <c r="U601" s="178"/>
      <c r="V601" s="2168"/>
      <c r="W601" s="2168"/>
      <c r="X601" s="470"/>
      <c r="Y601" s="470"/>
      <c r="Z601" s="471"/>
      <c r="AA601" s="471"/>
      <c r="AB601" s="466"/>
    </row>
    <row r="602" spans="1:28" s="352" customFormat="1" ht="18" customHeight="1" x14ac:dyDescent="0.2">
      <c r="A602" s="2166"/>
      <c r="B602" s="177"/>
      <c r="C602" s="177"/>
      <c r="D602" s="2166"/>
      <c r="E602" s="2166"/>
      <c r="F602" s="2166"/>
      <c r="G602" s="2166"/>
      <c r="H602" s="2171"/>
      <c r="I602" s="2168"/>
      <c r="J602" s="178"/>
      <c r="K602" s="2168"/>
      <c r="L602" s="2166"/>
      <c r="M602" s="2166"/>
      <c r="N602" s="2166"/>
      <c r="O602" s="2166"/>
      <c r="P602" s="2171"/>
      <c r="Q602" s="2167"/>
      <c r="R602" s="437"/>
      <c r="S602" s="2168"/>
      <c r="T602" s="179"/>
      <c r="U602" s="178"/>
      <c r="V602" s="2168"/>
      <c r="W602" s="2168"/>
      <c r="X602" s="470"/>
      <c r="Y602" s="470"/>
      <c r="Z602" s="471"/>
      <c r="AA602" s="471"/>
      <c r="AB602" s="466"/>
    </row>
    <row r="603" spans="1:28" s="352" customFormat="1" ht="18" customHeight="1" x14ac:dyDescent="0.2">
      <c r="A603" s="2166"/>
      <c r="B603" s="177"/>
      <c r="C603" s="177"/>
      <c r="D603" s="2166"/>
      <c r="E603" s="2166"/>
      <c r="F603" s="2166"/>
      <c r="G603" s="2166"/>
      <c r="H603" s="2171"/>
      <c r="I603" s="2168"/>
      <c r="J603" s="178"/>
      <c r="K603" s="2168"/>
      <c r="L603" s="2166"/>
      <c r="M603" s="2166"/>
      <c r="N603" s="2166"/>
      <c r="O603" s="2166"/>
      <c r="P603" s="2171"/>
      <c r="Q603" s="2167"/>
      <c r="R603" s="437"/>
      <c r="S603" s="2168"/>
      <c r="T603" s="179"/>
      <c r="U603" s="178"/>
      <c r="V603" s="2168"/>
      <c r="W603" s="2168"/>
      <c r="X603" s="470"/>
      <c r="Y603" s="470"/>
      <c r="Z603" s="471"/>
      <c r="AA603" s="471"/>
      <c r="AB603" s="466"/>
    </row>
    <row r="604" spans="1:28" s="352" customFormat="1" ht="18" customHeight="1" x14ac:dyDescent="0.2">
      <c r="A604" s="2166"/>
      <c r="B604" s="177"/>
      <c r="C604" s="177"/>
      <c r="D604" s="2166"/>
      <c r="E604" s="2166"/>
      <c r="F604" s="2166"/>
      <c r="G604" s="2166"/>
      <c r="H604" s="2171"/>
      <c r="I604" s="2168"/>
      <c r="J604" s="178"/>
      <c r="K604" s="2168"/>
      <c r="L604" s="2166"/>
      <c r="M604" s="2166"/>
      <c r="N604" s="2166"/>
      <c r="O604" s="2166"/>
      <c r="P604" s="2171"/>
      <c r="Q604" s="2167"/>
      <c r="R604" s="437"/>
      <c r="S604" s="2168"/>
      <c r="T604" s="179"/>
      <c r="U604" s="178"/>
      <c r="V604" s="2168"/>
      <c r="W604" s="2168"/>
      <c r="X604" s="470"/>
      <c r="Y604" s="470"/>
      <c r="Z604" s="471"/>
      <c r="AA604" s="471"/>
      <c r="AB604" s="466"/>
    </row>
    <row r="605" spans="1:28" s="352" customFormat="1" ht="18" customHeight="1" x14ac:dyDescent="0.2">
      <c r="A605" s="2166"/>
      <c r="B605" s="177"/>
      <c r="C605" s="177"/>
      <c r="D605" s="2166"/>
      <c r="E605" s="2166"/>
      <c r="F605" s="2166"/>
      <c r="G605" s="2166"/>
      <c r="H605" s="2171"/>
      <c r="I605" s="2168"/>
      <c r="J605" s="178"/>
      <c r="K605" s="2168"/>
      <c r="L605" s="2166"/>
      <c r="M605" s="2166"/>
      <c r="N605" s="2166"/>
      <c r="O605" s="2166"/>
      <c r="P605" s="2171"/>
      <c r="Q605" s="2167"/>
      <c r="R605" s="437"/>
      <c r="S605" s="2168"/>
      <c r="T605" s="179"/>
      <c r="U605" s="178"/>
      <c r="V605" s="2168"/>
      <c r="W605" s="2168"/>
      <c r="X605" s="470"/>
      <c r="Y605" s="470"/>
      <c r="Z605" s="471"/>
      <c r="AA605" s="471"/>
      <c r="AB605" s="466"/>
    </row>
    <row r="606" spans="1:28" s="352" customFormat="1" ht="18" customHeight="1" x14ac:dyDescent="0.2">
      <c r="A606" s="88"/>
      <c r="B606" s="180"/>
      <c r="C606" s="180"/>
      <c r="D606" s="88"/>
      <c r="E606" s="88"/>
      <c r="F606" s="88"/>
      <c r="G606" s="88"/>
      <c r="H606" s="120"/>
      <c r="I606" s="121"/>
      <c r="J606" s="181"/>
      <c r="K606" s="121"/>
      <c r="L606" s="88"/>
      <c r="M606" s="88"/>
      <c r="N606" s="88"/>
      <c r="O606" s="88"/>
      <c r="P606" s="88"/>
      <c r="Q606" s="129"/>
      <c r="R606" s="445"/>
      <c r="S606" s="121"/>
      <c r="T606" s="182"/>
      <c r="U606" s="181"/>
      <c r="V606" s="121"/>
      <c r="W606" s="121"/>
      <c r="X606" s="472"/>
      <c r="Y606" s="472"/>
      <c r="Z606" s="473"/>
      <c r="AA606" s="473"/>
      <c r="AB606" s="410"/>
    </row>
    <row r="607" spans="1:28" s="352" customFormat="1" ht="18" customHeight="1" x14ac:dyDescent="0.2">
      <c r="A607" s="1850"/>
      <c r="B607" s="1850"/>
      <c r="C607" s="1850"/>
      <c r="D607" s="1850"/>
      <c r="E607" s="1850"/>
      <c r="F607" s="1850"/>
      <c r="G607" s="1850"/>
      <c r="H607" s="1851"/>
      <c r="I607" s="1852"/>
      <c r="J607" s="1853"/>
      <c r="K607" s="1852"/>
      <c r="L607" s="1852"/>
      <c r="M607" s="1852"/>
      <c r="N607" s="1852"/>
      <c r="O607" s="1852"/>
      <c r="P607" s="1852"/>
      <c r="Q607" s="1852"/>
      <c r="R607" s="1854"/>
      <c r="S607" s="1852"/>
      <c r="T607" s="1855"/>
      <c r="U607" s="1853"/>
      <c r="V607" s="1852"/>
      <c r="W607" s="1852"/>
      <c r="X607" s="1856"/>
      <c r="Y607" s="1856"/>
      <c r="Z607" s="1857"/>
      <c r="AA607" s="1857"/>
      <c r="AB607" s="1847">
        <f>SUM(AB593:AB606)</f>
        <v>2088</v>
      </c>
    </row>
    <row r="608" spans="1:28" s="352" customFormat="1" ht="18" customHeight="1" x14ac:dyDescent="0.2">
      <c r="A608" s="2778" t="s">
        <v>76</v>
      </c>
      <c r="B608" s="2778"/>
      <c r="C608" s="2779" t="s">
        <v>77</v>
      </c>
      <c r="D608" s="2779"/>
      <c r="E608" s="2779"/>
      <c r="F608" s="2779"/>
      <c r="G608" s="2779"/>
      <c r="H608" s="2779"/>
      <c r="I608" s="424" t="s">
        <v>78</v>
      </c>
      <c r="J608" s="424"/>
      <c r="K608" s="424"/>
      <c r="L608" s="424"/>
      <c r="M608" s="424"/>
      <c r="N608" s="424"/>
      <c r="AB608" s="425"/>
    </row>
    <row r="609" spans="1:28" s="352" customFormat="1" ht="18" customHeight="1" x14ac:dyDescent="0.2">
      <c r="A609" s="424"/>
      <c r="B609" s="426"/>
      <c r="C609" s="424"/>
      <c r="D609" s="424"/>
      <c r="E609" s="424"/>
      <c r="F609" s="424"/>
      <c r="G609" s="424"/>
      <c r="H609" s="424"/>
      <c r="I609" s="424" t="s">
        <v>79</v>
      </c>
      <c r="J609" s="424"/>
      <c r="K609" s="424"/>
      <c r="L609" s="424"/>
      <c r="M609" s="424"/>
      <c r="N609" s="424"/>
      <c r="AB609" s="425"/>
    </row>
    <row r="610" spans="1:28" s="352" customFormat="1" ht="18" customHeight="1" x14ac:dyDescent="0.2">
      <c r="A610" s="424"/>
      <c r="B610" s="426"/>
      <c r="C610" s="424"/>
      <c r="D610" s="424"/>
      <c r="E610" s="424"/>
      <c r="F610" s="424"/>
      <c r="G610" s="424"/>
      <c r="H610" s="424"/>
      <c r="I610" s="424" t="s">
        <v>80</v>
      </c>
      <c r="J610" s="424"/>
      <c r="K610" s="424"/>
      <c r="L610" s="424"/>
      <c r="M610" s="424"/>
      <c r="N610" s="424"/>
      <c r="AB610" s="425"/>
    </row>
    <row r="611" spans="1:28" s="352" customFormat="1" ht="18" customHeight="1" x14ac:dyDescent="0.2">
      <c r="A611" s="424"/>
      <c r="B611" s="426"/>
      <c r="C611" s="424"/>
      <c r="D611" s="424"/>
      <c r="E611" s="424"/>
      <c r="F611" s="424"/>
      <c r="G611" s="424"/>
      <c r="H611" s="424"/>
      <c r="I611" s="424" t="s">
        <v>81</v>
      </c>
      <c r="J611" s="424"/>
      <c r="K611" s="424"/>
      <c r="L611" s="424"/>
      <c r="M611" s="424"/>
      <c r="N611" s="424"/>
      <c r="AB611" s="425"/>
    </row>
    <row r="612" spans="1:28" s="352" customFormat="1" ht="18" customHeight="1" x14ac:dyDescent="0.2">
      <c r="A612" s="424"/>
      <c r="B612" s="426"/>
      <c r="C612" s="424"/>
      <c r="D612" s="424"/>
      <c r="E612" s="424"/>
      <c r="F612" s="424"/>
      <c r="G612" s="424"/>
      <c r="H612" s="424"/>
      <c r="I612" s="424" t="s">
        <v>88</v>
      </c>
      <c r="J612" s="424"/>
      <c r="K612" s="424"/>
      <c r="L612" s="424"/>
      <c r="M612" s="424"/>
      <c r="N612" s="424"/>
      <c r="AB612" s="425"/>
    </row>
    <row r="613" spans="1:28" s="352" customFormat="1" ht="18" customHeight="1" x14ac:dyDescent="0.2">
      <c r="A613" s="338"/>
      <c r="B613" s="338"/>
      <c r="C613" s="338"/>
      <c r="D613" s="338"/>
      <c r="E613" s="338"/>
      <c r="F613" s="338"/>
      <c r="G613" s="338"/>
      <c r="H613" s="338"/>
      <c r="I613" s="338"/>
      <c r="J613" s="338"/>
      <c r="K613" s="338"/>
      <c r="L613" s="338"/>
      <c r="M613" s="338"/>
      <c r="N613" s="338"/>
      <c r="O613" s="338"/>
      <c r="P613" s="338"/>
      <c r="Q613" s="338"/>
      <c r="R613" s="338"/>
      <c r="S613" s="338"/>
      <c r="T613" s="338"/>
      <c r="U613" s="338"/>
      <c r="V613" s="338"/>
      <c r="W613" s="338"/>
      <c r="X613" s="338"/>
      <c r="Y613" s="338"/>
      <c r="Z613" s="338"/>
      <c r="AA613" s="2774" t="s">
        <v>0</v>
      </c>
      <c r="AB613" s="2774"/>
    </row>
    <row r="614" spans="1:28" s="352" customFormat="1" ht="18" customHeight="1" x14ac:dyDescent="0.2">
      <c r="A614" s="2703" t="s">
        <v>1</v>
      </c>
      <c r="B614" s="2703"/>
      <c r="C614" s="2703"/>
      <c r="D614" s="2703"/>
      <c r="E614" s="2703"/>
      <c r="F614" s="2703"/>
      <c r="G614" s="2703"/>
      <c r="H614" s="2703"/>
      <c r="I614" s="2703"/>
      <c r="J614" s="2703"/>
      <c r="K614" s="2703"/>
      <c r="L614" s="2703"/>
      <c r="M614" s="2703"/>
      <c r="N614" s="2703"/>
      <c r="O614" s="2703"/>
      <c r="P614" s="2703"/>
      <c r="Q614" s="2703"/>
      <c r="R614" s="2703"/>
      <c r="S614" s="2703"/>
      <c r="T614" s="2703"/>
      <c r="U614" s="2703"/>
      <c r="V614" s="2703"/>
      <c r="W614" s="2703"/>
      <c r="X614" s="2703"/>
      <c r="Y614" s="2703"/>
      <c r="Z614" s="2703"/>
      <c r="AA614" s="2703"/>
      <c r="AB614" s="2703"/>
    </row>
    <row r="615" spans="1:28" s="352" customFormat="1" ht="18" customHeight="1" x14ac:dyDescent="0.2">
      <c r="A615" s="2780" t="s">
        <v>620</v>
      </c>
      <c r="B615" s="2780"/>
      <c r="C615" s="2780"/>
      <c r="D615" s="2780"/>
      <c r="E615" s="2780"/>
      <c r="F615" s="2780"/>
      <c r="G615" s="2780"/>
      <c r="H615" s="2780"/>
      <c r="I615" s="2780"/>
      <c r="J615" s="2780"/>
      <c r="K615" s="2780"/>
      <c r="L615" s="2780"/>
      <c r="M615" s="2780"/>
      <c r="N615" s="2780"/>
      <c r="O615" s="2780"/>
      <c r="P615" s="2780"/>
      <c r="Q615" s="2780"/>
      <c r="R615" s="2780"/>
      <c r="S615" s="2780"/>
      <c r="T615" s="2780"/>
      <c r="U615" s="2780"/>
      <c r="V615" s="2780"/>
      <c r="W615" s="2780"/>
      <c r="X615" s="2780"/>
      <c r="Y615" s="2780"/>
      <c r="Z615" s="2780"/>
      <c r="AA615" s="2780"/>
      <c r="AB615" s="2780"/>
    </row>
    <row r="616" spans="1:28" s="352" customFormat="1" ht="18" customHeight="1" x14ac:dyDescent="0.2">
      <c r="A616" s="2686" t="s">
        <v>2</v>
      </c>
      <c r="B616" s="360"/>
      <c r="C616" s="2686" t="s">
        <v>3</v>
      </c>
      <c r="D616" s="360"/>
      <c r="E616" s="360"/>
      <c r="F616" s="2693" t="s">
        <v>4</v>
      </c>
      <c r="G616" s="2693"/>
      <c r="H616" s="2693"/>
      <c r="I616" s="2694"/>
      <c r="J616" s="2694"/>
      <c r="K616" s="2695"/>
      <c r="L616" s="361"/>
      <c r="M616" s="2679" t="s">
        <v>5</v>
      </c>
      <c r="N616" s="2679"/>
      <c r="O616" s="2679"/>
      <c r="P616" s="2679"/>
      <c r="Q616" s="2696"/>
      <c r="R616" s="2696"/>
      <c r="S616" s="2696"/>
      <c r="T616" s="2696"/>
      <c r="U616" s="2696"/>
      <c r="V616" s="2697"/>
      <c r="W616" s="362" t="s">
        <v>6</v>
      </c>
      <c r="X616" s="363" t="s">
        <v>7</v>
      </c>
      <c r="Y616" s="364"/>
      <c r="Z616" s="364"/>
      <c r="AA616" s="363"/>
      <c r="AB616" s="365"/>
    </row>
    <row r="617" spans="1:28" s="352" customFormat="1" ht="18" customHeight="1" x14ac:dyDescent="0.2">
      <c r="A617" s="2687"/>
      <c r="B617" s="367"/>
      <c r="C617" s="2687"/>
      <c r="D617" s="2158" t="s">
        <v>9</v>
      </c>
      <c r="E617" s="368" t="s">
        <v>10</v>
      </c>
      <c r="F617" s="2698" t="s">
        <v>11</v>
      </c>
      <c r="G617" s="2694"/>
      <c r="H617" s="2695"/>
      <c r="I617" s="360"/>
      <c r="J617" s="369" t="s">
        <v>12</v>
      </c>
      <c r="K617" s="360"/>
      <c r="L617" s="2679" t="s">
        <v>2</v>
      </c>
      <c r="M617" s="2162"/>
      <c r="N617" s="2162"/>
      <c r="O617" s="2162"/>
      <c r="P617" s="371"/>
      <c r="Q617" s="372" t="s">
        <v>13</v>
      </c>
      <c r="R617" s="373" t="s">
        <v>12</v>
      </c>
      <c r="S617" s="2162" t="s">
        <v>6</v>
      </c>
      <c r="T617" s="2682" t="s">
        <v>14</v>
      </c>
      <c r="U617" s="2683"/>
      <c r="V617" s="375" t="s">
        <v>7</v>
      </c>
      <c r="W617" s="376" t="s">
        <v>15</v>
      </c>
      <c r="X617" s="377" t="s">
        <v>16</v>
      </c>
      <c r="Y617" s="377" t="s">
        <v>17</v>
      </c>
      <c r="Z617" s="377" t="s">
        <v>18</v>
      </c>
      <c r="AA617" s="377"/>
      <c r="AB617" s="378" t="s">
        <v>19</v>
      </c>
    </row>
    <row r="618" spans="1:28" s="352" customFormat="1" ht="18" customHeight="1" x14ac:dyDescent="0.2">
      <c r="A618" s="2687"/>
      <c r="B618" s="2158" t="s">
        <v>23</v>
      </c>
      <c r="C618" s="2687"/>
      <c r="D618" s="2158" t="s">
        <v>24</v>
      </c>
      <c r="E618" s="368" t="s">
        <v>25</v>
      </c>
      <c r="F618" s="2699"/>
      <c r="G618" s="2700"/>
      <c r="H618" s="2701"/>
      <c r="I618" s="2158" t="s">
        <v>26</v>
      </c>
      <c r="J618" s="379" t="s">
        <v>15</v>
      </c>
      <c r="K618" s="2159" t="s">
        <v>6</v>
      </c>
      <c r="L618" s="2680"/>
      <c r="M618" s="2163" t="s">
        <v>27</v>
      </c>
      <c r="N618" s="2163" t="s">
        <v>10</v>
      </c>
      <c r="O618" s="382" t="s">
        <v>10</v>
      </c>
      <c r="P618" s="383" t="s">
        <v>28</v>
      </c>
      <c r="Q618" s="384" t="s">
        <v>29</v>
      </c>
      <c r="R618" s="383" t="s">
        <v>15</v>
      </c>
      <c r="S618" s="385" t="s">
        <v>15</v>
      </c>
      <c r="T618" s="2684"/>
      <c r="U618" s="2685"/>
      <c r="V618" s="375" t="s">
        <v>30</v>
      </c>
      <c r="W618" s="376" t="s">
        <v>31</v>
      </c>
      <c r="X618" s="377" t="s">
        <v>30</v>
      </c>
      <c r="Y618" s="377" t="s">
        <v>32</v>
      </c>
      <c r="Z618" s="377" t="s">
        <v>7</v>
      </c>
      <c r="AA618" s="377" t="s">
        <v>33</v>
      </c>
      <c r="AB618" s="378" t="s">
        <v>34</v>
      </c>
    </row>
    <row r="619" spans="1:28" s="352" customFormat="1" ht="18" customHeight="1" x14ac:dyDescent="0.2">
      <c r="A619" s="2687"/>
      <c r="B619" s="2158" t="s">
        <v>39</v>
      </c>
      <c r="C619" s="2687"/>
      <c r="D619" s="2158" t="s">
        <v>40</v>
      </c>
      <c r="E619" s="368" t="s">
        <v>41</v>
      </c>
      <c r="F619" s="2686" t="s">
        <v>42</v>
      </c>
      <c r="G619" s="2686" t="s">
        <v>43</v>
      </c>
      <c r="H619" s="2688" t="s">
        <v>44</v>
      </c>
      <c r="I619" s="2158" t="s">
        <v>45</v>
      </c>
      <c r="J619" s="379" t="s">
        <v>46</v>
      </c>
      <c r="K619" s="2159" t="s">
        <v>47</v>
      </c>
      <c r="L619" s="2680"/>
      <c r="M619" s="2163" t="s">
        <v>30</v>
      </c>
      <c r="N619" s="2163" t="s">
        <v>30</v>
      </c>
      <c r="O619" s="382" t="s">
        <v>25</v>
      </c>
      <c r="P619" s="383" t="s">
        <v>30</v>
      </c>
      <c r="Q619" s="384" t="s">
        <v>48</v>
      </c>
      <c r="R619" s="383" t="s">
        <v>49</v>
      </c>
      <c r="S619" s="385" t="s">
        <v>30</v>
      </c>
      <c r="T619" s="386" t="s">
        <v>50</v>
      </c>
      <c r="U619" s="2161" t="s">
        <v>13</v>
      </c>
      <c r="V619" s="375" t="s">
        <v>51</v>
      </c>
      <c r="W619" s="376" t="s">
        <v>52</v>
      </c>
      <c r="X619" s="377" t="s">
        <v>53</v>
      </c>
      <c r="Y619" s="377" t="s">
        <v>54</v>
      </c>
      <c r="Z619" s="377" t="s">
        <v>55</v>
      </c>
      <c r="AA619" s="377" t="s">
        <v>56</v>
      </c>
      <c r="AB619" s="378" t="s">
        <v>57</v>
      </c>
    </row>
    <row r="620" spans="1:28" s="352" customFormat="1" ht="18" customHeight="1" x14ac:dyDescent="0.2">
      <c r="A620" s="2687"/>
      <c r="B620" s="2158" t="s">
        <v>61</v>
      </c>
      <c r="C620" s="2687"/>
      <c r="D620" s="2158" t="s">
        <v>62</v>
      </c>
      <c r="E620" s="368" t="s">
        <v>63</v>
      </c>
      <c r="F620" s="2687"/>
      <c r="G620" s="2687"/>
      <c r="H620" s="2689"/>
      <c r="I620" s="2158" t="s">
        <v>64</v>
      </c>
      <c r="J620" s="379" t="s">
        <v>59</v>
      </c>
      <c r="K620" s="2159" t="s">
        <v>59</v>
      </c>
      <c r="L620" s="2680"/>
      <c r="M620" s="2163"/>
      <c r="N620" s="2163"/>
      <c r="O620" s="382" t="s">
        <v>41</v>
      </c>
      <c r="P620" s="383" t="s">
        <v>65</v>
      </c>
      <c r="Q620" s="384" t="s">
        <v>66</v>
      </c>
      <c r="R620" s="383" t="s">
        <v>67</v>
      </c>
      <c r="S620" s="385" t="s">
        <v>59</v>
      </c>
      <c r="T620" s="387" t="s">
        <v>68</v>
      </c>
      <c r="U620" s="375" t="s">
        <v>14</v>
      </c>
      <c r="V620" s="375" t="s">
        <v>14</v>
      </c>
      <c r="W620" s="376" t="s">
        <v>30</v>
      </c>
      <c r="X620" s="388" t="s">
        <v>69</v>
      </c>
      <c r="Y620" s="388" t="s">
        <v>70</v>
      </c>
      <c r="Z620" s="377" t="s">
        <v>71</v>
      </c>
      <c r="AA620" s="377" t="s">
        <v>72</v>
      </c>
      <c r="AB620" s="378" t="s">
        <v>59</v>
      </c>
    </row>
    <row r="621" spans="1:28" s="352" customFormat="1" ht="18" customHeight="1" x14ac:dyDescent="0.2">
      <c r="A621" s="2692"/>
      <c r="B621" s="390"/>
      <c r="C621" s="2692"/>
      <c r="D621" s="390"/>
      <c r="E621" s="2160"/>
      <c r="F621" s="390"/>
      <c r="G621" s="390"/>
      <c r="H621" s="391"/>
      <c r="I621" s="2160"/>
      <c r="J621" s="392"/>
      <c r="K621" s="393"/>
      <c r="L621" s="2681"/>
      <c r="M621" s="2164"/>
      <c r="N621" s="2164"/>
      <c r="O621" s="2164" t="s">
        <v>63</v>
      </c>
      <c r="P621" s="395"/>
      <c r="Q621" s="396" t="s">
        <v>72</v>
      </c>
      <c r="R621" s="397" t="s">
        <v>59</v>
      </c>
      <c r="S621" s="398"/>
      <c r="T621" s="397" t="s">
        <v>73</v>
      </c>
      <c r="U621" s="398" t="s">
        <v>59</v>
      </c>
      <c r="V621" s="399" t="s">
        <v>59</v>
      </c>
      <c r="W621" s="400" t="s">
        <v>59</v>
      </c>
      <c r="X621" s="401" t="s">
        <v>59</v>
      </c>
      <c r="Y621" s="401" t="s">
        <v>59</v>
      </c>
      <c r="Z621" s="401" t="s">
        <v>59</v>
      </c>
      <c r="AA621" s="402"/>
      <c r="AB621" s="403"/>
    </row>
    <row r="622" spans="1:28" s="352" customFormat="1" ht="18" customHeight="1" x14ac:dyDescent="0.2">
      <c r="A622" s="53">
        <v>1</v>
      </c>
      <c r="B622" s="95">
        <v>27780</v>
      </c>
      <c r="C622" s="82">
        <v>31</v>
      </c>
      <c r="D622" s="82" t="s">
        <v>107</v>
      </c>
      <c r="E622" s="82">
        <v>4</v>
      </c>
      <c r="F622" s="82">
        <v>0</v>
      </c>
      <c r="G622" s="82">
        <v>1</v>
      </c>
      <c r="H622" s="463">
        <v>15</v>
      </c>
      <c r="I622" s="70">
        <f>F622*400+G622*100+H622</f>
        <v>115</v>
      </c>
      <c r="J622" s="123">
        <v>3000</v>
      </c>
      <c r="K622" s="124">
        <f>SUM(I622*J622)</f>
        <v>345000</v>
      </c>
      <c r="L622" s="82"/>
      <c r="M622" s="82"/>
      <c r="N622" s="82"/>
      <c r="O622" s="82"/>
      <c r="P622" s="82"/>
      <c r="Q622" s="770"/>
      <c r="R622" s="771"/>
      <c r="S622" s="67"/>
      <c r="T622" s="1056"/>
      <c r="U622" s="67"/>
      <c r="V622" s="67"/>
      <c r="W622" s="67">
        <f>K622</f>
        <v>345000</v>
      </c>
      <c r="X622" s="67">
        <f>W622</f>
        <v>345000</v>
      </c>
      <c r="Y622" s="67"/>
      <c r="Z622" s="67">
        <f>+X622</f>
        <v>345000</v>
      </c>
      <c r="AA622" s="464">
        <v>0.6</v>
      </c>
      <c r="AB622" s="465">
        <f>+Z622*AA622/100</f>
        <v>2070</v>
      </c>
    </row>
    <row r="623" spans="1:28" s="352" customFormat="1" ht="18" customHeight="1" x14ac:dyDescent="0.2">
      <c r="A623" s="1304">
        <v>2</v>
      </c>
      <c r="B623" s="85">
        <v>27724</v>
      </c>
      <c r="C623" s="88">
        <v>12</v>
      </c>
      <c r="D623" s="88" t="s">
        <v>107</v>
      </c>
      <c r="E623" s="88">
        <v>4</v>
      </c>
      <c r="F623" s="88">
        <v>0</v>
      </c>
      <c r="G623" s="88">
        <v>0</v>
      </c>
      <c r="H623" s="495">
        <v>44</v>
      </c>
      <c r="I623" s="74">
        <f>F623*400+G623*100+H623</f>
        <v>44</v>
      </c>
      <c r="J623" s="121">
        <v>3000</v>
      </c>
      <c r="K623" s="159">
        <f>SUM(I623*J623)</f>
        <v>132000</v>
      </c>
      <c r="L623" s="88"/>
      <c r="M623" s="88"/>
      <c r="N623" s="88"/>
      <c r="O623" s="88"/>
      <c r="P623" s="88"/>
      <c r="Q623" s="129"/>
      <c r="R623" s="446"/>
      <c r="S623" s="73"/>
      <c r="T623" s="89"/>
      <c r="U623" s="73"/>
      <c r="V623" s="73"/>
      <c r="W623" s="73">
        <f>+K623</f>
        <v>132000</v>
      </c>
      <c r="X623" s="73">
        <f>W623</f>
        <v>132000</v>
      </c>
      <c r="Y623" s="73">
        <f>V623</f>
        <v>0</v>
      </c>
      <c r="Z623" s="73">
        <f>+X623</f>
        <v>132000</v>
      </c>
      <c r="AA623" s="417">
        <v>0.6</v>
      </c>
      <c r="AB623" s="466">
        <f>+Z623*AA623/100</f>
        <v>792</v>
      </c>
    </row>
    <row r="624" spans="1:28" s="352" customFormat="1" ht="18" customHeight="1" x14ac:dyDescent="0.2">
      <c r="A624" s="75">
        <v>3</v>
      </c>
      <c r="B624" s="85">
        <v>27779</v>
      </c>
      <c r="C624" s="88">
        <v>30</v>
      </c>
      <c r="D624" s="88" t="s">
        <v>107</v>
      </c>
      <c r="E624" s="88">
        <v>4</v>
      </c>
      <c r="F624" s="88">
        <v>0</v>
      </c>
      <c r="G624" s="88">
        <v>0</v>
      </c>
      <c r="H624" s="495">
        <v>72</v>
      </c>
      <c r="I624" s="74">
        <f>F624*400+G624*100+H624</f>
        <v>72</v>
      </c>
      <c r="J624" s="121">
        <v>3000</v>
      </c>
      <c r="K624" s="159">
        <f>SUM(I624*J624)</f>
        <v>216000</v>
      </c>
      <c r="L624" s="88"/>
      <c r="M624" s="88"/>
      <c r="N624" s="88"/>
      <c r="O624" s="88"/>
      <c r="P624" s="88"/>
      <c r="Q624" s="129"/>
      <c r="R624" s="446"/>
      <c r="S624" s="73"/>
      <c r="T624" s="89"/>
      <c r="U624" s="73"/>
      <c r="V624" s="73"/>
      <c r="W624" s="73">
        <f>K624+V624+K625+K626</f>
        <v>216000</v>
      </c>
      <c r="X624" s="73">
        <f>W624</f>
        <v>216000</v>
      </c>
      <c r="Y624" s="73">
        <f>V624</f>
        <v>0</v>
      </c>
      <c r="Z624" s="73">
        <f>+X624</f>
        <v>216000</v>
      </c>
      <c r="AA624" s="414">
        <v>0.6</v>
      </c>
      <c r="AB624" s="410">
        <f>+Z624*AA624/100</f>
        <v>1296</v>
      </c>
    </row>
    <row r="625" spans="1:28" s="352" customFormat="1" ht="18" customHeight="1" x14ac:dyDescent="0.2">
      <c r="A625" s="2166"/>
      <c r="B625" s="1088"/>
      <c r="C625" s="177"/>
      <c r="D625" s="2166"/>
      <c r="E625" s="2166"/>
      <c r="F625" s="2166"/>
      <c r="G625" s="2166"/>
      <c r="H625" s="2171"/>
      <c r="I625" s="2168"/>
      <c r="J625" s="178" t="s">
        <v>92</v>
      </c>
      <c r="K625" s="2168"/>
      <c r="L625" s="2166"/>
      <c r="M625" s="2166"/>
      <c r="N625" s="2166"/>
      <c r="O625" s="2166"/>
      <c r="P625" s="2171"/>
      <c r="Q625" s="2167"/>
      <c r="R625" s="437"/>
      <c r="S625" s="2168"/>
      <c r="T625" s="179"/>
      <c r="U625" s="178"/>
      <c r="V625" s="2168"/>
      <c r="W625" s="2168"/>
      <c r="X625" s="470"/>
      <c r="Y625" s="470"/>
      <c r="Z625" s="471"/>
      <c r="AA625" s="471"/>
      <c r="AB625" s="466"/>
    </row>
    <row r="626" spans="1:28" s="352" customFormat="1" ht="18" customHeight="1" x14ac:dyDescent="0.2">
      <c r="A626" s="2166"/>
      <c r="B626" s="177"/>
      <c r="C626" s="177"/>
      <c r="D626" s="2166"/>
      <c r="E626" s="2166"/>
      <c r="F626" s="2166"/>
      <c r="G626" s="2166"/>
      <c r="H626" s="2171"/>
      <c r="I626" s="2168"/>
      <c r="J626" s="178"/>
      <c r="K626" s="2168"/>
      <c r="L626" s="2166"/>
      <c r="M626" s="2166"/>
      <c r="N626" s="2166"/>
      <c r="O626" s="2166"/>
      <c r="P626" s="2171"/>
      <c r="Q626" s="2167"/>
      <c r="R626" s="437"/>
      <c r="S626" s="2168"/>
      <c r="T626" s="179"/>
      <c r="U626" s="178"/>
      <c r="V626" s="2168"/>
      <c r="W626" s="2168"/>
      <c r="X626" s="470"/>
      <c r="Y626" s="470"/>
      <c r="Z626" s="471"/>
      <c r="AA626" s="471"/>
      <c r="AB626" s="466"/>
    </row>
    <row r="627" spans="1:28" s="352" customFormat="1" ht="18" customHeight="1" x14ac:dyDescent="0.2">
      <c r="A627" s="2166"/>
      <c r="B627" s="177"/>
      <c r="C627" s="177"/>
      <c r="D627" s="2166"/>
      <c r="E627" s="2166"/>
      <c r="F627" s="2166"/>
      <c r="G627" s="2166"/>
      <c r="H627" s="2171"/>
      <c r="I627" s="2168"/>
      <c r="J627" s="178"/>
      <c r="K627" s="2168"/>
      <c r="L627" s="2166"/>
      <c r="M627" s="2166"/>
      <c r="N627" s="2166"/>
      <c r="O627" s="2166"/>
      <c r="P627" s="2171"/>
      <c r="Q627" s="2167"/>
      <c r="R627" s="437"/>
      <c r="S627" s="2168"/>
      <c r="T627" s="179"/>
      <c r="U627" s="178"/>
      <c r="V627" s="2168"/>
      <c r="W627" s="2168"/>
      <c r="X627" s="470"/>
      <c r="Y627" s="470"/>
      <c r="Z627" s="471"/>
      <c r="AA627" s="471"/>
      <c r="AB627" s="466"/>
    </row>
    <row r="628" spans="1:28" s="352" customFormat="1" ht="18" customHeight="1" x14ac:dyDescent="0.2">
      <c r="A628" s="2166"/>
      <c r="B628" s="177"/>
      <c r="C628" s="177"/>
      <c r="D628" s="2166"/>
      <c r="E628" s="2166"/>
      <c r="F628" s="2166"/>
      <c r="G628" s="2166"/>
      <c r="H628" s="2171"/>
      <c r="I628" s="2168"/>
      <c r="J628" s="178"/>
      <c r="K628" s="2168"/>
      <c r="L628" s="2166"/>
      <c r="M628" s="2166"/>
      <c r="N628" s="2166"/>
      <c r="O628" s="2166"/>
      <c r="P628" s="2171"/>
      <c r="Q628" s="2167"/>
      <c r="R628" s="437"/>
      <c r="S628" s="2168"/>
      <c r="T628" s="179"/>
      <c r="U628" s="178"/>
      <c r="V628" s="2168"/>
      <c r="W628" s="2168"/>
      <c r="X628" s="470"/>
      <c r="Y628" s="470"/>
      <c r="Z628" s="471"/>
      <c r="AA628" s="471"/>
      <c r="AB628" s="466"/>
    </row>
    <row r="629" spans="1:28" s="352" customFormat="1" ht="18" customHeight="1" x14ac:dyDescent="0.2">
      <c r="A629" s="2166"/>
      <c r="B629" s="177"/>
      <c r="C629" s="177"/>
      <c r="D629" s="2166"/>
      <c r="E629" s="2166"/>
      <c r="F629" s="2166"/>
      <c r="G629" s="2166"/>
      <c r="H629" s="2171"/>
      <c r="I629" s="2168"/>
      <c r="J629" s="178"/>
      <c r="K629" s="2168"/>
      <c r="L629" s="2166"/>
      <c r="M629" s="2166"/>
      <c r="N629" s="2166"/>
      <c r="O629" s="2166"/>
      <c r="P629" s="2171"/>
      <c r="Q629" s="2167"/>
      <c r="R629" s="437"/>
      <c r="S629" s="2168"/>
      <c r="T629" s="179"/>
      <c r="U629" s="178"/>
      <c r="V629" s="2168"/>
      <c r="W629" s="2168"/>
      <c r="X629" s="470"/>
      <c r="Y629" s="470"/>
      <c r="Z629" s="471"/>
      <c r="AA629" s="471"/>
      <c r="AB629" s="466"/>
    </row>
    <row r="630" spans="1:28" s="352" customFormat="1" ht="18" customHeight="1" x14ac:dyDescent="0.2">
      <c r="A630" s="2166"/>
      <c r="B630" s="177"/>
      <c r="C630" s="177"/>
      <c r="D630" s="2166"/>
      <c r="E630" s="2166"/>
      <c r="F630" s="2166"/>
      <c r="G630" s="2166"/>
      <c r="H630" s="2171"/>
      <c r="I630" s="2168"/>
      <c r="J630" s="178"/>
      <c r="K630" s="2168"/>
      <c r="L630" s="2166"/>
      <c r="M630" s="2166"/>
      <c r="N630" s="2166"/>
      <c r="O630" s="2166"/>
      <c r="P630" s="2171"/>
      <c r="Q630" s="2167"/>
      <c r="R630" s="437"/>
      <c r="S630" s="2168"/>
      <c r="T630" s="179"/>
      <c r="U630" s="178"/>
      <c r="V630" s="2168"/>
      <c r="W630" s="2168"/>
      <c r="X630" s="470"/>
      <c r="Y630" s="470"/>
      <c r="Z630" s="471"/>
      <c r="AA630" s="471"/>
      <c r="AB630" s="466"/>
    </row>
    <row r="631" spans="1:28" s="352" customFormat="1" ht="18" customHeight="1" x14ac:dyDescent="0.2">
      <c r="A631" s="2166"/>
      <c r="B631" s="177"/>
      <c r="C631" s="177"/>
      <c r="D631" s="2166"/>
      <c r="E631" s="2166"/>
      <c r="F631" s="2166"/>
      <c r="G631" s="2166"/>
      <c r="H631" s="2171"/>
      <c r="I631" s="2168"/>
      <c r="J631" s="178"/>
      <c r="K631" s="2168"/>
      <c r="L631" s="2166"/>
      <c r="M631" s="2166"/>
      <c r="N631" s="2166"/>
      <c r="O631" s="2166"/>
      <c r="P631" s="2171"/>
      <c r="Q631" s="2167"/>
      <c r="R631" s="437"/>
      <c r="S631" s="2168"/>
      <c r="T631" s="179"/>
      <c r="U631" s="178"/>
      <c r="V631" s="2168"/>
      <c r="W631" s="2168"/>
      <c r="X631" s="470"/>
      <c r="Y631" s="470"/>
      <c r="Z631" s="471"/>
      <c r="AA631" s="471"/>
      <c r="AB631" s="466"/>
    </row>
    <row r="632" spans="1:28" s="352" customFormat="1" ht="18" customHeight="1" x14ac:dyDescent="0.2">
      <c r="A632" s="2166"/>
      <c r="B632" s="177"/>
      <c r="C632" s="177"/>
      <c r="D632" s="2166"/>
      <c r="E632" s="2166"/>
      <c r="F632" s="2166"/>
      <c r="G632" s="2166"/>
      <c r="H632" s="2171"/>
      <c r="I632" s="2168"/>
      <c r="J632" s="178"/>
      <c r="K632" s="2168"/>
      <c r="L632" s="2166"/>
      <c r="M632" s="2166"/>
      <c r="N632" s="2166"/>
      <c r="O632" s="2166"/>
      <c r="P632" s="2171"/>
      <c r="Q632" s="2167"/>
      <c r="R632" s="437"/>
      <c r="S632" s="2168"/>
      <c r="T632" s="179"/>
      <c r="U632" s="178"/>
      <c r="V632" s="2168"/>
      <c r="W632" s="2168"/>
      <c r="X632" s="470"/>
      <c r="Y632" s="470"/>
      <c r="Z632" s="471"/>
      <c r="AA632" s="471"/>
      <c r="AB632" s="466"/>
    </row>
    <row r="633" spans="1:28" s="352" customFormat="1" ht="18" customHeight="1" x14ac:dyDescent="0.2">
      <c r="A633" s="2166"/>
      <c r="B633" s="177"/>
      <c r="C633" s="177"/>
      <c r="D633" s="2166"/>
      <c r="E633" s="2166"/>
      <c r="F633" s="2166"/>
      <c r="G633" s="2166"/>
      <c r="H633" s="2171"/>
      <c r="I633" s="2168"/>
      <c r="J633" s="178"/>
      <c r="K633" s="2168"/>
      <c r="L633" s="2166"/>
      <c r="M633" s="2166"/>
      <c r="N633" s="2166"/>
      <c r="O633" s="2166"/>
      <c r="P633" s="2171"/>
      <c r="Q633" s="2167"/>
      <c r="R633" s="437"/>
      <c r="S633" s="2168"/>
      <c r="T633" s="179"/>
      <c r="U633" s="178"/>
      <c r="V633" s="2168"/>
      <c r="W633" s="2168"/>
      <c r="X633" s="470"/>
      <c r="Y633" s="470"/>
      <c r="Z633" s="471"/>
      <c r="AA633" s="471"/>
      <c r="AB633" s="466"/>
    </row>
    <row r="634" spans="1:28" s="352" customFormat="1" ht="18" customHeight="1" x14ac:dyDescent="0.2">
      <c r="A634" s="2166"/>
      <c r="B634" s="177"/>
      <c r="C634" s="177"/>
      <c r="D634" s="2166"/>
      <c r="E634" s="2166"/>
      <c r="F634" s="2166"/>
      <c r="G634" s="2166"/>
      <c r="H634" s="2171"/>
      <c r="I634" s="2168"/>
      <c r="J634" s="178"/>
      <c r="K634" s="2168"/>
      <c r="L634" s="2166"/>
      <c r="M634" s="2166"/>
      <c r="N634" s="2166"/>
      <c r="O634" s="2166"/>
      <c r="P634" s="2171"/>
      <c r="Q634" s="2167"/>
      <c r="R634" s="437"/>
      <c r="S634" s="2168"/>
      <c r="T634" s="179"/>
      <c r="U634" s="178"/>
      <c r="V634" s="2168"/>
      <c r="W634" s="2168"/>
      <c r="X634" s="470"/>
      <c r="Y634" s="470"/>
      <c r="Z634" s="471"/>
      <c r="AA634" s="471"/>
      <c r="AB634" s="466"/>
    </row>
    <row r="635" spans="1:28" s="352" customFormat="1" ht="18" customHeight="1" x14ac:dyDescent="0.2">
      <c r="A635" s="88"/>
      <c r="B635" s="180"/>
      <c r="C635" s="180"/>
      <c r="D635" s="88"/>
      <c r="E635" s="88"/>
      <c r="F635" s="88"/>
      <c r="G635" s="88"/>
      <c r="H635" s="120"/>
      <c r="I635" s="121"/>
      <c r="J635" s="181"/>
      <c r="K635" s="121"/>
      <c r="L635" s="88"/>
      <c r="M635" s="88"/>
      <c r="N635" s="88"/>
      <c r="O635" s="88"/>
      <c r="P635" s="88"/>
      <c r="Q635" s="129"/>
      <c r="R635" s="445"/>
      <c r="S635" s="121"/>
      <c r="T635" s="182"/>
      <c r="U635" s="181"/>
      <c r="V635" s="121"/>
      <c r="W635" s="121"/>
      <c r="X635" s="472"/>
      <c r="Y635" s="472"/>
      <c r="Z635" s="473"/>
      <c r="AA635" s="473"/>
      <c r="AB635" s="410"/>
    </row>
    <row r="636" spans="1:28" s="352" customFormat="1" ht="18" customHeight="1" x14ac:dyDescent="0.2">
      <c r="A636" s="1850"/>
      <c r="B636" s="1850"/>
      <c r="C636" s="1850"/>
      <c r="D636" s="1850"/>
      <c r="E636" s="1850"/>
      <c r="F636" s="1850"/>
      <c r="G636" s="1850"/>
      <c r="H636" s="1851"/>
      <c r="I636" s="1852"/>
      <c r="J636" s="1853"/>
      <c r="K636" s="1852"/>
      <c r="L636" s="1852"/>
      <c r="M636" s="1852"/>
      <c r="N636" s="1852"/>
      <c r="O636" s="1852"/>
      <c r="P636" s="1852"/>
      <c r="Q636" s="1852"/>
      <c r="R636" s="1854"/>
      <c r="S636" s="1852"/>
      <c r="T636" s="1855"/>
      <c r="U636" s="1853"/>
      <c r="V636" s="1852"/>
      <c r="W636" s="1852"/>
      <c r="X636" s="1856"/>
      <c r="Y636" s="1856"/>
      <c r="Z636" s="1857"/>
      <c r="AA636" s="1857"/>
      <c r="AB636" s="1847">
        <f>SUM(AB622:AB635)</f>
        <v>4158</v>
      </c>
    </row>
    <row r="637" spans="1:28" s="352" customFormat="1" ht="18" customHeight="1" x14ac:dyDescent="0.2">
      <c r="A637" s="2778" t="s">
        <v>76</v>
      </c>
      <c r="B637" s="2778"/>
      <c r="C637" s="2779" t="s">
        <v>77</v>
      </c>
      <c r="D637" s="2779"/>
      <c r="E637" s="2779"/>
      <c r="F637" s="2779"/>
      <c r="G637" s="2779"/>
      <c r="H637" s="2779"/>
      <c r="I637" s="424" t="s">
        <v>78</v>
      </c>
      <c r="J637" s="424"/>
      <c r="K637" s="424"/>
      <c r="L637" s="424"/>
      <c r="M637" s="424"/>
      <c r="N637" s="424"/>
      <c r="AB637" s="425"/>
    </row>
    <row r="638" spans="1:28" s="352" customFormat="1" ht="18" customHeight="1" x14ac:dyDescent="0.2">
      <c r="A638" s="424"/>
      <c r="B638" s="426"/>
      <c r="C638" s="424"/>
      <c r="D638" s="424"/>
      <c r="E638" s="424"/>
      <c r="F638" s="424"/>
      <c r="G638" s="424"/>
      <c r="H638" s="424"/>
      <c r="I638" s="424" t="s">
        <v>79</v>
      </c>
      <c r="J638" s="424"/>
      <c r="K638" s="424"/>
      <c r="L638" s="424"/>
      <c r="M638" s="424"/>
      <c r="N638" s="424"/>
      <c r="AB638" s="425"/>
    </row>
    <row r="639" spans="1:28" s="352" customFormat="1" ht="18" customHeight="1" x14ac:dyDescent="0.2">
      <c r="A639" s="424"/>
      <c r="B639" s="426"/>
      <c r="C639" s="424"/>
      <c r="D639" s="424"/>
      <c r="E639" s="424"/>
      <c r="F639" s="424"/>
      <c r="G639" s="424"/>
      <c r="H639" s="424"/>
      <c r="I639" s="424" t="s">
        <v>80</v>
      </c>
      <c r="J639" s="424"/>
      <c r="K639" s="424"/>
      <c r="L639" s="424"/>
      <c r="M639" s="424"/>
      <c r="N639" s="424"/>
      <c r="AB639" s="425"/>
    </row>
    <row r="640" spans="1:28" s="352" customFormat="1" ht="18" customHeight="1" x14ac:dyDescent="0.2">
      <c r="A640" s="424"/>
      <c r="B640" s="426"/>
      <c r="C640" s="424"/>
      <c r="D640" s="424"/>
      <c r="E640" s="424"/>
      <c r="F640" s="424"/>
      <c r="G640" s="424"/>
      <c r="H640" s="424"/>
      <c r="I640" s="424" t="s">
        <v>81</v>
      </c>
      <c r="J640" s="424"/>
      <c r="K640" s="424"/>
      <c r="L640" s="424"/>
      <c r="M640" s="424"/>
      <c r="N640" s="424"/>
      <c r="AB640" s="425"/>
    </row>
    <row r="641" spans="1:28" s="352" customFormat="1" ht="18" customHeight="1" x14ac:dyDescent="0.2">
      <c r="A641" s="424"/>
      <c r="B641" s="426"/>
      <c r="C641" s="424"/>
      <c r="D641" s="424"/>
      <c r="E641" s="424"/>
      <c r="F641" s="424"/>
      <c r="G641" s="424"/>
      <c r="H641" s="424"/>
      <c r="I641" s="424" t="s">
        <v>88</v>
      </c>
      <c r="J641" s="424"/>
      <c r="K641" s="424"/>
      <c r="L641" s="424"/>
      <c r="M641" s="424"/>
      <c r="N641" s="424"/>
      <c r="AB641" s="425"/>
    </row>
    <row r="642" spans="1:28" s="352" customFormat="1" ht="18" customHeight="1" x14ac:dyDescent="0.2">
      <c r="A642" s="338"/>
      <c r="B642" s="338"/>
      <c r="C642" s="338"/>
      <c r="D642" s="338"/>
      <c r="E642" s="338"/>
      <c r="F642" s="338"/>
      <c r="G642" s="338"/>
      <c r="H642" s="338"/>
      <c r="I642" s="338"/>
      <c r="J642" s="338"/>
      <c r="K642" s="338"/>
      <c r="L642" s="338"/>
      <c r="M642" s="338"/>
      <c r="N642" s="338"/>
      <c r="O642" s="338"/>
      <c r="P642" s="338"/>
      <c r="Q642" s="338"/>
      <c r="R642" s="338"/>
      <c r="S642" s="338"/>
      <c r="T642" s="338"/>
      <c r="U642" s="338"/>
      <c r="V642" s="338"/>
      <c r="W642" s="338"/>
      <c r="X642" s="338"/>
      <c r="Y642" s="338"/>
      <c r="Z642" s="338"/>
      <c r="AA642" s="2774" t="s">
        <v>0</v>
      </c>
      <c r="AB642" s="2774"/>
    </row>
    <row r="643" spans="1:28" s="352" customFormat="1" ht="18" customHeight="1" x14ac:dyDescent="0.2">
      <c r="A643" s="2703" t="s">
        <v>1</v>
      </c>
      <c r="B643" s="2703"/>
      <c r="C643" s="2703"/>
      <c r="D643" s="2703"/>
      <c r="E643" s="2703"/>
      <c r="F643" s="2703"/>
      <c r="G643" s="2703"/>
      <c r="H643" s="2703"/>
      <c r="I643" s="2703"/>
      <c r="J643" s="2703"/>
      <c r="K643" s="2703"/>
      <c r="L643" s="2703"/>
      <c r="M643" s="2703"/>
      <c r="N643" s="2703"/>
      <c r="O643" s="2703"/>
      <c r="P643" s="2703"/>
      <c r="Q643" s="2703"/>
      <c r="R643" s="2703"/>
      <c r="S643" s="2703"/>
      <c r="T643" s="2703"/>
      <c r="U643" s="2703"/>
      <c r="V643" s="2703"/>
      <c r="W643" s="2703"/>
      <c r="X643" s="2703"/>
      <c r="Y643" s="2703"/>
      <c r="Z643" s="2703"/>
      <c r="AA643" s="2703"/>
      <c r="AB643" s="2703"/>
    </row>
    <row r="644" spans="1:28" s="352" customFormat="1" ht="18" customHeight="1" x14ac:dyDescent="0.2">
      <c r="A644" s="2780" t="s">
        <v>621</v>
      </c>
      <c r="B644" s="2780"/>
      <c r="C644" s="2780"/>
      <c r="D644" s="2780"/>
      <c r="E644" s="2780"/>
      <c r="F644" s="2780"/>
      <c r="G644" s="2780"/>
      <c r="H644" s="2780"/>
      <c r="I644" s="2780"/>
      <c r="J644" s="2780"/>
      <c r="K644" s="2780"/>
      <c r="L644" s="2780"/>
      <c r="M644" s="2780"/>
      <c r="N644" s="2780"/>
      <c r="O644" s="2780"/>
      <c r="P644" s="2780"/>
      <c r="Q644" s="2780"/>
      <c r="R644" s="2780"/>
      <c r="S644" s="2780"/>
      <c r="T644" s="2780"/>
      <c r="U644" s="2780"/>
      <c r="V644" s="2780"/>
      <c r="W644" s="2780"/>
      <c r="X644" s="2780"/>
      <c r="Y644" s="2780"/>
      <c r="Z644" s="2780"/>
      <c r="AA644" s="2780"/>
      <c r="AB644" s="2780"/>
    </row>
    <row r="645" spans="1:28" s="352" customFormat="1" ht="18" customHeight="1" x14ac:dyDescent="0.2">
      <c r="A645" s="2686" t="s">
        <v>2</v>
      </c>
      <c r="B645" s="360"/>
      <c r="C645" s="2686" t="s">
        <v>3</v>
      </c>
      <c r="D645" s="360"/>
      <c r="E645" s="360"/>
      <c r="F645" s="2693" t="s">
        <v>4</v>
      </c>
      <c r="G645" s="2693"/>
      <c r="H645" s="2693"/>
      <c r="I645" s="2694"/>
      <c r="J645" s="2694"/>
      <c r="K645" s="2695"/>
      <c r="L645" s="361"/>
      <c r="M645" s="2679" t="s">
        <v>5</v>
      </c>
      <c r="N645" s="2679"/>
      <c r="O645" s="2679"/>
      <c r="P645" s="2679"/>
      <c r="Q645" s="2696"/>
      <c r="R645" s="2696"/>
      <c r="S645" s="2696"/>
      <c r="T645" s="2696"/>
      <c r="U645" s="2696"/>
      <c r="V645" s="2697"/>
      <c r="W645" s="362" t="s">
        <v>6</v>
      </c>
      <c r="X645" s="363" t="s">
        <v>7</v>
      </c>
      <c r="Y645" s="364"/>
      <c r="Z645" s="364"/>
      <c r="AA645" s="363"/>
      <c r="AB645" s="365"/>
    </row>
    <row r="646" spans="1:28" s="352" customFormat="1" ht="18" customHeight="1" x14ac:dyDescent="0.2">
      <c r="A646" s="2687"/>
      <c r="B646" s="367"/>
      <c r="C646" s="2687"/>
      <c r="D646" s="2158" t="s">
        <v>9</v>
      </c>
      <c r="E646" s="368" t="s">
        <v>10</v>
      </c>
      <c r="F646" s="2698" t="s">
        <v>11</v>
      </c>
      <c r="G646" s="2694"/>
      <c r="H646" s="2695"/>
      <c r="I646" s="360"/>
      <c r="J646" s="369" t="s">
        <v>12</v>
      </c>
      <c r="K646" s="360"/>
      <c r="L646" s="2679" t="s">
        <v>2</v>
      </c>
      <c r="M646" s="2162"/>
      <c r="N646" s="2162"/>
      <c r="O646" s="2162"/>
      <c r="P646" s="371"/>
      <c r="Q646" s="372" t="s">
        <v>13</v>
      </c>
      <c r="R646" s="373" t="s">
        <v>12</v>
      </c>
      <c r="S646" s="2162" t="s">
        <v>6</v>
      </c>
      <c r="T646" s="2682" t="s">
        <v>14</v>
      </c>
      <c r="U646" s="2683"/>
      <c r="V646" s="375" t="s">
        <v>7</v>
      </c>
      <c r="W646" s="376" t="s">
        <v>15</v>
      </c>
      <c r="X646" s="377" t="s">
        <v>16</v>
      </c>
      <c r="Y646" s="377" t="s">
        <v>17</v>
      </c>
      <c r="Z646" s="377" t="s">
        <v>18</v>
      </c>
      <c r="AA646" s="377"/>
      <c r="AB646" s="378" t="s">
        <v>19</v>
      </c>
    </row>
    <row r="647" spans="1:28" s="352" customFormat="1" ht="18" customHeight="1" x14ac:dyDescent="0.2">
      <c r="A647" s="2687"/>
      <c r="B647" s="2158" t="s">
        <v>23</v>
      </c>
      <c r="C647" s="2687"/>
      <c r="D647" s="2158" t="s">
        <v>24</v>
      </c>
      <c r="E647" s="368" t="s">
        <v>25</v>
      </c>
      <c r="F647" s="2699"/>
      <c r="G647" s="2700"/>
      <c r="H647" s="2701"/>
      <c r="I647" s="2158" t="s">
        <v>26</v>
      </c>
      <c r="J647" s="379" t="s">
        <v>15</v>
      </c>
      <c r="K647" s="2159" t="s">
        <v>6</v>
      </c>
      <c r="L647" s="2680"/>
      <c r="M647" s="2163" t="s">
        <v>27</v>
      </c>
      <c r="N647" s="2163" t="s">
        <v>10</v>
      </c>
      <c r="O647" s="382" t="s">
        <v>10</v>
      </c>
      <c r="P647" s="383" t="s">
        <v>28</v>
      </c>
      <c r="Q647" s="384" t="s">
        <v>29</v>
      </c>
      <c r="R647" s="383" t="s">
        <v>15</v>
      </c>
      <c r="S647" s="385" t="s">
        <v>15</v>
      </c>
      <c r="T647" s="2684"/>
      <c r="U647" s="2685"/>
      <c r="V647" s="375" t="s">
        <v>30</v>
      </c>
      <c r="W647" s="376" t="s">
        <v>31</v>
      </c>
      <c r="X647" s="377" t="s">
        <v>30</v>
      </c>
      <c r="Y647" s="377" t="s">
        <v>32</v>
      </c>
      <c r="Z647" s="377" t="s">
        <v>7</v>
      </c>
      <c r="AA647" s="377" t="s">
        <v>33</v>
      </c>
      <c r="AB647" s="378" t="s">
        <v>34</v>
      </c>
    </row>
    <row r="648" spans="1:28" s="352" customFormat="1" ht="18" customHeight="1" x14ac:dyDescent="0.2">
      <c r="A648" s="2687"/>
      <c r="B648" s="2158" t="s">
        <v>39</v>
      </c>
      <c r="C648" s="2687"/>
      <c r="D648" s="2158" t="s">
        <v>40</v>
      </c>
      <c r="E648" s="368" t="s">
        <v>41</v>
      </c>
      <c r="F648" s="2686" t="s">
        <v>42</v>
      </c>
      <c r="G648" s="2686" t="s">
        <v>43</v>
      </c>
      <c r="H648" s="2688" t="s">
        <v>44</v>
      </c>
      <c r="I648" s="2158" t="s">
        <v>45</v>
      </c>
      <c r="J648" s="379" t="s">
        <v>46</v>
      </c>
      <c r="K648" s="2159" t="s">
        <v>47</v>
      </c>
      <c r="L648" s="2680"/>
      <c r="M648" s="2163" t="s">
        <v>30</v>
      </c>
      <c r="N648" s="2163" t="s">
        <v>30</v>
      </c>
      <c r="O648" s="382" t="s">
        <v>25</v>
      </c>
      <c r="P648" s="383" t="s">
        <v>30</v>
      </c>
      <c r="Q648" s="384" t="s">
        <v>48</v>
      </c>
      <c r="R648" s="383" t="s">
        <v>49</v>
      </c>
      <c r="S648" s="385" t="s">
        <v>30</v>
      </c>
      <c r="T648" s="386" t="s">
        <v>50</v>
      </c>
      <c r="U648" s="2161" t="s">
        <v>13</v>
      </c>
      <c r="V648" s="375" t="s">
        <v>51</v>
      </c>
      <c r="W648" s="376" t="s">
        <v>52</v>
      </c>
      <c r="X648" s="377" t="s">
        <v>53</v>
      </c>
      <c r="Y648" s="377" t="s">
        <v>54</v>
      </c>
      <c r="Z648" s="377" t="s">
        <v>55</v>
      </c>
      <c r="AA648" s="377" t="s">
        <v>56</v>
      </c>
      <c r="AB648" s="378" t="s">
        <v>57</v>
      </c>
    </row>
    <row r="649" spans="1:28" s="352" customFormat="1" ht="18" customHeight="1" x14ac:dyDescent="0.2">
      <c r="A649" s="2687"/>
      <c r="B649" s="2158" t="s">
        <v>61</v>
      </c>
      <c r="C649" s="2687"/>
      <c r="D649" s="2158" t="s">
        <v>62</v>
      </c>
      <c r="E649" s="368" t="s">
        <v>63</v>
      </c>
      <c r="F649" s="2687"/>
      <c r="G649" s="2687"/>
      <c r="H649" s="2689"/>
      <c r="I649" s="2158" t="s">
        <v>64</v>
      </c>
      <c r="J649" s="379" t="s">
        <v>59</v>
      </c>
      <c r="K649" s="2159" t="s">
        <v>59</v>
      </c>
      <c r="L649" s="2680"/>
      <c r="M649" s="2163"/>
      <c r="N649" s="2163"/>
      <c r="O649" s="382" t="s">
        <v>41</v>
      </c>
      <c r="P649" s="383" t="s">
        <v>65</v>
      </c>
      <c r="Q649" s="384" t="s">
        <v>66</v>
      </c>
      <c r="R649" s="383" t="s">
        <v>67</v>
      </c>
      <c r="S649" s="385" t="s">
        <v>59</v>
      </c>
      <c r="T649" s="387" t="s">
        <v>68</v>
      </c>
      <c r="U649" s="375" t="s">
        <v>14</v>
      </c>
      <c r="V649" s="375" t="s">
        <v>14</v>
      </c>
      <c r="W649" s="376" t="s">
        <v>30</v>
      </c>
      <c r="X649" s="388" t="s">
        <v>69</v>
      </c>
      <c r="Y649" s="388" t="s">
        <v>70</v>
      </c>
      <c r="Z649" s="377" t="s">
        <v>71</v>
      </c>
      <c r="AA649" s="377" t="s">
        <v>72</v>
      </c>
      <c r="AB649" s="378" t="s">
        <v>59</v>
      </c>
    </row>
    <row r="650" spans="1:28" s="352" customFormat="1" ht="18" customHeight="1" x14ac:dyDescent="0.2">
      <c r="A650" s="2692"/>
      <c r="B650" s="390"/>
      <c r="C650" s="2692"/>
      <c r="D650" s="390"/>
      <c r="E650" s="2160"/>
      <c r="F650" s="390"/>
      <c r="G650" s="390"/>
      <c r="H650" s="391"/>
      <c r="I650" s="2160"/>
      <c r="J650" s="392"/>
      <c r="K650" s="393"/>
      <c r="L650" s="2681"/>
      <c r="M650" s="2164"/>
      <c r="N650" s="2164"/>
      <c r="O650" s="2164" t="s">
        <v>63</v>
      </c>
      <c r="P650" s="395"/>
      <c r="Q650" s="396" t="s">
        <v>72</v>
      </c>
      <c r="R650" s="397" t="s">
        <v>59</v>
      </c>
      <c r="S650" s="398"/>
      <c r="T650" s="397" t="s">
        <v>73</v>
      </c>
      <c r="U650" s="398" t="s">
        <v>59</v>
      </c>
      <c r="V650" s="399" t="s">
        <v>59</v>
      </c>
      <c r="W650" s="400" t="s">
        <v>59</v>
      </c>
      <c r="X650" s="401" t="s">
        <v>59</v>
      </c>
      <c r="Y650" s="401" t="s">
        <v>59</v>
      </c>
      <c r="Z650" s="401" t="s">
        <v>59</v>
      </c>
      <c r="AA650" s="402"/>
      <c r="AB650" s="403"/>
    </row>
    <row r="651" spans="1:28" s="352" customFormat="1" ht="18" customHeight="1" x14ac:dyDescent="0.2">
      <c r="A651" s="53">
        <v>1</v>
      </c>
      <c r="B651" s="95">
        <v>47465</v>
      </c>
      <c r="C651" s="82">
        <v>1502</v>
      </c>
      <c r="D651" s="82" t="s">
        <v>121</v>
      </c>
      <c r="E651" s="82">
        <v>4</v>
      </c>
      <c r="F651" s="82">
        <v>0</v>
      </c>
      <c r="G651" s="82">
        <v>0</v>
      </c>
      <c r="H651" s="463">
        <v>75</v>
      </c>
      <c r="I651" s="70">
        <f>F651*400+G651*100+H651</f>
        <v>75</v>
      </c>
      <c r="J651" s="123">
        <v>3000</v>
      </c>
      <c r="K651" s="124">
        <f>SUM(I651*J651)</f>
        <v>225000</v>
      </c>
      <c r="L651" s="53"/>
      <c r="M651" s="53"/>
      <c r="N651" s="82"/>
      <c r="O651" s="61"/>
      <c r="P651" s="173"/>
      <c r="Q651" s="174"/>
      <c r="R651" s="408"/>
      <c r="S651" s="77"/>
      <c r="T651" s="135"/>
      <c r="U651" s="74"/>
      <c r="V651" s="74"/>
      <c r="W651" s="77">
        <f>K651+V651</f>
        <v>225000</v>
      </c>
      <c r="X651" s="74">
        <f>W651</f>
        <v>225000</v>
      </c>
      <c r="Y651" s="676"/>
      <c r="Z651" s="77">
        <f>X651-Y651</f>
        <v>225000</v>
      </c>
      <c r="AA651" s="2170">
        <v>0.6</v>
      </c>
      <c r="AB651" s="465">
        <f>+Z651*AA651/100</f>
        <v>1350</v>
      </c>
    </row>
    <row r="652" spans="1:28" s="352" customFormat="1" ht="18" customHeight="1" x14ac:dyDescent="0.2">
      <c r="A652" s="61">
        <v>2</v>
      </c>
      <c r="B652" s="85">
        <v>34793</v>
      </c>
      <c r="C652" s="88">
        <v>387</v>
      </c>
      <c r="D652" s="2166" t="s">
        <v>121</v>
      </c>
      <c r="E652" s="2166">
        <v>4</v>
      </c>
      <c r="F652" s="88">
        <v>0</v>
      </c>
      <c r="G652" s="88">
        <v>0</v>
      </c>
      <c r="H652" s="495">
        <v>92</v>
      </c>
      <c r="I652" s="77">
        <f>F652*400+G652*100+H652</f>
        <v>92</v>
      </c>
      <c r="J652" s="2168">
        <v>3000</v>
      </c>
      <c r="K652" s="78">
        <f>SUM(I652*J652)</f>
        <v>276000</v>
      </c>
      <c r="L652" s="61"/>
      <c r="M652" s="61"/>
      <c r="N652" s="61"/>
      <c r="O652" s="61"/>
      <c r="P652" s="173"/>
      <c r="Q652" s="174"/>
      <c r="R652" s="408"/>
      <c r="S652" s="77"/>
      <c r="T652" s="135"/>
      <c r="U652" s="74"/>
      <c r="V652" s="74"/>
      <c r="W652" s="77">
        <f>K652+V652</f>
        <v>276000</v>
      </c>
      <c r="X652" s="74">
        <f>W652</f>
        <v>276000</v>
      </c>
      <c r="Y652" s="676"/>
      <c r="Z652" s="77">
        <f>X652-Y652</f>
        <v>276000</v>
      </c>
      <c r="AA652" s="2170">
        <v>0.6</v>
      </c>
      <c r="AB652" s="466">
        <f>+Z652*AA652/100</f>
        <v>1656</v>
      </c>
    </row>
    <row r="653" spans="1:28" s="352" customFormat="1" ht="18" customHeight="1" x14ac:dyDescent="0.2">
      <c r="A653" s="88"/>
      <c r="B653" s="88"/>
      <c r="C653" s="88"/>
      <c r="D653" s="2166"/>
      <c r="E653" s="2166"/>
      <c r="F653" s="88"/>
      <c r="G653" s="88"/>
      <c r="H653" s="495"/>
      <c r="I653" s="77"/>
      <c r="J653" s="2168"/>
      <c r="K653" s="78"/>
      <c r="L653" s="61"/>
      <c r="M653" s="61"/>
      <c r="N653" s="61"/>
      <c r="O653" s="61"/>
      <c r="P653" s="173"/>
      <c r="Q653" s="174"/>
      <c r="R653" s="408"/>
      <c r="S653" s="77"/>
      <c r="T653" s="135"/>
      <c r="U653" s="74"/>
      <c r="V653" s="74"/>
      <c r="W653" s="77"/>
      <c r="X653" s="74"/>
      <c r="Y653" s="676"/>
      <c r="Z653" s="77"/>
      <c r="AA653" s="2170"/>
      <c r="AB653" s="466"/>
    </row>
    <row r="654" spans="1:28" s="352" customFormat="1" ht="18" customHeight="1" x14ac:dyDescent="0.2">
      <c r="A654" s="88"/>
      <c r="B654" s="88"/>
      <c r="C654" s="88"/>
      <c r="D654" s="2166"/>
      <c r="E654" s="2166"/>
      <c r="F654" s="88"/>
      <c r="G654" s="88"/>
      <c r="H654" s="495"/>
      <c r="I654" s="77"/>
      <c r="J654" s="2168"/>
      <c r="K654" s="78"/>
      <c r="L654" s="61"/>
      <c r="M654" s="61"/>
      <c r="N654" s="61"/>
      <c r="O654" s="61"/>
      <c r="P654" s="173"/>
      <c r="Q654" s="174"/>
      <c r="R654" s="408"/>
      <c r="S654" s="77"/>
      <c r="T654" s="135"/>
      <c r="U654" s="74"/>
      <c r="V654" s="74"/>
      <c r="W654" s="77"/>
      <c r="X654" s="74"/>
      <c r="Y654" s="676"/>
      <c r="Z654" s="77"/>
      <c r="AA654" s="2170"/>
      <c r="AB654" s="466"/>
    </row>
    <row r="655" spans="1:28" s="352" customFormat="1" ht="18" customHeight="1" x14ac:dyDescent="0.2">
      <c r="A655" s="2166"/>
      <c r="B655" s="177"/>
      <c r="C655" s="177"/>
      <c r="D655" s="2166"/>
      <c r="E655" s="2166"/>
      <c r="F655" s="2166"/>
      <c r="G655" s="2166"/>
      <c r="H655" s="2171"/>
      <c r="I655" s="2168"/>
      <c r="J655" s="178"/>
      <c r="K655" s="2168"/>
      <c r="L655" s="2166"/>
      <c r="M655" s="2166"/>
      <c r="N655" s="2166"/>
      <c r="O655" s="2166"/>
      <c r="P655" s="2171"/>
      <c r="Q655" s="2167"/>
      <c r="R655" s="437"/>
      <c r="S655" s="2168"/>
      <c r="T655" s="179"/>
      <c r="U655" s="178"/>
      <c r="V655" s="2168"/>
      <c r="W655" s="2168"/>
      <c r="X655" s="470"/>
      <c r="Y655" s="470"/>
      <c r="Z655" s="471"/>
      <c r="AA655" s="471"/>
      <c r="AB655" s="466"/>
    </row>
    <row r="656" spans="1:28" s="343" customFormat="1" ht="18" customHeight="1" x14ac:dyDescent="0.2">
      <c r="A656" s="177"/>
      <c r="B656" s="177"/>
      <c r="C656" s="177"/>
      <c r="D656" s="177"/>
      <c r="E656" s="177"/>
      <c r="F656" s="177"/>
      <c r="G656" s="177"/>
      <c r="H656" s="274"/>
      <c r="I656" s="275"/>
      <c r="J656" s="275"/>
      <c r="K656" s="275"/>
      <c r="L656" s="177"/>
      <c r="M656" s="177"/>
      <c r="N656" s="177"/>
      <c r="O656" s="177"/>
      <c r="P656" s="274"/>
      <c r="Q656" s="276"/>
      <c r="R656" s="661"/>
      <c r="S656" s="275"/>
      <c r="T656" s="277"/>
      <c r="U656" s="275"/>
      <c r="V656" s="275"/>
      <c r="W656" s="275"/>
      <c r="X656" s="662"/>
      <c r="Y656" s="662"/>
      <c r="Z656" s="663"/>
      <c r="AA656" s="663"/>
      <c r="AB656" s="664"/>
    </row>
    <row r="657" spans="1:28" s="352" customFormat="1" ht="18" customHeight="1" x14ac:dyDescent="0.2">
      <c r="A657" s="2166"/>
      <c r="B657" s="177"/>
      <c r="C657" s="177"/>
      <c r="D657" s="2166"/>
      <c r="E657" s="2166"/>
      <c r="F657" s="2166"/>
      <c r="G657" s="2166"/>
      <c r="H657" s="2171"/>
      <c r="I657" s="2168"/>
      <c r="J657" s="178"/>
      <c r="K657" s="2168"/>
      <c r="L657" s="2166"/>
      <c r="M657" s="2166"/>
      <c r="N657" s="2166"/>
      <c r="O657" s="2166"/>
      <c r="P657" s="2171"/>
      <c r="Q657" s="2167"/>
      <c r="R657" s="437"/>
      <c r="S657" s="2168"/>
      <c r="T657" s="179"/>
      <c r="U657" s="178"/>
      <c r="V657" s="2168"/>
      <c r="W657" s="2168"/>
      <c r="X657" s="470"/>
      <c r="Y657" s="470"/>
      <c r="Z657" s="471"/>
      <c r="AA657" s="471"/>
      <c r="AB657" s="466"/>
    </row>
    <row r="658" spans="1:28" s="352" customFormat="1" ht="18" customHeight="1" x14ac:dyDescent="0.2">
      <c r="A658" s="2166"/>
      <c r="B658" s="177"/>
      <c r="C658" s="177"/>
      <c r="D658" s="2166"/>
      <c r="E658" s="2166"/>
      <c r="F658" s="2166"/>
      <c r="G658" s="2166"/>
      <c r="H658" s="2171"/>
      <c r="I658" s="2168"/>
      <c r="J658" s="178"/>
      <c r="K658" s="2168"/>
      <c r="L658" s="2166"/>
      <c r="M658" s="2166"/>
      <c r="N658" s="2166"/>
      <c r="O658" s="2166"/>
      <c r="P658" s="2171"/>
      <c r="Q658" s="2167"/>
      <c r="R658" s="437"/>
      <c r="S658" s="2168"/>
      <c r="T658" s="179"/>
      <c r="U658" s="178"/>
      <c r="V658" s="2168"/>
      <c r="W658" s="2168"/>
      <c r="X658" s="470"/>
      <c r="Y658" s="470"/>
      <c r="Z658" s="471"/>
      <c r="AA658" s="471"/>
      <c r="AB658" s="466"/>
    </row>
    <row r="659" spans="1:28" s="352" customFormat="1" ht="18" customHeight="1" x14ac:dyDescent="0.2">
      <c r="A659" s="2166"/>
      <c r="B659" s="177"/>
      <c r="C659" s="177"/>
      <c r="D659" s="2166"/>
      <c r="E659" s="2166"/>
      <c r="F659" s="2166"/>
      <c r="G659" s="2166"/>
      <c r="H659" s="2171"/>
      <c r="I659" s="2168"/>
      <c r="J659" s="178"/>
      <c r="K659" s="2168"/>
      <c r="L659" s="2166"/>
      <c r="M659" s="2166"/>
      <c r="N659" s="2166"/>
      <c r="O659" s="2166"/>
      <c r="P659" s="2171"/>
      <c r="Q659" s="2167"/>
      <c r="R659" s="437"/>
      <c r="S659" s="2168"/>
      <c r="T659" s="179"/>
      <c r="U659" s="178"/>
      <c r="V659" s="2168"/>
      <c r="W659" s="2168"/>
      <c r="X659" s="470"/>
      <c r="Y659" s="470"/>
      <c r="Z659" s="471"/>
      <c r="AA659" s="471"/>
      <c r="AB659" s="466"/>
    </row>
    <row r="660" spans="1:28" s="352" customFormat="1" ht="18" customHeight="1" x14ac:dyDescent="0.2">
      <c r="A660" s="2166"/>
      <c r="B660" s="177"/>
      <c r="C660" s="177"/>
      <c r="D660" s="2166"/>
      <c r="E660" s="2166"/>
      <c r="F660" s="2166"/>
      <c r="G660" s="2166"/>
      <c r="H660" s="2171"/>
      <c r="I660" s="2168"/>
      <c r="J660" s="178"/>
      <c r="K660" s="2168"/>
      <c r="L660" s="2166"/>
      <c r="M660" s="2166"/>
      <c r="N660" s="2166"/>
      <c r="O660" s="2166"/>
      <c r="P660" s="2171"/>
      <c r="Q660" s="2167"/>
      <c r="R660" s="437"/>
      <c r="S660" s="2168"/>
      <c r="T660" s="179"/>
      <c r="U660" s="178"/>
      <c r="V660" s="2168"/>
      <c r="W660" s="2168"/>
      <c r="X660" s="470"/>
      <c r="Y660" s="470"/>
      <c r="Z660" s="471"/>
      <c r="AA660" s="471"/>
      <c r="AB660" s="466"/>
    </row>
    <row r="661" spans="1:28" s="352" customFormat="1" ht="18" customHeight="1" x14ac:dyDescent="0.2">
      <c r="A661" s="2166"/>
      <c r="B661" s="177"/>
      <c r="C661" s="177"/>
      <c r="D661" s="2166"/>
      <c r="E661" s="2166"/>
      <c r="F661" s="2166"/>
      <c r="G661" s="2166"/>
      <c r="H661" s="2171"/>
      <c r="I661" s="2168"/>
      <c r="J661" s="178"/>
      <c r="K661" s="2168"/>
      <c r="L661" s="2166"/>
      <c r="M661" s="2166"/>
      <c r="N661" s="2166"/>
      <c r="O661" s="2166"/>
      <c r="P661" s="2171"/>
      <c r="Q661" s="2167"/>
      <c r="R661" s="437"/>
      <c r="S661" s="2168"/>
      <c r="T661" s="179"/>
      <c r="U661" s="178"/>
      <c r="V661" s="2168"/>
      <c r="W661" s="2168"/>
      <c r="X661" s="470"/>
      <c r="Y661" s="470"/>
      <c r="Z661" s="471"/>
      <c r="AA661" s="471"/>
      <c r="AB661" s="466"/>
    </row>
    <row r="662" spans="1:28" s="352" customFormat="1" ht="18" customHeight="1" x14ac:dyDescent="0.2">
      <c r="A662" s="2166"/>
      <c r="B662" s="177"/>
      <c r="C662" s="177"/>
      <c r="D662" s="2166"/>
      <c r="E662" s="2166"/>
      <c r="F662" s="2166"/>
      <c r="G662" s="2166"/>
      <c r="H662" s="2171"/>
      <c r="I662" s="2168"/>
      <c r="J662" s="178"/>
      <c r="K662" s="2168"/>
      <c r="L662" s="2166"/>
      <c r="M662" s="2166"/>
      <c r="N662" s="2166"/>
      <c r="O662" s="2166"/>
      <c r="P662" s="2171"/>
      <c r="Q662" s="2167"/>
      <c r="R662" s="437"/>
      <c r="S662" s="2168"/>
      <c r="T662" s="179"/>
      <c r="U662" s="178"/>
      <c r="V662" s="2168"/>
      <c r="W662" s="2168"/>
      <c r="X662" s="470"/>
      <c r="Y662" s="470"/>
      <c r="Z662" s="471"/>
      <c r="AA662" s="471"/>
      <c r="AB662" s="466"/>
    </row>
    <row r="663" spans="1:28" s="352" customFormat="1" ht="18" customHeight="1" x14ac:dyDescent="0.2">
      <c r="A663" s="2166"/>
      <c r="B663" s="177"/>
      <c r="C663" s="177"/>
      <c r="D663" s="2166"/>
      <c r="E663" s="2166"/>
      <c r="F663" s="2166"/>
      <c r="G663" s="2166"/>
      <c r="H663" s="2171"/>
      <c r="I663" s="2168"/>
      <c r="J663" s="178"/>
      <c r="K663" s="2168"/>
      <c r="L663" s="2166"/>
      <c r="M663" s="2166"/>
      <c r="N663" s="2166"/>
      <c r="O663" s="2166"/>
      <c r="P663" s="2171"/>
      <c r="Q663" s="2167"/>
      <c r="R663" s="437"/>
      <c r="S663" s="2168"/>
      <c r="T663" s="179"/>
      <c r="U663" s="178"/>
      <c r="V663" s="2168"/>
      <c r="W663" s="2168"/>
      <c r="X663" s="470"/>
      <c r="Y663" s="470"/>
      <c r="Z663" s="471"/>
      <c r="AA663" s="471"/>
      <c r="AB663" s="466"/>
    </row>
    <row r="664" spans="1:28" s="352" customFormat="1" ht="18" customHeight="1" x14ac:dyDescent="0.2">
      <c r="A664" s="88"/>
      <c r="B664" s="180"/>
      <c r="C664" s="180"/>
      <c r="D664" s="88"/>
      <c r="E664" s="88"/>
      <c r="F664" s="88"/>
      <c r="G664" s="88"/>
      <c r="H664" s="120"/>
      <c r="I664" s="121"/>
      <c r="J664" s="181"/>
      <c r="K664" s="121"/>
      <c r="L664" s="88"/>
      <c r="M664" s="88"/>
      <c r="N664" s="88"/>
      <c r="O664" s="88"/>
      <c r="P664" s="88"/>
      <c r="Q664" s="129"/>
      <c r="R664" s="445"/>
      <c r="S664" s="121"/>
      <c r="T664" s="182"/>
      <c r="U664" s="181"/>
      <c r="V664" s="121"/>
      <c r="W664" s="121"/>
      <c r="X664" s="472"/>
      <c r="Y664" s="472"/>
      <c r="Z664" s="473"/>
      <c r="AA664" s="473"/>
      <c r="AB664" s="410"/>
    </row>
    <row r="665" spans="1:28" s="352" customFormat="1" ht="18" customHeight="1" x14ac:dyDescent="0.2">
      <c r="A665" s="1850"/>
      <c r="B665" s="1850"/>
      <c r="C665" s="1850"/>
      <c r="D665" s="1850"/>
      <c r="E665" s="1850"/>
      <c r="F665" s="1850"/>
      <c r="G665" s="1850"/>
      <c r="H665" s="1851"/>
      <c r="I665" s="1852"/>
      <c r="J665" s="1853"/>
      <c r="K665" s="1852"/>
      <c r="L665" s="1852"/>
      <c r="M665" s="1852"/>
      <c r="N665" s="1852"/>
      <c r="O665" s="1852"/>
      <c r="P665" s="1852"/>
      <c r="Q665" s="1852"/>
      <c r="R665" s="1854"/>
      <c r="S665" s="1852"/>
      <c r="T665" s="1855"/>
      <c r="U665" s="1853"/>
      <c r="V665" s="1852"/>
      <c r="W665" s="1852"/>
      <c r="X665" s="1856"/>
      <c r="Y665" s="1856"/>
      <c r="Z665" s="1857"/>
      <c r="AA665" s="1857"/>
      <c r="AB665" s="1847">
        <f>SUM(AB651:AB664)</f>
        <v>3006</v>
      </c>
    </row>
    <row r="666" spans="1:28" s="352" customFormat="1" ht="18" customHeight="1" x14ac:dyDescent="0.2">
      <c r="A666" s="2778" t="s">
        <v>76</v>
      </c>
      <c r="B666" s="2778"/>
      <c r="C666" s="2779" t="s">
        <v>77</v>
      </c>
      <c r="D666" s="2779"/>
      <c r="E666" s="2779"/>
      <c r="F666" s="2779"/>
      <c r="G666" s="2779"/>
      <c r="H666" s="2779"/>
      <c r="I666" s="424" t="s">
        <v>78</v>
      </c>
      <c r="J666" s="424"/>
      <c r="K666" s="424"/>
      <c r="L666" s="424"/>
      <c r="M666" s="424"/>
      <c r="N666" s="424"/>
      <c r="AB666" s="425"/>
    </row>
    <row r="667" spans="1:28" s="352" customFormat="1" ht="18" customHeight="1" x14ac:dyDescent="0.2">
      <c r="A667" s="424"/>
      <c r="B667" s="426"/>
      <c r="C667" s="424"/>
      <c r="D667" s="424"/>
      <c r="E667" s="424"/>
      <c r="F667" s="424"/>
      <c r="G667" s="424"/>
      <c r="H667" s="424"/>
      <c r="I667" s="424" t="s">
        <v>79</v>
      </c>
      <c r="J667" s="424"/>
      <c r="K667" s="424"/>
      <c r="L667" s="424"/>
      <c r="M667" s="424"/>
      <c r="N667" s="424"/>
      <c r="AB667" s="425"/>
    </row>
    <row r="668" spans="1:28" s="352" customFormat="1" ht="18" customHeight="1" x14ac:dyDescent="0.2">
      <c r="A668" s="424"/>
      <c r="B668" s="426"/>
      <c r="C668" s="424"/>
      <c r="D668" s="424"/>
      <c r="E668" s="424"/>
      <c r="F668" s="424"/>
      <c r="G668" s="424"/>
      <c r="H668" s="424"/>
      <c r="I668" s="424" t="s">
        <v>80</v>
      </c>
      <c r="J668" s="424"/>
      <c r="K668" s="424"/>
      <c r="L668" s="424"/>
      <c r="M668" s="424"/>
      <c r="N668" s="424"/>
      <c r="AB668" s="425"/>
    </row>
    <row r="669" spans="1:28" s="352" customFormat="1" ht="18" customHeight="1" x14ac:dyDescent="0.2">
      <c r="A669" s="424"/>
      <c r="B669" s="426"/>
      <c r="C669" s="424"/>
      <c r="D669" s="424"/>
      <c r="E669" s="424"/>
      <c r="F669" s="424"/>
      <c r="G669" s="424"/>
      <c r="H669" s="424"/>
      <c r="I669" s="424" t="s">
        <v>81</v>
      </c>
      <c r="J669" s="424"/>
      <c r="K669" s="424"/>
      <c r="L669" s="424"/>
      <c r="M669" s="424"/>
      <c r="N669" s="424"/>
      <c r="AB669" s="425"/>
    </row>
    <row r="670" spans="1:28" s="352" customFormat="1" ht="18" customHeight="1" x14ac:dyDescent="0.2">
      <c r="A670" s="424"/>
      <c r="B670" s="426"/>
      <c r="C670" s="424"/>
      <c r="D670" s="424"/>
      <c r="E670" s="424"/>
      <c r="F670" s="424"/>
      <c r="G670" s="424"/>
      <c r="H670" s="424"/>
      <c r="I670" s="424" t="s">
        <v>88</v>
      </c>
      <c r="J670" s="424"/>
      <c r="K670" s="424"/>
      <c r="L670" s="424"/>
      <c r="M670" s="424"/>
      <c r="N670" s="424"/>
      <c r="AB670" s="425"/>
    </row>
    <row r="671" spans="1:28" s="352" customFormat="1" ht="18" customHeight="1" x14ac:dyDescent="0.2">
      <c r="A671" s="338"/>
      <c r="B671" s="338"/>
      <c r="C671" s="338"/>
      <c r="D671" s="338"/>
      <c r="E671" s="338"/>
      <c r="F671" s="338"/>
      <c r="G671" s="338"/>
      <c r="H671" s="338"/>
      <c r="I671" s="338"/>
      <c r="J671" s="338"/>
      <c r="K671" s="338"/>
      <c r="L671" s="338"/>
      <c r="M671" s="338"/>
      <c r="N671" s="338"/>
      <c r="O671" s="338"/>
      <c r="P671" s="338"/>
      <c r="Q671" s="338"/>
      <c r="R671" s="338"/>
      <c r="S671" s="338"/>
      <c r="T671" s="338"/>
      <c r="U671" s="338"/>
      <c r="V671" s="338"/>
      <c r="W671" s="338"/>
      <c r="X671" s="338"/>
      <c r="Y671" s="338"/>
      <c r="Z671" s="338"/>
      <c r="AA671" s="2774" t="s">
        <v>0</v>
      </c>
      <c r="AB671" s="2774"/>
    </row>
    <row r="672" spans="1:28" s="352" customFormat="1" ht="18" customHeight="1" x14ac:dyDescent="0.2">
      <c r="A672" s="2703" t="s">
        <v>1</v>
      </c>
      <c r="B672" s="2703"/>
      <c r="C672" s="2703"/>
      <c r="D672" s="2703"/>
      <c r="E672" s="2703"/>
      <c r="F672" s="2703"/>
      <c r="G672" s="2703"/>
      <c r="H672" s="2703"/>
      <c r="I672" s="2703"/>
      <c r="J672" s="2703"/>
      <c r="K672" s="2703"/>
      <c r="L672" s="2703"/>
      <c r="M672" s="2703"/>
      <c r="N672" s="2703"/>
      <c r="O672" s="2703"/>
      <c r="P672" s="2703"/>
      <c r="Q672" s="2703"/>
      <c r="R672" s="2703"/>
      <c r="S672" s="2703"/>
      <c r="T672" s="2703"/>
      <c r="U672" s="2703"/>
      <c r="V672" s="2703"/>
      <c r="W672" s="2703"/>
      <c r="X672" s="2703"/>
      <c r="Y672" s="2703"/>
      <c r="Z672" s="2703"/>
      <c r="AA672" s="2703"/>
      <c r="AB672" s="2703"/>
    </row>
    <row r="673" spans="1:28" s="352" customFormat="1" ht="18" customHeight="1" x14ac:dyDescent="0.2">
      <c r="A673" s="2780" t="s">
        <v>622</v>
      </c>
      <c r="B673" s="2780"/>
      <c r="C673" s="2780"/>
      <c r="D673" s="2780"/>
      <c r="E673" s="2780"/>
      <c r="F673" s="2780"/>
      <c r="G673" s="2780"/>
      <c r="H673" s="2780"/>
      <c r="I673" s="2780"/>
      <c r="J673" s="2780"/>
      <c r="K673" s="2780"/>
      <c r="L673" s="2780"/>
      <c r="M673" s="2780"/>
      <c r="N673" s="2780"/>
      <c r="O673" s="2780"/>
      <c r="P673" s="2780"/>
      <c r="Q673" s="2780"/>
      <c r="R673" s="2780"/>
      <c r="S673" s="2780"/>
      <c r="T673" s="2780"/>
      <c r="U673" s="2780"/>
      <c r="V673" s="2780"/>
      <c r="W673" s="2780"/>
      <c r="X673" s="2780"/>
      <c r="Y673" s="2780"/>
      <c r="Z673" s="2780"/>
      <c r="AA673" s="2780"/>
      <c r="AB673" s="2780"/>
    </row>
    <row r="674" spans="1:28" s="352" customFormat="1" ht="18" customHeight="1" x14ac:dyDescent="0.2">
      <c r="A674" s="2686" t="s">
        <v>2</v>
      </c>
      <c r="B674" s="360"/>
      <c r="C674" s="2686" t="s">
        <v>3</v>
      </c>
      <c r="D674" s="360"/>
      <c r="E674" s="360"/>
      <c r="F674" s="2693" t="s">
        <v>4</v>
      </c>
      <c r="G674" s="2693"/>
      <c r="H674" s="2693"/>
      <c r="I674" s="2694"/>
      <c r="J674" s="2694"/>
      <c r="K674" s="2695"/>
      <c r="L674" s="361"/>
      <c r="M674" s="2679" t="s">
        <v>5</v>
      </c>
      <c r="N674" s="2679"/>
      <c r="O674" s="2679"/>
      <c r="P674" s="2679"/>
      <c r="Q674" s="2696"/>
      <c r="R674" s="2696"/>
      <c r="S674" s="2696"/>
      <c r="T674" s="2696"/>
      <c r="U674" s="2696"/>
      <c r="V674" s="2697"/>
      <c r="W674" s="362" t="s">
        <v>6</v>
      </c>
      <c r="X674" s="363" t="s">
        <v>7</v>
      </c>
      <c r="Y674" s="364"/>
      <c r="Z674" s="364"/>
      <c r="AA674" s="363"/>
      <c r="AB674" s="365"/>
    </row>
    <row r="675" spans="1:28" s="352" customFormat="1" ht="18" customHeight="1" x14ac:dyDescent="0.2">
      <c r="A675" s="2687"/>
      <c r="B675" s="367"/>
      <c r="C675" s="2687"/>
      <c r="D675" s="2158" t="s">
        <v>9</v>
      </c>
      <c r="E675" s="368" t="s">
        <v>10</v>
      </c>
      <c r="F675" s="2698" t="s">
        <v>11</v>
      </c>
      <c r="G675" s="2694"/>
      <c r="H675" s="2695"/>
      <c r="I675" s="360"/>
      <c r="J675" s="369" t="s">
        <v>12</v>
      </c>
      <c r="K675" s="360"/>
      <c r="L675" s="2679" t="s">
        <v>2</v>
      </c>
      <c r="M675" s="2162"/>
      <c r="N675" s="2162"/>
      <c r="O675" s="2162"/>
      <c r="P675" s="371"/>
      <c r="Q675" s="372" t="s">
        <v>13</v>
      </c>
      <c r="R675" s="373" t="s">
        <v>12</v>
      </c>
      <c r="S675" s="2162" t="s">
        <v>6</v>
      </c>
      <c r="T675" s="2682" t="s">
        <v>14</v>
      </c>
      <c r="U675" s="2683"/>
      <c r="V675" s="375" t="s">
        <v>7</v>
      </c>
      <c r="W675" s="376" t="s">
        <v>15</v>
      </c>
      <c r="X675" s="377" t="s">
        <v>16</v>
      </c>
      <c r="Y675" s="377" t="s">
        <v>17</v>
      </c>
      <c r="Z675" s="377" t="s">
        <v>18</v>
      </c>
      <c r="AA675" s="377"/>
      <c r="AB675" s="378" t="s">
        <v>19</v>
      </c>
    </row>
    <row r="676" spans="1:28" s="352" customFormat="1" ht="18" customHeight="1" x14ac:dyDescent="0.2">
      <c r="A676" s="2687"/>
      <c r="B676" s="2158" t="s">
        <v>23</v>
      </c>
      <c r="C676" s="2687"/>
      <c r="D676" s="2158" t="s">
        <v>24</v>
      </c>
      <c r="E676" s="368" t="s">
        <v>25</v>
      </c>
      <c r="F676" s="2699"/>
      <c r="G676" s="2700"/>
      <c r="H676" s="2701"/>
      <c r="I676" s="2158" t="s">
        <v>26</v>
      </c>
      <c r="J676" s="379" t="s">
        <v>15</v>
      </c>
      <c r="K676" s="2159" t="s">
        <v>6</v>
      </c>
      <c r="L676" s="2680"/>
      <c r="M676" s="2163" t="s">
        <v>27</v>
      </c>
      <c r="N676" s="2163" t="s">
        <v>10</v>
      </c>
      <c r="O676" s="382" t="s">
        <v>10</v>
      </c>
      <c r="P676" s="383" t="s">
        <v>28</v>
      </c>
      <c r="Q676" s="384" t="s">
        <v>29</v>
      </c>
      <c r="R676" s="383" t="s">
        <v>15</v>
      </c>
      <c r="S676" s="385" t="s">
        <v>15</v>
      </c>
      <c r="T676" s="2684"/>
      <c r="U676" s="2685"/>
      <c r="V676" s="375" t="s">
        <v>30</v>
      </c>
      <c r="W676" s="376" t="s">
        <v>31</v>
      </c>
      <c r="X676" s="377" t="s">
        <v>30</v>
      </c>
      <c r="Y676" s="377" t="s">
        <v>32</v>
      </c>
      <c r="Z676" s="377" t="s">
        <v>7</v>
      </c>
      <c r="AA676" s="377" t="s">
        <v>33</v>
      </c>
      <c r="AB676" s="378" t="s">
        <v>34</v>
      </c>
    </row>
    <row r="677" spans="1:28" s="352" customFormat="1" ht="18" customHeight="1" x14ac:dyDescent="0.2">
      <c r="A677" s="2687"/>
      <c r="B677" s="2158" t="s">
        <v>39</v>
      </c>
      <c r="C677" s="2687"/>
      <c r="D677" s="2158" t="s">
        <v>40</v>
      </c>
      <c r="E677" s="368" t="s">
        <v>41</v>
      </c>
      <c r="F677" s="2686" t="s">
        <v>42</v>
      </c>
      <c r="G677" s="2686" t="s">
        <v>43</v>
      </c>
      <c r="H677" s="2688" t="s">
        <v>44</v>
      </c>
      <c r="I677" s="2158" t="s">
        <v>45</v>
      </c>
      <c r="J677" s="379" t="s">
        <v>46</v>
      </c>
      <c r="K677" s="2159" t="s">
        <v>47</v>
      </c>
      <c r="L677" s="2680"/>
      <c r="M677" s="2163" t="s">
        <v>30</v>
      </c>
      <c r="N677" s="2163" t="s">
        <v>30</v>
      </c>
      <c r="O677" s="382" t="s">
        <v>25</v>
      </c>
      <c r="P677" s="383" t="s">
        <v>30</v>
      </c>
      <c r="Q677" s="384" t="s">
        <v>48</v>
      </c>
      <c r="R677" s="383" t="s">
        <v>49</v>
      </c>
      <c r="S677" s="385" t="s">
        <v>30</v>
      </c>
      <c r="T677" s="386" t="s">
        <v>50</v>
      </c>
      <c r="U677" s="2161" t="s">
        <v>13</v>
      </c>
      <c r="V677" s="375" t="s">
        <v>51</v>
      </c>
      <c r="W677" s="376" t="s">
        <v>52</v>
      </c>
      <c r="X677" s="377" t="s">
        <v>53</v>
      </c>
      <c r="Y677" s="377" t="s">
        <v>54</v>
      </c>
      <c r="Z677" s="377" t="s">
        <v>55</v>
      </c>
      <c r="AA677" s="377" t="s">
        <v>56</v>
      </c>
      <c r="AB677" s="378" t="s">
        <v>57</v>
      </c>
    </row>
    <row r="678" spans="1:28" s="352" customFormat="1" ht="18" customHeight="1" x14ac:dyDescent="0.2">
      <c r="A678" s="2687"/>
      <c r="B678" s="2158" t="s">
        <v>61</v>
      </c>
      <c r="C678" s="2687"/>
      <c r="D678" s="2158" t="s">
        <v>62</v>
      </c>
      <c r="E678" s="368" t="s">
        <v>63</v>
      </c>
      <c r="F678" s="2687"/>
      <c r="G678" s="2687"/>
      <c r="H678" s="2689"/>
      <c r="I678" s="2158" t="s">
        <v>64</v>
      </c>
      <c r="J678" s="379" t="s">
        <v>59</v>
      </c>
      <c r="K678" s="2159" t="s">
        <v>59</v>
      </c>
      <c r="L678" s="2680"/>
      <c r="M678" s="2163"/>
      <c r="N678" s="2163"/>
      <c r="O678" s="382" t="s">
        <v>41</v>
      </c>
      <c r="P678" s="383" t="s">
        <v>65</v>
      </c>
      <c r="Q678" s="384" t="s">
        <v>66</v>
      </c>
      <c r="R678" s="383" t="s">
        <v>67</v>
      </c>
      <c r="S678" s="385" t="s">
        <v>59</v>
      </c>
      <c r="T678" s="387" t="s">
        <v>68</v>
      </c>
      <c r="U678" s="375" t="s">
        <v>14</v>
      </c>
      <c r="V678" s="375" t="s">
        <v>14</v>
      </c>
      <c r="W678" s="376" t="s">
        <v>30</v>
      </c>
      <c r="X678" s="388" t="s">
        <v>69</v>
      </c>
      <c r="Y678" s="388" t="s">
        <v>70</v>
      </c>
      <c r="Z678" s="377" t="s">
        <v>71</v>
      </c>
      <c r="AA678" s="377" t="s">
        <v>72</v>
      </c>
      <c r="AB678" s="378" t="s">
        <v>59</v>
      </c>
    </row>
    <row r="679" spans="1:28" s="352" customFormat="1" ht="18" customHeight="1" x14ac:dyDescent="0.2">
      <c r="A679" s="2692"/>
      <c r="B679" s="390"/>
      <c r="C679" s="2692"/>
      <c r="D679" s="390"/>
      <c r="E679" s="2160"/>
      <c r="F679" s="390"/>
      <c r="G679" s="390"/>
      <c r="H679" s="391"/>
      <c r="I679" s="2160"/>
      <c r="J679" s="392"/>
      <c r="K679" s="393"/>
      <c r="L679" s="2681"/>
      <c r="M679" s="2164"/>
      <c r="N679" s="2164"/>
      <c r="O679" s="2164" t="s">
        <v>63</v>
      </c>
      <c r="P679" s="395"/>
      <c r="Q679" s="396" t="s">
        <v>72</v>
      </c>
      <c r="R679" s="397" t="s">
        <v>59</v>
      </c>
      <c r="S679" s="398"/>
      <c r="T679" s="397" t="s">
        <v>73</v>
      </c>
      <c r="U679" s="398" t="s">
        <v>59</v>
      </c>
      <c r="V679" s="399" t="s">
        <v>59</v>
      </c>
      <c r="W679" s="400" t="s">
        <v>59</v>
      </c>
      <c r="X679" s="401" t="s">
        <v>59</v>
      </c>
      <c r="Y679" s="401" t="s">
        <v>59</v>
      </c>
      <c r="Z679" s="401" t="s">
        <v>59</v>
      </c>
      <c r="AA679" s="402"/>
      <c r="AB679" s="403"/>
    </row>
    <row r="680" spans="1:28" s="352" customFormat="1" ht="18" customHeight="1" x14ac:dyDescent="0.2">
      <c r="A680" s="53">
        <v>1</v>
      </c>
      <c r="B680" s="95">
        <v>65847</v>
      </c>
      <c r="C680" s="82">
        <v>1309</v>
      </c>
      <c r="D680" s="82" t="s">
        <v>107</v>
      </c>
      <c r="E680" s="82">
        <v>4</v>
      </c>
      <c r="F680" s="82">
        <v>0</v>
      </c>
      <c r="G680" s="82">
        <v>1</v>
      </c>
      <c r="H680" s="463">
        <v>5</v>
      </c>
      <c r="I680" s="77">
        <f>F680*400+G680*100+H680</f>
        <v>105</v>
      </c>
      <c r="J680" s="2168">
        <v>1000</v>
      </c>
      <c r="K680" s="78">
        <f>SUM(I680*J680)</f>
        <v>105000</v>
      </c>
      <c r="L680" s="75"/>
      <c r="M680" s="61"/>
      <c r="N680" s="61"/>
      <c r="O680" s="61"/>
      <c r="P680" s="173"/>
      <c r="Q680" s="174"/>
      <c r="R680" s="408"/>
      <c r="S680" s="77"/>
      <c r="T680" s="135"/>
      <c r="U680" s="74"/>
      <c r="V680" s="74"/>
      <c r="W680" s="77">
        <f>K680+V680</f>
        <v>105000</v>
      </c>
      <c r="X680" s="74">
        <f>W680</f>
        <v>105000</v>
      </c>
      <c r="Y680" s="676"/>
      <c r="Z680" s="77">
        <f>X680-Y680</f>
        <v>105000</v>
      </c>
      <c r="AA680" s="2170">
        <v>0.6</v>
      </c>
      <c r="AB680" s="465">
        <f>+Z680*AA680/100</f>
        <v>630</v>
      </c>
    </row>
    <row r="681" spans="1:28" s="352" customFormat="1" ht="18" customHeight="1" x14ac:dyDescent="0.2">
      <c r="A681" s="2166"/>
      <c r="B681" s="196"/>
      <c r="C681" s="196"/>
      <c r="D681" s="2166"/>
      <c r="E681" s="2166"/>
      <c r="F681" s="467"/>
      <c r="G681" s="61"/>
      <c r="H681" s="173"/>
      <c r="I681" s="244"/>
      <c r="J681" s="437"/>
      <c r="K681" s="178"/>
      <c r="L681" s="2166"/>
      <c r="M681" s="178"/>
      <c r="N681" s="178"/>
      <c r="O681" s="178"/>
      <c r="P681" s="178"/>
      <c r="Q681" s="2167"/>
      <c r="R681" s="178"/>
      <c r="S681" s="178"/>
      <c r="T681" s="178"/>
      <c r="U681" s="178"/>
      <c r="V681" s="178"/>
      <c r="W681" s="178"/>
      <c r="X681" s="470"/>
      <c r="Y681" s="245"/>
      <c r="Z681" s="748"/>
      <c r="AA681" s="246"/>
      <c r="AB681" s="744"/>
    </row>
    <row r="682" spans="1:28" s="352" customFormat="1" ht="18" customHeight="1" x14ac:dyDescent="0.2">
      <c r="A682" s="2166"/>
      <c r="B682" s="177"/>
      <c r="C682" s="177"/>
      <c r="D682" s="2166"/>
      <c r="E682" s="2166"/>
      <c r="F682" s="2166"/>
      <c r="G682" s="2166"/>
      <c r="H682" s="2171"/>
      <c r="I682" s="2168"/>
      <c r="J682" s="178"/>
      <c r="K682" s="2168"/>
      <c r="L682" s="2166"/>
      <c r="M682" s="2166"/>
      <c r="N682" s="2166"/>
      <c r="O682" s="2166"/>
      <c r="P682" s="2171"/>
      <c r="Q682" s="2167"/>
      <c r="R682" s="437"/>
      <c r="S682" s="2168"/>
      <c r="T682" s="179"/>
      <c r="U682" s="178"/>
      <c r="V682" s="2168"/>
      <c r="W682" s="2168"/>
      <c r="X682" s="470"/>
      <c r="Y682" s="470"/>
      <c r="Z682" s="471"/>
      <c r="AA682" s="471"/>
      <c r="AB682" s="466"/>
    </row>
    <row r="683" spans="1:28" s="352" customFormat="1" ht="18" customHeight="1" x14ac:dyDescent="0.2">
      <c r="A683" s="2166"/>
      <c r="B683" s="177"/>
      <c r="C683" s="177"/>
      <c r="D683" s="2166"/>
      <c r="E683" s="2166"/>
      <c r="F683" s="2166"/>
      <c r="G683" s="2166"/>
      <c r="H683" s="2171"/>
      <c r="I683" s="2168"/>
      <c r="J683" s="178"/>
      <c r="K683" s="2168"/>
      <c r="L683" s="2166"/>
      <c r="M683" s="2166"/>
      <c r="N683" s="2166"/>
      <c r="O683" s="2166"/>
      <c r="P683" s="2171"/>
      <c r="Q683" s="2167"/>
      <c r="R683" s="437"/>
      <c r="S683" s="2168"/>
      <c r="T683" s="179"/>
      <c r="U683" s="178"/>
      <c r="V683" s="2168"/>
      <c r="W683" s="2168"/>
      <c r="X683" s="470"/>
      <c r="Y683" s="470"/>
      <c r="Z683" s="471"/>
      <c r="AA683" s="471"/>
      <c r="AB683" s="466"/>
    </row>
    <row r="684" spans="1:28" s="352" customFormat="1" ht="18" customHeight="1" x14ac:dyDescent="0.2">
      <c r="A684" s="2166"/>
      <c r="B684" s="177"/>
      <c r="C684" s="177"/>
      <c r="D684" s="2166"/>
      <c r="E684" s="2166"/>
      <c r="F684" s="2166"/>
      <c r="G684" s="2166"/>
      <c r="H684" s="2171"/>
      <c r="I684" s="2168"/>
      <c r="J684" s="178"/>
      <c r="K684" s="2168"/>
      <c r="L684" s="2166"/>
      <c r="M684" s="2166"/>
      <c r="N684" s="2166"/>
      <c r="O684" s="2166"/>
      <c r="P684" s="2171"/>
      <c r="Q684" s="2167"/>
      <c r="R684" s="437"/>
      <c r="S684" s="2168"/>
      <c r="T684" s="179"/>
      <c r="U684" s="178"/>
      <c r="V684" s="2168"/>
      <c r="W684" s="2168"/>
      <c r="X684" s="470"/>
      <c r="Y684" s="470"/>
      <c r="Z684" s="471"/>
      <c r="AA684" s="471"/>
      <c r="AB684" s="466"/>
    </row>
    <row r="685" spans="1:28" s="352" customFormat="1" ht="18" customHeight="1" x14ac:dyDescent="0.2">
      <c r="A685" s="2166"/>
      <c r="B685" s="177"/>
      <c r="C685" s="177"/>
      <c r="D685" s="2166"/>
      <c r="E685" s="2166"/>
      <c r="F685" s="2166"/>
      <c r="G685" s="2166"/>
      <c r="H685" s="2171"/>
      <c r="I685" s="2168"/>
      <c r="J685" s="178"/>
      <c r="K685" s="2168"/>
      <c r="L685" s="2166"/>
      <c r="M685" s="2166"/>
      <c r="N685" s="2166"/>
      <c r="O685" s="2166"/>
      <c r="P685" s="2171"/>
      <c r="Q685" s="2167"/>
      <c r="R685" s="437"/>
      <c r="S685" s="2168"/>
      <c r="T685" s="179"/>
      <c r="U685" s="178"/>
      <c r="V685" s="2168"/>
      <c r="W685" s="2168"/>
      <c r="X685" s="470"/>
      <c r="Y685" s="470"/>
      <c r="Z685" s="471"/>
      <c r="AA685" s="471"/>
      <c r="AB685" s="466"/>
    </row>
    <row r="686" spans="1:28" s="352" customFormat="1" ht="18" customHeight="1" x14ac:dyDescent="0.2">
      <c r="A686" s="2166"/>
      <c r="B686" s="177"/>
      <c r="C686" s="177"/>
      <c r="D686" s="2166"/>
      <c r="E686" s="2166"/>
      <c r="F686" s="2166"/>
      <c r="G686" s="2166"/>
      <c r="H686" s="2171"/>
      <c r="I686" s="2168"/>
      <c r="J686" s="178"/>
      <c r="K686" s="2168"/>
      <c r="L686" s="2166"/>
      <c r="M686" s="2166"/>
      <c r="N686" s="2166"/>
      <c r="O686" s="2166"/>
      <c r="P686" s="2171"/>
      <c r="Q686" s="2167"/>
      <c r="R686" s="437"/>
      <c r="S686" s="2168"/>
      <c r="T686" s="179"/>
      <c r="U686" s="178"/>
      <c r="V686" s="2168"/>
      <c r="W686" s="2168"/>
      <c r="X686" s="470"/>
      <c r="Y686" s="470"/>
      <c r="Z686" s="471"/>
      <c r="AA686" s="471"/>
      <c r="AB686" s="466"/>
    </row>
    <row r="687" spans="1:28" s="352" customFormat="1" ht="18" customHeight="1" x14ac:dyDescent="0.2">
      <c r="A687" s="2166"/>
      <c r="B687" s="177"/>
      <c r="C687" s="177"/>
      <c r="D687" s="2166"/>
      <c r="E687" s="2166"/>
      <c r="F687" s="2166"/>
      <c r="G687" s="2166"/>
      <c r="H687" s="2171"/>
      <c r="I687" s="2168"/>
      <c r="J687" s="178"/>
      <c r="K687" s="2168"/>
      <c r="L687" s="2166"/>
      <c r="M687" s="2166"/>
      <c r="N687" s="2166"/>
      <c r="O687" s="2166"/>
      <c r="P687" s="2171"/>
      <c r="Q687" s="2167"/>
      <c r="R687" s="437"/>
      <c r="S687" s="2168"/>
      <c r="T687" s="179"/>
      <c r="U687" s="178"/>
      <c r="V687" s="2168"/>
      <c r="W687" s="2168"/>
      <c r="X687" s="470"/>
      <c r="Y687" s="470"/>
      <c r="Z687" s="471"/>
      <c r="AA687" s="471"/>
      <c r="AB687" s="466"/>
    </row>
    <row r="688" spans="1:28" s="352" customFormat="1" ht="18" customHeight="1" x14ac:dyDescent="0.2">
      <c r="A688" s="2166"/>
      <c r="B688" s="177"/>
      <c r="C688" s="177"/>
      <c r="D688" s="2166"/>
      <c r="E688" s="2166"/>
      <c r="F688" s="2166"/>
      <c r="G688" s="2166"/>
      <c r="H688" s="2171"/>
      <c r="I688" s="2168"/>
      <c r="J688" s="178"/>
      <c r="K688" s="2168"/>
      <c r="L688" s="2166"/>
      <c r="M688" s="2166"/>
      <c r="N688" s="2166"/>
      <c r="O688" s="2166"/>
      <c r="P688" s="2171"/>
      <c r="Q688" s="2167"/>
      <c r="R688" s="437"/>
      <c r="S688" s="2168"/>
      <c r="T688" s="179"/>
      <c r="U688" s="178"/>
      <c r="V688" s="2168"/>
      <c r="W688" s="2168"/>
      <c r="X688" s="470"/>
      <c r="Y688" s="470"/>
      <c r="Z688" s="471"/>
      <c r="AA688" s="471"/>
      <c r="AB688" s="466"/>
    </row>
    <row r="689" spans="1:28" s="352" customFormat="1" ht="18" customHeight="1" x14ac:dyDescent="0.2">
      <c r="A689" s="2166"/>
      <c r="B689" s="177"/>
      <c r="C689" s="177"/>
      <c r="D689" s="2166"/>
      <c r="E689" s="2166"/>
      <c r="F689" s="2166"/>
      <c r="G689" s="2166"/>
      <c r="H689" s="2171"/>
      <c r="I689" s="2168"/>
      <c r="J689" s="178"/>
      <c r="K689" s="2168"/>
      <c r="L689" s="2166"/>
      <c r="M689" s="2166"/>
      <c r="N689" s="2166"/>
      <c r="O689" s="2166"/>
      <c r="P689" s="2171"/>
      <c r="Q689" s="2167"/>
      <c r="R689" s="437"/>
      <c r="S689" s="2168"/>
      <c r="T689" s="179"/>
      <c r="U689" s="178"/>
      <c r="V689" s="2168"/>
      <c r="W689" s="2168"/>
      <c r="X689" s="470"/>
      <c r="Y689" s="470"/>
      <c r="Z689" s="471"/>
      <c r="AA689" s="471"/>
      <c r="AB689" s="466"/>
    </row>
    <row r="690" spans="1:28" s="352" customFormat="1" ht="18" customHeight="1" x14ac:dyDescent="0.2">
      <c r="A690" s="2166"/>
      <c r="B690" s="177"/>
      <c r="C690" s="177"/>
      <c r="D690" s="2166"/>
      <c r="E690" s="2166"/>
      <c r="F690" s="2166"/>
      <c r="G690" s="2166"/>
      <c r="H690" s="2171"/>
      <c r="I690" s="2168"/>
      <c r="J690" s="178"/>
      <c r="K690" s="2168"/>
      <c r="L690" s="2166"/>
      <c r="M690" s="2166"/>
      <c r="N690" s="2166"/>
      <c r="O690" s="2166"/>
      <c r="P690" s="2171"/>
      <c r="Q690" s="2167"/>
      <c r="R690" s="437"/>
      <c r="S690" s="2168"/>
      <c r="T690" s="179"/>
      <c r="U690" s="178"/>
      <c r="V690" s="2168"/>
      <c r="W690" s="2168"/>
      <c r="X690" s="470"/>
      <c r="Y690" s="470"/>
      <c r="Z690" s="471"/>
      <c r="AA690" s="471"/>
      <c r="AB690" s="466"/>
    </row>
    <row r="691" spans="1:28" s="352" customFormat="1" ht="18" customHeight="1" x14ac:dyDescent="0.2">
      <c r="A691" s="2166"/>
      <c r="B691" s="177"/>
      <c r="C691" s="177"/>
      <c r="D691" s="2166"/>
      <c r="E691" s="2166"/>
      <c r="F691" s="2166"/>
      <c r="G691" s="2166"/>
      <c r="H691" s="2171"/>
      <c r="I691" s="2168"/>
      <c r="J691" s="178"/>
      <c r="K691" s="2168"/>
      <c r="L691" s="2166"/>
      <c r="M691" s="2166"/>
      <c r="N691" s="2166"/>
      <c r="O691" s="2166"/>
      <c r="P691" s="2171"/>
      <c r="Q691" s="2167"/>
      <c r="R691" s="437"/>
      <c r="S691" s="2168"/>
      <c r="T691" s="179"/>
      <c r="U691" s="178"/>
      <c r="V691" s="2168"/>
      <c r="W691" s="2168"/>
      <c r="X691" s="470"/>
      <c r="Y691" s="470"/>
      <c r="Z691" s="471"/>
      <c r="AA691" s="471"/>
      <c r="AB691" s="466"/>
    </row>
    <row r="692" spans="1:28" s="352" customFormat="1" ht="18" customHeight="1" x14ac:dyDescent="0.2">
      <c r="A692" s="2166"/>
      <c r="B692" s="177"/>
      <c r="C692" s="177"/>
      <c r="D692" s="2166"/>
      <c r="E692" s="2166"/>
      <c r="F692" s="2166"/>
      <c r="G692" s="2166"/>
      <c r="H692" s="2171"/>
      <c r="I692" s="2168"/>
      <c r="J692" s="178"/>
      <c r="K692" s="2168"/>
      <c r="L692" s="2166"/>
      <c r="M692" s="2166"/>
      <c r="N692" s="2166"/>
      <c r="O692" s="2166"/>
      <c r="P692" s="2171"/>
      <c r="Q692" s="2167"/>
      <c r="R692" s="437"/>
      <c r="S692" s="2168"/>
      <c r="T692" s="179"/>
      <c r="U692" s="178"/>
      <c r="V692" s="2168"/>
      <c r="W692" s="2168"/>
      <c r="X692" s="470"/>
      <c r="Y692" s="470"/>
      <c r="Z692" s="471"/>
      <c r="AA692" s="471"/>
      <c r="AB692" s="466"/>
    </row>
    <row r="693" spans="1:28" s="352" customFormat="1" ht="18" customHeight="1" x14ac:dyDescent="0.2">
      <c r="A693" s="88"/>
      <c r="B693" s="180"/>
      <c r="C693" s="180"/>
      <c r="D693" s="88"/>
      <c r="E693" s="88"/>
      <c r="F693" s="88"/>
      <c r="G693" s="88"/>
      <c r="H693" s="120"/>
      <c r="I693" s="121"/>
      <c r="J693" s="181"/>
      <c r="K693" s="121"/>
      <c r="L693" s="88"/>
      <c r="M693" s="88"/>
      <c r="N693" s="88"/>
      <c r="O693" s="88"/>
      <c r="P693" s="88"/>
      <c r="Q693" s="129"/>
      <c r="R693" s="445"/>
      <c r="S693" s="121"/>
      <c r="T693" s="182"/>
      <c r="U693" s="181"/>
      <c r="V693" s="121"/>
      <c r="W693" s="121"/>
      <c r="X693" s="472"/>
      <c r="Y693" s="472"/>
      <c r="Z693" s="473"/>
      <c r="AA693" s="473"/>
      <c r="AB693" s="410"/>
    </row>
    <row r="694" spans="1:28" s="352" customFormat="1" ht="18" customHeight="1" x14ac:dyDescent="0.2">
      <c r="A694" s="1850"/>
      <c r="B694" s="1850"/>
      <c r="C694" s="1850"/>
      <c r="D694" s="1850"/>
      <c r="E694" s="1850"/>
      <c r="F694" s="1850"/>
      <c r="G694" s="1850"/>
      <c r="H694" s="1851"/>
      <c r="I694" s="1852"/>
      <c r="J694" s="1853"/>
      <c r="K694" s="1852"/>
      <c r="L694" s="1852"/>
      <c r="M694" s="1852"/>
      <c r="N694" s="1852"/>
      <c r="O694" s="1852"/>
      <c r="P694" s="1852"/>
      <c r="Q694" s="1852"/>
      <c r="R694" s="1854"/>
      <c r="S694" s="1852"/>
      <c r="T694" s="1855"/>
      <c r="U694" s="1853"/>
      <c r="V694" s="1852"/>
      <c r="W694" s="1852"/>
      <c r="X694" s="1856"/>
      <c r="Y694" s="1856"/>
      <c r="Z694" s="1857"/>
      <c r="AA694" s="1857"/>
      <c r="AB694" s="1847">
        <f>SUM(AB680:AB693)</f>
        <v>630</v>
      </c>
    </row>
    <row r="695" spans="1:28" s="352" customFormat="1" ht="18" customHeight="1" x14ac:dyDescent="0.2">
      <c r="A695" s="2778" t="s">
        <v>76</v>
      </c>
      <c r="B695" s="2778"/>
      <c r="C695" s="2779" t="s">
        <v>77</v>
      </c>
      <c r="D695" s="2779"/>
      <c r="E695" s="2779"/>
      <c r="F695" s="2779"/>
      <c r="G695" s="2779"/>
      <c r="H695" s="2779"/>
      <c r="I695" s="424" t="s">
        <v>78</v>
      </c>
      <c r="J695" s="424"/>
      <c r="K695" s="424"/>
      <c r="L695" s="424"/>
      <c r="M695" s="424"/>
      <c r="N695" s="424"/>
      <c r="AB695" s="425"/>
    </row>
    <row r="696" spans="1:28" s="352" customFormat="1" ht="18" customHeight="1" x14ac:dyDescent="0.2">
      <c r="A696" s="424"/>
      <c r="B696" s="426"/>
      <c r="C696" s="424"/>
      <c r="D696" s="424"/>
      <c r="E696" s="424"/>
      <c r="F696" s="424"/>
      <c r="G696" s="424"/>
      <c r="H696" s="424"/>
      <c r="I696" s="424" t="s">
        <v>79</v>
      </c>
      <c r="J696" s="424"/>
      <c r="K696" s="424"/>
      <c r="L696" s="424"/>
      <c r="M696" s="424"/>
      <c r="N696" s="424"/>
      <c r="AB696" s="425"/>
    </row>
    <row r="697" spans="1:28" s="352" customFormat="1" ht="18" customHeight="1" x14ac:dyDescent="0.2">
      <c r="A697" s="424"/>
      <c r="B697" s="426"/>
      <c r="C697" s="424"/>
      <c r="D697" s="424"/>
      <c r="E697" s="424"/>
      <c r="F697" s="424"/>
      <c r="G697" s="424"/>
      <c r="H697" s="424"/>
      <c r="I697" s="424" t="s">
        <v>80</v>
      </c>
      <c r="J697" s="424"/>
      <c r="K697" s="424"/>
      <c r="L697" s="424"/>
      <c r="M697" s="424"/>
      <c r="N697" s="424"/>
      <c r="AB697" s="425"/>
    </row>
    <row r="698" spans="1:28" s="352" customFormat="1" ht="18" customHeight="1" x14ac:dyDescent="0.2">
      <c r="A698" s="424"/>
      <c r="B698" s="426"/>
      <c r="C698" s="424"/>
      <c r="D698" s="424"/>
      <c r="E698" s="424"/>
      <c r="F698" s="424"/>
      <c r="G698" s="424"/>
      <c r="H698" s="424"/>
      <c r="I698" s="424" t="s">
        <v>81</v>
      </c>
      <c r="J698" s="424"/>
      <c r="K698" s="424"/>
      <c r="L698" s="424"/>
      <c r="M698" s="424"/>
      <c r="N698" s="424"/>
      <c r="AB698" s="425"/>
    </row>
    <row r="699" spans="1:28" s="352" customFormat="1" ht="18" customHeight="1" x14ac:dyDescent="0.2">
      <c r="A699" s="424"/>
      <c r="B699" s="426"/>
      <c r="C699" s="424"/>
      <c r="D699" s="424"/>
      <c r="E699" s="424"/>
      <c r="F699" s="424"/>
      <c r="G699" s="424"/>
      <c r="H699" s="424"/>
      <c r="I699" s="424" t="s">
        <v>88</v>
      </c>
      <c r="J699" s="424"/>
      <c r="K699" s="424"/>
      <c r="L699" s="424"/>
      <c r="M699" s="424"/>
      <c r="N699" s="424"/>
      <c r="AB699" s="425"/>
    </row>
    <row r="700" spans="1:28" s="352" customFormat="1" ht="18" customHeight="1" x14ac:dyDescent="0.2">
      <c r="A700" s="338"/>
      <c r="B700" s="338"/>
      <c r="C700" s="338"/>
      <c r="D700" s="338"/>
      <c r="E700" s="338"/>
      <c r="F700" s="338"/>
      <c r="G700" s="338"/>
      <c r="H700" s="338"/>
      <c r="I700" s="338"/>
      <c r="J700" s="338"/>
      <c r="K700" s="338"/>
      <c r="L700" s="338"/>
      <c r="M700" s="338"/>
      <c r="N700" s="338"/>
      <c r="O700" s="338"/>
      <c r="P700" s="338"/>
      <c r="Q700" s="338"/>
      <c r="R700" s="338"/>
      <c r="S700" s="338"/>
      <c r="T700" s="338"/>
      <c r="U700" s="338"/>
      <c r="V700" s="338"/>
      <c r="W700" s="338"/>
      <c r="X700" s="338"/>
      <c r="Y700" s="338"/>
      <c r="Z700" s="338"/>
      <c r="AA700" s="2774" t="s">
        <v>0</v>
      </c>
      <c r="AB700" s="2774"/>
    </row>
    <row r="701" spans="1:28" s="352" customFormat="1" ht="18" customHeight="1" x14ac:dyDescent="0.2">
      <c r="A701" s="2703" t="s">
        <v>1</v>
      </c>
      <c r="B701" s="2703"/>
      <c r="C701" s="2703"/>
      <c r="D701" s="2703"/>
      <c r="E701" s="2703"/>
      <c r="F701" s="2703"/>
      <c r="G701" s="2703"/>
      <c r="H701" s="2703"/>
      <c r="I701" s="2703"/>
      <c r="J701" s="2703"/>
      <c r="K701" s="2703"/>
      <c r="L701" s="2703"/>
      <c r="M701" s="2703"/>
      <c r="N701" s="2703"/>
      <c r="O701" s="2703"/>
      <c r="P701" s="2703"/>
      <c r="Q701" s="2703"/>
      <c r="R701" s="2703"/>
      <c r="S701" s="2703"/>
      <c r="T701" s="2703"/>
      <c r="U701" s="2703"/>
      <c r="V701" s="2703"/>
      <c r="W701" s="2703"/>
      <c r="X701" s="2703"/>
      <c r="Y701" s="2703"/>
      <c r="Z701" s="2703"/>
      <c r="AA701" s="2703"/>
      <c r="AB701" s="2703"/>
    </row>
    <row r="702" spans="1:28" s="352" customFormat="1" ht="18" customHeight="1" x14ac:dyDescent="0.2">
      <c r="A702" s="2780" t="s">
        <v>623</v>
      </c>
      <c r="B702" s="2780"/>
      <c r="C702" s="2780"/>
      <c r="D702" s="2780"/>
      <c r="E702" s="2780"/>
      <c r="F702" s="2780"/>
      <c r="G702" s="2780"/>
      <c r="H702" s="2780"/>
      <c r="I702" s="2780"/>
      <c r="J702" s="2780"/>
      <c r="K702" s="2780"/>
      <c r="L702" s="2780"/>
      <c r="M702" s="2780"/>
      <c r="N702" s="2780"/>
      <c r="O702" s="2780"/>
      <c r="P702" s="2780"/>
      <c r="Q702" s="2780"/>
      <c r="R702" s="2780"/>
      <c r="S702" s="2780"/>
      <c r="T702" s="2780"/>
      <c r="U702" s="2780"/>
      <c r="V702" s="2780"/>
      <c r="W702" s="2780"/>
      <c r="X702" s="2780"/>
      <c r="Y702" s="2780"/>
      <c r="Z702" s="2780"/>
      <c r="AA702" s="2780"/>
      <c r="AB702" s="2780"/>
    </row>
    <row r="703" spans="1:28" s="352" customFormat="1" ht="18" customHeight="1" x14ac:dyDescent="0.2">
      <c r="A703" s="2686" t="s">
        <v>2</v>
      </c>
      <c r="B703" s="360"/>
      <c r="C703" s="2686" t="s">
        <v>3</v>
      </c>
      <c r="D703" s="360"/>
      <c r="E703" s="360"/>
      <c r="F703" s="2693" t="s">
        <v>4</v>
      </c>
      <c r="G703" s="2693"/>
      <c r="H703" s="2693"/>
      <c r="I703" s="2694"/>
      <c r="J703" s="2694"/>
      <c r="K703" s="2695"/>
      <c r="L703" s="361"/>
      <c r="M703" s="2679" t="s">
        <v>5</v>
      </c>
      <c r="N703" s="2679"/>
      <c r="O703" s="2679"/>
      <c r="P703" s="2679"/>
      <c r="Q703" s="2696"/>
      <c r="R703" s="2696"/>
      <c r="S703" s="2696"/>
      <c r="T703" s="2696"/>
      <c r="U703" s="2696"/>
      <c r="V703" s="2697"/>
      <c r="W703" s="362" t="s">
        <v>6</v>
      </c>
      <c r="X703" s="363" t="s">
        <v>7</v>
      </c>
      <c r="Y703" s="364"/>
      <c r="Z703" s="364"/>
      <c r="AA703" s="363"/>
      <c r="AB703" s="365"/>
    </row>
    <row r="704" spans="1:28" s="352" customFormat="1" ht="18" customHeight="1" x14ac:dyDescent="0.2">
      <c r="A704" s="2687"/>
      <c r="B704" s="367"/>
      <c r="C704" s="2687"/>
      <c r="D704" s="2158" t="s">
        <v>9</v>
      </c>
      <c r="E704" s="368" t="s">
        <v>10</v>
      </c>
      <c r="F704" s="2698" t="s">
        <v>11</v>
      </c>
      <c r="G704" s="2694"/>
      <c r="H704" s="2695"/>
      <c r="I704" s="360"/>
      <c r="J704" s="369" t="s">
        <v>12</v>
      </c>
      <c r="K704" s="360"/>
      <c r="L704" s="2679" t="s">
        <v>2</v>
      </c>
      <c r="M704" s="2162"/>
      <c r="N704" s="2162"/>
      <c r="O704" s="2162"/>
      <c r="P704" s="371"/>
      <c r="Q704" s="372" t="s">
        <v>13</v>
      </c>
      <c r="R704" s="373" t="s">
        <v>12</v>
      </c>
      <c r="S704" s="2162" t="s">
        <v>6</v>
      </c>
      <c r="T704" s="2682" t="s">
        <v>14</v>
      </c>
      <c r="U704" s="2683"/>
      <c r="V704" s="375" t="s">
        <v>7</v>
      </c>
      <c r="W704" s="376" t="s">
        <v>15</v>
      </c>
      <c r="X704" s="377" t="s">
        <v>16</v>
      </c>
      <c r="Y704" s="377" t="s">
        <v>17</v>
      </c>
      <c r="Z704" s="377" t="s">
        <v>18</v>
      </c>
      <c r="AA704" s="377"/>
      <c r="AB704" s="378" t="s">
        <v>19</v>
      </c>
    </row>
    <row r="705" spans="1:28" s="352" customFormat="1" ht="18" customHeight="1" x14ac:dyDescent="0.2">
      <c r="A705" s="2687"/>
      <c r="B705" s="2158" t="s">
        <v>23</v>
      </c>
      <c r="C705" s="2687"/>
      <c r="D705" s="2158" t="s">
        <v>24</v>
      </c>
      <c r="E705" s="368" t="s">
        <v>25</v>
      </c>
      <c r="F705" s="2699"/>
      <c r="G705" s="2700"/>
      <c r="H705" s="2701"/>
      <c r="I705" s="2158" t="s">
        <v>26</v>
      </c>
      <c r="J705" s="379" t="s">
        <v>15</v>
      </c>
      <c r="K705" s="2159" t="s">
        <v>6</v>
      </c>
      <c r="L705" s="2680"/>
      <c r="M705" s="2163" t="s">
        <v>27</v>
      </c>
      <c r="N705" s="2163" t="s">
        <v>10</v>
      </c>
      <c r="O705" s="382" t="s">
        <v>10</v>
      </c>
      <c r="P705" s="383" t="s">
        <v>28</v>
      </c>
      <c r="Q705" s="384" t="s">
        <v>29</v>
      </c>
      <c r="R705" s="383" t="s">
        <v>15</v>
      </c>
      <c r="S705" s="385" t="s">
        <v>15</v>
      </c>
      <c r="T705" s="2684"/>
      <c r="U705" s="2685"/>
      <c r="V705" s="375" t="s">
        <v>30</v>
      </c>
      <c r="W705" s="376" t="s">
        <v>31</v>
      </c>
      <c r="X705" s="377" t="s">
        <v>30</v>
      </c>
      <c r="Y705" s="377" t="s">
        <v>32</v>
      </c>
      <c r="Z705" s="377" t="s">
        <v>7</v>
      </c>
      <c r="AA705" s="377" t="s">
        <v>33</v>
      </c>
      <c r="AB705" s="378" t="s">
        <v>34</v>
      </c>
    </row>
    <row r="706" spans="1:28" s="352" customFormat="1" ht="18" customHeight="1" x14ac:dyDescent="0.2">
      <c r="A706" s="2687"/>
      <c r="B706" s="2158" t="s">
        <v>39</v>
      </c>
      <c r="C706" s="2687"/>
      <c r="D706" s="2158" t="s">
        <v>40</v>
      </c>
      <c r="E706" s="368" t="s">
        <v>41</v>
      </c>
      <c r="F706" s="2686" t="s">
        <v>42</v>
      </c>
      <c r="G706" s="2686" t="s">
        <v>43</v>
      </c>
      <c r="H706" s="2688" t="s">
        <v>44</v>
      </c>
      <c r="I706" s="2158" t="s">
        <v>45</v>
      </c>
      <c r="J706" s="379" t="s">
        <v>46</v>
      </c>
      <c r="K706" s="2159" t="s">
        <v>47</v>
      </c>
      <c r="L706" s="2680"/>
      <c r="M706" s="2163" t="s">
        <v>30</v>
      </c>
      <c r="N706" s="2163" t="s">
        <v>30</v>
      </c>
      <c r="O706" s="382" t="s">
        <v>25</v>
      </c>
      <c r="P706" s="383" t="s">
        <v>30</v>
      </c>
      <c r="Q706" s="384" t="s">
        <v>48</v>
      </c>
      <c r="R706" s="383" t="s">
        <v>49</v>
      </c>
      <c r="S706" s="385" t="s">
        <v>30</v>
      </c>
      <c r="T706" s="386" t="s">
        <v>50</v>
      </c>
      <c r="U706" s="2161" t="s">
        <v>13</v>
      </c>
      <c r="V706" s="375" t="s">
        <v>51</v>
      </c>
      <c r="W706" s="376" t="s">
        <v>52</v>
      </c>
      <c r="X706" s="377" t="s">
        <v>53</v>
      </c>
      <c r="Y706" s="377" t="s">
        <v>54</v>
      </c>
      <c r="Z706" s="377" t="s">
        <v>55</v>
      </c>
      <c r="AA706" s="377" t="s">
        <v>56</v>
      </c>
      <c r="AB706" s="378" t="s">
        <v>57</v>
      </c>
    </row>
    <row r="707" spans="1:28" s="352" customFormat="1" ht="18" customHeight="1" x14ac:dyDescent="0.2">
      <c r="A707" s="2687"/>
      <c r="B707" s="2158" t="s">
        <v>61</v>
      </c>
      <c r="C707" s="2687"/>
      <c r="D707" s="2158" t="s">
        <v>62</v>
      </c>
      <c r="E707" s="368" t="s">
        <v>63</v>
      </c>
      <c r="F707" s="2687"/>
      <c r="G707" s="2687"/>
      <c r="H707" s="2689"/>
      <c r="I707" s="2158" t="s">
        <v>64</v>
      </c>
      <c r="J707" s="379" t="s">
        <v>59</v>
      </c>
      <c r="K707" s="2159" t="s">
        <v>59</v>
      </c>
      <c r="L707" s="2680"/>
      <c r="M707" s="2163"/>
      <c r="N707" s="2163"/>
      <c r="O707" s="382" t="s">
        <v>41</v>
      </c>
      <c r="P707" s="383" t="s">
        <v>65</v>
      </c>
      <c r="Q707" s="384" t="s">
        <v>66</v>
      </c>
      <c r="R707" s="383" t="s">
        <v>67</v>
      </c>
      <c r="S707" s="385" t="s">
        <v>59</v>
      </c>
      <c r="T707" s="387" t="s">
        <v>68</v>
      </c>
      <c r="U707" s="375" t="s">
        <v>14</v>
      </c>
      <c r="V707" s="375" t="s">
        <v>14</v>
      </c>
      <c r="W707" s="376" t="s">
        <v>30</v>
      </c>
      <c r="X707" s="388" t="s">
        <v>69</v>
      </c>
      <c r="Y707" s="388" t="s">
        <v>70</v>
      </c>
      <c r="Z707" s="377" t="s">
        <v>71</v>
      </c>
      <c r="AA707" s="377" t="s">
        <v>72</v>
      </c>
      <c r="AB707" s="378" t="s">
        <v>59</v>
      </c>
    </row>
    <row r="708" spans="1:28" s="352" customFormat="1" ht="18" customHeight="1" x14ac:dyDescent="0.2">
      <c r="A708" s="2692"/>
      <c r="B708" s="390"/>
      <c r="C708" s="2692"/>
      <c r="D708" s="390"/>
      <c r="E708" s="2160"/>
      <c r="F708" s="390"/>
      <c r="G708" s="390"/>
      <c r="H708" s="391"/>
      <c r="I708" s="2160"/>
      <c r="J708" s="392"/>
      <c r="K708" s="393"/>
      <c r="L708" s="2681"/>
      <c r="M708" s="2164"/>
      <c r="N708" s="2164"/>
      <c r="O708" s="2164" t="s">
        <v>63</v>
      </c>
      <c r="P708" s="395"/>
      <c r="Q708" s="396" t="s">
        <v>72</v>
      </c>
      <c r="R708" s="397" t="s">
        <v>59</v>
      </c>
      <c r="S708" s="398"/>
      <c r="T708" s="397" t="s">
        <v>73</v>
      </c>
      <c r="U708" s="398" t="s">
        <v>59</v>
      </c>
      <c r="V708" s="399" t="s">
        <v>59</v>
      </c>
      <c r="W708" s="400" t="s">
        <v>59</v>
      </c>
      <c r="X708" s="401" t="s">
        <v>59</v>
      </c>
      <c r="Y708" s="401" t="s">
        <v>59</v>
      </c>
      <c r="Z708" s="401" t="s">
        <v>59</v>
      </c>
      <c r="AA708" s="402"/>
      <c r="AB708" s="403"/>
    </row>
    <row r="709" spans="1:28" s="352" customFormat="1" ht="18" customHeight="1" x14ac:dyDescent="0.2">
      <c r="A709" s="53">
        <v>1</v>
      </c>
      <c r="B709" s="95">
        <v>6310</v>
      </c>
      <c r="C709" s="82">
        <v>170</v>
      </c>
      <c r="D709" s="82" t="s">
        <v>107</v>
      </c>
      <c r="E709" s="82">
        <v>4</v>
      </c>
      <c r="F709" s="82">
        <v>0</v>
      </c>
      <c r="G709" s="82">
        <v>0</v>
      </c>
      <c r="H709" s="463">
        <v>62</v>
      </c>
      <c r="I709" s="70">
        <f>F709*400+G709*100+H709</f>
        <v>62</v>
      </c>
      <c r="J709" s="123">
        <v>3000</v>
      </c>
      <c r="K709" s="124">
        <f>SUM(I709*J709)</f>
        <v>186000</v>
      </c>
      <c r="L709" s="53"/>
      <c r="M709" s="53"/>
      <c r="N709" s="53"/>
      <c r="O709" s="53"/>
      <c r="P709" s="1123"/>
      <c r="Q709" s="197"/>
      <c r="R709" s="444"/>
      <c r="S709" s="70"/>
      <c r="T709" s="1124"/>
      <c r="U709" s="70"/>
      <c r="V709" s="123"/>
      <c r="W709" s="77">
        <f>K709+V709</f>
        <v>186000</v>
      </c>
      <c r="X709" s="74">
        <f>W709</f>
        <v>186000</v>
      </c>
      <c r="Y709" s="676"/>
      <c r="Z709" s="77">
        <f>X709-Y709</f>
        <v>186000</v>
      </c>
      <c r="AA709" s="2170">
        <v>0.6</v>
      </c>
      <c r="AB709" s="406">
        <f>+Z709*AA709/100</f>
        <v>1116</v>
      </c>
    </row>
    <row r="710" spans="1:28" s="352" customFormat="1" ht="18" customHeight="1" x14ac:dyDescent="0.2">
      <c r="A710" s="61"/>
      <c r="B710" s="2166"/>
      <c r="C710" s="2166"/>
      <c r="D710" s="2166"/>
      <c r="E710" s="2166"/>
      <c r="F710" s="2166"/>
      <c r="G710" s="2166"/>
      <c r="H710" s="407"/>
      <c r="I710" s="77"/>
      <c r="J710" s="2168"/>
      <c r="K710" s="78"/>
      <c r="L710" s="61"/>
      <c r="M710" s="61"/>
      <c r="N710" s="61"/>
      <c r="O710" s="61"/>
      <c r="P710" s="173"/>
      <c r="Q710" s="196"/>
      <c r="R710" s="408"/>
      <c r="S710" s="77"/>
      <c r="T710" s="803"/>
      <c r="U710" s="77"/>
      <c r="V710" s="77"/>
      <c r="W710" s="77"/>
      <c r="X710" s="77"/>
      <c r="Y710" s="676"/>
      <c r="Z710" s="77"/>
      <c r="AA710" s="2170"/>
      <c r="AB710" s="410"/>
    </row>
    <row r="711" spans="1:28" s="352" customFormat="1" ht="18" customHeight="1" x14ac:dyDescent="0.2">
      <c r="A711" s="75"/>
      <c r="B711" s="88"/>
      <c r="C711" s="88"/>
      <c r="D711" s="88"/>
      <c r="E711" s="88"/>
      <c r="F711" s="88"/>
      <c r="G711" s="88"/>
      <c r="H711" s="495"/>
      <c r="I711" s="77"/>
      <c r="J711" s="2168"/>
      <c r="K711" s="78"/>
      <c r="L711" s="61"/>
      <c r="M711" s="61"/>
      <c r="N711" s="61"/>
      <c r="O711" s="61"/>
      <c r="P711" s="173"/>
      <c r="Q711" s="196"/>
      <c r="R711" s="408"/>
      <c r="S711" s="77"/>
      <c r="T711" s="803"/>
      <c r="U711" s="77"/>
      <c r="V711" s="77"/>
      <c r="W711" s="77"/>
      <c r="X711" s="77"/>
      <c r="Y711" s="676"/>
      <c r="Z711" s="77"/>
      <c r="AA711" s="2170"/>
      <c r="AB711" s="416"/>
    </row>
    <row r="712" spans="1:28" s="352" customFormat="1" ht="18" customHeight="1" x14ac:dyDescent="0.2">
      <c r="A712" s="88"/>
      <c r="B712" s="88"/>
      <c r="C712" s="88"/>
      <c r="D712" s="88"/>
      <c r="E712" s="88"/>
      <c r="F712" s="88"/>
      <c r="G712" s="88"/>
      <c r="H712" s="495"/>
      <c r="I712" s="77"/>
      <c r="J712" s="2168"/>
      <c r="K712" s="78"/>
      <c r="L712" s="75"/>
      <c r="M712" s="61"/>
      <c r="N712" s="61"/>
      <c r="O712" s="61"/>
      <c r="P712" s="173"/>
      <c r="Q712" s="174"/>
      <c r="R712" s="408"/>
      <c r="S712" s="77"/>
      <c r="T712" s="135"/>
      <c r="U712" s="74"/>
      <c r="V712" s="74"/>
      <c r="W712" s="77"/>
      <c r="X712" s="74"/>
      <c r="Y712" s="676"/>
      <c r="Z712" s="77"/>
      <c r="AA712" s="2170"/>
      <c r="AB712" s="415"/>
    </row>
    <row r="713" spans="1:28" s="352" customFormat="1" ht="18" customHeight="1" x14ac:dyDescent="0.2">
      <c r="A713" s="75"/>
      <c r="B713" s="88"/>
      <c r="C713" s="88"/>
      <c r="D713" s="88"/>
      <c r="E713" s="88"/>
      <c r="F713" s="88"/>
      <c r="G713" s="88"/>
      <c r="H713" s="495"/>
      <c r="I713" s="121"/>
      <c r="J713" s="2168"/>
      <c r="K713" s="78"/>
      <c r="L713" s="75"/>
      <c r="M713" s="61"/>
      <c r="N713" s="61"/>
      <c r="O713" s="61"/>
      <c r="P713" s="173"/>
      <c r="Q713" s="174"/>
      <c r="R713" s="408"/>
      <c r="S713" s="77"/>
      <c r="T713" s="135"/>
      <c r="U713" s="74"/>
      <c r="V713" s="74"/>
      <c r="W713" s="77"/>
      <c r="X713" s="74"/>
      <c r="Y713" s="676"/>
      <c r="Z713" s="77"/>
      <c r="AA713" s="2170"/>
      <c r="AB713" s="415"/>
    </row>
    <row r="714" spans="1:28" s="352" customFormat="1" ht="18" customHeight="1" x14ac:dyDescent="0.2">
      <c r="A714" s="75"/>
      <c r="B714" s="88"/>
      <c r="C714" s="88"/>
      <c r="D714" s="88"/>
      <c r="E714" s="88"/>
      <c r="F714" s="88"/>
      <c r="G714" s="88"/>
      <c r="H714" s="495"/>
      <c r="I714" s="121"/>
      <c r="J714" s="199"/>
      <c r="K714" s="78"/>
      <c r="L714" s="75"/>
      <c r="M714" s="61"/>
      <c r="N714" s="61"/>
      <c r="O714" s="61"/>
      <c r="P714" s="173"/>
      <c r="Q714" s="174"/>
      <c r="R714" s="408"/>
      <c r="S714" s="77"/>
      <c r="T714" s="135"/>
      <c r="U714" s="74"/>
      <c r="V714" s="74"/>
      <c r="W714" s="77"/>
      <c r="X714" s="74"/>
      <c r="Y714" s="676"/>
      <c r="Z714" s="77"/>
      <c r="AA714" s="2170"/>
      <c r="AB714" s="415"/>
    </row>
    <row r="715" spans="1:28" s="352" customFormat="1" ht="18" customHeight="1" x14ac:dyDescent="0.2">
      <c r="A715" s="1304"/>
      <c r="B715" s="88"/>
      <c r="C715" s="88"/>
      <c r="D715" s="88"/>
      <c r="E715" s="88"/>
      <c r="F715" s="88"/>
      <c r="G715" s="88"/>
      <c r="H715" s="495"/>
      <c r="I715" s="121"/>
      <c r="J715" s="199"/>
      <c r="K715" s="78"/>
      <c r="L715" s="75"/>
      <c r="M715" s="61"/>
      <c r="N715" s="61"/>
      <c r="O715" s="61"/>
      <c r="P715" s="173"/>
      <c r="Q715" s="174"/>
      <c r="R715" s="408"/>
      <c r="S715" s="77"/>
      <c r="T715" s="135"/>
      <c r="U715" s="74"/>
      <c r="V715" s="74"/>
      <c r="W715" s="77"/>
      <c r="X715" s="74"/>
      <c r="Y715" s="676"/>
      <c r="Z715" s="77"/>
      <c r="AA715" s="2170"/>
      <c r="AB715" s="415"/>
    </row>
    <row r="716" spans="1:28" s="352" customFormat="1" ht="18" customHeight="1" x14ac:dyDescent="0.2">
      <c r="A716" s="65"/>
      <c r="B716" s="88"/>
      <c r="C716" s="88"/>
      <c r="D716" s="88"/>
      <c r="E716" s="88"/>
      <c r="F716" s="88"/>
      <c r="G716" s="88"/>
      <c r="H716" s="495"/>
      <c r="I716" s="121"/>
      <c r="J716" s="199"/>
      <c r="K716" s="78"/>
      <c r="L716" s="75"/>
      <c r="M716" s="61"/>
      <c r="N716" s="61"/>
      <c r="O716" s="61"/>
      <c r="P716" s="173"/>
      <c r="Q716" s="174"/>
      <c r="R716" s="408"/>
      <c r="S716" s="77"/>
      <c r="T716" s="135"/>
      <c r="U716" s="74"/>
      <c r="V716" s="74"/>
      <c r="W716" s="77"/>
      <c r="X716" s="74"/>
      <c r="Y716" s="676"/>
      <c r="Z716" s="77"/>
      <c r="AA716" s="2170"/>
      <c r="AB716" s="415"/>
    </row>
    <row r="717" spans="1:28" s="352" customFormat="1" ht="18" customHeight="1" x14ac:dyDescent="0.2">
      <c r="A717" s="242"/>
      <c r="B717" s="88"/>
      <c r="C717" s="88"/>
      <c r="D717" s="102"/>
      <c r="E717" s="88"/>
      <c r="F717" s="786"/>
      <c r="G717" s="241"/>
      <c r="H717" s="495"/>
      <c r="I717" s="121"/>
      <c r="J717" s="2168"/>
      <c r="K717" s="78"/>
      <c r="L717" s="75"/>
      <c r="M717" s="61"/>
      <c r="N717" s="61"/>
      <c r="O717" s="61"/>
      <c r="P717" s="173"/>
      <c r="Q717" s="174"/>
      <c r="R717" s="408"/>
      <c r="S717" s="77"/>
      <c r="T717" s="135"/>
      <c r="U717" s="74"/>
      <c r="V717" s="74"/>
      <c r="W717" s="77"/>
      <c r="X717" s="74"/>
      <c r="Y717" s="676"/>
      <c r="Z717" s="77"/>
      <c r="AA717" s="2170"/>
      <c r="AB717" s="415"/>
    </row>
    <row r="718" spans="1:28" s="352" customFormat="1" ht="18" customHeight="1" x14ac:dyDescent="0.2">
      <c r="A718" s="2166"/>
      <c r="B718" s="177"/>
      <c r="C718" s="177"/>
      <c r="D718" s="2166"/>
      <c r="E718" s="2166"/>
      <c r="F718" s="2166"/>
      <c r="G718" s="2166"/>
      <c r="H718" s="2171"/>
      <c r="I718" s="2168"/>
      <c r="J718" s="178"/>
      <c r="K718" s="2168"/>
      <c r="L718" s="2166"/>
      <c r="M718" s="2166"/>
      <c r="N718" s="2166"/>
      <c r="O718" s="2166"/>
      <c r="P718" s="2171"/>
      <c r="Q718" s="2167"/>
      <c r="R718" s="437"/>
      <c r="S718" s="2168"/>
      <c r="T718" s="179"/>
      <c r="U718" s="178"/>
      <c r="V718" s="2168"/>
      <c r="W718" s="2168"/>
      <c r="X718" s="470"/>
      <c r="Y718" s="470"/>
      <c r="Z718" s="471"/>
      <c r="AA718" s="471"/>
      <c r="AB718" s="466"/>
    </row>
    <row r="719" spans="1:28" s="352" customFormat="1" ht="18" customHeight="1" x14ac:dyDescent="0.2">
      <c r="A719" s="2166"/>
      <c r="B719" s="177"/>
      <c r="C719" s="177"/>
      <c r="D719" s="2166"/>
      <c r="E719" s="2166"/>
      <c r="F719" s="2166"/>
      <c r="G719" s="2166"/>
      <c r="H719" s="2171"/>
      <c r="I719" s="2168"/>
      <c r="J719" s="178"/>
      <c r="K719" s="2168"/>
      <c r="L719" s="2166"/>
      <c r="M719" s="2166"/>
      <c r="N719" s="2166"/>
      <c r="O719" s="2166"/>
      <c r="P719" s="2171"/>
      <c r="Q719" s="2167"/>
      <c r="R719" s="437"/>
      <c r="S719" s="2168"/>
      <c r="T719" s="179"/>
      <c r="U719" s="178"/>
      <c r="V719" s="2168"/>
      <c r="W719" s="2168"/>
      <c r="X719" s="470"/>
      <c r="Y719" s="470"/>
      <c r="Z719" s="471"/>
      <c r="AA719" s="471"/>
      <c r="AB719" s="466"/>
    </row>
    <row r="720" spans="1:28" s="352" customFormat="1" ht="18" customHeight="1" x14ac:dyDescent="0.2">
      <c r="A720" s="2166"/>
      <c r="B720" s="177"/>
      <c r="C720" s="177"/>
      <c r="D720" s="2166"/>
      <c r="E720" s="2166"/>
      <c r="F720" s="2166"/>
      <c r="G720" s="2166"/>
      <c r="H720" s="2171"/>
      <c r="I720" s="2168"/>
      <c r="J720" s="178"/>
      <c r="K720" s="2168"/>
      <c r="L720" s="2166"/>
      <c r="M720" s="2166"/>
      <c r="N720" s="2166"/>
      <c r="O720" s="2166"/>
      <c r="P720" s="2171"/>
      <c r="Q720" s="2167"/>
      <c r="R720" s="437"/>
      <c r="S720" s="2168"/>
      <c r="T720" s="179"/>
      <c r="U720" s="178"/>
      <c r="V720" s="2168"/>
      <c r="W720" s="2168"/>
      <c r="X720" s="470"/>
      <c r="Y720" s="470"/>
      <c r="Z720" s="471"/>
      <c r="AA720" s="471"/>
      <c r="AB720" s="466"/>
    </row>
    <row r="721" spans="1:28" s="352" customFormat="1" ht="18" customHeight="1" x14ac:dyDescent="0.2">
      <c r="A721" s="2166"/>
      <c r="B721" s="177"/>
      <c r="C721" s="177"/>
      <c r="D721" s="2166"/>
      <c r="E721" s="2166"/>
      <c r="F721" s="2166"/>
      <c r="G721" s="2166"/>
      <c r="H721" s="2171"/>
      <c r="I721" s="2168"/>
      <c r="J721" s="178"/>
      <c r="K721" s="2168"/>
      <c r="L721" s="2166"/>
      <c r="M721" s="2166"/>
      <c r="N721" s="2166"/>
      <c r="O721" s="2166"/>
      <c r="P721" s="2171"/>
      <c r="Q721" s="2167"/>
      <c r="R721" s="437"/>
      <c r="S721" s="2168"/>
      <c r="T721" s="179"/>
      <c r="U721" s="178"/>
      <c r="V721" s="2168"/>
      <c r="W721" s="2168"/>
      <c r="X721" s="470"/>
      <c r="Y721" s="470"/>
      <c r="Z721" s="471"/>
      <c r="AA721" s="471"/>
      <c r="AB721" s="466"/>
    </row>
    <row r="722" spans="1:28" s="352" customFormat="1" ht="18" customHeight="1" x14ac:dyDescent="0.2">
      <c r="A722" s="88"/>
      <c r="B722" s="180"/>
      <c r="C722" s="180"/>
      <c r="D722" s="88"/>
      <c r="E722" s="88"/>
      <c r="F722" s="88"/>
      <c r="G722" s="88"/>
      <c r="H722" s="120"/>
      <c r="I722" s="121"/>
      <c r="J722" s="181"/>
      <c r="K722" s="121"/>
      <c r="L722" s="88"/>
      <c r="M722" s="88"/>
      <c r="N722" s="88"/>
      <c r="O722" s="88"/>
      <c r="P722" s="88"/>
      <c r="Q722" s="129"/>
      <c r="R722" s="445"/>
      <c r="S722" s="121"/>
      <c r="T722" s="182"/>
      <c r="U722" s="181"/>
      <c r="V722" s="121"/>
      <c r="W722" s="121"/>
      <c r="X722" s="472"/>
      <c r="Y722" s="472"/>
      <c r="Z722" s="473"/>
      <c r="AA722" s="473"/>
      <c r="AB722" s="410"/>
    </row>
    <row r="723" spans="1:28" s="352" customFormat="1" ht="18" customHeight="1" x14ac:dyDescent="0.2">
      <c r="A723" s="1850"/>
      <c r="B723" s="1850"/>
      <c r="C723" s="1850"/>
      <c r="D723" s="1850"/>
      <c r="E723" s="1850"/>
      <c r="F723" s="1850"/>
      <c r="G723" s="1850"/>
      <c r="H723" s="1851"/>
      <c r="I723" s="1852"/>
      <c r="J723" s="1853"/>
      <c r="K723" s="1852"/>
      <c r="L723" s="1852"/>
      <c r="M723" s="1852"/>
      <c r="N723" s="1852"/>
      <c r="O723" s="1852"/>
      <c r="P723" s="1852"/>
      <c r="Q723" s="1852"/>
      <c r="R723" s="1854"/>
      <c r="S723" s="1852"/>
      <c r="T723" s="1855"/>
      <c r="U723" s="1853"/>
      <c r="V723" s="1852"/>
      <c r="W723" s="1852"/>
      <c r="X723" s="1856"/>
      <c r="Y723" s="1856"/>
      <c r="Z723" s="1857"/>
      <c r="AA723" s="1857"/>
      <c r="AB723" s="1847">
        <f>SUM(AB709:AB722)</f>
        <v>1116</v>
      </c>
    </row>
    <row r="724" spans="1:28" s="352" customFormat="1" ht="18" customHeight="1" x14ac:dyDescent="0.2">
      <c r="A724" s="2778" t="s">
        <v>76</v>
      </c>
      <c r="B724" s="2778"/>
      <c r="C724" s="2779" t="s">
        <v>77</v>
      </c>
      <c r="D724" s="2779"/>
      <c r="E724" s="2779"/>
      <c r="F724" s="2779"/>
      <c r="G724" s="2779"/>
      <c r="H724" s="2779"/>
      <c r="I724" s="424" t="s">
        <v>78</v>
      </c>
      <c r="J724" s="424"/>
      <c r="K724" s="424"/>
      <c r="L724" s="424"/>
      <c r="M724" s="424"/>
      <c r="N724" s="424"/>
      <c r="AB724" s="425"/>
    </row>
    <row r="725" spans="1:28" s="352" customFormat="1" ht="18" customHeight="1" x14ac:dyDescent="0.2">
      <c r="A725" s="424"/>
      <c r="B725" s="426"/>
      <c r="C725" s="424"/>
      <c r="D725" s="424"/>
      <c r="E725" s="424"/>
      <c r="F725" s="424"/>
      <c r="G725" s="424"/>
      <c r="H725" s="424"/>
      <c r="I725" s="424" t="s">
        <v>79</v>
      </c>
      <c r="J725" s="424"/>
      <c r="K725" s="424"/>
      <c r="L725" s="424"/>
      <c r="M725" s="424"/>
      <c r="N725" s="424"/>
      <c r="AB725" s="425"/>
    </row>
    <row r="726" spans="1:28" s="352" customFormat="1" ht="18" customHeight="1" x14ac:dyDescent="0.2">
      <c r="A726" s="424"/>
      <c r="B726" s="426"/>
      <c r="C726" s="424"/>
      <c r="D726" s="424"/>
      <c r="E726" s="424"/>
      <c r="F726" s="424"/>
      <c r="G726" s="424"/>
      <c r="H726" s="424"/>
      <c r="I726" s="424" t="s">
        <v>80</v>
      </c>
      <c r="J726" s="424"/>
      <c r="K726" s="424"/>
      <c r="L726" s="424"/>
      <c r="M726" s="424"/>
      <c r="N726" s="424"/>
      <c r="AB726" s="425"/>
    </row>
    <row r="727" spans="1:28" s="352" customFormat="1" ht="18" customHeight="1" x14ac:dyDescent="0.2">
      <c r="A727" s="424"/>
      <c r="B727" s="426"/>
      <c r="C727" s="424"/>
      <c r="D727" s="424"/>
      <c r="E727" s="424"/>
      <c r="F727" s="424"/>
      <c r="G727" s="424"/>
      <c r="H727" s="424"/>
      <c r="I727" s="424" t="s">
        <v>81</v>
      </c>
      <c r="J727" s="424"/>
      <c r="K727" s="424"/>
      <c r="L727" s="424"/>
      <c r="M727" s="424"/>
      <c r="N727" s="424"/>
      <c r="AB727" s="425"/>
    </row>
    <row r="728" spans="1:28" s="352" customFormat="1" ht="18" customHeight="1" x14ac:dyDescent="0.2">
      <c r="A728" s="424"/>
      <c r="B728" s="426"/>
      <c r="C728" s="424"/>
      <c r="D728" s="424"/>
      <c r="E728" s="424"/>
      <c r="F728" s="424"/>
      <c r="G728" s="424"/>
      <c r="H728" s="424"/>
      <c r="I728" s="424" t="s">
        <v>88</v>
      </c>
      <c r="J728" s="424"/>
      <c r="K728" s="424"/>
      <c r="L728" s="424"/>
      <c r="M728" s="424"/>
      <c r="N728" s="424"/>
      <c r="AB728" s="425"/>
    </row>
    <row r="729" spans="1:28" s="352" customFormat="1" ht="18" customHeight="1" x14ac:dyDescent="0.2">
      <c r="A729" s="338"/>
      <c r="B729" s="338"/>
      <c r="C729" s="338"/>
      <c r="D729" s="338"/>
      <c r="E729" s="338"/>
      <c r="F729" s="338"/>
      <c r="G729" s="338"/>
      <c r="H729" s="338"/>
      <c r="I729" s="338"/>
      <c r="J729" s="338"/>
      <c r="K729" s="338"/>
      <c r="L729" s="338"/>
      <c r="M729" s="338"/>
      <c r="N729" s="338"/>
      <c r="O729" s="338"/>
      <c r="P729" s="338"/>
      <c r="Q729" s="338"/>
      <c r="R729" s="338"/>
      <c r="S729" s="338"/>
      <c r="T729" s="338"/>
      <c r="U729" s="338"/>
      <c r="V729" s="338"/>
      <c r="W729" s="338"/>
      <c r="X729" s="338"/>
      <c r="Y729" s="338"/>
      <c r="Z729" s="338"/>
      <c r="AA729" s="2774" t="s">
        <v>0</v>
      </c>
      <c r="AB729" s="2774"/>
    </row>
    <row r="730" spans="1:28" s="352" customFormat="1" ht="18" customHeight="1" x14ac:dyDescent="0.2">
      <c r="A730" s="2703" t="s">
        <v>1</v>
      </c>
      <c r="B730" s="2703"/>
      <c r="C730" s="2703"/>
      <c r="D730" s="2703"/>
      <c r="E730" s="2703"/>
      <c r="F730" s="2703"/>
      <c r="G730" s="2703"/>
      <c r="H730" s="2703"/>
      <c r="I730" s="2703"/>
      <c r="J730" s="2703"/>
      <c r="K730" s="2703"/>
      <c r="L730" s="2703"/>
      <c r="M730" s="2703"/>
      <c r="N730" s="2703"/>
      <c r="O730" s="2703"/>
      <c r="P730" s="2703"/>
      <c r="Q730" s="2703"/>
      <c r="R730" s="2703"/>
      <c r="S730" s="2703"/>
      <c r="T730" s="2703"/>
      <c r="U730" s="2703"/>
      <c r="V730" s="2703"/>
      <c r="W730" s="2703"/>
      <c r="X730" s="2703"/>
      <c r="Y730" s="2703"/>
      <c r="Z730" s="2703"/>
      <c r="AA730" s="2703"/>
      <c r="AB730" s="2703"/>
    </row>
    <row r="731" spans="1:28" s="352" customFormat="1" ht="18" customHeight="1" x14ac:dyDescent="0.2">
      <c r="A731" s="2780" t="s">
        <v>624</v>
      </c>
      <c r="B731" s="2780"/>
      <c r="C731" s="2780"/>
      <c r="D731" s="2780"/>
      <c r="E731" s="2780"/>
      <c r="F731" s="2780"/>
      <c r="G731" s="2780"/>
      <c r="H731" s="2780"/>
      <c r="I731" s="2780"/>
      <c r="J731" s="2780"/>
      <c r="K731" s="2780"/>
      <c r="L731" s="2780"/>
      <c r="M731" s="2780"/>
      <c r="N731" s="2780"/>
      <c r="O731" s="2780"/>
      <c r="P731" s="2780"/>
      <c r="Q731" s="2780"/>
      <c r="R731" s="2780"/>
      <c r="S731" s="2780"/>
      <c r="T731" s="2780"/>
      <c r="U731" s="2780"/>
      <c r="V731" s="2780"/>
      <c r="W731" s="2780"/>
      <c r="X731" s="2780"/>
      <c r="Y731" s="2780"/>
      <c r="Z731" s="2780"/>
      <c r="AA731" s="2780"/>
      <c r="AB731" s="2780"/>
    </row>
    <row r="732" spans="1:28" s="352" customFormat="1" ht="18" customHeight="1" x14ac:dyDescent="0.2">
      <c r="A732" s="2686" t="s">
        <v>2</v>
      </c>
      <c r="B732" s="360"/>
      <c r="C732" s="2686" t="s">
        <v>3</v>
      </c>
      <c r="D732" s="360"/>
      <c r="E732" s="360"/>
      <c r="F732" s="2693" t="s">
        <v>4</v>
      </c>
      <c r="G732" s="2693"/>
      <c r="H732" s="2693"/>
      <c r="I732" s="2694"/>
      <c r="J732" s="2694"/>
      <c r="K732" s="2695"/>
      <c r="L732" s="361"/>
      <c r="M732" s="2679" t="s">
        <v>5</v>
      </c>
      <c r="N732" s="2679"/>
      <c r="O732" s="2679"/>
      <c r="P732" s="2679"/>
      <c r="Q732" s="2696"/>
      <c r="R732" s="2696"/>
      <c r="S732" s="2696"/>
      <c r="T732" s="2696"/>
      <c r="U732" s="2696"/>
      <c r="V732" s="2697"/>
      <c r="W732" s="362" t="s">
        <v>6</v>
      </c>
      <c r="X732" s="363" t="s">
        <v>7</v>
      </c>
      <c r="Y732" s="364"/>
      <c r="Z732" s="364"/>
      <c r="AA732" s="363"/>
      <c r="AB732" s="365"/>
    </row>
    <row r="733" spans="1:28" s="352" customFormat="1" ht="18" customHeight="1" x14ac:dyDescent="0.2">
      <c r="A733" s="2687"/>
      <c r="B733" s="367"/>
      <c r="C733" s="2687"/>
      <c r="D733" s="2158" t="s">
        <v>9</v>
      </c>
      <c r="E733" s="368" t="s">
        <v>10</v>
      </c>
      <c r="F733" s="2698" t="s">
        <v>11</v>
      </c>
      <c r="G733" s="2694"/>
      <c r="H733" s="2695"/>
      <c r="I733" s="360"/>
      <c r="J733" s="369" t="s">
        <v>12</v>
      </c>
      <c r="K733" s="360"/>
      <c r="L733" s="2679" t="s">
        <v>2</v>
      </c>
      <c r="M733" s="2162"/>
      <c r="N733" s="2162"/>
      <c r="O733" s="2162"/>
      <c r="P733" s="371"/>
      <c r="Q733" s="372" t="s">
        <v>13</v>
      </c>
      <c r="R733" s="373" t="s">
        <v>12</v>
      </c>
      <c r="S733" s="2162" t="s">
        <v>6</v>
      </c>
      <c r="T733" s="2682" t="s">
        <v>14</v>
      </c>
      <c r="U733" s="2683"/>
      <c r="V733" s="375" t="s">
        <v>7</v>
      </c>
      <c r="W733" s="376" t="s">
        <v>15</v>
      </c>
      <c r="X733" s="377" t="s">
        <v>16</v>
      </c>
      <c r="Y733" s="377" t="s">
        <v>17</v>
      </c>
      <c r="Z733" s="377" t="s">
        <v>18</v>
      </c>
      <c r="AA733" s="377"/>
      <c r="AB733" s="378" t="s">
        <v>19</v>
      </c>
    </row>
    <row r="734" spans="1:28" s="352" customFormat="1" ht="18" customHeight="1" x14ac:dyDescent="0.2">
      <c r="A734" s="2687"/>
      <c r="B734" s="2158" t="s">
        <v>23</v>
      </c>
      <c r="C734" s="2687"/>
      <c r="D734" s="2158" t="s">
        <v>24</v>
      </c>
      <c r="E734" s="368" t="s">
        <v>25</v>
      </c>
      <c r="F734" s="2699"/>
      <c r="G734" s="2700"/>
      <c r="H734" s="2701"/>
      <c r="I734" s="2158" t="s">
        <v>26</v>
      </c>
      <c r="J734" s="379" t="s">
        <v>15</v>
      </c>
      <c r="K734" s="2159" t="s">
        <v>6</v>
      </c>
      <c r="L734" s="2680"/>
      <c r="M734" s="2163" t="s">
        <v>27</v>
      </c>
      <c r="N734" s="2163" t="s">
        <v>10</v>
      </c>
      <c r="O734" s="382" t="s">
        <v>10</v>
      </c>
      <c r="P734" s="383" t="s">
        <v>28</v>
      </c>
      <c r="Q734" s="384" t="s">
        <v>29</v>
      </c>
      <c r="R734" s="383" t="s">
        <v>15</v>
      </c>
      <c r="S734" s="385" t="s">
        <v>15</v>
      </c>
      <c r="T734" s="2684"/>
      <c r="U734" s="2685"/>
      <c r="V734" s="375" t="s">
        <v>30</v>
      </c>
      <c r="W734" s="376" t="s">
        <v>31</v>
      </c>
      <c r="X734" s="377" t="s">
        <v>30</v>
      </c>
      <c r="Y734" s="377" t="s">
        <v>32</v>
      </c>
      <c r="Z734" s="377" t="s">
        <v>7</v>
      </c>
      <c r="AA734" s="377" t="s">
        <v>33</v>
      </c>
      <c r="AB734" s="378" t="s">
        <v>34</v>
      </c>
    </row>
    <row r="735" spans="1:28" s="352" customFormat="1" ht="18" customHeight="1" x14ac:dyDescent="0.2">
      <c r="A735" s="2687"/>
      <c r="B735" s="2158" t="s">
        <v>39</v>
      </c>
      <c r="C735" s="2687"/>
      <c r="D735" s="2158" t="s">
        <v>40</v>
      </c>
      <c r="E735" s="368" t="s">
        <v>41</v>
      </c>
      <c r="F735" s="2686" t="s">
        <v>42</v>
      </c>
      <c r="G735" s="2686" t="s">
        <v>43</v>
      </c>
      <c r="H735" s="2688" t="s">
        <v>44</v>
      </c>
      <c r="I735" s="2158" t="s">
        <v>45</v>
      </c>
      <c r="J735" s="379" t="s">
        <v>46</v>
      </c>
      <c r="K735" s="2159" t="s">
        <v>47</v>
      </c>
      <c r="L735" s="2680"/>
      <c r="M735" s="2163" t="s">
        <v>30</v>
      </c>
      <c r="N735" s="2163" t="s">
        <v>30</v>
      </c>
      <c r="O735" s="382" t="s">
        <v>25</v>
      </c>
      <c r="P735" s="383" t="s">
        <v>30</v>
      </c>
      <c r="Q735" s="384" t="s">
        <v>48</v>
      </c>
      <c r="R735" s="383" t="s">
        <v>49</v>
      </c>
      <c r="S735" s="385" t="s">
        <v>30</v>
      </c>
      <c r="T735" s="386" t="s">
        <v>50</v>
      </c>
      <c r="U735" s="2161" t="s">
        <v>13</v>
      </c>
      <c r="V735" s="375" t="s">
        <v>51</v>
      </c>
      <c r="W735" s="376" t="s">
        <v>52</v>
      </c>
      <c r="X735" s="377" t="s">
        <v>53</v>
      </c>
      <c r="Y735" s="377" t="s">
        <v>54</v>
      </c>
      <c r="Z735" s="377" t="s">
        <v>55</v>
      </c>
      <c r="AA735" s="377" t="s">
        <v>56</v>
      </c>
      <c r="AB735" s="378" t="s">
        <v>57</v>
      </c>
    </row>
    <row r="736" spans="1:28" s="352" customFormat="1" ht="18" customHeight="1" x14ac:dyDescent="0.2">
      <c r="A736" s="2687"/>
      <c r="B736" s="2158" t="s">
        <v>61</v>
      </c>
      <c r="C736" s="2687"/>
      <c r="D736" s="2158" t="s">
        <v>62</v>
      </c>
      <c r="E736" s="368" t="s">
        <v>63</v>
      </c>
      <c r="F736" s="2687"/>
      <c r="G736" s="2687"/>
      <c r="H736" s="2689"/>
      <c r="I736" s="2158" t="s">
        <v>64</v>
      </c>
      <c r="J736" s="379" t="s">
        <v>59</v>
      </c>
      <c r="K736" s="2159" t="s">
        <v>59</v>
      </c>
      <c r="L736" s="2680"/>
      <c r="M736" s="2163"/>
      <c r="N736" s="2163"/>
      <c r="O736" s="382" t="s">
        <v>41</v>
      </c>
      <c r="P736" s="383" t="s">
        <v>65</v>
      </c>
      <c r="Q736" s="384" t="s">
        <v>66</v>
      </c>
      <c r="R736" s="383" t="s">
        <v>67</v>
      </c>
      <c r="S736" s="385" t="s">
        <v>59</v>
      </c>
      <c r="T736" s="387" t="s">
        <v>68</v>
      </c>
      <c r="U736" s="375" t="s">
        <v>14</v>
      </c>
      <c r="V736" s="375" t="s">
        <v>14</v>
      </c>
      <c r="W736" s="376" t="s">
        <v>30</v>
      </c>
      <c r="X736" s="388" t="s">
        <v>69</v>
      </c>
      <c r="Y736" s="388" t="s">
        <v>70</v>
      </c>
      <c r="Z736" s="377" t="s">
        <v>71</v>
      </c>
      <c r="AA736" s="377" t="s">
        <v>72</v>
      </c>
      <c r="AB736" s="378" t="s">
        <v>59</v>
      </c>
    </row>
    <row r="737" spans="1:28" s="352" customFormat="1" ht="18" customHeight="1" x14ac:dyDescent="0.2">
      <c r="A737" s="2692"/>
      <c r="B737" s="390"/>
      <c r="C737" s="2692"/>
      <c r="D737" s="390"/>
      <c r="E737" s="2160"/>
      <c r="F737" s="390"/>
      <c r="G737" s="390"/>
      <c r="H737" s="391"/>
      <c r="I737" s="2160"/>
      <c r="J737" s="392"/>
      <c r="K737" s="393"/>
      <c r="L737" s="2681"/>
      <c r="M737" s="2164"/>
      <c r="N737" s="2164"/>
      <c r="O737" s="2164" t="s">
        <v>63</v>
      </c>
      <c r="P737" s="395"/>
      <c r="Q737" s="396" t="s">
        <v>72</v>
      </c>
      <c r="R737" s="397" t="s">
        <v>59</v>
      </c>
      <c r="S737" s="398"/>
      <c r="T737" s="397" t="s">
        <v>73</v>
      </c>
      <c r="U737" s="398" t="s">
        <v>59</v>
      </c>
      <c r="V737" s="399" t="s">
        <v>59</v>
      </c>
      <c r="W737" s="400" t="s">
        <v>59</v>
      </c>
      <c r="X737" s="401" t="s">
        <v>59</v>
      </c>
      <c r="Y737" s="401" t="s">
        <v>59</v>
      </c>
      <c r="Z737" s="401" t="s">
        <v>59</v>
      </c>
      <c r="AA737" s="402"/>
      <c r="AB737" s="403"/>
    </row>
    <row r="738" spans="1:28" s="352" customFormat="1" ht="18" customHeight="1" x14ac:dyDescent="0.2">
      <c r="A738" s="53">
        <v>1</v>
      </c>
      <c r="B738" s="95">
        <v>23132</v>
      </c>
      <c r="C738" s="82">
        <v>988</v>
      </c>
      <c r="D738" s="82" t="s">
        <v>107</v>
      </c>
      <c r="E738" s="82">
        <v>4</v>
      </c>
      <c r="F738" s="82">
        <v>0</v>
      </c>
      <c r="G738" s="82">
        <v>1</v>
      </c>
      <c r="H738" s="463">
        <v>0</v>
      </c>
      <c r="I738" s="70">
        <f>F738*400+G738*100+H738</f>
        <v>100</v>
      </c>
      <c r="J738" s="123">
        <v>3000</v>
      </c>
      <c r="K738" s="124">
        <f>SUM(I738*J738)</f>
        <v>300000</v>
      </c>
      <c r="L738" s="53"/>
      <c r="M738" s="82"/>
      <c r="N738" s="82"/>
      <c r="O738" s="53"/>
      <c r="P738" s="358"/>
      <c r="Q738" s="197"/>
      <c r="R738" s="444"/>
      <c r="S738" s="70"/>
      <c r="T738" s="82"/>
      <c r="U738" s="70"/>
      <c r="V738" s="70"/>
      <c r="W738" s="70">
        <f>K738+V738</f>
        <v>300000</v>
      </c>
      <c r="X738" s="70">
        <f>W738</f>
        <v>300000</v>
      </c>
      <c r="Y738" s="123"/>
      <c r="Z738" s="77">
        <f>+X738</f>
        <v>300000</v>
      </c>
      <c r="AA738" s="2170">
        <v>0.6</v>
      </c>
      <c r="AB738" s="406">
        <f>+Z738*AA738/100</f>
        <v>1800</v>
      </c>
    </row>
    <row r="739" spans="1:28" s="352" customFormat="1" ht="18" customHeight="1" x14ac:dyDescent="0.2">
      <c r="A739" s="61"/>
      <c r="B739" s="2166"/>
      <c r="C739" s="2166"/>
      <c r="D739" s="2166"/>
      <c r="E739" s="2166"/>
      <c r="F739" s="2166"/>
      <c r="G739" s="2166"/>
      <c r="H739" s="407"/>
      <c r="I739" s="77"/>
      <c r="J739" s="2168"/>
      <c r="K739" s="78"/>
      <c r="L739" s="61"/>
      <c r="M739" s="2166"/>
      <c r="N739" s="2166"/>
      <c r="O739" s="61"/>
      <c r="P739" s="177"/>
      <c r="Q739" s="196"/>
      <c r="R739" s="408"/>
      <c r="S739" s="77"/>
      <c r="T739" s="2166"/>
      <c r="U739" s="77"/>
      <c r="V739" s="77"/>
      <c r="W739" s="77"/>
      <c r="X739" s="77"/>
      <c r="Y739" s="2168"/>
      <c r="Z739" s="77"/>
      <c r="AA739" s="2170"/>
      <c r="AB739" s="415"/>
    </row>
    <row r="740" spans="1:28" s="352" customFormat="1" ht="18" customHeight="1" x14ac:dyDescent="0.2">
      <c r="A740" s="2166"/>
      <c r="B740" s="177"/>
      <c r="C740" s="177"/>
      <c r="D740" s="2166"/>
      <c r="E740" s="2166"/>
      <c r="F740" s="2166"/>
      <c r="G740" s="2166"/>
      <c r="H740" s="2171"/>
      <c r="I740" s="2168"/>
      <c r="J740" s="178"/>
      <c r="K740" s="2168"/>
      <c r="L740" s="2166"/>
      <c r="M740" s="2166"/>
      <c r="N740" s="2166"/>
      <c r="O740" s="2166"/>
      <c r="P740" s="2171"/>
      <c r="Q740" s="2167"/>
      <c r="R740" s="437"/>
      <c r="S740" s="2168"/>
      <c r="T740" s="179"/>
      <c r="U740" s="178"/>
      <c r="V740" s="2168"/>
      <c r="W740" s="2168"/>
      <c r="X740" s="470"/>
      <c r="Y740" s="470"/>
      <c r="Z740" s="471"/>
      <c r="AA740" s="471"/>
      <c r="AB740" s="466"/>
    </row>
    <row r="741" spans="1:28" s="352" customFormat="1" ht="18" customHeight="1" x14ac:dyDescent="0.2">
      <c r="A741" s="2166"/>
      <c r="B741" s="177"/>
      <c r="C741" s="177"/>
      <c r="D741" s="2166"/>
      <c r="E741" s="2166"/>
      <c r="F741" s="2166"/>
      <c r="G741" s="2166"/>
      <c r="H741" s="2171"/>
      <c r="I741" s="2168"/>
      <c r="J741" s="178"/>
      <c r="K741" s="2168"/>
      <c r="L741" s="2166"/>
      <c r="M741" s="2166"/>
      <c r="N741" s="2166"/>
      <c r="O741" s="2166"/>
      <c r="P741" s="2171"/>
      <c r="Q741" s="2167"/>
      <c r="R741" s="437"/>
      <c r="S741" s="2168"/>
      <c r="T741" s="179"/>
      <c r="U741" s="178"/>
      <c r="V741" s="2168"/>
      <c r="W741" s="2168"/>
      <c r="X741" s="470"/>
      <c r="Y741" s="470"/>
      <c r="Z741" s="471"/>
      <c r="AA741" s="471"/>
      <c r="AB741" s="466"/>
    </row>
    <row r="742" spans="1:28" s="352" customFormat="1" ht="18" customHeight="1" x14ac:dyDescent="0.2">
      <c r="A742" s="2166"/>
      <c r="B742" s="177"/>
      <c r="C742" s="177"/>
      <c r="D742" s="2166"/>
      <c r="E742" s="2166"/>
      <c r="F742" s="2166"/>
      <c r="G742" s="2166"/>
      <c r="H742" s="2171"/>
      <c r="I742" s="2168"/>
      <c r="J742" s="178"/>
      <c r="K742" s="2168"/>
      <c r="L742" s="2166"/>
      <c r="M742" s="2166"/>
      <c r="N742" s="2166"/>
      <c r="O742" s="2166"/>
      <c r="P742" s="2171"/>
      <c r="Q742" s="2167"/>
      <c r="R742" s="437"/>
      <c r="S742" s="2168"/>
      <c r="T742" s="179"/>
      <c r="U742" s="178"/>
      <c r="V742" s="2168"/>
      <c r="W742" s="2168"/>
      <c r="X742" s="470"/>
      <c r="Y742" s="470"/>
      <c r="Z742" s="471"/>
      <c r="AA742" s="471"/>
      <c r="AB742" s="466"/>
    </row>
    <row r="743" spans="1:28" s="343" customFormat="1" ht="18" customHeight="1" x14ac:dyDescent="0.2">
      <c r="A743" s="177"/>
      <c r="B743" s="177"/>
      <c r="C743" s="177"/>
      <c r="D743" s="177"/>
      <c r="E743" s="177"/>
      <c r="F743" s="177"/>
      <c r="G743" s="177"/>
      <c r="H743" s="274"/>
      <c r="I743" s="275"/>
      <c r="J743" s="275"/>
      <c r="K743" s="275"/>
      <c r="L743" s="177"/>
      <c r="M743" s="177"/>
      <c r="N743" s="177"/>
      <c r="O743" s="177"/>
      <c r="P743" s="274"/>
      <c r="Q743" s="276"/>
      <c r="R743" s="661"/>
      <c r="S743" s="275"/>
      <c r="T743" s="277"/>
      <c r="U743" s="275"/>
      <c r="V743" s="275"/>
      <c r="W743" s="275"/>
      <c r="X743" s="662"/>
      <c r="Y743" s="662"/>
      <c r="Z743" s="663"/>
      <c r="AA743" s="663"/>
      <c r="AB743" s="664"/>
    </row>
    <row r="744" spans="1:28" s="352" customFormat="1" ht="18" customHeight="1" x14ac:dyDescent="0.2">
      <c r="A744" s="2166"/>
      <c r="B744" s="177"/>
      <c r="C744" s="177"/>
      <c r="D744" s="2166"/>
      <c r="E744" s="2166"/>
      <c r="F744" s="2166"/>
      <c r="G744" s="2166"/>
      <c r="H744" s="2171"/>
      <c r="I744" s="2168"/>
      <c r="J744" s="178"/>
      <c r="K744" s="2168"/>
      <c r="L744" s="2166"/>
      <c r="M744" s="2166"/>
      <c r="N744" s="2166"/>
      <c r="O744" s="2166"/>
      <c r="P744" s="2171"/>
      <c r="Q744" s="2167"/>
      <c r="R744" s="437"/>
      <c r="S744" s="2168"/>
      <c r="T744" s="179"/>
      <c r="U744" s="178"/>
      <c r="V744" s="2168"/>
      <c r="W744" s="2168"/>
      <c r="X744" s="470"/>
      <c r="Y744" s="470"/>
      <c r="Z744" s="471"/>
      <c r="AA744" s="471"/>
      <c r="AB744" s="466"/>
    </row>
    <row r="745" spans="1:28" s="352" customFormat="1" ht="18" customHeight="1" x14ac:dyDescent="0.2">
      <c r="A745" s="2166"/>
      <c r="B745" s="177"/>
      <c r="C745" s="177"/>
      <c r="D745" s="2166"/>
      <c r="E745" s="2166"/>
      <c r="F745" s="2166"/>
      <c r="G745" s="2166"/>
      <c r="H745" s="2171"/>
      <c r="I745" s="2168"/>
      <c r="J745" s="178"/>
      <c r="K745" s="2168"/>
      <c r="L745" s="2166"/>
      <c r="M745" s="2166"/>
      <c r="N745" s="2166"/>
      <c r="O745" s="2166"/>
      <c r="P745" s="2171"/>
      <c r="Q745" s="2167"/>
      <c r="R745" s="437"/>
      <c r="S745" s="2168"/>
      <c r="T745" s="179"/>
      <c r="U745" s="178"/>
      <c r="V745" s="2168"/>
      <c r="W745" s="2168"/>
      <c r="X745" s="470"/>
      <c r="Y745" s="470"/>
      <c r="Z745" s="471"/>
      <c r="AA745" s="471"/>
      <c r="AB745" s="466"/>
    </row>
    <row r="746" spans="1:28" s="352" customFormat="1" ht="18" customHeight="1" x14ac:dyDescent="0.2">
      <c r="A746" s="2166"/>
      <c r="B746" s="177"/>
      <c r="C746" s="177"/>
      <c r="D746" s="2166"/>
      <c r="E746" s="2166"/>
      <c r="F746" s="2166"/>
      <c r="G746" s="2166"/>
      <c r="H746" s="2171"/>
      <c r="I746" s="2168"/>
      <c r="J746" s="178"/>
      <c r="K746" s="2168"/>
      <c r="L746" s="2166"/>
      <c r="M746" s="2166"/>
      <c r="N746" s="2166"/>
      <c r="O746" s="2166"/>
      <c r="P746" s="2171"/>
      <c r="Q746" s="2167"/>
      <c r="R746" s="437"/>
      <c r="S746" s="2168"/>
      <c r="T746" s="179"/>
      <c r="U746" s="178"/>
      <c r="V746" s="2168"/>
      <c r="W746" s="2168"/>
      <c r="X746" s="470"/>
      <c r="Y746" s="470"/>
      <c r="Z746" s="471"/>
      <c r="AA746" s="471"/>
      <c r="AB746" s="466"/>
    </row>
    <row r="747" spans="1:28" s="352" customFormat="1" ht="18" customHeight="1" x14ac:dyDescent="0.2">
      <c r="A747" s="2166"/>
      <c r="B747" s="177"/>
      <c r="C747" s="177"/>
      <c r="D747" s="2166"/>
      <c r="E747" s="2166"/>
      <c r="F747" s="2166"/>
      <c r="G747" s="2166"/>
      <c r="H747" s="2171"/>
      <c r="I747" s="2168"/>
      <c r="J747" s="178"/>
      <c r="K747" s="2168"/>
      <c r="L747" s="2166"/>
      <c r="M747" s="2166"/>
      <c r="N747" s="2166"/>
      <c r="O747" s="2166"/>
      <c r="P747" s="2171"/>
      <c r="Q747" s="2167"/>
      <c r="R747" s="437"/>
      <c r="S747" s="2168"/>
      <c r="T747" s="179"/>
      <c r="U747" s="178"/>
      <c r="V747" s="2168"/>
      <c r="W747" s="2168"/>
      <c r="X747" s="470"/>
      <c r="Y747" s="470"/>
      <c r="Z747" s="471"/>
      <c r="AA747" s="471"/>
      <c r="AB747" s="466"/>
    </row>
    <row r="748" spans="1:28" s="352" customFormat="1" ht="18" customHeight="1" x14ac:dyDescent="0.2">
      <c r="A748" s="2166"/>
      <c r="B748" s="177"/>
      <c r="C748" s="177"/>
      <c r="D748" s="2166"/>
      <c r="E748" s="2166"/>
      <c r="F748" s="2166"/>
      <c r="G748" s="2166"/>
      <c r="H748" s="2171"/>
      <c r="I748" s="2168"/>
      <c r="J748" s="178"/>
      <c r="K748" s="2168"/>
      <c r="L748" s="2166"/>
      <c r="M748" s="2166"/>
      <c r="N748" s="2166"/>
      <c r="O748" s="2166"/>
      <c r="P748" s="2171"/>
      <c r="Q748" s="2167"/>
      <c r="R748" s="437"/>
      <c r="S748" s="2168"/>
      <c r="T748" s="179"/>
      <c r="U748" s="178"/>
      <c r="V748" s="2168"/>
      <c r="W748" s="2168"/>
      <c r="X748" s="470"/>
      <c r="Y748" s="470"/>
      <c r="Z748" s="471"/>
      <c r="AA748" s="471"/>
      <c r="AB748" s="466"/>
    </row>
    <row r="749" spans="1:28" s="352" customFormat="1" ht="18" customHeight="1" x14ac:dyDescent="0.2">
      <c r="A749" s="2166"/>
      <c r="B749" s="177"/>
      <c r="C749" s="177"/>
      <c r="D749" s="2166"/>
      <c r="E749" s="2166"/>
      <c r="F749" s="2166"/>
      <c r="G749" s="2166"/>
      <c r="H749" s="2171"/>
      <c r="I749" s="2168"/>
      <c r="J749" s="178"/>
      <c r="K749" s="2168"/>
      <c r="L749" s="2166"/>
      <c r="M749" s="2166"/>
      <c r="N749" s="2166"/>
      <c r="O749" s="2166"/>
      <c r="P749" s="2171"/>
      <c r="Q749" s="2167"/>
      <c r="R749" s="437"/>
      <c r="S749" s="2168"/>
      <c r="T749" s="179"/>
      <c r="U749" s="178"/>
      <c r="V749" s="2168"/>
      <c r="W749" s="2168"/>
      <c r="X749" s="470"/>
      <c r="Y749" s="470"/>
      <c r="Z749" s="471"/>
      <c r="AA749" s="471"/>
      <c r="AB749" s="466"/>
    </row>
    <row r="750" spans="1:28" s="352" customFormat="1" ht="18" customHeight="1" x14ac:dyDescent="0.2">
      <c r="A750" s="2166"/>
      <c r="B750" s="177"/>
      <c r="C750" s="177"/>
      <c r="D750" s="2166"/>
      <c r="E750" s="2166"/>
      <c r="F750" s="2166"/>
      <c r="G750" s="2166"/>
      <c r="H750" s="2171"/>
      <c r="I750" s="2168"/>
      <c r="J750" s="178"/>
      <c r="K750" s="2168"/>
      <c r="L750" s="2166"/>
      <c r="M750" s="2166"/>
      <c r="N750" s="2166"/>
      <c r="O750" s="2166"/>
      <c r="P750" s="2171"/>
      <c r="Q750" s="2167"/>
      <c r="R750" s="437"/>
      <c r="S750" s="2168"/>
      <c r="T750" s="179"/>
      <c r="U750" s="178"/>
      <c r="V750" s="2168"/>
      <c r="W750" s="2168"/>
      <c r="X750" s="470"/>
      <c r="Y750" s="470"/>
      <c r="Z750" s="471"/>
      <c r="AA750" s="471"/>
      <c r="AB750" s="466"/>
    </row>
    <row r="751" spans="1:28" s="352" customFormat="1" ht="18" customHeight="1" x14ac:dyDescent="0.2">
      <c r="A751" s="88"/>
      <c r="B751" s="180"/>
      <c r="C751" s="180"/>
      <c r="D751" s="88"/>
      <c r="E751" s="88"/>
      <c r="F751" s="88"/>
      <c r="G751" s="88"/>
      <c r="H751" s="120"/>
      <c r="I751" s="121"/>
      <c r="J751" s="181"/>
      <c r="K751" s="121"/>
      <c r="L751" s="88"/>
      <c r="M751" s="88"/>
      <c r="N751" s="88"/>
      <c r="O751" s="88"/>
      <c r="P751" s="88"/>
      <c r="Q751" s="129"/>
      <c r="R751" s="445"/>
      <c r="S751" s="121"/>
      <c r="T751" s="182"/>
      <c r="U751" s="181"/>
      <c r="V751" s="121"/>
      <c r="W751" s="121"/>
      <c r="X751" s="472"/>
      <c r="Y751" s="472"/>
      <c r="Z751" s="473"/>
      <c r="AA751" s="473"/>
      <c r="AB751" s="410"/>
    </row>
    <row r="752" spans="1:28" s="352" customFormat="1" ht="18" customHeight="1" x14ac:dyDescent="0.2">
      <c r="A752" s="1850"/>
      <c r="B752" s="1850"/>
      <c r="C752" s="1850"/>
      <c r="D752" s="1850"/>
      <c r="E752" s="1850"/>
      <c r="F752" s="1850"/>
      <c r="G752" s="1850"/>
      <c r="H752" s="1851"/>
      <c r="I752" s="1852"/>
      <c r="J752" s="1853"/>
      <c r="K752" s="1852"/>
      <c r="L752" s="1852"/>
      <c r="M752" s="1852"/>
      <c r="N752" s="1852"/>
      <c r="O752" s="1852"/>
      <c r="P752" s="1852"/>
      <c r="Q752" s="1852"/>
      <c r="R752" s="1854"/>
      <c r="S752" s="1852"/>
      <c r="T752" s="1855"/>
      <c r="U752" s="1853"/>
      <c r="V752" s="1852"/>
      <c r="W752" s="1852"/>
      <c r="X752" s="1856"/>
      <c r="Y752" s="1856"/>
      <c r="Z752" s="1857"/>
      <c r="AA752" s="1857"/>
      <c r="AB752" s="1847">
        <f>SUM(AB738:AB751)</f>
        <v>1800</v>
      </c>
    </row>
    <row r="753" spans="1:28" s="352" customFormat="1" ht="18" customHeight="1" x14ac:dyDescent="0.2">
      <c r="A753" s="2778" t="s">
        <v>76</v>
      </c>
      <c r="B753" s="2778"/>
      <c r="C753" s="2779" t="s">
        <v>77</v>
      </c>
      <c r="D753" s="2779"/>
      <c r="E753" s="2779"/>
      <c r="F753" s="2779"/>
      <c r="G753" s="2779"/>
      <c r="H753" s="2779"/>
      <c r="I753" s="424" t="s">
        <v>78</v>
      </c>
      <c r="J753" s="424"/>
      <c r="K753" s="424"/>
      <c r="L753" s="424"/>
      <c r="M753" s="424"/>
      <c r="N753" s="424"/>
      <c r="AB753" s="425"/>
    </row>
    <row r="754" spans="1:28" s="352" customFormat="1" ht="18" customHeight="1" x14ac:dyDescent="0.2">
      <c r="A754" s="424"/>
      <c r="B754" s="426"/>
      <c r="C754" s="424"/>
      <c r="D754" s="424"/>
      <c r="E754" s="424"/>
      <c r="F754" s="424"/>
      <c r="G754" s="424"/>
      <c r="H754" s="424"/>
      <c r="I754" s="424" t="s">
        <v>79</v>
      </c>
      <c r="J754" s="424"/>
      <c r="K754" s="424"/>
      <c r="L754" s="424"/>
      <c r="M754" s="424"/>
      <c r="N754" s="424"/>
      <c r="AB754" s="425"/>
    </row>
    <row r="755" spans="1:28" s="352" customFormat="1" ht="18" customHeight="1" x14ac:dyDescent="0.2">
      <c r="A755" s="424"/>
      <c r="B755" s="426"/>
      <c r="C755" s="424"/>
      <c r="D755" s="424"/>
      <c r="E755" s="424"/>
      <c r="F755" s="424"/>
      <c r="G755" s="424"/>
      <c r="H755" s="424"/>
      <c r="I755" s="424" t="s">
        <v>80</v>
      </c>
      <c r="J755" s="424"/>
      <c r="K755" s="424"/>
      <c r="L755" s="424"/>
      <c r="M755" s="424"/>
      <c r="N755" s="424"/>
      <c r="AB755" s="425"/>
    </row>
    <row r="756" spans="1:28" s="352" customFormat="1" ht="18" customHeight="1" x14ac:dyDescent="0.2">
      <c r="A756" s="424"/>
      <c r="B756" s="426"/>
      <c r="C756" s="424"/>
      <c r="D756" s="424"/>
      <c r="E756" s="424"/>
      <c r="F756" s="424"/>
      <c r="G756" s="424"/>
      <c r="H756" s="424"/>
      <c r="I756" s="424" t="s">
        <v>81</v>
      </c>
      <c r="J756" s="424"/>
      <c r="K756" s="424"/>
      <c r="L756" s="424"/>
      <c r="M756" s="424"/>
      <c r="N756" s="424"/>
      <c r="AB756" s="425"/>
    </row>
    <row r="757" spans="1:28" s="352" customFormat="1" ht="18" customHeight="1" x14ac:dyDescent="0.2">
      <c r="A757" s="424"/>
      <c r="B757" s="426"/>
      <c r="C757" s="424"/>
      <c r="D757" s="424"/>
      <c r="E757" s="424"/>
      <c r="F757" s="424"/>
      <c r="G757" s="424"/>
      <c r="H757" s="424"/>
      <c r="I757" s="424" t="s">
        <v>88</v>
      </c>
      <c r="J757" s="424"/>
      <c r="K757" s="424"/>
      <c r="L757" s="424"/>
      <c r="M757" s="424"/>
      <c r="N757" s="424"/>
      <c r="AB757" s="425"/>
    </row>
    <row r="758" spans="1:28" s="352" customFormat="1" ht="18" customHeight="1" x14ac:dyDescent="0.2">
      <c r="A758" s="338"/>
      <c r="B758" s="338"/>
      <c r="C758" s="338"/>
      <c r="D758" s="338"/>
      <c r="E758" s="338"/>
      <c r="F758" s="338"/>
      <c r="G758" s="338"/>
      <c r="H758" s="338"/>
      <c r="I758" s="338"/>
      <c r="J758" s="338"/>
      <c r="K758" s="338"/>
      <c r="L758" s="338"/>
      <c r="M758" s="338"/>
      <c r="N758" s="338"/>
      <c r="O758" s="338"/>
      <c r="P758" s="338"/>
      <c r="Q758" s="338"/>
      <c r="R758" s="338"/>
      <c r="S758" s="338"/>
      <c r="T758" s="338"/>
      <c r="U758" s="338"/>
      <c r="V758" s="338"/>
      <c r="W758" s="338"/>
      <c r="X758" s="338"/>
      <c r="Y758" s="338"/>
      <c r="Z758" s="338"/>
      <c r="AA758" s="2774" t="s">
        <v>0</v>
      </c>
      <c r="AB758" s="2774"/>
    </row>
    <row r="759" spans="1:28" s="352" customFormat="1" ht="18" customHeight="1" x14ac:dyDescent="0.2">
      <c r="A759" s="2703" t="s">
        <v>1</v>
      </c>
      <c r="B759" s="2703"/>
      <c r="C759" s="2703"/>
      <c r="D759" s="2703"/>
      <c r="E759" s="2703"/>
      <c r="F759" s="2703"/>
      <c r="G759" s="2703"/>
      <c r="H759" s="2703"/>
      <c r="I759" s="2703"/>
      <c r="J759" s="2703"/>
      <c r="K759" s="2703"/>
      <c r="L759" s="2703"/>
      <c r="M759" s="2703"/>
      <c r="N759" s="2703"/>
      <c r="O759" s="2703"/>
      <c r="P759" s="2703"/>
      <c r="Q759" s="2703"/>
      <c r="R759" s="2703"/>
      <c r="S759" s="2703"/>
      <c r="T759" s="2703"/>
      <c r="U759" s="2703"/>
      <c r="V759" s="2703"/>
      <c r="W759" s="2703"/>
      <c r="X759" s="2703"/>
      <c r="Y759" s="2703"/>
      <c r="Z759" s="2703"/>
      <c r="AA759" s="2703"/>
      <c r="AB759" s="2703"/>
    </row>
    <row r="760" spans="1:28" s="352" customFormat="1" ht="18" customHeight="1" x14ac:dyDescent="0.2">
      <c r="A760" s="2780" t="s">
        <v>625</v>
      </c>
      <c r="B760" s="2780"/>
      <c r="C760" s="2780"/>
      <c r="D760" s="2780"/>
      <c r="E760" s="2780"/>
      <c r="F760" s="2780"/>
      <c r="G760" s="2780"/>
      <c r="H760" s="2780"/>
      <c r="I760" s="2780"/>
      <c r="J760" s="2780"/>
      <c r="K760" s="2780"/>
      <c r="L760" s="2780"/>
      <c r="M760" s="2780"/>
      <c r="N760" s="2780"/>
      <c r="O760" s="2780"/>
      <c r="P760" s="2780"/>
      <c r="Q760" s="2780"/>
      <c r="R760" s="2780"/>
      <c r="S760" s="2780"/>
      <c r="T760" s="2780"/>
      <c r="U760" s="2780"/>
      <c r="V760" s="2780"/>
      <c r="W760" s="2780"/>
      <c r="X760" s="2780"/>
      <c r="Y760" s="2780"/>
      <c r="Z760" s="2780"/>
      <c r="AA760" s="2780"/>
      <c r="AB760" s="2780"/>
    </row>
    <row r="761" spans="1:28" s="352" customFormat="1" ht="18" customHeight="1" x14ac:dyDescent="0.2">
      <c r="A761" s="2686" t="s">
        <v>2</v>
      </c>
      <c r="B761" s="360"/>
      <c r="C761" s="2686" t="s">
        <v>3</v>
      </c>
      <c r="D761" s="360"/>
      <c r="E761" s="360"/>
      <c r="F761" s="2693" t="s">
        <v>4</v>
      </c>
      <c r="G761" s="2693"/>
      <c r="H761" s="2693"/>
      <c r="I761" s="2694"/>
      <c r="J761" s="2694"/>
      <c r="K761" s="2695"/>
      <c r="L761" s="361"/>
      <c r="M761" s="2679" t="s">
        <v>5</v>
      </c>
      <c r="N761" s="2679"/>
      <c r="O761" s="2679"/>
      <c r="P761" s="2679"/>
      <c r="Q761" s="2696"/>
      <c r="R761" s="2696"/>
      <c r="S761" s="2696"/>
      <c r="T761" s="2696"/>
      <c r="U761" s="2696"/>
      <c r="V761" s="2697"/>
      <c r="W761" s="362" t="s">
        <v>6</v>
      </c>
      <c r="X761" s="363" t="s">
        <v>7</v>
      </c>
      <c r="Y761" s="364"/>
      <c r="Z761" s="364"/>
      <c r="AA761" s="363"/>
      <c r="AB761" s="365"/>
    </row>
    <row r="762" spans="1:28" s="352" customFormat="1" ht="18" customHeight="1" x14ac:dyDescent="0.2">
      <c r="A762" s="2687"/>
      <c r="B762" s="367"/>
      <c r="C762" s="2687"/>
      <c r="D762" s="2158" t="s">
        <v>9</v>
      </c>
      <c r="E762" s="368" t="s">
        <v>10</v>
      </c>
      <c r="F762" s="2698" t="s">
        <v>11</v>
      </c>
      <c r="G762" s="2694"/>
      <c r="H762" s="2695"/>
      <c r="I762" s="360"/>
      <c r="J762" s="369" t="s">
        <v>12</v>
      </c>
      <c r="K762" s="360"/>
      <c r="L762" s="2679" t="s">
        <v>2</v>
      </c>
      <c r="M762" s="2162"/>
      <c r="N762" s="2162"/>
      <c r="O762" s="2162"/>
      <c r="P762" s="371"/>
      <c r="Q762" s="372" t="s">
        <v>13</v>
      </c>
      <c r="R762" s="373" t="s">
        <v>12</v>
      </c>
      <c r="S762" s="2162" t="s">
        <v>6</v>
      </c>
      <c r="T762" s="2682" t="s">
        <v>14</v>
      </c>
      <c r="U762" s="2683"/>
      <c r="V762" s="375" t="s">
        <v>7</v>
      </c>
      <c r="W762" s="376" t="s">
        <v>15</v>
      </c>
      <c r="X762" s="377" t="s">
        <v>16</v>
      </c>
      <c r="Y762" s="377" t="s">
        <v>17</v>
      </c>
      <c r="Z762" s="377" t="s">
        <v>18</v>
      </c>
      <c r="AA762" s="377"/>
      <c r="AB762" s="378" t="s">
        <v>19</v>
      </c>
    </row>
    <row r="763" spans="1:28" s="352" customFormat="1" ht="18" customHeight="1" x14ac:dyDescent="0.2">
      <c r="A763" s="2687"/>
      <c r="B763" s="2158" t="s">
        <v>23</v>
      </c>
      <c r="C763" s="2687"/>
      <c r="D763" s="2158" t="s">
        <v>24</v>
      </c>
      <c r="E763" s="368" t="s">
        <v>25</v>
      </c>
      <c r="F763" s="2699"/>
      <c r="G763" s="2700"/>
      <c r="H763" s="2701"/>
      <c r="I763" s="2158" t="s">
        <v>26</v>
      </c>
      <c r="J763" s="379" t="s">
        <v>15</v>
      </c>
      <c r="K763" s="2159" t="s">
        <v>6</v>
      </c>
      <c r="L763" s="2680"/>
      <c r="M763" s="2163" t="s">
        <v>27</v>
      </c>
      <c r="N763" s="2163" t="s">
        <v>10</v>
      </c>
      <c r="O763" s="382" t="s">
        <v>10</v>
      </c>
      <c r="P763" s="383" t="s">
        <v>28</v>
      </c>
      <c r="Q763" s="384" t="s">
        <v>29</v>
      </c>
      <c r="R763" s="383" t="s">
        <v>15</v>
      </c>
      <c r="S763" s="385" t="s">
        <v>15</v>
      </c>
      <c r="T763" s="2684"/>
      <c r="U763" s="2685"/>
      <c r="V763" s="375" t="s">
        <v>30</v>
      </c>
      <c r="W763" s="376" t="s">
        <v>31</v>
      </c>
      <c r="X763" s="377" t="s">
        <v>30</v>
      </c>
      <c r="Y763" s="377" t="s">
        <v>32</v>
      </c>
      <c r="Z763" s="377" t="s">
        <v>7</v>
      </c>
      <c r="AA763" s="377" t="s">
        <v>33</v>
      </c>
      <c r="AB763" s="378" t="s">
        <v>34</v>
      </c>
    </row>
    <row r="764" spans="1:28" s="352" customFormat="1" ht="18" customHeight="1" x14ac:dyDescent="0.2">
      <c r="A764" s="2687"/>
      <c r="B764" s="2158" t="s">
        <v>39</v>
      </c>
      <c r="C764" s="2687"/>
      <c r="D764" s="2158" t="s">
        <v>40</v>
      </c>
      <c r="E764" s="368" t="s">
        <v>41</v>
      </c>
      <c r="F764" s="2686" t="s">
        <v>42</v>
      </c>
      <c r="G764" s="2686" t="s">
        <v>43</v>
      </c>
      <c r="H764" s="2688" t="s">
        <v>44</v>
      </c>
      <c r="I764" s="2158" t="s">
        <v>45</v>
      </c>
      <c r="J764" s="379" t="s">
        <v>46</v>
      </c>
      <c r="K764" s="2159" t="s">
        <v>47</v>
      </c>
      <c r="L764" s="2680"/>
      <c r="M764" s="2163" t="s">
        <v>30</v>
      </c>
      <c r="N764" s="2163" t="s">
        <v>30</v>
      </c>
      <c r="O764" s="382" t="s">
        <v>25</v>
      </c>
      <c r="P764" s="383" t="s">
        <v>30</v>
      </c>
      <c r="Q764" s="384" t="s">
        <v>48</v>
      </c>
      <c r="R764" s="383" t="s">
        <v>49</v>
      </c>
      <c r="S764" s="385" t="s">
        <v>30</v>
      </c>
      <c r="T764" s="386" t="s">
        <v>50</v>
      </c>
      <c r="U764" s="2161" t="s">
        <v>13</v>
      </c>
      <c r="V764" s="375" t="s">
        <v>51</v>
      </c>
      <c r="W764" s="376" t="s">
        <v>52</v>
      </c>
      <c r="X764" s="377" t="s">
        <v>53</v>
      </c>
      <c r="Y764" s="377" t="s">
        <v>54</v>
      </c>
      <c r="Z764" s="377" t="s">
        <v>55</v>
      </c>
      <c r="AA764" s="377" t="s">
        <v>56</v>
      </c>
      <c r="AB764" s="378" t="s">
        <v>57</v>
      </c>
    </row>
    <row r="765" spans="1:28" s="352" customFormat="1" ht="18" customHeight="1" x14ac:dyDescent="0.2">
      <c r="A765" s="2687"/>
      <c r="B765" s="2158" t="s">
        <v>61</v>
      </c>
      <c r="C765" s="2687"/>
      <c r="D765" s="2158" t="s">
        <v>62</v>
      </c>
      <c r="E765" s="368" t="s">
        <v>63</v>
      </c>
      <c r="F765" s="2687"/>
      <c r="G765" s="2687"/>
      <c r="H765" s="2689"/>
      <c r="I765" s="2158" t="s">
        <v>64</v>
      </c>
      <c r="J765" s="379" t="s">
        <v>59</v>
      </c>
      <c r="K765" s="2159" t="s">
        <v>59</v>
      </c>
      <c r="L765" s="2680"/>
      <c r="M765" s="2163"/>
      <c r="N765" s="2163"/>
      <c r="O765" s="382" t="s">
        <v>41</v>
      </c>
      <c r="P765" s="383" t="s">
        <v>65</v>
      </c>
      <c r="Q765" s="384" t="s">
        <v>66</v>
      </c>
      <c r="R765" s="383" t="s">
        <v>67</v>
      </c>
      <c r="S765" s="385" t="s">
        <v>59</v>
      </c>
      <c r="T765" s="387" t="s">
        <v>68</v>
      </c>
      <c r="U765" s="375" t="s">
        <v>14</v>
      </c>
      <c r="V765" s="375" t="s">
        <v>14</v>
      </c>
      <c r="W765" s="376" t="s">
        <v>30</v>
      </c>
      <c r="X765" s="388" t="s">
        <v>69</v>
      </c>
      <c r="Y765" s="388" t="s">
        <v>70</v>
      </c>
      <c r="Z765" s="377" t="s">
        <v>71</v>
      </c>
      <c r="AA765" s="377" t="s">
        <v>72</v>
      </c>
      <c r="AB765" s="378" t="s">
        <v>59</v>
      </c>
    </row>
    <row r="766" spans="1:28" s="352" customFormat="1" ht="18" customHeight="1" x14ac:dyDescent="0.2">
      <c r="A766" s="2692"/>
      <c r="B766" s="390"/>
      <c r="C766" s="2692"/>
      <c r="D766" s="390"/>
      <c r="E766" s="2160"/>
      <c r="F766" s="390"/>
      <c r="G766" s="390"/>
      <c r="H766" s="391"/>
      <c r="I766" s="2160"/>
      <c r="J766" s="392"/>
      <c r="K766" s="393"/>
      <c r="L766" s="2681"/>
      <c r="M766" s="2164"/>
      <c r="N766" s="2164"/>
      <c r="O766" s="2164" t="s">
        <v>63</v>
      </c>
      <c r="P766" s="395"/>
      <c r="Q766" s="396" t="s">
        <v>72</v>
      </c>
      <c r="R766" s="397" t="s">
        <v>59</v>
      </c>
      <c r="S766" s="398"/>
      <c r="T766" s="397" t="s">
        <v>73</v>
      </c>
      <c r="U766" s="398" t="s">
        <v>59</v>
      </c>
      <c r="V766" s="399" t="s">
        <v>59</v>
      </c>
      <c r="W766" s="400" t="s">
        <v>59</v>
      </c>
      <c r="X766" s="401" t="s">
        <v>59</v>
      </c>
      <c r="Y766" s="401" t="s">
        <v>59</v>
      </c>
      <c r="Z766" s="401" t="s">
        <v>59</v>
      </c>
      <c r="AA766" s="402"/>
      <c r="AB766" s="403"/>
    </row>
    <row r="767" spans="1:28" s="352" customFormat="1" ht="18" customHeight="1" x14ac:dyDescent="0.2">
      <c r="A767" s="53">
        <v>1</v>
      </c>
      <c r="B767" s="95">
        <v>23135</v>
      </c>
      <c r="C767" s="82">
        <v>991</v>
      </c>
      <c r="D767" s="82" t="s">
        <v>107</v>
      </c>
      <c r="E767" s="82">
        <v>4</v>
      </c>
      <c r="F767" s="82">
        <v>0</v>
      </c>
      <c r="G767" s="82">
        <v>1</v>
      </c>
      <c r="H767" s="463">
        <v>36</v>
      </c>
      <c r="I767" s="70">
        <f>F767*400+G767*100+H767</f>
        <v>136</v>
      </c>
      <c r="J767" s="123">
        <v>3000</v>
      </c>
      <c r="K767" s="124">
        <f>SUM(I767*J767)</f>
        <v>408000</v>
      </c>
      <c r="L767" s="53"/>
      <c r="M767" s="82"/>
      <c r="N767" s="82"/>
      <c r="O767" s="53"/>
      <c r="P767" s="358"/>
      <c r="Q767" s="197"/>
      <c r="R767" s="444"/>
      <c r="S767" s="70"/>
      <c r="T767" s="82"/>
      <c r="U767" s="70"/>
      <c r="V767" s="70"/>
      <c r="W767" s="70">
        <f>K767+V767</f>
        <v>408000</v>
      </c>
      <c r="X767" s="70">
        <f>W767</f>
        <v>408000</v>
      </c>
      <c r="Y767" s="123"/>
      <c r="Z767" s="70">
        <f>+X767</f>
        <v>408000</v>
      </c>
      <c r="AA767" s="464">
        <v>0.6</v>
      </c>
      <c r="AB767" s="406">
        <f>+Z767*AA767/100</f>
        <v>2448</v>
      </c>
    </row>
    <row r="768" spans="1:28" s="352" customFormat="1" ht="18" customHeight="1" x14ac:dyDescent="0.2">
      <c r="A768" s="61"/>
      <c r="B768" s="2166"/>
      <c r="C768" s="2166"/>
      <c r="D768" s="2166"/>
      <c r="E768" s="2166"/>
      <c r="F768" s="2166"/>
      <c r="G768" s="2166"/>
      <c r="H768" s="407"/>
      <c r="I768" s="77"/>
      <c r="J768" s="2168"/>
      <c r="K768" s="78"/>
      <c r="L768" s="61"/>
      <c r="M768" s="2166"/>
      <c r="N768" s="2166"/>
      <c r="O768" s="61"/>
      <c r="P768" s="177"/>
      <c r="Q768" s="196"/>
      <c r="R768" s="408"/>
      <c r="S768" s="77"/>
      <c r="T768" s="2166"/>
      <c r="U768" s="77"/>
      <c r="V768" s="77"/>
      <c r="W768" s="77"/>
      <c r="X768" s="77"/>
      <c r="Y768" s="2168"/>
      <c r="Z768" s="77"/>
      <c r="AA768" s="2170"/>
      <c r="AB768" s="410"/>
    </row>
    <row r="769" spans="1:28" s="352" customFormat="1" ht="18" customHeight="1" x14ac:dyDescent="0.2">
      <c r="A769" s="2166"/>
      <c r="B769" s="177"/>
      <c r="C769" s="177"/>
      <c r="D769" s="2166"/>
      <c r="E769" s="2166"/>
      <c r="F769" s="2166"/>
      <c r="G769" s="2166"/>
      <c r="H769" s="2171"/>
      <c r="I769" s="2168"/>
      <c r="J769" s="178"/>
      <c r="K769" s="2168"/>
      <c r="L769" s="2166"/>
      <c r="M769" s="2166"/>
      <c r="N769" s="2166"/>
      <c r="O769" s="2166"/>
      <c r="P769" s="2171"/>
      <c r="Q769" s="2167"/>
      <c r="R769" s="437"/>
      <c r="S769" s="2168"/>
      <c r="T769" s="179"/>
      <c r="U769" s="178"/>
      <c r="V769" s="2168"/>
      <c r="W769" s="2168"/>
      <c r="X769" s="470"/>
      <c r="Y769" s="470"/>
      <c r="Z769" s="471"/>
      <c r="AA769" s="471"/>
      <c r="AB769" s="466"/>
    </row>
    <row r="770" spans="1:28" s="352" customFormat="1" ht="18" customHeight="1" x14ac:dyDescent="0.2">
      <c r="A770" s="2166"/>
      <c r="B770" s="177"/>
      <c r="C770" s="177"/>
      <c r="D770" s="2166"/>
      <c r="E770" s="2166"/>
      <c r="F770" s="2166"/>
      <c r="G770" s="2166"/>
      <c r="H770" s="2171"/>
      <c r="I770" s="2168"/>
      <c r="J770" s="178"/>
      <c r="K770" s="2168"/>
      <c r="L770" s="2166"/>
      <c r="M770" s="2166"/>
      <c r="N770" s="2166"/>
      <c r="O770" s="2166"/>
      <c r="P770" s="2171"/>
      <c r="Q770" s="2167"/>
      <c r="R770" s="437"/>
      <c r="S770" s="2168"/>
      <c r="T770" s="179"/>
      <c r="U770" s="178"/>
      <c r="V770" s="2168"/>
      <c r="W770" s="2168"/>
      <c r="X770" s="470"/>
      <c r="Y770" s="470"/>
      <c r="Z770" s="471"/>
      <c r="AA770" s="471"/>
      <c r="AB770" s="466"/>
    </row>
    <row r="771" spans="1:28" s="352" customFormat="1" ht="18" customHeight="1" x14ac:dyDescent="0.2">
      <c r="A771" s="2166"/>
      <c r="B771" s="177"/>
      <c r="C771" s="177"/>
      <c r="D771" s="2166"/>
      <c r="E771" s="2166"/>
      <c r="F771" s="2166"/>
      <c r="G771" s="2166"/>
      <c r="H771" s="2171"/>
      <c r="I771" s="2168"/>
      <c r="J771" s="178"/>
      <c r="K771" s="2168"/>
      <c r="L771" s="2166"/>
      <c r="M771" s="2166"/>
      <c r="N771" s="2166"/>
      <c r="O771" s="2166"/>
      <c r="P771" s="2171"/>
      <c r="Q771" s="2167"/>
      <c r="R771" s="437"/>
      <c r="S771" s="2168"/>
      <c r="T771" s="179"/>
      <c r="U771" s="178"/>
      <c r="V771" s="2168"/>
      <c r="W771" s="2168"/>
      <c r="X771" s="470"/>
      <c r="Y771" s="470"/>
      <c r="Z771" s="471"/>
      <c r="AA771" s="471"/>
      <c r="AB771" s="466"/>
    </row>
    <row r="772" spans="1:28" s="352" customFormat="1" ht="18" customHeight="1" x14ac:dyDescent="0.2">
      <c r="A772" s="2166"/>
      <c r="B772" s="177"/>
      <c r="C772" s="177"/>
      <c r="D772" s="2166"/>
      <c r="E772" s="2166"/>
      <c r="F772" s="2166"/>
      <c r="G772" s="2166"/>
      <c r="H772" s="2171"/>
      <c r="I772" s="2168"/>
      <c r="J772" s="178"/>
      <c r="K772" s="2168"/>
      <c r="L772" s="2166"/>
      <c r="M772" s="2166"/>
      <c r="N772" s="2166"/>
      <c r="O772" s="2166"/>
      <c r="P772" s="2171"/>
      <c r="Q772" s="2167"/>
      <c r="R772" s="437"/>
      <c r="S772" s="2168"/>
      <c r="T772" s="179"/>
      <c r="U772" s="178"/>
      <c r="V772" s="2168"/>
      <c r="W772" s="2168"/>
      <c r="X772" s="470"/>
      <c r="Y772" s="470"/>
      <c r="Z772" s="471"/>
      <c r="AA772" s="471"/>
      <c r="AB772" s="466"/>
    </row>
    <row r="773" spans="1:28" s="352" customFormat="1" ht="18" customHeight="1" x14ac:dyDescent="0.2">
      <c r="A773" s="2166"/>
      <c r="B773" s="177"/>
      <c r="C773" s="177"/>
      <c r="D773" s="2166"/>
      <c r="E773" s="2166"/>
      <c r="F773" s="2166"/>
      <c r="G773" s="2166"/>
      <c r="H773" s="2171"/>
      <c r="I773" s="2168"/>
      <c r="J773" s="178"/>
      <c r="K773" s="2168"/>
      <c r="L773" s="2166"/>
      <c r="M773" s="2166"/>
      <c r="N773" s="2166"/>
      <c r="O773" s="2166"/>
      <c r="P773" s="2171"/>
      <c r="Q773" s="2167"/>
      <c r="R773" s="437"/>
      <c r="S773" s="2168"/>
      <c r="T773" s="179"/>
      <c r="U773" s="178"/>
      <c r="V773" s="2168"/>
      <c r="W773" s="2168"/>
      <c r="X773" s="470"/>
      <c r="Y773" s="470"/>
      <c r="Z773" s="471"/>
      <c r="AA773" s="471"/>
      <c r="AB773" s="466"/>
    </row>
    <row r="774" spans="1:28" s="352" customFormat="1" ht="18" customHeight="1" x14ac:dyDescent="0.2">
      <c r="A774" s="2166"/>
      <c r="B774" s="177"/>
      <c r="C774" s="177"/>
      <c r="D774" s="2166"/>
      <c r="E774" s="2166"/>
      <c r="F774" s="2166"/>
      <c r="G774" s="2166"/>
      <c r="H774" s="2171"/>
      <c r="I774" s="2168"/>
      <c r="J774" s="178"/>
      <c r="K774" s="2168"/>
      <c r="L774" s="2166"/>
      <c r="M774" s="2166"/>
      <c r="N774" s="2166"/>
      <c r="O774" s="2166"/>
      <c r="P774" s="2171"/>
      <c r="Q774" s="2167"/>
      <c r="R774" s="437"/>
      <c r="S774" s="2168"/>
      <c r="T774" s="179"/>
      <c r="U774" s="178"/>
      <c r="V774" s="2168"/>
      <c r="W774" s="2168"/>
      <c r="X774" s="470"/>
      <c r="Y774" s="470"/>
      <c r="Z774" s="471"/>
      <c r="AA774" s="471"/>
      <c r="AB774" s="466"/>
    </row>
    <row r="775" spans="1:28" s="352" customFormat="1" ht="18" customHeight="1" x14ac:dyDescent="0.2">
      <c r="A775" s="2166"/>
      <c r="B775" s="177"/>
      <c r="C775" s="177"/>
      <c r="D775" s="2166"/>
      <c r="E775" s="2166"/>
      <c r="F775" s="2166"/>
      <c r="G775" s="2166"/>
      <c r="H775" s="2171"/>
      <c r="I775" s="2168"/>
      <c r="J775" s="178"/>
      <c r="K775" s="2168"/>
      <c r="L775" s="2166"/>
      <c r="M775" s="2166"/>
      <c r="N775" s="2166"/>
      <c r="O775" s="2166"/>
      <c r="P775" s="2171"/>
      <c r="Q775" s="2167"/>
      <c r="R775" s="437"/>
      <c r="S775" s="2168"/>
      <c r="T775" s="179"/>
      <c r="U775" s="178"/>
      <c r="V775" s="2168"/>
      <c r="W775" s="2168"/>
      <c r="X775" s="470"/>
      <c r="Y775" s="470"/>
      <c r="Z775" s="471"/>
      <c r="AA775" s="471"/>
      <c r="AB775" s="466"/>
    </row>
    <row r="776" spans="1:28" s="352" customFormat="1" ht="18" customHeight="1" x14ac:dyDescent="0.2">
      <c r="A776" s="2166"/>
      <c r="B776" s="177"/>
      <c r="C776" s="177"/>
      <c r="D776" s="2166"/>
      <c r="E776" s="2166"/>
      <c r="F776" s="2166"/>
      <c r="G776" s="2166"/>
      <c r="H776" s="2171"/>
      <c r="I776" s="2168"/>
      <c r="J776" s="178"/>
      <c r="K776" s="2168"/>
      <c r="L776" s="2166"/>
      <c r="M776" s="2166"/>
      <c r="N776" s="2166"/>
      <c r="O776" s="2166"/>
      <c r="P776" s="2171"/>
      <c r="Q776" s="2167"/>
      <c r="R776" s="437"/>
      <c r="S776" s="2168"/>
      <c r="T776" s="179"/>
      <c r="U776" s="178"/>
      <c r="V776" s="2168"/>
      <c r="W776" s="2168"/>
      <c r="X776" s="470"/>
      <c r="Y776" s="470"/>
      <c r="Z776" s="471"/>
      <c r="AA776" s="471"/>
      <c r="AB776" s="466"/>
    </row>
    <row r="777" spans="1:28" s="352" customFormat="1" ht="18" customHeight="1" x14ac:dyDescent="0.2">
      <c r="A777" s="2166"/>
      <c r="B777" s="177"/>
      <c r="C777" s="177"/>
      <c r="D777" s="2166"/>
      <c r="E777" s="2166"/>
      <c r="F777" s="2166"/>
      <c r="G777" s="2166"/>
      <c r="H777" s="2171"/>
      <c r="I777" s="2168"/>
      <c r="J777" s="178"/>
      <c r="K777" s="2168"/>
      <c r="L777" s="2166"/>
      <c r="M777" s="2166"/>
      <c r="N777" s="2166"/>
      <c r="O777" s="2166"/>
      <c r="P777" s="2171"/>
      <c r="Q777" s="2167"/>
      <c r="R777" s="437"/>
      <c r="S777" s="2168"/>
      <c r="T777" s="179"/>
      <c r="U777" s="178"/>
      <c r="V777" s="2168"/>
      <c r="W777" s="2168"/>
      <c r="X777" s="470"/>
      <c r="Y777" s="470"/>
      <c r="Z777" s="471"/>
      <c r="AA777" s="471"/>
      <c r="AB777" s="466"/>
    </row>
    <row r="778" spans="1:28" s="352" customFormat="1" ht="18" customHeight="1" x14ac:dyDescent="0.2">
      <c r="A778" s="2166"/>
      <c r="B778" s="177"/>
      <c r="C778" s="177"/>
      <c r="D778" s="2166"/>
      <c r="E778" s="2166"/>
      <c r="F778" s="2166"/>
      <c r="G778" s="2166"/>
      <c r="H778" s="2171"/>
      <c r="I778" s="2168"/>
      <c r="J778" s="178"/>
      <c r="K778" s="2168"/>
      <c r="L778" s="2166"/>
      <c r="M778" s="2166"/>
      <c r="N778" s="2166"/>
      <c r="O778" s="2166"/>
      <c r="P778" s="2171"/>
      <c r="Q778" s="2167"/>
      <c r="R778" s="437"/>
      <c r="S778" s="2168"/>
      <c r="T778" s="179"/>
      <c r="U778" s="178"/>
      <c r="V778" s="2168"/>
      <c r="W778" s="2168"/>
      <c r="X778" s="470"/>
      <c r="Y778" s="470"/>
      <c r="Z778" s="471"/>
      <c r="AA778" s="471"/>
      <c r="AB778" s="466"/>
    </row>
    <row r="779" spans="1:28" s="352" customFormat="1" ht="18" customHeight="1" x14ac:dyDescent="0.2">
      <c r="A779" s="2166"/>
      <c r="B779" s="177"/>
      <c r="C779" s="177"/>
      <c r="D779" s="2166"/>
      <c r="E779" s="2166"/>
      <c r="F779" s="2166"/>
      <c r="G779" s="2166"/>
      <c r="H779" s="2171"/>
      <c r="I779" s="2168"/>
      <c r="J779" s="178"/>
      <c r="K779" s="2168"/>
      <c r="L779" s="2166"/>
      <c r="M779" s="2166"/>
      <c r="N779" s="2166"/>
      <c r="O779" s="2166"/>
      <c r="P779" s="2171"/>
      <c r="Q779" s="2167"/>
      <c r="R779" s="437"/>
      <c r="S779" s="2168"/>
      <c r="T779" s="179"/>
      <c r="U779" s="178"/>
      <c r="V779" s="2168"/>
      <c r="W779" s="2168"/>
      <c r="X779" s="470"/>
      <c r="Y779" s="470"/>
      <c r="Z779" s="471"/>
      <c r="AA779" s="471"/>
      <c r="AB779" s="466"/>
    </row>
    <row r="780" spans="1:28" s="352" customFormat="1" ht="18" customHeight="1" x14ac:dyDescent="0.2">
      <c r="A780" s="88"/>
      <c r="B780" s="180"/>
      <c r="C780" s="180"/>
      <c r="D780" s="88"/>
      <c r="E780" s="88"/>
      <c r="F780" s="88"/>
      <c r="G780" s="88"/>
      <c r="H780" s="120"/>
      <c r="I780" s="121"/>
      <c r="J780" s="181"/>
      <c r="K780" s="121"/>
      <c r="L780" s="88"/>
      <c r="M780" s="88"/>
      <c r="N780" s="88"/>
      <c r="O780" s="88"/>
      <c r="P780" s="88"/>
      <c r="Q780" s="129"/>
      <c r="R780" s="445"/>
      <c r="S780" s="121"/>
      <c r="T780" s="182"/>
      <c r="U780" s="181"/>
      <c r="V780" s="121"/>
      <c r="W780" s="121"/>
      <c r="X780" s="472"/>
      <c r="Y780" s="472"/>
      <c r="Z780" s="473"/>
      <c r="AA780" s="473"/>
      <c r="AB780" s="410"/>
    </row>
    <row r="781" spans="1:28" s="352" customFormat="1" ht="18" customHeight="1" x14ac:dyDescent="0.2">
      <c r="A781" s="1850"/>
      <c r="B781" s="1850"/>
      <c r="C781" s="1850"/>
      <c r="D781" s="1850"/>
      <c r="E781" s="1850"/>
      <c r="F781" s="1850"/>
      <c r="G781" s="1850"/>
      <c r="H781" s="1851"/>
      <c r="I781" s="1852"/>
      <c r="J781" s="1853"/>
      <c r="K781" s="1852"/>
      <c r="L781" s="1852"/>
      <c r="M781" s="1852"/>
      <c r="N781" s="1852"/>
      <c r="O781" s="1852"/>
      <c r="P781" s="1852"/>
      <c r="Q781" s="1852"/>
      <c r="R781" s="1854"/>
      <c r="S781" s="1852"/>
      <c r="T781" s="1855"/>
      <c r="U781" s="1853"/>
      <c r="V781" s="1852"/>
      <c r="W781" s="1852"/>
      <c r="X781" s="1856"/>
      <c r="Y781" s="1856"/>
      <c r="Z781" s="1857"/>
      <c r="AA781" s="1857"/>
      <c r="AB781" s="1847">
        <f>SUM(AB767:AB780)</f>
        <v>2448</v>
      </c>
    </row>
    <row r="782" spans="1:28" s="352" customFormat="1" ht="18" customHeight="1" x14ac:dyDescent="0.2">
      <c r="A782" s="2778" t="s">
        <v>76</v>
      </c>
      <c r="B782" s="2778"/>
      <c r="C782" s="2779" t="s">
        <v>77</v>
      </c>
      <c r="D782" s="2779"/>
      <c r="E782" s="2779"/>
      <c r="F782" s="2779"/>
      <c r="G782" s="2779"/>
      <c r="H782" s="2779"/>
      <c r="I782" s="424" t="s">
        <v>78</v>
      </c>
      <c r="J782" s="424"/>
      <c r="K782" s="424"/>
      <c r="L782" s="424"/>
      <c r="M782" s="424"/>
      <c r="N782" s="424"/>
      <c r="AB782" s="425"/>
    </row>
    <row r="783" spans="1:28" s="352" customFormat="1" ht="18" customHeight="1" x14ac:dyDescent="0.2">
      <c r="A783" s="424"/>
      <c r="B783" s="426"/>
      <c r="C783" s="424"/>
      <c r="D783" s="424"/>
      <c r="E783" s="424"/>
      <c r="F783" s="424"/>
      <c r="G783" s="424"/>
      <c r="H783" s="424"/>
      <c r="I783" s="424" t="s">
        <v>79</v>
      </c>
      <c r="J783" s="424"/>
      <c r="K783" s="424"/>
      <c r="L783" s="424"/>
      <c r="M783" s="424"/>
      <c r="N783" s="424"/>
      <c r="AB783" s="425"/>
    </row>
    <row r="784" spans="1:28" s="352" customFormat="1" ht="18" customHeight="1" x14ac:dyDescent="0.2">
      <c r="A784" s="424"/>
      <c r="B784" s="426"/>
      <c r="C784" s="424"/>
      <c r="D784" s="424"/>
      <c r="E784" s="424"/>
      <c r="F784" s="424"/>
      <c r="G784" s="424"/>
      <c r="H784" s="424"/>
      <c r="I784" s="424" t="s">
        <v>80</v>
      </c>
      <c r="J784" s="424"/>
      <c r="K784" s="424"/>
      <c r="L784" s="424"/>
      <c r="M784" s="424"/>
      <c r="N784" s="424"/>
      <c r="AB784" s="425"/>
    </row>
    <row r="785" spans="1:28" s="352" customFormat="1" ht="18" customHeight="1" x14ac:dyDescent="0.2">
      <c r="A785" s="424"/>
      <c r="B785" s="426"/>
      <c r="C785" s="424"/>
      <c r="D785" s="424"/>
      <c r="E785" s="424"/>
      <c r="F785" s="424"/>
      <c r="G785" s="424"/>
      <c r="H785" s="424"/>
      <c r="I785" s="424" t="s">
        <v>81</v>
      </c>
      <c r="J785" s="424"/>
      <c r="K785" s="424"/>
      <c r="L785" s="424"/>
      <c r="M785" s="424"/>
      <c r="N785" s="424"/>
      <c r="AB785" s="425"/>
    </row>
    <row r="786" spans="1:28" s="352" customFormat="1" ht="18" customHeight="1" x14ac:dyDescent="0.2">
      <c r="A786" s="424"/>
      <c r="B786" s="426"/>
      <c r="C786" s="424"/>
      <c r="D786" s="424"/>
      <c r="E786" s="424"/>
      <c r="F786" s="424"/>
      <c r="G786" s="424"/>
      <c r="H786" s="424"/>
      <c r="I786" s="424" t="s">
        <v>88</v>
      </c>
      <c r="J786" s="424"/>
      <c r="K786" s="424"/>
      <c r="L786" s="424"/>
      <c r="M786" s="424"/>
      <c r="N786" s="424"/>
      <c r="AB786" s="425"/>
    </row>
    <row r="787" spans="1:28" s="352" customFormat="1" ht="18" customHeight="1" x14ac:dyDescent="0.2">
      <c r="A787" s="338"/>
      <c r="B787" s="338"/>
      <c r="C787" s="338"/>
      <c r="D787" s="338"/>
      <c r="E787" s="338"/>
      <c r="F787" s="338"/>
      <c r="G787" s="338"/>
      <c r="H787" s="338"/>
      <c r="I787" s="338"/>
      <c r="J787" s="338"/>
      <c r="K787" s="338"/>
      <c r="L787" s="338"/>
      <c r="M787" s="338"/>
      <c r="N787" s="338"/>
      <c r="O787" s="338"/>
      <c r="P787" s="338"/>
      <c r="Q787" s="338"/>
      <c r="R787" s="338"/>
      <c r="S787" s="338"/>
      <c r="T787" s="338"/>
      <c r="U787" s="338"/>
      <c r="V787" s="338"/>
      <c r="W787" s="338"/>
      <c r="X787" s="338"/>
      <c r="Y787" s="338"/>
      <c r="Z787" s="338"/>
      <c r="AA787" s="2774" t="s">
        <v>0</v>
      </c>
      <c r="AB787" s="2774"/>
    </row>
    <row r="788" spans="1:28" s="352" customFormat="1" ht="18" customHeight="1" x14ac:dyDescent="0.2">
      <c r="A788" s="2703" t="s">
        <v>1</v>
      </c>
      <c r="B788" s="2703"/>
      <c r="C788" s="2703"/>
      <c r="D788" s="2703"/>
      <c r="E788" s="2703"/>
      <c r="F788" s="2703"/>
      <c r="G788" s="2703"/>
      <c r="H788" s="2703"/>
      <c r="I788" s="2703"/>
      <c r="J788" s="2703"/>
      <c r="K788" s="2703"/>
      <c r="L788" s="2703"/>
      <c r="M788" s="2703"/>
      <c r="N788" s="2703"/>
      <c r="O788" s="2703"/>
      <c r="P788" s="2703"/>
      <c r="Q788" s="2703"/>
      <c r="R788" s="2703"/>
      <c r="S788" s="2703"/>
      <c r="T788" s="2703"/>
      <c r="U788" s="2703"/>
      <c r="V788" s="2703"/>
      <c r="W788" s="2703"/>
      <c r="X788" s="2703"/>
      <c r="Y788" s="2703"/>
      <c r="Z788" s="2703"/>
      <c r="AA788" s="2703"/>
      <c r="AB788" s="2703"/>
    </row>
    <row r="789" spans="1:28" s="352" customFormat="1" ht="18" customHeight="1" x14ac:dyDescent="0.2">
      <c r="A789" s="2780" t="s">
        <v>626</v>
      </c>
      <c r="B789" s="2780"/>
      <c r="C789" s="2780"/>
      <c r="D789" s="2780"/>
      <c r="E789" s="2780"/>
      <c r="F789" s="2780"/>
      <c r="G789" s="2780"/>
      <c r="H789" s="2780"/>
      <c r="I789" s="2780"/>
      <c r="J789" s="2780"/>
      <c r="K789" s="2780"/>
      <c r="L789" s="2780"/>
      <c r="M789" s="2780"/>
      <c r="N789" s="2780"/>
      <c r="O789" s="2780"/>
      <c r="P789" s="2780"/>
      <c r="Q789" s="2780"/>
      <c r="R789" s="2780"/>
      <c r="S789" s="2780"/>
      <c r="T789" s="2780"/>
      <c r="U789" s="2780"/>
      <c r="V789" s="2780"/>
      <c r="W789" s="2780"/>
      <c r="X789" s="2780"/>
      <c r="Y789" s="2780"/>
      <c r="Z789" s="2780"/>
      <c r="AA789" s="2780"/>
      <c r="AB789" s="2780"/>
    </row>
    <row r="790" spans="1:28" s="352" customFormat="1" ht="18" customHeight="1" x14ac:dyDescent="0.2">
      <c r="A790" s="2686" t="s">
        <v>2</v>
      </c>
      <c r="B790" s="360"/>
      <c r="C790" s="2686" t="s">
        <v>3</v>
      </c>
      <c r="D790" s="360"/>
      <c r="E790" s="360"/>
      <c r="F790" s="2693" t="s">
        <v>4</v>
      </c>
      <c r="G790" s="2693"/>
      <c r="H790" s="2693"/>
      <c r="I790" s="2694"/>
      <c r="J790" s="2694"/>
      <c r="K790" s="2695"/>
      <c r="L790" s="361"/>
      <c r="M790" s="2679" t="s">
        <v>5</v>
      </c>
      <c r="N790" s="2679"/>
      <c r="O790" s="2679"/>
      <c r="P790" s="2679"/>
      <c r="Q790" s="2696"/>
      <c r="R790" s="2696"/>
      <c r="S790" s="2696"/>
      <c r="T790" s="2696"/>
      <c r="U790" s="2696"/>
      <c r="V790" s="2697"/>
      <c r="W790" s="362" t="s">
        <v>6</v>
      </c>
      <c r="X790" s="363" t="s">
        <v>7</v>
      </c>
      <c r="Y790" s="364"/>
      <c r="Z790" s="364"/>
      <c r="AA790" s="363"/>
      <c r="AB790" s="365"/>
    </row>
    <row r="791" spans="1:28" s="352" customFormat="1" ht="18" customHeight="1" x14ac:dyDescent="0.2">
      <c r="A791" s="2687"/>
      <c r="B791" s="367"/>
      <c r="C791" s="2687"/>
      <c r="D791" s="2158" t="s">
        <v>9</v>
      </c>
      <c r="E791" s="368" t="s">
        <v>10</v>
      </c>
      <c r="F791" s="2698" t="s">
        <v>11</v>
      </c>
      <c r="G791" s="2694"/>
      <c r="H791" s="2695"/>
      <c r="I791" s="360"/>
      <c r="J791" s="369" t="s">
        <v>12</v>
      </c>
      <c r="K791" s="360"/>
      <c r="L791" s="2679" t="s">
        <v>2</v>
      </c>
      <c r="M791" s="2162"/>
      <c r="N791" s="2162"/>
      <c r="O791" s="2162"/>
      <c r="P791" s="371"/>
      <c r="Q791" s="372" t="s">
        <v>13</v>
      </c>
      <c r="R791" s="373" t="s">
        <v>12</v>
      </c>
      <c r="S791" s="2162" t="s">
        <v>6</v>
      </c>
      <c r="T791" s="2682" t="s">
        <v>14</v>
      </c>
      <c r="U791" s="2683"/>
      <c r="V791" s="375" t="s">
        <v>7</v>
      </c>
      <c r="W791" s="376" t="s">
        <v>15</v>
      </c>
      <c r="X791" s="377" t="s">
        <v>16</v>
      </c>
      <c r="Y791" s="377" t="s">
        <v>17</v>
      </c>
      <c r="Z791" s="377" t="s">
        <v>18</v>
      </c>
      <c r="AA791" s="377"/>
      <c r="AB791" s="378" t="s">
        <v>19</v>
      </c>
    </row>
    <row r="792" spans="1:28" s="352" customFormat="1" ht="18" customHeight="1" x14ac:dyDescent="0.2">
      <c r="A792" s="2687"/>
      <c r="B792" s="2158" t="s">
        <v>23</v>
      </c>
      <c r="C792" s="2687"/>
      <c r="D792" s="2158" t="s">
        <v>24</v>
      </c>
      <c r="E792" s="368" t="s">
        <v>25</v>
      </c>
      <c r="F792" s="2699"/>
      <c r="G792" s="2700"/>
      <c r="H792" s="2701"/>
      <c r="I792" s="2158" t="s">
        <v>26</v>
      </c>
      <c r="J792" s="379" t="s">
        <v>15</v>
      </c>
      <c r="K792" s="2159" t="s">
        <v>6</v>
      </c>
      <c r="L792" s="2680"/>
      <c r="M792" s="2163" t="s">
        <v>27</v>
      </c>
      <c r="N792" s="2163" t="s">
        <v>10</v>
      </c>
      <c r="O792" s="382" t="s">
        <v>10</v>
      </c>
      <c r="P792" s="383" t="s">
        <v>28</v>
      </c>
      <c r="Q792" s="384" t="s">
        <v>29</v>
      </c>
      <c r="R792" s="383" t="s">
        <v>15</v>
      </c>
      <c r="S792" s="385" t="s">
        <v>15</v>
      </c>
      <c r="T792" s="2684"/>
      <c r="U792" s="2685"/>
      <c r="V792" s="375" t="s">
        <v>30</v>
      </c>
      <c r="W792" s="376" t="s">
        <v>31</v>
      </c>
      <c r="X792" s="377" t="s">
        <v>30</v>
      </c>
      <c r="Y792" s="377" t="s">
        <v>32</v>
      </c>
      <c r="Z792" s="377" t="s">
        <v>7</v>
      </c>
      <c r="AA792" s="377" t="s">
        <v>33</v>
      </c>
      <c r="AB792" s="378" t="s">
        <v>34</v>
      </c>
    </row>
    <row r="793" spans="1:28" s="352" customFormat="1" ht="18" customHeight="1" x14ac:dyDescent="0.2">
      <c r="A793" s="2687"/>
      <c r="B793" s="2158" t="s">
        <v>39</v>
      </c>
      <c r="C793" s="2687"/>
      <c r="D793" s="2158" t="s">
        <v>40</v>
      </c>
      <c r="E793" s="368" t="s">
        <v>41</v>
      </c>
      <c r="F793" s="2686" t="s">
        <v>42</v>
      </c>
      <c r="G793" s="2686" t="s">
        <v>43</v>
      </c>
      <c r="H793" s="2688" t="s">
        <v>44</v>
      </c>
      <c r="I793" s="2158" t="s">
        <v>45</v>
      </c>
      <c r="J793" s="379" t="s">
        <v>46</v>
      </c>
      <c r="K793" s="2159" t="s">
        <v>47</v>
      </c>
      <c r="L793" s="2680"/>
      <c r="M793" s="2163" t="s">
        <v>30</v>
      </c>
      <c r="N793" s="2163" t="s">
        <v>30</v>
      </c>
      <c r="O793" s="382" t="s">
        <v>25</v>
      </c>
      <c r="P793" s="383" t="s">
        <v>30</v>
      </c>
      <c r="Q793" s="384" t="s">
        <v>48</v>
      </c>
      <c r="R793" s="383" t="s">
        <v>49</v>
      </c>
      <c r="S793" s="385" t="s">
        <v>30</v>
      </c>
      <c r="T793" s="386" t="s">
        <v>50</v>
      </c>
      <c r="U793" s="2161" t="s">
        <v>13</v>
      </c>
      <c r="V793" s="375" t="s">
        <v>51</v>
      </c>
      <c r="W793" s="376" t="s">
        <v>52</v>
      </c>
      <c r="X793" s="377" t="s">
        <v>53</v>
      </c>
      <c r="Y793" s="377" t="s">
        <v>54</v>
      </c>
      <c r="Z793" s="377" t="s">
        <v>55</v>
      </c>
      <c r="AA793" s="377" t="s">
        <v>56</v>
      </c>
      <c r="AB793" s="378" t="s">
        <v>57</v>
      </c>
    </row>
    <row r="794" spans="1:28" s="352" customFormat="1" ht="18" customHeight="1" x14ac:dyDescent="0.2">
      <c r="A794" s="2687"/>
      <c r="B794" s="2158" t="s">
        <v>61</v>
      </c>
      <c r="C794" s="2687"/>
      <c r="D794" s="2158" t="s">
        <v>62</v>
      </c>
      <c r="E794" s="368" t="s">
        <v>63</v>
      </c>
      <c r="F794" s="2687"/>
      <c r="G794" s="2687"/>
      <c r="H794" s="2689"/>
      <c r="I794" s="2158" t="s">
        <v>64</v>
      </c>
      <c r="J794" s="379" t="s">
        <v>59</v>
      </c>
      <c r="K794" s="2159" t="s">
        <v>59</v>
      </c>
      <c r="L794" s="2680"/>
      <c r="M794" s="2163"/>
      <c r="N794" s="2163"/>
      <c r="O794" s="382" t="s">
        <v>41</v>
      </c>
      <c r="P794" s="383" t="s">
        <v>65</v>
      </c>
      <c r="Q794" s="384" t="s">
        <v>66</v>
      </c>
      <c r="R794" s="383" t="s">
        <v>67</v>
      </c>
      <c r="S794" s="385" t="s">
        <v>59</v>
      </c>
      <c r="T794" s="387" t="s">
        <v>68</v>
      </c>
      <c r="U794" s="375" t="s">
        <v>14</v>
      </c>
      <c r="V794" s="375" t="s">
        <v>14</v>
      </c>
      <c r="W794" s="376" t="s">
        <v>30</v>
      </c>
      <c r="X794" s="388" t="s">
        <v>69</v>
      </c>
      <c r="Y794" s="388" t="s">
        <v>70</v>
      </c>
      <c r="Z794" s="377" t="s">
        <v>71</v>
      </c>
      <c r="AA794" s="377" t="s">
        <v>72</v>
      </c>
      <c r="AB794" s="378" t="s">
        <v>59</v>
      </c>
    </row>
    <row r="795" spans="1:28" s="352" customFormat="1" ht="18" customHeight="1" x14ac:dyDescent="0.2">
      <c r="A795" s="2692"/>
      <c r="B795" s="390"/>
      <c r="C795" s="2692"/>
      <c r="D795" s="390"/>
      <c r="E795" s="2160"/>
      <c r="F795" s="390"/>
      <c r="G795" s="390"/>
      <c r="H795" s="391"/>
      <c r="I795" s="2160"/>
      <c r="J795" s="392"/>
      <c r="K795" s="393"/>
      <c r="L795" s="2681"/>
      <c r="M795" s="2164"/>
      <c r="N795" s="2164"/>
      <c r="O795" s="2164" t="s">
        <v>63</v>
      </c>
      <c r="P795" s="395"/>
      <c r="Q795" s="396" t="s">
        <v>72</v>
      </c>
      <c r="R795" s="397" t="s">
        <v>59</v>
      </c>
      <c r="S795" s="398"/>
      <c r="T795" s="397" t="s">
        <v>73</v>
      </c>
      <c r="U795" s="398" t="s">
        <v>59</v>
      </c>
      <c r="V795" s="399" t="s">
        <v>59</v>
      </c>
      <c r="W795" s="400" t="s">
        <v>59</v>
      </c>
      <c r="X795" s="401" t="s">
        <v>59</v>
      </c>
      <c r="Y795" s="401" t="s">
        <v>59</v>
      </c>
      <c r="Z795" s="401" t="s">
        <v>59</v>
      </c>
      <c r="AA795" s="402"/>
      <c r="AB795" s="403"/>
    </row>
    <row r="796" spans="1:28" s="352" customFormat="1" ht="18" customHeight="1" x14ac:dyDescent="0.2">
      <c r="A796" s="53">
        <v>1</v>
      </c>
      <c r="B796" s="95">
        <v>23175</v>
      </c>
      <c r="C796" s="82">
        <v>1015</v>
      </c>
      <c r="D796" s="82" t="s">
        <v>107</v>
      </c>
      <c r="E796" s="82">
        <v>4</v>
      </c>
      <c r="F796" s="82">
        <v>0</v>
      </c>
      <c r="G796" s="82">
        <v>1</v>
      </c>
      <c r="H796" s="463">
        <v>0</v>
      </c>
      <c r="I796" s="70">
        <f>F796*400+G796*100+H796</f>
        <v>100</v>
      </c>
      <c r="J796" s="123">
        <v>3000</v>
      </c>
      <c r="K796" s="124">
        <f>SUM(I796*J796)</f>
        <v>300000</v>
      </c>
      <c r="L796" s="53"/>
      <c r="M796" s="82"/>
      <c r="N796" s="82"/>
      <c r="O796" s="53"/>
      <c r="P796" s="358"/>
      <c r="Q796" s="197"/>
      <c r="R796" s="444"/>
      <c r="S796" s="70"/>
      <c r="T796" s="82"/>
      <c r="U796" s="70"/>
      <c r="V796" s="70"/>
      <c r="W796" s="70">
        <f>K796+V796</f>
        <v>300000</v>
      </c>
      <c r="X796" s="70">
        <f>W796</f>
        <v>300000</v>
      </c>
      <c r="Y796" s="123"/>
      <c r="Z796" s="70">
        <f>+X796</f>
        <v>300000</v>
      </c>
      <c r="AA796" s="464">
        <v>0.6</v>
      </c>
      <c r="AB796" s="406">
        <f>+Z796*AA796/100</f>
        <v>1800</v>
      </c>
    </row>
    <row r="797" spans="1:28" s="352" customFormat="1" ht="18" customHeight="1" x14ac:dyDescent="0.2">
      <c r="A797" s="61"/>
      <c r="B797" s="2166"/>
      <c r="C797" s="2166"/>
      <c r="D797" s="2166"/>
      <c r="E797" s="2166"/>
      <c r="F797" s="2166"/>
      <c r="G797" s="2166"/>
      <c r="H797" s="407"/>
      <c r="I797" s="77"/>
      <c r="J797" s="2168"/>
      <c r="K797" s="78"/>
      <c r="L797" s="61"/>
      <c r="M797" s="2166"/>
      <c r="N797" s="2166"/>
      <c r="O797" s="61"/>
      <c r="P797" s="177"/>
      <c r="Q797" s="196"/>
      <c r="R797" s="408"/>
      <c r="S797" s="77"/>
      <c r="T797" s="2166"/>
      <c r="U797" s="77"/>
      <c r="V797" s="77"/>
      <c r="W797" s="77"/>
      <c r="X797" s="77"/>
      <c r="Y797" s="2168"/>
      <c r="Z797" s="77"/>
      <c r="AA797" s="2170"/>
      <c r="AB797" s="410"/>
    </row>
    <row r="798" spans="1:28" s="352" customFormat="1" ht="18" customHeight="1" x14ac:dyDescent="0.2">
      <c r="A798" s="2166"/>
      <c r="B798" s="177"/>
      <c r="C798" s="177"/>
      <c r="D798" s="2166"/>
      <c r="E798" s="2166"/>
      <c r="F798" s="2166"/>
      <c r="G798" s="2166"/>
      <c r="H798" s="2171"/>
      <c r="I798" s="2168"/>
      <c r="J798" s="178"/>
      <c r="K798" s="2168"/>
      <c r="L798" s="2166"/>
      <c r="M798" s="2166"/>
      <c r="N798" s="2166"/>
      <c r="O798" s="2166"/>
      <c r="P798" s="2171"/>
      <c r="Q798" s="2167"/>
      <c r="R798" s="437"/>
      <c r="S798" s="2168"/>
      <c r="T798" s="179"/>
      <c r="U798" s="178"/>
      <c r="V798" s="2168"/>
      <c r="W798" s="2168"/>
      <c r="X798" s="470"/>
      <c r="Y798" s="470"/>
      <c r="Z798" s="471"/>
      <c r="AA798" s="471"/>
      <c r="AB798" s="466"/>
    </row>
    <row r="799" spans="1:28" s="352" customFormat="1" ht="18" customHeight="1" x14ac:dyDescent="0.2">
      <c r="A799" s="2166"/>
      <c r="B799" s="177"/>
      <c r="C799" s="177"/>
      <c r="D799" s="2166"/>
      <c r="E799" s="2166"/>
      <c r="F799" s="2166"/>
      <c r="G799" s="2166"/>
      <c r="H799" s="2171"/>
      <c r="I799" s="2168"/>
      <c r="J799" s="178"/>
      <c r="K799" s="2168"/>
      <c r="L799" s="2166"/>
      <c r="M799" s="2166"/>
      <c r="N799" s="2166"/>
      <c r="O799" s="2166"/>
      <c r="P799" s="2171"/>
      <c r="Q799" s="2167"/>
      <c r="R799" s="437"/>
      <c r="S799" s="2168"/>
      <c r="T799" s="179"/>
      <c r="U799" s="178"/>
      <c r="V799" s="2168"/>
      <c r="W799" s="2168"/>
      <c r="X799" s="470"/>
      <c r="Y799" s="470"/>
      <c r="Z799" s="471"/>
      <c r="AA799" s="471"/>
      <c r="AB799" s="466"/>
    </row>
    <row r="800" spans="1:28" s="352" customFormat="1" ht="18" customHeight="1" x14ac:dyDescent="0.2">
      <c r="A800" s="2166"/>
      <c r="B800" s="177"/>
      <c r="C800" s="177"/>
      <c r="D800" s="2166"/>
      <c r="E800" s="2166"/>
      <c r="F800" s="2166"/>
      <c r="G800" s="2166"/>
      <c r="H800" s="2171"/>
      <c r="I800" s="2168"/>
      <c r="J800" s="178"/>
      <c r="K800" s="2168"/>
      <c r="L800" s="2166"/>
      <c r="M800" s="2166"/>
      <c r="N800" s="2166"/>
      <c r="O800" s="2166"/>
      <c r="P800" s="2171"/>
      <c r="Q800" s="2167"/>
      <c r="R800" s="437"/>
      <c r="S800" s="2168"/>
      <c r="T800" s="179"/>
      <c r="U800" s="178"/>
      <c r="V800" s="2168"/>
      <c r="W800" s="2168"/>
      <c r="X800" s="470"/>
      <c r="Y800" s="470"/>
      <c r="Z800" s="471"/>
      <c r="AA800" s="471"/>
      <c r="AB800" s="466"/>
    </row>
    <row r="801" spans="1:28" s="352" customFormat="1" ht="18" customHeight="1" x14ac:dyDescent="0.2">
      <c r="A801" s="2166"/>
      <c r="B801" s="177"/>
      <c r="C801" s="177"/>
      <c r="D801" s="2166"/>
      <c r="E801" s="2166"/>
      <c r="F801" s="2166"/>
      <c r="G801" s="2166"/>
      <c r="H801" s="2171"/>
      <c r="I801" s="2168"/>
      <c r="J801" s="178"/>
      <c r="K801" s="2168"/>
      <c r="L801" s="2166"/>
      <c r="M801" s="2166"/>
      <c r="N801" s="2166"/>
      <c r="O801" s="2166"/>
      <c r="P801" s="2171"/>
      <c r="Q801" s="2167"/>
      <c r="R801" s="437"/>
      <c r="S801" s="2168"/>
      <c r="T801" s="179"/>
      <c r="U801" s="178"/>
      <c r="V801" s="2168"/>
      <c r="W801" s="2168"/>
      <c r="X801" s="470"/>
      <c r="Y801" s="470"/>
      <c r="Z801" s="471"/>
      <c r="AA801" s="471"/>
      <c r="AB801" s="466"/>
    </row>
    <row r="802" spans="1:28" s="352" customFormat="1" ht="18" customHeight="1" x14ac:dyDescent="0.2">
      <c r="A802" s="2166"/>
      <c r="B802" s="177"/>
      <c r="C802" s="177"/>
      <c r="D802" s="2166"/>
      <c r="E802" s="2166"/>
      <c r="F802" s="2166"/>
      <c r="G802" s="2166"/>
      <c r="H802" s="2171"/>
      <c r="I802" s="2168"/>
      <c r="J802" s="178"/>
      <c r="K802" s="2168"/>
      <c r="L802" s="2166"/>
      <c r="M802" s="2166"/>
      <c r="N802" s="2166"/>
      <c r="O802" s="2166"/>
      <c r="P802" s="2171"/>
      <c r="Q802" s="2167"/>
      <c r="R802" s="437"/>
      <c r="S802" s="2168"/>
      <c r="T802" s="179"/>
      <c r="U802" s="178"/>
      <c r="V802" s="2168"/>
      <c r="W802" s="2168"/>
      <c r="X802" s="470"/>
      <c r="Y802" s="470"/>
      <c r="Z802" s="471"/>
      <c r="AA802" s="471"/>
      <c r="AB802" s="466"/>
    </row>
    <row r="803" spans="1:28" s="352" customFormat="1" ht="18" customHeight="1" x14ac:dyDescent="0.2">
      <c r="A803" s="2166"/>
      <c r="B803" s="177"/>
      <c r="C803" s="177"/>
      <c r="D803" s="2166"/>
      <c r="E803" s="2166"/>
      <c r="F803" s="2166"/>
      <c r="G803" s="2166"/>
      <c r="H803" s="2171"/>
      <c r="I803" s="2168"/>
      <c r="J803" s="178"/>
      <c r="K803" s="2168"/>
      <c r="L803" s="2166"/>
      <c r="M803" s="2166"/>
      <c r="N803" s="2166"/>
      <c r="O803" s="2166"/>
      <c r="P803" s="2171"/>
      <c r="Q803" s="2167"/>
      <c r="R803" s="437"/>
      <c r="S803" s="2168"/>
      <c r="T803" s="179"/>
      <c r="U803" s="178"/>
      <c r="V803" s="2168"/>
      <c r="W803" s="2168"/>
      <c r="X803" s="470"/>
      <c r="Y803" s="470"/>
      <c r="Z803" s="471"/>
      <c r="AA803" s="471"/>
      <c r="AB803" s="466"/>
    </row>
    <row r="804" spans="1:28" s="352" customFormat="1" ht="18" customHeight="1" x14ac:dyDescent="0.2">
      <c r="A804" s="2166"/>
      <c r="B804" s="177"/>
      <c r="C804" s="177"/>
      <c r="D804" s="2166"/>
      <c r="E804" s="2166"/>
      <c r="F804" s="2166"/>
      <c r="G804" s="2166"/>
      <c r="H804" s="2171"/>
      <c r="I804" s="2168"/>
      <c r="J804" s="178"/>
      <c r="K804" s="2168"/>
      <c r="L804" s="2166"/>
      <c r="M804" s="2166"/>
      <c r="N804" s="2166"/>
      <c r="O804" s="2166"/>
      <c r="P804" s="2171"/>
      <c r="Q804" s="2167"/>
      <c r="R804" s="437"/>
      <c r="S804" s="2168"/>
      <c r="T804" s="179"/>
      <c r="U804" s="178"/>
      <c r="V804" s="2168"/>
      <c r="W804" s="2168"/>
      <c r="X804" s="470"/>
      <c r="Y804" s="470"/>
      <c r="Z804" s="471"/>
      <c r="AA804" s="471"/>
      <c r="AB804" s="466"/>
    </row>
    <row r="805" spans="1:28" s="352" customFormat="1" ht="18" customHeight="1" x14ac:dyDescent="0.2">
      <c r="A805" s="2166"/>
      <c r="B805" s="177"/>
      <c r="C805" s="177"/>
      <c r="D805" s="2166"/>
      <c r="E805" s="2166"/>
      <c r="F805" s="2166"/>
      <c r="G805" s="2166"/>
      <c r="H805" s="2171"/>
      <c r="I805" s="2168"/>
      <c r="J805" s="178"/>
      <c r="K805" s="2168"/>
      <c r="L805" s="2166"/>
      <c r="M805" s="2166"/>
      <c r="N805" s="2166"/>
      <c r="O805" s="2166"/>
      <c r="P805" s="2171"/>
      <c r="Q805" s="2167"/>
      <c r="R805" s="437"/>
      <c r="S805" s="2168"/>
      <c r="T805" s="179"/>
      <c r="U805" s="178"/>
      <c r="V805" s="2168"/>
      <c r="W805" s="2168"/>
      <c r="X805" s="470"/>
      <c r="Y805" s="470"/>
      <c r="Z805" s="471"/>
      <c r="AA805" s="471"/>
      <c r="AB805" s="466"/>
    </row>
    <row r="806" spans="1:28" s="352" customFormat="1" ht="18" customHeight="1" x14ac:dyDescent="0.2">
      <c r="A806" s="2166"/>
      <c r="B806" s="177"/>
      <c r="C806" s="177"/>
      <c r="D806" s="2166"/>
      <c r="E806" s="2166"/>
      <c r="F806" s="2166"/>
      <c r="G806" s="2166"/>
      <c r="H806" s="2171"/>
      <c r="I806" s="2168"/>
      <c r="J806" s="178"/>
      <c r="K806" s="2168"/>
      <c r="L806" s="2166"/>
      <c r="M806" s="2166"/>
      <c r="N806" s="2166"/>
      <c r="O806" s="2166"/>
      <c r="P806" s="2171"/>
      <c r="Q806" s="2167"/>
      <c r="R806" s="437"/>
      <c r="S806" s="2168"/>
      <c r="T806" s="179"/>
      <c r="U806" s="178"/>
      <c r="V806" s="2168"/>
      <c r="W806" s="2168"/>
      <c r="X806" s="470"/>
      <c r="Y806" s="470"/>
      <c r="Z806" s="471"/>
      <c r="AA806" s="471"/>
      <c r="AB806" s="466"/>
    </row>
    <row r="807" spans="1:28" s="352" customFormat="1" ht="18" customHeight="1" x14ac:dyDescent="0.2">
      <c r="A807" s="2166"/>
      <c r="B807" s="177"/>
      <c r="C807" s="177"/>
      <c r="D807" s="2166"/>
      <c r="E807" s="2166"/>
      <c r="F807" s="2166"/>
      <c r="G807" s="2166"/>
      <c r="H807" s="2171"/>
      <c r="I807" s="2168"/>
      <c r="J807" s="178"/>
      <c r="K807" s="2168"/>
      <c r="L807" s="2166"/>
      <c r="M807" s="2166"/>
      <c r="N807" s="2166"/>
      <c r="O807" s="2166"/>
      <c r="P807" s="2171"/>
      <c r="Q807" s="2167"/>
      <c r="R807" s="437"/>
      <c r="S807" s="2168"/>
      <c r="T807" s="179"/>
      <c r="U807" s="178"/>
      <c r="V807" s="2168"/>
      <c r="W807" s="2168"/>
      <c r="X807" s="470"/>
      <c r="Y807" s="470"/>
      <c r="Z807" s="471"/>
      <c r="AA807" s="471"/>
      <c r="AB807" s="466"/>
    </row>
    <row r="808" spans="1:28" s="352" customFormat="1" ht="18" customHeight="1" x14ac:dyDescent="0.2">
      <c r="A808" s="2166"/>
      <c r="B808" s="177"/>
      <c r="C808" s="177"/>
      <c r="D808" s="2166"/>
      <c r="E808" s="2166"/>
      <c r="F808" s="2166"/>
      <c r="G808" s="2166"/>
      <c r="H808" s="2171"/>
      <c r="I808" s="2168"/>
      <c r="J808" s="178"/>
      <c r="K808" s="2168"/>
      <c r="L808" s="2166"/>
      <c r="M808" s="2166"/>
      <c r="N808" s="2166"/>
      <c r="O808" s="2166"/>
      <c r="P808" s="2171"/>
      <c r="Q808" s="2167"/>
      <c r="R808" s="437"/>
      <c r="S808" s="2168"/>
      <c r="T808" s="179"/>
      <c r="U808" s="178"/>
      <c r="V808" s="2168"/>
      <c r="W808" s="2168"/>
      <c r="X808" s="470"/>
      <c r="Y808" s="470"/>
      <c r="Z808" s="471"/>
      <c r="AA808" s="471"/>
      <c r="AB808" s="466"/>
    </row>
    <row r="809" spans="1:28" s="352" customFormat="1" ht="18" customHeight="1" x14ac:dyDescent="0.2">
      <c r="A809" s="88"/>
      <c r="B809" s="180"/>
      <c r="C809" s="180"/>
      <c r="D809" s="88"/>
      <c r="E809" s="88"/>
      <c r="F809" s="88"/>
      <c r="G809" s="88"/>
      <c r="H809" s="120"/>
      <c r="I809" s="121"/>
      <c r="J809" s="181"/>
      <c r="K809" s="121"/>
      <c r="L809" s="88"/>
      <c r="M809" s="88"/>
      <c r="N809" s="88"/>
      <c r="O809" s="88"/>
      <c r="P809" s="88"/>
      <c r="Q809" s="129"/>
      <c r="R809" s="445"/>
      <c r="S809" s="121"/>
      <c r="T809" s="182"/>
      <c r="U809" s="181"/>
      <c r="V809" s="121"/>
      <c r="W809" s="121"/>
      <c r="X809" s="472"/>
      <c r="Y809" s="472"/>
      <c r="Z809" s="473"/>
      <c r="AA809" s="473"/>
      <c r="AB809" s="410"/>
    </row>
    <row r="810" spans="1:28" s="352" customFormat="1" ht="18" customHeight="1" x14ac:dyDescent="0.2">
      <c r="A810" s="1850"/>
      <c r="B810" s="1850"/>
      <c r="C810" s="1850"/>
      <c r="D810" s="1850"/>
      <c r="E810" s="1850"/>
      <c r="F810" s="1850"/>
      <c r="G810" s="1850"/>
      <c r="H810" s="1851"/>
      <c r="I810" s="1852"/>
      <c r="J810" s="1853"/>
      <c r="K810" s="1852"/>
      <c r="L810" s="1852"/>
      <c r="M810" s="1852"/>
      <c r="N810" s="1852"/>
      <c r="O810" s="1852"/>
      <c r="P810" s="1852"/>
      <c r="Q810" s="1852"/>
      <c r="R810" s="1854"/>
      <c r="S810" s="1852"/>
      <c r="T810" s="1855"/>
      <c r="U810" s="1853"/>
      <c r="V810" s="1852"/>
      <c r="W810" s="1852"/>
      <c r="X810" s="1856"/>
      <c r="Y810" s="1856"/>
      <c r="Z810" s="1857"/>
      <c r="AA810" s="1857"/>
      <c r="AB810" s="1847">
        <f>SUM(AB796:AB809)</f>
        <v>1800</v>
      </c>
    </row>
    <row r="811" spans="1:28" s="352" customFormat="1" ht="18" customHeight="1" x14ac:dyDescent="0.2">
      <c r="A811" s="2778" t="s">
        <v>76</v>
      </c>
      <c r="B811" s="2778"/>
      <c r="C811" s="2779" t="s">
        <v>77</v>
      </c>
      <c r="D811" s="2779"/>
      <c r="E811" s="2779"/>
      <c r="F811" s="2779"/>
      <c r="G811" s="2779"/>
      <c r="H811" s="2779"/>
      <c r="I811" s="424" t="s">
        <v>78</v>
      </c>
      <c r="J811" s="424"/>
      <c r="K811" s="424"/>
      <c r="L811" s="424"/>
      <c r="M811" s="424"/>
      <c r="N811" s="424"/>
      <c r="AB811" s="425"/>
    </row>
    <row r="812" spans="1:28" s="352" customFormat="1" ht="18" customHeight="1" x14ac:dyDescent="0.2">
      <c r="A812" s="424"/>
      <c r="B812" s="426"/>
      <c r="C812" s="424"/>
      <c r="D812" s="424"/>
      <c r="E812" s="424"/>
      <c r="F812" s="424"/>
      <c r="G812" s="424"/>
      <c r="H812" s="424"/>
      <c r="I812" s="424" t="s">
        <v>79</v>
      </c>
      <c r="J812" s="424"/>
      <c r="K812" s="424"/>
      <c r="L812" s="424"/>
      <c r="M812" s="424"/>
      <c r="N812" s="424"/>
      <c r="AB812" s="425"/>
    </row>
    <row r="813" spans="1:28" s="352" customFormat="1" ht="18" customHeight="1" x14ac:dyDescent="0.2">
      <c r="A813" s="424"/>
      <c r="B813" s="426"/>
      <c r="C813" s="424"/>
      <c r="D813" s="424"/>
      <c r="E813" s="424"/>
      <c r="F813" s="424"/>
      <c r="G813" s="424"/>
      <c r="H813" s="424"/>
      <c r="I813" s="424" t="s">
        <v>80</v>
      </c>
      <c r="J813" s="424"/>
      <c r="K813" s="424"/>
      <c r="L813" s="424"/>
      <c r="M813" s="424"/>
      <c r="N813" s="424"/>
      <c r="AB813" s="425"/>
    </row>
    <row r="814" spans="1:28" s="352" customFormat="1" ht="18" customHeight="1" x14ac:dyDescent="0.2">
      <c r="A814" s="424"/>
      <c r="B814" s="426"/>
      <c r="C814" s="424"/>
      <c r="D814" s="424"/>
      <c r="E814" s="424"/>
      <c r="F814" s="424"/>
      <c r="G814" s="424"/>
      <c r="H814" s="424"/>
      <c r="I814" s="424" t="s">
        <v>81</v>
      </c>
      <c r="J814" s="424"/>
      <c r="K814" s="424"/>
      <c r="L814" s="424"/>
      <c r="M814" s="424"/>
      <c r="N814" s="424"/>
      <c r="AB814" s="425"/>
    </row>
    <row r="815" spans="1:28" s="352" customFormat="1" ht="18" customHeight="1" x14ac:dyDescent="0.2">
      <c r="A815" s="424"/>
      <c r="B815" s="426"/>
      <c r="C815" s="424"/>
      <c r="D815" s="424"/>
      <c r="E815" s="424"/>
      <c r="F815" s="424"/>
      <c r="G815" s="424"/>
      <c r="H815" s="424"/>
      <c r="I815" s="424" t="s">
        <v>88</v>
      </c>
      <c r="J815" s="424"/>
      <c r="K815" s="424"/>
      <c r="L815" s="424"/>
      <c r="M815" s="424"/>
      <c r="N815" s="424"/>
      <c r="AB815" s="425"/>
    </row>
    <row r="816" spans="1:28" s="352" customFormat="1" ht="18" customHeight="1" x14ac:dyDescent="0.2">
      <c r="A816" s="338"/>
      <c r="B816" s="338"/>
      <c r="C816" s="338"/>
      <c r="D816" s="338"/>
      <c r="E816" s="338"/>
      <c r="F816" s="338"/>
      <c r="G816" s="338"/>
      <c r="H816" s="338"/>
      <c r="I816" s="338"/>
      <c r="J816" s="338"/>
      <c r="K816" s="338"/>
      <c r="L816" s="338"/>
      <c r="M816" s="338"/>
      <c r="N816" s="338"/>
      <c r="O816" s="338"/>
      <c r="P816" s="338"/>
      <c r="Q816" s="338"/>
      <c r="R816" s="338"/>
      <c r="S816" s="338"/>
      <c r="T816" s="338"/>
      <c r="U816" s="338"/>
      <c r="V816" s="338"/>
      <c r="W816" s="338"/>
      <c r="X816" s="338"/>
      <c r="Y816" s="338"/>
      <c r="Z816" s="338"/>
      <c r="AA816" s="2774" t="s">
        <v>0</v>
      </c>
      <c r="AB816" s="2774"/>
    </row>
    <row r="817" spans="1:29" s="352" customFormat="1" ht="18" customHeight="1" x14ac:dyDescent="0.2">
      <c r="A817" s="2703" t="s">
        <v>1</v>
      </c>
      <c r="B817" s="2703"/>
      <c r="C817" s="2703"/>
      <c r="D817" s="2703"/>
      <c r="E817" s="2703"/>
      <c r="F817" s="2703"/>
      <c r="G817" s="2703"/>
      <c r="H817" s="2703"/>
      <c r="I817" s="2703"/>
      <c r="J817" s="2703"/>
      <c r="K817" s="2703"/>
      <c r="L817" s="2703"/>
      <c r="M817" s="2703"/>
      <c r="N817" s="2703"/>
      <c r="O817" s="2703"/>
      <c r="P817" s="2703"/>
      <c r="Q817" s="2703"/>
      <c r="R817" s="2703"/>
      <c r="S817" s="2703"/>
      <c r="T817" s="2703"/>
      <c r="U817" s="2703"/>
      <c r="V817" s="2703"/>
      <c r="W817" s="2703"/>
      <c r="X817" s="2703"/>
      <c r="Y817" s="2703"/>
      <c r="Z817" s="2703"/>
      <c r="AA817" s="2703"/>
      <c r="AB817" s="2703"/>
    </row>
    <row r="818" spans="1:29" s="352" customFormat="1" ht="18" customHeight="1" x14ac:dyDescent="0.2">
      <c r="A818" s="2780" t="s">
        <v>329</v>
      </c>
      <c r="B818" s="2780"/>
      <c r="C818" s="2780"/>
      <c r="D818" s="2780"/>
      <c r="E818" s="2780"/>
      <c r="F818" s="2780"/>
      <c r="G818" s="2780"/>
      <c r="H818" s="2780"/>
      <c r="I818" s="2780"/>
      <c r="J818" s="2780"/>
      <c r="K818" s="2780"/>
      <c r="L818" s="2780"/>
      <c r="M818" s="2780"/>
      <c r="N818" s="2780"/>
      <c r="O818" s="2780"/>
      <c r="P818" s="2780"/>
      <c r="Q818" s="2780"/>
      <c r="R818" s="2780"/>
      <c r="S818" s="2780"/>
      <c r="T818" s="2780"/>
      <c r="U818" s="2780"/>
      <c r="V818" s="2780"/>
      <c r="W818" s="2780"/>
      <c r="X818" s="2780"/>
      <c r="Y818" s="2780"/>
      <c r="Z818" s="2780"/>
      <c r="AA818" s="2780"/>
      <c r="AB818" s="2780"/>
    </row>
    <row r="819" spans="1:29" s="352" customFormat="1" ht="18" customHeight="1" x14ac:dyDescent="0.2">
      <c r="A819" s="2686" t="s">
        <v>2</v>
      </c>
      <c r="B819" s="360"/>
      <c r="C819" s="2686" t="s">
        <v>3</v>
      </c>
      <c r="D819" s="360"/>
      <c r="E819" s="360"/>
      <c r="F819" s="2693" t="s">
        <v>4</v>
      </c>
      <c r="G819" s="2693"/>
      <c r="H819" s="2693"/>
      <c r="I819" s="2694"/>
      <c r="J819" s="2694"/>
      <c r="K819" s="2695"/>
      <c r="L819" s="361"/>
      <c r="M819" s="2679" t="s">
        <v>5</v>
      </c>
      <c r="N819" s="2679"/>
      <c r="O819" s="2679"/>
      <c r="P819" s="2679"/>
      <c r="Q819" s="2696"/>
      <c r="R819" s="2696"/>
      <c r="S819" s="2696"/>
      <c r="T819" s="2696"/>
      <c r="U819" s="2696"/>
      <c r="V819" s="2697"/>
      <c r="W819" s="362" t="s">
        <v>6</v>
      </c>
      <c r="X819" s="363" t="s">
        <v>7</v>
      </c>
      <c r="Y819" s="364"/>
      <c r="Z819" s="364"/>
      <c r="AA819" s="363"/>
      <c r="AB819" s="365"/>
    </row>
    <row r="820" spans="1:29" s="352" customFormat="1" ht="18" customHeight="1" x14ac:dyDescent="0.2">
      <c r="A820" s="2687"/>
      <c r="B820" s="367"/>
      <c r="C820" s="2687"/>
      <c r="D820" s="2158" t="s">
        <v>9</v>
      </c>
      <c r="E820" s="368" t="s">
        <v>10</v>
      </c>
      <c r="F820" s="2698" t="s">
        <v>11</v>
      </c>
      <c r="G820" s="2694"/>
      <c r="H820" s="2695"/>
      <c r="I820" s="360"/>
      <c r="J820" s="369" t="s">
        <v>12</v>
      </c>
      <c r="K820" s="360"/>
      <c r="L820" s="2679" t="s">
        <v>2</v>
      </c>
      <c r="M820" s="2162"/>
      <c r="N820" s="2162"/>
      <c r="O820" s="2162"/>
      <c r="P820" s="371"/>
      <c r="Q820" s="372" t="s">
        <v>13</v>
      </c>
      <c r="R820" s="373" t="s">
        <v>12</v>
      </c>
      <c r="S820" s="2162" t="s">
        <v>6</v>
      </c>
      <c r="T820" s="2682" t="s">
        <v>14</v>
      </c>
      <c r="U820" s="2683"/>
      <c r="V820" s="375" t="s">
        <v>7</v>
      </c>
      <c r="W820" s="376" t="s">
        <v>15</v>
      </c>
      <c r="X820" s="377" t="s">
        <v>16</v>
      </c>
      <c r="Y820" s="377" t="s">
        <v>17</v>
      </c>
      <c r="Z820" s="377" t="s">
        <v>18</v>
      </c>
      <c r="AA820" s="377"/>
      <c r="AB820" s="378" t="s">
        <v>19</v>
      </c>
    </row>
    <row r="821" spans="1:29" s="352" customFormat="1" ht="18" customHeight="1" x14ac:dyDescent="0.2">
      <c r="A821" s="2687"/>
      <c r="B821" s="2158" t="s">
        <v>23</v>
      </c>
      <c r="C821" s="2687"/>
      <c r="D821" s="2158" t="s">
        <v>24</v>
      </c>
      <c r="E821" s="368" t="s">
        <v>25</v>
      </c>
      <c r="F821" s="2699"/>
      <c r="G821" s="2700"/>
      <c r="H821" s="2701"/>
      <c r="I821" s="2158" t="s">
        <v>26</v>
      </c>
      <c r="J821" s="379" t="s">
        <v>15</v>
      </c>
      <c r="K821" s="2159" t="s">
        <v>6</v>
      </c>
      <c r="L821" s="2680"/>
      <c r="M821" s="2163" t="s">
        <v>27</v>
      </c>
      <c r="N821" s="2163" t="s">
        <v>10</v>
      </c>
      <c r="O821" s="382" t="s">
        <v>10</v>
      </c>
      <c r="P821" s="383" t="s">
        <v>28</v>
      </c>
      <c r="Q821" s="384" t="s">
        <v>29</v>
      </c>
      <c r="R821" s="383" t="s">
        <v>15</v>
      </c>
      <c r="S821" s="385" t="s">
        <v>15</v>
      </c>
      <c r="T821" s="2684"/>
      <c r="U821" s="2685"/>
      <c r="V821" s="375" t="s">
        <v>30</v>
      </c>
      <c r="W821" s="376" t="s">
        <v>31</v>
      </c>
      <c r="X821" s="377" t="s">
        <v>30</v>
      </c>
      <c r="Y821" s="377" t="s">
        <v>32</v>
      </c>
      <c r="Z821" s="377" t="s">
        <v>7</v>
      </c>
      <c r="AA821" s="377" t="s">
        <v>33</v>
      </c>
      <c r="AB821" s="378" t="s">
        <v>34</v>
      </c>
    </row>
    <row r="822" spans="1:29" s="352" customFormat="1" ht="18" customHeight="1" x14ac:dyDescent="0.2">
      <c r="A822" s="2687"/>
      <c r="B822" s="2158" t="s">
        <v>39</v>
      </c>
      <c r="C822" s="2687"/>
      <c r="D822" s="2158" t="s">
        <v>40</v>
      </c>
      <c r="E822" s="368" t="s">
        <v>41</v>
      </c>
      <c r="F822" s="2686" t="s">
        <v>42</v>
      </c>
      <c r="G822" s="2686" t="s">
        <v>43</v>
      </c>
      <c r="H822" s="2688" t="s">
        <v>44</v>
      </c>
      <c r="I822" s="2158" t="s">
        <v>45</v>
      </c>
      <c r="J822" s="379" t="s">
        <v>46</v>
      </c>
      <c r="K822" s="2159" t="s">
        <v>47</v>
      </c>
      <c r="L822" s="2680"/>
      <c r="M822" s="2163" t="s">
        <v>30</v>
      </c>
      <c r="N822" s="2163" t="s">
        <v>30</v>
      </c>
      <c r="O822" s="382" t="s">
        <v>25</v>
      </c>
      <c r="P822" s="383" t="s">
        <v>30</v>
      </c>
      <c r="Q822" s="384" t="s">
        <v>48</v>
      </c>
      <c r="R822" s="383" t="s">
        <v>49</v>
      </c>
      <c r="S822" s="385" t="s">
        <v>30</v>
      </c>
      <c r="T822" s="386" t="s">
        <v>50</v>
      </c>
      <c r="U822" s="2161" t="s">
        <v>13</v>
      </c>
      <c r="V822" s="375" t="s">
        <v>51</v>
      </c>
      <c r="W822" s="376" t="s">
        <v>52</v>
      </c>
      <c r="X822" s="377" t="s">
        <v>53</v>
      </c>
      <c r="Y822" s="377" t="s">
        <v>54</v>
      </c>
      <c r="Z822" s="377" t="s">
        <v>55</v>
      </c>
      <c r="AA822" s="377" t="s">
        <v>56</v>
      </c>
      <c r="AB822" s="378" t="s">
        <v>57</v>
      </c>
    </row>
    <row r="823" spans="1:29" s="352" customFormat="1" ht="18" customHeight="1" x14ac:dyDescent="0.2">
      <c r="A823" s="2687"/>
      <c r="B823" s="2158" t="s">
        <v>61</v>
      </c>
      <c r="C823" s="2687"/>
      <c r="D823" s="2158" t="s">
        <v>62</v>
      </c>
      <c r="E823" s="368" t="s">
        <v>63</v>
      </c>
      <c r="F823" s="2687"/>
      <c r="G823" s="2687"/>
      <c r="H823" s="2689"/>
      <c r="I823" s="2158" t="s">
        <v>64</v>
      </c>
      <c r="J823" s="379" t="s">
        <v>59</v>
      </c>
      <c r="K823" s="2159" t="s">
        <v>59</v>
      </c>
      <c r="L823" s="2680"/>
      <c r="M823" s="2163"/>
      <c r="N823" s="2163"/>
      <c r="O823" s="382" t="s">
        <v>41</v>
      </c>
      <c r="P823" s="383" t="s">
        <v>65</v>
      </c>
      <c r="Q823" s="384" t="s">
        <v>66</v>
      </c>
      <c r="R823" s="383" t="s">
        <v>67</v>
      </c>
      <c r="S823" s="385" t="s">
        <v>59</v>
      </c>
      <c r="T823" s="387" t="s">
        <v>68</v>
      </c>
      <c r="U823" s="375" t="s">
        <v>14</v>
      </c>
      <c r="V823" s="375" t="s">
        <v>14</v>
      </c>
      <c r="W823" s="376" t="s">
        <v>30</v>
      </c>
      <c r="X823" s="388" t="s">
        <v>69</v>
      </c>
      <c r="Y823" s="388" t="s">
        <v>70</v>
      </c>
      <c r="Z823" s="377" t="s">
        <v>71</v>
      </c>
      <c r="AA823" s="377" t="s">
        <v>72</v>
      </c>
      <c r="AB823" s="378" t="s">
        <v>59</v>
      </c>
    </row>
    <row r="824" spans="1:29" s="352" customFormat="1" ht="18" customHeight="1" x14ac:dyDescent="0.2">
      <c r="A824" s="2692"/>
      <c r="B824" s="390"/>
      <c r="C824" s="2692"/>
      <c r="D824" s="390"/>
      <c r="E824" s="2160"/>
      <c r="F824" s="390"/>
      <c r="G824" s="390"/>
      <c r="H824" s="391"/>
      <c r="I824" s="2160"/>
      <c r="J824" s="392"/>
      <c r="K824" s="393"/>
      <c r="L824" s="2681"/>
      <c r="M824" s="2164"/>
      <c r="N824" s="2164"/>
      <c r="O824" s="2164" t="s">
        <v>63</v>
      </c>
      <c r="P824" s="395"/>
      <c r="Q824" s="396" t="s">
        <v>72</v>
      </c>
      <c r="R824" s="397" t="s">
        <v>59</v>
      </c>
      <c r="S824" s="398"/>
      <c r="T824" s="397" t="s">
        <v>73</v>
      </c>
      <c r="U824" s="398" t="s">
        <v>59</v>
      </c>
      <c r="V824" s="399" t="s">
        <v>59</v>
      </c>
      <c r="W824" s="400" t="s">
        <v>59</v>
      </c>
      <c r="X824" s="401" t="s">
        <v>59</v>
      </c>
      <c r="Y824" s="401" t="s">
        <v>59</v>
      </c>
      <c r="Z824" s="401" t="s">
        <v>59</v>
      </c>
      <c r="AA824" s="402"/>
      <c r="AB824" s="403"/>
    </row>
    <row r="825" spans="1:29" s="352" customFormat="1" ht="18" customHeight="1" x14ac:dyDescent="0.25">
      <c r="A825" s="53">
        <v>1</v>
      </c>
      <c r="B825" s="333">
        <v>23180</v>
      </c>
      <c r="C825" s="41">
        <v>654</v>
      </c>
      <c r="D825" s="41" t="s">
        <v>107</v>
      </c>
      <c r="E825" s="41">
        <v>4</v>
      </c>
      <c r="F825" s="1615">
        <v>0</v>
      </c>
      <c r="G825" s="1615">
        <v>1</v>
      </c>
      <c r="H825" s="1616">
        <v>35</v>
      </c>
      <c r="I825" s="302">
        <f>F825*400+G825*100+H825</f>
        <v>135</v>
      </c>
      <c r="J825" s="1584">
        <v>3000</v>
      </c>
      <c r="K825" s="310">
        <f>SUM(I825*J825)</f>
        <v>405000</v>
      </c>
      <c r="L825" s="16"/>
      <c r="M825" s="82"/>
      <c r="N825" s="41"/>
      <c r="O825" s="16">
        <v>4</v>
      </c>
      <c r="P825" s="404"/>
      <c r="Q825" s="14"/>
      <c r="R825" s="302"/>
      <c r="S825" s="302"/>
      <c r="T825" s="41"/>
      <c r="U825" s="302"/>
      <c r="V825" s="302"/>
      <c r="W825" s="302">
        <f>K825+V825</f>
        <v>405000</v>
      </c>
      <c r="X825" s="302">
        <f>W825</f>
        <v>405000</v>
      </c>
      <c r="Y825" s="310"/>
      <c r="Z825" s="310">
        <f>+X825</f>
        <v>405000</v>
      </c>
      <c r="AA825" s="405">
        <v>0.6</v>
      </c>
      <c r="AB825" s="465">
        <f t="shared" ref="AB825:AB832" si="68">+Z825*AA825/100</f>
        <v>2430</v>
      </c>
      <c r="AC825" s="352" t="s">
        <v>387</v>
      </c>
    </row>
    <row r="826" spans="1:29" s="352" customFormat="1" ht="18" customHeight="1" x14ac:dyDescent="0.25">
      <c r="A826" s="75">
        <v>2</v>
      </c>
      <c r="B826" s="287">
        <v>27712</v>
      </c>
      <c r="C826" s="15">
        <v>762</v>
      </c>
      <c r="D826" s="41" t="s">
        <v>107</v>
      </c>
      <c r="E826" s="15">
        <v>4</v>
      </c>
      <c r="F826" s="1571">
        <v>0</v>
      </c>
      <c r="G826" s="1571">
        <v>1</v>
      </c>
      <c r="H826" s="1572">
        <v>24</v>
      </c>
      <c r="I826" s="299">
        <f t="shared" ref="I826:I832" si="69">F826*400+G826*100+H826</f>
        <v>124</v>
      </c>
      <c r="J826" s="1585">
        <v>3000</v>
      </c>
      <c r="K826" s="305">
        <f t="shared" ref="K826:K828" si="70">SUM(I826*J826)</f>
        <v>372000</v>
      </c>
      <c r="L826" s="50"/>
      <c r="M826" s="2166"/>
      <c r="N826" s="15"/>
      <c r="O826" s="50">
        <v>4</v>
      </c>
      <c r="P826" s="673"/>
      <c r="Q826" s="76"/>
      <c r="R826" s="296"/>
      <c r="S826" s="296"/>
      <c r="T826" s="15"/>
      <c r="U826" s="296"/>
      <c r="V826" s="296"/>
      <c r="W826" s="299">
        <f t="shared" ref="W826:W828" si="71">K826+V826</f>
        <v>372000</v>
      </c>
      <c r="X826" s="299">
        <f t="shared" ref="X826:X832" si="72">W826</f>
        <v>372000</v>
      </c>
      <c r="Y826" s="305"/>
      <c r="Z826" s="305">
        <f t="shared" ref="Z826:Z831" si="73">+X826</f>
        <v>372000</v>
      </c>
      <c r="AA826" s="494">
        <v>0.6</v>
      </c>
      <c r="AB826" s="416">
        <f t="shared" si="68"/>
        <v>2232</v>
      </c>
    </row>
    <row r="827" spans="1:29" s="352" customFormat="1" ht="18" customHeight="1" x14ac:dyDescent="0.25">
      <c r="A827" s="75">
        <v>3</v>
      </c>
      <c r="B827" s="269">
        <v>27729</v>
      </c>
      <c r="C827" s="285">
        <v>772</v>
      </c>
      <c r="D827" s="41" t="s">
        <v>107</v>
      </c>
      <c r="E827" s="273">
        <v>4</v>
      </c>
      <c r="F827" s="1617">
        <v>0</v>
      </c>
      <c r="G827" s="1618">
        <v>1</v>
      </c>
      <c r="H827" s="1619">
        <v>46</v>
      </c>
      <c r="I827" s="299">
        <f t="shared" si="69"/>
        <v>146</v>
      </c>
      <c r="J827" s="1585">
        <v>3000</v>
      </c>
      <c r="K827" s="305">
        <f t="shared" si="70"/>
        <v>438000</v>
      </c>
      <c r="L827" s="269"/>
      <c r="M827" s="242"/>
      <c r="N827" s="269"/>
      <c r="O827" s="269">
        <v>4</v>
      </c>
      <c r="P827" s="760"/>
      <c r="Q827" s="285"/>
      <c r="R827" s="321"/>
      <c r="S827" s="321"/>
      <c r="T827" s="323"/>
      <c r="U827" s="321"/>
      <c r="V827" s="321"/>
      <c r="W827" s="299">
        <f t="shared" si="71"/>
        <v>438000</v>
      </c>
      <c r="X827" s="299">
        <f t="shared" si="72"/>
        <v>438000</v>
      </c>
      <c r="Y827" s="305"/>
      <c r="Z827" s="305">
        <f t="shared" si="73"/>
        <v>438000</v>
      </c>
      <c r="AA827" s="708">
        <v>0.6</v>
      </c>
      <c r="AB827" s="410">
        <f t="shared" si="68"/>
        <v>2628</v>
      </c>
    </row>
    <row r="828" spans="1:29" s="352" customFormat="1" ht="18" customHeight="1" x14ac:dyDescent="0.25">
      <c r="A828" s="75">
        <v>4</v>
      </c>
      <c r="B828" s="269">
        <v>27730</v>
      </c>
      <c r="C828" s="285">
        <v>773</v>
      </c>
      <c r="D828" s="41" t="s">
        <v>107</v>
      </c>
      <c r="E828" s="273">
        <v>4</v>
      </c>
      <c r="F828" s="1617">
        <v>0</v>
      </c>
      <c r="G828" s="1618">
        <v>1</v>
      </c>
      <c r="H828" s="1619">
        <v>46</v>
      </c>
      <c r="I828" s="299">
        <f t="shared" si="69"/>
        <v>146</v>
      </c>
      <c r="J828" s="1585">
        <v>3000</v>
      </c>
      <c r="K828" s="305">
        <f t="shared" si="70"/>
        <v>438000</v>
      </c>
      <c r="L828" s="269"/>
      <c r="M828" s="242"/>
      <c r="N828" s="269"/>
      <c r="O828" s="269">
        <v>4</v>
      </c>
      <c r="P828" s="760"/>
      <c r="Q828" s="285"/>
      <c r="R828" s="321"/>
      <c r="S828" s="321"/>
      <c r="T828" s="323"/>
      <c r="U828" s="321"/>
      <c r="V828" s="321"/>
      <c r="W828" s="299">
        <f t="shared" si="71"/>
        <v>438000</v>
      </c>
      <c r="X828" s="299">
        <f t="shared" si="72"/>
        <v>438000</v>
      </c>
      <c r="Y828" s="305"/>
      <c r="Z828" s="305">
        <f t="shared" si="73"/>
        <v>438000</v>
      </c>
      <c r="AA828" s="708">
        <v>0.6</v>
      </c>
      <c r="AB828" s="410">
        <f t="shared" si="68"/>
        <v>2628</v>
      </c>
    </row>
    <row r="829" spans="1:29" s="352" customFormat="1" ht="18" customHeight="1" x14ac:dyDescent="0.25">
      <c r="A829" s="75">
        <v>5</v>
      </c>
      <c r="B829" s="269">
        <v>27731</v>
      </c>
      <c r="C829" s="285">
        <v>774</v>
      </c>
      <c r="D829" s="41" t="s">
        <v>107</v>
      </c>
      <c r="E829" s="273">
        <v>4</v>
      </c>
      <c r="F829" s="1617">
        <v>0</v>
      </c>
      <c r="G829" s="1618">
        <v>1</v>
      </c>
      <c r="H829" s="1619">
        <v>46</v>
      </c>
      <c r="I829" s="299">
        <f t="shared" si="69"/>
        <v>146</v>
      </c>
      <c r="J829" s="1585">
        <v>3000</v>
      </c>
      <c r="K829" s="305">
        <f>SUM(I829*J829)</f>
        <v>438000</v>
      </c>
      <c r="L829" s="269"/>
      <c r="M829" s="242"/>
      <c r="N829" s="269"/>
      <c r="O829" s="269">
        <v>4</v>
      </c>
      <c r="P829" s="760"/>
      <c r="Q829" s="285"/>
      <c r="R829" s="321"/>
      <c r="S829" s="321"/>
      <c r="T829" s="323"/>
      <c r="U829" s="321"/>
      <c r="V829" s="321"/>
      <c r="W829" s="299">
        <f>K829+V829</f>
        <v>438000</v>
      </c>
      <c r="X829" s="299">
        <f t="shared" si="72"/>
        <v>438000</v>
      </c>
      <c r="Y829" s="305"/>
      <c r="Z829" s="305">
        <f t="shared" si="73"/>
        <v>438000</v>
      </c>
      <c r="AA829" s="708">
        <v>0.6</v>
      </c>
      <c r="AB829" s="416">
        <f t="shared" si="68"/>
        <v>2628</v>
      </c>
    </row>
    <row r="830" spans="1:29" ht="18" customHeight="1" x14ac:dyDescent="0.25">
      <c r="A830" s="146">
        <v>6</v>
      </c>
      <c r="B830" s="1575">
        <v>23149</v>
      </c>
      <c r="C830" s="1575">
        <v>1022</v>
      </c>
      <c r="D830" s="1539" t="s">
        <v>107</v>
      </c>
      <c r="E830" s="146">
        <v>4</v>
      </c>
      <c r="F830" s="1602">
        <v>0</v>
      </c>
      <c r="G830" s="1602">
        <v>0</v>
      </c>
      <c r="H830" s="1631">
        <v>68</v>
      </c>
      <c r="I830" s="108">
        <f t="shared" si="69"/>
        <v>68</v>
      </c>
      <c r="J830" s="1624">
        <v>3000</v>
      </c>
      <c r="K830" s="1503">
        <f t="shared" ref="K830:K832" si="74">SUM(I830*J830)</f>
        <v>204000</v>
      </c>
      <c r="L830" s="146"/>
      <c r="M830" s="146"/>
      <c r="N830" s="146"/>
      <c r="O830" s="146">
        <v>4</v>
      </c>
      <c r="P830" s="1607"/>
      <c r="Q830" s="1609"/>
      <c r="R830" s="1610"/>
      <c r="S830" s="108"/>
      <c r="T830" s="1611"/>
      <c r="U830" s="1608"/>
      <c r="V830" s="108"/>
      <c r="W830" s="1494">
        <f t="shared" ref="W830:W832" si="75">K830+V830</f>
        <v>204000</v>
      </c>
      <c r="X830" s="1494">
        <f t="shared" si="72"/>
        <v>204000</v>
      </c>
      <c r="Y830" s="1503"/>
      <c r="Z830" s="1503">
        <f t="shared" si="73"/>
        <v>204000</v>
      </c>
      <c r="AA830" s="1628">
        <v>0.3</v>
      </c>
      <c r="AB830" s="1632">
        <f t="shared" si="68"/>
        <v>612</v>
      </c>
      <c r="AC830" s="431" t="s">
        <v>354</v>
      </c>
    </row>
    <row r="831" spans="1:29" ht="18" customHeight="1" x14ac:dyDescent="0.25">
      <c r="A831" s="146">
        <v>7</v>
      </c>
      <c r="B831" s="1575">
        <v>23151</v>
      </c>
      <c r="C831" s="1575">
        <v>1024</v>
      </c>
      <c r="D831" s="1539" t="s">
        <v>107</v>
      </c>
      <c r="E831" s="146">
        <v>4</v>
      </c>
      <c r="F831" s="1602">
        <v>0</v>
      </c>
      <c r="G831" s="1602">
        <v>1</v>
      </c>
      <c r="H831" s="1631">
        <v>0</v>
      </c>
      <c r="I831" s="108">
        <f t="shared" si="69"/>
        <v>100</v>
      </c>
      <c r="J831" s="1624">
        <v>3000</v>
      </c>
      <c r="K831" s="1503">
        <f t="shared" si="74"/>
        <v>300000</v>
      </c>
      <c r="L831" s="146"/>
      <c r="M831" s="146"/>
      <c r="N831" s="146"/>
      <c r="O831" s="146">
        <v>4</v>
      </c>
      <c r="P831" s="1607"/>
      <c r="Q831" s="1609"/>
      <c r="R831" s="1610"/>
      <c r="S831" s="108"/>
      <c r="T831" s="1611"/>
      <c r="U831" s="1608"/>
      <c r="V831" s="108"/>
      <c r="W831" s="1494">
        <f t="shared" si="75"/>
        <v>300000</v>
      </c>
      <c r="X831" s="1494">
        <f t="shared" si="72"/>
        <v>300000</v>
      </c>
      <c r="Y831" s="1503"/>
      <c r="Z831" s="1503">
        <f t="shared" si="73"/>
        <v>300000</v>
      </c>
      <c r="AA831" s="1628">
        <v>0.3</v>
      </c>
      <c r="AB831" s="1632">
        <f t="shared" si="68"/>
        <v>900</v>
      </c>
    </row>
    <row r="832" spans="1:29" ht="18" customHeight="1" x14ac:dyDescent="0.25">
      <c r="A832" s="146">
        <v>8</v>
      </c>
      <c r="B832" s="1575">
        <v>58076</v>
      </c>
      <c r="C832" s="1575">
        <v>1698</v>
      </c>
      <c r="D832" s="1539" t="s">
        <v>107</v>
      </c>
      <c r="E832" s="146">
        <v>1</v>
      </c>
      <c r="F832" s="1602">
        <v>3</v>
      </c>
      <c r="G832" s="1602">
        <v>0</v>
      </c>
      <c r="H832" s="1631">
        <v>0</v>
      </c>
      <c r="I832" s="108">
        <f t="shared" si="69"/>
        <v>1200</v>
      </c>
      <c r="J832" s="1624">
        <v>280</v>
      </c>
      <c r="K832" s="1503">
        <f t="shared" si="74"/>
        <v>336000</v>
      </c>
      <c r="L832" s="146"/>
      <c r="M832" s="146"/>
      <c r="N832" s="146"/>
      <c r="O832" s="146">
        <v>1</v>
      </c>
      <c r="P832" s="1607"/>
      <c r="Q832" s="1609"/>
      <c r="R832" s="1610"/>
      <c r="S832" s="108"/>
      <c r="T832" s="1611"/>
      <c r="U832" s="1608"/>
      <c r="V832" s="108"/>
      <c r="W832" s="1494">
        <f t="shared" si="75"/>
        <v>336000</v>
      </c>
      <c r="X832" s="1494">
        <f t="shared" si="72"/>
        <v>336000</v>
      </c>
      <c r="Y832" s="1503" t="s">
        <v>87</v>
      </c>
      <c r="Z832" s="1503">
        <f>-Z834</f>
        <v>0</v>
      </c>
      <c r="AA832" s="1628">
        <v>0.1</v>
      </c>
      <c r="AB832" s="1632">
        <f t="shared" si="68"/>
        <v>0</v>
      </c>
    </row>
    <row r="833" spans="1:28" s="352" customFormat="1" ht="18" customHeight="1" x14ac:dyDescent="0.2">
      <c r="A833" s="2166"/>
      <c r="B833" s="177"/>
      <c r="C833" s="177"/>
      <c r="D833" s="2166"/>
      <c r="E833" s="2166"/>
      <c r="F833" s="2166"/>
      <c r="G833" s="2166"/>
      <c r="H833" s="2171"/>
      <c r="I833" s="2168"/>
      <c r="J833" s="178"/>
      <c r="K833" s="2168"/>
      <c r="L833" s="2166"/>
      <c r="M833" s="2166"/>
      <c r="N833" s="2166"/>
      <c r="O833" s="2166"/>
      <c r="P833" s="2171"/>
      <c r="Q833" s="2167"/>
      <c r="R833" s="437"/>
      <c r="S833" s="2168"/>
      <c r="T833" s="179"/>
      <c r="U833" s="178"/>
      <c r="V833" s="2168"/>
      <c r="W833" s="2168"/>
      <c r="X833" s="470"/>
      <c r="Y833" s="470"/>
      <c r="Z833" s="471"/>
      <c r="AA833" s="471"/>
      <c r="AB833" s="466"/>
    </row>
    <row r="834" spans="1:28" s="352" customFormat="1" ht="18" customHeight="1" x14ac:dyDescent="0.2">
      <c r="A834" s="2166"/>
      <c r="B834" s="177"/>
      <c r="C834" s="177"/>
      <c r="D834" s="2166"/>
      <c r="E834" s="2166"/>
      <c r="F834" s="2166"/>
      <c r="G834" s="2166"/>
      <c r="H834" s="2171"/>
      <c r="I834" s="2168"/>
      <c r="J834" s="178"/>
      <c r="K834" s="2168"/>
      <c r="L834" s="2166"/>
      <c r="M834" s="2166"/>
      <c r="N834" s="2166"/>
      <c r="O834" s="2166"/>
      <c r="P834" s="2171"/>
      <c r="Q834" s="2167"/>
      <c r="R834" s="437"/>
      <c r="S834" s="2168"/>
      <c r="T834" s="179"/>
      <c r="U834" s="178"/>
      <c r="V834" s="2168"/>
      <c r="W834" s="2168"/>
      <c r="X834" s="470"/>
      <c r="Y834" s="470"/>
      <c r="Z834" s="471"/>
      <c r="AA834" s="471"/>
      <c r="AB834" s="466"/>
    </row>
    <row r="835" spans="1:28" ht="18" customHeight="1" x14ac:dyDescent="0.2">
      <c r="A835" s="146"/>
      <c r="B835" s="1629" t="s">
        <v>314</v>
      </c>
      <c r="C835" s="1630" t="s">
        <v>330</v>
      </c>
      <c r="D835" s="146"/>
      <c r="E835" s="146"/>
      <c r="F835" s="146"/>
      <c r="G835" s="146"/>
      <c r="H835" s="1607"/>
      <c r="I835" s="108"/>
      <c r="J835" s="1608"/>
      <c r="K835" s="108"/>
      <c r="L835" s="146"/>
      <c r="M835" s="146"/>
      <c r="N835" s="146"/>
      <c r="O835" s="146"/>
      <c r="P835" s="1607"/>
      <c r="Q835" s="1609"/>
      <c r="R835" s="1610"/>
      <c r="S835" s="108"/>
      <c r="T835" s="1611"/>
      <c r="U835" s="1608"/>
      <c r="V835" s="108"/>
      <c r="W835" s="108"/>
      <c r="X835" s="1612"/>
      <c r="Y835" s="1612"/>
      <c r="Z835" s="1613"/>
      <c r="AA835" s="1613"/>
      <c r="AB835" s="1614"/>
    </row>
    <row r="836" spans="1:28" ht="18" customHeight="1" x14ac:dyDescent="0.25">
      <c r="A836" s="113"/>
      <c r="B836" s="1620">
        <v>34070</v>
      </c>
      <c r="C836" s="1621">
        <v>359</v>
      </c>
      <c r="D836" s="1539" t="s">
        <v>107</v>
      </c>
      <c r="E836" s="1582">
        <v>4</v>
      </c>
      <c r="F836" s="1622">
        <v>0</v>
      </c>
      <c r="G836" s="1620">
        <v>1</v>
      </c>
      <c r="H836" s="1623">
        <v>21</v>
      </c>
      <c r="I836" s="1494">
        <f>F836*400+G836*100+H836</f>
        <v>121</v>
      </c>
      <c r="J836" s="1624">
        <v>3000</v>
      </c>
      <c r="K836" s="1503">
        <f>SUM(I836*J836)</f>
        <v>363000</v>
      </c>
      <c r="L836" s="1620"/>
      <c r="M836" s="1594"/>
      <c r="N836" s="1620"/>
      <c r="O836" s="1620"/>
      <c r="P836" s="1625"/>
      <c r="Q836" s="1621"/>
      <c r="R836" s="1626"/>
      <c r="S836" s="1626"/>
      <c r="T836" s="1627"/>
      <c r="U836" s="1626"/>
      <c r="V836" s="1626"/>
      <c r="W836" s="1494"/>
      <c r="X836" s="1494"/>
      <c r="Y836" s="1503"/>
      <c r="Z836" s="1503"/>
      <c r="AA836" s="1628"/>
      <c r="AB836" s="1505"/>
    </row>
    <row r="837" spans="1:28" s="352" customFormat="1" ht="18" customHeight="1" x14ac:dyDescent="0.2">
      <c r="A837" s="2166"/>
      <c r="B837" s="177"/>
      <c r="C837" s="177"/>
      <c r="D837" s="2166"/>
      <c r="E837" s="2166"/>
      <c r="F837" s="2166"/>
      <c r="G837" s="2166"/>
      <c r="H837" s="2171"/>
      <c r="I837" s="2168"/>
      <c r="J837" s="178"/>
      <c r="K837" s="2168"/>
      <c r="L837" s="2166"/>
      <c r="M837" s="2166"/>
      <c r="N837" s="2166"/>
      <c r="O837" s="2166"/>
      <c r="P837" s="2171"/>
      <c r="Q837" s="2167"/>
      <c r="R837" s="437"/>
      <c r="S837" s="2168"/>
      <c r="T837" s="179"/>
      <c r="U837" s="178"/>
      <c r="V837" s="2168"/>
      <c r="W837" s="2168"/>
      <c r="X837" s="470"/>
      <c r="Y837" s="470"/>
      <c r="Z837" s="471"/>
      <c r="AA837" s="471"/>
      <c r="AB837" s="466"/>
    </row>
    <row r="838" spans="1:28" s="352" customFormat="1" ht="18" customHeight="1" x14ac:dyDescent="0.2">
      <c r="A838" s="2166"/>
      <c r="B838" s="177"/>
      <c r="C838" s="177"/>
      <c r="D838" s="2166"/>
      <c r="E838" s="2166"/>
      <c r="F838" s="2166"/>
      <c r="G838" s="2166"/>
      <c r="H838" s="2171"/>
      <c r="I838" s="2168"/>
      <c r="J838" s="178"/>
      <c r="K838" s="2168"/>
      <c r="L838" s="2166"/>
      <c r="M838" s="2166"/>
      <c r="N838" s="2166"/>
      <c r="O838" s="2166"/>
      <c r="P838" s="2171"/>
      <c r="Q838" s="2167"/>
      <c r="R838" s="437"/>
      <c r="S838" s="2168"/>
      <c r="T838" s="179"/>
      <c r="U838" s="178"/>
      <c r="V838" s="2168"/>
      <c r="W838" s="2168"/>
      <c r="X838" s="470"/>
      <c r="Y838" s="470"/>
      <c r="Z838" s="471"/>
      <c r="AA838" s="471"/>
      <c r="AB838" s="466"/>
    </row>
    <row r="839" spans="1:28" s="352" customFormat="1" ht="18" customHeight="1" x14ac:dyDescent="0.2">
      <c r="A839" s="1850"/>
      <c r="B839" s="1850"/>
      <c r="C839" s="1850"/>
      <c r="D839" s="1850"/>
      <c r="E839" s="1850"/>
      <c r="F839" s="1850"/>
      <c r="G839" s="1850"/>
      <c r="H839" s="1851"/>
      <c r="I839" s="1852"/>
      <c r="J839" s="1853"/>
      <c r="K839" s="1852"/>
      <c r="L839" s="1852"/>
      <c r="M839" s="1852"/>
      <c r="N839" s="1852"/>
      <c r="O839" s="1852"/>
      <c r="P839" s="1852"/>
      <c r="Q839" s="1852"/>
      <c r="R839" s="1854"/>
      <c r="S839" s="1852"/>
      <c r="T839" s="1855"/>
      <c r="U839" s="1853"/>
      <c r="V839" s="1852"/>
      <c r="W839" s="1852"/>
      <c r="X839" s="1856"/>
      <c r="Y839" s="1856"/>
      <c r="Z839" s="1857"/>
      <c r="AA839" s="1857"/>
      <c r="AB839" s="1847">
        <f>SUM(AB825:AB838)</f>
        <v>14058</v>
      </c>
    </row>
    <row r="840" spans="1:28" s="352" customFormat="1" ht="18" customHeight="1" x14ac:dyDescent="0.2">
      <c r="A840" s="2778" t="s">
        <v>76</v>
      </c>
      <c r="B840" s="2778"/>
      <c r="C840" s="2779" t="s">
        <v>77</v>
      </c>
      <c r="D840" s="2779"/>
      <c r="E840" s="2779"/>
      <c r="F840" s="2779"/>
      <c r="G840" s="2779"/>
      <c r="H840" s="2779"/>
      <c r="I840" s="424" t="s">
        <v>78</v>
      </c>
      <c r="J840" s="424"/>
      <c r="K840" s="424"/>
      <c r="L840" s="424"/>
      <c r="M840" s="424"/>
      <c r="N840" s="424"/>
      <c r="AB840" s="425"/>
    </row>
    <row r="841" spans="1:28" s="352" customFormat="1" ht="18" customHeight="1" x14ac:dyDescent="0.2">
      <c r="A841" s="424"/>
      <c r="B841" s="426"/>
      <c r="C841" s="424"/>
      <c r="D841" s="424"/>
      <c r="E841" s="424"/>
      <c r="F841" s="424"/>
      <c r="G841" s="424"/>
      <c r="H841" s="424"/>
      <c r="I841" s="424" t="s">
        <v>79</v>
      </c>
      <c r="J841" s="424"/>
      <c r="K841" s="424"/>
      <c r="L841" s="424"/>
      <c r="M841" s="424"/>
      <c r="N841" s="424"/>
      <c r="AB841" s="425"/>
    </row>
    <row r="842" spans="1:28" s="352" customFormat="1" ht="18" customHeight="1" x14ac:dyDescent="0.2">
      <c r="A842" s="424"/>
      <c r="B842" s="426"/>
      <c r="C842" s="424"/>
      <c r="D842" s="424"/>
      <c r="E842" s="424"/>
      <c r="F842" s="424"/>
      <c r="G842" s="424"/>
      <c r="H842" s="424"/>
      <c r="I842" s="424" t="s">
        <v>80</v>
      </c>
      <c r="J842" s="424"/>
      <c r="K842" s="424"/>
      <c r="L842" s="424"/>
      <c r="M842" s="424"/>
      <c r="N842" s="424"/>
      <c r="AB842" s="425"/>
    </row>
    <row r="843" spans="1:28" s="352" customFormat="1" ht="18" customHeight="1" x14ac:dyDescent="0.2">
      <c r="A843" s="424"/>
      <c r="B843" s="426"/>
      <c r="C843" s="424"/>
      <c r="D843" s="424"/>
      <c r="E843" s="424"/>
      <c r="F843" s="424"/>
      <c r="G843" s="424"/>
      <c r="H843" s="424"/>
      <c r="I843" s="424" t="s">
        <v>81</v>
      </c>
      <c r="J843" s="424"/>
      <c r="K843" s="424"/>
      <c r="L843" s="424"/>
      <c r="M843" s="424"/>
      <c r="N843" s="424"/>
      <c r="AB843" s="425"/>
    </row>
    <row r="844" spans="1:28" s="352" customFormat="1" ht="18" customHeight="1" x14ac:dyDescent="0.2">
      <c r="A844" s="424"/>
      <c r="B844" s="426"/>
      <c r="C844" s="424"/>
      <c r="D844" s="424"/>
      <c r="E844" s="424"/>
      <c r="F844" s="424"/>
      <c r="G844" s="424"/>
      <c r="H844" s="424"/>
      <c r="I844" s="424" t="s">
        <v>88</v>
      </c>
      <c r="J844" s="424"/>
      <c r="K844" s="424"/>
      <c r="L844" s="424"/>
      <c r="M844" s="424"/>
      <c r="N844" s="424"/>
      <c r="AB844" s="425"/>
    </row>
    <row r="845" spans="1:28" s="352" customFormat="1" ht="18" customHeight="1" x14ac:dyDescent="0.2">
      <c r="A845" s="338"/>
      <c r="B845" s="338"/>
      <c r="C845" s="338"/>
      <c r="D845" s="338"/>
      <c r="E845" s="338"/>
      <c r="F845" s="338"/>
      <c r="G845" s="338"/>
      <c r="H845" s="338"/>
      <c r="I845" s="338"/>
      <c r="J845" s="338"/>
      <c r="K845" s="338"/>
      <c r="L845" s="338"/>
      <c r="M845" s="338"/>
      <c r="N845" s="338"/>
      <c r="O845" s="338"/>
      <c r="P845" s="338"/>
      <c r="Q845" s="338"/>
      <c r="R845" s="338"/>
      <c r="S845" s="338"/>
      <c r="T845" s="338"/>
      <c r="U845" s="338"/>
      <c r="V845" s="338"/>
      <c r="W845" s="338"/>
      <c r="X845" s="338"/>
      <c r="Y845" s="338"/>
      <c r="Z845" s="338"/>
      <c r="AA845" s="2774" t="s">
        <v>0</v>
      </c>
      <c r="AB845" s="2774"/>
    </row>
    <row r="846" spans="1:28" s="352" customFormat="1" ht="18" customHeight="1" x14ac:dyDescent="0.2">
      <c r="A846" s="2703" t="s">
        <v>1</v>
      </c>
      <c r="B846" s="2703"/>
      <c r="C846" s="2703"/>
      <c r="D846" s="2703"/>
      <c r="E846" s="2703"/>
      <c r="F846" s="2703"/>
      <c r="G846" s="2703"/>
      <c r="H846" s="2703"/>
      <c r="I846" s="2703"/>
      <c r="J846" s="2703"/>
      <c r="K846" s="2703"/>
      <c r="L846" s="2703"/>
      <c r="M846" s="2703"/>
      <c r="N846" s="2703"/>
      <c r="O846" s="2703"/>
      <c r="P846" s="2703"/>
      <c r="Q846" s="2703"/>
      <c r="R846" s="2703"/>
      <c r="S846" s="2703"/>
      <c r="T846" s="2703"/>
      <c r="U846" s="2703"/>
      <c r="V846" s="2703"/>
      <c r="W846" s="2703"/>
      <c r="X846" s="2703"/>
      <c r="Y846" s="2703"/>
      <c r="Z846" s="2703"/>
      <c r="AA846" s="2703"/>
      <c r="AB846" s="2703"/>
    </row>
    <row r="847" spans="1:28" s="352" customFormat="1" ht="18" customHeight="1" x14ac:dyDescent="0.2">
      <c r="A847" s="2780" t="s">
        <v>627</v>
      </c>
      <c r="B847" s="2780"/>
      <c r="C847" s="2780"/>
      <c r="D847" s="2780"/>
      <c r="E847" s="2780"/>
      <c r="F847" s="2780"/>
      <c r="G847" s="2780"/>
      <c r="H847" s="2780"/>
      <c r="I847" s="2780"/>
      <c r="J847" s="2780"/>
      <c r="K847" s="2780"/>
      <c r="L847" s="2780"/>
      <c r="M847" s="2780"/>
      <c r="N847" s="2780"/>
      <c r="O847" s="2780"/>
      <c r="P847" s="2780"/>
      <c r="Q847" s="2780"/>
      <c r="R847" s="2780"/>
      <c r="S847" s="2780"/>
      <c r="T847" s="2780"/>
      <c r="U847" s="2780"/>
      <c r="V847" s="2780"/>
      <c r="W847" s="2780"/>
      <c r="X847" s="2780"/>
      <c r="Y847" s="2780"/>
      <c r="Z847" s="2780"/>
      <c r="AA847" s="2780"/>
      <c r="AB847" s="2780"/>
    </row>
    <row r="848" spans="1:28" s="352" customFormat="1" ht="18" customHeight="1" x14ac:dyDescent="0.2">
      <c r="A848" s="2686" t="s">
        <v>2</v>
      </c>
      <c r="B848" s="360"/>
      <c r="C848" s="2686" t="s">
        <v>3</v>
      </c>
      <c r="D848" s="360"/>
      <c r="E848" s="360"/>
      <c r="F848" s="2693" t="s">
        <v>4</v>
      </c>
      <c r="G848" s="2693"/>
      <c r="H848" s="2693"/>
      <c r="I848" s="2694"/>
      <c r="J848" s="2694"/>
      <c r="K848" s="2695"/>
      <c r="L848" s="361"/>
      <c r="M848" s="2679" t="s">
        <v>5</v>
      </c>
      <c r="N848" s="2679"/>
      <c r="O848" s="2679"/>
      <c r="P848" s="2679"/>
      <c r="Q848" s="2696"/>
      <c r="R848" s="2696"/>
      <c r="S848" s="2696"/>
      <c r="T848" s="2696"/>
      <c r="U848" s="2696"/>
      <c r="V848" s="2697"/>
      <c r="W848" s="362" t="s">
        <v>6</v>
      </c>
      <c r="X848" s="363" t="s">
        <v>7</v>
      </c>
      <c r="Y848" s="364"/>
      <c r="Z848" s="364"/>
      <c r="AA848" s="363"/>
      <c r="AB848" s="365"/>
    </row>
    <row r="849" spans="1:28" s="352" customFormat="1" ht="18" customHeight="1" x14ac:dyDescent="0.2">
      <c r="A849" s="2687"/>
      <c r="B849" s="367"/>
      <c r="C849" s="2687"/>
      <c r="D849" s="2158" t="s">
        <v>9</v>
      </c>
      <c r="E849" s="368" t="s">
        <v>10</v>
      </c>
      <c r="F849" s="2698" t="s">
        <v>11</v>
      </c>
      <c r="G849" s="2694"/>
      <c r="H849" s="2695"/>
      <c r="I849" s="360"/>
      <c r="J849" s="369" t="s">
        <v>12</v>
      </c>
      <c r="K849" s="360"/>
      <c r="L849" s="2679" t="s">
        <v>2</v>
      </c>
      <c r="M849" s="2162"/>
      <c r="N849" s="2162"/>
      <c r="O849" s="2162"/>
      <c r="P849" s="371"/>
      <c r="Q849" s="372" t="s">
        <v>13</v>
      </c>
      <c r="R849" s="373" t="s">
        <v>12</v>
      </c>
      <c r="S849" s="2162" t="s">
        <v>6</v>
      </c>
      <c r="T849" s="2682" t="s">
        <v>14</v>
      </c>
      <c r="U849" s="2683"/>
      <c r="V849" s="375" t="s">
        <v>7</v>
      </c>
      <c r="W849" s="376" t="s">
        <v>15</v>
      </c>
      <c r="X849" s="377" t="s">
        <v>16</v>
      </c>
      <c r="Y849" s="377" t="s">
        <v>17</v>
      </c>
      <c r="Z849" s="377" t="s">
        <v>18</v>
      </c>
      <c r="AA849" s="377"/>
      <c r="AB849" s="378" t="s">
        <v>19</v>
      </c>
    </row>
    <row r="850" spans="1:28" s="352" customFormat="1" ht="18" customHeight="1" x14ac:dyDescent="0.2">
      <c r="A850" s="2687"/>
      <c r="B850" s="2158" t="s">
        <v>23</v>
      </c>
      <c r="C850" s="2687"/>
      <c r="D850" s="2158" t="s">
        <v>24</v>
      </c>
      <c r="E850" s="368" t="s">
        <v>25</v>
      </c>
      <c r="F850" s="2699"/>
      <c r="G850" s="2700"/>
      <c r="H850" s="2701"/>
      <c r="I850" s="2158" t="s">
        <v>26</v>
      </c>
      <c r="J850" s="379" t="s">
        <v>15</v>
      </c>
      <c r="K850" s="2159" t="s">
        <v>6</v>
      </c>
      <c r="L850" s="2680"/>
      <c r="M850" s="2163" t="s">
        <v>27</v>
      </c>
      <c r="N850" s="2163" t="s">
        <v>10</v>
      </c>
      <c r="O850" s="382" t="s">
        <v>10</v>
      </c>
      <c r="P850" s="383" t="s">
        <v>28</v>
      </c>
      <c r="Q850" s="384" t="s">
        <v>29</v>
      </c>
      <c r="R850" s="383" t="s">
        <v>15</v>
      </c>
      <c r="S850" s="385" t="s">
        <v>15</v>
      </c>
      <c r="T850" s="2684"/>
      <c r="U850" s="2685"/>
      <c r="V850" s="375" t="s">
        <v>30</v>
      </c>
      <c r="W850" s="376" t="s">
        <v>31</v>
      </c>
      <c r="X850" s="377" t="s">
        <v>30</v>
      </c>
      <c r="Y850" s="377" t="s">
        <v>32</v>
      </c>
      <c r="Z850" s="377" t="s">
        <v>7</v>
      </c>
      <c r="AA850" s="377" t="s">
        <v>33</v>
      </c>
      <c r="AB850" s="378" t="s">
        <v>34</v>
      </c>
    </row>
    <row r="851" spans="1:28" s="352" customFormat="1" ht="18" customHeight="1" x14ac:dyDescent="0.2">
      <c r="A851" s="2687"/>
      <c r="B851" s="2158" t="s">
        <v>39</v>
      </c>
      <c r="C851" s="2687"/>
      <c r="D851" s="2158" t="s">
        <v>40</v>
      </c>
      <c r="E851" s="368" t="s">
        <v>41</v>
      </c>
      <c r="F851" s="2686" t="s">
        <v>42</v>
      </c>
      <c r="G851" s="2686" t="s">
        <v>43</v>
      </c>
      <c r="H851" s="2688" t="s">
        <v>44</v>
      </c>
      <c r="I851" s="2158" t="s">
        <v>45</v>
      </c>
      <c r="J851" s="379" t="s">
        <v>46</v>
      </c>
      <c r="K851" s="2159" t="s">
        <v>47</v>
      </c>
      <c r="L851" s="2680"/>
      <c r="M851" s="2163" t="s">
        <v>30</v>
      </c>
      <c r="N851" s="2163" t="s">
        <v>30</v>
      </c>
      <c r="O851" s="382" t="s">
        <v>25</v>
      </c>
      <c r="P851" s="383" t="s">
        <v>30</v>
      </c>
      <c r="Q851" s="384" t="s">
        <v>48</v>
      </c>
      <c r="R851" s="383" t="s">
        <v>49</v>
      </c>
      <c r="S851" s="385" t="s">
        <v>30</v>
      </c>
      <c r="T851" s="386" t="s">
        <v>50</v>
      </c>
      <c r="U851" s="2161" t="s">
        <v>13</v>
      </c>
      <c r="V851" s="375" t="s">
        <v>51</v>
      </c>
      <c r="W851" s="376" t="s">
        <v>52</v>
      </c>
      <c r="X851" s="377" t="s">
        <v>53</v>
      </c>
      <c r="Y851" s="377" t="s">
        <v>54</v>
      </c>
      <c r="Z851" s="377" t="s">
        <v>55</v>
      </c>
      <c r="AA851" s="377" t="s">
        <v>56</v>
      </c>
      <c r="AB851" s="378" t="s">
        <v>57</v>
      </c>
    </row>
    <row r="852" spans="1:28" s="352" customFormat="1" ht="18" customHeight="1" x14ac:dyDescent="0.2">
      <c r="A852" s="2687"/>
      <c r="B852" s="2158" t="s">
        <v>61</v>
      </c>
      <c r="C852" s="2687"/>
      <c r="D852" s="2158" t="s">
        <v>62</v>
      </c>
      <c r="E852" s="368" t="s">
        <v>63</v>
      </c>
      <c r="F852" s="2687"/>
      <c r="G852" s="2687"/>
      <c r="H852" s="2689"/>
      <c r="I852" s="2158" t="s">
        <v>64</v>
      </c>
      <c r="J852" s="379" t="s">
        <v>59</v>
      </c>
      <c r="K852" s="2159" t="s">
        <v>59</v>
      </c>
      <c r="L852" s="2680"/>
      <c r="M852" s="2163"/>
      <c r="N852" s="2163"/>
      <c r="O852" s="382" t="s">
        <v>41</v>
      </c>
      <c r="P852" s="383" t="s">
        <v>65</v>
      </c>
      <c r="Q852" s="384" t="s">
        <v>66</v>
      </c>
      <c r="R852" s="383" t="s">
        <v>67</v>
      </c>
      <c r="S852" s="385" t="s">
        <v>59</v>
      </c>
      <c r="T852" s="387" t="s">
        <v>68</v>
      </c>
      <c r="U852" s="375" t="s">
        <v>14</v>
      </c>
      <c r="V852" s="375" t="s">
        <v>14</v>
      </c>
      <c r="W852" s="376" t="s">
        <v>30</v>
      </c>
      <c r="X852" s="388" t="s">
        <v>69</v>
      </c>
      <c r="Y852" s="388" t="s">
        <v>70</v>
      </c>
      <c r="Z852" s="377" t="s">
        <v>71</v>
      </c>
      <c r="AA852" s="377" t="s">
        <v>72</v>
      </c>
      <c r="AB852" s="378" t="s">
        <v>59</v>
      </c>
    </row>
    <row r="853" spans="1:28" s="352" customFormat="1" ht="18" customHeight="1" x14ac:dyDescent="0.2">
      <c r="A853" s="2692"/>
      <c r="B853" s="390"/>
      <c r="C853" s="2692"/>
      <c r="D853" s="390"/>
      <c r="E853" s="2160"/>
      <c r="F853" s="390"/>
      <c r="G853" s="390"/>
      <c r="H853" s="391"/>
      <c r="I853" s="2160"/>
      <c r="J853" s="392"/>
      <c r="K853" s="393"/>
      <c r="L853" s="2681"/>
      <c r="M853" s="2164"/>
      <c r="N853" s="2164"/>
      <c r="O853" s="2164" t="s">
        <v>63</v>
      </c>
      <c r="P853" s="395"/>
      <c r="Q853" s="396" t="s">
        <v>72</v>
      </c>
      <c r="R853" s="397" t="s">
        <v>59</v>
      </c>
      <c r="S853" s="398"/>
      <c r="T853" s="397" t="s">
        <v>73</v>
      </c>
      <c r="U853" s="398" t="s">
        <v>59</v>
      </c>
      <c r="V853" s="399" t="s">
        <v>59</v>
      </c>
      <c r="W853" s="400" t="s">
        <v>59</v>
      </c>
      <c r="X853" s="401" t="s">
        <v>59</v>
      </c>
      <c r="Y853" s="401" t="s">
        <v>59</v>
      </c>
      <c r="Z853" s="401" t="s">
        <v>59</v>
      </c>
      <c r="AA853" s="402"/>
      <c r="AB853" s="403"/>
    </row>
    <row r="854" spans="1:28" s="352" customFormat="1" ht="18" customHeight="1" x14ac:dyDescent="0.25">
      <c r="A854" s="53">
        <v>1</v>
      </c>
      <c r="B854" s="333">
        <v>27713</v>
      </c>
      <c r="C854" s="41">
        <v>6</v>
      </c>
      <c r="D854" s="41" t="s">
        <v>107</v>
      </c>
      <c r="E854" s="41">
        <v>4</v>
      </c>
      <c r="F854" s="41">
        <v>0</v>
      </c>
      <c r="G854" s="41">
        <v>0</v>
      </c>
      <c r="H854" s="267">
        <v>74</v>
      </c>
      <c r="I854" s="302">
        <f>F854*400+G854*100+H854</f>
        <v>74</v>
      </c>
      <c r="J854" s="310">
        <v>3000</v>
      </c>
      <c r="K854" s="310">
        <f>SUM(I854*J854)</f>
        <v>222000</v>
      </c>
      <c r="L854" s="16"/>
      <c r="M854" s="82"/>
      <c r="N854" s="41"/>
      <c r="O854" s="16">
        <v>4</v>
      </c>
      <c r="P854" s="404"/>
      <c r="Q854" s="14"/>
      <c r="R854" s="302"/>
      <c r="S854" s="302"/>
      <c r="T854" s="41"/>
      <c r="U854" s="302"/>
      <c r="V854" s="302"/>
      <c r="W854" s="302">
        <f>K854+V854</f>
        <v>222000</v>
      </c>
      <c r="X854" s="302">
        <f>W854</f>
        <v>222000</v>
      </c>
      <c r="Y854" s="310"/>
      <c r="Z854" s="310">
        <f>+X854</f>
        <v>222000</v>
      </c>
      <c r="AA854" s="405">
        <v>0.6</v>
      </c>
      <c r="AB854" s="465">
        <f>+Z854*AA854/100</f>
        <v>1332</v>
      </c>
    </row>
    <row r="855" spans="1:28" s="352" customFormat="1" ht="18" customHeight="1" x14ac:dyDescent="0.25">
      <c r="A855" s="75">
        <v>2</v>
      </c>
      <c r="B855" s="287">
        <v>27768</v>
      </c>
      <c r="C855" s="15">
        <v>19</v>
      </c>
      <c r="D855" s="15"/>
      <c r="E855" s="15">
        <v>4</v>
      </c>
      <c r="F855" s="15">
        <v>0</v>
      </c>
      <c r="G855" s="15">
        <v>1</v>
      </c>
      <c r="H855" s="284">
        <v>0</v>
      </c>
      <c r="I855" s="299">
        <f t="shared" ref="I855:I856" si="76">F855*400+G855*100+H855</f>
        <v>100</v>
      </c>
      <c r="J855" s="305">
        <v>3000</v>
      </c>
      <c r="K855" s="305">
        <f t="shared" ref="K855:K856" si="77">SUM(I855*J855)</f>
        <v>300000</v>
      </c>
      <c r="L855" s="50"/>
      <c r="M855" s="2166"/>
      <c r="N855" s="15"/>
      <c r="O855" s="50">
        <v>4</v>
      </c>
      <c r="P855" s="673"/>
      <c r="Q855" s="76"/>
      <c r="R855" s="296"/>
      <c r="S855" s="296"/>
      <c r="T855" s="15"/>
      <c r="U855" s="296"/>
      <c r="V855" s="296"/>
      <c r="W855" s="299">
        <f t="shared" ref="W855:W856" si="78">K855+V855</f>
        <v>300000</v>
      </c>
      <c r="X855" s="299">
        <f t="shared" ref="X855:X856" si="79">W855</f>
        <v>300000</v>
      </c>
      <c r="Y855" s="305"/>
      <c r="Z855" s="305">
        <f t="shared" ref="Z855:Z856" si="80">+X855</f>
        <v>300000</v>
      </c>
      <c r="AA855" s="494">
        <v>0.6</v>
      </c>
      <c r="AB855" s="416">
        <f>+Z855*AA855/100</f>
        <v>1800</v>
      </c>
    </row>
    <row r="856" spans="1:28" s="352" customFormat="1" ht="18" customHeight="1" x14ac:dyDescent="0.25">
      <c r="A856" s="61">
        <v>3</v>
      </c>
      <c r="B856" s="269">
        <v>27767</v>
      </c>
      <c r="C856" s="285">
        <v>18</v>
      </c>
      <c r="D856" s="273"/>
      <c r="E856" s="273">
        <v>4</v>
      </c>
      <c r="F856" s="268">
        <v>0</v>
      </c>
      <c r="G856" s="269">
        <v>0</v>
      </c>
      <c r="H856" s="266">
        <v>26</v>
      </c>
      <c r="I856" s="299">
        <f t="shared" si="76"/>
        <v>26</v>
      </c>
      <c r="J856" s="305">
        <v>3000</v>
      </c>
      <c r="K856" s="305">
        <f t="shared" si="77"/>
        <v>78000</v>
      </c>
      <c r="L856" s="269"/>
      <c r="M856" s="242"/>
      <c r="N856" s="269"/>
      <c r="O856" s="269">
        <v>4</v>
      </c>
      <c r="P856" s="760"/>
      <c r="Q856" s="285"/>
      <c r="R856" s="321"/>
      <c r="S856" s="321"/>
      <c r="T856" s="323"/>
      <c r="U856" s="321"/>
      <c r="V856" s="321"/>
      <c r="W856" s="299">
        <f t="shared" si="78"/>
        <v>78000</v>
      </c>
      <c r="X856" s="299">
        <f t="shared" si="79"/>
        <v>78000</v>
      </c>
      <c r="Y856" s="305"/>
      <c r="Z856" s="305">
        <f t="shared" si="80"/>
        <v>78000</v>
      </c>
      <c r="AA856" s="708">
        <v>0.6</v>
      </c>
      <c r="AB856" s="410">
        <f>+Z856*AA856/100</f>
        <v>468</v>
      </c>
    </row>
    <row r="857" spans="1:28" s="352" customFormat="1" ht="18" customHeight="1" x14ac:dyDescent="0.2">
      <c r="A857" s="75"/>
      <c r="B857" s="88"/>
      <c r="C857" s="88"/>
      <c r="D857" s="88"/>
      <c r="E857" s="88"/>
      <c r="F857" s="88"/>
      <c r="G857" s="88"/>
      <c r="H857" s="495"/>
      <c r="I857" s="74"/>
      <c r="J857" s="121"/>
      <c r="K857" s="159"/>
      <c r="L857" s="75"/>
      <c r="M857" s="88"/>
      <c r="N857" s="88"/>
      <c r="O857" s="75"/>
      <c r="P857" s="180"/>
      <c r="Q857" s="174"/>
      <c r="R857" s="413"/>
      <c r="S857" s="74"/>
      <c r="T857" s="88"/>
      <c r="U857" s="74"/>
      <c r="V857" s="74"/>
      <c r="W857" s="74"/>
      <c r="X857" s="74"/>
      <c r="Y857" s="121"/>
      <c r="Z857" s="74"/>
      <c r="AA857" s="414"/>
      <c r="AB857" s="410"/>
    </row>
    <row r="858" spans="1:28" s="352" customFormat="1" ht="18" customHeight="1" x14ac:dyDescent="0.2">
      <c r="A858" s="75"/>
      <c r="B858" s="88"/>
      <c r="C858" s="88"/>
      <c r="D858" s="88"/>
      <c r="E858" s="88"/>
      <c r="F858" s="88"/>
      <c r="G858" s="88"/>
      <c r="H858" s="495"/>
      <c r="I858" s="74"/>
      <c r="J858" s="121"/>
      <c r="K858" s="159"/>
      <c r="L858" s="75"/>
      <c r="M858" s="88"/>
      <c r="N858" s="88"/>
      <c r="O858" s="75"/>
      <c r="P858" s="180"/>
      <c r="Q858" s="174"/>
      <c r="R858" s="413"/>
      <c r="S858" s="74"/>
      <c r="T858" s="88"/>
      <c r="U858" s="74"/>
      <c r="V858" s="74"/>
      <c r="W858" s="74"/>
      <c r="X858" s="74"/>
      <c r="Y858" s="121"/>
      <c r="Z858" s="74"/>
      <c r="AA858" s="414"/>
      <c r="AB858" s="416"/>
    </row>
    <row r="859" spans="1:28" s="352" customFormat="1" ht="18" customHeight="1" x14ac:dyDescent="0.2">
      <c r="A859" s="61"/>
      <c r="B859" s="2166"/>
      <c r="C859" s="2166"/>
      <c r="D859" s="2166"/>
      <c r="E859" s="2166"/>
      <c r="F859" s="2166"/>
      <c r="G859" s="2166"/>
      <c r="H859" s="407"/>
      <c r="I859" s="77"/>
      <c r="J859" s="2168"/>
      <c r="K859" s="78"/>
      <c r="L859" s="61"/>
      <c r="M859" s="2166"/>
      <c r="N859" s="2166"/>
      <c r="O859" s="61"/>
      <c r="P859" s="177"/>
      <c r="Q859" s="196"/>
      <c r="R859" s="408"/>
      <c r="S859" s="77"/>
      <c r="T859" s="2166"/>
      <c r="U859" s="77"/>
      <c r="V859" s="77"/>
      <c r="W859" s="77"/>
      <c r="X859" s="77"/>
      <c r="Y859" s="2168"/>
      <c r="Z859" s="77"/>
      <c r="AA859" s="2170"/>
      <c r="AB859" s="410"/>
    </row>
    <row r="860" spans="1:28" s="352" customFormat="1" ht="18" customHeight="1" x14ac:dyDescent="0.2">
      <c r="A860" s="2166"/>
      <c r="B860" s="177"/>
      <c r="C860" s="177"/>
      <c r="D860" s="2166"/>
      <c r="E860" s="2166"/>
      <c r="F860" s="2166"/>
      <c r="G860" s="2166"/>
      <c r="H860" s="2171"/>
      <c r="I860" s="2168"/>
      <c r="J860" s="178"/>
      <c r="K860" s="2168"/>
      <c r="L860" s="2166"/>
      <c r="M860" s="2166"/>
      <c r="N860" s="2166"/>
      <c r="O860" s="2166"/>
      <c r="P860" s="2171"/>
      <c r="Q860" s="2167"/>
      <c r="R860" s="437"/>
      <c r="S860" s="2168"/>
      <c r="T860" s="179"/>
      <c r="U860" s="178"/>
      <c r="V860" s="2168"/>
      <c r="W860" s="2168"/>
      <c r="X860" s="470"/>
      <c r="Y860" s="470"/>
      <c r="Z860" s="471"/>
      <c r="AA860" s="471"/>
      <c r="AB860" s="466"/>
    </row>
    <row r="861" spans="1:28" s="352" customFormat="1" ht="18" customHeight="1" x14ac:dyDescent="0.2">
      <c r="A861" s="2166"/>
      <c r="B861" s="177"/>
      <c r="C861" s="177"/>
      <c r="D861" s="2166"/>
      <c r="E861" s="2166"/>
      <c r="F861" s="2166"/>
      <c r="G861" s="2166"/>
      <c r="H861" s="2171"/>
      <c r="I861" s="2168"/>
      <c r="J861" s="178"/>
      <c r="K861" s="2168"/>
      <c r="L861" s="2166"/>
      <c r="M861" s="2166"/>
      <c r="N861" s="2166"/>
      <c r="O861" s="2166"/>
      <c r="P861" s="2171"/>
      <c r="Q861" s="2167"/>
      <c r="R861" s="437"/>
      <c r="S861" s="2168"/>
      <c r="T861" s="179"/>
      <c r="U861" s="178"/>
      <c r="V861" s="2168"/>
      <c r="W861" s="2168"/>
      <c r="X861" s="470"/>
      <c r="Y861" s="470"/>
      <c r="Z861" s="471"/>
      <c r="AA861" s="471"/>
      <c r="AB861" s="466"/>
    </row>
    <row r="862" spans="1:28" s="352" customFormat="1" ht="18" customHeight="1" x14ac:dyDescent="0.2">
      <c r="A862" s="2166"/>
      <c r="B862" s="177"/>
      <c r="C862" s="177"/>
      <c r="D862" s="2166"/>
      <c r="E862" s="2166"/>
      <c r="F862" s="2166"/>
      <c r="G862" s="2166"/>
      <c r="H862" s="2171"/>
      <c r="I862" s="2168"/>
      <c r="J862" s="178"/>
      <c r="K862" s="2168"/>
      <c r="L862" s="2166"/>
      <c r="M862" s="2166"/>
      <c r="N862" s="2166"/>
      <c r="O862" s="2166"/>
      <c r="P862" s="2171"/>
      <c r="Q862" s="2167"/>
      <c r="R862" s="437"/>
      <c r="S862" s="2168"/>
      <c r="T862" s="179"/>
      <c r="U862" s="178"/>
      <c r="V862" s="2168"/>
      <c r="W862" s="2168"/>
      <c r="X862" s="470"/>
      <c r="Y862" s="470"/>
      <c r="Z862" s="471"/>
      <c r="AA862" s="471"/>
      <c r="AB862" s="466"/>
    </row>
    <row r="863" spans="1:28" s="352" customFormat="1" ht="18" customHeight="1" x14ac:dyDescent="0.2">
      <c r="A863" s="2166"/>
      <c r="B863" s="177"/>
      <c r="C863" s="177"/>
      <c r="D863" s="2166"/>
      <c r="E863" s="2166"/>
      <c r="F863" s="2166"/>
      <c r="G863" s="2166"/>
      <c r="H863" s="2171"/>
      <c r="I863" s="2168"/>
      <c r="J863" s="178"/>
      <c r="K863" s="2168"/>
      <c r="L863" s="2166"/>
      <c r="M863" s="2166"/>
      <c r="N863" s="2166"/>
      <c r="O863" s="2166"/>
      <c r="P863" s="2171"/>
      <c r="Q863" s="2167"/>
      <c r="R863" s="437"/>
      <c r="S863" s="2168"/>
      <c r="T863" s="179"/>
      <c r="U863" s="178"/>
      <c r="V863" s="2168"/>
      <c r="W863" s="2168"/>
      <c r="X863" s="470"/>
      <c r="Y863" s="470"/>
      <c r="Z863" s="471"/>
      <c r="AA863" s="471"/>
      <c r="AB863" s="466"/>
    </row>
    <row r="864" spans="1:28" s="352" customFormat="1" ht="18" customHeight="1" x14ac:dyDescent="0.2">
      <c r="A864" s="2166"/>
      <c r="B864" s="177"/>
      <c r="C864" s="177"/>
      <c r="D864" s="2166"/>
      <c r="E864" s="2166"/>
      <c r="F864" s="2166"/>
      <c r="G864" s="2166"/>
      <c r="H864" s="2171"/>
      <c r="I864" s="2168"/>
      <c r="J864" s="178"/>
      <c r="K864" s="2168"/>
      <c r="L864" s="2166"/>
      <c r="M864" s="2166"/>
      <c r="N864" s="2166"/>
      <c r="O864" s="2166"/>
      <c r="P864" s="2171"/>
      <c r="Q864" s="2167"/>
      <c r="R864" s="437"/>
      <c r="S864" s="2168"/>
      <c r="T864" s="179"/>
      <c r="U864" s="178"/>
      <c r="V864" s="2168"/>
      <c r="W864" s="2168"/>
      <c r="X864" s="470"/>
      <c r="Y864" s="470"/>
      <c r="Z864" s="471"/>
      <c r="AA864" s="471"/>
      <c r="AB864" s="466"/>
    </row>
    <row r="865" spans="1:28" s="352" customFormat="1" ht="18" customHeight="1" x14ac:dyDescent="0.2">
      <c r="A865" s="2166"/>
      <c r="B865" s="177"/>
      <c r="C865" s="177"/>
      <c r="D865" s="2166"/>
      <c r="E865" s="2166"/>
      <c r="F865" s="2166"/>
      <c r="G865" s="2166"/>
      <c r="H865" s="2171"/>
      <c r="I865" s="2168"/>
      <c r="J865" s="178"/>
      <c r="K865" s="2168"/>
      <c r="L865" s="2166"/>
      <c r="M865" s="2166"/>
      <c r="N865" s="2166"/>
      <c r="O865" s="2166"/>
      <c r="P865" s="2171"/>
      <c r="Q865" s="2167"/>
      <c r="R865" s="437"/>
      <c r="S865" s="2168"/>
      <c r="T865" s="179"/>
      <c r="U865" s="178"/>
      <c r="V865" s="2168"/>
      <c r="W865" s="2168"/>
      <c r="X865" s="470"/>
      <c r="Y865" s="470"/>
      <c r="Z865" s="471"/>
      <c r="AA865" s="471"/>
      <c r="AB865" s="466"/>
    </row>
    <row r="866" spans="1:28" s="352" customFormat="1" ht="18" customHeight="1" x14ac:dyDescent="0.2">
      <c r="A866" s="2166"/>
      <c r="B866" s="177"/>
      <c r="C866" s="177"/>
      <c r="D866" s="2166"/>
      <c r="E866" s="2166"/>
      <c r="F866" s="2166"/>
      <c r="G866" s="2166"/>
      <c r="H866" s="2171"/>
      <c r="I866" s="2168"/>
      <c r="J866" s="178"/>
      <c r="K866" s="2168"/>
      <c r="L866" s="2166"/>
      <c r="M866" s="2166"/>
      <c r="N866" s="2166"/>
      <c r="O866" s="2166"/>
      <c r="P866" s="2171"/>
      <c r="Q866" s="2167"/>
      <c r="R866" s="437"/>
      <c r="S866" s="2168"/>
      <c r="T866" s="179"/>
      <c r="U866" s="178"/>
      <c r="V866" s="2168"/>
      <c r="W866" s="2168"/>
      <c r="X866" s="470"/>
      <c r="Y866" s="470"/>
      <c r="Z866" s="471"/>
      <c r="AA866" s="471"/>
      <c r="AB866" s="466"/>
    </row>
    <row r="867" spans="1:28" s="352" customFormat="1" ht="18" customHeight="1" x14ac:dyDescent="0.2">
      <c r="A867" s="88"/>
      <c r="B867" s="180"/>
      <c r="C867" s="180"/>
      <c r="D867" s="88"/>
      <c r="E867" s="88"/>
      <c r="F867" s="88"/>
      <c r="G867" s="88"/>
      <c r="H867" s="120"/>
      <c r="I867" s="121"/>
      <c r="J867" s="181"/>
      <c r="K867" s="121"/>
      <c r="L867" s="88"/>
      <c r="M867" s="88"/>
      <c r="N867" s="88"/>
      <c r="O867" s="88"/>
      <c r="P867" s="88"/>
      <c r="Q867" s="129"/>
      <c r="R867" s="445"/>
      <c r="S867" s="121"/>
      <c r="T867" s="182"/>
      <c r="U867" s="181"/>
      <c r="V867" s="121"/>
      <c r="W867" s="121"/>
      <c r="X867" s="472"/>
      <c r="Y867" s="472"/>
      <c r="Z867" s="473"/>
      <c r="AA867" s="473"/>
      <c r="AB867" s="410"/>
    </row>
    <row r="868" spans="1:28" s="352" customFormat="1" ht="18" customHeight="1" x14ac:dyDescent="0.2">
      <c r="A868" s="1850"/>
      <c r="B868" s="1850"/>
      <c r="C868" s="1850"/>
      <c r="D868" s="1850"/>
      <c r="E868" s="1850"/>
      <c r="F868" s="1850"/>
      <c r="G868" s="1850"/>
      <c r="H868" s="1851"/>
      <c r="I868" s="1852"/>
      <c r="J868" s="1853"/>
      <c r="K868" s="1852"/>
      <c r="L868" s="1852"/>
      <c r="M868" s="1852"/>
      <c r="N868" s="1852"/>
      <c r="O868" s="1852"/>
      <c r="P868" s="1852"/>
      <c r="Q868" s="1852"/>
      <c r="R868" s="1854"/>
      <c r="S868" s="1852"/>
      <c r="T868" s="1855"/>
      <c r="U868" s="1853"/>
      <c r="V868" s="1852"/>
      <c r="W868" s="1852"/>
      <c r="X868" s="1856"/>
      <c r="Y868" s="1856"/>
      <c r="Z868" s="1857"/>
      <c r="AA868" s="1857"/>
      <c r="AB868" s="1847">
        <f>SUM(AB854:AB867)</f>
        <v>3600</v>
      </c>
    </row>
    <row r="869" spans="1:28" s="352" customFormat="1" ht="18" customHeight="1" x14ac:dyDescent="0.2">
      <c r="A869" s="2778" t="s">
        <v>76</v>
      </c>
      <c r="B869" s="2778"/>
      <c r="C869" s="2779" t="s">
        <v>77</v>
      </c>
      <c r="D869" s="2779"/>
      <c r="E869" s="2779"/>
      <c r="F869" s="2779"/>
      <c r="G869" s="2779"/>
      <c r="H869" s="2779"/>
      <c r="I869" s="424" t="s">
        <v>78</v>
      </c>
      <c r="J869" s="424"/>
      <c r="K869" s="424"/>
      <c r="L869" s="424"/>
      <c r="M869" s="424"/>
      <c r="N869" s="424"/>
      <c r="AB869" s="425"/>
    </row>
    <row r="870" spans="1:28" s="352" customFormat="1" ht="18" customHeight="1" x14ac:dyDescent="0.2">
      <c r="A870" s="424"/>
      <c r="B870" s="426"/>
      <c r="C870" s="424"/>
      <c r="D870" s="424"/>
      <c r="E870" s="424"/>
      <c r="F870" s="424"/>
      <c r="G870" s="424"/>
      <c r="H870" s="424"/>
      <c r="I870" s="424" t="s">
        <v>79</v>
      </c>
      <c r="J870" s="424"/>
      <c r="K870" s="424"/>
      <c r="L870" s="424"/>
      <c r="M870" s="424"/>
      <c r="N870" s="424"/>
      <c r="AB870" s="425"/>
    </row>
    <row r="871" spans="1:28" s="352" customFormat="1" ht="18" customHeight="1" x14ac:dyDescent="0.2">
      <c r="A871" s="424"/>
      <c r="B871" s="426"/>
      <c r="C871" s="424"/>
      <c r="D871" s="424"/>
      <c r="E871" s="424"/>
      <c r="F871" s="424"/>
      <c r="G871" s="424"/>
      <c r="H871" s="424"/>
      <c r="I871" s="424" t="s">
        <v>80</v>
      </c>
      <c r="J871" s="424"/>
      <c r="K871" s="424"/>
      <c r="L871" s="424"/>
      <c r="M871" s="424"/>
      <c r="N871" s="424"/>
      <c r="AB871" s="425"/>
    </row>
    <row r="872" spans="1:28" s="352" customFormat="1" ht="18" customHeight="1" x14ac:dyDescent="0.2">
      <c r="A872" s="424"/>
      <c r="B872" s="426"/>
      <c r="C872" s="424"/>
      <c r="D872" s="424"/>
      <c r="E872" s="424"/>
      <c r="F872" s="424"/>
      <c r="G872" s="424"/>
      <c r="H872" s="424"/>
      <c r="I872" s="424" t="s">
        <v>81</v>
      </c>
      <c r="J872" s="424"/>
      <c r="K872" s="424"/>
      <c r="L872" s="424"/>
      <c r="M872" s="424"/>
      <c r="N872" s="424"/>
      <c r="AB872" s="425"/>
    </row>
    <row r="873" spans="1:28" s="352" customFormat="1" ht="18" customHeight="1" x14ac:dyDescent="0.2">
      <c r="A873" s="424"/>
      <c r="B873" s="426"/>
      <c r="C873" s="424"/>
      <c r="D873" s="424"/>
      <c r="E873" s="424"/>
      <c r="F873" s="424"/>
      <c r="G873" s="424"/>
      <c r="H873" s="424"/>
      <c r="I873" s="424" t="s">
        <v>88</v>
      </c>
      <c r="J873" s="424"/>
      <c r="K873" s="424"/>
      <c r="L873" s="424"/>
      <c r="M873" s="424"/>
      <c r="N873" s="424"/>
      <c r="AB873" s="425"/>
    </row>
    <row r="874" spans="1:28" s="352" customFormat="1" ht="18" customHeight="1" x14ac:dyDescent="0.2">
      <c r="A874" s="338"/>
      <c r="B874" s="338"/>
      <c r="C874" s="338"/>
      <c r="D874" s="338"/>
      <c r="E874" s="338"/>
      <c r="F874" s="338"/>
      <c r="G874" s="338"/>
      <c r="H874" s="338"/>
      <c r="I874" s="338"/>
      <c r="J874" s="338"/>
      <c r="K874" s="338"/>
      <c r="L874" s="338"/>
      <c r="M874" s="338"/>
      <c r="N874" s="338"/>
      <c r="O874" s="338"/>
      <c r="P874" s="338"/>
      <c r="Q874" s="338"/>
      <c r="R874" s="338"/>
      <c r="S874" s="338"/>
      <c r="T874" s="338"/>
      <c r="U874" s="338"/>
      <c r="V874" s="338"/>
      <c r="W874" s="338"/>
      <c r="X874" s="338"/>
      <c r="Y874" s="338"/>
      <c r="Z874" s="338"/>
      <c r="AA874" s="2774" t="s">
        <v>0</v>
      </c>
      <c r="AB874" s="2774"/>
    </row>
    <row r="875" spans="1:28" s="352" customFormat="1" ht="18" customHeight="1" x14ac:dyDescent="0.2">
      <c r="A875" s="2703" t="s">
        <v>1</v>
      </c>
      <c r="B875" s="2703"/>
      <c r="C875" s="2703"/>
      <c r="D875" s="2703"/>
      <c r="E875" s="2703"/>
      <c r="F875" s="2703"/>
      <c r="G875" s="2703"/>
      <c r="H875" s="2703"/>
      <c r="I875" s="2703"/>
      <c r="J875" s="2703"/>
      <c r="K875" s="2703"/>
      <c r="L875" s="2703"/>
      <c r="M875" s="2703"/>
      <c r="N875" s="2703"/>
      <c r="O875" s="2703"/>
      <c r="P875" s="2703"/>
      <c r="Q875" s="2703"/>
      <c r="R875" s="2703"/>
      <c r="S875" s="2703"/>
      <c r="T875" s="2703"/>
      <c r="U875" s="2703"/>
      <c r="V875" s="2703"/>
      <c r="W875" s="2703"/>
      <c r="X875" s="2703"/>
      <c r="Y875" s="2703"/>
      <c r="Z875" s="2703"/>
      <c r="AA875" s="2703"/>
      <c r="AB875" s="2703"/>
    </row>
    <row r="876" spans="1:28" s="352" customFormat="1" ht="18" customHeight="1" x14ac:dyDescent="0.2">
      <c r="A876" s="2780" t="s">
        <v>628</v>
      </c>
      <c r="B876" s="2780"/>
      <c r="C876" s="2780"/>
      <c r="D876" s="2780"/>
      <c r="E876" s="2780"/>
      <c r="F876" s="2780"/>
      <c r="G876" s="2780"/>
      <c r="H876" s="2780"/>
      <c r="I876" s="2780"/>
      <c r="J876" s="2780"/>
      <c r="K876" s="2780"/>
      <c r="L876" s="2780"/>
      <c r="M876" s="2780"/>
      <c r="N876" s="2780"/>
      <c r="O876" s="2780"/>
      <c r="P876" s="2780"/>
      <c r="Q876" s="2780"/>
      <c r="R876" s="2780"/>
      <c r="S876" s="2780"/>
      <c r="T876" s="2780"/>
      <c r="U876" s="2780"/>
      <c r="V876" s="2780"/>
      <c r="W876" s="2780"/>
      <c r="X876" s="2780"/>
      <c r="Y876" s="2780"/>
      <c r="Z876" s="2780"/>
      <c r="AA876" s="2780"/>
      <c r="AB876" s="2780"/>
    </row>
    <row r="877" spans="1:28" s="352" customFormat="1" ht="18" customHeight="1" x14ac:dyDescent="0.2">
      <c r="A877" s="2686" t="s">
        <v>2</v>
      </c>
      <c r="B877" s="360"/>
      <c r="C877" s="2686" t="s">
        <v>3</v>
      </c>
      <c r="D877" s="360"/>
      <c r="E877" s="360"/>
      <c r="F877" s="2693" t="s">
        <v>4</v>
      </c>
      <c r="G877" s="2693"/>
      <c r="H877" s="2693"/>
      <c r="I877" s="2694"/>
      <c r="J877" s="2694"/>
      <c r="K877" s="2695"/>
      <c r="L877" s="361"/>
      <c r="M877" s="2679" t="s">
        <v>5</v>
      </c>
      <c r="N877" s="2679"/>
      <c r="O877" s="2679"/>
      <c r="P877" s="2679"/>
      <c r="Q877" s="2696"/>
      <c r="R877" s="2696"/>
      <c r="S877" s="2696"/>
      <c r="T877" s="2696"/>
      <c r="U877" s="2696"/>
      <c r="V877" s="2697"/>
      <c r="W877" s="362" t="s">
        <v>6</v>
      </c>
      <c r="X877" s="363" t="s">
        <v>7</v>
      </c>
      <c r="Y877" s="364"/>
      <c r="Z877" s="364"/>
      <c r="AA877" s="363"/>
      <c r="AB877" s="365"/>
    </row>
    <row r="878" spans="1:28" s="352" customFormat="1" ht="18" customHeight="1" x14ac:dyDescent="0.2">
      <c r="A878" s="2687"/>
      <c r="B878" s="367"/>
      <c r="C878" s="2687"/>
      <c r="D878" s="2158" t="s">
        <v>9</v>
      </c>
      <c r="E878" s="368" t="s">
        <v>10</v>
      </c>
      <c r="F878" s="2698" t="s">
        <v>11</v>
      </c>
      <c r="G878" s="2694"/>
      <c r="H878" s="2695"/>
      <c r="I878" s="360"/>
      <c r="J878" s="369" t="s">
        <v>12</v>
      </c>
      <c r="K878" s="360"/>
      <c r="L878" s="2679" t="s">
        <v>2</v>
      </c>
      <c r="M878" s="2162"/>
      <c r="N878" s="2162"/>
      <c r="O878" s="2162"/>
      <c r="P878" s="371"/>
      <c r="Q878" s="372" t="s">
        <v>13</v>
      </c>
      <c r="R878" s="373" t="s">
        <v>12</v>
      </c>
      <c r="S878" s="2162" t="s">
        <v>6</v>
      </c>
      <c r="T878" s="2682" t="s">
        <v>14</v>
      </c>
      <c r="U878" s="2683"/>
      <c r="V878" s="375" t="s">
        <v>7</v>
      </c>
      <c r="W878" s="376" t="s">
        <v>15</v>
      </c>
      <c r="X878" s="377" t="s">
        <v>16</v>
      </c>
      <c r="Y878" s="377" t="s">
        <v>17</v>
      </c>
      <c r="Z878" s="377" t="s">
        <v>18</v>
      </c>
      <c r="AA878" s="377"/>
      <c r="AB878" s="378" t="s">
        <v>19</v>
      </c>
    </row>
    <row r="879" spans="1:28" s="352" customFormat="1" ht="18" customHeight="1" x14ac:dyDescent="0.2">
      <c r="A879" s="2687"/>
      <c r="B879" s="2158" t="s">
        <v>23</v>
      </c>
      <c r="C879" s="2687"/>
      <c r="D879" s="2158" t="s">
        <v>24</v>
      </c>
      <c r="E879" s="368" t="s">
        <v>25</v>
      </c>
      <c r="F879" s="2699"/>
      <c r="G879" s="2700"/>
      <c r="H879" s="2701"/>
      <c r="I879" s="2158" t="s">
        <v>26</v>
      </c>
      <c r="J879" s="379" t="s">
        <v>15</v>
      </c>
      <c r="K879" s="2159" t="s">
        <v>6</v>
      </c>
      <c r="L879" s="2680"/>
      <c r="M879" s="2163" t="s">
        <v>27</v>
      </c>
      <c r="N879" s="2163" t="s">
        <v>10</v>
      </c>
      <c r="O879" s="382" t="s">
        <v>10</v>
      </c>
      <c r="P879" s="383" t="s">
        <v>28</v>
      </c>
      <c r="Q879" s="384" t="s">
        <v>29</v>
      </c>
      <c r="R879" s="383" t="s">
        <v>15</v>
      </c>
      <c r="S879" s="385" t="s">
        <v>15</v>
      </c>
      <c r="T879" s="2684"/>
      <c r="U879" s="2685"/>
      <c r="V879" s="375" t="s">
        <v>30</v>
      </c>
      <c r="W879" s="376" t="s">
        <v>31</v>
      </c>
      <c r="X879" s="377" t="s">
        <v>30</v>
      </c>
      <c r="Y879" s="377" t="s">
        <v>32</v>
      </c>
      <c r="Z879" s="377" t="s">
        <v>7</v>
      </c>
      <c r="AA879" s="377" t="s">
        <v>33</v>
      </c>
      <c r="AB879" s="378" t="s">
        <v>34</v>
      </c>
    </row>
    <row r="880" spans="1:28" s="352" customFormat="1" ht="18" customHeight="1" x14ac:dyDescent="0.2">
      <c r="A880" s="2687"/>
      <c r="B880" s="2158" t="s">
        <v>39</v>
      </c>
      <c r="C880" s="2687"/>
      <c r="D880" s="2158" t="s">
        <v>40</v>
      </c>
      <c r="E880" s="368" t="s">
        <v>41</v>
      </c>
      <c r="F880" s="2686" t="s">
        <v>42</v>
      </c>
      <c r="G880" s="2686" t="s">
        <v>43</v>
      </c>
      <c r="H880" s="2688" t="s">
        <v>44</v>
      </c>
      <c r="I880" s="2158" t="s">
        <v>45</v>
      </c>
      <c r="J880" s="379" t="s">
        <v>46</v>
      </c>
      <c r="K880" s="2159" t="s">
        <v>47</v>
      </c>
      <c r="L880" s="2680"/>
      <c r="M880" s="2163" t="s">
        <v>30</v>
      </c>
      <c r="N880" s="2163" t="s">
        <v>30</v>
      </c>
      <c r="O880" s="382" t="s">
        <v>25</v>
      </c>
      <c r="P880" s="383" t="s">
        <v>30</v>
      </c>
      <c r="Q880" s="384" t="s">
        <v>48</v>
      </c>
      <c r="R880" s="383" t="s">
        <v>49</v>
      </c>
      <c r="S880" s="385" t="s">
        <v>30</v>
      </c>
      <c r="T880" s="386" t="s">
        <v>50</v>
      </c>
      <c r="U880" s="2161" t="s">
        <v>13</v>
      </c>
      <c r="V880" s="375" t="s">
        <v>51</v>
      </c>
      <c r="W880" s="376" t="s">
        <v>52</v>
      </c>
      <c r="X880" s="377" t="s">
        <v>53</v>
      </c>
      <c r="Y880" s="377" t="s">
        <v>54</v>
      </c>
      <c r="Z880" s="377" t="s">
        <v>55</v>
      </c>
      <c r="AA880" s="377" t="s">
        <v>56</v>
      </c>
      <c r="AB880" s="378" t="s">
        <v>57</v>
      </c>
    </row>
    <row r="881" spans="1:28" s="352" customFormat="1" ht="18" customHeight="1" x14ac:dyDescent="0.2">
      <c r="A881" s="2687"/>
      <c r="B881" s="2158" t="s">
        <v>61</v>
      </c>
      <c r="C881" s="2687"/>
      <c r="D881" s="2158" t="s">
        <v>62</v>
      </c>
      <c r="E881" s="368" t="s">
        <v>63</v>
      </c>
      <c r="F881" s="2687"/>
      <c r="G881" s="2687"/>
      <c r="H881" s="2689"/>
      <c r="I881" s="2158" t="s">
        <v>64</v>
      </c>
      <c r="J881" s="379" t="s">
        <v>59</v>
      </c>
      <c r="K881" s="2159" t="s">
        <v>59</v>
      </c>
      <c r="L881" s="2680"/>
      <c r="M881" s="2163"/>
      <c r="N881" s="2163"/>
      <c r="O881" s="382" t="s">
        <v>41</v>
      </c>
      <c r="P881" s="383" t="s">
        <v>65</v>
      </c>
      <c r="Q881" s="384" t="s">
        <v>66</v>
      </c>
      <c r="R881" s="383" t="s">
        <v>67</v>
      </c>
      <c r="S881" s="385" t="s">
        <v>59</v>
      </c>
      <c r="T881" s="387" t="s">
        <v>68</v>
      </c>
      <c r="U881" s="375" t="s">
        <v>14</v>
      </c>
      <c r="V881" s="375" t="s">
        <v>14</v>
      </c>
      <c r="W881" s="376" t="s">
        <v>30</v>
      </c>
      <c r="X881" s="388" t="s">
        <v>69</v>
      </c>
      <c r="Y881" s="388" t="s">
        <v>70</v>
      </c>
      <c r="Z881" s="377" t="s">
        <v>71</v>
      </c>
      <c r="AA881" s="377" t="s">
        <v>72</v>
      </c>
      <c r="AB881" s="378" t="s">
        <v>59</v>
      </c>
    </row>
    <row r="882" spans="1:28" s="352" customFormat="1" ht="18" customHeight="1" x14ac:dyDescent="0.2">
      <c r="A882" s="2692"/>
      <c r="B882" s="390"/>
      <c r="C882" s="2692"/>
      <c r="D882" s="390"/>
      <c r="E882" s="2160"/>
      <c r="F882" s="390"/>
      <c r="G882" s="390"/>
      <c r="H882" s="391"/>
      <c r="I882" s="2160"/>
      <c r="J882" s="392"/>
      <c r="K882" s="393"/>
      <c r="L882" s="2681"/>
      <c r="M882" s="2164"/>
      <c r="N882" s="2164"/>
      <c r="O882" s="2164" t="s">
        <v>63</v>
      </c>
      <c r="P882" s="395"/>
      <c r="Q882" s="396" t="s">
        <v>72</v>
      </c>
      <c r="R882" s="397" t="s">
        <v>59</v>
      </c>
      <c r="S882" s="398"/>
      <c r="T882" s="397" t="s">
        <v>73</v>
      </c>
      <c r="U882" s="398" t="s">
        <v>59</v>
      </c>
      <c r="V882" s="399" t="s">
        <v>59</v>
      </c>
      <c r="W882" s="400" t="s">
        <v>59</v>
      </c>
      <c r="X882" s="401" t="s">
        <v>59</v>
      </c>
      <c r="Y882" s="401" t="s">
        <v>59</v>
      </c>
      <c r="Z882" s="401" t="s">
        <v>59</v>
      </c>
      <c r="AA882" s="402"/>
      <c r="AB882" s="403"/>
    </row>
    <row r="883" spans="1:28" s="352" customFormat="1" ht="18" customHeight="1" x14ac:dyDescent="0.25">
      <c r="A883" s="53">
        <v>1</v>
      </c>
      <c r="B883" s="333">
        <v>23185</v>
      </c>
      <c r="C883" s="41">
        <v>659</v>
      </c>
      <c r="D883" s="41" t="s">
        <v>107</v>
      </c>
      <c r="E883" s="41">
        <v>4</v>
      </c>
      <c r="F883" s="41">
        <v>0</v>
      </c>
      <c r="G883" s="41">
        <v>1</v>
      </c>
      <c r="H883" s="267">
        <v>67</v>
      </c>
      <c r="I883" s="302">
        <f>F883*400+G883*100+H883</f>
        <v>167</v>
      </c>
      <c r="J883" s="310">
        <v>3000</v>
      </c>
      <c r="K883" s="310">
        <f>SUM(I883*J883)</f>
        <v>501000</v>
      </c>
      <c r="L883" s="16"/>
      <c r="M883" s="82"/>
      <c r="N883" s="41"/>
      <c r="O883" s="16">
        <v>4</v>
      </c>
      <c r="P883" s="404"/>
      <c r="Q883" s="14"/>
      <c r="R883" s="302"/>
      <c r="S883" s="302"/>
      <c r="T883" s="41"/>
      <c r="U883" s="302"/>
      <c r="V883" s="302"/>
      <c r="W883" s="302">
        <f>K883+V883</f>
        <v>501000</v>
      </c>
      <c r="X883" s="302">
        <f>W883</f>
        <v>501000</v>
      </c>
      <c r="Y883" s="310"/>
      <c r="Z883" s="310">
        <f>+X883</f>
        <v>501000</v>
      </c>
      <c r="AA883" s="405">
        <v>0.6</v>
      </c>
      <c r="AB883" s="465">
        <f>+Z883*AA883/100</f>
        <v>3006</v>
      </c>
    </row>
    <row r="884" spans="1:28" s="352" customFormat="1" ht="18" customHeight="1" x14ac:dyDescent="0.25">
      <c r="A884" s="75">
        <v>2</v>
      </c>
      <c r="B884" s="287">
        <v>23194</v>
      </c>
      <c r="C884" s="15">
        <v>1052</v>
      </c>
      <c r="D884" s="15"/>
      <c r="E884" s="15">
        <v>4</v>
      </c>
      <c r="F884" s="15">
        <v>0</v>
      </c>
      <c r="G884" s="15">
        <v>1</v>
      </c>
      <c r="H884" s="284">
        <v>77</v>
      </c>
      <c r="I884" s="299">
        <f t="shared" ref="I884" si="81">F884*400+G884*100+H884</f>
        <v>177</v>
      </c>
      <c r="J884" s="305">
        <v>3000</v>
      </c>
      <c r="K884" s="305">
        <f t="shared" ref="K884" si="82">SUM(I884*J884)</f>
        <v>531000</v>
      </c>
      <c r="L884" s="50"/>
      <c r="M884" s="2166"/>
      <c r="N884" s="15"/>
      <c r="O884" s="50">
        <v>4</v>
      </c>
      <c r="P884" s="673"/>
      <c r="Q884" s="76"/>
      <c r="R884" s="296"/>
      <c r="S884" s="296"/>
      <c r="T884" s="15"/>
      <c r="U884" s="296"/>
      <c r="V884" s="296"/>
      <c r="W884" s="299">
        <f t="shared" ref="W884" si="83">K884+V884</f>
        <v>531000</v>
      </c>
      <c r="X884" s="299">
        <f t="shared" ref="X884" si="84">W884</f>
        <v>531000</v>
      </c>
      <c r="Y884" s="305"/>
      <c r="Z884" s="305">
        <f t="shared" ref="Z884" si="85">+X884</f>
        <v>531000</v>
      </c>
      <c r="AA884" s="494">
        <v>0.6</v>
      </c>
      <c r="AB884" s="416">
        <f>+Z884*AA884/100</f>
        <v>3186</v>
      </c>
    </row>
    <row r="885" spans="1:28" s="352" customFormat="1" ht="18" customHeight="1" x14ac:dyDescent="0.2">
      <c r="A885" s="61"/>
      <c r="B885" s="2166"/>
      <c r="C885" s="2166"/>
      <c r="D885" s="2166"/>
      <c r="E885" s="2166"/>
      <c r="F885" s="2166"/>
      <c r="G885" s="2166"/>
      <c r="H885" s="407"/>
      <c r="I885" s="77"/>
      <c r="J885" s="2168"/>
      <c r="K885" s="78"/>
      <c r="L885" s="61"/>
      <c r="M885" s="2166"/>
      <c r="N885" s="2166"/>
      <c r="O885" s="61"/>
      <c r="P885" s="177"/>
      <c r="Q885" s="196"/>
      <c r="R885" s="408"/>
      <c r="S885" s="77"/>
      <c r="T885" s="2166"/>
      <c r="U885" s="77"/>
      <c r="V885" s="77"/>
      <c r="W885" s="77"/>
      <c r="X885" s="77"/>
      <c r="Y885" s="2168"/>
      <c r="Z885" s="77"/>
      <c r="AA885" s="2170"/>
      <c r="AB885" s="410"/>
    </row>
    <row r="886" spans="1:28" s="352" customFormat="1" ht="18" customHeight="1" x14ac:dyDescent="0.2">
      <c r="A886" s="75"/>
      <c r="B886" s="88"/>
      <c r="C886" s="88"/>
      <c r="D886" s="88"/>
      <c r="E886" s="88"/>
      <c r="F886" s="88"/>
      <c r="G886" s="88"/>
      <c r="H886" s="495"/>
      <c r="I886" s="74"/>
      <c r="J886" s="121"/>
      <c r="K886" s="159"/>
      <c r="L886" s="75"/>
      <c r="M886" s="88"/>
      <c r="N886" s="88"/>
      <c r="O886" s="75"/>
      <c r="P886" s="180"/>
      <c r="Q886" s="174"/>
      <c r="R886" s="413"/>
      <c r="S886" s="74"/>
      <c r="T886" s="88"/>
      <c r="U886" s="74"/>
      <c r="V886" s="74"/>
      <c r="W886" s="74"/>
      <c r="X886" s="74"/>
      <c r="Y886" s="121"/>
      <c r="Z886" s="74"/>
      <c r="AA886" s="414"/>
      <c r="AB886" s="410"/>
    </row>
    <row r="887" spans="1:28" s="352" customFormat="1" ht="18" customHeight="1" x14ac:dyDescent="0.2">
      <c r="A887" s="75"/>
      <c r="B887" s="88"/>
      <c r="C887" s="88"/>
      <c r="D887" s="88"/>
      <c r="E887" s="88"/>
      <c r="F887" s="88"/>
      <c r="G887" s="88"/>
      <c r="H887" s="495"/>
      <c r="I887" s="74"/>
      <c r="J887" s="121"/>
      <c r="K887" s="159"/>
      <c r="L887" s="75"/>
      <c r="M887" s="88"/>
      <c r="N887" s="88"/>
      <c r="O887" s="75"/>
      <c r="P887" s="180"/>
      <c r="Q887" s="174"/>
      <c r="R887" s="413"/>
      <c r="S887" s="74"/>
      <c r="T887" s="88"/>
      <c r="U887" s="74"/>
      <c r="V887" s="74"/>
      <c r="W887" s="74"/>
      <c r="X887" s="74"/>
      <c r="Y887" s="121"/>
      <c r="Z887" s="74"/>
      <c r="AA887" s="414"/>
      <c r="AB887" s="416"/>
    </row>
    <row r="888" spans="1:28" s="352" customFormat="1" ht="18" customHeight="1" x14ac:dyDescent="0.2">
      <c r="A888" s="61"/>
      <c r="B888" s="2166"/>
      <c r="C888" s="2166"/>
      <c r="D888" s="2166"/>
      <c r="E888" s="2166"/>
      <c r="F888" s="2166"/>
      <c r="G888" s="2166"/>
      <c r="H888" s="407"/>
      <c r="I888" s="77"/>
      <c r="J888" s="2168"/>
      <c r="K888" s="78"/>
      <c r="L888" s="61"/>
      <c r="M888" s="2166"/>
      <c r="N888" s="2166"/>
      <c r="O888" s="61"/>
      <c r="P888" s="177"/>
      <c r="Q888" s="196"/>
      <c r="R888" s="408"/>
      <c r="S888" s="77"/>
      <c r="T888" s="2166"/>
      <c r="U888" s="77"/>
      <c r="V888" s="77"/>
      <c r="W888" s="77"/>
      <c r="X888" s="77"/>
      <c r="Y888" s="2168"/>
      <c r="Z888" s="77"/>
      <c r="AA888" s="2170"/>
      <c r="AB888" s="410"/>
    </row>
    <row r="889" spans="1:28" s="352" customFormat="1" ht="18" customHeight="1" x14ac:dyDescent="0.2">
      <c r="A889" s="2166"/>
      <c r="B889" s="177"/>
      <c r="C889" s="177"/>
      <c r="D889" s="2166"/>
      <c r="E889" s="2166"/>
      <c r="F889" s="2166"/>
      <c r="G889" s="2166"/>
      <c r="H889" s="2171"/>
      <c r="I889" s="2168"/>
      <c r="J889" s="178"/>
      <c r="K889" s="2168"/>
      <c r="L889" s="2166"/>
      <c r="M889" s="2166"/>
      <c r="N889" s="2166"/>
      <c r="O889" s="2166"/>
      <c r="P889" s="2171"/>
      <c r="Q889" s="2167"/>
      <c r="R889" s="437"/>
      <c r="S889" s="2168"/>
      <c r="T889" s="179"/>
      <c r="U889" s="178"/>
      <c r="V889" s="2168"/>
      <c r="W889" s="2168"/>
      <c r="X889" s="470"/>
      <c r="Y889" s="470"/>
      <c r="Z889" s="471"/>
      <c r="AA889" s="471"/>
      <c r="AB889" s="466"/>
    </row>
    <row r="890" spans="1:28" s="352" customFormat="1" ht="18" customHeight="1" x14ac:dyDescent="0.2">
      <c r="A890" s="2166"/>
      <c r="B890" s="177"/>
      <c r="C890" s="177"/>
      <c r="D890" s="2166"/>
      <c r="E890" s="2166"/>
      <c r="F890" s="2166"/>
      <c r="G890" s="2166"/>
      <c r="H890" s="2171"/>
      <c r="I890" s="2168"/>
      <c r="J890" s="178"/>
      <c r="K890" s="2168"/>
      <c r="L890" s="2166"/>
      <c r="M890" s="2166"/>
      <c r="N890" s="2166"/>
      <c r="O890" s="2166"/>
      <c r="P890" s="2171"/>
      <c r="Q890" s="2167"/>
      <c r="R890" s="437"/>
      <c r="S890" s="2168"/>
      <c r="T890" s="179"/>
      <c r="U890" s="178"/>
      <c r="V890" s="2168"/>
      <c r="W890" s="2168"/>
      <c r="X890" s="470"/>
      <c r="Y890" s="470"/>
      <c r="Z890" s="471"/>
      <c r="AA890" s="471"/>
      <c r="AB890" s="466"/>
    </row>
    <row r="891" spans="1:28" s="352" customFormat="1" ht="18" customHeight="1" x14ac:dyDescent="0.2">
      <c r="A891" s="2166"/>
      <c r="B891" s="177"/>
      <c r="C891" s="177"/>
      <c r="D891" s="2166"/>
      <c r="E891" s="2166"/>
      <c r="F891" s="2166"/>
      <c r="G891" s="2166"/>
      <c r="H891" s="2171"/>
      <c r="I891" s="2168"/>
      <c r="J891" s="178"/>
      <c r="K891" s="2168"/>
      <c r="L891" s="2166"/>
      <c r="M891" s="2166"/>
      <c r="N891" s="2166"/>
      <c r="O891" s="2166"/>
      <c r="P891" s="2171"/>
      <c r="Q891" s="2167"/>
      <c r="R891" s="437"/>
      <c r="S891" s="2168"/>
      <c r="T891" s="179"/>
      <c r="U891" s="178"/>
      <c r="V891" s="2168"/>
      <c r="W891" s="2168"/>
      <c r="X891" s="470"/>
      <c r="Y891" s="470"/>
      <c r="Z891" s="471"/>
      <c r="AA891" s="471"/>
      <c r="AB891" s="466"/>
    </row>
    <row r="892" spans="1:28" s="352" customFormat="1" ht="18" customHeight="1" x14ac:dyDescent="0.2">
      <c r="A892" s="2166"/>
      <c r="B892" s="177"/>
      <c r="C892" s="177"/>
      <c r="D892" s="2166"/>
      <c r="E892" s="2166"/>
      <c r="F892" s="2166"/>
      <c r="G892" s="2166"/>
      <c r="H892" s="2171"/>
      <c r="I892" s="2168"/>
      <c r="J892" s="178"/>
      <c r="K892" s="2168"/>
      <c r="L892" s="2166"/>
      <c r="M892" s="2166"/>
      <c r="N892" s="2166"/>
      <c r="O892" s="2166"/>
      <c r="P892" s="2171"/>
      <c r="Q892" s="2167"/>
      <c r="R892" s="437"/>
      <c r="S892" s="2168"/>
      <c r="T892" s="179"/>
      <c r="U892" s="178"/>
      <c r="V892" s="2168"/>
      <c r="W892" s="2168"/>
      <c r="X892" s="470"/>
      <c r="Y892" s="470"/>
      <c r="Z892" s="471"/>
      <c r="AA892" s="471"/>
      <c r="AB892" s="466"/>
    </row>
    <row r="893" spans="1:28" s="352" customFormat="1" ht="18" customHeight="1" x14ac:dyDescent="0.2">
      <c r="A893" s="2166"/>
      <c r="B893" s="177"/>
      <c r="C893" s="177"/>
      <c r="D893" s="2166"/>
      <c r="E893" s="2166"/>
      <c r="F893" s="2166"/>
      <c r="G893" s="2166"/>
      <c r="H893" s="2171"/>
      <c r="I893" s="2168"/>
      <c r="J893" s="178"/>
      <c r="K893" s="2168"/>
      <c r="L893" s="2166"/>
      <c r="M893" s="2166"/>
      <c r="N893" s="2166"/>
      <c r="O893" s="2166"/>
      <c r="P893" s="2171"/>
      <c r="Q893" s="2167"/>
      <c r="R893" s="437"/>
      <c r="S893" s="2168"/>
      <c r="T893" s="179"/>
      <c r="U893" s="178"/>
      <c r="V893" s="2168"/>
      <c r="W893" s="2168"/>
      <c r="X893" s="470"/>
      <c r="Y893" s="470"/>
      <c r="Z893" s="471"/>
      <c r="AA893" s="471"/>
      <c r="AB893" s="466"/>
    </row>
    <row r="894" spans="1:28" s="352" customFormat="1" ht="18" customHeight="1" x14ac:dyDescent="0.2">
      <c r="A894" s="2166"/>
      <c r="B894" s="177"/>
      <c r="C894" s="177"/>
      <c r="D894" s="2166"/>
      <c r="E894" s="2166"/>
      <c r="F894" s="2166"/>
      <c r="G894" s="2166"/>
      <c r="H894" s="2171"/>
      <c r="I894" s="2168"/>
      <c r="J894" s="178"/>
      <c r="K894" s="2168"/>
      <c r="L894" s="2166"/>
      <c r="M894" s="2166"/>
      <c r="N894" s="2166"/>
      <c r="O894" s="2166"/>
      <c r="P894" s="2171"/>
      <c r="Q894" s="2167"/>
      <c r="R894" s="437"/>
      <c r="S894" s="2168"/>
      <c r="T894" s="179"/>
      <c r="U894" s="178"/>
      <c r="V894" s="2168"/>
      <c r="W894" s="2168"/>
      <c r="X894" s="470"/>
      <c r="Y894" s="470"/>
      <c r="Z894" s="471"/>
      <c r="AA894" s="471"/>
      <c r="AB894" s="466"/>
    </row>
    <row r="895" spans="1:28" s="352" customFormat="1" ht="18" customHeight="1" x14ac:dyDescent="0.2">
      <c r="A895" s="2166"/>
      <c r="B895" s="177"/>
      <c r="C895" s="177"/>
      <c r="D895" s="2166"/>
      <c r="E895" s="2166"/>
      <c r="F895" s="2166"/>
      <c r="G895" s="2166"/>
      <c r="H895" s="2171"/>
      <c r="I895" s="2168"/>
      <c r="J895" s="178"/>
      <c r="K895" s="2168"/>
      <c r="L895" s="2166"/>
      <c r="M895" s="2166"/>
      <c r="N895" s="2166"/>
      <c r="O895" s="2166"/>
      <c r="P895" s="2171"/>
      <c r="Q895" s="2167"/>
      <c r="R895" s="437"/>
      <c r="S895" s="2168"/>
      <c r="T895" s="179"/>
      <c r="U895" s="178"/>
      <c r="V895" s="2168"/>
      <c r="W895" s="2168"/>
      <c r="X895" s="470"/>
      <c r="Y895" s="470"/>
      <c r="Z895" s="471"/>
      <c r="AA895" s="471"/>
      <c r="AB895" s="466"/>
    </row>
    <row r="896" spans="1:28" s="352" customFormat="1" ht="18" customHeight="1" x14ac:dyDescent="0.2">
      <c r="A896" s="88"/>
      <c r="B896" s="180"/>
      <c r="C896" s="180"/>
      <c r="D896" s="88"/>
      <c r="E896" s="88"/>
      <c r="F896" s="88"/>
      <c r="G896" s="88"/>
      <c r="H896" s="120"/>
      <c r="I896" s="121"/>
      <c r="J896" s="181"/>
      <c r="K896" s="121"/>
      <c r="L896" s="88"/>
      <c r="M896" s="88"/>
      <c r="N896" s="88"/>
      <c r="O896" s="88"/>
      <c r="P896" s="88"/>
      <c r="Q896" s="129"/>
      <c r="R896" s="445"/>
      <c r="S896" s="121"/>
      <c r="T896" s="182"/>
      <c r="U896" s="181"/>
      <c r="V896" s="121"/>
      <c r="W896" s="121"/>
      <c r="X896" s="472"/>
      <c r="Y896" s="472"/>
      <c r="Z896" s="473"/>
      <c r="AA896" s="473"/>
      <c r="AB896" s="410"/>
    </row>
    <row r="897" spans="1:28" s="352" customFormat="1" ht="18" customHeight="1" x14ac:dyDescent="0.2">
      <c r="A897" s="1850"/>
      <c r="B897" s="1850"/>
      <c r="C897" s="1850"/>
      <c r="D897" s="1850"/>
      <c r="E897" s="1850"/>
      <c r="F897" s="1850"/>
      <c r="G897" s="1850"/>
      <c r="H897" s="1851"/>
      <c r="I897" s="1852"/>
      <c r="J897" s="1853"/>
      <c r="K897" s="1852"/>
      <c r="L897" s="1852"/>
      <c r="M897" s="1852"/>
      <c r="N897" s="1852"/>
      <c r="O897" s="1852"/>
      <c r="P897" s="1852"/>
      <c r="Q897" s="1852"/>
      <c r="R897" s="1854"/>
      <c r="S897" s="1852"/>
      <c r="T897" s="1855"/>
      <c r="U897" s="1853"/>
      <c r="V897" s="1852"/>
      <c r="W897" s="1852"/>
      <c r="X897" s="1856"/>
      <c r="Y897" s="1856"/>
      <c r="Z897" s="1857"/>
      <c r="AA897" s="1857"/>
      <c r="AB897" s="1847">
        <f>SUM(AB883:AB896)</f>
        <v>6192</v>
      </c>
    </row>
    <row r="898" spans="1:28" s="352" customFormat="1" ht="18" customHeight="1" x14ac:dyDescent="0.2">
      <c r="A898" s="2778" t="s">
        <v>76</v>
      </c>
      <c r="B898" s="2778"/>
      <c r="C898" s="2779" t="s">
        <v>77</v>
      </c>
      <c r="D898" s="2779"/>
      <c r="E898" s="2779"/>
      <c r="F898" s="2779"/>
      <c r="G898" s="2779"/>
      <c r="H898" s="2779"/>
      <c r="I898" s="424" t="s">
        <v>78</v>
      </c>
      <c r="J898" s="424"/>
      <c r="K898" s="424"/>
      <c r="L898" s="424"/>
      <c r="M898" s="424"/>
      <c r="N898" s="424"/>
      <c r="AB898" s="425"/>
    </row>
    <row r="899" spans="1:28" s="352" customFormat="1" ht="18" customHeight="1" x14ac:dyDescent="0.2">
      <c r="A899" s="424"/>
      <c r="B899" s="426"/>
      <c r="C899" s="424"/>
      <c r="D899" s="424"/>
      <c r="E899" s="424"/>
      <c r="F899" s="424"/>
      <c r="G899" s="424"/>
      <c r="H899" s="424"/>
      <c r="I899" s="424" t="s">
        <v>79</v>
      </c>
      <c r="J899" s="424"/>
      <c r="K899" s="424"/>
      <c r="L899" s="424"/>
      <c r="M899" s="424"/>
      <c r="N899" s="424"/>
      <c r="AB899" s="425"/>
    </row>
    <row r="900" spans="1:28" s="352" customFormat="1" ht="18" customHeight="1" x14ac:dyDescent="0.2">
      <c r="A900" s="424"/>
      <c r="B900" s="426"/>
      <c r="C900" s="424"/>
      <c r="D900" s="424"/>
      <c r="E900" s="424"/>
      <c r="F900" s="424"/>
      <c r="G900" s="424"/>
      <c r="H900" s="424"/>
      <c r="I900" s="424" t="s">
        <v>80</v>
      </c>
      <c r="J900" s="424"/>
      <c r="K900" s="424"/>
      <c r="L900" s="424"/>
      <c r="M900" s="424"/>
      <c r="N900" s="424"/>
      <c r="AB900" s="425"/>
    </row>
    <row r="901" spans="1:28" s="352" customFormat="1" ht="18" customHeight="1" x14ac:dyDescent="0.2">
      <c r="A901" s="424"/>
      <c r="B901" s="426"/>
      <c r="C901" s="424"/>
      <c r="D901" s="424"/>
      <c r="E901" s="424"/>
      <c r="F901" s="424"/>
      <c r="G901" s="424"/>
      <c r="H901" s="424"/>
      <c r="I901" s="424" t="s">
        <v>81</v>
      </c>
      <c r="J901" s="424"/>
      <c r="K901" s="424"/>
      <c r="L901" s="424"/>
      <c r="M901" s="424"/>
      <c r="N901" s="424"/>
      <c r="AB901" s="425"/>
    </row>
    <row r="902" spans="1:28" s="352" customFormat="1" ht="18" customHeight="1" x14ac:dyDescent="0.2">
      <c r="A902" s="424"/>
      <c r="B902" s="426"/>
      <c r="C902" s="424"/>
      <c r="D902" s="424"/>
      <c r="E902" s="424"/>
      <c r="F902" s="424"/>
      <c r="G902" s="424"/>
      <c r="H902" s="424"/>
      <c r="I902" s="424" t="s">
        <v>88</v>
      </c>
      <c r="J902" s="424"/>
      <c r="K902" s="424"/>
      <c r="L902" s="424"/>
      <c r="M902" s="424"/>
      <c r="N902" s="424"/>
      <c r="AB902" s="425"/>
    </row>
    <row r="903" spans="1:28" s="352" customFormat="1" ht="18" customHeight="1" x14ac:dyDescent="0.2">
      <c r="A903" s="338"/>
      <c r="B903" s="338"/>
      <c r="C903" s="338"/>
      <c r="D903" s="338"/>
      <c r="E903" s="338"/>
      <c r="F903" s="338"/>
      <c r="G903" s="338"/>
      <c r="H903" s="338"/>
      <c r="I903" s="338"/>
      <c r="J903" s="338"/>
      <c r="K903" s="338"/>
      <c r="L903" s="338"/>
      <c r="M903" s="338"/>
      <c r="N903" s="338"/>
      <c r="O903" s="338"/>
      <c r="P903" s="338"/>
      <c r="Q903" s="338"/>
      <c r="R903" s="338"/>
      <c r="S903" s="338"/>
      <c r="T903" s="338"/>
      <c r="U903" s="338"/>
      <c r="V903" s="338"/>
      <c r="W903" s="338"/>
      <c r="X903" s="338"/>
      <c r="Y903" s="338"/>
      <c r="Z903" s="338"/>
      <c r="AA903" s="2774" t="s">
        <v>0</v>
      </c>
      <c r="AB903" s="2774"/>
    </row>
    <row r="904" spans="1:28" s="352" customFormat="1" ht="18" customHeight="1" x14ac:dyDescent="0.2">
      <c r="A904" s="2703" t="s">
        <v>1</v>
      </c>
      <c r="B904" s="2703"/>
      <c r="C904" s="2703"/>
      <c r="D904" s="2703"/>
      <c r="E904" s="2703"/>
      <c r="F904" s="2703"/>
      <c r="G904" s="2703"/>
      <c r="H904" s="2703"/>
      <c r="I904" s="2703"/>
      <c r="J904" s="2703"/>
      <c r="K904" s="2703"/>
      <c r="L904" s="2703"/>
      <c r="M904" s="2703"/>
      <c r="N904" s="2703"/>
      <c r="O904" s="2703"/>
      <c r="P904" s="2703"/>
      <c r="Q904" s="2703"/>
      <c r="R904" s="2703"/>
      <c r="S904" s="2703"/>
      <c r="T904" s="2703"/>
      <c r="U904" s="2703"/>
      <c r="V904" s="2703"/>
      <c r="W904" s="2703"/>
      <c r="X904" s="2703"/>
      <c r="Y904" s="2703"/>
      <c r="Z904" s="2703"/>
      <c r="AA904" s="2703"/>
      <c r="AB904" s="2703"/>
    </row>
    <row r="905" spans="1:28" s="352" customFormat="1" ht="18" customHeight="1" x14ac:dyDescent="0.2">
      <c r="A905" s="2780" t="s">
        <v>629</v>
      </c>
      <c r="B905" s="2780"/>
      <c r="C905" s="2780"/>
      <c r="D905" s="2780"/>
      <c r="E905" s="2780"/>
      <c r="F905" s="2780"/>
      <c r="G905" s="2780"/>
      <c r="H905" s="2780"/>
      <c r="I905" s="2780"/>
      <c r="J905" s="2780"/>
      <c r="K905" s="2780"/>
      <c r="L905" s="2780"/>
      <c r="M905" s="2780"/>
      <c r="N905" s="2780"/>
      <c r="O905" s="2780"/>
      <c r="P905" s="2780"/>
      <c r="Q905" s="2780"/>
      <c r="R905" s="2780"/>
      <c r="S905" s="2780"/>
      <c r="T905" s="2780"/>
      <c r="U905" s="2780"/>
      <c r="V905" s="2780"/>
      <c r="W905" s="2780"/>
      <c r="X905" s="2780"/>
      <c r="Y905" s="2780"/>
      <c r="Z905" s="2780"/>
      <c r="AA905" s="2780"/>
      <c r="AB905" s="2780"/>
    </row>
    <row r="906" spans="1:28" s="352" customFormat="1" ht="18" customHeight="1" x14ac:dyDescent="0.2">
      <c r="A906" s="2686" t="s">
        <v>2</v>
      </c>
      <c r="B906" s="360"/>
      <c r="C906" s="2686" t="s">
        <v>3</v>
      </c>
      <c r="D906" s="360"/>
      <c r="E906" s="360"/>
      <c r="F906" s="2693" t="s">
        <v>4</v>
      </c>
      <c r="G906" s="2693"/>
      <c r="H906" s="2693"/>
      <c r="I906" s="2694"/>
      <c r="J906" s="2694"/>
      <c r="K906" s="2695"/>
      <c r="L906" s="361"/>
      <c r="M906" s="2679" t="s">
        <v>5</v>
      </c>
      <c r="N906" s="2679"/>
      <c r="O906" s="2679"/>
      <c r="P906" s="2679"/>
      <c r="Q906" s="2696"/>
      <c r="R906" s="2696"/>
      <c r="S906" s="2696"/>
      <c r="T906" s="2696"/>
      <c r="U906" s="2696"/>
      <c r="V906" s="2697"/>
      <c r="W906" s="362" t="s">
        <v>6</v>
      </c>
      <c r="X906" s="363" t="s">
        <v>7</v>
      </c>
      <c r="Y906" s="364"/>
      <c r="Z906" s="364"/>
      <c r="AA906" s="363"/>
      <c r="AB906" s="365"/>
    </row>
    <row r="907" spans="1:28" s="352" customFormat="1" ht="18" customHeight="1" x14ac:dyDescent="0.2">
      <c r="A907" s="2687"/>
      <c r="B907" s="367"/>
      <c r="C907" s="2687"/>
      <c r="D907" s="2158" t="s">
        <v>9</v>
      </c>
      <c r="E907" s="368" t="s">
        <v>10</v>
      </c>
      <c r="F907" s="2698" t="s">
        <v>11</v>
      </c>
      <c r="G907" s="2694"/>
      <c r="H907" s="2695"/>
      <c r="I907" s="360"/>
      <c r="J907" s="369" t="s">
        <v>12</v>
      </c>
      <c r="K907" s="360"/>
      <c r="L907" s="2679" t="s">
        <v>2</v>
      </c>
      <c r="M907" s="2162"/>
      <c r="N907" s="2162"/>
      <c r="O907" s="2162"/>
      <c r="P907" s="371"/>
      <c r="Q907" s="372" t="s">
        <v>13</v>
      </c>
      <c r="R907" s="373" t="s">
        <v>12</v>
      </c>
      <c r="S907" s="2162" t="s">
        <v>6</v>
      </c>
      <c r="T907" s="2682" t="s">
        <v>14</v>
      </c>
      <c r="U907" s="2683"/>
      <c r="V907" s="375" t="s">
        <v>7</v>
      </c>
      <c r="W907" s="376" t="s">
        <v>15</v>
      </c>
      <c r="X907" s="377" t="s">
        <v>16</v>
      </c>
      <c r="Y907" s="377" t="s">
        <v>17</v>
      </c>
      <c r="Z907" s="377" t="s">
        <v>18</v>
      </c>
      <c r="AA907" s="377"/>
      <c r="AB907" s="378" t="s">
        <v>19</v>
      </c>
    </row>
    <row r="908" spans="1:28" s="352" customFormat="1" ht="18" customHeight="1" x14ac:dyDescent="0.2">
      <c r="A908" s="2687"/>
      <c r="B908" s="2158" t="s">
        <v>23</v>
      </c>
      <c r="C908" s="2687"/>
      <c r="D908" s="2158" t="s">
        <v>24</v>
      </c>
      <c r="E908" s="368" t="s">
        <v>25</v>
      </c>
      <c r="F908" s="2699"/>
      <c r="G908" s="2700"/>
      <c r="H908" s="2701"/>
      <c r="I908" s="2158" t="s">
        <v>26</v>
      </c>
      <c r="J908" s="379" t="s">
        <v>15</v>
      </c>
      <c r="K908" s="2159" t="s">
        <v>6</v>
      </c>
      <c r="L908" s="2680"/>
      <c r="M908" s="2163" t="s">
        <v>27</v>
      </c>
      <c r="N908" s="2163" t="s">
        <v>10</v>
      </c>
      <c r="O908" s="382" t="s">
        <v>10</v>
      </c>
      <c r="P908" s="383" t="s">
        <v>28</v>
      </c>
      <c r="Q908" s="384" t="s">
        <v>29</v>
      </c>
      <c r="R908" s="383" t="s">
        <v>15</v>
      </c>
      <c r="S908" s="385" t="s">
        <v>15</v>
      </c>
      <c r="T908" s="2684"/>
      <c r="U908" s="2685"/>
      <c r="V908" s="375" t="s">
        <v>30</v>
      </c>
      <c r="W908" s="376" t="s">
        <v>31</v>
      </c>
      <c r="X908" s="377" t="s">
        <v>30</v>
      </c>
      <c r="Y908" s="377" t="s">
        <v>32</v>
      </c>
      <c r="Z908" s="377" t="s">
        <v>7</v>
      </c>
      <c r="AA908" s="377" t="s">
        <v>33</v>
      </c>
      <c r="AB908" s="378" t="s">
        <v>34</v>
      </c>
    </row>
    <row r="909" spans="1:28" s="352" customFormat="1" ht="18" customHeight="1" x14ac:dyDescent="0.2">
      <c r="A909" s="2687"/>
      <c r="B909" s="2158" t="s">
        <v>39</v>
      </c>
      <c r="C909" s="2687"/>
      <c r="D909" s="2158" t="s">
        <v>40</v>
      </c>
      <c r="E909" s="368" t="s">
        <v>41</v>
      </c>
      <c r="F909" s="2686" t="s">
        <v>42</v>
      </c>
      <c r="G909" s="2686" t="s">
        <v>43</v>
      </c>
      <c r="H909" s="2688" t="s">
        <v>44</v>
      </c>
      <c r="I909" s="2158" t="s">
        <v>45</v>
      </c>
      <c r="J909" s="379" t="s">
        <v>46</v>
      </c>
      <c r="K909" s="2159" t="s">
        <v>47</v>
      </c>
      <c r="L909" s="2680"/>
      <c r="M909" s="2163" t="s">
        <v>30</v>
      </c>
      <c r="N909" s="2163" t="s">
        <v>30</v>
      </c>
      <c r="O909" s="382" t="s">
        <v>25</v>
      </c>
      <c r="P909" s="383" t="s">
        <v>30</v>
      </c>
      <c r="Q909" s="384" t="s">
        <v>48</v>
      </c>
      <c r="R909" s="383" t="s">
        <v>49</v>
      </c>
      <c r="S909" s="385" t="s">
        <v>30</v>
      </c>
      <c r="T909" s="386" t="s">
        <v>50</v>
      </c>
      <c r="U909" s="2161" t="s">
        <v>13</v>
      </c>
      <c r="V909" s="375" t="s">
        <v>51</v>
      </c>
      <c r="W909" s="376" t="s">
        <v>52</v>
      </c>
      <c r="X909" s="377" t="s">
        <v>53</v>
      </c>
      <c r="Y909" s="377" t="s">
        <v>54</v>
      </c>
      <c r="Z909" s="377" t="s">
        <v>55</v>
      </c>
      <c r="AA909" s="377" t="s">
        <v>56</v>
      </c>
      <c r="AB909" s="378" t="s">
        <v>57</v>
      </c>
    </row>
    <row r="910" spans="1:28" s="352" customFormat="1" ht="18" customHeight="1" x14ac:dyDescent="0.2">
      <c r="A910" s="2687"/>
      <c r="B910" s="2158" t="s">
        <v>61</v>
      </c>
      <c r="C910" s="2687"/>
      <c r="D910" s="2158" t="s">
        <v>62</v>
      </c>
      <c r="E910" s="368" t="s">
        <v>63</v>
      </c>
      <c r="F910" s="2687"/>
      <c r="G910" s="2687"/>
      <c r="H910" s="2689"/>
      <c r="I910" s="2158" t="s">
        <v>64</v>
      </c>
      <c r="J910" s="379" t="s">
        <v>59</v>
      </c>
      <c r="K910" s="2159" t="s">
        <v>59</v>
      </c>
      <c r="L910" s="2680"/>
      <c r="M910" s="2163"/>
      <c r="N910" s="2163"/>
      <c r="O910" s="382" t="s">
        <v>41</v>
      </c>
      <c r="P910" s="383" t="s">
        <v>65</v>
      </c>
      <c r="Q910" s="384" t="s">
        <v>66</v>
      </c>
      <c r="R910" s="383" t="s">
        <v>67</v>
      </c>
      <c r="S910" s="385" t="s">
        <v>59</v>
      </c>
      <c r="T910" s="387" t="s">
        <v>68</v>
      </c>
      <c r="U910" s="375" t="s">
        <v>14</v>
      </c>
      <c r="V910" s="375" t="s">
        <v>14</v>
      </c>
      <c r="W910" s="376" t="s">
        <v>30</v>
      </c>
      <c r="X910" s="388" t="s">
        <v>69</v>
      </c>
      <c r="Y910" s="388" t="s">
        <v>70</v>
      </c>
      <c r="Z910" s="377" t="s">
        <v>71</v>
      </c>
      <c r="AA910" s="377" t="s">
        <v>72</v>
      </c>
      <c r="AB910" s="378" t="s">
        <v>59</v>
      </c>
    </row>
    <row r="911" spans="1:28" s="352" customFormat="1" ht="18" customHeight="1" x14ac:dyDescent="0.2">
      <c r="A911" s="2692"/>
      <c r="B911" s="390"/>
      <c r="C911" s="2692"/>
      <c r="D911" s="390"/>
      <c r="E911" s="2160"/>
      <c r="F911" s="390"/>
      <c r="G911" s="390"/>
      <c r="H911" s="391"/>
      <c r="I911" s="2160"/>
      <c r="J911" s="392"/>
      <c r="K911" s="393"/>
      <c r="L911" s="2681"/>
      <c r="M911" s="2164"/>
      <c r="N911" s="2164"/>
      <c r="O911" s="2164" t="s">
        <v>63</v>
      </c>
      <c r="P911" s="395"/>
      <c r="Q911" s="396" t="s">
        <v>72</v>
      </c>
      <c r="R911" s="397" t="s">
        <v>59</v>
      </c>
      <c r="S911" s="398"/>
      <c r="T911" s="397" t="s">
        <v>73</v>
      </c>
      <c r="U911" s="398" t="s">
        <v>59</v>
      </c>
      <c r="V911" s="399" t="s">
        <v>59</v>
      </c>
      <c r="W911" s="400" t="s">
        <v>59</v>
      </c>
      <c r="X911" s="401" t="s">
        <v>59</v>
      </c>
      <c r="Y911" s="401" t="s">
        <v>59</v>
      </c>
      <c r="Z911" s="401" t="s">
        <v>59</v>
      </c>
      <c r="AA911" s="402"/>
      <c r="AB911" s="403"/>
    </row>
    <row r="912" spans="1:28" s="352" customFormat="1" ht="18" customHeight="1" x14ac:dyDescent="0.2">
      <c r="A912" s="53">
        <v>1</v>
      </c>
      <c r="B912" s="95">
        <v>23186</v>
      </c>
      <c r="C912" s="82">
        <v>660</v>
      </c>
      <c r="D912" s="82" t="s">
        <v>107</v>
      </c>
      <c r="E912" s="82">
        <v>4</v>
      </c>
      <c r="F912" s="82">
        <v>0</v>
      </c>
      <c r="G912" s="82">
        <v>1</v>
      </c>
      <c r="H912" s="463">
        <v>0</v>
      </c>
      <c r="I912" s="70">
        <f>F912*400+G912*100+H912</f>
        <v>100</v>
      </c>
      <c r="J912" s="123">
        <v>3000</v>
      </c>
      <c r="K912" s="124">
        <f>SUM(I912*J912)</f>
        <v>300000</v>
      </c>
      <c r="L912" s="53"/>
      <c r="M912" s="82"/>
      <c r="N912" s="82"/>
      <c r="O912" s="53"/>
      <c r="P912" s="358"/>
      <c r="Q912" s="197"/>
      <c r="R912" s="444"/>
      <c r="S912" s="70"/>
      <c r="T912" s="82"/>
      <c r="U912" s="70"/>
      <c r="V912" s="70"/>
      <c r="W912" s="70">
        <f>K912+V912</f>
        <v>300000</v>
      </c>
      <c r="X912" s="70">
        <f>W912</f>
        <v>300000</v>
      </c>
      <c r="Y912" s="123"/>
      <c r="Z912" s="70">
        <f>+X912</f>
        <v>300000</v>
      </c>
      <c r="AA912" s="464">
        <v>0.3</v>
      </c>
      <c r="AB912" s="465">
        <f>+Z912*AA912/100</f>
        <v>900</v>
      </c>
    </row>
    <row r="913" spans="1:28" s="352" customFormat="1" ht="18" customHeight="1" x14ac:dyDescent="0.2">
      <c r="A913" s="75">
        <v>2</v>
      </c>
      <c r="B913" s="85">
        <v>23187</v>
      </c>
      <c r="C913" s="88">
        <v>661</v>
      </c>
      <c r="D913" s="88" t="s">
        <v>107</v>
      </c>
      <c r="E913" s="88">
        <v>4</v>
      </c>
      <c r="F913" s="88">
        <v>0</v>
      </c>
      <c r="G913" s="88">
        <v>1</v>
      </c>
      <c r="H913" s="495">
        <v>0</v>
      </c>
      <c r="I913" s="74">
        <f>F913*400+G913*100+H913</f>
        <v>100</v>
      </c>
      <c r="J913" s="121">
        <v>3000</v>
      </c>
      <c r="K913" s="159">
        <f>SUM(I913*J913)</f>
        <v>300000</v>
      </c>
      <c r="L913" s="75"/>
      <c r="M913" s="88"/>
      <c r="N913" s="88"/>
      <c r="O913" s="75"/>
      <c r="P913" s="180"/>
      <c r="Q913" s="174"/>
      <c r="R913" s="413"/>
      <c r="S913" s="74"/>
      <c r="T913" s="88"/>
      <c r="U913" s="74"/>
      <c r="V913" s="74"/>
      <c r="W913" s="74">
        <f>K913+V913</f>
        <v>300000</v>
      </c>
      <c r="X913" s="74">
        <f>W913</f>
        <v>300000</v>
      </c>
      <c r="Y913" s="121"/>
      <c r="Z913" s="74">
        <f>+X913</f>
        <v>300000</v>
      </c>
      <c r="AA913" s="414">
        <v>0.3</v>
      </c>
      <c r="AB913" s="416">
        <f>+Z913*AA913/100</f>
        <v>900</v>
      </c>
    </row>
    <row r="914" spans="1:28" s="352" customFormat="1" ht="18" customHeight="1" x14ac:dyDescent="0.2">
      <c r="A914" s="61"/>
      <c r="B914" s="2166"/>
      <c r="C914" s="2166"/>
      <c r="D914" s="2166"/>
      <c r="E914" s="2166"/>
      <c r="F914" s="2166"/>
      <c r="G914" s="2166"/>
      <c r="H914" s="407"/>
      <c r="I914" s="77"/>
      <c r="J914" s="2168"/>
      <c r="K914" s="78"/>
      <c r="L914" s="61"/>
      <c r="M914" s="2166"/>
      <c r="N914" s="2166"/>
      <c r="O914" s="61"/>
      <c r="P914" s="177"/>
      <c r="Q914" s="196"/>
      <c r="R914" s="408"/>
      <c r="S914" s="77"/>
      <c r="T914" s="2166"/>
      <c r="U914" s="77"/>
      <c r="V914" s="77"/>
      <c r="W914" s="77"/>
      <c r="X914" s="77"/>
      <c r="Y914" s="2168"/>
      <c r="Z914" s="77"/>
      <c r="AA914" s="2170"/>
      <c r="AB914" s="410"/>
    </row>
    <row r="915" spans="1:28" s="352" customFormat="1" ht="18" customHeight="1" x14ac:dyDescent="0.2">
      <c r="A915" s="75"/>
      <c r="B915" s="88"/>
      <c r="C915" s="88"/>
      <c r="D915" s="88"/>
      <c r="E915" s="88"/>
      <c r="F915" s="88"/>
      <c r="G915" s="88"/>
      <c r="H915" s="495"/>
      <c r="I915" s="74"/>
      <c r="J915" s="121"/>
      <c r="K915" s="159"/>
      <c r="L915" s="75"/>
      <c r="M915" s="88"/>
      <c r="N915" s="88"/>
      <c r="O915" s="75"/>
      <c r="P915" s="180"/>
      <c r="Q915" s="174"/>
      <c r="R915" s="413"/>
      <c r="S915" s="74"/>
      <c r="T915" s="88"/>
      <c r="U915" s="74"/>
      <c r="V915" s="74"/>
      <c r="W915" s="74"/>
      <c r="X915" s="74"/>
      <c r="Y915" s="121"/>
      <c r="Z915" s="74"/>
      <c r="AA915" s="414"/>
      <c r="AB915" s="410"/>
    </row>
    <row r="916" spans="1:28" s="352" customFormat="1" ht="18" customHeight="1" x14ac:dyDescent="0.2">
      <c r="A916" s="75"/>
      <c r="B916" s="88"/>
      <c r="C916" s="88"/>
      <c r="D916" s="88"/>
      <c r="E916" s="88"/>
      <c r="F916" s="88"/>
      <c r="G916" s="88"/>
      <c r="H916" s="495"/>
      <c r="I916" s="74"/>
      <c r="J916" s="121"/>
      <c r="K916" s="159"/>
      <c r="L916" s="75"/>
      <c r="M916" s="88"/>
      <c r="N916" s="88"/>
      <c r="O916" s="75"/>
      <c r="P916" s="180"/>
      <c r="Q916" s="174"/>
      <c r="R916" s="413"/>
      <c r="S916" s="74"/>
      <c r="T916" s="88"/>
      <c r="U916" s="74"/>
      <c r="V916" s="74"/>
      <c r="W916" s="74"/>
      <c r="X916" s="74"/>
      <c r="Y916" s="121"/>
      <c r="Z916" s="74"/>
      <c r="AA916" s="414"/>
      <c r="AB916" s="416"/>
    </row>
    <row r="917" spans="1:28" s="352" customFormat="1" ht="18" customHeight="1" x14ac:dyDescent="0.2">
      <c r="A917" s="61"/>
      <c r="B917" s="2166"/>
      <c r="C917" s="2166"/>
      <c r="D917" s="2166"/>
      <c r="E917" s="2166"/>
      <c r="F917" s="2166"/>
      <c r="G917" s="2166"/>
      <c r="H917" s="407"/>
      <c r="I917" s="77"/>
      <c r="J917" s="2168"/>
      <c r="K917" s="78"/>
      <c r="L917" s="61"/>
      <c r="M917" s="2166"/>
      <c r="N917" s="2166"/>
      <c r="O917" s="61"/>
      <c r="P917" s="177"/>
      <c r="Q917" s="196"/>
      <c r="R917" s="408"/>
      <c r="S917" s="77"/>
      <c r="T917" s="2166"/>
      <c r="U917" s="77"/>
      <c r="V917" s="77"/>
      <c r="W917" s="77"/>
      <c r="X917" s="77"/>
      <c r="Y917" s="2168"/>
      <c r="Z917" s="77"/>
      <c r="AA917" s="2170"/>
      <c r="AB917" s="410"/>
    </row>
    <row r="918" spans="1:28" s="352" customFormat="1" ht="18" customHeight="1" x14ac:dyDescent="0.2">
      <c r="A918" s="2166"/>
      <c r="B918" s="177"/>
      <c r="C918" s="177"/>
      <c r="D918" s="2166"/>
      <c r="E918" s="2166"/>
      <c r="F918" s="2166"/>
      <c r="G918" s="2166"/>
      <c r="H918" s="2171"/>
      <c r="I918" s="2168"/>
      <c r="J918" s="178"/>
      <c r="K918" s="2168"/>
      <c r="L918" s="2166"/>
      <c r="M918" s="2166"/>
      <c r="N918" s="2166"/>
      <c r="O918" s="2166"/>
      <c r="P918" s="2171"/>
      <c r="Q918" s="2167"/>
      <c r="R918" s="437"/>
      <c r="S918" s="2168"/>
      <c r="T918" s="179"/>
      <c r="U918" s="178"/>
      <c r="V918" s="2168"/>
      <c r="W918" s="2168"/>
      <c r="X918" s="470"/>
      <c r="Y918" s="470"/>
      <c r="Z918" s="471"/>
      <c r="AA918" s="471"/>
      <c r="AB918" s="466"/>
    </row>
    <row r="919" spans="1:28" s="352" customFormat="1" ht="18" customHeight="1" x14ac:dyDescent="0.2">
      <c r="A919" s="2166"/>
      <c r="B919" s="177"/>
      <c r="C919" s="177"/>
      <c r="D919" s="2166"/>
      <c r="E919" s="2166"/>
      <c r="F919" s="2166"/>
      <c r="G919" s="2166"/>
      <c r="H919" s="2171"/>
      <c r="I919" s="2168"/>
      <c r="J919" s="178"/>
      <c r="K919" s="2168"/>
      <c r="L919" s="2166"/>
      <c r="M919" s="2166"/>
      <c r="N919" s="2166"/>
      <c r="O919" s="2166"/>
      <c r="P919" s="2171"/>
      <c r="Q919" s="2167"/>
      <c r="R919" s="437"/>
      <c r="S919" s="2168"/>
      <c r="T919" s="179"/>
      <c r="U919" s="178"/>
      <c r="V919" s="2168"/>
      <c r="W919" s="2168"/>
      <c r="X919" s="470"/>
      <c r="Y919" s="470"/>
      <c r="Z919" s="471"/>
      <c r="AA919" s="471"/>
      <c r="AB919" s="466"/>
    </row>
    <row r="920" spans="1:28" s="352" customFormat="1" ht="18" customHeight="1" x14ac:dyDescent="0.2">
      <c r="A920" s="2166"/>
      <c r="B920" s="177"/>
      <c r="C920" s="177"/>
      <c r="D920" s="2166"/>
      <c r="E920" s="2166"/>
      <c r="F920" s="2166"/>
      <c r="G920" s="2166"/>
      <c r="H920" s="2171"/>
      <c r="I920" s="2168"/>
      <c r="J920" s="178"/>
      <c r="K920" s="2168"/>
      <c r="L920" s="2166"/>
      <c r="M920" s="2166"/>
      <c r="N920" s="2166"/>
      <c r="O920" s="2166"/>
      <c r="P920" s="2171"/>
      <c r="Q920" s="2167"/>
      <c r="R920" s="437"/>
      <c r="S920" s="2168"/>
      <c r="T920" s="179"/>
      <c r="U920" s="178"/>
      <c r="V920" s="2168"/>
      <c r="W920" s="2168"/>
      <c r="X920" s="470"/>
      <c r="Y920" s="470"/>
      <c r="Z920" s="471"/>
      <c r="AA920" s="471"/>
      <c r="AB920" s="466"/>
    </row>
    <row r="921" spans="1:28" s="352" customFormat="1" ht="18" customHeight="1" x14ac:dyDescent="0.2">
      <c r="A921" s="2166"/>
      <c r="B921" s="177"/>
      <c r="C921" s="177"/>
      <c r="D921" s="2166"/>
      <c r="E921" s="2166"/>
      <c r="F921" s="2166"/>
      <c r="G921" s="2166"/>
      <c r="H921" s="2171"/>
      <c r="I921" s="2168"/>
      <c r="J921" s="178"/>
      <c r="K921" s="2168"/>
      <c r="L921" s="2166"/>
      <c r="M921" s="2166"/>
      <c r="N921" s="2166"/>
      <c r="O921" s="2166"/>
      <c r="P921" s="2171"/>
      <c r="Q921" s="2167"/>
      <c r="R921" s="437"/>
      <c r="S921" s="2168"/>
      <c r="T921" s="179"/>
      <c r="U921" s="178"/>
      <c r="V921" s="2168"/>
      <c r="W921" s="2168"/>
      <c r="X921" s="470"/>
      <c r="Y921" s="470"/>
      <c r="Z921" s="471"/>
      <c r="AA921" s="471"/>
      <c r="AB921" s="466"/>
    </row>
    <row r="922" spans="1:28" s="352" customFormat="1" ht="18" customHeight="1" x14ac:dyDescent="0.2">
      <c r="A922" s="2166"/>
      <c r="B922" s="177"/>
      <c r="C922" s="177"/>
      <c r="D922" s="2166"/>
      <c r="E922" s="2166"/>
      <c r="F922" s="2166"/>
      <c r="G922" s="2166"/>
      <c r="H922" s="2171"/>
      <c r="I922" s="2168"/>
      <c r="J922" s="178"/>
      <c r="K922" s="2168"/>
      <c r="L922" s="2166"/>
      <c r="M922" s="2166"/>
      <c r="N922" s="2166"/>
      <c r="O922" s="2166"/>
      <c r="P922" s="2171"/>
      <c r="Q922" s="2167"/>
      <c r="R922" s="437"/>
      <c r="S922" s="2168"/>
      <c r="T922" s="179"/>
      <c r="U922" s="178"/>
      <c r="V922" s="2168"/>
      <c r="W922" s="2168"/>
      <c r="X922" s="470"/>
      <c r="Y922" s="470"/>
      <c r="Z922" s="471"/>
      <c r="AA922" s="471"/>
      <c r="AB922" s="466"/>
    </row>
    <row r="923" spans="1:28" s="352" customFormat="1" ht="18" customHeight="1" x14ac:dyDescent="0.2">
      <c r="A923" s="2166"/>
      <c r="B923" s="177"/>
      <c r="C923" s="177"/>
      <c r="D923" s="2166"/>
      <c r="E923" s="2166"/>
      <c r="F923" s="2166"/>
      <c r="G923" s="2166"/>
      <c r="H923" s="2171"/>
      <c r="I923" s="2168"/>
      <c r="J923" s="178"/>
      <c r="K923" s="2168"/>
      <c r="L923" s="2166"/>
      <c r="M923" s="2166"/>
      <c r="N923" s="2166"/>
      <c r="O923" s="2166"/>
      <c r="P923" s="2171"/>
      <c r="Q923" s="2167"/>
      <c r="R923" s="437"/>
      <c r="S923" s="2168"/>
      <c r="T923" s="179"/>
      <c r="U923" s="178"/>
      <c r="V923" s="2168"/>
      <c r="W923" s="2168"/>
      <c r="X923" s="470"/>
      <c r="Y923" s="470"/>
      <c r="Z923" s="471"/>
      <c r="AA923" s="471"/>
      <c r="AB923" s="466"/>
    </row>
    <row r="924" spans="1:28" s="352" customFormat="1" ht="18" customHeight="1" x14ac:dyDescent="0.2">
      <c r="A924" s="2166"/>
      <c r="B924" s="177"/>
      <c r="C924" s="177"/>
      <c r="D924" s="2166"/>
      <c r="E924" s="2166"/>
      <c r="F924" s="2166"/>
      <c r="G924" s="2166"/>
      <c r="H924" s="2171"/>
      <c r="I924" s="2168"/>
      <c r="J924" s="178"/>
      <c r="K924" s="2168"/>
      <c r="L924" s="2166"/>
      <c r="M924" s="2166"/>
      <c r="N924" s="2166"/>
      <c r="O924" s="2166"/>
      <c r="P924" s="2171"/>
      <c r="Q924" s="2167"/>
      <c r="R924" s="437"/>
      <c r="S924" s="2168"/>
      <c r="T924" s="179"/>
      <c r="U924" s="178"/>
      <c r="V924" s="2168"/>
      <c r="W924" s="2168"/>
      <c r="X924" s="470"/>
      <c r="Y924" s="470"/>
      <c r="Z924" s="471"/>
      <c r="AA924" s="471"/>
      <c r="AB924" s="466"/>
    </row>
    <row r="925" spans="1:28" s="352" customFormat="1" ht="18" customHeight="1" x14ac:dyDescent="0.2">
      <c r="A925" s="88"/>
      <c r="B925" s="180"/>
      <c r="C925" s="180"/>
      <c r="D925" s="88"/>
      <c r="E925" s="88"/>
      <c r="F925" s="88"/>
      <c r="G925" s="88"/>
      <c r="H925" s="120"/>
      <c r="I925" s="121"/>
      <c r="J925" s="181"/>
      <c r="K925" s="121"/>
      <c r="L925" s="88"/>
      <c r="M925" s="88"/>
      <c r="N925" s="88"/>
      <c r="O925" s="88"/>
      <c r="P925" s="88"/>
      <c r="Q925" s="129"/>
      <c r="R925" s="445"/>
      <c r="S925" s="121"/>
      <c r="T925" s="182"/>
      <c r="U925" s="181"/>
      <c r="V925" s="121"/>
      <c r="W925" s="121"/>
      <c r="X925" s="472"/>
      <c r="Y925" s="472"/>
      <c r="Z925" s="473"/>
      <c r="AA925" s="473"/>
      <c r="AB925" s="410"/>
    </row>
    <row r="926" spans="1:28" s="352" customFormat="1" ht="18" customHeight="1" x14ac:dyDescent="0.2">
      <c r="A926" s="1850"/>
      <c r="B926" s="1850"/>
      <c r="C926" s="1850"/>
      <c r="D926" s="1850"/>
      <c r="E926" s="1850"/>
      <c r="F926" s="1850"/>
      <c r="G926" s="1850"/>
      <c r="H926" s="1851"/>
      <c r="I926" s="1852"/>
      <c r="J926" s="1853"/>
      <c r="K926" s="1852"/>
      <c r="L926" s="1852"/>
      <c r="M926" s="1852"/>
      <c r="N926" s="1852"/>
      <c r="O926" s="1852"/>
      <c r="P926" s="1852"/>
      <c r="Q926" s="1852"/>
      <c r="R926" s="1854"/>
      <c r="S926" s="1852"/>
      <c r="T926" s="1855"/>
      <c r="U926" s="1853"/>
      <c r="V926" s="1852"/>
      <c r="W926" s="1852"/>
      <c r="X926" s="1856"/>
      <c r="Y926" s="1856"/>
      <c r="Z926" s="1857"/>
      <c r="AA926" s="1857"/>
      <c r="AB926" s="1847">
        <f>SUM(AB912:AB925)</f>
        <v>1800</v>
      </c>
    </row>
    <row r="927" spans="1:28" s="352" customFormat="1" ht="18" customHeight="1" x14ac:dyDescent="0.2">
      <c r="A927" s="2778" t="s">
        <v>76</v>
      </c>
      <c r="B927" s="2778"/>
      <c r="C927" s="2779" t="s">
        <v>77</v>
      </c>
      <c r="D927" s="2779"/>
      <c r="E927" s="2779"/>
      <c r="F927" s="2779"/>
      <c r="G927" s="2779"/>
      <c r="H927" s="2779"/>
      <c r="I927" s="424" t="s">
        <v>78</v>
      </c>
      <c r="J927" s="424"/>
      <c r="K927" s="424"/>
      <c r="L927" s="424"/>
      <c r="M927" s="424"/>
      <c r="N927" s="424"/>
      <c r="AB927" s="425"/>
    </row>
    <row r="928" spans="1:28" s="352" customFormat="1" ht="18" customHeight="1" x14ac:dyDescent="0.2">
      <c r="A928" s="424"/>
      <c r="B928" s="426"/>
      <c r="C928" s="424"/>
      <c r="D928" s="424"/>
      <c r="E928" s="424"/>
      <c r="F928" s="424"/>
      <c r="G928" s="424"/>
      <c r="H928" s="424"/>
      <c r="I928" s="424" t="s">
        <v>79</v>
      </c>
      <c r="J928" s="424"/>
      <c r="K928" s="424"/>
      <c r="L928" s="424"/>
      <c r="M928" s="424"/>
      <c r="N928" s="424"/>
      <c r="AB928" s="425"/>
    </row>
    <row r="929" spans="1:28" s="352" customFormat="1" ht="18" customHeight="1" x14ac:dyDescent="0.2">
      <c r="A929" s="424"/>
      <c r="B929" s="426"/>
      <c r="C929" s="424"/>
      <c r="D929" s="424"/>
      <c r="E929" s="424"/>
      <c r="F929" s="424"/>
      <c r="G929" s="424"/>
      <c r="H929" s="424"/>
      <c r="I929" s="424" t="s">
        <v>80</v>
      </c>
      <c r="J929" s="424"/>
      <c r="K929" s="424"/>
      <c r="L929" s="424"/>
      <c r="M929" s="424"/>
      <c r="N929" s="424"/>
      <c r="AB929" s="425"/>
    </row>
    <row r="930" spans="1:28" s="352" customFormat="1" ht="18" customHeight="1" x14ac:dyDescent="0.2">
      <c r="A930" s="424"/>
      <c r="B930" s="426"/>
      <c r="C930" s="424"/>
      <c r="D930" s="424"/>
      <c r="E930" s="424"/>
      <c r="F930" s="424"/>
      <c r="G930" s="424"/>
      <c r="H930" s="424"/>
      <c r="I930" s="424" t="s">
        <v>81</v>
      </c>
      <c r="J930" s="424"/>
      <c r="K930" s="424"/>
      <c r="L930" s="424"/>
      <c r="M930" s="424"/>
      <c r="N930" s="424"/>
      <c r="AB930" s="425"/>
    </row>
    <row r="931" spans="1:28" s="352" customFormat="1" ht="18" customHeight="1" x14ac:dyDescent="0.2">
      <c r="A931" s="424"/>
      <c r="B931" s="426"/>
      <c r="C931" s="424"/>
      <c r="D931" s="424"/>
      <c r="E931" s="424"/>
      <c r="F931" s="424"/>
      <c r="G931" s="424"/>
      <c r="H931" s="424"/>
      <c r="I931" s="424" t="s">
        <v>88</v>
      </c>
      <c r="J931" s="424"/>
      <c r="K931" s="424"/>
      <c r="L931" s="424"/>
      <c r="M931" s="424"/>
      <c r="N931" s="424"/>
      <c r="AB931" s="425"/>
    </row>
    <row r="932" spans="1:28" s="352" customFormat="1" ht="18" customHeight="1" x14ac:dyDescent="0.2">
      <c r="A932" s="338"/>
      <c r="B932" s="338"/>
      <c r="C932" s="338"/>
      <c r="D932" s="338"/>
      <c r="E932" s="338"/>
      <c r="F932" s="338"/>
      <c r="G932" s="338"/>
      <c r="H932" s="338"/>
      <c r="I932" s="338"/>
      <c r="J932" s="338"/>
      <c r="K932" s="338"/>
      <c r="L932" s="338"/>
      <c r="M932" s="338"/>
      <c r="N932" s="338"/>
      <c r="O932" s="338"/>
      <c r="P932" s="338"/>
      <c r="Q932" s="338"/>
      <c r="R932" s="338"/>
      <c r="S932" s="338"/>
      <c r="T932" s="338"/>
      <c r="U932" s="338"/>
      <c r="V932" s="338"/>
      <c r="W932" s="338"/>
      <c r="X932" s="338"/>
      <c r="Y932" s="338"/>
      <c r="Z932" s="338"/>
      <c r="AA932" s="2774" t="s">
        <v>0</v>
      </c>
      <c r="AB932" s="2774"/>
    </row>
    <row r="933" spans="1:28" s="352" customFormat="1" ht="18" customHeight="1" x14ac:dyDescent="0.2">
      <c r="A933" s="2703" t="s">
        <v>1</v>
      </c>
      <c r="B933" s="2703"/>
      <c r="C933" s="2703"/>
      <c r="D933" s="2703"/>
      <c r="E933" s="2703"/>
      <c r="F933" s="2703"/>
      <c r="G933" s="2703"/>
      <c r="H933" s="2703"/>
      <c r="I933" s="2703"/>
      <c r="J933" s="2703"/>
      <c r="K933" s="2703"/>
      <c r="L933" s="2703"/>
      <c r="M933" s="2703"/>
      <c r="N933" s="2703"/>
      <c r="O933" s="2703"/>
      <c r="P933" s="2703"/>
      <c r="Q933" s="2703"/>
      <c r="R933" s="2703"/>
      <c r="S933" s="2703"/>
      <c r="T933" s="2703"/>
      <c r="U933" s="2703"/>
      <c r="V933" s="2703"/>
      <c r="W933" s="2703"/>
      <c r="X933" s="2703"/>
      <c r="Y933" s="2703"/>
      <c r="Z933" s="2703"/>
      <c r="AA933" s="2703"/>
      <c r="AB933" s="2703"/>
    </row>
    <row r="934" spans="1:28" s="352" customFormat="1" ht="18" customHeight="1" x14ac:dyDescent="0.2">
      <c r="A934" s="2780" t="s">
        <v>630</v>
      </c>
      <c r="B934" s="2780"/>
      <c r="C934" s="2780"/>
      <c r="D934" s="2780"/>
      <c r="E934" s="2780"/>
      <c r="F934" s="2780"/>
      <c r="G934" s="2780"/>
      <c r="H934" s="2780"/>
      <c r="I934" s="2780"/>
      <c r="J934" s="2780"/>
      <c r="K934" s="2780"/>
      <c r="L934" s="2780"/>
      <c r="M934" s="2780"/>
      <c r="N934" s="2780"/>
      <c r="O934" s="2780"/>
      <c r="P934" s="2780"/>
      <c r="Q934" s="2780"/>
      <c r="R934" s="2780"/>
      <c r="S934" s="2780"/>
      <c r="T934" s="2780"/>
      <c r="U934" s="2780"/>
      <c r="V934" s="2780"/>
      <c r="W934" s="2780"/>
      <c r="X934" s="2780"/>
      <c r="Y934" s="2780"/>
      <c r="Z934" s="2780"/>
      <c r="AA934" s="2780"/>
      <c r="AB934" s="2780"/>
    </row>
    <row r="935" spans="1:28" s="352" customFormat="1" ht="18" customHeight="1" x14ac:dyDescent="0.2">
      <c r="A935" s="2686" t="s">
        <v>2</v>
      </c>
      <c r="B935" s="360"/>
      <c r="C935" s="2686" t="s">
        <v>3</v>
      </c>
      <c r="D935" s="360"/>
      <c r="E935" s="360"/>
      <c r="F935" s="2693" t="s">
        <v>4</v>
      </c>
      <c r="G935" s="2693"/>
      <c r="H935" s="2693"/>
      <c r="I935" s="2694"/>
      <c r="J935" s="2694"/>
      <c r="K935" s="2695"/>
      <c r="L935" s="361"/>
      <c r="M935" s="2679" t="s">
        <v>5</v>
      </c>
      <c r="N935" s="2679"/>
      <c r="O935" s="2679"/>
      <c r="P935" s="2679"/>
      <c r="Q935" s="2696"/>
      <c r="R935" s="2696"/>
      <c r="S935" s="2696"/>
      <c r="T935" s="2696"/>
      <c r="U935" s="2696"/>
      <c r="V935" s="2697"/>
      <c r="W935" s="362" t="s">
        <v>6</v>
      </c>
      <c r="X935" s="363" t="s">
        <v>7</v>
      </c>
      <c r="Y935" s="364"/>
      <c r="Z935" s="364"/>
      <c r="AA935" s="363"/>
      <c r="AB935" s="365"/>
    </row>
    <row r="936" spans="1:28" s="352" customFormat="1" ht="18" customHeight="1" x14ac:dyDescent="0.2">
      <c r="A936" s="2687"/>
      <c r="B936" s="367"/>
      <c r="C936" s="2687"/>
      <c r="D936" s="2158" t="s">
        <v>9</v>
      </c>
      <c r="E936" s="368" t="s">
        <v>10</v>
      </c>
      <c r="F936" s="2698" t="s">
        <v>11</v>
      </c>
      <c r="G936" s="2694"/>
      <c r="H936" s="2695"/>
      <c r="I936" s="360"/>
      <c r="J936" s="369" t="s">
        <v>12</v>
      </c>
      <c r="K936" s="360"/>
      <c r="L936" s="2679" t="s">
        <v>2</v>
      </c>
      <c r="M936" s="2162"/>
      <c r="N936" s="2162"/>
      <c r="O936" s="2162"/>
      <c r="P936" s="371"/>
      <c r="Q936" s="372" t="s">
        <v>13</v>
      </c>
      <c r="R936" s="373" t="s">
        <v>12</v>
      </c>
      <c r="S936" s="2162" t="s">
        <v>6</v>
      </c>
      <c r="T936" s="2682" t="s">
        <v>14</v>
      </c>
      <c r="U936" s="2683"/>
      <c r="V936" s="375" t="s">
        <v>7</v>
      </c>
      <c r="W936" s="376" t="s">
        <v>15</v>
      </c>
      <c r="X936" s="377" t="s">
        <v>16</v>
      </c>
      <c r="Y936" s="377" t="s">
        <v>17</v>
      </c>
      <c r="Z936" s="377" t="s">
        <v>18</v>
      </c>
      <c r="AA936" s="377"/>
      <c r="AB936" s="378" t="s">
        <v>19</v>
      </c>
    </row>
    <row r="937" spans="1:28" s="352" customFormat="1" ht="18" customHeight="1" x14ac:dyDescent="0.2">
      <c r="A937" s="2687"/>
      <c r="B937" s="2158" t="s">
        <v>23</v>
      </c>
      <c r="C937" s="2687"/>
      <c r="D937" s="2158" t="s">
        <v>24</v>
      </c>
      <c r="E937" s="368" t="s">
        <v>25</v>
      </c>
      <c r="F937" s="2699"/>
      <c r="G937" s="2700"/>
      <c r="H937" s="2701"/>
      <c r="I937" s="2158" t="s">
        <v>26</v>
      </c>
      <c r="J937" s="379" t="s">
        <v>15</v>
      </c>
      <c r="K937" s="2159" t="s">
        <v>6</v>
      </c>
      <c r="L937" s="2680"/>
      <c r="M937" s="2163" t="s">
        <v>27</v>
      </c>
      <c r="N937" s="2163" t="s">
        <v>10</v>
      </c>
      <c r="O937" s="382" t="s">
        <v>10</v>
      </c>
      <c r="P937" s="383" t="s">
        <v>28</v>
      </c>
      <c r="Q937" s="384" t="s">
        <v>29</v>
      </c>
      <c r="R937" s="383" t="s">
        <v>15</v>
      </c>
      <c r="S937" s="385" t="s">
        <v>15</v>
      </c>
      <c r="T937" s="2684"/>
      <c r="U937" s="2685"/>
      <c r="V937" s="375" t="s">
        <v>30</v>
      </c>
      <c r="W937" s="376" t="s">
        <v>31</v>
      </c>
      <c r="X937" s="377" t="s">
        <v>30</v>
      </c>
      <c r="Y937" s="377" t="s">
        <v>32</v>
      </c>
      <c r="Z937" s="377" t="s">
        <v>7</v>
      </c>
      <c r="AA937" s="377" t="s">
        <v>33</v>
      </c>
      <c r="AB937" s="378" t="s">
        <v>34</v>
      </c>
    </row>
    <row r="938" spans="1:28" s="352" customFormat="1" ht="18" customHeight="1" x14ac:dyDescent="0.2">
      <c r="A938" s="2687"/>
      <c r="B938" s="2158" t="s">
        <v>39</v>
      </c>
      <c r="C938" s="2687"/>
      <c r="D938" s="2158" t="s">
        <v>40</v>
      </c>
      <c r="E938" s="368" t="s">
        <v>41</v>
      </c>
      <c r="F938" s="2686" t="s">
        <v>42</v>
      </c>
      <c r="G938" s="2686" t="s">
        <v>43</v>
      </c>
      <c r="H938" s="2688" t="s">
        <v>44</v>
      </c>
      <c r="I938" s="2158" t="s">
        <v>45</v>
      </c>
      <c r="J938" s="379" t="s">
        <v>46</v>
      </c>
      <c r="K938" s="2159" t="s">
        <v>47</v>
      </c>
      <c r="L938" s="2680"/>
      <c r="M938" s="2163" t="s">
        <v>30</v>
      </c>
      <c r="N938" s="2163" t="s">
        <v>30</v>
      </c>
      <c r="O938" s="382" t="s">
        <v>25</v>
      </c>
      <c r="P938" s="383" t="s">
        <v>30</v>
      </c>
      <c r="Q938" s="384" t="s">
        <v>48</v>
      </c>
      <c r="R938" s="383" t="s">
        <v>49</v>
      </c>
      <c r="S938" s="385" t="s">
        <v>30</v>
      </c>
      <c r="T938" s="386" t="s">
        <v>50</v>
      </c>
      <c r="U938" s="2161" t="s">
        <v>13</v>
      </c>
      <c r="V938" s="375" t="s">
        <v>51</v>
      </c>
      <c r="W938" s="376" t="s">
        <v>52</v>
      </c>
      <c r="X938" s="377" t="s">
        <v>53</v>
      </c>
      <c r="Y938" s="377" t="s">
        <v>54</v>
      </c>
      <c r="Z938" s="377" t="s">
        <v>55</v>
      </c>
      <c r="AA938" s="377" t="s">
        <v>56</v>
      </c>
      <c r="AB938" s="378" t="s">
        <v>57</v>
      </c>
    </row>
    <row r="939" spans="1:28" s="352" customFormat="1" ht="18" customHeight="1" x14ac:dyDescent="0.2">
      <c r="A939" s="2687"/>
      <c r="B939" s="2158" t="s">
        <v>61</v>
      </c>
      <c r="C939" s="2687"/>
      <c r="D939" s="2158" t="s">
        <v>62</v>
      </c>
      <c r="E939" s="368" t="s">
        <v>63</v>
      </c>
      <c r="F939" s="2687"/>
      <c r="G939" s="2687"/>
      <c r="H939" s="2689"/>
      <c r="I939" s="2158" t="s">
        <v>64</v>
      </c>
      <c r="J939" s="379" t="s">
        <v>59</v>
      </c>
      <c r="K939" s="2159" t="s">
        <v>59</v>
      </c>
      <c r="L939" s="2680"/>
      <c r="M939" s="2163"/>
      <c r="N939" s="2163"/>
      <c r="O939" s="382" t="s">
        <v>41</v>
      </c>
      <c r="P939" s="383" t="s">
        <v>65</v>
      </c>
      <c r="Q939" s="384" t="s">
        <v>66</v>
      </c>
      <c r="R939" s="383" t="s">
        <v>67</v>
      </c>
      <c r="S939" s="385" t="s">
        <v>59</v>
      </c>
      <c r="T939" s="387" t="s">
        <v>68</v>
      </c>
      <c r="U939" s="375" t="s">
        <v>14</v>
      </c>
      <c r="V939" s="375" t="s">
        <v>14</v>
      </c>
      <c r="W939" s="376" t="s">
        <v>30</v>
      </c>
      <c r="X939" s="388" t="s">
        <v>69</v>
      </c>
      <c r="Y939" s="388" t="s">
        <v>70</v>
      </c>
      <c r="Z939" s="377" t="s">
        <v>71</v>
      </c>
      <c r="AA939" s="377" t="s">
        <v>72</v>
      </c>
      <c r="AB939" s="378" t="s">
        <v>59</v>
      </c>
    </row>
    <row r="940" spans="1:28" s="352" customFormat="1" ht="18" customHeight="1" x14ac:dyDescent="0.2">
      <c r="A940" s="2692"/>
      <c r="B940" s="390"/>
      <c r="C940" s="2692"/>
      <c r="D940" s="390"/>
      <c r="E940" s="2160"/>
      <c r="F940" s="390"/>
      <c r="G940" s="390"/>
      <c r="H940" s="391"/>
      <c r="I940" s="2160"/>
      <c r="J940" s="392"/>
      <c r="K940" s="393"/>
      <c r="L940" s="2681"/>
      <c r="M940" s="2164"/>
      <c r="N940" s="2164"/>
      <c r="O940" s="2164" t="s">
        <v>63</v>
      </c>
      <c r="P940" s="395"/>
      <c r="Q940" s="396" t="s">
        <v>72</v>
      </c>
      <c r="R940" s="397" t="s">
        <v>59</v>
      </c>
      <c r="S940" s="398"/>
      <c r="T940" s="397" t="s">
        <v>73</v>
      </c>
      <c r="U940" s="398" t="s">
        <v>59</v>
      </c>
      <c r="V940" s="399" t="s">
        <v>59</v>
      </c>
      <c r="W940" s="400" t="s">
        <v>59</v>
      </c>
      <c r="X940" s="401" t="s">
        <v>59</v>
      </c>
      <c r="Y940" s="401" t="s">
        <v>59</v>
      </c>
      <c r="Z940" s="401" t="s">
        <v>59</v>
      </c>
      <c r="AA940" s="402"/>
      <c r="AB940" s="403"/>
    </row>
    <row r="941" spans="1:28" s="352" customFormat="1" ht="18" customHeight="1" x14ac:dyDescent="0.2">
      <c r="A941" s="53">
        <v>1</v>
      </c>
      <c r="B941" s="95">
        <v>23188</v>
      </c>
      <c r="C941" s="82">
        <v>662</v>
      </c>
      <c r="D941" s="82" t="s">
        <v>107</v>
      </c>
      <c r="E941" s="82">
        <v>4</v>
      </c>
      <c r="F941" s="82">
        <v>0</v>
      </c>
      <c r="G941" s="82">
        <v>1</v>
      </c>
      <c r="H941" s="463">
        <v>77</v>
      </c>
      <c r="I941" s="70">
        <f>F941*400+G941*100+H941</f>
        <v>177</v>
      </c>
      <c r="J941" s="123">
        <v>3000</v>
      </c>
      <c r="K941" s="124">
        <f>SUM(I941*J941)</f>
        <v>531000</v>
      </c>
      <c r="L941" s="53"/>
      <c r="M941" s="82"/>
      <c r="N941" s="82"/>
      <c r="O941" s="53"/>
      <c r="P941" s="358"/>
      <c r="Q941" s="197"/>
      <c r="R941" s="444"/>
      <c r="S941" s="70"/>
      <c r="T941" s="82"/>
      <c r="U941" s="70"/>
      <c r="V941" s="70"/>
      <c r="W941" s="70">
        <f>K941+V941</f>
        <v>531000</v>
      </c>
      <c r="X941" s="70">
        <f>W941</f>
        <v>531000</v>
      </c>
      <c r="Y941" s="123"/>
      <c r="Z941" s="70">
        <f>+X941</f>
        <v>531000</v>
      </c>
      <c r="AA941" s="464">
        <v>0.6</v>
      </c>
      <c r="AB941" s="465">
        <f>+Z941*AA941/100</f>
        <v>3186</v>
      </c>
    </row>
    <row r="942" spans="1:28" s="352" customFormat="1" ht="18" customHeight="1" x14ac:dyDescent="0.2">
      <c r="A942" s="75"/>
      <c r="B942" s="88"/>
      <c r="C942" s="88"/>
      <c r="D942" s="88"/>
      <c r="E942" s="88"/>
      <c r="F942" s="88"/>
      <c r="G942" s="88"/>
      <c r="H942" s="495"/>
      <c r="I942" s="74"/>
      <c r="J942" s="121"/>
      <c r="K942" s="159"/>
      <c r="L942" s="75"/>
      <c r="M942" s="88"/>
      <c r="N942" s="88"/>
      <c r="O942" s="75"/>
      <c r="P942" s="180"/>
      <c r="Q942" s="174"/>
      <c r="R942" s="413"/>
      <c r="S942" s="74"/>
      <c r="T942" s="88"/>
      <c r="U942" s="74"/>
      <c r="V942" s="74"/>
      <c r="W942" s="74"/>
      <c r="X942" s="74"/>
      <c r="Y942" s="121"/>
      <c r="Z942" s="74"/>
      <c r="AA942" s="414"/>
      <c r="AB942" s="416"/>
    </row>
    <row r="943" spans="1:28" s="352" customFormat="1" ht="18" customHeight="1" x14ac:dyDescent="0.2">
      <c r="A943" s="61"/>
      <c r="B943" s="2166"/>
      <c r="C943" s="2166"/>
      <c r="D943" s="2166"/>
      <c r="E943" s="2166"/>
      <c r="F943" s="2166"/>
      <c r="G943" s="2166"/>
      <c r="H943" s="407"/>
      <c r="I943" s="77"/>
      <c r="J943" s="2168"/>
      <c r="K943" s="78"/>
      <c r="L943" s="61"/>
      <c r="M943" s="2166"/>
      <c r="N943" s="2166"/>
      <c r="O943" s="61"/>
      <c r="P943" s="177"/>
      <c r="Q943" s="196"/>
      <c r="R943" s="408"/>
      <c r="S943" s="77"/>
      <c r="T943" s="2166"/>
      <c r="U943" s="77"/>
      <c r="V943" s="77"/>
      <c r="W943" s="77"/>
      <c r="X943" s="77"/>
      <c r="Y943" s="2168"/>
      <c r="Z943" s="77"/>
      <c r="AA943" s="2170"/>
      <c r="AB943" s="410"/>
    </row>
    <row r="944" spans="1:28" s="352" customFormat="1" ht="18" customHeight="1" x14ac:dyDescent="0.2">
      <c r="A944" s="75"/>
      <c r="B944" s="88"/>
      <c r="C944" s="88"/>
      <c r="D944" s="88"/>
      <c r="E944" s="88"/>
      <c r="F944" s="88"/>
      <c r="G944" s="88"/>
      <c r="H944" s="495"/>
      <c r="I944" s="74"/>
      <c r="J944" s="121"/>
      <c r="K944" s="159"/>
      <c r="L944" s="75"/>
      <c r="M944" s="88"/>
      <c r="N944" s="88"/>
      <c r="O944" s="75"/>
      <c r="P944" s="180"/>
      <c r="Q944" s="174"/>
      <c r="R944" s="413"/>
      <c r="S944" s="74"/>
      <c r="T944" s="88"/>
      <c r="U944" s="74"/>
      <c r="V944" s="74"/>
      <c r="W944" s="74"/>
      <c r="X944" s="74"/>
      <c r="Y944" s="121"/>
      <c r="Z944" s="74"/>
      <c r="AA944" s="414"/>
      <c r="AB944" s="410"/>
    </row>
    <row r="945" spans="1:28" s="352" customFormat="1" ht="18" customHeight="1" x14ac:dyDescent="0.2">
      <c r="A945" s="75"/>
      <c r="B945" s="88"/>
      <c r="C945" s="88"/>
      <c r="D945" s="88"/>
      <c r="E945" s="88"/>
      <c r="F945" s="88"/>
      <c r="G945" s="88"/>
      <c r="H945" s="495"/>
      <c r="I945" s="74"/>
      <c r="J945" s="121"/>
      <c r="K945" s="159"/>
      <c r="L945" s="75"/>
      <c r="M945" s="88"/>
      <c r="N945" s="88"/>
      <c r="O945" s="75"/>
      <c r="P945" s="180"/>
      <c r="Q945" s="174"/>
      <c r="R945" s="413"/>
      <c r="S945" s="74"/>
      <c r="T945" s="88"/>
      <c r="U945" s="74"/>
      <c r="V945" s="74"/>
      <c r="W945" s="74"/>
      <c r="X945" s="74"/>
      <c r="Y945" s="121"/>
      <c r="Z945" s="74"/>
      <c r="AA945" s="414"/>
      <c r="AB945" s="416"/>
    </row>
    <row r="946" spans="1:28" s="352" customFormat="1" ht="18" customHeight="1" x14ac:dyDescent="0.2">
      <c r="A946" s="61"/>
      <c r="B946" s="2166"/>
      <c r="C946" s="2166"/>
      <c r="D946" s="2166"/>
      <c r="E946" s="2166"/>
      <c r="F946" s="2166"/>
      <c r="G946" s="2166"/>
      <c r="H946" s="407"/>
      <c r="I946" s="77"/>
      <c r="J946" s="2168"/>
      <c r="K946" s="78"/>
      <c r="L946" s="61"/>
      <c r="M946" s="2166"/>
      <c r="N946" s="2166"/>
      <c r="O946" s="61"/>
      <c r="P946" s="177"/>
      <c r="Q946" s="196"/>
      <c r="R946" s="408"/>
      <c r="S946" s="77"/>
      <c r="T946" s="2166"/>
      <c r="U946" s="77"/>
      <c r="V946" s="77"/>
      <c r="W946" s="77"/>
      <c r="X946" s="77"/>
      <c r="Y946" s="2168"/>
      <c r="Z946" s="77"/>
      <c r="AA946" s="2170"/>
      <c r="AB946" s="410"/>
    </row>
    <row r="947" spans="1:28" s="352" customFormat="1" ht="18" customHeight="1" x14ac:dyDescent="0.2">
      <c r="A947" s="2166"/>
      <c r="B947" s="177"/>
      <c r="C947" s="177"/>
      <c r="D947" s="2166"/>
      <c r="E947" s="2166"/>
      <c r="F947" s="2166"/>
      <c r="G947" s="2166"/>
      <c r="H947" s="2171"/>
      <c r="I947" s="2168"/>
      <c r="J947" s="178"/>
      <c r="K947" s="2168"/>
      <c r="L947" s="2166"/>
      <c r="M947" s="2166"/>
      <c r="N947" s="2166"/>
      <c r="O947" s="2166"/>
      <c r="P947" s="2171"/>
      <c r="Q947" s="2167"/>
      <c r="R947" s="437"/>
      <c r="S947" s="2168"/>
      <c r="T947" s="179"/>
      <c r="U947" s="178"/>
      <c r="V947" s="2168"/>
      <c r="W947" s="2168"/>
      <c r="X947" s="470"/>
      <c r="Y947" s="470"/>
      <c r="Z947" s="471"/>
      <c r="AA947" s="471"/>
      <c r="AB947" s="466"/>
    </row>
    <row r="948" spans="1:28" s="352" customFormat="1" ht="18" customHeight="1" x14ac:dyDescent="0.2">
      <c r="A948" s="2166"/>
      <c r="B948" s="177"/>
      <c r="C948" s="177"/>
      <c r="D948" s="2166"/>
      <c r="E948" s="2166"/>
      <c r="F948" s="2166"/>
      <c r="G948" s="2166"/>
      <c r="H948" s="2171"/>
      <c r="I948" s="2168"/>
      <c r="J948" s="178"/>
      <c r="K948" s="2168"/>
      <c r="L948" s="2166"/>
      <c r="M948" s="2166"/>
      <c r="N948" s="2166"/>
      <c r="O948" s="2166"/>
      <c r="P948" s="2171"/>
      <c r="Q948" s="2167"/>
      <c r="R948" s="437"/>
      <c r="S948" s="2168"/>
      <c r="T948" s="179"/>
      <c r="U948" s="178"/>
      <c r="V948" s="2168"/>
      <c r="W948" s="2168"/>
      <c r="X948" s="470"/>
      <c r="Y948" s="470"/>
      <c r="Z948" s="471"/>
      <c r="AA948" s="471"/>
      <c r="AB948" s="466"/>
    </row>
    <row r="949" spans="1:28" s="352" customFormat="1" ht="18" customHeight="1" x14ac:dyDescent="0.2">
      <c r="A949" s="2166"/>
      <c r="B949" s="177"/>
      <c r="C949" s="177"/>
      <c r="D949" s="2166"/>
      <c r="E949" s="2166"/>
      <c r="F949" s="2166"/>
      <c r="G949" s="2166"/>
      <c r="H949" s="2171"/>
      <c r="I949" s="2168"/>
      <c r="J949" s="178"/>
      <c r="K949" s="2168"/>
      <c r="L949" s="2166"/>
      <c r="M949" s="2166"/>
      <c r="N949" s="2166"/>
      <c r="O949" s="2166"/>
      <c r="P949" s="2171"/>
      <c r="Q949" s="2167"/>
      <c r="R949" s="437"/>
      <c r="S949" s="2168"/>
      <c r="T949" s="179"/>
      <c r="U949" s="178"/>
      <c r="V949" s="2168"/>
      <c r="W949" s="2168"/>
      <c r="X949" s="470"/>
      <c r="Y949" s="470"/>
      <c r="Z949" s="471"/>
      <c r="AA949" s="471"/>
      <c r="AB949" s="466"/>
    </row>
    <row r="950" spans="1:28" s="352" customFormat="1" ht="18" customHeight="1" x14ac:dyDescent="0.2">
      <c r="A950" s="2166"/>
      <c r="B950" s="177"/>
      <c r="C950" s="177"/>
      <c r="D950" s="2166"/>
      <c r="E950" s="2166"/>
      <c r="F950" s="2166"/>
      <c r="G950" s="2166"/>
      <c r="H950" s="2171"/>
      <c r="I950" s="2168"/>
      <c r="J950" s="178"/>
      <c r="K950" s="2168"/>
      <c r="L950" s="2166"/>
      <c r="M950" s="2166"/>
      <c r="N950" s="2166"/>
      <c r="O950" s="2166"/>
      <c r="P950" s="2171"/>
      <c r="Q950" s="2167"/>
      <c r="R950" s="437"/>
      <c r="S950" s="2168"/>
      <c r="T950" s="179"/>
      <c r="U950" s="178"/>
      <c r="V950" s="2168"/>
      <c r="W950" s="2168"/>
      <c r="X950" s="470"/>
      <c r="Y950" s="470"/>
      <c r="Z950" s="471"/>
      <c r="AA950" s="471"/>
      <c r="AB950" s="466"/>
    </row>
    <row r="951" spans="1:28" s="352" customFormat="1" ht="18" customHeight="1" x14ac:dyDescent="0.2">
      <c r="A951" s="2166"/>
      <c r="B951" s="177"/>
      <c r="C951" s="177"/>
      <c r="D951" s="2166"/>
      <c r="E951" s="2166"/>
      <c r="F951" s="2166"/>
      <c r="G951" s="2166"/>
      <c r="H951" s="2171"/>
      <c r="I951" s="2168"/>
      <c r="J951" s="178"/>
      <c r="K951" s="2168"/>
      <c r="L951" s="2166"/>
      <c r="M951" s="2166"/>
      <c r="N951" s="2166"/>
      <c r="O951" s="2166"/>
      <c r="P951" s="2171"/>
      <c r="Q951" s="2167"/>
      <c r="R951" s="437"/>
      <c r="S951" s="2168"/>
      <c r="T951" s="179"/>
      <c r="U951" s="178"/>
      <c r="V951" s="2168"/>
      <c r="W951" s="2168"/>
      <c r="X951" s="470"/>
      <c r="Y951" s="470"/>
      <c r="Z951" s="471"/>
      <c r="AA951" s="471"/>
      <c r="AB951" s="466"/>
    </row>
    <row r="952" spans="1:28" s="352" customFormat="1" ht="18" customHeight="1" x14ac:dyDescent="0.2">
      <c r="A952" s="2166"/>
      <c r="B952" s="177"/>
      <c r="C952" s="177"/>
      <c r="D952" s="2166"/>
      <c r="E952" s="2166"/>
      <c r="F952" s="2166"/>
      <c r="G952" s="2166"/>
      <c r="H952" s="2171"/>
      <c r="I952" s="2168"/>
      <c r="J952" s="178"/>
      <c r="K952" s="2168"/>
      <c r="L952" s="2166"/>
      <c r="M952" s="2166"/>
      <c r="N952" s="2166"/>
      <c r="O952" s="2166"/>
      <c r="P952" s="2171"/>
      <c r="Q952" s="2167"/>
      <c r="R952" s="437"/>
      <c r="S952" s="2168"/>
      <c r="T952" s="179"/>
      <c r="U952" s="178"/>
      <c r="V952" s="2168"/>
      <c r="W952" s="2168"/>
      <c r="X952" s="470"/>
      <c r="Y952" s="470"/>
      <c r="Z952" s="471"/>
      <c r="AA952" s="471"/>
      <c r="AB952" s="466"/>
    </row>
    <row r="953" spans="1:28" s="352" customFormat="1" ht="18" customHeight="1" x14ac:dyDescent="0.2">
      <c r="A953" s="2166"/>
      <c r="B953" s="177"/>
      <c r="C953" s="177"/>
      <c r="D953" s="2166"/>
      <c r="E953" s="2166"/>
      <c r="F953" s="2166"/>
      <c r="G953" s="2166"/>
      <c r="H953" s="2171"/>
      <c r="I953" s="2168"/>
      <c r="J953" s="178"/>
      <c r="K953" s="2168"/>
      <c r="L953" s="2166"/>
      <c r="M953" s="2166"/>
      <c r="N953" s="2166"/>
      <c r="O953" s="2166"/>
      <c r="P953" s="2171"/>
      <c r="Q953" s="2167"/>
      <c r="R953" s="437"/>
      <c r="S953" s="2168"/>
      <c r="T953" s="179"/>
      <c r="U953" s="178"/>
      <c r="V953" s="2168"/>
      <c r="W953" s="2168"/>
      <c r="X953" s="470"/>
      <c r="Y953" s="470"/>
      <c r="Z953" s="471"/>
      <c r="AA953" s="471"/>
      <c r="AB953" s="466"/>
    </row>
    <row r="954" spans="1:28" s="352" customFormat="1" ht="18" customHeight="1" x14ac:dyDescent="0.2">
      <c r="A954" s="88"/>
      <c r="B954" s="180"/>
      <c r="C954" s="180"/>
      <c r="D954" s="88"/>
      <c r="E954" s="88"/>
      <c r="F954" s="88"/>
      <c r="G954" s="88"/>
      <c r="H954" s="120"/>
      <c r="I954" s="121"/>
      <c r="J954" s="181"/>
      <c r="K954" s="121"/>
      <c r="L954" s="88"/>
      <c r="M954" s="88"/>
      <c r="N954" s="88"/>
      <c r="O954" s="88"/>
      <c r="P954" s="88"/>
      <c r="Q954" s="129"/>
      <c r="R954" s="445"/>
      <c r="S954" s="121"/>
      <c r="T954" s="182"/>
      <c r="U954" s="181"/>
      <c r="V954" s="121"/>
      <c r="W954" s="121"/>
      <c r="X954" s="472"/>
      <c r="Y954" s="472"/>
      <c r="Z954" s="473"/>
      <c r="AA954" s="473"/>
      <c r="AB954" s="410"/>
    </row>
    <row r="955" spans="1:28" s="352" customFormat="1" ht="18" customHeight="1" x14ac:dyDescent="0.2">
      <c r="A955" s="1850"/>
      <c r="B955" s="1850"/>
      <c r="C955" s="1850"/>
      <c r="D955" s="1850"/>
      <c r="E955" s="1850"/>
      <c r="F955" s="1850"/>
      <c r="G955" s="1850"/>
      <c r="H955" s="1851"/>
      <c r="I955" s="1852"/>
      <c r="J955" s="1853"/>
      <c r="K955" s="1852"/>
      <c r="L955" s="1852"/>
      <c r="M955" s="1852"/>
      <c r="N955" s="1852"/>
      <c r="O955" s="1852"/>
      <c r="P955" s="1852"/>
      <c r="Q955" s="1852"/>
      <c r="R955" s="1854"/>
      <c r="S955" s="1852"/>
      <c r="T955" s="1855"/>
      <c r="U955" s="1853"/>
      <c r="V955" s="1852"/>
      <c r="W955" s="1852"/>
      <c r="X955" s="1856"/>
      <c r="Y955" s="1856"/>
      <c r="Z955" s="1857"/>
      <c r="AA955" s="1857"/>
      <c r="AB955" s="1847">
        <f>SUM(AB941:AB954)</f>
        <v>3186</v>
      </c>
    </row>
    <row r="956" spans="1:28" s="352" customFormat="1" ht="18" customHeight="1" x14ac:dyDescent="0.2">
      <c r="A956" s="2778" t="s">
        <v>76</v>
      </c>
      <c r="B956" s="2778"/>
      <c r="C956" s="2779" t="s">
        <v>77</v>
      </c>
      <c r="D956" s="2779"/>
      <c r="E956" s="2779"/>
      <c r="F956" s="2779"/>
      <c r="G956" s="2779"/>
      <c r="H956" s="2779"/>
      <c r="I956" s="424" t="s">
        <v>78</v>
      </c>
      <c r="J956" s="424"/>
      <c r="K956" s="424"/>
      <c r="L956" s="424"/>
      <c r="M956" s="424"/>
      <c r="N956" s="424"/>
      <c r="AB956" s="425"/>
    </row>
    <row r="957" spans="1:28" s="352" customFormat="1" ht="18" customHeight="1" x14ac:dyDescent="0.2">
      <c r="A957" s="424"/>
      <c r="B957" s="426"/>
      <c r="C957" s="424"/>
      <c r="D957" s="424"/>
      <c r="E957" s="424"/>
      <c r="F957" s="424"/>
      <c r="G957" s="424"/>
      <c r="H957" s="424"/>
      <c r="I957" s="424" t="s">
        <v>79</v>
      </c>
      <c r="J957" s="424"/>
      <c r="K957" s="424"/>
      <c r="L957" s="424"/>
      <c r="M957" s="424"/>
      <c r="N957" s="424"/>
      <c r="AB957" s="425"/>
    </row>
    <row r="958" spans="1:28" s="352" customFormat="1" ht="18" customHeight="1" x14ac:dyDescent="0.2">
      <c r="A958" s="424"/>
      <c r="B958" s="426"/>
      <c r="C958" s="424"/>
      <c r="D958" s="424"/>
      <c r="E958" s="424"/>
      <c r="F958" s="424"/>
      <c r="G958" s="424"/>
      <c r="H958" s="424"/>
      <c r="I958" s="424" t="s">
        <v>80</v>
      </c>
      <c r="J958" s="424"/>
      <c r="K958" s="424"/>
      <c r="L958" s="424"/>
      <c r="M958" s="424"/>
      <c r="N958" s="424"/>
      <c r="AB958" s="425"/>
    </row>
    <row r="959" spans="1:28" s="352" customFormat="1" ht="18" customHeight="1" x14ac:dyDescent="0.2">
      <c r="A959" s="424"/>
      <c r="B959" s="426"/>
      <c r="C959" s="424"/>
      <c r="D959" s="424"/>
      <c r="E959" s="424"/>
      <c r="F959" s="424"/>
      <c r="G959" s="424"/>
      <c r="H959" s="424"/>
      <c r="I959" s="424" t="s">
        <v>81</v>
      </c>
      <c r="J959" s="424"/>
      <c r="K959" s="424"/>
      <c r="L959" s="424"/>
      <c r="M959" s="424"/>
      <c r="N959" s="424"/>
      <c r="AB959" s="425"/>
    </row>
    <row r="960" spans="1:28" s="352" customFormat="1" ht="18" customHeight="1" x14ac:dyDescent="0.2">
      <c r="A960" s="424"/>
      <c r="B960" s="426"/>
      <c r="C960" s="424"/>
      <c r="D960" s="424"/>
      <c r="E960" s="424"/>
      <c r="F960" s="424"/>
      <c r="G960" s="424"/>
      <c r="H960" s="424"/>
      <c r="I960" s="424" t="s">
        <v>88</v>
      </c>
      <c r="J960" s="424"/>
      <c r="K960" s="424"/>
      <c r="L960" s="424"/>
      <c r="M960" s="424"/>
      <c r="N960" s="424"/>
      <c r="AB960" s="425"/>
    </row>
    <row r="961" spans="1:28" s="352" customFormat="1" ht="18" customHeight="1" x14ac:dyDescent="0.2">
      <c r="A961" s="338"/>
      <c r="B961" s="338"/>
      <c r="C961" s="338"/>
      <c r="D961" s="338"/>
      <c r="E961" s="338"/>
      <c r="F961" s="338"/>
      <c r="G961" s="338"/>
      <c r="H961" s="338"/>
      <c r="I961" s="338"/>
      <c r="J961" s="338"/>
      <c r="K961" s="338"/>
      <c r="L961" s="338"/>
      <c r="M961" s="338"/>
      <c r="N961" s="338"/>
      <c r="O961" s="338"/>
      <c r="P961" s="338"/>
      <c r="Q961" s="338"/>
      <c r="R961" s="338"/>
      <c r="S961" s="338"/>
      <c r="T961" s="338"/>
      <c r="U961" s="338"/>
      <c r="V961" s="338"/>
      <c r="W961" s="338"/>
      <c r="X961" s="338"/>
      <c r="Y961" s="338"/>
      <c r="Z961" s="338"/>
      <c r="AA961" s="2774" t="s">
        <v>0</v>
      </c>
      <c r="AB961" s="2774"/>
    </row>
    <row r="962" spans="1:28" s="352" customFormat="1" ht="18" customHeight="1" x14ac:dyDescent="0.2">
      <c r="A962" s="2703" t="s">
        <v>1</v>
      </c>
      <c r="B962" s="2703"/>
      <c r="C962" s="2703"/>
      <c r="D962" s="2703"/>
      <c r="E962" s="2703"/>
      <c r="F962" s="2703"/>
      <c r="G962" s="2703"/>
      <c r="H962" s="2703"/>
      <c r="I962" s="2703"/>
      <c r="J962" s="2703"/>
      <c r="K962" s="2703"/>
      <c r="L962" s="2703"/>
      <c r="M962" s="2703"/>
      <c r="N962" s="2703"/>
      <c r="O962" s="2703"/>
      <c r="P962" s="2703"/>
      <c r="Q962" s="2703"/>
      <c r="R962" s="2703"/>
      <c r="S962" s="2703"/>
      <c r="T962" s="2703"/>
      <c r="U962" s="2703"/>
      <c r="V962" s="2703"/>
      <c r="W962" s="2703"/>
      <c r="X962" s="2703"/>
      <c r="Y962" s="2703"/>
      <c r="Z962" s="2703"/>
      <c r="AA962" s="2703"/>
      <c r="AB962" s="2703"/>
    </row>
    <row r="963" spans="1:28" s="352" customFormat="1" ht="18" customHeight="1" x14ac:dyDescent="0.2">
      <c r="A963" s="2780" t="s">
        <v>631</v>
      </c>
      <c r="B963" s="2780"/>
      <c r="C963" s="2780"/>
      <c r="D963" s="2780"/>
      <c r="E963" s="2780"/>
      <c r="F963" s="2780"/>
      <c r="G963" s="2780"/>
      <c r="H963" s="2780"/>
      <c r="I963" s="2780"/>
      <c r="J963" s="2780"/>
      <c r="K963" s="2780"/>
      <c r="L963" s="2780"/>
      <c r="M963" s="2780"/>
      <c r="N963" s="2780"/>
      <c r="O963" s="2780"/>
      <c r="P963" s="2780"/>
      <c r="Q963" s="2780"/>
      <c r="R963" s="2780"/>
      <c r="S963" s="2780"/>
      <c r="T963" s="2780"/>
      <c r="U963" s="2780"/>
      <c r="V963" s="2780"/>
      <c r="W963" s="2780"/>
      <c r="X963" s="2780"/>
      <c r="Y963" s="2780"/>
      <c r="Z963" s="2780"/>
      <c r="AA963" s="2780"/>
      <c r="AB963" s="2780"/>
    </row>
    <row r="964" spans="1:28" s="352" customFormat="1" ht="18" customHeight="1" x14ac:dyDescent="0.2">
      <c r="A964" s="2686" t="s">
        <v>2</v>
      </c>
      <c r="B964" s="360"/>
      <c r="C964" s="2686" t="s">
        <v>3</v>
      </c>
      <c r="D964" s="360"/>
      <c r="E964" s="360"/>
      <c r="F964" s="2693" t="s">
        <v>4</v>
      </c>
      <c r="G964" s="2693"/>
      <c r="H964" s="2693"/>
      <c r="I964" s="2694"/>
      <c r="J964" s="2694"/>
      <c r="K964" s="2695"/>
      <c r="L964" s="361"/>
      <c r="M964" s="2679" t="s">
        <v>5</v>
      </c>
      <c r="N964" s="2679"/>
      <c r="O964" s="2679"/>
      <c r="P964" s="2679"/>
      <c r="Q964" s="2696"/>
      <c r="R964" s="2696"/>
      <c r="S964" s="2696"/>
      <c r="T964" s="2696"/>
      <c r="U964" s="2696"/>
      <c r="V964" s="2697"/>
      <c r="W964" s="362" t="s">
        <v>6</v>
      </c>
      <c r="X964" s="363" t="s">
        <v>7</v>
      </c>
      <c r="Y964" s="364"/>
      <c r="Z964" s="364"/>
      <c r="AA964" s="363"/>
      <c r="AB964" s="365"/>
    </row>
    <row r="965" spans="1:28" s="352" customFormat="1" ht="18" customHeight="1" x14ac:dyDescent="0.2">
      <c r="A965" s="2687"/>
      <c r="B965" s="367"/>
      <c r="C965" s="2687"/>
      <c r="D965" s="2158" t="s">
        <v>9</v>
      </c>
      <c r="E965" s="368" t="s">
        <v>10</v>
      </c>
      <c r="F965" s="2698" t="s">
        <v>11</v>
      </c>
      <c r="G965" s="2694"/>
      <c r="H965" s="2695"/>
      <c r="I965" s="360"/>
      <c r="J965" s="369" t="s">
        <v>12</v>
      </c>
      <c r="K965" s="360"/>
      <c r="L965" s="2679" t="s">
        <v>2</v>
      </c>
      <c r="M965" s="2162"/>
      <c r="N965" s="2162"/>
      <c r="O965" s="2162"/>
      <c r="P965" s="371"/>
      <c r="Q965" s="372" t="s">
        <v>13</v>
      </c>
      <c r="R965" s="373" t="s">
        <v>12</v>
      </c>
      <c r="S965" s="2162" t="s">
        <v>6</v>
      </c>
      <c r="T965" s="2682" t="s">
        <v>14</v>
      </c>
      <c r="U965" s="2683"/>
      <c r="V965" s="375" t="s">
        <v>7</v>
      </c>
      <c r="W965" s="376" t="s">
        <v>15</v>
      </c>
      <c r="X965" s="377" t="s">
        <v>16</v>
      </c>
      <c r="Y965" s="377" t="s">
        <v>17</v>
      </c>
      <c r="Z965" s="377" t="s">
        <v>18</v>
      </c>
      <c r="AA965" s="377"/>
      <c r="AB965" s="378" t="s">
        <v>19</v>
      </c>
    </row>
    <row r="966" spans="1:28" s="352" customFormat="1" ht="18" customHeight="1" x14ac:dyDescent="0.2">
      <c r="A966" s="2687"/>
      <c r="B966" s="2158" t="s">
        <v>23</v>
      </c>
      <c r="C966" s="2687"/>
      <c r="D966" s="2158" t="s">
        <v>24</v>
      </c>
      <c r="E966" s="368" t="s">
        <v>25</v>
      </c>
      <c r="F966" s="2699"/>
      <c r="G966" s="2700"/>
      <c r="H966" s="2701"/>
      <c r="I966" s="2158" t="s">
        <v>26</v>
      </c>
      <c r="J966" s="379" t="s">
        <v>15</v>
      </c>
      <c r="K966" s="2159" t="s">
        <v>6</v>
      </c>
      <c r="L966" s="2680"/>
      <c r="M966" s="2163" t="s">
        <v>27</v>
      </c>
      <c r="N966" s="2163" t="s">
        <v>10</v>
      </c>
      <c r="O966" s="382" t="s">
        <v>10</v>
      </c>
      <c r="P966" s="383" t="s">
        <v>28</v>
      </c>
      <c r="Q966" s="384" t="s">
        <v>29</v>
      </c>
      <c r="R966" s="383" t="s">
        <v>15</v>
      </c>
      <c r="S966" s="385" t="s">
        <v>15</v>
      </c>
      <c r="T966" s="2684"/>
      <c r="U966" s="2685"/>
      <c r="V966" s="375" t="s">
        <v>30</v>
      </c>
      <c r="W966" s="376" t="s">
        <v>31</v>
      </c>
      <c r="X966" s="377" t="s">
        <v>30</v>
      </c>
      <c r="Y966" s="377" t="s">
        <v>32</v>
      </c>
      <c r="Z966" s="377" t="s">
        <v>7</v>
      </c>
      <c r="AA966" s="377" t="s">
        <v>33</v>
      </c>
      <c r="AB966" s="378" t="s">
        <v>34</v>
      </c>
    </row>
    <row r="967" spans="1:28" s="352" customFormat="1" ht="18" customHeight="1" x14ac:dyDescent="0.2">
      <c r="A967" s="2687"/>
      <c r="B967" s="2158" t="s">
        <v>39</v>
      </c>
      <c r="C967" s="2687"/>
      <c r="D967" s="2158" t="s">
        <v>40</v>
      </c>
      <c r="E967" s="368" t="s">
        <v>41</v>
      </c>
      <c r="F967" s="2686" t="s">
        <v>42</v>
      </c>
      <c r="G967" s="2686" t="s">
        <v>43</v>
      </c>
      <c r="H967" s="2688" t="s">
        <v>44</v>
      </c>
      <c r="I967" s="2158" t="s">
        <v>45</v>
      </c>
      <c r="J967" s="379" t="s">
        <v>46</v>
      </c>
      <c r="K967" s="2159" t="s">
        <v>47</v>
      </c>
      <c r="L967" s="2680"/>
      <c r="M967" s="2163" t="s">
        <v>30</v>
      </c>
      <c r="N967" s="2163" t="s">
        <v>30</v>
      </c>
      <c r="O967" s="382" t="s">
        <v>25</v>
      </c>
      <c r="P967" s="383" t="s">
        <v>30</v>
      </c>
      <c r="Q967" s="384" t="s">
        <v>48</v>
      </c>
      <c r="R967" s="383" t="s">
        <v>49</v>
      </c>
      <c r="S967" s="385" t="s">
        <v>30</v>
      </c>
      <c r="T967" s="386" t="s">
        <v>50</v>
      </c>
      <c r="U967" s="2161" t="s">
        <v>13</v>
      </c>
      <c r="V967" s="375" t="s">
        <v>51</v>
      </c>
      <c r="W967" s="376" t="s">
        <v>52</v>
      </c>
      <c r="X967" s="377" t="s">
        <v>53</v>
      </c>
      <c r="Y967" s="377" t="s">
        <v>54</v>
      </c>
      <c r="Z967" s="377" t="s">
        <v>55</v>
      </c>
      <c r="AA967" s="377" t="s">
        <v>56</v>
      </c>
      <c r="AB967" s="378" t="s">
        <v>57</v>
      </c>
    </row>
    <row r="968" spans="1:28" s="352" customFormat="1" ht="18" customHeight="1" x14ac:dyDescent="0.2">
      <c r="A968" s="2687"/>
      <c r="B968" s="2158" t="s">
        <v>61</v>
      </c>
      <c r="C968" s="2687"/>
      <c r="D968" s="2158" t="s">
        <v>62</v>
      </c>
      <c r="E968" s="368" t="s">
        <v>63</v>
      </c>
      <c r="F968" s="2687"/>
      <c r="G968" s="2687"/>
      <c r="H968" s="2689"/>
      <c r="I968" s="2158" t="s">
        <v>64</v>
      </c>
      <c r="J968" s="379" t="s">
        <v>59</v>
      </c>
      <c r="K968" s="2159" t="s">
        <v>59</v>
      </c>
      <c r="L968" s="2680"/>
      <c r="M968" s="2163"/>
      <c r="N968" s="2163"/>
      <c r="O968" s="382" t="s">
        <v>41</v>
      </c>
      <c r="P968" s="383" t="s">
        <v>65</v>
      </c>
      <c r="Q968" s="384" t="s">
        <v>66</v>
      </c>
      <c r="R968" s="383" t="s">
        <v>67</v>
      </c>
      <c r="S968" s="385" t="s">
        <v>59</v>
      </c>
      <c r="T968" s="387" t="s">
        <v>68</v>
      </c>
      <c r="U968" s="375" t="s">
        <v>14</v>
      </c>
      <c r="V968" s="375" t="s">
        <v>14</v>
      </c>
      <c r="W968" s="376" t="s">
        <v>30</v>
      </c>
      <c r="X968" s="388" t="s">
        <v>69</v>
      </c>
      <c r="Y968" s="388" t="s">
        <v>70</v>
      </c>
      <c r="Z968" s="377" t="s">
        <v>71</v>
      </c>
      <c r="AA968" s="377" t="s">
        <v>72</v>
      </c>
      <c r="AB968" s="378" t="s">
        <v>59</v>
      </c>
    </row>
    <row r="969" spans="1:28" s="352" customFormat="1" ht="18" customHeight="1" x14ac:dyDescent="0.2">
      <c r="A969" s="2692"/>
      <c r="B969" s="390"/>
      <c r="C969" s="2692"/>
      <c r="D969" s="390"/>
      <c r="E969" s="2160"/>
      <c r="F969" s="390"/>
      <c r="G969" s="390"/>
      <c r="H969" s="391"/>
      <c r="I969" s="2160"/>
      <c r="J969" s="392"/>
      <c r="K969" s="393"/>
      <c r="L969" s="2681"/>
      <c r="M969" s="2164"/>
      <c r="N969" s="2164"/>
      <c r="O969" s="2164" t="s">
        <v>63</v>
      </c>
      <c r="P969" s="395"/>
      <c r="Q969" s="396" t="s">
        <v>72</v>
      </c>
      <c r="R969" s="397" t="s">
        <v>59</v>
      </c>
      <c r="S969" s="398"/>
      <c r="T969" s="397" t="s">
        <v>73</v>
      </c>
      <c r="U969" s="398" t="s">
        <v>59</v>
      </c>
      <c r="V969" s="399" t="s">
        <v>59</v>
      </c>
      <c r="W969" s="400" t="s">
        <v>59</v>
      </c>
      <c r="X969" s="401" t="s">
        <v>59</v>
      </c>
      <c r="Y969" s="401" t="s">
        <v>59</v>
      </c>
      <c r="Z969" s="401" t="s">
        <v>59</v>
      </c>
      <c r="AA969" s="402"/>
      <c r="AB969" s="403"/>
    </row>
    <row r="970" spans="1:28" s="352" customFormat="1" ht="18" customHeight="1" x14ac:dyDescent="0.25">
      <c r="A970" s="53">
        <v>1</v>
      </c>
      <c r="B970" s="333">
        <v>23189</v>
      </c>
      <c r="C970" s="41">
        <v>663</v>
      </c>
      <c r="D970" s="41" t="s">
        <v>107</v>
      </c>
      <c r="E970" s="41">
        <v>4</v>
      </c>
      <c r="F970" s="41">
        <v>0</v>
      </c>
      <c r="G970" s="41">
        <v>1</v>
      </c>
      <c r="H970" s="267">
        <v>0</v>
      </c>
      <c r="I970" s="302">
        <f>F970*400+G970*100+H970</f>
        <v>100</v>
      </c>
      <c r="J970" s="310">
        <v>3000</v>
      </c>
      <c r="K970" s="310">
        <f>SUM(I970*J970)</f>
        <v>300000</v>
      </c>
      <c r="L970" s="16"/>
      <c r="M970" s="82"/>
      <c r="N970" s="41"/>
      <c r="O970" s="16">
        <v>4</v>
      </c>
      <c r="P970" s="404"/>
      <c r="Q970" s="14"/>
      <c r="R970" s="302"/>
      <c r="S970" s="302"/>
      <c r="T970" s="41"/>
      <c r="U970" s="302"/>
      <c r="V970" s="302"/>
      <c r="W970" s="302">
        <f>K970+V970</f>
        <v>300000</v>
      </c>
      <c r="X970" s="302">
        <f>W970</f>
        <v>300000</v>
      </c>
      <c r="Y970" s="310"/>
      <c r="Z970" s="310">
        <f>+X970</f>
        <v>300000</v>
      </c>
      <c r="AA970" s="405">
        <v>0.6</v>
      </c>
      <c r="AB970" s="465">
        <f>+Z970*AA970/100</f>
        <v>1800</v>
      </c>
    </row>
    <row r="971" spans="1:28" s="352" customFormat="1" ht="18" customHeight="1" x14ac:dyDescent="0.2">
      <c r="A971" s="75"/>
      <c r="B971" s="88"/>
      <c r="C971" s="88"/>
      <c r="D971" s="88"/>
      <c r="E971" s="88"/>
      <c r="F971" s="88"/>
      <c r="G971" s="88"/>
      <c r="H971" s="495"/>
      <c r="I971" s="74"/>
      <c r="J971" s="121"/>
      <c r="K971" s="159"/>
      <c r="L971" s="75"/>
      <c r="M971" s="88"/>
      <c r="N971" s="88"/>
      <c r="O971" s="75"/>
      <c r="P971" s="180"/>
      <c r="Q971" s="174"/>
      <c r="R971" s="413"/>
      <c r="S971" s="74"/>
      <c r="T971" s="88"/>
      <c r="U971" s="74"/>
      <c r="V971" s="74"/>
      <c r="W971" s="74"/>
      <c r="X971" s="74"/>
      <c r="Y971" s="121"/>
      <c r="Z971" s="74"/>
      <c r="AA971" s="414"/>
      <c r="AB971" s="416"/>
    </row>
    <row r="972" spans="1:28" s="352" customFormat="1" ht="18" customHeight="1" x14ac:dyDescent="0.2">
      <c r="A972" s="61"/>
      <c r="B972" s="2166"/>
      <c r="C972" s="2166"/>
      <c r="D972" s="2166"/>
      <c r="E972" s="2166"/>
      <c r="F972" s="2166"/>
      <c r="G972" s="2166"/>
      <c r="H972" s="407"/>
      <c r="I972" s="77"/>
      <c r="J972" s="2168"/>
      <c r="K972" s="78"/>
      <c r="L972" s="61"/>
      <c r="M972" s="2166"/>
      <c r="N972" s="2166"/>
      <c r="O972" s="61"/>
      <c r="P972" s="177"/>
      <c r="Q972" s="196"/>
      <c r="R972" s="408"/>
      <c r="S972" s="77"/>
      <c r="T972" s="2166"/>
      <c r="U972" s="77"/>
      <c r="V972" s="77"/>
      <c r="W972" s="77"/>
      <c r="X972" s="77"/>
      <c r="Y972" s="2168"/>
      <c r="Z972" s="77"/>
      <c r="AA972" s="2170"/>
      <c r="AB972" s="410"/>
    </row>
    <row r="973" spans="1:28" s="352" customFormat="1" ht="18" customHeight="1" x14ac:dyDescent="0.2">
      <c r="A973" s="75"/>
      <c r="B973" s="88"/>
      <c r="C973" s="88"/>
      <c r="D973" s="88"/>
      <c r="E973" s="88"/>
      <c r="F973" s="88"/>
      <c r="G973" s="88"/>
      <c r="H973" s="495"/>
      <c r="I973" s="74"/>
      <c r="J973" s="121"/>
      <c r="K973" s="159"/>
      <c r="L973" s="75"/>
      <c r="M973" s="88"/>
      <c r="N973" s="88"/>
      <c r="O973" s="75"/>
      <c r="P973" s="180"/>
      <c r="Q973" s="174"/>
      <c r="R973" s="413"/>
      <c r="S973" s="74"/>
      <c r="T973" s="88"/>
      <c r="U973" s="74"/>
      <c r="V973" s="74"/>
      <c r="W973" s="74"/>
      <c r="X973" s="74"/>
      <c r="Y973" s="121"/>
      <c r="Z973" s="74"/>
      <c r="AA973" s="414"/>
      <c r="AB973" s="410"/>
    </row>
    <row r="974" spans="1:28" s="352" customFormat="1" ht="18" customHeight="1" x14ac:dyDescent="0.2">
      <c r="A974" s="75"/>
      <c r="B974" s="88"/>
      <c r="C974" s="88"/>
      <c r="D974" s="88"/>
      <c r="E974" s="88"/>
      <c r="F974" s="88"/>
      <c r="G974" s="88"/>
      <c r="H974" s="495"/>
      <c r="I974" s="74"/>
      <c r="J974" s="121"/>
      <c r="K974" s="159"/>
      <c r="L974" s="75"/>
      <c r="M974" s="88"/>
      <c r="N974" s="88"/>
      <c r="O974" s="75"/>
      <c r="P974" s="180"/>
      <c r="Q974" s="174"/>
      <c r="R974" s="413"/>
      <c r="S974" s="74"/>
      <c r="T974" s="88"/>
      <c r="U974" s="74"/>
      <c r="V974" s="74"/>
      <c r="W974" s="74"/>
      <c r="X974" s="74"/>
      <c r="Y974" s="121"/>
      <c r="Z974" s="74"/>
      <c r="AA974" s="414"/>
      <c r="AB974" s="416"/>
    </row>
    <row r="975" spans="1:28" s="352" customFormat="1" ht="18" customHeight="1" x14ac:dyDescent="0.2">
      <c r="A975" s="61"/>
      <c r="B975" s="2166"/>
      <c r="C975" s="2166"/>
      <c r="D975" s="2166"/>
      <c r="E975" s="2166"/>
      <c r="F975" s="2166"/>
      <c r="G975" s="2166"/>
      <c r="H975" s="407"/>
      <c r="I975" s="77"/>
      <c r="J975" s="2168"/>
      <c r="K975" s="78"/>
      <c r="L975" s="61"/>
      <c r="M975" s="2166"/>
      <c r="N975" s="2166"/>
      <c r="O975" s="61"/>
      <c r="P975" s="177"/>
      <c r="Q975" s="196"/>
      <c r="R975" s="408"/>
      <c r="S975" s="77"/>
      <c r="T975" s="2166"/>
      <c r="U975" s="77"/>
      <c r="V975" s="77"/>
      <c r="W975" s="77"/>
      <c r="X975" s="77"/>
      <c r="Y975" s="2168"/>
      <c r="Z975" s="77"/>
      <c r="AA975" s="2170"/>
      <c r="AB975" s="410"/>
    </row>
    <row r="976" spans="1:28" s="352" customFormat="1" ht="18" customHeight="1" x14ac:dyDescent="0.2">
      <c r="A976" s="2166"/>
      <c r="B976" s="177"/>
      <c r="C976" s="177"/>
      <c r="D976" s="2166"/>
      <c r="E976" s="2166"/>
      <c r="F976" s="2166"/>
      <c r="G976" s="2166"/>
      <c r="H976" s="2171"/>
      <c r="I976" s="2168"/>
      <c r="J976" s="178"/>
      <c r="K976" s="2168"/>
      <c r="L976" s="2166"/>
      <c r="M976" s="2166"/>
      <c r="N976" s="2166"/>
      <c r="O976" s="2166"/>
      <c r="P976" s="2171"/>
      <c r="Q976" s="2167"/>
      <c r="R976" s="437"/>
      <c r="S976" s="2168"/>
      <c r="T976" s="179"/>
      <c r="U976" s="178"/>
      <c r="V976" s="2168"/>
      <c r="W976" s="2168"/>
      <c r="X976" s="470"/>
      <c r="Y976" s="470"/>
      <c r="Z976" s="471"/>
      <c r="AA976" s="471"/>
      <c r="AB976" s="466"/>
    </row>
    <row r="977" spans="1:28" s="352" customFormat="1" ht="18" customHeight="1" x14ac:dyDescent="0.2">
      <c r="A977" s="2166"/>
      <c r="B977" s="177"/>
      <c r="C977" s="177"/>
      <c r="D977" s="2166"/>
      <c r="E977" s="2166"/>
      <c r="F977" s="2166"/>
      <c r="G977" s="2166"/>
      <c r="H977" s="2171"/>
      <c r="I977" s="2168"/>
      <c r="J977" s="178"/>
      <c r="K977" s="2168"/>
      <c r="L977" s="2166"/>
      <c r="M977" s="2166"/>
      <c r="N977" s="2166"/>
      <c r="O977" s="2166"/>
      <c r="P977" s="2171"/>
      <c r="Q977" s="2167"/>
      <c r="R977" s="437"/>
      <c r="S977" s="2168"/>
      <c r="T977" s="179"/>
      <c r="U977" s="178"/>
      <c r="V977" s="2168"/>
      <c r="W977" s="2168"/>
      <c r="X977" s="470"/>
      <c r="Y977" s="470"/>
      <c r="Z977" s="471"/>
      <c r="AA977" s="471"/>
      <c r="AB977" s="466"/>
    </row>
    <row r="978" spans="1:28" s="352" customFormat="1" ht="18" customHeight="1" x14ac:dyDescent="0.2">
      <c r="A978" s="2166"/>
      <c r="B978" s="177"/>
      <c r="C978" s="177"/>
      <c r="D978" s="2166"/>
      <c r="E978" s="2166"/>
      <c r="F978" s="2166"/>
      <c r="G978" s="2166"/>
      <c r="H978" s="2171"/>
      <c r="I978" s="2168"/>
      <c r="J978" s="178"/>
      <c r="K978" s="2168"/>
      <c r="L978" s="2166"/>
      <c r="M978" s="2166"/>
      <c r="N978" s="2166"/>
      <c r="O978" s="2166"/>
      <c r="P978" s="2171"/>
      <c r="Q978" s="2167"/>
      <c r="R978" s="437"/>
      <c r="S978" s="2168"/>
      <c r="T978" s="179"/>
      <c r="U978" s="178"/>
      <c r="V978" s="2168"/>
      <c r="W978" s="2168"/>
      <c r="X978" s="470"/>
      <c r="Y978" s="470"/>
      <c r="Z978" s="471"/>
      <c r="AA978" s="471"/>
      <c r="AB978" s="466"/>
    </row>
    <row r="979" spans="1:28" s="352" customFormat="1" ht="18" customHeight="1" x14ac:dyDescent="0.2">
      <c r="A979" s="2166"/>
      <c r="B979" s="177"/>
      <c r="C979" s="177"/>
      <c r="D979" s="2166"/>
      <c r="E979" s="2166"/>
      <c r="F979" s="2166"/>
      <c r="G979" s="2166"/>
      <c r="H979" s="2171"/>
      <c r="I979" s="2168"/>
      <c r="J979" s="178"/>
      <c r="K979" s="2168"/>
      <c r="L979" s="2166"/>
      <c r="M979" s="2166"/>
      <c r="N979" s="2166"/>
      <c r="O979" s="2166"/>
      <c r="P979" s="2171"/>
      <c r="Q979" s="2167"/>
      <c r="R979" s="437"/>
      <c r="S979" s="2168"/>
      <c r="T979" s="179"/>
      <c r="U979" s="178"/>
      <c r="V979" s="2168"/>
      <c r="W979" s="2168"/>
      <c r="X979" s="470"/>
      <c r="Y979" s="470"/>
      <c r="Z979" s="471"/>
      <c r="AA979" s="471"/>
      <c r="AB979" s="466"/>
    </row>
    <row r="980" spans="1:28" s="352" customFormat="1" ht="18" customHeight="1" x14ac:dyDescent="0.2">
      <c r="A980" s="2166"/>
      <c r="B980" s="177"/>
      <c r="C980" s="177"/>
      <c r="D980" s="2166"/>
      <c r="E980" s="2166"/>
      <c r="F980" s="2166"/>
      <c r="G980" s="2166"/>
      <c r="H980" s="2171"/>
      <c r="I980" s="2168"/>
      <c r="J980" s="178"/>
      <c r="K980" s="2168"/>
      <c r="L980" s="2166"/>
      <c r="M980" s="2166"/>
      <c r="N980" s="2166"/>
      <c r="O980" s="2166"/>
      <c r="P980" s="2171"/>
      <c r="Q980" s="2167"/>
      <c r="R980" s="437"/>
      <c r="S980" s="2168"/>
      <c r="T980" s="179"/>
      <c r="U980" s="178"/>
      <c r="V980" s="2168"/>
      <c r="W980" s="2168"/>
      <c r="X980" s="470"/>
      <c r="Y980" s="470"/>
      <c r="Z980" s="471"/>
      <c r="AA980" s="471"/>
      <c r="AB980" s="466"/>
    </row>
    <row r="981" spans="1:28" s="352" customFormat="1" ht="18" customHeight="1" x14ac:dyDescent="0.2">
      <c r="A981" s="2166"/>
      <c r="B981" s="177"/>
      <c r="C981" s="177"/>
      <c r="D981" s="2166"/>
      <c r="E981" s="2166"/>
      <c r="F981" s="2166"/>
      <c r="G981" s="2166"/>
      <c r="H981" s="2171"/>
      <c r="I981" s="2168"/>
      <c r="J981" s="178"/>
      <c r="K981" s="2168"/>
      <c r="L981" s="2166"/>
      <c r="M981" s="2166"/>
      <c r="N981" s="2166"/>
      <c r="O981" s="2166"/>
      <c r="P981" s="2171"/>
      <c r="Q981" s="2167"/>
      <c r="R981" s="437"/>
      <c r="S981" s="2168"/>
      <c r="T981" s="179"/>
      <c r="U981" s="178"/>
      <c r="V981" s="2168"/>
      <c r="W981" s="2168"/>
      <c r="X981" s="470"/>
      <c r="Y981" s="470"/>
      <c r="Z981" s="471"/>
      <c r="AA981" s="471"/>
      <c r="AB981" s="466"/>
    </row>
    <row r="982" spans="1:28" s="352" customFormat="1" ht="18" customHeight="1" x14ac:dyDescent="0.2">
      <c r="A982" s="2166"/>
      <c r="B982" s="177"/>
      <c r="C982" s="177"/>
      <c r="D982" s="2166"/>
      <c r="E982" s="2166"/>
      <c r="F982" s="2166"/>
      <c r="G982" s="2166"/>
      <c r="H982" s="2171"/>
      <c r="I982" s="2168"/>
      <c r="J982" s="178"/>
      <c r="K982" s="2168"/>
      <c r="L982" s="2166"/>
      <c r="M982" s="2166"/>
      <c r="N982" s="2166"/>
      <c r="O982" s="2166"/>
      <c r="P982" s="2171"/>
      <c r="Q982" s="2167"/>
      <c r="R982" s="437"/>
      <c r="S982" s="2168"/>
      <c r="T982" s="179"/>
      <c r="U982" s="178"/>
      <c r="V982" s="2168"/>
      <c r="W982" s="2168"/>
      <c r="X982" s="470"/>
      <c r="Y982" s="470"/>
      <c r="Z982" s="471"/>
      <c r="AA982" s="471"/>
      <c r="AB982" s="466"/>
    </row>
    <row r="983" spans="1:28" s="352" customFormat="1" ht="18" customHeight="1" x14ac:dyDescent="0.2">
      <c r="A983" s="88"/>
      <c r="B983" s="180"/>
      <c r="C983" s="180"/>
      <c r="D983" s="88"/>
      <c r="E983" s="88"/>
      <c r="F983" s="88"/>
      <c r="G983" s="88"/>
      <c r="H983" s="120"/>
      <c r="I983" s="121"/>
      <c r="J983" s="181"/>
      <c r="K983" s="121"/>
      <c r="L983" s="88"/>
      <c r="M983" s="88"/>
      <c r="N983" s="88"/>
      <c r="O983" s="88"/>
      <c r="P983" s="88"/>
      <c r="Q983" s="129"/>
      <c r="R983" s="445"/>
      <c r="S983" s="121"/>
      <c r="T983" s="182"/>
      <c r="U983" s="181"/>
      <c r="V983" s="121"/>
      <c r="W983" s="121"/>
      <c r="X983" s="472"/>
      <c r="Y983" s="472"/>
      <c r="Z983" s="473"/>
      <c r="AA983" s="473"/>
      <c r="AB983" s="410"/>
    </row>
    <row r="984" spans="1:28" s="352" customFormat="1" ht="18" customHeight="1" x14ac:dyDescent="0.2">
      <c r="A984" s="1850"/>
      <c r="B984" s="1850"/>
      <c r="C984" s="1850"/>
      <c r="D984" s="1850"/>
      <c r="E984" s="1850"/>
      <c r="F984" s="1850"/>
      <c r="G984" s="1850"/>
      <c r="H984" s="1851"/>
      <c r="I984" s="1852"/>
      <c r="J984" s="1853"/>
      <c r="K984" s="1852"/>
      <c r="L984" s="1852"/>
      <c r="M984" s="1852"/>
      <c r="N984" s="1852"/>
      <c r="O984" s="1852"/>
      <c r="P984" s="1852"/>
      <c r="Q984" s="1852"/>
      <c r="R984" s="1854"/>
      <c r="S984" s="1852"/>
      <c r="T984" s="1855"/>
      <c r="U984" s="1853"/>
      <c r="V984" s="1852"/>
      <c r="W984" s="1852"/>
      <c r="X984" s="1856"/>
      <c r="Y984" s="1856"/>
      <c r="Z984" s="1857"/>
      <c r="AA984" s="1857"/>
      <c r="AB984" s="1847">
        <f>SUM(AB970:AB983)</f>
        <v>1800</v>
      </c>
    </row>
    <row r="985" spans="1:28" s="352" customFormat="1" ht="18" customHeight="1" x14ac:dyDescent="0.2">
      <c r="A985" s="2778" t="s">
        <v>76</v>
      </c>
      <c r="B985" s="2778"/>
      <c r="C985" s="2779" t="s">
        <v>77</v>
      </c>
      <c r="D985" s="2779"/>
      <c r="E985" s="2779"/>
      <c r="F985" s="2779"/>
      <c r="G985" s="2779"/>
      <c r="H985" s="2779"/>
      <c r="I985" s="424" t="s">
        <v>78</v>
      </c>
      <c r="J985" s="424"/>
      <c r="K985" s="424"/>
      <c r="L985" s="424"/>
      <c r="M985" s="424"/>
      <c r="N985" s="424"/>
      <c r="AB985" s="425"/>
    </row>
    <row r="986" spans="1:28" s="352" customFormat="1" ht="18" customHeight="1" x14ac:dyDescent="0.2">
      <c r="A986" s="424"/>
      <c r="B986" s="426"/>
      <c r="C986" s="424"/>
      <c r="D986" s="424"/>
      <c r="E986" s="424"/>
      <c r="F986" s="424"/>
      <c r="G986" s="424"/>
      <c r="H986" s="424"/>
      <c r="I986" s="424" t="s">
        <v>79</v>
      </c>
      <c r="J986" s="424"/>
      <c r="K986" s="424"/>
      <c r="L986" s="424"/>
      <c r="M986" s="424"/>
      <c r="N986" s="424"/>
      <c r="AB986" s="425"/>
    </row>
    <row r="987" spans="1:28" s="352" customFormat="1" ht="18" customHeight="1" x14ac:dyDescent="0.2">
      <c r="A987" s="424"/>
      <c r="B987" s="426"/>
      <c r="C987" s="424"/>
      <c r="D987" s="424"/>
      <c r="E987" s="424"/>
      <c r="F987" s="424"/>
      <c r="G987" s="424"/>
      <c r="H987" s="424"/>
      <c r="I987" s="424" t="s">
        <v>80</v>
      </c>
      <c r="J987" s="424"/>
      <c r="K987" s="424"/>
      <c r="L987" s="424"/>
      <c r="M987" s="424"/>
      <c r="N987" s="424"/>
      <c r="AB987" s="425"/>
    </row>
    <row r="988" spans="1:28" s="352" customFormat="1" ht="18" customHeight="1" x14ac:dyDescent="0.2">
      <c r="A988" s="424"/>
      <c r="B988" s="426"/>
      <c r="C988" s="424"/>
      <c r="D988" s="424"/>
      <c r="E988" s="424"/>
      <c r="F988" s="424"/>
      <c r="G988" s="424"/>
      <c r="H988" s="424"/>
      <c r="I988" s="424" t="s">
        <v>81</v>
      </c>
      <c r="J988" s="424"/>
      <c r="K988" s="424"/>
      <c r="L988" s="424"/>
      <c r="M988" s="424"/>
      <c r="N988" s="424"/>
      <c r="AB988" s="425"/>
    </row>
    <row r="989" spans="1:28" s="352" customFormat="1" ht="18" customHeight="1" x14ac:dyDescent="0.2">
      <c r="A989" s="424"/>
      <c r="B989" s="426"/>
      <c r="C989" s="424"/>
      <c r="D989" s="424"/>
      <c r="E989" s="424"/>
      <c r="F989" s="424"/>
      <c r="G989" s="424"/>
      <c r="H989" s="424"/>
      <c r="I989" s="424" t="s">
        <v>88</v>
      </c>
      <c r="J989" s="424"/>
      <c r="K989" s="424"/>
      <c r="L989" s="424"/>
      <c r="M989" s="424"/>
      <c r="N989" s="424"/>
      <c r="AB989" s="425"/>
    </row>
    <row r="990" spans="1:28" s="352" customFormat="1" ht="18" customHeight="1" x14ac:dyDescent="0.2">
      <c r="A990" s="338"/>
      <c r="B990" s="338"/>
      <c r="C990" s="338"/>
      <c r="D990" s="338"/>
      <c r="E990" s="338"/>
      <c r="F990" s="338"/>
      <c r="G990" s="338"/>
      <c r="H990" s="338"/>
      <c r="I990" s="338"/>
      <c r="J990" s="338"/>
      <c r="K990" s="338"/>
      <c r="L990" s="338"/>
      <c r="M990" s="338"/>
      <c r="N990" s="338"/>
      <c r="O990" s="338"/>
      <c r="P990" s="338"/>
      <c r="Q990" s="338"/>
      <c r="R990" s="338"/>
      <c r="S990" s="338"/>
      <c r="T990" s="338"/>
      <c r="U990" s="338"/>
      <c r="V990" s="338"/>
      <c r="W990" s="338"/>
      <c r="X990" s="338"/>
      <c r="Y990" s="338"/>
      <c r="Z990" s="338"/>
      <c r="AA990" s="2774" t="s">
        <v>0</v>
      </c>
      <c r="AB990" s="2774"/>
    </row>
    <row r="991" spans="1:28" s="352" customFormat="1" ht="18" customHeight="1" x14ac:dyDescent="0.2">
      <c r="A991" s="2703" t="s">
        <v>1</v>
      </c>
      <c r="B991" s="2703"/>
      <c r="C991" s="2703"/>
      <c r="D991" s="2703"/>
      <c r="E991" s="2703"/>
      <c r="F991" s="2703"/>
      <c r="G991" s="2703"/>
      <c r="H991" s="2703"/>
      <c r="I991" s="2703"/>
      <c r="J991" s="2703"/>
      <c r="K991" s="2703"/>
      <c r="L991" s="2703"/>
      <c r="M991" s="2703"/>
      <c r="N991" s="2703"/>
      <c r="O991" s="2703"/>
      <c r="P991" s="2703"/>
      <c r="Q991" s="2703"/>
      <c r="R991" s="2703"/>
      <c r="S991" s="2703"/>
      <c r="T991" s="2703"/>
      <c r="U991" s="2703"/>
      <c r="V991" s="2703"/>
      <c r="W991" s="2703"/>
      <c r="X991" s="2703"/>
      <c r="Y991" s="2703"/>
      <c r="Z991" s="2703"/>
      <c r="AA991" s="2703"/>
      <c r="AB991" s="2703"/>
    </row>
    <row r="992" spans="1:28" s="352" customFormat="1" ht="18" customHeight="1" x14ac:dyDescent="0.2">
      <c r="A992" s="2780" t="s">
        <v>632</v>
      </c>
      <c r="B992" s="2780"/>
      <c r="C992" s="2780"/>
      <c r="D992" s="2780"/>
      <c r="E992" s="2780"/>
      <c r="F992" s="2780"/>
      <c r="G992" s="2780"/>
      <c r="H992" s="2780"/>
      <c r="I992" s="2780"/>
      <c r="J992" s="2780"/>
      <c r="K992" s="2780"/>
      <c r="L992" s="2780"/>
      <c r="M992" s="2780"/>
      <c r="N992" s="2780"/>
      <c r="O992" s="2780"/>
      <c r="P992" s="2780"/>
      <c r="Q992" s="2780"/>
      <c r="R992" s="2780"/>
      <c r="S992" s="2780"/>
      <c r="T992" s="2780"/>
      <c r="U992" s="2780"/>
      <c r="V992" s="2780"/>
      <c r="W992" s="2780"/>
      <c r="X992" s="2780"/>
      <c r="Y992" s="2780"/>
      <c r="Z992" s="2780"/>
      <c r="AA992" s="2780"/>
      <c r="AB992" s="2780"/>
    </row>
    <row r="993" spans="1:28" s="352" customFormat="1" ht="18" customHeight="1" x14ac:dyDescent="0.2">
      <c r="A993" s="2686" t="s">
        <v>2</v>
      </c>
      <c r="B993" s="360"/>
      <c r="C993" s="2686" t="s">
        <v>3</v>
      </c>
      <c r="D993" s="360"/>
      <c r="E993" s="360"/>
      <c r="F993" s="2693" t="s">
        <v>4</v>
      </c>
      <c r="G993" s="2693"/>
      <c r="H993" s="2693"/>
      <c r="I993" s="2694"/>
      <c r="J993" s="2694"/>
      <c r="K993" s="2695"/>
      <c r="L993" s="361"/>
      <c r="M993" s="2679" t="s">
        <v>5</v>
      </c>
      <c r="N993" s="2679"/>
      <c r="O993" s="2679"/>
      <c r="P993" s="2679"/>
      <c r="Q993" s="2696"/>
      <c r="R993" s="2696"/>
      <c r="S993" s="2696"/>
      <c r="T993" s="2696"/>
      <c r="U993" s="2696"/>
      <c r="V993" s="2697"/>
      <c r="W993" s="362" t="s">
        <v>6</v>
      </c>
      <c r="X993" s="363" t="s">
        <v>7</v>
      </c>
      <c r="Y993" s="364"/>
      <c r="Z993" s="364"/>
      <c r="AA993" s="363"/>
      <c r="AB993" s="365"/>
    </row>
    <row r="994" spans="1:28" s="352" customFormat="1" ht="18" customHeight="1" x14ac:dyDescent="0.2">
      <c r="A994" s="2687"/>
      <c r="B994" s="367"/>
      <c r="C994" s="2687"/>
      <c r="D994" s="2158" t="s">
        <v>9</v>
      </c>
      <c r="E994" s="368" t="s">
        <v>10</v>
      </c>
      <c r="F994" s="2698" t="s">
        <v>11</v>
      </c>
      <c r="G994" s="2694"/>
      <c r="H994" s="2695"/>
      <c r="I994" s="360"/>
      <c r="J994" s="369" t="s">
        <v>12</v>
      </c>
      <c r="K994" s="360"/>
      <c r="L994" s="2679" t="s">
        <v>2</v>
      </c>
      <c r="M994" s="2162"/>
      <c r="N994" s="2162"/>
      <c r="O994" s="2162"/>
      <c r="P994" s="371"/>
      <c r="Q994" s="372" t="s">
        <v>13</v>
      </c>
      <c r="R994" s="373" t="s">
        <v>12</v>
      </c>
      <c r="S994" s="2162" t="s">
        <v>6</v>
      </c>
      <c r="T994" s="2682" t="s">
        <v>14</v>
      </c>
      <c r="U994" s="2683"/>
      <c r="V994" s="375" t="s">
        <v>7</v>
      </c>
      <c r="W994" s="376" t="s">
        <v>15</v>
      </c>
      <c r="X994" s="377" t="s">
        <v>16</v>
      </c>
      <c r="Y994" s="377" t="s">
        <v>17</v>
      </c>
      <c r="Z994" s="377" t="s">
        <v>18</v>
      </c>
      <c r="AA994" s="377"/>
      <c r="AB994" s="378" t="s">
        <v>19</v>
      </c>
    </row>
    <row r="995" spans="1:28" s="352" customFormat="1" ht="18" customHeight="1" x14ac:dyDescent="0.2">
      <c r="A995" s="2687"/>
      <c r="B995" s="2158" t="s">
        <v>23</v>
      </c>
      <c r="C995" s="2687"/>
      <c r="D995" s="2158" t="s">
        <v>24</v>
      </c>
      <c r="E995" s="368" t="s">
        <v>25</v>
      </c>
      <c r="F995" s="2699"/>
      <c r="G995" s="2700"/>
      <c r="H995" s="2701"/>
      <c r="I995" s="2158" t="s">
        <v>26</v>
      </c>
      <c r="J995" s="379" t="s">
        <v>15</v>
      </c>
      <c r="K995" s="2159" t="s">
        <v>6</v>
      </c>
      <c r="L995" s="2680"/>
      <c r="M995" s="2163" t="s">
        <v>27</v>
      </c>
      <c r="N995" s="2163" t="s">
        <v>10</v>
      </c>
      <c r="O995" s="382" t="s">
        <v>10</v>
      </c>
      <c r="P995" s="383" t="s">
        <v>28</v>
      </c>
      <c r="Q995" s="384" t="s">
        <v>29</v>
      </c>
      <c r="R995" s="383" t="s">
        <v>15</v>
      </c>
      <c r="S995" s="385" t="s">
        <v>15</v>
      </c>
      <c r="T995" s="2684"/>
      <c r="U995" s="2685"/>
      <c r="V995" s="375" t="s">
        <v>30</v>
      </c>
      <c r="W995" s="376" t="s">
        <v>31</v>
      </c>
      <c r="X995" s="377" t="s">
        <v>30</v>
      </c>
      <c r="Y995" s="377" t="s">
        <v>32</v>
      </c>
      <c r="Z995" s="377" t="s">
        <v>7</v>
      </c>
      <c r="AA995" s="377" t="s">
        <v>33</v>
      </c>
      <c r="AB995" s="378" t="s">
        <v>34</v>
      </c>
    </row>
    <row r="996" spans="1:28" s="352" customFormat="1" ht="18" customHeight="1" x14ac:dyDescent="0.2">
      <c r="A996" s="2687"/>
      <c r="B996" s="2158" t="s">
        <v>39</v>
      </c>
      <c r="C996" s="2687"/>
      <c r="D996" s="2158" t="s">
        <v>40</v>
      </c>
      <c r="E996" s="368" t="s">
        <v>41</v>
      </c>
      <c r="F996" s="2686" t="s">
        <v>42</v>
      </c>
      <c r="G996" s="2686" t="s">
        <v>43</v>
      </c>
      <c r="H996" s="2688" t="s">
        <v>44</v>
      </c>
      <c r="I996" s="2158" t="s">
        <v>45</v>
      </c>
      <c r="J996" s="379" t="s">
        <v>46</v>
      </c>
      <c r="K996" s="2159" t="s">
        <v>47</v>
      </c>
      <c r="L996" s="2680"/>
      <c r="M996" s="2163" t="s">
        <v>30</v>
      </c>
      <c r="N996" s="2163" t="s">
        <v>30</v>
      </c>
      <c r="O996" s="382" t="s">
        <v>25</v>
      </c>
      <c r="P996" s="383" t="s">
        <v>30</v>
      </c>
      <c r="Q996" s="384" t="s">
        <v>48</v>
      </c>
      <c r="R996" s="383" t="s">
        <v>49</v>
      </c>
      <c r="S996" s="385" t="s">
        <v>30</v>
      </c>
      <c r="T996" s="386" t="s">
        <v>50</v>
      </c>
      <c r="U996" s="2161" t="s">
        <v>13</v>
      </c>
      <c r="V996" s="375" t="s">
        <v>51</v>
      </c>
      <c r="W996" s="376" t="s">
        <v>52</v>
      </c>
      <c r="X996" s="377" t="s">
        <v>53</v>
      </c>
      <c r="Y996" s="377" t="s">
        <v>54</v>
      </c>
      <c r="Z996" s="377" t="s">
        <v>55</v>
      </c>
      <c r="AA996" s="377" t="s">
        <v>56</v>
      </c>
      <c r="AB996" s="378" t="s">
        <v>57</v>
      </c>
    </row>
    <row r="997" spans="1:28" s="352" customFormat="1" ht="18" customHeight="1" x14ac:dyDescent="0.2">
      <c r="A997" s="2687"/>
      <c r="B997" s="2158" t="s">
        <v>61</v>
      </c>
      <c r="C997" s="2687"/>
      <c r="D997" s="2158" t="s">
        <v>62</v>
      </c>
      <c r="E997" s="368" t="s">
        <v>63</v>
      </c>
      <c r="F997" s="2687"/>
      <c r="G997" s="2687"/>
      <c r="H997" s="2689"/>
      <c r="I997" s="2158" t="s">
        <v>64</v>
      </c>
      <c r="J997" s="379" t="s">
        <v>59</v>
      </c>
      <c r="K997" s="2159" t="s">
        <v>59</v>
      </c>
      <c r="L997" s="2680"/>
      <c r="M997" s="2163"/>
      <c r="N997" s="2163"/>
      <c r="O997" s="382" t="s">
        <v>41</v>
      </c>
      <c r="P997" s="383" t="s">
        <v>65</v>
      </c>
      <c r="Q997" s="384" t="s">
        <v>66</v>
      </c>
      <c r="R997" s="383" t="s">
        <v>67</v>
      </c>
      <c r="S997" s="385" t="s">
        <v>59</v>
      </c>
      <c r="T997" s="387" t="s">
        <v>68</v>
      </c>
      <c r="U997" s="375" t="s">
        <v>14</v>
      </c>
      <c r="V997" s="375" t="s">
        <v>14</v>
      </c>
      <c r="W997" s="376" t="s">
        <v>30</v>
      </c>
      <c r="X997" s="388" t="s">
        <v>69</v>
      </c>
      <c r="Y997" s="388" t="s">
        <v>70</v>
      </c>
      <c r="Z997" s="377" t="s">
        <v>71</v>
      </c>
      <c r="AA997" s="377" t="s">
        <v>72</v>
      </c>
      <c r="AB997" s="378" t="s">
        <v>59</v>
      </c>
    </row>
    <row r="998" spans="1:28" s="352" customFormat="1" ht="18" customHeight="1" x14ac:dyDescent="0.2">
      <c r="A998" s="2692"/>
      <c r="B998" s="390"/>
      <c r="C998" s="2692"/>
      <c r="D998" s="390"/>
      <c r="E998" s="2160"/>
      <c r="F998" s="390"/>
      <c r="G998" s="390"/>
      <c r="H998" s="391"/>
      <c r="I998" s="2160"/>
      <c r="J998" s="392"/>
      <c r="K998" s="393"/>
      <c r="L998" s="2681"/>
      <c r="M998" s="2164"/>
      <c r="N998" s="2164"/>
      <c r="O998" s="2164" t="s">
        <v>63</v>
      </c>
      <c r="P998" s="395"/>
      <c r="Q998" s="396" t="s">
        <v>72</v>
      </c>
      <c r="R998" s="397" t="s">
        <v>59</v>
      </c>
      <c r="S998" s="398"/>
      <c r="T998" s="397" t="s">
        <v>73</v>
      </c>
      <c r="U998" s="398" t="s">
        <v>59</v>
      </c>
      <c r="V998" s="399" t="s">
        <v>59</v>
      </c>
      <c r="W998" s="400" t="s">
        <v>59</v>
      </c>
      <c r="X998" s="401" t="s">
        <v>59</v>
      </c>
      <c r="Y998" s="401" t="s">
        <v>59</v>
      </c>
      <c r="Z998" s="401" t="s">
        <v>59</v>
      </c>
      <c r="AA998" s="402"/>
      <c r="AB998" s="403"/>
    </row>
    <row r="999" spans="1:28" s="352" customFormat="1" ht="18" customHeight="1" x14ac:dyDescent="0.2">
      <c r="A999" s="53">
        <v>1</v>
      </c>
      <c r="B999" s="95">
        <v>23190</v>
      </c>
      <c r="C999" s="82">
        <v>664</v>
      </c>
      <c r="D999" s="82" t="s">
        <v>107</v>
      </c>
      <c r="E999" s="82">
        <v>3</v>
      </c>
      <c r="F999" s="82">
        <v>0</v>
      </c>
      <c r="G999" s="82">
        <v>0</v>
      </c>
      <c r="H999" s="463">
        <v>55</v>
      </c>
      <c r="I999" s="70">
        <f>F999*400+G999*100+H999</f>
        <v>55</v>
      </c>
      <c r="J999" s="123">
        <v>3000</v>
      </c>
      <c r="K999" s="124">
        <f>SUM(I999*J999)</f>
        <v>165000</v>
      </c>
      <c r="L999" s="53"/>
      <c r="M999" s="82"/>
      <c r="N999" s="82"/>
      <c r="O999" s="53"/>
      <c r="P999" s="358"/>
      <c r="Q999" s="197"/>
      <c r="R999" s="444"/>
      <c r="S999" s="70"/>
      <c r="T999" s="82"/>
      <c r="U999" s="70"/>
      <c r="V999" s="70"/>
      <c r="W999" s="70">
        <f>K999+V999</f>
        <v>165000</v>
      </c>
      <c r="X999" s="70">
        <f>W999</f>
        <v>165000</v>
      </c>
      <c r="Y999" s="123"/>
      <c r="Z999" s="70">
        <f>+X999</f>
        <v>165000</v>
      </c>
      <c r="AA999" s="464">
        <v>0.3</v>
      </c>
      <c r="AB999" s="465">
        <f>+Z999*AA999/100</f>
        <v>495</v>
      </c>
    </row>
    <row r="1000" spans="1:28" s="352" customFormat="1" ht="18" customHeight="1" x14ac:dyDescent="0.2">
      <c r="A1000" s="75">
        <v>2</v>
      </c>
      <c r="B1000" s="85">
        <v>23209</v>
      </c>
      <c r="C1000" s="88">
        <v>673</v>
      </c>
      <c r="D1000" s="88" t="s">
        <v>107</v>
      </c>
      <c r="E1000" s="88">
        <v>3</v>
      </c>
      <c r="F1000" s="88">
        <v>0</v>
      </c>
      <c r="G1000" s="88">
        <v>0</v>
      </c>
      <c r="H1000" s="495">
        <v>44</v>
      </c>
      <c r="I1000" s="74">
        <f>F1000*400+G1000*100+H1000</f>
        <v>44</v>
      </c>
      <c r="J1000" s="121">
        <v>2000</v>
      </c>
      <c r="K1000" s="159">
        <f>SUM(I1000*J1000)</f>
        <v>88000</v>
      </c>
      <c r="L1000" s="75"/>
      <c r="M1000" s="88"/>
      <c r="N1000" s="88"/>
      <c r="O1000" s="75"/>
      <c r="P1000" s="180"/>
      <c r="Q1000" s="174"/>
      <c r="R1000" s="413"/>
      <c r="S1000" s="74"/>
      <c r="T1000" s="88"/>
      <c r="U1000" s="74"/>
      <c r="V1000" s="74"/>
      <c r="W1000" s="74">
        <f>K1000+V1000</f>
        <v>88000</v>
      </c>
      <c r="X1000" s="74">
        <f>W1000</f>
        <v>88000</v>
      </c>
      <c r="Y1000" s="121"/>
      <c r="Z1000" s="74">
        <f>+X1000</f>
        <v>88000</v>
      </c>
      <c r="AA1000" s="414">
        <v>0.3</v>
      </c>
      <c r="AB1000" s="410">
        <f>+Z1000*AA1000/100</f>
        <v>264</v>
      </c>
    </row>
    <row r="1001" spans="1:28" s="352" customFormat="1" ht="18" customHeight="1" x14ac:dyDescent="0.2">
      <c r="A1001" s="75"/>
      <c r="B1001" s="88"/>
      <c r="C1001" s="88"/>
      <c r="D1001" s="88"/>
      <c r="E1001" s="88"/>
      <c r="F1001" s="88"/>
      <c r="G1001" s="88"/>
      <c r="H1001" s="495"/>
      <c r="I1001" s="74"/>
      <c r="J1001" s="121"/>
      <c r="K1001" s="159"/>
      <c r="L1001" s="75"/>
      <c r="M1001" s="88"/>
      <c r="N1001" s="88"/>
      <c r="O1001" s="75"/>
      <c r="P1001" s="180"/>
      <c r="Q1001" s="174"/>
      <c r="R1001" s="413"/>
      <c r="S1001" s="74"/>
      <c r="T1001" s="88"/>
      <c r="U1001" s="74"/>
      <c r="V1001" s="74"/>
      <c r="W1001" s="74"/>
      <c r="X1001" s="74"/>
      <c r="Y1001" s="121"/>
      <c r="Z1001" s="74"/>
      <c r="AA1001" s="414"/>
      <c r="AB1001" s="410"/>
    </row>
    <row r="1002" spans="1:28" s="352" customFormat="1" ht="18" customHeight="1" x14ac:dyDescent="0.2">
      <c r="A1002" s="75"/>
      <c r="B1002" s="88"/>
      <c r="C1002" s="88"/>
      <c r="D1002" s="88"/>
      <c r="E1002" s="88"/>
      <c r="F1002" s="88"/>
      <c r="G1002" s="88"/>
      <c r="H1002" s="495"/>
      <c r="I1002" s="74"/>
      <c r="J1002" s="121"/>
      <c r="K1002" s="159"/>
      <c r="L1002" s="75"/>
      <c r="M1002" s="88"/>
      <c r="N1002" s="88"/>
      <c r="O1002" s="75"/>
      <c r="P1002" s="180"/>
      <c r="Q1002" s="174"/>
      <c r="R1002" s="413"/>
      <c r="S1002" s="74"/>
      <c r="T1002" s="88"/>
      <c r="U1002" s="74"/>
      <c r="V1002" s="74"/>
      <c r="W1002" s="74"/>
      <c r="X1002" s="74"/>
      <c r="Y1002" s="121"/>
      <c r="Z1002" s="74"/>
      <c r="AA1002" s="414"/>
      <c r="AB1002" s="410"/>
    </row>
    <row r="1003" spans="1:28" s="352" customFormat="1" ht="18" customHeight="1" x14ac:dyDescent="0.2">
      <c r="A1003" s="75"/>
      <c r="B1003" s="88"/>
      <c r="C1003" s="88"/>
      <c r="D1003" s="88"/>
      <c r="E1003" s="88"/>
      <c r="F1003" s="88"/>
      <c r="G1003" s="88"/>
      <c r="H1003" s="495"/>
      <c r="I1003" s="74"/>
      <c r="J1003" s="121"/>
      <c r="K1003" s="159"/>
      <c r="L1003" s="75"/>
      <c r="M1003" s="88"/>
      <c r="N1003" s="88"/>
      <c r="O1003" s="75"/>
      <c r="P1003" s="180"/>
      <c r="Q1003" s="174"/>
      <c r="R1003" s="413"/>
      <c r="S1003" s="74"/>
      <c r="T1003" s="88"/>
      <c r="U1003" s="74"/>
      <c r="V1003" s="74"/>
      <c r="W1003" s="74"/>
      <c r="X1003" s="74"/>
      <c r="Y1003" s="121"/>
      <c r="Z1003" s="74"/>
      <c r="AA1003" s="414"/>
      <c r="AB1003" s="416"/>
    </row>
    <row r="1004" spans="1:28" s="352" customFormat="1" ht="18" customHeight="1" x14ac:dyDescent="0.2">
      <c r="A1004" s="61"/>
      <c r="B1004" s="2166"/>
      <c r="C1004" s="2166"/>
      <c r="D1004" s="2166"/>
      <c r="E1004" s="2166"/>
      <c r="F1004" s="2166"/>
      <c r="G1004" s="2166"/>
      <c r="H1004" s="407"/>
      <c r="I1004" s="77"/>
      <c r="J1004" s="2168"/>
      <c r="K1004" s="78"/>
      <c r="L1004" s="61"/>
      <c r="M1004" s="2166"/>
      <c r="N1004" s="2166"/>
      <c r="O1004" s="61"/>
      <c r="P1004" s="177"/>
      <c r="Q1004" s="196"/>
      <c r="R1004" s="408"/>
      <c r="S1004" s="77"/>
      <c r="T1004" s="2166"/>
      <c r="U1004" s="77"/>
      <c r="V1004" s="77"/>
      <c r="W1004" s="77"/>
      <c r="X1004" s="77"/>
      <c r="Y1004" s="2168"/>
      <c r="Z1004" s="77"/>
      <c r="AA1004" s="2170"/>
      <c r="AB1004" s="410"/>
    </row>
    <row r="1005" spans="1:28" s="352" customFormat="1" ht="18" customHeight="1" x14ac:dyDescent="0.2">
      <c r="A1005" s="2166"/>
      <c r="B1005" s="177"/>
      <c r="C1005" s="177"/>
      <c r="D1005" s="2166"/>
      <c r="E1005" s="2166"/>
      <c r="F1005" s="2166"/>
      <c r="G1005" s="2166"/>
      <c r="H1005" s="2171"/>
      <c r="I1005" s="2168"/>
      <c r="J1005" s="178"/>
      <c r="K1005" s="2168"/>
      <c r="L1005" s="2166"/>
      <c r="M1005" s="2166"/>
      <c r="N1005" s="2166"/>
      <c r="O1005" s="2166"/>
      <c r="P1005" s="2171"/>
      <c r="Q1005" s="2167"/>
      <c r="R1005" s="437"/>
      <c r="S1005" s="2168"/>
      <c r="T1005" s="179"/>
      <c r="U1005" s="178"/>
      <c r="V1005" s="2168"/>
      <c r="W1005" s="2168"/>
      <c r="X1005" s="470"/>
      <c r="Y1005" s="470"/>
      <c r="Z1005" s="471"/>
      <c r="AA1005" s="471"/>
      <c r="AB1005" s="466"/>
    </row>
    <row r="1006" spans="1:28" s="352" customFormat="1" ht="18" customHeight="1" x14ac:dyDescent="0.2">
      <c r="A1006" s="2166"/>
      <c r="B1006" s="177"/>
      <c r="C1006" s="177"/>
      <c r="D1006" s="2166"/>
      <c r="E1006" s="2166"/>
      <c r="F1006" s="2166"/>
      <c r="G1006" s="2166"/>
      <c r="H1006" s="2171"/>
      <c r="I1006" s="2168"/>
      <c r="J1006" s="178"/>
      <c r="K1006" s="2168"/>
      <c r="L1006" s="2166"/>
      <c r="M1006" s="2166"/>
      <c r="N1006" s="2166"/>
      <c r="O1006" s="2166"/>
      <c r="P1006" s="2171"/>
      <c r="Q1006" s="2167"/>
      <c r="R1006" s="437"/>
      <c r="S1006" s="2168"/>
      <c r="T1006" s="179"/>
      <c r="U1006" s="178"/>
      <c r="V1006" s="2168"/>
      <c r="W1006" s="2168"/>
      <c r="X1006" s="470"/>
      <c r="Y1006" s="470"/>
      <c r="Z1006" s="471"/>
      <c r="AA1006" s="471"/>
      <c r="AB1006" s="466"/>
    </row>
    <row r="1007" spans="1:28" s="352" customFormat="1" ht="18" customHeight="1" x14ac:dyDescent="0.2">
      <c r="A1007" s="2166"/>
      <c r="B1007" s="177"/>
      <c r="C1007" s="177"/>
      <c r="D1007" s="2166"/>
      <c r="E1007" s="2166"/>
      <c r="F1007" s="2166"/>
      <c r="G1007" s="2166"/>
      <c r="H1007" s="2171"/>
      <c r="I1007" s="2168"/>
      <c r="J1007" s="178"/>
      <c r="K1007" s="2168"/>
      <c r="L1007" s="2166"/>
      <c r="M1007" s="2166"/>
      <c r="N1007" s="2166"/>
      <c r="O1007" s="2166"/>
      <c r="P1007" s="2171"/>
      <c r="Q1007" s="2167"/>
      <c r="R1007" s="437"/>
      <c r="S1007" s="2168"/>
      <c r="T1007" s="179"/>
      <c r="U1007" s="178"/>
      <c r="V1007" s="2168"/>
      <c r="W1007" s="2168"/>
      <c r="X1007" s="470"/>
      <c r="Y1007" s="470"/>
      <c r="Z1007" s="471"/>
      <c r="AA1007" s="471"/>
      <c r="AB1007" s="466"/>
    </row>
    <row r="1008" spans="1:28" s="352" customFormat="1" ht="18" customHeight="1" x14ac:dyDescent="0.2">
      <c r="A1008" s="2166"/>
      <c r="B1008" s="177"/>
      <c r="C1008" s="177"/>
      <c r="D1008" s="2166"/>
      <c r="E1008" s="2166"/>
      <c r="F1008" s="2166"/>
      <c r="G1008" s="2166"/>
      <c r="H1008" s="2171"/>
      <c r="I1008" s="2168"/>
      <c r="J1008" s="178"/>
      <c r="K1008" s="2168"/>
      <c r="L1008" s="2166"/>
      <c r="M1008" s="2166"/>
      <c r="N1008" s="2166"/>
      <c r="O1008" s="2166"/>
      <c r="P1008" s="2171"/>
      <c r="Q1008" s="2167"/>
      <c r="R1008" s="437"/>
      <c r="S1008" s="2168"/>
      <c r="T1008" s="179"/>
      <c r="U1008" s="178"/>
      <c r="V1008" s="2168"/>
      <c r="W1008" s="2168"/>
      <c r="X1008" s="470"/>
      <c r="Y1008" s="470"/>
      <c r="Z1008" s="471"/>
      <c r="AA1008" s="471"/>
      <c r="AB1008" s="466"/>
    </row>
    <row r="1009" spans="1:28" s="352" customFormat="1" ht="18" customHeight="1" x14ac:dyDescent="0.2">
      <c r="A1009" s="2166"/>
      <c r="B1009" s="177"/>
      <c r="C1009" s="177"/>
      <c r="D1009" s="2166"/>
      <c r="E1009" s="2166"/>
      <c r="F1009" s="2166"/>
      <c r="G1009" s="2166"/>
      <c r="H1009" s="2171"/>
      <c r="I1009" s="2168"/>
      <c r="J1009" s="178"/>
      <c r="K1009" s="2168"/>
      <c r="L1009" s="2166"/>
      <c r="M1009" s="2166"/>
      <c r="N1009" s="2166"/>
      <c r="O1009" s="2166"/>
      <c r="P1009" s="2171"/>
      <c r="Q1009" s="2167"/>
      <c r="R1009" s="437"/>
      <c r="S1009" s="2168"/>
      <c r="T1009" s="179"/>
      <c r="U1009" s="178"/>
      <c r="V1009" s="2168"/>
      <c r="W1009" s="2168"/>
      <c r="X1009" s="470"/>
      <c r="Y1009" s="470"/>
      <c r="Z1009" s="471"/>
      <c r="AA1009" s="471"/>
      <c r="AB1009" s="466"/>
    </row>
    <row r="1010" spans="1:28" s="352" customFormat="1" ht="18" customHeight="1" x14ac:dyDescent="0.2">
      <c r="A1010" s="2166"/>
      <c r="B1010" s="177"/>
      <c r="C1010" s="177"/>
      <c r="D1010" s="2166"/>
      <c r="E1010" s="2166"/>
      <c r="F1010" s="2166"/>
      <c r="G1010" s="2166"/>
      <c r="H1010" s="2171"/>
      <c r="I1010" s="2168"/>
      <c r="J1010" s="178"/>
      <c r="K1010" s="2168"/>
      <c r="L1010" s="2166"/>
      <c r="M1010" s="2166"/>
      <c r="N1010" s="2166"/>
      <c r="O1010" s="2166"/>
      <c r="P1010" s="2171"/>
      <c r="Q1010" s="2167"/>
      <c r="R1010" s="437"/>
      <c r="S1010" s="2168"/>
      <c r="T1010" s="179"/>
      <c r="U1010" s="178"/>
      <c r="V1010" s="2168"/>
      <c r="W1010" s="2168"/>
      <c r="X1010" s="470"/>
      <c r="Y1010" s="470"/>
      <c r="Z1010" s="471"/>
      <c r="AA1010" s="471"/>
      <c r="AB1010" s="466"/>
    </row>
    <row r="1011" spans="1:28" s="352" customFormat="1" ht="18" customHeight="1" x14ac:dyDescent="0.2">
      <c r="A1011" s="2166"/>
      <c r="B1011" s="177"/>
      <c r="C1011" s="177"/>
      <c r="D1011" s="2166"/>
      <c r="E1011" s="2166"/>
      <c r="F1011" s="2166"/>
      <c r="G1011" s="2166"/>
      <c r="H1011" s="2171"/>
      <c r="I1011" s="2168"/>
      <c r="J1011" s="178"/>
      <c r="K1011" s="2168"/>
      <c r="L1011" s="2166"/>
      <c r="M1011" s="2166"/>
      <c r="N1011" s="2166"/>
      <c r="O1011" s="2166"/>
      <c r="P1011" s="2171"/>
      <c r="Q1011" s="2167"/>
      <c r="R1011" s="437"/>
      <c r="S1011" s="2168"/>
      <c r="T1011" s="179"/>
      <c r="U1011" s="178"/>
      <c r="V1011" s="2168"/>
      <c r="W1011" s="2168"/>
      <c r="X1011" s="470"/>
      <c r="Y1011" s="470"/>
      <c r="Z1011" s="471"/>
      <c r="AA1011" s="471"/>
      <c r="AB1011" s="466"/>
    </row>
    <row r="1012" spans="1:28" s="352" customFormat="1" ht="18" customHeight="1" x14ac:dyDescent="0.2">
      <c r="A1012" s="88"/>
      <c r="B1012" s="180"/>
      <c r="C1012" s="180"/>
      <c r="D1012" s="88"/>
      <c r="E1012" s="88"/>
      <c r="F1012" s="88"/>
      <c r="G1012" s="88"/>
      <c r="H1012" s="120"/>
      <c r="I1012" s="121"/>
      <c r="J1012" s="181"/>
      <c r="K1012" s="121"/>
      <c r="L1012" s="88"/>
      <c r="M1012" s="88"/>
      <c r="N1012" s="88"/>
      <c r="O1012" s="88"/>
      <c r="P1012" s="88"/>
      <c r="Q1012" s="129"/>
      <c r="R1012" s="445"/>
      <c r="S1012" s="121"/>
      <c r="T1012" s="182"/>
      <c r="U1012" s="181"/>
      <c r="V1012" s="121"/>
      <c r="W1012" s="121"/>
      <c r="X1012" s="472"/>
      <c r="Y1012" s="472"/>
      <c r="Z1012" s="473"/>
      <c r="AA1012" s="473"/>
      <c r="AB1012" s="410"/>
    </row>
    <row r="1013" spans="1:28" s="352" customFormat="1" ht="18" customHeight="1" x14ac:dyDescent="0.2">
      <c r="A1013" s="1850"/>
      <c r="B1013" s="1850"/>
      <c r="C1013" s="1850"/>
      <c r="D1013" s="1850"/>
      <c r="E1013" s="1850"/>
      <c r="F1013" s="1850"/>
      <c r="G1013" s="1850"/>
      <c r="H1013" s="1851"/>
      <c r="I1013" s="1852"/>
      <c r="J1013" s="1853"/>
      <c r="K1013" s="1852"/>
      <c r="L1013" s="1852"/>
      <c r="M1013" s="1852"/>
      <c r="N1013" s="1852"/>
      <c r="O1013" s="1852"/>
      <c r="P1013" s="1852"/>
      <c r="Q1013" s="1852"/>
      <c r="R1013" s="1854"/>
      <c r="S1013" s="1852"/>
      <c r="T1013" s="1855"/>
      <c r="U1013" s="1853"/>
      <c r="V1013" s="1852"/>
      <c r="W1013" s="1852"/>
      <c r="X1013" s="1856"/>
      <c r="Y1013" s="1856"/>
      <c r="Z1013" s="1857"/>
      <c r="AA1013" s="1857"/>
      <c r="AB1013" s="1847">
        <f>SUM(AB999:AB1012)</f>
        <v>759</v>
      </c>
    </row>
    <row r="1014" spans="1:28" s="352" customFormat="1" ht="18" customHeight="1" x14ac:dyDescent="0.2">
      <c r="A1014" s="2778" t="s">
        <v>76</v>
      </c>
      <c r="B1014" s="2778"/>
      <c r="C1014" s="2779" t="s">
        <v>77</v>
      </c>
      <c r="D1014" s="2779"/>
      <c r="E1014" s="2779"/>
      <c r="F1014" s="2779"/>
      <c r="G1014" s="2779"/>
      <c r="H1014" s="2779"/>
      <c r="I1014" s="424" t="s">
        <v>78</v>
      </c>
      <c r="J1014" s="424"/>
      <c r="K1014" s="424"/>
      <c r="L1014" s="424"/>
      <c r="M1014" s="424"/>
      <c r="N1014" s="424"/>
      <c r="AB1014" s="425"/>
    </row>
    <row r="1015" spans="1:28" s="352" customFormat="1" ht="18" customHeight="1" x14ac:dyDescent="0.2">
      <c r="A1015" s="424"/>
      <c r="B1015" s="426"/>
      <c r="C1015" s="424"/>
      <c r="D1015" s="424"/>
      <c r="E1015" s="424"/>
      <c r="F1015" s="424"/>
      <c r="G1015" s="424"/>
      <c r="H1015" s="424"/>
      <c r="I1015" s="424" t="s">
        <v>79</v>
      </c>
      <c r="J1015" s="424"/>
      <c r="K1015" s="424"/>
      <c r="L1015" s="424"/>
      <c r="M1015" s="424"/>
      <c r="N1015" s="424"/>
      <c r="AB1015" s="425"/>
    </row>
    <row r="1016" spans="1:28" s="352" customFormat="1" ht="18" customHeight="1" x14ac:dyDescent="0.2">
      <c r="A1016" s="424"/>
      <c r="B1016" s="426"/>
      <c r="C1016" s="424"/>
      <c r="D1016" s="424"/>
      <c r="E1016" s="424"/>
      <c r="F1016" s="424"/>
      <c r="G1016" s="424"/>
      <c r="H1016" s="424"/>
      <c r="I1016" s="424" t="s">
        <v>80</v>
      </c>
      <c r="J1016" s="424"/>
      <c r="K1016" s="424"/>
      <c r="L1016" s="424"/>
      <c r="M1016" s="424"/>
      <c r="N1016" s="424"/>
      <c r="AB1016" s="425"/>
    </row>
    <row r="1017" spans="1:28" s="352" customFormat="1" ht="18" customHeight="1" x14ac:dyDescent="0.2">
      <c r="A1017" s="424"/>
      <c r="B1017" s="426"/>
      <c r="C1017" s="424"/>
      <c r="D1017" s="424"/>
      <c r="E1017" s="424"/>
      <c r="F1017" s="424"/>
      <c r="G1017" s="424"/>
      <c r="H1017" s="424"/>
      <c r="I1017" s="424" t="s">
        <v>81</v>
      </c>
      <c r="J1017" s="424"/>
      <c r="K1017" s="424"/>
      <c r="L1017" s="424"/>
      <c r="M1017" s="424"/>
      <c r="N1017" s="424"/>
      <c r="AB1017" s="425"/>
    </row>
    <row r="1018" spans="1:28" s="352" customFormat="1" ht="18" customHeight="1" x14ac:dyDescent="0.2">
      <c r="A1018" s="424"/>
      <c r="B1018" s="426"/>
      <c r="C1018" s="424"/>
      <c r="D1018" s="424"/>
      <c r="E1018" s="424"/>
      <c r="F1018" s="424"/>
      <c r="G1018" s="424"/>
      <c r="H1018" s="424"/>
      <c r="I1018" s="424" t="s">
        <v>88</v>
      </c>
      <c r="J1018" s="424"/>
      <c r="K1018" s="424"/>
      <c r="L1018" s="424"/>
      <c r="M1018" s="424"/>
      <c r="N1018" s="424"/>
      <c r="AB1018" s="425"/>
    </row>
    <row r="1019" spans="1:28" s="352" customFormat="1" ht="18" customHeight="1" x14ac:dyDescent="0.2">
      <c r="A1019" s="338"/>
      <c r="B1019" s="338"/>
      <c r="C1019" s="338"/>
      <c r="D1019" s="338"/>
      <c r="E1019" s="338"/>
      <c r="F1019" s="338"/>
      <c r="G1019" s="338"/>
      <c r="H1019" s="338"/>
      <c r="I1019" s="338"/>
      <c r="J1019" s="338"/>
      <c r="K1019" s="338"/>
      <c r="L1019" s="338"/>
      <c r="M1019" s="338"/>
      <c r="N1019" s="338"/>
      <c r="O1019" s="338"/>
      <c r="P1019" s="338"/>
      <c r="Q1019" s="338"/>
      <c r="R1019" s="338"/>
      <c r="S1019" s="338"/>
      <c r="T1019" s="338"/>
      <c r="U1019" s="338"/>
      <c r="V1019" s="338"/>
      <c r="W1019" s="338"/>
      <c r="X1019" s="338"/>
      <c r="Y1019" s="338"/>
      <c r="Z1019" s="338"/>
      <c r="AA1019" s="2774" t="s">
        <v>0</v>
      </c>
      <c r="AB1019" s="2774"/>
    </row>
    <row r="1020" spans="1:28" s="352" customFormat="1" ht="18" customHeight="1" x14ac:dyDescent="0.2">
      <c r="A1020" s="2703" t="s">
        <v>1</v>
      </c>
      <c r="B1020" s="2703"/>
      <c r="C1020" s="2703"/>
      <c r="D1020" s="2703"/>
      <c r="E1020" s="2703"/>
      <c r="F1020" s="2703"/>
      <c r="G1020" s="2703"/>
      <c r="H1020" s="2703"/>
      <c r="I1020" s="2703"/>
      <c r="J1020" s="2703"/>
      <c r="K1020" s="2703"/>
      <c r="L1020" s="2703"/>
      <c r="M1020" s="2703"/>
      <c r="N1020" s="2703"/>
      <c r="O1020" s="2703"/>
      <c r="P1020" s="2703"/>
      <c r="Q1020" s="2703"/>
      <c r="R1020" s="2703"/>
      <c r="S1020" s="2703"/>
      <c r="T1020" s="2703"/>
      <c r="U1020" s="2703"/>
      <c r="V1020" s="2703"/>
      <c r="W1020" s="2703"/>
      <c r="X1020" s="2703"/>
      <c r="Y1020" s="2703"/>
      <c r="Z1020" s="2703"/>
      <c r="AA1020" s="2703"/>
      <c r="AB1020" s="2703"/>
    </row>
    <row r="1021" spans="1:28" s="352" customFormat="1" ht="18" customHeight="1" x14ac:dyDescent="0.2">
      <c r="A1021" s="2780" t="s">
        <v>633</v>
      </c>
      <c r="B1021" s="2780"/>
      <c r="C1021" s="2780"/>
      <c r="D1021" s="2780"/>
      <c r="E1021" s="2780"/>
      <c r="F1021" s="2780"/>
      <c r="G1021" s="2780"/>
      <c r="H1021" s="2780"/>
      <c r="I1021" s="2780"/>
      <c r="J1021" s="2780"/>
      <c r="K1021" s="2780"/>
      <c r="L1021" s="2780"/>
      <c r="M1021" s="2780"/>
      <c r="N1021" s="2780"/>
      <c r="O1021" s="2780"/>
      <c r="P1021" s="2780"/>
      <c r="Q1021" s="2780"/>
      <c r="R1021" s="2780"/>
      <c r="S1021" s="2780"/>
      <c r="T1021" s="2780"/>
      <c r="U1021" s="2780"/>
      <c r="V1021" s="2780"/>
      <c r="W1021" s="2780"/>
      <c r="X1021" s="2780"/>
      <c r="Y1021" s="2780"/>
      <c r="Z1021" s="2780"/>
      <c r="AA1021" s="2780"/>
      <c r="AB1021" s="2780"/>
    </row>
    <row r="1022" spans="1:28" s="352" customFormat="1" ht="18" customHeight="1" x14ac:dyDescent="0.2">
      <c r="A1022" s="2686" t="s">
        <v>2</v>
      </c>
      <c r="B1022" s="360"/>
      <c r="C1022" s="2686" t="s">
        <v>3</v>
      </c>
      <c r="D1022" s="360"/>
      <c r="E1022" s="360"/>
      <c r="F1022" s="2693" t="s">
        <v>4</v>
      </c>
      <c r="G1022" s="2693"/>
      <c r="H1022" s="2693"/>
      <c r="I1022" s="2694"/>
      <c r="J1022" s="2694"/>
      <c r="K1022" s="2695"/>
      <c r="L1022" s="361"/>
      <c r="M1022" s="2679" t="s">
        <v>5</v>
      </c>
      <c r="N1022" s="2679"/>
      <c r="O1022" s="2679"/>
      <c r="P1022" s="2679"/>
      <c r="Q1022" s="2696"/>
      <c r="R1022" s="2696"/>
      <c r="S1022" s="2696"/>
      <c r="T1022" s="2696"/>
      <c r="U1022" s="2696"/>
      <c r="V1022" s="2697"/>
      <c r="W1022" s="362" t="s">
        <v>6</v>
      </c>
      <c r="X1022" s="363" t="s">
        <v>7</v>
      </c>
      <c r="Y1022" s="364"/>
      <c r="Z1022" s="364"/>
      <c r="AA1022" s="363"/>
      <c r="AB1022" s="365"/>
    </row>
    <row r="1023" spans="1:28" s="352" customFormat="1" ht="18" customHeight="1" x14ac:dyDescent="0.2">
      <c r="A1023" s="2687"/>
      <c r="B1023" s="367"/>
      <c r="C1023" s="2687"/>
      <c r="D1023" s="2158" t="s">
        <v>9</v>
      </c>
      <c r="E1023" s="368" t="s">
        <v>10</v>
      </c>
      <c r="F1023" s="2698" t="s">
        <v>11</v>
      </c>
      <c r="G1023" s="2694"/>
      <c r="H1023" s="2695"/>
      <c r="I1023" s="360"/>
      <c r="J1023" s="369" t="s">
        <v>12</v>
      </c>
      <c r="K1023" s="360"/>
      <c r="L1023" s="2679" t="s">
        <v>2</v>
      </c>
      <c r="M1023" s="2162"/>
      <c r="N1023" s="2162"/>
      <c r="O1023" s="2162"/>
      <c r="P1023" s="371"/>
      <c r="Q1023" s="372" t="s">
        <v>13</v>
      </c>
      <c r="R1023" s="373" t="s">
        <v>12</v>
      </c>
      <c r="S1023" s="2162" t="s">
        <v>6</v>
      </c>
      <c r="T1023" s="2682" t="s">
        <v>14</v>
      </c>
      <c r="U1023" s="2683"/>
      <c r="V1023" s="375" t="s">
        <v>7</v>
      </c>
      <c r="W1023" s="376" t="s">
        <v>15</v>
      </c>
      <c r="X1023" s="377" t="s">
        <v>16</v>
      </c>
      <c r="Y1023" s="377" t="s">
        <v>17</v>
      </c>
      <c r="Z1023" s="377" t="s">
        <v>18</v>
      </c>
      <c r="AA1023" s="377"/>
      <c r="AB1023" s="378" t="s">
        <v>19</v>
      </c>
    </row>
    <row r="1024" spans="1:28" s="352" customFormat="1" ht="18" customHeight="1" x14ac:dyDescent="0.2">
      <c r="A1024" s="2687"/>
      <c r="B1024" s="2158" t="s">
        <v>23</v>
      </c>
      <c r="C1024" s="2687"/>
      <c r="D1024" s="2158" t="s">
        <v>24</v>
      </c>
      <c r="E1024" s="368" t="s">
        <v>25</v>
      </c>
      <c r="F1024" s="2699"/>
      <c r="G1024" s="2700"/>
      <c r="H1024" s="2701"/>
      <c r="I1024" s="2158" t="s">
        <v>26</v>
      </c>
      <c r="J1024" s="379" t="s">
        <v>15</v>
      </c>
      <c r="K1024" s="2159" t="s">
        <v>6</v>
      </c>
      <c r="L1024" s="2680"/>
      <c r="M1024" s="2163" t="s">
        <v>27</v>
      </c>
      <c r="N1024" s="2163" t="s">
        <v>10</v>
      </c>
      <c r="O1024" s="382" t="s">
        <v>10</v>
      </c>
      <c r="P1024" s="383" t="s">
        <v>28</v>
      </c>
      <c r="Q1024" s="384" t="s">
        <v>29</v>
      </c>
      <c r="R1024" s="383" t="s">
        <v>15</v>
      </c>
      <c r="S1024" s="385" t="s">
        <v>15</v>
      </c>
      <c r="T1024" s="2684"/>
      <c r="U1024" s="2685"/>
      <c r="V1024" s="375" t="s">
        <v>30</v>
      </c>
      <c r="W1024" s="376" t="s">
        <v>31</v>
      </c>
      <c r="X1024" s="377" t="s">
        <v>30</v>
      </c>
      <c r="Y1024" s="377" t="s">
        <v>32</v>
      </c>
      <c r="Z1024" s="377" t="s">
        <v>7</v>
      </c>
      <c r="AA1024" s="377" t="s">
        <v>33</v>
      </c>
      <c r="AB1024" s="378" t="s">
        <v>34</v>
      </c>
    </row>
    <row r="1025" spans="1:28" s="352" customFormat="1" ht="18" customHeight="1" x14ac:dyDescent="0.2">
      <c r="A1025" s="2687"/>
      <c r="B1025" s="2158" t="s">
        <v>39</v>
      </c>
      <c r="C1025" s="2687"/>
      <c r="D1025" s="2158" t="s">
        <v>40</v>
      </c>
      <c r="E1025" s="368" t="s">
        <v>41</v>
      </c>
      <c r="F1025" s="2686" t="s">
        <v>42</v>
      </c>
      <c r="G1025" s="2686" t="s">
        <v>43</v>
      </c>
      <c r="H1025" s="2688" t="s">
        <v>44</v>
      </c>
      <c r="I1025" s="2158" t="s">
        <v>45</v>
      </c>
      <c r="J1025" s="379" t="s">
        <v>46</v>
      </c>
      <c r="K1025" s="2159" t="s">
        <v>47</v>
      </c>
      <c r="L1025" s="2680"/>
      <c r="M1025" s="2163" t="s">
        <v>30</v>
      </c>
      <c r="N1025" s="2163" t="s">
        <v>30</v>
      </c>
      <c r="O1025" s="382" t="s">
        <v>25</v>
      </c>
      <c r="P1025" s="383" t="s">
        <v>30</v>
      </c>
      <c r="Q1025" s="384" t="s">
        <v>48</v>
      </c>
      <c r="R1025" s="383" t="s">
        <v>49</v>
      </c>
      <c r="S1025" s="385" t="s">
        <v>30</v>
      </c>
      <c r="T1025" s="386" t="s">
        <v>50</v>
      </c>
      <c r="U1025" s="2161" t="s">
        <v>13</v>
      </c>
      <c r="V1025" s="375" t="s">
        <v>51</v>
      </c>
      <c r="W1025" s="376" t="s">
        <v>52</v>
      </c>
      <c r="X1025" s="377" t="s">
        <v>53</v>
      </c>
      <c r="Y1025" s="377" t="s">
        <v>54</v>
      </c>
      <c r="Z1025" s="377" t="s">
        <v>55</v>
      </c>
      <c r="AA1025" s="377" t="s">
        <v>56</v>
      </c>
      <c r="AB1025" s="378" t="s">
        <v>57</v>
      </c>
    </row>
    <row r="1026" spans="1:28" s="352" customFormat="1" ht="18" customHeight="1" x14ac:dyDescent="0.2">
      <c r="A1026" s="2687"/>
      <c r="B1026" s="2158" t="s">
        <v>61</v>
      </c>
      <c r="C1026" s="2687"/>
      <c r="D1026" s="2158" t="s">
        <v>62</v>
      </c>
      <c r="E1026" s="368" t="s">
        <v>63</v>
      </c>
      <c r="F1026" s="2687"/>
      <c r="G1026" s="2687"/>
      <c r="H1026" s="2689"/>
      <c r="I1026" s="2158" t="s">
        <v>64</v>
      </c>
      <c r="J1026" s="379" t="s">
        <v>59</v>
      </c>
      <c r="K1026" s="2159" t="s">
        <v>59</v>
      </c>
      <c r="L1026" s="2680"/>
      <c r="M1026" s="2163"/>
      <c r="N1026" s="2163"/>
      <c r="O1026" s="382" t="s">
        <v>41</v>
      </c>
      <c r="P1026" s="383" t="s">
        <v>65</v>
      </c>
      <c r="Q1026" s="384" t="s">
        <v>66</v>
      </c>
      <c r="R1026" s="383" t="s">
        <v>67</v>
      </c>
      <c r="S1026" s="385" t="s">
        <v>59</v>
      </c>
      <c r="T1026" s="387" t="s">
        <v>68</v>
      </c>
      <c r="U1026" s="375" t="s">
        <v>14</v>
      </c>
      <c r="V1026" s="375" t="s">
        <v>14</v>
      </c>
      <c r="W1026" s="376" t="s">
        <v>30</v>
      </c>
      <c r="X1026" s="388" t="s">
        <v>69</v>
      </c>
      <c r="Y1026" s="388" t="s">
        <v>70</v>
      </c>
      <c r="Z1026" s="377" t="s">
        <v>71</v>
      </c>
      <c r="AA1026" s="377" t="s">
        <v>72</v>
      </c>
      <c r="AB1026" s="378" t="s">
        <v>59</v>
      </c>
    </row>
    <row r="1027" spans="1:28" s="352" customFormat="1" ht="18" customHeight="1" x14ac:dyDescent="0.2">
      <c r="A1027" s="2692"/>
      <c r="B1027" s="390"/>
      <c r="C1027" s="2692"/>
      <c r="D1027" s="390"/>
      <c r="E1027" s="2160"/>
      <c r="F1027" s="390"/>
      <c r="G1027" s="390"/>
      <c r="H1027" s="391"/>
      <c r="I1027" s="2160"/>
      <c r="J1027" s="392"/>
      <c r="K1027" s="393"/>
      <c r="L1027" s="2681"/>
      <c r="M1027" s="2164"/>
      <c r="N1027" s="2164"/>
      <c r="O1027" s="2164" t="s">
        <v>63</v>
      </c>
      <c r="P1027" s="395"/>
      <c r="Q1027" s="396" t="s">
        <v>72</v>
      </c>
      <c r="R1027" s="397" t="s">
        <v>59</v>
      </c>
      <c r="S1027" s="398"/>
      <c r="T1027" s="397" t="s">
        <v>73</v>
      </c>
      <c r="U1027" s="398" t="s">
        <v>59</v>
      </c>
      <c r="V1027" s="399" t="s">
        <v>59</v>
      </c>
      <c r="W1027" s="400" t="s">
        <v>59</v>
      </c>
      <c r="X1027" s="401" t="s">
        <v>59</v>
      </c>
      <c r="Y1027" s="401" t="s">
        <v>59</v>
      </c>
      <c r="Z1027" s="401" t="s">
        <v>59</v>
      </c>
      <c r="AA1027" s="402"/>
      <c r="AB1027" s="403"/>
    </row>
    <row r="1028" spans="1:28" s="352" customFormat="1" ht="18" customHeight="1" x14ac:dyDescent="0.25">
      <c r="A1028" s="53">
        <v>1</v>
      </c>
      <c r="B1028" s="333">
        <v>23197</v>
      </c>
      <c r="C1028" s="41">
        <v>1055</v>
      </c>
      <c r="D1028" s="41" t="s">
        <v>107</v>
      </c>
      <c r="E1028" s="41">
        <v>4</v>
      </c>
      <c r="F1028" s="41">
        <v>0</v>
      </c>
      <c r="G1028" s="41">
        <v>1</v>
      </c>
      <c r="H1028" s="267">
        <v>0</v>
      </c>
      <c r="I1028" s="302">
        <f>F1028*400+G1028*100+H1028</f>
        <v>100</v>
      </c>
      <c r="J1028" s="310">
        <v>3000</v>
      </c>
      <c r="K1028" s="310">
        <f>SUM(I1028*J1028)</f>
        <v>300000</v>
      </c>
      <c r="L1028" s="16"/>
      <c r="M1028" s="82"/>
      <c r="N1028" s="41"/>
      <c r="O1028" s="16">
        <v>4</v>
      </c>
      <c r="P1028" s="404"/>
      <c r="Q1028" s="14"/>
      <c r="R1028" s="302"/>
      <c r="S1028" s="302"/>
      <c r="T1028" s="41"/>
      <c r="U1028" s="302"/>
      <c r="V1028" s="302"/>
      <c r="W1028" s="302">
        <f>K1028+V1028</f>
        <v>300000</v>
      </c>
      <c r="X1028" s="302">
        <f>W1028</f>
        <v>300000</v>
      </c>
      <c r="Y1028" s="310"/>
      <c r="Z1028" s="310">
        <f>+X1028</f>
        <v>300000</v>
      </c>
      <c r="AA1028" s="405">
        <v>0.6</v>
      </c>
      <c r="AB1028" s="406">
        <f>+Z1028*AA1028/100</f>
        <v>1800</v>
      </c>
    </row>
    <row r="1029" spans="1:28" s="352" customFormat="1" ht="18" customHeight="1" x14ac:dyDescent="0.25">
      <c r="A1029" s="61">
        <v>2</v>
      </c>
      <c r="B1029" s="287">
        <v>23198</v>
      </c>
      <c r="C1029" s="15">
        <v>1056</v>
      </c>
      <c r="D1029" s="15"/>
      <c r="E1029" s="15">
        <v>4</v>
      </c>
      <c r="F1029" s="15">
        <v>0</v>
      </c>
      <c r="G1029" s="15">
        <v>1</v>
      </c>
      <c r="H1029" s="284">
        <v>0</v>
      </c>
      <c r="I1029" s="299">
        <f t="shared" ref="I1029" si="86">F1029*400+G1029*100+H1029</f>
        <v>100</v>
      </c>
      <c r="J1029" s="305">
        <v>3000</v>
      </c>
      <c r="K1029" s="305">
        <f t="shared" ref="K1029" si="87">SUM(I1029*J1029)</f>
        <v>300000</v>
      </c>
      <c r="L1029" s="50"/>
      <c r="M1029" s="2166"/>
      <c r="N1029" s="15"/>
      <c r="O1029" s="50"/>
      <c r="P1029" s="673"/>
      <c r="Q1029" s="76"/>
      <c r="R1029" s="296"/>
      <c r="S1029" s="296"/>
      <c r="T1029" s="15"/>
      <c r="U1029" s="296"/>
      <c r="V1029" s="296"/>
      <c r="W1029" s="299">
        <f t="shared" ref="W1029" si="88">K1029+V1029</f>
        <v>300000</v>
      </c>
      <c r="X1029" s="299">
        <f t="shared" ref="X1029" si="89">W1029</f>
        <v>300000</v>
      </c>
      <c r="Y1029" s="305"/>
      <c r="Z1029" s="305">
        <f t="shared" ref="Z1029" si="90">+X1029</f>
        <v>300000</v>
      </c>
      <c r="AA1029" s="670">
        <v>0.6</v>
      </c>
      <c r="AB1029" s="410">
        <f>+Z1029*AA1029/100</f>
        <v>1800</v>
      </c>
    </row>
    <row r="1030" spans="1:28" s="352" customFormat="1" ht="18" customHeight="1" x14ac:dyDescent="0.2">
      <c r="A1030" s="75"/>
      <c r="B1030" s="88"/>
      <c r="C1030" s="88"/>
      <c r="D1030" s="88"/>
      <c r="E1030" s="88"/>
      <c r="F1030" s="88"/>
      <c r="G1030" s="88"/>
      <c r="H1030" s="495"/>
      <c r="I1030" s="74"/>
      <c r="J1030" s="121"/>
      <c r="K1030" s="159"/>
      <c r="L1030" s="75"/>
      <c r="M1030" s="88"/>
      <c r="N1030" s="88"/>
      <c r="O1030" s="75"/>
      <c r="P1030" s="180"/>
      <c r="Q1030" s="174"/>
      <c r="R1030" s="413"/>
      <c r="S1030" s="74"/>
      <c r="T1030" s="88"/>
      <c r="U1030" s="74"/>
      <c r="V1030" s="74"/>
      <c r="W1030" s="74"/>
      <c r="X1030" s="74"/>
      <c r="Y1030" s="121"/>
      <c r="Z1030" s="74"/>
      <c r="AA1030" s="414"/>
      <c r="AB1030" s="410"/>
    </row>
    <row r="1031" spans="1:28" s="352" customFormat="1" ht="18" customHeight="1" x14ac:dyDescent="0.2">
      <c r="A1031" s="75"/>
      <c r="B1031" s="88"/>
      <c r="C1031" s="88"/>
      <c r="D1031" s="88"/>
      <c r="E1031" s="88"/>
      <c r="F1031" s="88"/>
      <c r="G1031" s="88"/>
      <c r="H1031" s="495"/>
      <c r="I1031" s="74"/>
      <c r="J1031" s="121"/>
      <c r="K1031" s="159"/>
      <c r="L1031" s="75"/>
      <c r="M1031" s="88"/>
      <c r="N1031" s="88"/>
      <c r="O1031" s="75"/>
      <c r="P1031" s="180"/>
      <c r="Q1031" s="174"/>
      <c r="R1031" s="413"/>
      <c r="S1031" s="74"/>
      <c r="T1031" s="88"/>
      <c r="U1031" s="74"/>
      <c r="V1031" s="74"/>
      <c r="W1031" s="74"/>
      <c r="X1031" s="74"/>
      <c r="Y1031" s="121"/>
      <c r="Z1031" s="74"/>
      <c r="AA1031" s="414"/>
      <c r="AB1031" s="410"/>
    </row>
    <row r="1032" spans="1:28" s="352" customFormat="1" ht="18" customHeight="1" x14ac:dyDescent="0.2">
      <c r="A1032" s="75"/>
      <c r="B1032" s="88"/>
      <c r="C1032" s="88"/>
      <c r="D1032" s="88"/>
      <c r="E1032" s="88"/>
      <c r="F1032" s="88"/>
      <c r="G1032" s="88"/>
      <c r="H1032" s="495"/>
      <c r="I1032" s="74"/>
      <c r="J1032" s="121"/>
      <c r="K1032" s="159"/>
      <c r="L1032" s="75"/>
      <c r="M1032" s="88"/>
      <c r="N1032" s="88"/>
      <c r="O1032" s="75"/>
      <c r="P1032" s="180"/>
      <c r="Q1032" s="174"/>
      <c r="R1032" s="413"/>
      <c r="S1032" s="74"/>
      <c r="T1032" s="88"/>
      <c r="U1032" s="74"/>
      <c r="V1032" s="74"/>
      <c r="W1032" s="74"/>
      <c r="X1032" s="74"/>
      <c r="Y1032" s="121"/>
      <c r="Z1032" s="74"/>
      <c r="AA1032" s="414"/>
      <c r="AB1032" s="416"/>
    </row>
    <row r="1033" spans="1:28" s="352" customFormat="1" ht="18" customHeight="1" x14ac:dyDescent="0.2">
      <c r="A1033" s="61"/>
      <c r="B1033" s="2166"/>
      <c r="C1033" s="2166"/>
      <c r="D1033" s="2166"/>
      <c r="E1033" s="2166"/>
      <c r="F1033" s="2166"/>
      <c r="G1033" s="2166"/>
      <c r="H1033" s="407"/>
      <c r="I1033" s="77"/>
      <c r="J1033" s="2168"/>
      <c r="K1033" s="78"/>
      <c r="L1033" s="61"/>
      <c r="M1033" s="2166"/>
      <c r="N1033" s="2166"/>
      <c r="O1033" s="61"/>
      <c r="P1033" s="177"/>
      <c r="Q1033" s="196"/>
      <c r="R1033" s="408"/>
      <c r="S1033" s="77"/>
      <c r="T1033" s="2166"/>
      <c r="U1033" s="77"/>
      <c r="V1033" s="77"/>
      <c r="W1033" s="77"/>
      <c r="X1033" s="77"/>
      <c r="Y1033" s="2168"/>
      <c r="Z1033" s="77"/>
      <c r="AA1033" s="2170"/>
      <c r="AB1033" s="410"/>
    </row>
    <row r="1034" spans="1:28" s="352" customFormat="1" ht="18" customHeight="1" x14ac:dyDescent="0.2">
      <c r="A1034" s="2166"/>
      <c r="B1034" s="177"/>
      <c r="C1034" s="177"/>
      <c r="D1034" s="2166"/>
      <c r="E1034" s="2166"/>
      <c r="F1034" s="2166"/>
      <c r="G1034" s="2166"/>
      <c r="H1034" s="2171"/>
      <c r="I1034" s="2168"/>
      <c r="J1034" s="178"/>
      <c r="K1034" s="2168"/>
      <c r="L1034" s="2166"/>
      <c r="M1034" s="2166"/>
      <c r="N1034" s="2166"/>
      <c r="O1034" s="2166"/>
      <c r="P1034" s="2171"/>
      <c r="Q1034" s="2167"/>
      <c r="R1034" s="437"/>
      <c r="S1034" s="2168"/>
      <c r="T1034" s="179"/>
      <c r="U1034" s="178"/>
      <c r="V1034" s="2168"/>
      <c r="W1034" s="2168"/>
      <c r="X1034" s="470"/>
      <c r="Y1034" s="470"/>
      <c r="Z1034" s="471"/>
      <c r="AA1034" s="471"/>
      <c r="AB1034" s="466"/>
    </row>
    <row r="1035" spans="1:28" s="352" customFormat="1" ht="18" customHeight="1" x14ac:dyDescent="0.2">
      <c r="A1035" s="2166"/>
      <c r="B1035" s="177"/>
      <c r="C1035" s="177"/>
      <c r="D1035" s="2166"/>
      <c r="E1035" s="2166"/>
      <c r="F1035" s="2166"/>
      <c r="G1035" s="2166"/>
      <c r="H1035" s="2171"/>
      <c r="I1035" s="2168"/>
      <c r="J1035" s="178"/>
      <c r="K1035" s="2168"/>
      <c r="L1035" s="2166"/>
      <c r="M1035" s="2166"/>
      <c r="N1035" s="2166"/>
      <c r="O1035" s="2166"/>
      <c r="P1035" s="2171"/>
      <c r="Q1035" s="2167"/>
      <c r="R1035" s="437"/>
      <c r="S1035" s="2168"/>
      <c r="T1035" s="179"/>
      <c r="U1035" s="178"/>
      <c r="V1035" s="2168"/>
      <c r="W1035" s="2168"/>
      <c r="X1035" s="470"/>
      <c r="Y1035" s="470"/>
      <c r="Z1035" s="471"/>
      <c r="AA1035" s="471"/>
      <c r="AB1035" s="466"/>
    </row>
    <row r="1036" spans="1:28" s="352" customFormat="1" ht="18" customHeight="1" x14ac:dyDescent="0.2">
      <c r="A1036" s="2166"/>
      <c r="B1036" s="177"/>
      <c r="C1036" s="177"/>
      <c r="D1036" s="2166"/>
      <c r="E1036" s="2166"/>
      <c r="F1036" s="2166"/>
      <c r="G1036" s="2166"/>
      <c r="H1036" s="2171"/>
      <c r="I1036" s="2168"/>
      <c r="J1036" s="178"/>
      <c r="K1036" s="2168"/>
      <c r="L1036" s="2166"/>
      <c r="M1036" s="2166"/>
      <c r="N1036" s="2166"/>
      <c r="O1036" s="2166"/>
      <c r="P1036" s="2171"/>
      <c r="Q1036" s="2167"/>
      <c r="R1036" s="437"/>
      <c r="S1036" s="2168"/>
      <c r="T1036" s="179"/>
      <c r="U1036" s="178"/>
      <c r="V1036" s="2168"/>
      <c r="W1036" s="2168"/>
      <c r="X1036" s="470"/>
      <c r="Y1036" s="470"/>
      <c r="Z1036" s="471"/>
      <c r="AA1036" s="471"/>
      <c r="AB1036" s="466"/>
    </row>
    <row r="1037" spans="1:28" s="352" customFormat="1" ht="18" customHeight="1" x14ac:dyDescent="0.2">
      <c r="A1037" s="2166"/>
      <c r="B1037" s="177"/>
      <c r="C1037" s="177"/>
      <c r="D1037" s="2166"/>
      <c r="E1037" s="2166"/>
      <c r="F1037" s="2166"/>
      <c r="G1037" s="2166"/>
      <c r="H1037" s="2171"/>
      <c r="I1037" s="2168"/>
      <c r="J1037" s="178"/>
      <c r="K1037" s="2168"/>
      <c r="L1037" s="2166"/>
      <c r="M1037" s="2166"/>
      <c r="N1037" s="2166"/>
      <c r="O1037" s="2166"/>
      <c r="P1037" s="2171"/>
      <c r="Q1037" s="2167"/>
      <c r="R1037" s="437"/>
      <c r="S1037" s="2168"/>
      <c r="T1037" s="179"/>
      <c r="U1037" s="178"/>
      <c r="V1037" s="2168"/>
      <c r="W1037" s="2168"/>
      <c r="X1037" s="470"/>
      <c r="Y1037" s="470"/>
      <c r="Z1037" s="471"/>
      <c r="AA1037" s="471"/>
      <c r="AB1037" s="466"/>
    </row>
    <row r="1038" spans="1:28" s="352" customFormat="1" ht="18" customHeight="1" x14ac:dyDescent="0.2">
      <c r="A1038" s="2166"/>
      <c r="B1038" s="177"/>
      <c r="C1038" s="177"/>
      <c r="D1038" s="2166"/>
      <c r="E1038" s="2166"/>
      <c r="F1038" s="2166"/>
      <c r="G1038" s="2166"/>
      <c r="H1038" s="2171"/>
      <c r="I1038" s="2168"/>
      <c r="J1038" s="178"/>
      <c r="K1038" s="2168"/>
      <c r="L1038" s="2166"/>
      <c r="M1038" s="2166"/>
      <c r="N1038" s="2166"/>
      <c r="O1038" s="2166"/>
      <c r="P1038" s="2171"/>
      <c r="Q1038" s="2167"/>
      <c r="R1038" s="437"/>
      <c r="S1038" s="2168"/>
      <c r="T1038" s="179"/>
      <c r="U1038" s="178"/>
      <c r="V1038" s="2168"/>
      <c r="W1038" s="2168"/>
      <c r="X1038" s="470"/>
      <c r="Y1038" s="470"/>
      <c r="Z1038" s="471"/>
      <c r="AA1038" s="471"/>
      <c r="AB1038" s="466"/>
    </row>
    <row r="1039" spans="1:28" s="352" customFormat="1" ht="18" customHeight="1" x14ac:dyDescent="0.2">
      <c r="A1039" s="2166"/>
      <c r="B1039" s="177"/>
      <c r="C1039" s="177"/>
      <c r="D1039" s="2166"/>
      <c r="E1039" s="2166"/>
      <c r="F1039" s="2166"/>
      <c r="G1039" s="2166"/>
      <c r="H1039" s="2171"/>
      <c r="I1039" s="2168"/>
      <c r="J1039" s="178"/>
      <c r="K1039" s="2168"/>
      <c r="L1039" s="2166"/>
      <c r="M1039" s="2166"/>
      <c r="N1039" s="2166"/>
      <c r="O1039" s="2166"/>
      <c r="P1039" s="2171"/>
      <c r="Q1039" s="2167"/>
      <c r="R1039" s="437"/>
      <c r="S1039" s="2168"/>
      <c r="T1039" s="179"/>
      <c r="U1039" s="178"/>
      <c r="V1039" s="2168"/>
      <c r="W1039" s="2168"/>
      <c r="X1039" s="470"/>
      <c r="Y1039" s="470"/>
      <c r="Z1039" s="471"/>
      <c r="AA1039" s="471"/>
      <c r="AB1039" s="466"/>
    </row>
    <row r="1040" spans="1:28" s="352" customFormat="1" ht="18" customHeight="1" x14ac:dyDescent="0.2">
      <c r="A1040" s="2166"/>
      <c r="B1040" s="177"/>
      <c r="C1040" s="177"/>
      <c r="D1040" s="2166"/>
      <c r="E1040" s="2166"/>
      <c r="F1040" s="2166"/>
      <c r="G1040" s="2166"/>
      <c r="H1040" s="2171"/>
      <c r="I1040" s="2168"/>
      <c r="J1040" s="178"/>
      <c r="K1040" s="2168"/>
      <c r="L1040" s="2166"/>
      <c r="M1040" s="2166"/>
      <c r="N1040" s="2166"/>
      <c r="O1040" s="2166"/>
      <c r="P1040" s="2171"/>
      <c r="Q1040" s="2167"/>
      <c r="R1040" s="437"/>
      <c r="S1040" s="2168"/>
      <c r="T1040" s="179"/>
      <c r="U1040" s="178"/>
      <c r="V1040" s="2168"/>
      <c r="W1040" s="2168"/>
      <c r="X1040" s="470"/>
      <c r="Y1040" s="470"/>
      <c r="Z1040" s="471"/>
      <c r="AA1040" s="471"/>
      <c r="AB1040" s="466"/>
    </row>
    <row r="1041" spans="1:28" s="352" customFormat="1" ht="18" customHeight="1" x14ac:dyDescent="0.2">
      <c r="A1041" s="88"/>
      <c r="B1041" s="180"/>
      <c r="C1041" s="180"/>
      <c r="D1041" s="88"/>
      <c r="E1041" s="88"/>
      <c r="F1041" s="88"/>
      <c r="G1041" s="88"/>
      <c r="H1041" s="120"/>
      <c r="I1041" s="121"/>
      <c r="J1041" s="181"/>
      <c r="K1041" s="121"/>
      <c r="L1041" s="88"/>
      <c r="M1041" s="88"/>
      <c r="N1041" s="88"/>
      <c r="O1041" s="88"/>
      <c r="P1041" s="88"/>
      <c r="Q1041" s="129"/>
      <c r="R1041" s="445"/>
      <c r="S1041" s="121"/>
      <c r="T1041" s="182"/>
      <c r="U1041" s="181"/>
      <c r="V1041" s="121"/>
      <c r="W1041" s="121"/>
      <c r="X1041" s="472"/>
      <c r="Y1041" s="472"/>
      <c r="Z1041" s="473"/>
      <c r="AA1041" s="473"/>
      <c r="AB1041" s="410"/>
    </row>
    <row r="1042" spans="1:28" s="352" customFormat="1" ht="18" customHeight="1" x14ac:dyDescent="0.2">
      <c r="A1042" s="1850"/>
      <c r="B1042" s="1850"/>
      <c r="C1042" s="1850"/>
      <c r="D1042" s="1850"/>
      <c r="E1042" s="1850"/>
      <c r="F1042" s="1850"/>
      <c r="G1042" s="1850"/>
      <c r="H1042" s="1851"/>
      <c r="I1042" s="1852"/>
      <c r="J1042" s="1853"/>
      <c r="K1042" s="1852"/>
      <c r="L1042" s="1852"/>
      <c r="M1042" s="1852"/>
      <c r="N1042" s="1852"/>
      <c r="O1042" s="1852"/>
      <c r="P1042" s="1852"/>
      <c r="Q1042" s="1852"/>
      <c r="R1042" s="1854"/>
      <c r="S1042" s="1852"/>
      <c r="T1042" s="1855"/>
      <c r="U1042" s="1853"/>
      <c r="V1042" s="1852"/>
      <c r="W1042" s="1852"/>
      <c r="X1042" s="1856"/>
      <c r="Y1042" s="1856"/>
      <c r="Z1042" s="1857"/>
      <c r="AA1042" s="1857"/>
      <c r="AB1042" s="1847">
        <f>SUM(AB1028:AB1041)</f>
        <v>3600</v>
      </c>
    </row>
    <row r="1043" spans="1:28" s="352" customFormat="1" ht="18" customHeight="1" x14ac:dyDescent="0.2">
      <c r="A1043" s="2778" t="s">
        <v>76</v>
      </c>
      <c r="B1043" s="2778"/>
      <c r="C1043" s="2779" t="s">
        <v>77</v>
      </c>
      <c r="D1043" s="2779"/>
      <c r="E1043" s="2779"/>
      <c r="F1043" s="2779"/>
      <c r="G1043" s="2779"/>
      <c r="H1043" s="2779"/>
      <c r="I1043" s="424" t="s">
        <v>78</v>
      </c>
      <c r="J1043" s="424"/>
      <c r="K1043" s="424"/>
      <c r="L1043" s="424"/>
      <c r="M1043" s="424"/>
      <c r="N1043" s="424"/>
      <c r="AB1043" s="425"/>
    </row>
    <row r="1044" spans="1:28" s="352" customFormat="1" ht="18" customHeight="1" x14ac:dyDescent="0.2">
      <c r="A1044" s="424"/>
      <c r="B1044" s="426"/>
      <c r="C1044" s="424"/>
      <c r="D1044" s="424"/>
      <c r="E1044" s="424"/>
      <c r="F1044" s="424"/>
      <c r="G1044" s="424"/>
      <c r="H1044" s="424"/>
      <c r="I1044" s="424" t="s">
        <v>79</v>
      </c>
      <c r="J1044" s="424"/>
      <c r="K1044" s="424"/>
      <c r="L1044" s="424"/>
      <c r="M1044" s="424"/>
      <c r="N1044" s="424"/>
      <c r="AB1044" s="425"/>
    </row>
    <row r="1045" spans="1:28" s="352" customFormat="1" ht="18" customHeight="1" x14ac:dyDescent="0.2">
      <c r="A1045" s="424"/>
      <c r="B1045" s="426"/>
      <c r="C1045" s="424"/>
      <c r="D1045" s="424"/>
      <c r="E1045" s="424"/>
      <c r="F1045" s="424"/>
      <c r="G1045" s="424"/>
      <c r="H1045" s="424"/>
      <c r="I1045" s="424" t="s">
        <v>80</v>
      </c>
      <c r="J1045" s="424"/>
      <c r="K1045" s="424"/>
      <c r="L1045" s="424"/>
      <c r="M1045" s="424"/>
      <c r="N1045" s="424"/>
      <c r="AB1045" s="425"/>
    </row>
    <row r="1046" spans="1:28" s="352" customFormat="1" ht="18" customHeight="1" x14ac:dyDescent="0.2">
      <c r="A1046" s="424"/>
      <c r="B1046" s="426"/>
      <c r="C1046" s="424"/>
      <c r="D1046" s="424"/>
      <c r="E1046" s="424"/>
      <c r="F1046" s="424"/>
      <c r="G1046" s="424"/>
      <c r="H1046" s="424"/>
      <c r="I1046" s="424" t="s">
        <v>81</v>
      </c>
      <c r="J1046" s="424"/>
      <c r="K1046" s="424"/>
      <c r="L1046" s="424"/>
      <c r="M1046" s="424"/>
      <c r="N1046" s="424"/>
      <c r="AB1046" s="425"/>
    </row>
    <row r="1047" spans="1:28" s="352" customFormat="1" ht="18" customHeight="1" x14ac:dyDescent="0.2">
      <c r="A1047" s="424"/>
      <c r="B1047" s="426"/>
      <c r="C1047" s="424"/>
      <c r="D1047" s="424"/>
      <c r="E1047" s="424"/>
      <c r="F1047" s="424"/>
      <c r="G1047" s="424"/>
      <c r="H1047" s="424"/>
      <c r="I1047" s="424" t="s">
        <v>88</v>
      </c>
      <c r="J1047" s="424"/>
      <c r="K1047" s="424"/>
      <c r="L1047" s="424"/>
      <c r="M1047" s="424"/>
      <c r="N1047" s="424"/>
      <c r="AB1047" s="425"/>
    </row>
    <row r="1048" spans="1:28" s="580" customFormat="1" ht="18" customHeight="1" x14ac:dyDescent="0.2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2776" t="s">
        <v>0</v>
      </c>
      <c r="AB1048" s="2776"/>
    </row>
    <row r="1049" spans="1:28" s="580" customFormat="1" ht="18" customHeight="1" x14ac:dyDescent="0.2">
      <c r="A1049" s="2707" t="s">
        <v>1</v>
      </c>
      <c r="B1049" s="2707"/>
      <c r="C1049" s="2707"/>
      <c r="D1049" s="2707"/>
      <c r="E1049" s="2707"/>
      <c r="F1049" s="2707"/>
      <c r="G1049" s="2707"/>
      <c r="H1049" s="2707"/>
      <c r="I1049" s="2707"/>
      <c r="J1049" s="2707"/>
      <c r="K1049" s="2707"/>
      <c r="L1049" s="2707"/>
      <c r="M1049" s="2707"/>
      <c r="N1049" s="2707"/>
      <c r="O1049" s="2707"/>
      <c r="P1049" s="2707"/>
      <c r="Q1049" s="2707"/>
      <c r="R1049" s="2707"/>
      <c r="S1049" s="2707"/>
      <c r="T1049" s="2707"/>
      <c r="U1049" s="2707"/>
      <c r="V1049" s="2707"/>
      <c r="W1049" s="2707"/>
      <c r="X1049" s="2707"/>
      <c r="Y1049" s="2707"/>
      <c r="Z1049" s="2707"/>
      <c r="AA1049" s="2707"/>
      <c r="AB1049" s="2707"/>
    </row>
    <row r="1050" spans="1:28" s="580" customFormat="1" ht="18" customHeight="1" x14ac:dyDescent="0.2">
      <c r="A1050" s="2783" t="s">
        <v>634</v>
      </c>
      <c r="B1050" s="2783"/>
      <c r="C1050" s="2783"/>
      <c r="D1050" s="2783"/>
      <c r="E1050" s="2783"/>
      <c r="F1050" s="2783"/>
      <c r="G1050" s="2783"/>
      <c r="H1050" s="2783"/>
      <c r="I1050" s="2783"/>
      <c r="J1050" s="2783"/>
      <c r="K1050" s="2783"/>
      <c r="L1050" s="2783"/>
      <c r="M1050" s="2783"/>
      <c r="N1050" s="2783"/>
      <c r="O1050" s="2783"/>
      <c r="P1050" s="2783"/>
      <c r="Q1050" s="2783"/>
      <c r="R1050" s="2783"/>
      <c r="S1050" s="2783"/>
      <c r="T1050" s="2783"/>
      <c r="U1050" s="2783"/>
      <c r="V1050" s="2783"/>
      <c r="W1050" s="2783"/>
      <c r="X1050" s="2783"/>
      <c r="Y1050" s="2783"/>
      <c r="Z1050" s="2783"/>
      <c r="AA1050" s="2783"/>
      <c r="AB1050" s="2783"/>
    </row>
    <row r="1051" spans="1:28" s="580" customFormat="1" ht="18" customHeight="1" x14ac:dyDescent="0.2">
      <c r="A1051" s="2709" t="s">
        <v>2</v>
      </c>
      <c r="B1051" s="160"/>
      <c r="C1051" s="2709" t="s">
        <v>3</v>
      </c>
      <c r="D1051" s="160"/>
      <c r="E1051" s="160"/>
      <c r="F1051" s="2712" t="s">
        <v>4</v>
      </c>
      <c r="G1051" s="2712"/>
      <c r="H1051" s="2712"/>
      <c r="I1051" s="2713"/>
      <c r="J1051" s="2713"/>
      <c r="K1051" s="2714"/>
      <c r="L1051" s="2"/>
      <c r="M1051" s="2715" t="s">
        <v>5</v>
      </c>
      <c r="N1051" s="2715"/>
      <c r="O1051" s="2715"/>
      <c r="P1051" s="2715"/>
      <c r="Q1051" s="2716"/>
      <c r="R1051" s="2716"/>
      <c r="S1051" s="2716"/>
      <c r="T1051" s="2716"/>
      <c r="U1051" s="2716"/>
      <c r="V1051" s="2717"/>
      <c r="W1051" s="161" t="s">
        <v>6</v>
      </c>
      <c r="X1051" s="162" t="s">
        <v>7</v>
      </c>
      <c r="Y1051" s="163"/>
      <c r="Z1051" s="163"/>
      <c r="AA1051" s="162"/>
      <c r="AB1051" s="206"/>
    </row>
    <row r="1052" spans="1:28" s="580" customFormat="1" ht="18" customHeight="1" x14ac:dyDescent="0.2">
      <c r="A1052" s="2710"/>
      <c r="B1052" s="4"/>
      <c r="C1052" s="2710"/>
      <c r="D1052" s="2154" t="s">
        <v>9</v>
      </c>
      <c r="E1052" s="207" t="s">
        <v>10</v>
      </c>
      <c r="F1052" s="2718" t="s">
        <v>11</v>
      </c>
      <c r="G1052" s="2713"/>
      <c r="H1052" s="2714"/>
      <c r="I1052" s="160"/>
      <c r="J1052" s="208" t="s">
        <v>12</v>
      </c>
      <c r="K1052" s="160"/>
      <c r="L1052" s="2715" t="s">
        <v>2</v>
      </c>
      <c r="M1052" s="141"/>
      <c r="N1052" s="141"/>
      <c r="O1052" s="141"/>
      <c r="P1052" s="164"/>
      <c r="Q1052" s="209" t="s">
        <v>13</v>
      </c>
      <c r="R1052" s="210" t="s">
        <v>12</v>
      </c>
      <c r="S1052" s="141" t="s">
        <v>6</v>
      </c>
      <c r="T1052" s="2724" t="s">
        <v>14</v>
      </c>
      <c r="U1052" s="2725"/>
      <c r="V1052" s="165" t="s">
        <v>7</v>
      </c>
      <c r="W1052" s="166" t="s">
        <v>15</v>
      </c>
      <c r="X1052" s="5" t="s">
        <v>16</v>
      </c>
      <c r="Y1052" s="5" t="s">
        <v>17</v>
      </c>
      <c r="Z1052" s="5" t="s">
        <v>18</v>
      </c>
      <c r="AA1052" s="5"/>
      <c r="AB1052" s="55" t="s">
        <v>19</v>
      </c>
    </row>
    <row r="1053" spans="1:28" s="580" customFormat="1" ht="18" customHeight="1" x14ac:dyDescent="0.2">
      <c r="A1053" s="2710"/>
      <c r="B1053" s="2154" t="s">
        <v>23</v>
      </c>
      <c r="C1053" s="2710"/>
      <c r="D1053" s="2154" t="s">
        <v>24</v>
      </c>
      <c r="E1053" s="207" t="s">
        <v>25</v>
      </c>
      <c r="F1053" s="2719"/>
      <c r="G1053" s="2720"/>
      <c r="H1053" s="2721"/>
      <c r="I1053" s="2154" t="s">
        <v>26</v>
      </c>
      <c r="J1053" s="211" t="s">
        <v>15</v>
      </c>
      <c r="K1053" s="2157" t="s">
        <v>6</v>
      </c>
      <c r="L1053" s="2722"/>
      <c r="M1053" s="142" t="s">
        <v>27</v>
      </c>
      <c r="N1053" s="142" t="s">
        <v>10</v>
      </c>
      <c r="O1053" s="212" t="s">
        <v>10</v>
      </c>
      <c r="P1053" s="213" t="s">
        <v>28</v>
      </c>
      <c r="Q1053" s="214" t="s">
        <v>29</v>
      </c>
      <c r="R1053" s="213" t="s">
        <v>15</v>
      </c>
      <c r="S1053" s="8" t="s">
        <v>15</v>
      </c>
      <c r="T1053" s="2726"/>
      <c r="U1053" s="2727"/>
      <c r="V1053" s="165" t="s">
        <v>30</v>
      </c>
      <c r="W1053" s="166" t="s">
        <v>31</v>
      </c>
      <c r="X1053" s="5" t="s">
        <v>30</v>
      </c>
      <c r="Y1053" s="5" t="s">
        <v>32</v>
      </c>
      <c r="Z1053" s="5" t="s">
        <v>7</v>
      </c>
      <c r="AA1053" s="5" t="s">
        <v>33</v>
      </c>
      <c r="AB1053" s="55" t="s">
        <v>34</v>
      </c>
    </row>
    <row r="1054" spans="1:28" s="580" customFormat="1" ht="18" customHeight="1" x14ac:dyDescent="0.2">
      <c r="A1054" s="2710"/>
      <c r="B1054" s="2154" t="s">
        <v>39</v>
      </c>
      <c r="C1054" s="2710"/>
      <c r="D1054" s="2154" t="s">
        <v>40</v>
      </c>
      <c r="E1054" s="207" t="s">
        <v>41</v>
      </c>
      <c r="F1054" s="2709" t="s">
        <v>42</v>
      </c>
      <c r="G1054" s="2709" t="s">
        <v>43</v>
      </c>
      <c r="H1054" s="2728" t="s">
        <v>44</v>
      </c>
      <c r="I1054" s="2154" t="s">
        <v>45</v>
      </c>
      <c r="J1054" s="211" t="s">
        <v>46</v>
      </c>
      <c r="K1054" s="2157" t="s">
        <v>47</v>
      </c>
      <c r="L1054" s="2722"/>
      <c r="M1054" s="142" t="s">
        <v>30</v>
      </c>
      <c r="N1054" s="142" t="s">
        <v>30</v>
      </c>
      <c r="O1054" s="212" t="s">
        <v>25</v>
      </c>
      <c r="P1054" s="213" t="s">
        <v>30</v>
      </c>
      <c r="Q1054" s="214" t="s">
        <v>48</v>
      </c>
      <c r="R1054" s="213" t="s">
        <v>49</v>
      </c>
      <c r="S1054" s="8" t="s">
        <v>30</v>
      </c>
      <c r="T1054" s="215" t="s">
        <v>50</v>
      </c>
      <c r="U1054" s="2156" t="s">
        <v>13</v>
      </c>
      <c r="V1054" s="165" t="s">
        <v>51</v>
      </c>
      <c r="W1054" s="166" t="s">
        <v>52</v>
      </c>
      <c r="X1054" s="5" t="s">
        <v>53</v>
      </c>
      <c r="Y1054" s="5" t="s">
        <v>54</v>
      </c>
      <c r="Z1054" s="5" t="s">
        <v>55</v>
      </c>
      <c r="AA1054" s="5" t="s">
        <v>56</v>
      </c>
      <c r="AB1054" s="55" t="s">
        <v>57</v>
      </c>
    </row>
    <row r="1055" spans="1:28" s="580" customFormat="1" ht="18" customHeight="1" x14ac:dyDescent="0.2">
      <c r="A1055" s="2710"/>
      <c r="B1055" s="2154" t="s">
        <v>61</v>
      </c>
      <c r="C1055" s="2710"/>
      <c r="D1055" s="2154" t="s">
        <v>62</v>
      </c>
      <c r="E1055" s="207" t="s">
        <v>63</v>
      </c>
      <c r="F1055" s="2710"/>
      <c r="G1055" s="2710"/>
      <c r="H1055" s="2729"/>
      <c r="I1055" s="2154" t="s">
        <v>64</v>
      </c>
      <c r="J1055" s="211" t="s">
        <v>59</v>
      </c>
      <c r="K1055" s="2157" t="s">
        <v>59</v>
      </c>
      <c r="L1055" s="2722"/>
      <c r="M1055" s="142"/>
      <c r="N1055" s="142"/>
      <c r="O1055" s="212" t="s">
        <v>41</v>
      </c>
      <c r="P1055" s="213" t="s">
        <v>65</v>
      </c>
      <c r="Q1055" s="214" t="s">
        <v>66</v>
      </c>
      <c r="R1055" s="213" t="s">
        <v>67</v>
      </c>
      <c r="S1055" s="8" t="s">
        <v>59</v>
      </c>
      <c r="T1055" s="216" t="s">
        <v>68</v>
      </c>
      <c r="U1055" s="165" t="s">
        <v>14</v>
      </c>
      <c r="V1055" s="165" t="s">
        <v>14</v>
      </c>
      <c r="W1055" s="166" t="s">
        <v>30</v>
      </c>
      <c r="X1055" s="167" t="s">
        <v>69</v>
      </c>
      <c r="Y1055" s="167" t="s">
        <v>70</v>
      </c>
      <c r="Z1055" s="5" t="s">
        <v>71</v>
      </c>
      <c r="AA1055" s="5" t="s">
        <v>72</v>
      </c>
      <c r="AB1055" s="55" t="s">
        <v>59</v>
      </c>
    </row>
    <row r="1056" spans="1:28" s="580" customFormat="1" ht="18" customHeight="1" x14ac:dyDescent="0.2">
      <c r="A1056" s="2711"/>
      <c r="B1056" s="9"/>
      <c r="C1056" s="2711"/>
      <c r="D1056" s="9"/>
      <c r="E1056" s="2155"/>
      <c r="F1056" s="9"/>
      <c r="G1056" s="9"/>
      <c r="H1056" s="10"/>
      <c r="I1056" s="2155"/>
      <c r="J1056" s="217"/>
      <c r="K1056" s="168"/>
      <c r="L1056" s="2723"/>
      <c r="M1056" s="143"/>
      <c r="N1056" s="143"/>
      <c r="O1056" s="143" t="s">
        <v>63</v>
      </c>
      <c r="P1056" s="218"/>
      <c r="Q1056" s="219" t="s">
        <v>72</v>
      </c>
      <c r="R1056" s="220" t="s">
        <v>59</v>
      </c>
      <c r="S1056" s="169"/>
      <c r="T1056" s="220" t="s">
        <v>73</v>
      </c>
      <c r="U1056" s="169" t="s">
        <v>59</v>
      </c>
      <c r="V1056" s="170" t="s">
        <v>59</v>
      </c>
      <c r="W1056" s="171" t="s">
        <v>59</v>
      </c>
      <c r="X1056" s="172" t="s">
        <v>59</v>
      </c>
      <c r="Y1056" s="172" t="s">
        <v>59</v>
      </c>
      <c r="Z1056" s="172" t="s">
        <v>59</v>
      </c>
      <c r="AA1056" s="11"/>
      <c r="AB1056" s="56"/>
    </row>
    <row r="1057" spans="1:28" s="580" customFormat="1" ht="18" customHeight="1" x14ac:dyDescent="0.25">
      <c r="A1057" s="99">
        <v>1</v>
      </c>
      <c r="B1057" s="1672">
        <v>23206</v>
      </c>
      <c r="C1057" s="40">
        <v>670</v>
      </c>
      <c r="D1057" s="40" t="s">
        <v>107</v>
      </c>
      <c r="E1057" s="40">
        <v>4</v>
      </c>
      <c r="F1057" s="40">
        <v>0</v>
      </c>
      <c r="G1057" s="40">
        <v>1</v>
      </c>
      <c r="H1057" s="43">
        <v>16</v>
      </c>
      <c r="I1057" s="308">
        <f>F1057*400+G1057*100+H1057</f>
        <v>116</v>
      </c>
      <c r="J1057" s="318">
        <v>3000</v>
      </c>
      <c r="K1057" s="318">
        <f>SUM(I1057*J1057)</f>
        <v>348000</v>
      </c>
      <c r="L1057" s="101"/>
      <c r="M1057" s="51"/>
      <c r="N1057" s="40"/>
      <c r="O1057" s="101">
        <v>4</v>
      </c>
      <c r="P1057" s="355"/>
      <c r="Q1057" s="307"/>
      <c r="R1057" s="308"/>
      <c r="S1057" s="308"/>
      <c r="T1057" s="40"/>
      <c r="U1057" s="308"/>
      <c r="V1057" s="308"/>
      <c r="W1057" s="308">
        <f>K1057+V1057</f>
        <v>348000</v>
      </c>
      <c r="X1057" s="308">
        <f>W1057</f>
        <v>348000</v>
      </c>
      <c r="Y1057" s="318"/>
      <c r="Z1057" s="318">
        <f>+X1057</f>
        <v>348000</v>
      </c>
      <c r="AA1057" s="582">
        <v>0.6</v>
      </c>
      <c r="AB1057" s="596">
        <f>+Z1057*AA1057/100</f>
        <v>2088</v>
      </c>
    </row>
    <row r="1058" spans="1:28" s="580" customFormat="1" ht="18" customHeight="1" x14ac:dyDescent="0.2">
      <c r="A1058" s="100"/>
      <c r="B1058" s="105"/>
      <c r="C1058" s="105"/>
      <c r="D1058" s="105"/>
      <c r="E1058" s="105"/>
      <c r="F1058" s="105"/>
      <c r="G1058" s="105"/>
      <c r="H1058" s="126"/>
      <c r="I1058" s="136"/>
      <c r="J1058" s="111"/>
      <c r="K1058" s="110"/>
      <c r="L1058" s="100"/>
      <c r="M1058" s="105"/>
      <c r="N1058" s="105"/>
      <c r="O1058" s="100"/>
      <c r="P1058" s="131"/>
      <c r="Q1058" s="176"/>
      <c r="R1058" s="249"/>
      <c r="S1058" s="136"/>
      <c r="T1058" s="105"/>
      <c r="U1058" s="136"/>
      <c r="V1058" s="136"/>
      <c r="W1058" s="136"/>
      <c r="X1058" s="136"/>
      <c r="Y1058" s="111"/>
      <c r="Z1058" s="136"/>
      <c r="AA1058" s="583"/>
      <c r="AB1058" s="585"/>
    </row>
    <row r="1059" spans="1:28" s="580" customFormat="1" ht="18" customHeight="1" x14ac:dyDescent="0.2">
      <c r="A1059" s="81"/>
      <c r="B1059" s="54"/>
      <c r="C1059" s="54"/>
      <c r="D1059" s="54"/>
      <c r="E1059" s="54"/>
      <c r="F1059" s="54"/>
      <c r="G1059" s="54"/>
      <c r="H1059" s="158"/>
      <c r="I1059" s="137"/>
      <c r="J1059" s="116"/>
      <c r="K1059" s="114"/>
      <c r="L1059" s="81"/>
      <c r="M1059" s="54"/>
      <c r="N1059" s="54"/>
      <c r="O1059" s="81"/>
      <c r="P1059" s="200"/>
      <c r="Q1059" s="175"/>
      <c r="R1059" s="194"/>
      <c r="S1059" s="137"/>
      <c r="T1059" s="54"/>
      <c r="U1059" s="137"/>
      <c r="V1059" s="137"/>
      <c r="W1059" s="137"/>
      <c r="X1059" s="137"/>
      <c r="Y1059" s="116"/>
      <c r="Z1059" s="137"/>
      <c r="AA1059" s="586"/>
      <c r="AB1059" s="585"/>
    </row>
    <row r="1060" spans="1:28" s="580" customFormat="1" ht="18" customHeight="1" x14ac:dyDescent="0.2">
      <c r="A1060" s="81"/>
      <c r="B1060" s="54"/>
      <c r="C1060" s="54"/>
      <c r="D1060" s="54"/>
      <c r="E1060" s="54"/>
      <c r="F1060" s="54"/>
      <c r="G1060" s="54"/>
      <c r="H1060" s="158"/>
      <c r="I1060" s="137"/>
      <c r="J1060" s="116"/>
      <c r="K1060" s="114"/>
      <c r="L1060" s="81"/>
      <c r="M1060" s="54"/>
      <c r="N1060" s="54"/>
      <c r="O1060" s="81"/>
      <c r="P1060" s="200"/>
      <c r="Q1060" s="175"/>
      <c r="R1060" s="194"/>
      <c r="S1060" s="137"/>
      <c r="T1060" s="54"/>
      <c r="U1060" s="137"/>
      <c r="V1060" s="137"/>
      <c r="W1060" s="137"/>
      <c r="X1060" s="137"/>
      <c r="Y1060" s="116"/>
      <c r="Z1060" s="137"/>
      <c r="AA1060" s="586"/>
      <c r="AB1060" s="585"/>
    </row>
    <row r="1061" spans="1:28" s="580" customFormat="1" ht="18" customHeight="1" x14ac:dyDescent="0.2">
      <c r="A1061" s="81"/>
      <c r="B1061" s="54"/>
      <c r="C1061" s="54"/>
      <c r="D1061" s="54"/>
      <c r="E1061" s="54"/>
      <c r="F1061" s="54"/>
      <c r="G1061" s="54"/>
      <c r="H1061" s="158"/>
      <c r="I1061" s="137"/>
      <c r="J1061" s="116"/>
      <c r="K1061" s="114"/>
      <c r="L1061" s="81"/>
      <c r="M1061" s="54"/>
      <c r="N1061" s="54"/>
      <c r="O1061" s="81"/>
      <c r="P1061" s="200"/>
      <c r="Q1061" s="175"/>
      <c r="R1061" s="194"/>
      <c r="S1061" s="137"/>
      <c r="T1061" s="54"/>
      <c r="U1061" s="137"/>
      <c r="V1061" s="137"/>
      <c r="W1061" s="137"/>
      <c r="X1061" s="137"/>
      <c r="Y1061" s="116"/>
      <c r="Z1061" s="137"/>
      <c r="AA1061" s="586"/>
      <c r="AB1061" s="584"/>
    </row>
    <row r="1062" spans="1:28" s="580" customFormat="1" ht="18" customHeight="1" x14ac:dyDescent="0.2">
      <c r="A1062" s="100"/>
      <c r="B1062" s="105"/>
      <c r="C1062" s="105"/>
      <c r="D1062" s="105"/>
      <c r="E1062" s="105"/>
      <c r="F1062" s="105"/>
      <c r="G1062" s="105"/>
      <c r="H1062" s="126"/>
      <c r="I1062" s="136"/>
      <c r="J1062" s="111"/>
      <c r="K1062" s="110"/>
      <c r="L1062" s="100"/>
      <c r="M1062" s="105"/>
      <c r="N1062" s="105"/>
      <c r="O1062" s="100"/>
      <c r="P1062" s="131"/>
      <c r="Q1062" s="176"/>
      <c r="R1062" s="249"/>
      <c r="S1062" s="136"/>
      <c r="T1062" s="105"/>
      <c r="U1062" s="136"/>
      <c r="V1062" s="136"/>
      <c r="W1062" s="136"/>
      <c r="X1062" s="136"/>
      <c r="Y1062" s="111"/>
      <c r="Z1062" s="136"/>
      <c r="AA1062" s="583"/>
      <c r="AB1062" s="585"/>
    </row>
    <row r="1063" spans="1:28" s="580" customFormat="1" ht="18" customHeight="1" x14ac:dyDescent="0.2">
      <c r="A1063" s="105"/>
      <c r="B1063" s="131"/>
      <c r="C1063" s="131"/>
      <c r="D1063" s="105"/>
      <c r="E1063" s="105"/>
      <c r="F1063" s="105"/>
      <c r="G1063" s="105"/>
      <c r="H1063" s="451"/>
      <c r="I1063" s="111"/>
      <c r="J1063" s="587"/>
      <c r="K1063" s="111"/>
      <c r="L1063" s="105"/>
      <c r="M1063" s="105"/>
      <c r="N1063" s="105"/>
      <c r="O1063" s="105"/>
      <c r="P1063" s="451"/>
      <c r="Q1063" s="251"/>
      <c r="R1063" s="588"/>
      <c r="S1063" s="111"/>
      <c r="T1063" s="589"/>
      <c r="U1063" s="587"/>
      <c r="V1063" s="111"/>
      <c r="W1063" s="111"/>
      <c r="X1063" s="112"/>
      <c r="Y1063" s="112"/>
      <c r="Z1063" s="590"/>
      <c r="AA1063" s="590"/>
      <c r="AB1063" s="591"/>
    </row>
    <row r="1064" spans="1:28" s="580" customFormat="1" ht="18" customHeight="1" x14ac:dyDescent="0.2">
      <c r="A1064" s="105"/>
      <c r="B1064" s="131"/>
      <c r="C1064" s="131"/>
      <c r="D1064" s="105"/>
      <c r="E1064" s="105"/>
      <c r="F1064" s="105"/>
      <c r="G1064" s="105"/>
      <c r="H1064" s="451"/>
      <c r="I1064" s="111"/>
      <c r="J1064" s="587"/>
      <c r="K1064" s="111"/>
      <c r="L1064" s="105"/>
      <c r="M1064" s="105"/>
      <c r="N1064" s="105"/>
      <c r="O1064" s="105"/>
      <c r="P1064" s="451"/>
      <c r="Q1064" s="251"/>
      <c r="R1064" s="588"/>
      <c r="S1064" s="111"/>
      <c r="T1064" s="589"/>
      <c r="U1064" s="587"/>
      <c r="V1064" s="111"/>
      <c r="W1064" s="111"/>
      <c r="X1064" s="112"/>
      <c r="Y1064" s="112"/>
      <c r="Z1064" s="590"/>
      <c r="AA1064" s="590"/>
      <c r="AB1064" s="591"/>
    </row>
    <row r="1065" spans="1:28" s="580" customFormat="1" ht="18" customHeight="1" x14ac:dyDescent="0.2">
      <c r="A1065" s="105"/>
      <c r="B1065" s="131"/>
      <c r="C1065" s="131"/>
      <c r="D1065" s="105"/>
      <c r="E1065" s="105"/>
      <c r="F1065" s="105"/>
      <c r="G1065" s="105"/>
      <c r="H1065" s="451"/>
      <c r="I1065" s="111"/>
      <c r="J1065" s="587"/>
      <c r="K1065" s="111"/>
      <c r="L1065" s="105"/>
      <c r="M1065" s="105"/>
      <c r="N1065" s="105"/>
      <c r="O1065" s="105"/>
      <c r="P1065" s="451"/>
      <c r="Q1065" s="251"/>
      <c r="R1065" s="588"/>
      <c r="S1065" s="111"/>
      <c r="T1065" s="589"/>
      <c r="U1065" s="587"/>
      <c r="V1065" s="111"/>
      <c r="W1065" s="111"/>
      <c r="X1065" s="112"/>
      <c r="Y1065" s="112"/>
      <c r="Z1065" s="590"/>
      <c r="AA1065" s="590"/>
      <c r="AB1065" s="591"/>
    </row>
    <row r="1066" spans="1:28" s="580" customFormat="1" ht="18" customHeight="1" x14ac:dyDescent="0.2">
      <c r="A1066" s="105"/>
      <c r="B1066" s="131"/>
      <c r="C1066" s="131"/>
      <c r="D1066" s="105"/>
      <c r="E1066" s="105"/>
      <c r="F1066" s="105"/>
      <c r="G1066" s="105"/>
      <c r="H1066" s="451"/>
      <c r="I1066" s="111"/>
      <c r="J1066" s="587"/>
      <c r="K1066" s="111"/>
      <c r="L1066" s="105"/>
      <c r="M1066" s="105"/>
      <c r="N1066" s="105"/>
      <c r="O1066" s="105"/>
      <c r="P1066" s="451"/>
      <c r="Q1066" s="251"/>
      <c r="R1066" s="588"/>
      <c r="S1066" s="111"/>
      <c r="T1066" s="589"/>
      <c r="U1066" s="587"/>
      <c r="V1066" s="111"/>
      <c r="W1066" s="111"/>
      <c r="X1066" s="112"/>
      <c r="Y1066" s="112"/>
      <c r="Z1066" s="590"/>
      <c r="AA1066" s="590"/>
      <c r="AB1066" s="591"/>
    </row>
    <row r="1067" spans="1:28" s="580" customFormat="1" ht="18" customHeight="1" x14ac:dyDescent="0.2">
      <c r="A1067" s="105"/>
      <c r="B1067" s="131"/>
      <c r="C1067" s="131"/>
      <c r="D1067" s="105"/>
      <c r="E1067" s="105"/>
      <c r="F1067" s="105"/>
      <c r="G1067" s="105"/>
      <c r="H1067" s="451"/>
      <c r="I1067" s="111"/>
      <c r="J1067" s="587"/>
      <c r="K1067" s="111"/>
      <c r="L1067" s="105"/>
      <c r="M1067" s="105"/>
      <c r="N1067" s="105"/>
      <c r="O1067" s="105"/>
      <c r="P1067" s="451"/>
      <c r="Q1067" s="251"/>
      <c r="R1067" s="588"/>
      <c r="S1067" s="111"/>
      <c r="T1067" s="589"/>
      <c r="U1067" s="587"/>
      <c r="V1067" s="111"/>
      <c r="W1067" s="111"/>
      <c r="X1067" s="112"/>
      <c r="Y1067" s="112"/>
      <c r="Z1067" s="590"/>
      <c r="AA1067" s="590"/>
      <c r="AB1067" s="591"/>
    </row>
    <row r="1068" spans="1:28" s="580" customFormat="1" ht="18" customHeight="1" x14ac:dyDescent="0.2">
      <c r="A1068" s="105"/>
      <c r="B1068" s="131"/>
      <c r="C1068" s="131"/>
      <c r="D1068" s="105"/>
      <c r="E1068" s="105"/>
      <c r="F1068" s="105"/>
      <c r="G1068" s="105"/>
      <c r="H1068" s="451"/>
      <c r="I1068" s="111"/>
      <c r="J1068" s="587"/>
      <c r="K1068" s="111"/>
      <c r="L1068" s="105"/>
      <c r="M1068" s="105"/>
      <c r="N1068" s="105"/>
      <c r="O1068" s="105"/>
      <c r="P1068" s="451"/>
      <c r="Q1068" s="251"/>
      <c r="R1068" s="588"/>
      <c r="S1068" s="111"/>
      <c r="T1068" s="589"/>
      <c r="U1068" s="587"/>
      <c r="V1068" s="111"/>
      <c r="W1068" s="111"/>
      <c r="X1068" s="112"/>
      <c r="Y1068" s="112"/>
      <c r="Z1068" s="590"/>
      <c r="AA1068" s="590"/>
      <c r="AB1068" s="591"/>
    </row>
    <row r="1069" spans="1:28" s="580" customFormat="1" ht="18" customHeight="1" x14ac:dyDescent="0.2">
      <c r="A1069" s="105"/>
      <c r="B1069" s="131"/>
      <c r="C1069" s="131"/>
      <c r="D1069" s="105"/>
      <c r="E1069" s="105"/>
      <c r="F1069" s="105"/>
      <c r="G1069" s="105"/>
      <c r="H1069" s="451"/>
      <c r="I1069" s="111"/>
      <c r="J1069" s="587"/>
      <c r="K1069" s="111"/>
      <c r="L1069" s="105"/>
      <c r="M1069" s="105"/>
      <c r="N1069" s="105"/>
      <c r="O1069" s="105"/>
      <c r="P1069" s="451"/>
      <c r="Q1069" s="251"/>
      <c r="R1069" s="588"/>
      <c r="S1069" s="111"/>
      <c r="T1069" s="589"/>
      <c r="U1069" s="587"/>
      <c r="V1069" s="111"/>
      <c r="W1069" s="111"/>
      <c r="X1069" s="112"/>
      <c r="Y1069" s="112"/>
      <c r="Z1069" s="590"/>
      <c r="AA1069" s="590"/>
      <c r="AB1069" s="591"/>
    </row>
    <row r="1070" spans="1:28" s="580" customFormat="1" ht="18" customHeight="1" x14ac:dyDescent="0.2">
      <c r="A1070" s="54"/>
      <c r="B1070" s="200"/>
      <c r="C1070" s="200"/>
      <c r="D1070" s="54"/>
      <c r="E1070" s="54"/>
      <c r="F1070" s="54"/>
      <c r="G1070" s="54"/>
      <c r="H1070" s="250"/>
      <c r="I1070" s="116"/>
      <c r="J1070" s="592"/>
      <c r="K1070" s="116"/>
      <c r="L1070" s="54"/>
      <c r="M1070" s="54"/>
      <c r="N1070" s="54"/>
      <c r="O1070" s="54"/>
      <c r="P1070" s="54"/>
      <c r="Q1070" s="191"/>
      <c r="R1070" s="593"/>
      <c r="S1070" s="116"/>
      <c r="T1070" s="594"/>
      <c r="U1070" s="592"/>
      <c r="V1070" s="116"/>
      <c r="W1070" s="116"/>
      <c r="X1070" s="118"/>
      <c r="Y1070" s="118"/>
      <c r="Z1070" s="595"/>
      <c r="AA1070" s="595"/>
      <c r="AB1070" s="585"/>
    </row>
    <row r="1071" spans="1:28" s="2219" customFormat="1" ht="18" customHeight="1" x14ac:dyDescent="0.2">
      <c r="A1071" s="2210"/>
      <c r="B1071" s="2210"/>
      <c r="C1071" s="2210"/>
      <c r="D1071" s="2210"/>
      <c r="E1071" s="2210"/>
      <c r="F1071" s="2210"/>
      <c r="G1071" s="2210"/>
      <c r="H1071" s="2211"/>
      <c r="I1071" s="2212"/>
      <c r="J1071" s="2213"/>
      <c r="K1071" s="2212"/>
      <c r="L1071" s="2212"/>
      <c r="M1071" s="2212"/>
      <c r="N1071" s="2212"/>
      <c r="O1071" s="2212"/>
      <c r="P1071" s="2212"/>
      <c r="Q1071" s="2212"/>
      <c r="R1071" s="2214"/>
      <c r="S1071" s="2212"/>
      <c r="T1071" s="2215"/>
      <c r="U1071" s="2213"/>
      <c r="V1071" s="2212"/>
      <c r="W1071" s="2212"/>
      <c r="X1071" s="2216"/>
      <c r="Y1071" s="2216"/>
      <c r="Z1071" s="2217"/>
      <c r="AA1071" s="2217"/>
      <c r="AB1071" s="2218">
        <f>SUM(AB1057:AB1070)</f>
        <v>2088</v>
      </c>
    </row>
    <row r="1072" spans="1:28" s="580" customFormat="1" ht="18" customHeight="1" x14ac:dyDescent="0.2">
      <c r="A1072" s="2772" t="s">
        <v>76</v>
      </c>
      <c r="B1072" s="2772"/>
      <c r="C1072" s="2773" t="s">
        <v>77</v>
      </c>
      <c r="D1072" s="2773"/>
      <c r="E1072" s="2773"/>
      <c r="F1072" s="2773"/>
      <c r="G1072" s="2773"/>
      <c r="H1072" s="2773"/>
      <c r="I1072" s="224" t="s">
        <v>78</v>
      </c>
      <c r="J1072" s="224"/>
      <c r="K1072" s="224"/>
      <c r="L1072" s="224"/>
      <c r="M1072" s="224"/>
      <c r="N1072" s="224"/>
      <c r="AB1072" s="225"/>
    </row>
    <row r="1073" spans="1:28" s="580" customFormat="1" ht="18" customHeight="1" x14ac:dyDescent="0.2">
      <c r="A1073" s="224"/>
      <c r="B1073" s="226"/>
      <c r="C1073" s="224"/>
      <c r="D1073" s="224"/>
      <c r="E1073" s="224"/>
      <c r="F1073" s="224"/>
      <c r="G1073" s="224"/>
      <c r="H1073" s="224"/>
      <c r="I1073" s="224" t="s">
        <v>79</v>
      </c>
      <c r="J1073" s="224"/>
      <c r="K1073" s="224"/>
      <c r="L1073" s="224"/>
      <c r="M1073" s="224"/>
      <c r="N1073" s="224"/>
      <c r="AB1073" s="225"/>
    </row>
    <row r="1074" spans="1:28" s="580" customFormat="1" ht="18" customHeight="1" x14ac:dyDescent="0.2">
      <c r="A1074" s="224"/>
      <c r="B1074" s="226"/>
      <c r="C1074" s="224"/>
      <c r="D1074" s="224"/>
      <c r="E1074" s="224"/>
      <c r="F1074" s="224"/>
      <c r="G1074" s="224"/>
      <c r="H1074" s="224"/>
      <c r="I1074" s="224" t="s">
        <v>80</v>
      </c>
      <c r="J1074" s="224"/>
      <c r="K1074" s="224"/>
      <c r="L1074" s="224"/>
      <c r="M1074" s="224"/>
      <c r="N1074" s="224"/>
      <c r="AB1074" s="225"/>
    </row>
    <row r="1075" spans="1:28" s="580" customFormat="1" ht="18" customHeight="1" x14ac:dyDescent="0.2">
      <c r="A1075" s="224"/>
      <c r="B1075" s="226"/>
      <c r="C1075" s="224"/>
      <c r="D1075" s="224"/>
      <c r="E1075" s="224"/>
      <c r="F1075" s="224"/>
      <c r="G1075" s="224"/>
      <c r="H1075" s="224"/>
      <c r="I1075" s="224" t="s">
        <v>81</v>
      </c>
      <c r="J1075" s="224"/>
      <c r="K1075" s="224"/>
      <c r="L1075" s="224"/>
      <c r="M1075" s="224"/>
      <c r="N1075" s="224"/>
      <c r="AB1075" s="225"/>
    </row>
    <row r="1076" spans="1:28" s="580" customFormat="1" ht="18" customHeight="1" x14ac:dyDescent="0.2">
      <c r="A1076" s="224"/>
      <c r="B1076" s="226"/>
      <c r="C1076" s="224"/>
      <c r="D1076" s="224"/>
      <c r="E1076" s="224"/>
      <c r="F1076" s="224"/>
      <c r="G1076" s="224"/>
      <c r="H1076" s="224"/>
      <c r="I1076" s="224" t="s">
        <v>88</v>
      </c>
      <c r="J1076" s="224"/>
      <c r="K1076" s="224"/>
      <c r="L1076" s="224"/>
      <c r="M1076" s="224"/>
      <c r="N1076" s="224"/>
      <c r="AB1076" s="225"/>
    </row>
    <row r="1077" spans="1:28" s="352" customFormat="1" ht="18" customHeight="1" x14ac:dyDescent="0.2">
      <c r="A1077" s="338"/>
      <c r="B1077" s="338"/>
      <c r="C1077" s="338"/>
      <c r="D1077" s="338"/>
      <c r="E1077" s="338"/>
      <c r="F1077" s="338"/>
      <c r="G1077" s="338"/>
      <c r="H1077" s="338"/>
      <c r="I1077" s="338"/>
      <c r="J1077" s="338"/>
      <c r="K1077" s="338"/>
      <c r="L1077" s="338"/>
      <c r="M1077" s="338"/>
      <c r="N1077" s="338"/>
      <c r="O1077" s="338"/>
      <c r="P1077" s="338"/>
      <c r="Q1077" s="338"/>
      <c r="R1077" s="338"/>
      <c r="S1077" s="338"/>
      <c r="T1077" s="338"/>
      <c r="U1077" s="338"/>
      <c r="V1077" s="338"/>
      <c r="W1077" s="338"/>
      <c r="X1077" s="338"/>
      <c r="Y1077" s="338"/>
      <c r="Z1077" s="338"/>
      <c r="AA1077" s="2774" t="s">
        <v>0</v>
      </c>
      <c r="AB1077" s="2774"/>
    </row>
    <row r="1078" spans="1:28" s="352" customFormat="1" ht="18" customHeight="1" x14ac:dyDescent="0.2">
      <c r="A1078" s="2703" t="s">
        <v>1</v>
      </c>
      <c r="B1078" s="2703"/>
      <c r="C1078" s="2703"/>
      <c r="D1078" s="2703"/>
      <c r="E1078" s="2703"/>
      <c r="F1078" s="2703"/>
      <c r="G1078" s="2703"/>
      <c r="H1078" s="2703"/>
      <c r="I1078" s="2703"/>
      <c r="J1078" s="2703"/>
      <c r="K1078" s="2703"/>
      <c r="L1078" s="2703"/>
      <c r="M1078" s="2703"/>
      <c r="N1078" s="2703"/>
      <c r="O1078" s="2703"/>
      <c r="P1078" s="2703"/>
      <c r="Q1078" s="2703"/>
      <c r="R1078" s="2703"/>
      <c r="S1078" s="2703"/>
      <c r="T1078" s="2703"/>
      <c r="U1078" s="2703"/>
      <c r="V1078" s="2703"/>
      <c r="W1078" s="2703"/>
      <c r="X1078" s="2703"/>
      <c r="Y1078" s="2703"/>
      <c r="Z1078" s="2703"/>
      <c r="AA1078" s="2703"/>
      <c r="AB1078" s="2703"/>
    </row>
    <row r="1079" spans="1:28" s="352" customFormat="1" ht="18" customHeight="1" x14ac:dyDescent="0.2">
      <c r="A1079" s="2780" t="s">
        <v>635</v>
      </c>
      <c r="B1079" s="2780"/>
      <c r="C1079" s="2780"/>
      <c r="D1079" s="2780"/>
      <c r="E1079" s="2780"/>
      <c r="F1079" s="2780"/>
      <c r="G1079" s="2780"/>
      <c r="H1079" s="2780"/>
      <c r="I1079" s="2780"/>
      <c r="J1079" s="2780"/>
      <c r="K1079" s="2780"/>
      <c r="L1079" s="2780"/>
      <c r="M1079" s="2780"/>
      <c r="N1079" s="2780"/>
      <c r="O1079" s="2780"/>
      <c r="P1079" s="2780"/>
      <c r="Q1079" s="2780"/>
      <c r="R1079" s="2780"/>
      <c r="S1079" s="2780"/>
      <c r="T1079" s="2780"/>
      <c r="U1079" s="2780"/>
      <c r="V1079" s="2780"/>
      <c r="W1079" s="2780"/>
      <c r="X1079" s="2780"/>
      <c r="Y1079" s="2780"/>
      <c r="Z1079" s="2780"/>
      <c r="AA1079" s="2780"/>
      <c r="AB1079" s="2780"/>
    </row>
    <row r="1080" spans="1:28" s="352" customFormat="1" ht="18" customHeight="1" x14ac:dyDescent="0.2">
      <c r="A1080" s="2686" t="s">
        <v>2</v>
      </c>
      <c r="B1080" s="360"/>
      <c r="C1080" s="2686" t="s">
        <v>3</v>
      </c>
      <c r="D1080" s="360"/>
      <c r="E1080" s="360"/>
      <c r="F1080" s="2693" t="s">
        <v>4</v>
      </c>
      <c r="G1080" s="2693"/>
      <c r="H1080" s="2693"/>
      <c r="I1080" s="2694"/>
      <c r="J1080" s="2694"/>
      <c r="K1080" s="2695"/>
      <c r="L1080" s="361"/>
      <c r="M1080" s="2679" t="s">
        <v>5</v>
      </c>
      <c r="N1080" s="2679"/>
      <c r="O1080" s="2679"/>
      <c r="P1080" s="2679"/>
      <c r="Q1080" s="2696"/>
      <c r="R1080" s="2696"/>
      <c r="S1080" s="2696"/>
      <c r="T1080" s="2696"/>
      <c r="U1080" s="2696"/>
      <c r="V1080" s="2697"/>
      <c r="W1080" s="362" t="s">
        <v>6</v>
      </c>
      <c r="X1080" s="363" t="s">
        <v>7</v>
      </c>
      <c r="Y1080" s="364"/>
      <c r="Z1080" s="364"/>
      <c r="AA1080" s="363"/>
      <c r="AB1080" s="365"/>
    </row>
    <row r="1081" spans="1:28" s="352" customFormat="1" ht="18" customHeight="1" x14ac:dyDescent="0.2">
      <c r="A1081" s="2687"/>
      <c r="B1081" s="367"/>
      <c r="C1081" s="2687"/>
      <c r="D1081" s="2158" t="s">
        <v>9</v>
      </c>
      <c r="E1081" s="368" t="s">
        <v>10</v>
      </c>
      <c r="F1081" s="2698" t="s">
        <v>11</v>
      </c>
      <c r="G1081" s="2694"/>
      <c r="H1081" s="2695"/>
      <c r="I1081" s="360"/>
      <c r="J1081" s="369" t="s">
        <v>12</v>
      </c>
      <c r="K1081" s="360"/>
      <c r="L1081" s="2679" t="s">
        <v>2</v>
      </c>
      <c r="M1081" s="2162"/>
      <c r="N1081" s="2162"/>
      <c r="O1081" s="2162"/>
      <c r="P1081" s="371"/>
      <c r="Q1081" s="372" t="s">
        <v>13</v>
      </c>
      <c r="R1081" s="373" t="s">
        <v>12</v>
      </c>
      <c r="S1081" s="2162" t="s">
        <v>6</v>
      </c>
      <c r="T1081" s="2682" t="s">
        <v>14</v>
      </c>
      <c r="U1081" s="2683"/>
      <c r="V1081" s="375" t="s">
        <v>7</v>
      </c>
      <c r="W1081" s="376" t="s">
        <v>15</v>
      </c>
      <c r="X1081" s="377" t="s">
        <v>16</v>
      </c>
      <c r="Y1081" s="377" t="s">
        <v>17</v>
      </c>
      <c r="Z1081" s="377" t="s">
        <v>18</v>
      </c>
      <c r="AA1081" s="377"/>
      <c r="AB1081" s="378" t="s">
        <v>19</v>
      </c>
    </row>
    <row r="1082" spans="1:28" s="352" customFormat="1" ht="18" customHeight="1" x14ac:dyDescent="0.2">
      <c r="A1082" s="2687"/>
      <c r="B1082" s="2158" t="s">
        <v>23</v>
      </c>
      <c r="C1082" s="2687"/>
      <c r="D1082" s="2158" t="s">
        <v>24</v>
      </c>
      <c r="E1082" s="368" t="s">
        <v>25</v>
      </c>
      <c r="F1082" s="2699"/>
      <c r="G1082" s="2700"/>
      <c r="H1082" s="2701"/>
      <c r="I1082" s="2158" t="s">
        <v>26</v>
      </c>
      <c r="J1082" s="379" t="s">
        <v>15</v>
      </c>
      <c r="K1082" s="2159" t="s">
        <v>6</v>
      </c>
      <c r="L1082" s="2680"/>
      <c r="M1082" s="2163" t="s">
        <v>27</v>
      </c>
      <c r="N1082" s="2163" t="s">
        <v>10</v>
      </c>
      <c r="O1082" s="382" t="s">
        <v>10</v>
      </c>
      <c r="P1082" s="383" t="s">
        <v>28</v>
      </c>
      <c r="Q1082" s="384" t="s">
        <v>29</v>
      </c>
      <c r="R1082" s="383" t="s">
        <v>15</v>
      </c>
      <c r="S1082" s="385" t="s">
        <v>15</v>
      </c>
      <c r="T1082" s="2684"/>
      <c r="U1082" s="2685"/>
      <c r="V1082" s="375" t="s">
        <v>30</v>
      </c>
      <c r="W1082" s="376" t="s">
        <v>31</v>
      </c>
      <c r="X1082" s="377" t="s">
        <v>30</v>
      </c>
      <c r="Y1082" s="377" t="s">
        <v>32</v>
      </c>
      <c r="Z1082" s="377" t="s">
        <v>7</v>
      </c>
      <c r="AA1082" s="377" t="s">
        <v>33</v>
      </c>
      <c r="AB1082" s="378" t="s">
        <v>34</v>
      </c>
    </row>
    <row r="1083" spans="1:28" s="352" customFormat="1" ht="18" customHeight="1" x14ac:dyDescent="0.2">
      <c r="A1083" s="2687"/>
      <c r="B1083" s="2158" t="s">
        <v>39</v>
      </c>
      <c r="C1083" s="2687"/>
      <c r="D1083" s="2158" t="s">
        <v>40</v>
      </c>
      <c r="E1083" s="368" t="s">
        <v>41</v>
      </c>
      <c r="F1083" s="2686" t="s">
        <v>42</v>
      </c>
      <c r="G1083" s="2686" t="s">
        <v>43</v>
      </c>
      <c r="H1083" s="2688" t="s">
        <v>44</v>
      </c>
      <c r="I1083" s="2158" t="s">
        <v>45</v>
      </c>
      <c r="J1083" s="379" t="s">
        <v>46</v>
      </c>
      <c r="K1083" s="2159" t="s">
        <v>47</v>
      </c>
      <c r="L1083" s="2680"/>
      <c r="M1083" s="2163" t="s">
        <v>30</v>
      </c>
      <c r="N1083" s="2163" t="s">
        <v>30</v>
      </c>
      <c r="O1083" s="382" t="s">
        <v>25</v>
      </c>
      <c r="P1083" s="383" t="s">
        <v>30</v>
      </c>
      <c r="Q1083" s="384" t="s">
        <v>48</v>
      </c>
      <c r="R1083" s="383" t="s">
        <v>49</v>
      </c>
      <c r="S1083" s="385" t="s">
        <v>30</v>
      </c>
      <c r="T1083" s="386" t="s">
        <v>50</v>
      </c>
      <c r="U1083" s="2161" t="s">
        <v>13</v>
      </c>
      <c r="V1083" s="375" t="s">
        <v>51</v>
      </c>
      <c r="W1083" s="376" t="s">
        <v>52</v>
      </c>
      <c r="X1083" s="377" t="s">
        <v>53</v>
      </c>
      <c r="Y1083" s="377" t="s">
        <v>54</v>
      </c>
      <c r="Z1083" s="377" t="s">
        <v>55</v>
      </c>
      <c r="AA1083" s="377" t="s">
        <v>56</v>
      </c>
      <c r="AB1083" s="378" t="s">
        <v>57</v>
      </c>
    </row>
    <row r="1084" spans="1:28" s="352" customFormat="1" ht="18" customHeight="1" x14ac:dyDescent="0.2">
      <c r="A1084" s="2687"/>
      <c r="B1084" s="2158" t="s">
        <v>61</v>
      </c>
      <c r="C1084" s="2687"/>
      <c r="D1084" s="2158" t="s">
        <v>62</v>
      </c>
      <c r="E1084" s="368" t="s">
        <v>63</v>
      </c>
      <c r="F1084" s="2687"/>
      <c r="G1084" s="2687"/>
      <c r="H1084" s="2689"/>
      <c r="I1084" s="2158" t="s">
        <v>64</v>
      </c>
      <c r="J1084" s="379" t="s">
        <v>59</v>
      </c>
      <c r="K1084" s="2159" t="s">
        <v>59</v>
      </c>
      <c r="L1084" s="2680"/>
      <c r="M1084" s="2163"/>
      <c r="N1084" s="2163"/>
      <c r="O1084" s="382" t="s">
        <v>41</v>
      </c>
      <c r="P1084" s="383" t="s">
        <v>65</v>
      </c>
      <c r="Q1084" s="384" t="s">
        <v>66</v>
      </c>
      <c r="R1084" s="383" t="s">
        <v>67</v>
      </c>
      <c r="S1084" s="385" t="s">
        <v>59</v>
      </c>
      <c r="T1084" s="387" t="s">
        <v>68</v>
      </c>
      <c r="U1084" s="375" t="s">
        <v>14</v>
      </c>
      <c r="V1084" s="375" t="s">
        <v>14</v>
      </c>
      <c r="W1084" s="376" t="s">
        <v>30</v>
      </c>
      <c r="X1084" s="388" t="s">
        <v>69</v>
      </c>
      <c r="Y1084" s="388" t="s">
        <v>70</v>
      </c>
      <c r="Z1084" s="377" t="s">
        <v>71</v>
      </c>
      <c r="AA1084" s="377" t="s">
        <v>72</v>
      </c>
      <c r="AB1084" s="378" t="s">
        <v>59</v>
      </c>
    </row>
    <row r="1085" spans="1:28" s="352" customFormat="1" ht="18" customHeight="1" x14ac:dyDescent="0.2">
      <c r="A1085" s="2692"/>
      <c r="B1085" s="390"/>
      <c r="C1085" s="2692"/>
      <c r="D1085" s="390"/>
      <c r="E1085" s="2160"/>
      <c r="F1085" s="390"/>
      <c r="G1085" s="390"/>
      <c r="H1085" s="391"/>
      <c r="I1085" s="2160"/>
      <c r="J1085" s="392"/>
      <c r="K1085" s="393"/>
      <c r="L1085" s="2681"/>
      <c r="M1085" s="2164"/>
      <c r="N1085" s="2164"/>
      <c r="O1085" s="2164" t="s">
        <v>63</v>
      </c>
      <c r="P1085" s="395"/>
      <c r="Q1085" s="396" t="s">
        <v>72</v>
      </c>
      <c r="R1085" s="397" t="s">
        <v>59</v>
      </c>
      <c r="S1085" s="398"/>
      <c r="T1085" s="397" t="s">
        <v>73</v>
      </c>
      <c r="U1085" s="398" t="s">
        <v>59</v>
      </c>
      <c r="V1085" s="399" t="s">
        <v>59</v>
      </c>
      <c r="W1085" s="400" t="s">
        <v>59</v>
      </c>
      <c r="X1085" s="401" t="s">
        <v>59</v>
      </c>
      <c r="Y1085" s="401" t="s">
        <v>59</v>
      </c>
      <c r="Z1085" s="401" t="s">
        <v>59</v>
      </c>
      <c r="AA1085" s="402"/>
      <c r="AB1085" s="403"/>
    </row>
    <row r="1086" spans="1:28" s="352" customFormat="1" ht="18" customHeight="1" x14ac:dyDescent="0.25">
      <c r="A1086" s="53">
        <v>1</v>
      </c>
      <c r="B1086" s="333">
        <v>27766</v>
      </c>
      <c r="C1086" s="41">
        <v>17</v>
      </c>
      <c r="D1086" s="41" t="s">
        <v>107</v>
      </c>
      <c r="E1086" s="41">
        <v>4</v>
      </c>
      <c r="F1086" s="41">
        <v>0</v>
      </c>
      <c r="G1086" s="41">
        <v>3</v>
      </c>
      <c r="H1086" s="267">
        <v>82</v>
      </c>
      <c r="I1086" s="310">
        <f>F1086*400+G1086*100+H1086</f>
        <v>382</v>
      </c>
      <c r="J1086" s="310">
        <v>3000</v>
      </c>
      <c r="K1086" s="310">
        <f>SUM(I1086*J1086)</f>
        <v>1146000</v>
      </c>
      <c r="L1086" s="16"/>
      <c r="M1086" s="82"/>
      <c r="N1086" s="41"/>
      <c r="O1086" s="16">
        <v>4</v>
      </c>
      <c r="P1086" s="404"/>
      <c r="Q1086" s="14"/>
      <c r="R1086" s="302"/>
      <c r="S1086" s="302"/>
      <c r="T1086" s="41"/>
      <c r="U1086" s="302"/>
      <c r="V1086" s="302"/>
      <c r="W1086" s="302">
        <f>K1086+V1086</f>
        <v>1146000</v>
      </c>
      <c r="X1086" s="302">
        <f>W1086</f>
        <v>1146000</v>
      </c>
      <c r="Y1086" s="310"/>
      <c r="Z1086" s="310">
        <f>+X1086</f>
        <v>1146000</v>
      </c>
      <c r="AA1086" s="405">
        <v>0.6</v>
      </c>
      <c r="AB1086" s="406">
        <f>+Z1086*AA1086/100</f>
        <v>6876</v>
      </c>
    </row>
    <row r="1087" spans="1:28" s="352" customFormat="1" ht="18" customHeight="1" x14ac:dyDescent="0.2">
      <c r="A1087" s="61"/>
      <c r="B1087" s="2166"/>
      <c r="C1087" s="2166"/>
      <c r="D1087" s="2166"/>
      <c r="E1087" s="2166"/>
      <c r="F1087" s="2166"/>
      <c r="G1087" s="2166"/>
      <c r="H1087" s="407"/>
      <c r="I1087" s="77"/>
      <c r="J1087" s="2168"/>
      <c r="K1087" s="78"/>
      <c r="L1087" s="61"/>
      <c r="M1087" s="2166"/>
      <c r="N1087" s="2166"/>
      <c r="O1087" s="61"/>
      <c r="P1087" s="177"/>
      <c r="Q1087" s="196"/>
      <c r="R1087" s="408"/>
      <c r="S1087" s="77"/>
      <c r="T1087" s="2166"/>
      <c r="U1087" s="77"/>
      <c r="V1087" s="77"/>
      <c r="W1087" s="77"/>
      <c r="X1087" s="77"/>
      <c r="Y1087" s="2168"/>
      <c r="Z1087" s="77"/>
      <c r="AA1087" s="2170"/>
      <c r="AB1087" s="410"/>
    </row>
    <row r="1088" spans="1:28" s="352" customFormat="1" ht="18" customHeight="1" x14ac:dyDescent="0.2">
      <c r="A1088" s="75"/>
      <c r="B1088" s="88"/>
      <c r="C1088" s="88"/>
      <c r="D1088" s="88"/>
      <c r="E1088" s="88"/>
      <c r="F1088" s="88"/>
      <c r="G1088" s="88"/>
      <c r="H1088" s="495"/>
      <c r="I1088" s="74"/>
      <c r="J1088" s="121"/>
      <c r="K1088" s="159"/>
      <c r="L1088" s="75"/>
      <c r="M1088" s="88"/>
      <c r="N1088" s="88"/>
      <c r="O1088" s="75"/>
      <c r="P1088" s="180"/>
      <c r="Q1088" s="174"/>
      <c r="R1088" s="413"/>
      <c r="S1088" s="74"/>
      <c r="T1088" s="88"/>
      <c r="U1088" s="74"/>
      <c r="V1088" s="74"/>
      <c r="W1088" s="74"/>
      <c r="X1088" s="74"/>
      <c r="Y1088" s="121"/>
      <c r="Z1088" s="74"/>
      <c r="AA1088" s="414"/>
      <c r="AB1088" s="410"/>
    </row>
    <row r="1089" spans="1:28" s="352" customFormat="1" ht="18" customHeight="1" x14ac:dyDescent="0.2">
      <c r="A1089" s="75"/>
      <c r="B1089" s="88"/>
      <c r="C1089" s="88"/>
      <c r="D1089" s="88"/>
      <c r="E1089" s="88"/>
      <c r="F1089" s="88"/>
      <c r="G1089" s="88"/>
      <c r="H1089" s="495"/>
      <c r="I1089" s="74"/>
      <c r="J1089" s="121"/>
      <c r="K1089" s="159"/>
      <c r="L1089" s="75"/>
      <c r="M1089" s="88"/>
      <c r="N1089" s="88"/>
      <c r="O1089" s="75"/>
      <c r="P1089" s="180"/>
      <c r="Q1089" s="174"/>
      <c r="R1089" s="413"/>
      <c r="S1089" s="74"/>
      <c r="T1089" s="88"/>
      <c r="U1089" s="74"/>
      <c r="V1089" s="74"/>
      <c r="W1089" s="74"/>
      <c r="X1089" s="74"/>
      <c r="Y1089" s="121"/>
      <c r="Z1089" s="74"/>
      <c r="AA1089" s="414"/>
      <c r="AB1089" s="410"/>
    </row>
    <row r="1090" spans="1:28" s="352" customFormat="1" ht="18" customHeight="1" x14ac:dyDescent="0.2">
      <c r="A1090" s="75"/>
      <c r="B1090" s="88"/>
      <c r="C1090" s="88"/>
      <c r="D1090" s="88"/>
      <c r="E1090" s="88"/>
      <c r="F1090" s="88"/>
      <c r="G1090" s="88"/>
      <c r="H1090" s="495"/>
      <c r="I1090" s="74"/>
      <c r="J1090" s="121"/>
      <c r="K1090" s="159"/>
      <c r="L1090" s="75"/>
      <c r="M1090" s="88"/>
      <c r="N1090" s="88"/>
      <c r="O1090" s="75"/>
      <c r="P1090" s="180"/>
      <c r="Q1090" s="174"/>
      <c r="R1090" s="413"/>
      <c r="S1090" s="74"/>
      <c r="T1090" s="88"/>
      <c r="U1090" s="74"/>
      <c r="V1090" s="74"/>
      <c r="W1090" s="74"/>
      <c r="X1090" s="74"/>
      <c r="Y1090" s="121"/>
      <c r="Z1090" s="74"/>
      <c r="AA1090" s="414"/>
      <c r="AB1090" s="416"/>
    </row>
    <row r="1091" spans="1:28" s="352" customFormat="1" ht="18" customHeight="1" x14ac:dyDescent="0.2">
      <c r="A1091" s="61"/>
      <c r="B1091" s="2166"/>
      <c r="C1091" s="2166"/>
      <c r="D1091" s="2166"/>
      <c r="E1091" s="2166"/>
      <c r="F1091" s="2166"/>
      <c r="G1091" s="2166"/>
      <c r="H1091" s="407"/>
      <c r="I1091" s="77"/>
      <c r="J1091" s="2168"/>
      <c r="K1091" s="78"/>
      <c r="L1091" s="61"/>
      <c r="M1091" s="2166"/>
      <c r="N1091" s="2166"/>
      <c r="O1091" s="61"/>
      <c r="P1091" s="177"/>
      <c r="Q1091" s="196"/>
      <c r="R1091" s="408"/>
      <c r="S1091" s="77"/>
      <c r="T1091" s="2166"/>
      <c r="U1091" s="77"/>
      <c r="V1091" s="77"/>
      <c r="W1091" s="77"/>
      <c r="X1091" s="77"/>
      <c r="Y1091" s="2168"/>
      <c r="Z1091" s="77"/>
      <c r="AA1091" s="2170"/>
      <c r="AB1091" s="410"/>
    </row>
    <row r="1092" spans="1:28" s="352" customFormat="1" ht="18" customHeight="1" x14ac:dyDescent="0.2">
      <c r="A1092" s="2166"/>
      <c r="B1092" s="177"/>
      <c r="C1092" s="177"/>
      <c r="D1092" s="2166"/>
      <c r="E1092" s="2166"/>
      <c r="F1092" s="2166"/>
      <c r="G1092" s="2166"/>
      <c r="H1092" s="2171"/>
      <c r="I1092" s="2168"/>
      <c r="J1092" s="178"/>
      <c r="K1092" s="2168"/>
      <c r="L1092" s="2166"/>
      <c r="M1092" s="2166"/>
      <c r="N1092" s="2166"/>
      <c r="O1092" s="2166"/>
      <c r="P1092" s="2171"/>
      <c r="Q1092" s="2167"/>
      <c r="R1092" s="437"/>
      <c r="S1092" s="2168"/>
      <c r="T1092" s="179"/>
      <c r="U1092" s="178"/>
      <c r="V1092" s="2168"/>
      <c r="W1092" s="2168"/>
      <c r="X1092" s="470"/>
      <c r="Y1092" s="470"/>
      <c r="Z1092" s="471"/>
      <c r="AA1092" s="471"/>
      <c r="AB1092" s="466"/>
    </row>
    <row r="1093" spans="1:28" s="352" customFormat="1" ht="18" customHeight="1" x14ac:dyDescent="0.2">
      <c r="A1093" s="2166"/>
      <c r="B1093" s="177"/>
      <c r="C1093" s="177"/>
      <c r="D1093" s="2166"/>
      <c r="E1093" s="2166"/>
      <c r="F1093" s="2166"/>
      <c r="G1093" s="2166"/>
      <c r="H1093" s="2171"/>
      <c r="I1093" s="2168"/>
      <c r="J1093" s="178"/>
      <c r="K1093" s="2168"/>
      <c r="L1093" s="2166"/>
      <c r="M1093" s="2166"/>
      <c r="N1093" s="2166"/>
      <c r="O1093" s="2166"/>
      <c r="P1093" s="2171"/>
      <c r="Q1093" s="2167"/>
      <c r="R1093" s="437"/>
      <c r="S1093" s="2168"/>
      <c r="T1093" s="179"/>
      <c r="U1093" s="178"/>
      <c r="V1093" s="2168"/>
      <c r="W1093" s="2168"/>
      <c r="X1093" s="470"/>
      <c r="Y1093" s="470"/>
      <c r="Z1093" s="471"/>
      <c r="AA1093" s="471"/>
      <c r="AB1093" s="466"/>
    </row>
    <row r="1094" spans="1:28" s="352" customFormat="1" ht="18" customHeight="1" x14ac:dyDescent="0.2">
      <c r="A1094" s="2166"/>
      <c r="B1094" s="177"/>
      <c r="C1094" s="177"/>
      <c r="D1094" s="2166"/>
      <c r="E1094" s="2166"/>
      <c r="F1094" s="2166"/>
      <c r="G1094" s="2166"/>
      <c r="H1094" s="2171"/>
      <c r="I1094" s="2168"/>
      <c r="J1094" s="178"/>
      <c r="K1094" s="2168"/>
      <c r="L1094" s="2166"/>
      <c r="M1094" s="2166"/>
      <c r="N1094" s="2166"/>
      <c r="O1094" s="2166"/>
      <c r="P1094" s="2171"/>
      <c r="Q1094" s="2167"/>
      <c r="R1094" s="437"/>
      <c r="S1094" s="2168"/>
      <c r="T1094" s="179"/>
      <c r="U1094" s="178"/>
      <c r="V1094" s="2168"/>
      <c r="W1094" s="2168"/>
      <c r="X1094" s="470"/>
      <c r="Y1094" s="470"/>
      <c r="Z1094" s="471"/>
      <c r="AA1094" s="471"/>
      <c r="AB1094" s="466"/>
    </row>
    <row r="1095" spans="1:28" s="352" customFormat="1" ht="18" customHeight="1" x14ac:dyDescent="0.2">
      <c r="A1095" s="2166"/>
      <c r="B1095" s="177"/>
      <c r="C1095" s="177"/>
      <c r="D1095" s="2166"/>
      <c r="E1095" s="2166"/>
      <c r="F1095" s="2166"/>
      <c r="G1095" s="2166"/>
      <c r="H1095" s="2171"/>
      <c r="I1095" s="2168"/>
      <c r="J1095" s="178"/>
      <c r="K1095" s="2168"/>
      <c r="L1095" s="2166"/>
      <c r="M1095" s="2166"/>
      <c r="N1095" s="2166"/>
      <c r="O1095" s="2166"/>
      <c r="P1095" s="2171"/>
      <c r="Q1095" s="2167"/>
      <c r="R1095" s="437"/>
      <c r="S1095" s="2168"/>
      <c r="T1095" s="179"/>
      <c r="U1095" s="178"/>
      <c r="V1095" s="2168"/>
      <c r="W1095" s="2168"/>
      <c r="X1095" s="470"/>
      <c r="Y1095" s="470"/>
      <c r="Z1095" s="471"/>
      <c r="AA1095" s="471"/>
      <c r="AB1095" s="466"/>
    </row>
    <row r="1096" spans="1:28" s="352" customFormat="1" ht="18" customHeight="1" x14ac:dyDescent="0.2">
      <c r="A1096" s="2166"/>
      <c r="B1096" s="177"/>
      <c r="C1096" s="177"/>
      <c r="D1096" s="2166"/>
      <c r="E1096" s="2166"/>
      <c r="F1096" s="2166"/>
      <c r="G1096" s="2166"/>
      <c r="H1096" s="2171"/>
      <c r="I1096" s="2168"/>
      <c r="J1096" s="178"/>
      <c r="K1096" s="2168"/>
      <c r="L1096" s="2166"/>
      <c r="M1096" s="2166"/>
      <c r="N1096" s="2166"/>
      <c r="O1096" s="2166"/>
      <c r="P1096" s="2171"/>
      <c r="Q1096" s="2167"/>
      <c r="R1096" s="437"/>
      <c r="S1096" s="2168"/>
      <c r="T1096" s="179"/>
      <c r="U1096" s="178"/>
      <c r="V1096" s="2168"/>
      <c r="W1096" s="2168"/>
      <c r="X1096" s="470"/>
      <c r="Y1096" s="470"/>
      <c r="Z1096" s="471"/>
      <c r="AA1096" s="471"/>
      <c r="AB1096" s="466"/>
    </row>
    <row r="1097" spans="1:28" s="352" customFormat="1" ht="18" customHeight="1" x14ac:dyDescent="0.2">
      <c r="A1097" s="2166"/>
      <c r="B1097" s="177"/>
      <c r="C1097" s="177"/>
      <c r="D1097" s="2166"/>
      <c r="E1097" s="2166"/>
      <c r="F1097" s="2166"/>
      <c r="G1097" s="2166"/>
      <c r="H1097" s="2171"/>
      <c r="I1097" s="2168"/>
      <c r="J1097" s="178"/>
      <c r="K1097" s="2168"/>
      <c r="L1097" s="2166"/>
      <c r="M1097" s="2166"/>
      <c r="N1097" s="2166"/>
      <c r="O1097" s="2166"/>
      <c r="P1097" s="2171"/>
      <c r="Q1097" s="2167"/>
      <c r="R1097" s="437"/>
      <c r="S1097" s="2168"/>
      <c r="T1097" s="179"/>
      <c r="U1097" s="178"/>
      <c r="V1097" s="2168"/>
      <c r="W1097" s="2168"/>
      <c r="X1097" s="470"/>
      <c r="Y1097" s="470"/>
      <c r="Z1097" s="471"/>
      <c r="AA1097" s="471"/>
      <c r="AB1097" s="466"/>
    </row>
    <row r="1098" spans="1:28" s="352" customFormat="1" ht="18" customHeight="1" x14ac:dyDescent="0.2">
      <c r="A1098" s="2166"/>
      <c r="B1098" s="177"/>
      <c r="C1098" s="177"/>
      <c r="D1098" s="2166"/>
      <c r="E1098" s="2166"/>
      <c r="F1098" s="2166"/>
      <c r="G1098" s="2166"/>
      <c r="H1098" s="2171"/>
      <c r="I1098" s="2168"/>
      <c r="J1098" s="178"/>
      <c r="K1098" s="2168"/>
      <c r="L1098" s="2166"/>
      <c r="M1098" s="2166"/>
      <c r="N1098" s="2166"/>
      <c r="O1098" s="2166"/>
      <c r="P1098" s="2171"/>
      <c r="Q1098" s="2167"/>
      <c r="R1098" s="437"/>
      <c r="S1098" s="2168"/>
      <c r="T1098" s="179"/>
      <c r="U1098" s="178"/>
      <c r="V1098" s="2168"/>
      <c r="W1098" s="2168"/>
      <c r="X1098" s="470"/>
      <c r="Y1098" s="470"/>
      <c r="Z1098" s="471"/>
      <c r="AA1098" s="471"/>
      <c r="AB1098" s="466"/>
    </row>
    <row r="1099" spans="1:28" s="352" customFormat="1" ht="18" customHeight="1" x14ac:dyDescent="0.2">
      <c r="A1099" s="88"/>
      <c r="B1099" s="180"/>
      <c r="C1099" s="180"/>
      <c r="D1099" s="88"/>
      <c r="E1099" s="88"/>
      <c r="F1099" s="88"/>
      <c r="G1099" s="88"/>
      <c r="H1099" s="120"/>
      <c r="I1099" s="121"/>
      <c r="J1099" s="181"/>
      <c r="K1099" s="121"/>
      <c r="L1099" s="88"/>
      <c r="M1099" s="88"/>
      <c r="N1099" s="88"/>
      <c r="O1099" s="88"/>
      <c r="P1099" s="88"/>
      <c r="Q1099" s="129"/>
      <c r="R1099" s="445"/>
      <c r="S1099" s="121"/>
      <c r="T1099" s="182"/>
      <c r="U1099" s="181"/>
      <c r="V1099" s="121"/>
      <c r="W1099" s="121"/>
      <c r="X1099" s="472"/>
      <c r="Y1099" s="472"/>
      <c r="Z1099" s="473"/>
      <c r="AA1099" s="473"/>
      <c r="AB1099" s="410"/>
    </row>
    <row r="1100" spans="1:28" s="352" customFormat="1" ht="18" customHeight="1" x14ac:dyDescent="0.2">
      <c r="A1100" s="1850"/>
      <c r="B1100" s="1850"/>
      <c r="C1100" s="1850"/>
      <c r="D1100" s="1850"/>
      <c r="E1100" s="1850"/>
      <c r="F1100" s="1850"/>
      <c r="G1100" s="1850"/>
      <c r="H1100" s="1851"/>
      <c r="I1100" s="1852"/>
      <c r="J1100" s="1853"/>
      <c r="K1100" s="1852"/>
      <c r="L1100" s="1852"/>
      <c r="M1100" s="1852"/>
      <c r="N1100" s="1852"/>
      <c r="O1100" s="1852"/>
      <c r="P1100" s="1852"/>
      <c r="Q1100" s="1852"/>
      <c r="R1100" s="1854"/>
      <c r="S1100" s="1852"/>
      <c r="T1100" s="1855"/>
      <c r="U1100" s="1853"/>
      <c r="V1100" s="1852"/>
      <c r="W1100" s="1852"/>
      <c r="X1100" s="1856"/>
      <c r="Y1100" s="1856"/>
      <c r="Z1100" s="1857"/>
      <c r="AA1100" s="1857"/>
      <c r="AB1100" s="1847">
        <f>SUM(AB1086:AB1099)</f>
        <v>6876</v>
      </c>
    </row>
    <row r="1101" spans="1:28" s="352" customFormat="1" ht="18" customHeight="1" x14ac:dyDescent="0.2">
      <c r="A1101" s="2778" t="s">
        <v>76</v>
      </c>
      <c r="B1101" s="2778"/>
      <c r="C1101" s="2779" t="s">
        <v>77</v>
      </c>
      <c r="D1101" s="2779"/>
      <c r="E1101" s="2779"/>
      <c r="F1101" s="2779"/>
      <c r="G1101" s="2779"/>
      <c r="H1101" s="2779"/>
      <c r="I1101" s="424" t="s">
        <v>78</v>
      </c>
      <c r="J1101" s="424"/>
      <c r="K1101" s="424"/>
      <c r="L1101" s="424"/>
      <c r="M1101" s="424"/>
      <c r="N1101" s="424"/>
      <c r="AB1101" s="425"/>
    </row>
    <row r="1102" spans="1:28" s="352" customFormat="1" ht="18" customHeight="1" x14ac:dyDescent="0.2">
      <c r="A1102" s="424"/>
      <c r="B1102" s="426"/>
      <c r="C1102" s="424"/>
      <c r="D1102" s="424"/>
      <c r="E1102" s="424"/>
      <c r="F1102" s="424"/>
      <c r="G1102" s="424"/>
      <c r="H1102" s="424"/>
      <c r="I1102" s="424" t="s">
        <v>79</v>
      </c>
      <c r="J1102" s="424"/>
      <c r="K1102" s="424"/>
      <c r="L1102" s="424"/>
      <c r="M1102" s="424"/>
      <c r="N1102" s="424"/>
      <c r="AB1102" s="425"/>
    </row>
    <row r="1103" spans="1:28" s="352" customFormat="1" ht="18" customHeight="1" x14ac:dyDescent="0.2">
      <c r="A1103" s="424"/>
      <c r="B1103" s="426"/>
      <c r="C1103" s="424"/>
      <c r="D1103" s="424"/>
      <c r="E1103" s="424"/>
      <c r="F1103" s="424"/>
      <c r="G1103" s="424"/>
      <c r="H1103" s="424"/>
      <c r="I1103" s="424" t="s">
        <v>80</v>
      </c>
      <c r="J1103" s="424"/>
      <c r="K1103" s="424"/>
      <c r="L1103" s="424"/>
      <c r="M1103" s="424"/>
      <c r="N1103" s="424"/>
      <c r="AB1103" s="425"/>
    </row>
    <row r="1104" spans="1:28" s="352" customFormat="1" ht="18" customHeight="1" x14ac:dyDescent="0.2">
      <c r="A1104" s="424"/>
      <c r="B1104" s="426"/>
      <c r="C1104" s="424"/>
      <c r="D1104" s="424"/>
      <c r="E1104" s="424"/>
      <c r="F1104" s="424"/>
      <c r="G1104" s="424"/>
      <c r="H1104" s="424"/>
      <c r="I1104" s="424" t="s">
        <v>81</v>
      </c>
      <c r="J1104" s="424"/>
      <c r="K1104" s="424"/>
      <c r="L1104" s="424"/>
      <c r="M1104" s="424"/>
      <c r="N1104" s="424"/>
      <c r="AB1104" s="425"/>
    </row>
    <row r="1105" spans="1:28" s="352" customFormat="1" ht="18" customHeight="1" x14ac:dyDescent="0.2">
      <c r="A1105" s="424"/>
      <c r="B1105" s="426"/>
      <c r="C1105" s="424"/>
      <c r="D1105" s="424"/>
      <c r="E1105" s="424"/>
      <c r="F1105" s="424"/>
      <c r="G1105" s="424"/>
      <c r="H1105" s="424"/>
      <c r="I1105" s="424" t="s">
        <v>88</v>
      </c>
      <c r="J1105" s="424"/>
      <c r="K1105" s="424"/>
      <c r="L1105" s="424"/>
      <c r="M1105" s="424"/>
      <c r="N1105" s="424"/>
      <c r="AB1105" s="425"/>
    </row>
    <row r="1106" spans="1:28" s="352" customFormat="1" ht="18" customHeight="1" x14ac:dyDescent="0.2">
      <c r="A1106" s="338"/>
      <c r="B1106" s="338"/>
      <c r="C1106" s="338"/>
      <c r="D1106" s="338"/>
      <c r="E1106" s="338"/>
      <c r="F1106" s="338"/>
      <c r="G1106" s="338"/>
      <c r="H1106" s="338"/>
      <c r="I1106" s="338"/>
      <c r="J1106" s="338"/>
      <c r="K1106" s="338"/>
      <c r="L1106" s="338"/>
      <c r="M1106" s="338"/>
      <c r="N1106" s="338"/>
      <c r="O1106" s="338"/>
      <c r="P1106" s="338"/>
      <c r="Q1106" s="338"/>
      <c r="R1106" s="338"/>
      <c r="S1106" s="338"/>
      <c r="T1106" s="338"/>
      <c r="U1106" s="338"/>
      <c r="V1106" s="338"/>
      <c r="W1106" s="338"/>
      <c r="X1106" s="338"/>
      <c r="Y1106" s="338"/>
      <c r="Z1106" s="338"/>
      <c r="AA1106" s="2774" t="s">
        <v>0</v>
      </c>
      <c r="AB1106" s="2774"/>
    </row>
    <row r="1107" spans="1:28" s="352" customFormat="1" ht="18" customHeight="1" x14ac:dyDescent="0.2">
      <c r="A1107" s="2703" t="s">
        <v>1</v>
      </c>
      <c r="B1107" s="2703"/>
      <c r="C1107" s="2703"/>
      <c r="D1107" s="2703"/>
      <c r="E1107" s="2703"/>
      <c r="F1107" s="2703"/>
      <c r="G1107" s="2703"/>
      <c r="H1107" s="2703"/>
      <c r="I1107" s="2703"/>
      <c r="J1107" s="2703"/>
      <c r="K1107" s="2703"/>
      <c r="L1107" s="2703"/>
      <c r="M1107" s="2703"/>
      <c r="N1107" s="2703"/>
      <c r="O1107" s="2703"/>
      <c r="P1107" s="2703"/>
      <c r="Q1107" s="2703"/>
      <c r="R1107" s="2703"/>
      <c r="S1107" s="2703"/>
      <c r="T1107" s="2703"/>
      <c r="U1107" s="2703"/>
      <c r="V1107" s="2703"/>
      <c r="W1107" s="2703"/>
      <c r="X1107" s="2703"/>
      <c r="Y1107" s="2703"/>
      <c r="Z1107" s="2703"/>
      <c r="AA1107" s="2703"/>
      <c r="AB1107" s="2703"/>
    </row>
    <row r="1108" spans="1:28" s="352" customFormat="1" ht="18" customHeight="1" x14ac:dyDescent="0.2">
      <c r="A1108" s="2780" t="s">
        <v>636</v>
      </c>
      <c r="B1108" s="2780"/>
      <c r="C1108" s="2780"/>
      <c r="D1108" s="2780"/>
      <c r="E1108" s="2780"/>
      <c r="F1108" s="2780"/>
      <c r="G1108" s="2780"/>
      <c r="H1108" s="2780"/>
      <c r="I1108" s="2780"/>
      <c r="J1108" s="2780"/>
      <c r="K1108" s="2780"/>
      <c r="L1108" s="2780"/>
      <c r="M1108" s="2780"/>
      <c r="N1108" s="2780"/>
      <c r="O1108" s="2780"/>
      <c r="P1108" s="2780"/>
      <c r="Q1108" s="2780"/>
      <c r="R1108" s="2780"/>
      <c r="S1108" s="2780"/>
      <c r="T1108" s="2780"/>
      <c r="U1108" s="2780"/>
      <c r="V1108" s="2780"/>
      <c r="W1108" s="2780"/>
      <c r="X1108" s="2780"/>
      <c r="Y1108" s="2780"/>
      <c r="Z1108" s="2780"/>
      <c r="AA1108" s="2780"/>
      <c r="AB1108" s="2780"/>
    </row>
    <row r="1109" spans="1:28" s="352" customFormat="1" ht="18" customHeight="1" x14ac:dyDescent="0.2">
      <c r="A1109" s="2686" t="s">
        <v>2</v>
      </c>
      <c r="B1109" s="360"/>
      <c r="C1109" s="2686" t="s">
        <v>3</v>
      </c>
      <c r="D1109" s="360"/>
      <c r="E1109" s="360"/>
      <c r="F1109" s="2693" t="s">
        <v>4</v>
      </c>
      <c r="G1109" s="2693"/>
      <c r="H1109" s="2693"/>
      <c r="I1109" s="2694"/>
      <c r="J1109" s="2694"/>
      <c r="K1109" s="2695"/>
      <c r="L1109" s="361"/>
      <c r="M1109" s="2679" t="s">
        <v>5</v>
      </c>
      <c r="N1109" s="2679"/>
      <c r="O1109" s="2679"/>
      <c r="P1109" s="2679"/>
      <c r="Q1109" s="2696"/>
      <c r="R1109" s="2696"/>
      <c r="S1109" s="2696"/>
      <c r="T1109" s="2696"/>
      <c r="U1109" s="2696"/>
      <c r="V1109" s="2697"/>
      <c r="W1109" s="362" t="s">
        <v>6</v>
      </c>
      <c r="X1109" s="363" t="s">
        <v>7</v>
      </c>
      <c r="Y1109" s="364"/>
      <c r="Z1109" s="364"/>
      <c r="AA1109" s="363"/>
      <c r="AB1109" s="365"/>
    </row>
    <row r="1110" spans="1:28" s="352" customFormat="1" ht="18" customHeight="1" x14ac:dyDescent="0.2">
      <c r="A1110" s="2687"/>
      <c r="B1110" s="367"/>
      <c r="C1110" s="2687"/>
      <c r="D1110" s="2158" t="s">
        <v>9</v>
      </c>
      <c r="E1110" s="368" t="s">
        <v>10</v>
      </c>
      <c r="F1110" s="2698" t="s">
        <v>11</v>
      </c>
      <c r="G1110" s="2694"/>
      <c r="H1110" s="2695"/>
      <c r="I1110" s="360"/>
      <c r="J1110" s="369" t="s">
        <v>12</v>
      </c>
      <c r="K1110" s="360"/>
      <c r="L1110" s="2679" t="s">
        <v>2</v>
      </c>
      <c r="M1110" s="2162"/>
      <c r="N1110" s="2162"/>
      <c r="O1110" s="2162"/>
      <c r="P1110" s="371"/>
      <c r="Q1110" s="372" t="s">
        <v>13</v>
      </c>
      <c r="R1110" s="373" t="s">
        <v>12</v>
      </c>
      <c r="S1110" s="2162" t="s">
        <v>6</v>
      </c>
      <c r="T1110" s="2682" t="s">
        <v>14</v>
      </c>
      <c r="U1110" s="2683"/>
      <c r="V1110" s="375" t="s">
        <v>7</v>
      </c>
      <c r="W1110" s="376" t="s">
        <v>15</v>
      </c>
      <c r="X1110" s="377" t="s">
        <v>16</v>
      </c>
      <c r="Y1110" s="377" t="s">
        <v>17</v>
      </c>
      <c r="Z1110" s="377" t="s">
        <v>18</v>
      </c>
      <c r="AA1110" s="377"/>
      <c r="AB1110" s="378" t="s">
        <v>19</v>
      </c>
    </row>
    <row r="1111" spans="1:28" s="352" customFormat="1" ht="18" customHeight="1" x14ac:dyDescent="0.2">
      <c r="A1111" s="2687"/>
      <c r="B1111" s="2158" t="s">
        <v>23</v>
      </c>
      <c r="C1111" s="2687"/>
      <c r="D1111" s="2158" t="s">
        <v>24</v>
      </c>
      <c r="E1111" s="368" t="s">
        <v>25</v>
      </c>
      <c r="F1111" s="2699"/>
      <c r="G1111" s="2700"/>
      <c r="H1111" s="2701"/>
      <c r="I1111" s="2158" t="s">
        <v>26</v>
      </c>
      <c r="J1111" s="379" t="s">
        <v>15</v>
      </c>
      <c r="K1111" s="2159" t="s">
        <v>6</v>
      </c>
      <c r="L1111" s="2680"/>
      <c r="M1111" s="2163" t="s">
        <v>27</v>
      </c>
      <c r="N1111" s="2163" t="s">
        <v>10</v>
      </c>
      <c r="O1111" s="382" t="s">
        <v>10</v>
      </c>
      <c r="P1111" s="383" t="s">
        <v>28</v>
      </c>
      <c r="Q1111" s="384" t="s">
        <v>29</v>
      </c>
      <c r="R1111" s="383" t="s">
        <v>15</v>
      </c>
      <c r="S1111" s="385" t="s">
        <v>15</v>
      </c>
      <c r="T1111" s="2684"/>
      <c r="U1111" s="2685"/>
      <c r="V1111" s="375" t="s">
        <v>30</v>
      </c>
      <c r="W1111" s="376" t="s">
        <v>31</v>
      </c>
      <c r="X1111" s="377" t="s">
        <v>30</v>
      </c>
      <c r="Y1111" s="377" t="s">
        <v>32</v>
      </c>
      <c r="Z1111" s="377" t="s">
        <v>7</v>
      </c>
      <c r="AA1111" s="377" t="s">
        <v>33</v>
      </c>
      <c r="AB1111" s="378" t="s">
        <v>34</v>
      </c>
    </row>
    <row r="1112" spans="1:28" s="352" customFormat="1" ht="18" customHeight="1" x14ac:dyDescent="0.2">
      <c r="A1112" s="2687"/>
      <c r="B1112" s="2158" t="s">
        <v>39</v>
      </c>
      <c r="C1112" s="2687"/>
      <c r="D1112" s="2158" t="s">
        <v>40</v>
      </c>
      <c r="E1112" s="368" t="s">
        <v>41</v>
      </c>
      <c r="F1112" s="2686" t="s">
        <v>42</v>
      </c>
      <c r="G1112" s="2686" t="s">
        <v>43</v>
      </c>
      <c r="H1112" s="2688" t="s">
        <v>44</v>
      </c>
      <c r="I1112" s="2158" t="s">
        <v>45</v>
      </c>
      <c r="J1112" s="379" t="s">
        <v>46</v>
      </c>
      <c r="K1112" s="2159" t="s">
        <v>47</v>
      </c>
      <c r="L1112" s="2680"/>
      <c r="M1112" s="2163" t="s">
        <v>30</v>
      </c>
      <c r="N1112" s="2163" t="s">
        <v>30</v>
      </c>
      <c r="O1112" s="382" t="s">
        <v>25</v>
      </c>
      <c r="P1112" s="383" t="s">
        <v>30</v>
      </c>
      <c r="Q1112" s="384" t="s">
        <v>48</v>
      </c>
      <c r="R1112" s="383" t="s">
        <v>49</v>
      </c>
      <c r="S1112" s="385" t="s">
        <v>30</v>
      </c>
      <c r="T1112" s="386" t="s">
        <v>50</v>
      </c>
      <c r="U1112" s="2161" t="s">
        <v>13</v>
      </c>
      <c r="V1112" s="375" t="s">
        <v>51</v>
      </c>
      <c r="W1112" s="376" t="s">
        <v>52</v>
      </c>
      <c r="X1112" s="377" t="s">
        <v>53</v>
      </c>
      <c r="Y1112" s="377" t="s">
        <v>54</v>
      </c>
      <c r="Z1112" s="377" t="s">
        <v>55</v>
      </c>
      <c r="AA1112" s="377" t="s">
        <v>56</v>
      </c>
      <c r="AB1112" s="378" t="s">
        <v>57</v>
      </c>
    </row>
    <row r="1113" spans="1:28" s="352" customFormat="1" ht="18" customHeight="1" x14ac:dyDescent="0.2">
      <c r="A1113" s="2687"/>
      <c r="B1113" s="2158" t="s">
        <v>61</v>
      </c>
      <c r="C1113" s="2687"/>
      <c r="D1113" s="2158" t="s">
        <v>62</v>
      </c>
      <c r="E1113" s="368" t="s">
        <v>63</v>
      </c>
      <c r="F1113" s="2687"/>
      <c r="G1113" s="2687"/>
      <c r="H1113" s="2689"/>
      <c r="I1113" s="2158" t="s">
        <v>64</v>
      </c>
      <c r="J1113" s="379" t="s">
        <v>59</v>
      </c>
      <c r="K1113" s="2159" t="s">
        <v>59</v>
      </c>
      <c r="L1113" s="2680"/>
      <c r="M1113" s="2163"/>
      <c r="N1113" s="2163"/>
      <c r="O1113" s="382" t="s">
        <v>41</v>
      </c>
      <c r="P1113" s="383" t="s">
        <v>65</v>
      </c>
      <c r="Q1113" s="384" t="s">
        <v>66</v>
      </c>
      <c r="R1113" s="383" t="s">
        <v>67</v>
      </c>
      <c r="S1113" s="385" t="s">
        <v>59</v>
      </c>
      <c r="T1113" s="387" t="s">
        <v>68</v>
      </c>
      <c r="U1113" s="375" t="s">
        <v>14</v>
      </c>
      <c r="V1113" s="375" t="s">
        <v>14</v>
      </c>
      <c r="W1113" s="376" t="s">
        <v>30</v>
      </c>
      <c r="X1113" s="388" t="s">
        <v>69</v>
      </c>
      <c r="Y1113" s="388" t="s">
        <v>70</v>
      </c>
      <c r="Z1113" s="377" t="s">
        <v>71</v>
      </c>
      <c r="AA1113" s="377" t="s">
        <v>72</v>
      </c>
      <c r="AB1113" s="378" t="s">
        <v>59</v>
      </c>
    </row>
    <row r="1114" spans="1:28" s="352" customFormat="1" ht="18" customHeight="1" x14ac:dyDescent="0.2">
      <c r="A1114" s="2692"/>
      <c r="B1114" s="390"/>
      <c r="C1114" s="2692"/>
      <c r="D1114" s="390"/>
      <c r="E1114" s="2160"/>
      <c r="F1114" s="390"/>
      <c r="G1114" s="390"/>
      <c r="H1114" s="391"/>
      <c r="I1114" s="2160"/>
      <c r="J1114" s="392"/>
      <c r="K1114" s="393"/>
      <c r="L1114" s="2681"/>
      <c r="M1114" s="2164"/>
      <c r="N1114" s="2164"/>
      <c r="O1114" s="2164" t="s">
        <v>63</v>
      </c>
      <c r="P1114" s="395"/>
      <c r="Q1114" s="396" t="s">
        <v>72</v>
      </c>
      <c r="R1114" s="397" t="s">
        <v>59</v>
      </c>
      <c r="S1114" s="398"/>
      <c r="T1114" s="397" t="s">
        <v>73</v>
      </c>
      <c r="U1114" s="398" t="s">
        <v>59</v>
      </c>
      <c r="V1114" s="399" t="s">
        <v>59</v>
      </c>
      <c r="W1114" s="400" t="s">
        <v>59</v>
      </c>
      <c r="X1114" s="401" t="s">
        <v>59</v>
      </c>
      <c r="Y1114" s="401" t="s">
        <v>59</v>
      </c>
      <c r="Z1114" s="401" t="s">
        <v>59</v>
      </c>
      <c r="AA1114" s="402"/>
      <c r="AB1114" s="403"/>
    </row>
    <row r="1115" spans="1:28" s="352" customFormat="1" ht="18" customHeight="1" x14ac:dyDescent="0.25">
      <c r="A1115" s="53">
        <v>1</v>
      </c>
      <c r="B1115" s="333">
        <v>23222</v>
      </c>
      <c r="C1115" s="41">
        <v>1067</v>
      </c>
      <c r="D1115" s="41" t="s">
        <v>107</v>
      </c>
      <c r="E1115" s="41">
        <v>4</v>
      </c>
      <c r="F1115" s="41">
        <v>0</v>
      </c>
      <c r="G1115" s="41">
        <v>1</v>
      </c>
      <c r="H1115" s="267">
        <v>22</v>
      </c>
      <c r="I1115" s="302">
        <f>F1115*400+G1115*100+H1115</f>
        <v>122</v>
      </c>
      <c r="J1115" s="310">
        <v>3000</v>
      </c>
      <c r="K1115" s="303">
        <f>SUM(I1115*J1115)</f>
        <v>366000</v>
      </c>
      <c r="L1115" s="16"/>
      <c r="M1115" s="82"/>
      <c r="N1115" s="41"/>
      <c r="O1115" s="16"/>
      <c r="P1115" s="404"/>
      <c r="Q1115" s="14"/>
      <c r="R1115" s="302"/>
      <c r="S1115" s="302"/>
      <c r="T1115" s="41"/>
      <c r="U1115" s="302"/>
      <c r="V1115" s="302"/>
      <c r="W1115" s="302">
        <f>K1115+V1115</f>
        <v>366000</v>
      </c>
      <c r="X1115" s="302">
        <f>W1115</f>
        <v>366000</v>
      </c>
      <c r="Y1115" s="310"/>
      <c r="Z1115" s="302">
        <f>+X1115</f>
        <v>366000</v>
      </c>
      <c r="AA1115" s="405">
        <v>0.6</v>
      </c>
      <c r="AB1115" s="406">
        <f>+Z1115*AA1115/100</f>
        <v>2196</v>
      </c>
    </row>
    <row r="1116" spans="1:28" s="352" customFormat="1" ht="18" customHeight="1" x14ac:dyDescent="0.2">
      <c r="A1116" s="61"/>
      <c r="B1116" s="2166"/>
      <c r="C1116" s="2166"/>
      <c r="D1116" s="2166"/>
      <c r="E1116" s="2166"/>
      <c r="F1116" s="2166"/>
      <c r="G1116" s="2166"/>
      <c r="H1116" s="407"/>
      <c r="I1116" s="77"/>
      <c r="J1116" s="2168"/>
      <c r="K1116" s="78"/>
      <c r="L1116" s="61"/>
      <c r="M1116" s="2166"/>
      <c r="N1116" s="2166"/>
      <c r="O1116" s="61"/>
      <c r="P1116" s="177"/>
      <c r="Q1116" s="196"/>
      <c r="R1116" s="408"/>
      <c r="S1116" s="77"/>
      <c r="T1116" s="2166"/>
      <c r="U1116" s="77"/>
      <c r="V1116" s="77"/>
      <c r="W1116" s="77"/>
      <c r="X1116" s="77"/>
      <c r="Y1116" s="2168"/>
      <c r="Z1116" s="77"/>
      <c r="AA1116" s="2170"/>
      <c r="AB1116" s="410"/>
    </row>
    <row r="1117" spans="1:28" s="352" customFormat="1" ht="18" customHeight="1" x14ac:dyDescent="0.2">
      <c r="A1117" s="75"/>
      <c r="B1117" s="88"/>
      <c r="C1117" s="88"/>
      <c r="D1117" s="88"/>
      <c r="E1117" s="88"/>
      <c r="F1117" s="88"/>
      <c r="G1117" s="88"/>
      <c r="H1117" s="495"/>
      <c r="I1117" s="74"/>
      <c r="J1117" s="121"/>
      <c r="K1117" s="159"/>
      <c r="L1117" s="75"/>
      <c r="M1117" s="88"/>
      <c r="N1117" s="88"/>
      <c r="O1117" s="75"/>
      <c r="P1117" s="180"/>
      <c r="Q1117" s="174"/>
      <c r="R1117" s="413"/>
      <c r="S1117" s="74"/>
      <c r="T1117" s="88"/>
      <c r="U1117" s="74"/>
      <c r="V1117" s="74"/>
      <c r="W1117" s="74"/>
      <c r="X1117" s="74"/>
      <c r="Y1117" s="121"/>
      <c r="Z1117" s="74"/>
      <c r="AA1117" s="414"/>
      <c r="AB1117" s="410"/>
    </row>
    <row r="1118" spans="1:28" s="352" customFormat="1" ht="18" customHeight="1" x14ac:dyDescent="0.2">
      <c r="A1118" s="75"/>
      <c r="B1118" s="88"/>
      <c r="C1118" s="88"/>
      <c r="D1118" s="88"/>
      <c r="E1118" s="88"/>
      <c r="F1118" s="88"/>
      <c r="G1118" s="88"/>
      <c r="H1118" s="495"/>
      <c r="I1118" s="74"/>
      <c r="J1118" s="121"/>
      <c r="K1118" s="159"/>
      <c r="L1118" s="75"/>
      <c r="M1118" s="88"/>
      <c r="N1118" s="88"/>
      <c r="O1118" s="75"/>
      <c r="P1118" s="180"/>
      <c r="Q1118" s="174"/>
      <c r="R1118" s="413"/>
      <c r="S1118" s="74"/>
      <c r="T1118" s="88"/>
      <c r="U1118" s="74"/>
      <c r="V1118" s="74"/>
      <c r="W1118" s="74"/>
      <c r="X1118" s="74"/>
      <c r="Y1118" s="121"/>
      <c r="Z1118" s="74"/>
      <c r="AA1118" s="414"/>
      <c r="AB1118" s="410"/>
    </row>
    <row r="1119" spans="1:28" s="352" customFormat="1" ht="18" customHeight="1" x14ac:dyDescent="0.2">
      <c r="A1119" s="75"/>
      <c r="B1119" s="88"/>
      <c r="C1119" s="88"/>
      <c r="D1119" s="88"/>
      <c r="E1119" s="88"/>
      <c r="F1119" s="88"/>
      <c r="G1119" s="88"/>
      <c r="H1119" s="495"/>
      <c r="I1119" s="74"/>
      <c r="J1119" s="121"/>
      <c r="K1119" s="159"/>
      <c r="L1119" s="75"/>
      <c r="M1119" s="88"/>
      <c r="N1119" s="88"/>
      <c r="O1119" s="75"/>
      <c r="P1119" s="180"/>
      <c r="Q1119" s="174"/>
      <c r="R1119" s="413"/>
      <c r="S1119" s="74"/>
      <c r="T1119" s="88"/>
      <c r="U1119" s="74"/>
      <c r="V1119" s="74"/>
      <c r="W1119" s="74"/>
      <c r="X1119" s="74"/>
      <c r="Y1119" s="121"/>
      <c r="Z1119" s="74"/>
      <c r="AA1119" s="414"/>
      <c r="AB1119" s="416"/>
    </row>
    <row r="1120" spans="1:28" s="352" customFormat="1" ht="18" customHeight="1" x14ac:dyDescent="0.2">
      <c r="A1120" s="61"/>
      <c r="B1120" s="2166"/>
      <c r="C1120" s="2166"/>
      <c r="D1120" s="2166"/>
      <c r="E1120" s="2166"/>
      <c r="F1120" s="2166"/>
      <c r="G1120" s="2166"/>
      <c r="H1120" s="407"/>
      <c r="I1120" s="77"/>
      <c r="J1120" s="2168"/>
      <c r="K1120" s="78"/>
      <c r="L1120" s="61"/>
      <c r="M1120" s="2166"/>
      <c r="N1120" s="2166"/>
      <c r="O1120" s="61"/>
      <c r="P1120" s="177"/>
      <c r="Q1120" s="196"/>
      <c r="R1120" s="408"/>
      <c r="S1120" s="77"/>
      <c r="T1120" s="2166"/>
      <c r="U1120" s="77"/>
      <c r="V1120" s="77"/>
      <c r="W1120" s="77"/>
      <c r="X1120" s="77"/>
      <c r="Y1120" s="2168"/>
      <c r="Z1120" s="77"/>
      <c r="AA1120" s="2170"/>
      <c r="AB1120" s="410"/>
    </row>
    <row r="1121" spans="1:28" s="352" customFormat="1" ht="18" customHeight="1" x14ac:dyDescent="0.2">
      <c r="A1121" s="2166"/>
      <c r="B1121" s="177"/>
      <c r="C1121" s="177"/>
      <c r="D1121" s="2166"/>
      <c r="E1121" s="2166"/>
      <c r="F1121" s="2166"/>
      <c r="G1121" s="2166"/>
      <c r="H1121" s="2171"/>
      <c r="I1121" s="2168"/>
      <c r="J1121" s="178"/>
      <c r="K1121" s="2168"/>
      <c r="L1121" s="2166"/>
      <c r="M1121" s="2166"/>
      <c r="N1121" s="2166"/>
      <c r="O1121" s="2166"/>
      <c r="P1121" s="2171"/>
      <c r="Q1121" s="2167"/>
      <c r="R1121" s="437"/>
      <c r="S1121" s="2168"/>
      <c r="T1121" s="179"/>
      <c r="U1121" s="178"/>
      <c r="V1121" s="2168"/>
      <c r="W1121" s="2168"/>
      <c r="X1121" s="470"/>
      <c r="Y1121" s="470"/>
      <c r="Z1121" s="471"/>
      <c r="AA1121" s="471"/>
      <c r="AB1121" s="466"/>
    </row>
    <row r="1122" spans="1:28" s="352" customFormat="1" ht="18" customHeight="1" x14ac:dyDescent="0.2">
      <c r="A1122" s="2166"/>
      <c r="B1122" s="177"/>
      <c r="C1122" s="177"/>
      <c r="D1122" s="2166"/>
      <c r="E1122" s="2166"/>
      <c r="F1122" s="2166"/>
      <c r="G1122" s="2166"/>
      <c r="H1122" s="2171"/>
      <c r="I1122" s="2168"/>
      <c r="J1122" s="178"/>
      <c r="K1122" s="2168"/>
      <c r="L1122" s="2166"/>
      <c r="M1122" s="2166"/>
      <c r="N1122" s="2166"/>
      <c r="O1122" s="2166"/>
      <c r="P1122" s="2171"/>
      <c r="Q1122" s="2167"/>
      <c r="R1122" s="437"/>
      <c r="S1122" s="2168"/>
      <c r="T1122" s="179"/>
      <c r="U1122" s="178"/>
      <c r="V1122" s="2168"/>
      <c r="W1122" s="2168"/>
      <c r="X1122" s="470"/>
      <c r="Y1122" s="470"/>
      <c r="Z1122" s="471"/>
      <c r="AA1122" s="471"/>
      <c r="AB1122" s="466"/>
    </row>
    <row r="1123" spans="1:28" s="352" customFormat="1" ht="18" customHeight="1" x14ac:dyDescent="0.2">
      <c r="A1123" s="2166"/>
      <c r="B1123" s="177"/>
      <c r="C1123" s="177"/>
      <c r="D1123" s="2166"/>
      <c r="E1123" s="2166"/>
      <c r="F1123" s="2166"/>
      <c r="G1123" s="2166"/>
      <c r="H1123" s="2171"/>
      <c r="I1123" s="2168"/>
      <c r="J1123" s="178"/>
      <c r="K1123" s="2168"/>
      <c r="L1123" s="2166"/>
      <c r="M1123" s="2166"/>
      <c r="N1123" s="2166"/>
      <c r="O1123" s="2166"/>
      <c r="P1123" s="2171"/>
      <c r="Q1123" s="2167"/>
      <c r="R1123" s="437"/>
      <c r="S1123" s="2168"/>
      <c r="T1123" s="179"/>
      <c r="U1123" s="178"/>
      <c r="V1123" s="2168"/>
      <c r="W1123" s="2168"/>
      <c r="X1123" s="470"/>
      <c r="Y1123" s="470"/>
      <c r="Z1123" s="471"/>
      <c r="AA1123" s="471"/>
      <c r="AB1123" s="466"/>
    </row>
    <row r="1124" spans="1:28" s="352" customFormat="1" ht="18" customHeight="1" x14ac:dyDescent="0.2">
      <c r="A1124" s="2166"/>
      <c r="B1124" s="177"/>
      <c r="C1124" s="177"/>
      <c r="D1124" s="2166"/>
      <c r="E1124" s="2166"/>
      <c r="F1124" s="2166"/>
      <c r="G1124" s="2166"/>
      <c r="H1124" s="2171"/>
      <c r="I1124" s="2168"/>
      <c r="J1124" s="178"/>
      <c r="K1124" s="2168"/>
      <c r="L1124" s="2166"/>
      <c r="M1124" s="2166"/>
      <c r="N1124" s="2166"/>
      <c r="O1124" s="2166"/>
      <c r="P1124" s="2171"/>
      <c r="Q1124" s="2167"/>
      <c r="R1124" s="437"/>
      <c r="S1124" s="2168"/>
      <c r="T1124" s="179"/>
      <c r="U1124" s="178"/>
      <c r="V1124" s="2168"/>
      <c r="W1124" s="2168"/>
      <c r="X1124" s="470"/>
      <c r="Y1124" s="470"/>
      <c r="Z1124" s="471"/>
      <c r="AA1124" s="471"/>
      <c r="AB1124" s="466"/>
    </row>
    <row r="1125" spans="1:28" s="352" customFormat="1" ht="18" customHeight="1" x14ac:dyDescent="0.2">
      <c r="A1125" s="2166"/>
      <c r="B1125" s="177"/>
      <c r="C1125" s="177"/>
      <c r="D1125" s="2166"/>
      <c r="E1125" s="2166"/>
      <c r="F1125" s="2166"/>
      <c r="G1125" s="2166"/>
      <c r="H1125" s="2171"/>
      <c r="I1125" s="2168"/>
      <c r="J1125" s="178"/>
      <c r="K1125" s="2168"/>
      <c r="L1125" s="2166"/>
      <c r="M1125" s="2166"/>
      <c r="N1125" s="2166"/>
      <c r="O1125" s="2166"/>
      <c r="P1125" s="2171"/>
      <c r="Q1125" s="2167"/>
      <c r="R1125" s="437"/>
      <c r="S1125" s="2168"/>
      <c r="T1125" s="179"/>
      <c r="U1125" s="178"/>
      <c r="V1125" s="2168"/>
      <c r="W1125" s="2168"/>
      <c r="X1125" s="470"/>
      <c r="Y1125" s="470"/>
      <c r="Z1125" s="471"/>
      <c r="AA1125" s="471"/>
      <c r="AB1125" s="466"/>
    </row>
    <row r="1126" spans="1:28" s="352" customFormat="1" ht="18" customHeight="1" x14ac:dyDescent="0.2">
      <c r="A1126" s="2166"/>
      <c r="B1126" s="177"/>
      <c r="C1126" s="177"/>
      <c r="D1126" s="2166"/>
      <c r="E1126" s="2166"/>
      <c r="F1126" s="2166"/>
      <c r="G1126" s="2166"/>
      <c r="H1126" s="2171"/>
      <c r="I1126" s="2168"/>
      <c r="J1126" s="178"/>
      <c r="K1126" s="2168"/>
      <c r="L1126" s="2166"/>
      <c r="M1126" s="2166"/>
      <c r="N1126" s="2166"/>
      <c r="O1126" s="2166"/>
      <c r="P1126" s="2171"/>
      <c r="Q1126" s="2167"/>
      <c r="R1126" s="437"/>
      <c r="S1126" s="2168"/>
      <c r="T1126" s="179"/>
      <c r="U1126" s="178"/>
      <c r="V1126" s="2168"/>
      <c r="W1126" s="2168"/>
      <c r="X1126" s="470"/>
      <c r="Y1126" s="470"/>
      <c r="Z1126" s="471"/>
      <c r="AA1126" s="471"/>
      <c r="AB1126" s="466"/>
    </row>
    <row r="1127" spans="1:28" s="352" customFormat="1" ht="18" customHeight="1" x14ac:dyDescent="0.2">
      <c r="A1127" s="2166"/>
      <c r="B1127" s="177"/>
      <c r="C1127" s="177"/>
      <c r="D1127" s="2166"/>
      <c r="E1127" s="2166"/>
      <c r="F1127" s="2166"/>
      <c r="G1127" s="2166"/>
      <c r="H1127" s="2171"/>
      <c r="I1127" s="2168"/>
      <c r="J1127" s="178"/>
      <c r="K1127" s="2168"/>
      <c r="L1127" s="2166"/>
      <c r="M1127" s="2166"/>
      <c r="N1127" s="2166"/>
      <c r="O1127" s="2166"/>
      <c r="P1127" s="2171"/>
      <c r="Q1127" s="2167"/>
      <c r="R1127" s="437"/>
      <c r="S1127" s="2168"/>
      <c r="T1127" s="179"/>
      <c r="U1127" s="178"/>
      <c r="V1127" s="2168"/>
      <c r="W1127" s="2168"/>
      <c r="X1127" s="470"/>
      <c r="Y1127" s="470"/>
      <c r="Z1127" s="471"/>
      <c r="AA1127" s="471"/>
      <c r="AB1127" s="466"/>
    </row>
    <row r="1128" spans="1:28" s="352" customFormat="1" ht="18" customHeight="1" x14ac:dyDescent="0.2">
      <c r="A1128" s="88"/>
      <c r="B1128" s="180"/>
      <c r="C1128" s="180"/>
      <c r="D1128" s="88"/>
      <c r="E1128" s="88"/>
      <c r="F1128" s="88"/>
      <c r="G1128" s="88"/>
      <c r="H1128" s="120"/>
      <c r="I1128" s="121"/>
      <c r="J1128" s="181"/>
      <c r="K1128" s="121"/>
      <c r="L1128" s="88"/>
      <c r="M1128" s="88"/>
      <c r="N1128" s="88"/>
      <c r="O1128" s="88"/>
      <c r="P1128" s="88"/>
      <c r="Q1128" s="129"/>
      <c r="R1128" s="445"/>
      <c r="S1128" s="121"/>
      <c r="T1128" s="182"/>
      <c r="U1128" s="181"/>
      <c r="V1128" s="121"/>
      <c r="W1128" s="121"/>
      <c r="X1128" s="472"/>
      <c r="Y1128" s="472"/>
      <c r="Z1128" s="473"/>
      <c r="AA1128" s="473"/>
      <c r="AB1128" s="410"/>
    </row>
    <row r="1129" spans="1:28" s="352" customFormat="1" ht="18" customHeight="1" x14ac:dyDescent="0.2">
      <c r="A1129" s="1850"/>
      <c r="B1129" s="1850"/>
      <c r="C1129" s="1850"/>
      <c r="D1129" s="1850"/>
      <c r="E1129" s="1850"/>
      <c r="F1129" s="1850"/>
      <c r="G1129" s="1850"/>
      <c r="H1129" s="1851"/>
      <c r="I1129" s="1852"/>
      <c r="J1129" s="1853"/>
      <c r="K1129" s="1852"/>
      <c r="L1129" s="1852"/>
      <c r="M1129" s="1852"/>
      <c r="N1129" s="1852"/>
      <c r="O1129" s="1852"/>
      <c r="P1129" s="1852"/>
      <c r="Q1129" s="1852"/>
      <c r="R1129" s="1854"/>
      <c r="S1129" s="1852"/>
      <c r="T1129" s="1855"/>
      <c r="U1129" s="1853"/>
      <c r="V1129" s="1852"/>
      <c r="W1129" s="1852"/>
      <c r="X1129" s="1856"/>
      <c r="Y1129" s="1856"/>
      <c r="Z1129" s="1857"/>
      <c r="AA1129" s="1857"/>
      <c r="AB1129" s="1847">
        <f>SUM(AB1115:AB1128)</f>
        <v>2196</v>
      </c>
    </row>
    <row r="1130" spans="1:28" s="352" customFormat="1" ht="18" customHeight="1" x14ac:dyDescent="0.2">
      <c r="A1130" s="2778" t="s">
        <v>76</v>
      </c>
      <c r="B1130" s="2778"/>
      <c r="C1130" s="2779" t="s">
        <v>77</v>
      </c>
      <c r="D1130" s="2779"/>
      <c r="E1130" s="2779"/>
      <c r="F1130" s="2779"/>
      <c r="G1130" s="2779"/>
      <c r="H1130" s="2779"/>
      <c r="I1130" s="424" t="s">
        <v>78</v>
      </c>
      <c r="J1130" s="424"/>
      <c r="K1130" s="424"/>
      <c r="L1130" s="424"/>
      <c r="M1130" s="424"/>
      <c r="N1130" s="424"/>
      <c r="AB1130" s="425"/>
    </row>
    <row r="1131" spans="1:28" s="352" customFormat="1" ht="18" customHeight="1" x14ac:dyDescent="0.2">
      <c r="A1131" s="424"/>
      <c r="B1131" s="426"/>
      <c r="C1131" s="424"/>
      <c r="D1131" s="424"/>
      <c r="E1131" s="424"/>
      <c r="F1131" s="424"/>
      <c r="G1131" s="424"/>
      <c r="H1131" s="424"/>
      <c r="I1131" s="424" t="s">
        <v>79</v>
      </c>
      <c r="J1131" s="424"/>
      <c r="K1131" s="424"/>
      <c r="L1131" s="424"/>
      <c r="M1131" s="424"/>
      <c r="N1131" s="424"/>
      <c r="AB1131" s="425"/>
    </row>
    <row r="1132" spans="1:28" s="352" customFormat="1" ht="18" customHeight="1" x14ac:dyDescent="0.2">
      <c r="A1132" s="424"/>
      <c r="B1132" s="426"/>
      <c r="C1132" s="424"/>
      <c r="D1132" s="424"/>
      <c r="E1132" s="424"/>
      <c r="F1132" s="424"/>
      <c r="G1132" s="424"/>
      <c r="H1132" s="424"/>
      <c r="I1132" s="424" t="s">
        <v>80</v>
      </c>
      <c r="J1132" s="424"/>
      <c r="K1132" s="424"/>
      <c r="L1132" s="424"/>
      <c r="M1132" s="424"/>
      <c r="N1132" s="424"/>
      <c r="AB1132" s="425"/>
    </row>
    <row r="1133" spans="1:28" s="352" customFormat="1" ht="18" customHeight="1" x14ac:dyDescent="0.2">
      <c r="A1133" s="424"/>
      <c r="B1133" s="426"/>
      <c r="C1133" s="424"/>
      <c r="D1133" s="424"/>
      <c r="E1133" s="424"/>
      <c r="F1133" s="424"/>
      <c r="G1133" s="424"/>
      <c r="H1133" s="424"/>
      <c r="I1133" s="424" t="s">
        <v>81</v>
      </c>
      <c r="J1133" s="424"/>
      <c r="K1133" s="424"/>
      <c r="L1133" s="424"/>
      <c r="M1133" s="424"/>
      <c r="N1133" s="424"/>
      <c r="AB1133" s="425"/>
    </row>
    <row r="1134" spans="1:28" s="352" customFormat="1" ht="18" customHeight="1" x14ac:dyDescent="0.2">
      <c r="A1134" s="424"/>
      <c r="B1134" s="426"/>
      <c r="C1134" s="424"/>
      <c r="D1134" s="424"/>
      <c r="E1134" s="424"/>
      <c r="F1134" s="424"/>
      <c r="G1134" s="424"/>
      <c r="H1134" s="424"/>
      <c r="I1134" s="424" t="s">
        <v>88</v>
      </c>
      <c r="J1134" s="424"/>
      <c r="K1134" s="424"/>
      <c r="L1134" s="424"/>
      <c r="M1134" s="424"/>
      <c r="N1134" s="424"/>
      <c r="AB1134" s="425"/>
    </row>
    <row r="1135" spans="1:28" s="352" customFormat="1" ht="18" customHeight="1" x14ac:dyDescent="0.2">
      <c r="A1135" s="338"/>
      <c r="B1135" s="338"/>
      <c r="C1135" s="338"/>
      <c r="D1135" s="338"/>
      <c r="E1135" s="338"/>
      <c r="F1135" s="338"/>
      <c r="G1135" s="338"/>
      <c r="H1135" s="338"/>
      <c r="I1135" s="338"/>
      <c r="J1135" s="338"/>
      <c r="K1135" s="338"/>
      <c r="L1135" s="338"/>
      <c r="M1135" s="338"/>
      <c r="N1135" s="338"/>
      <c r="O1135" s="338"/>
      <c r="P1135" s="338"/>
      <c r="Q1135" s="338"/>
      <c r="R1135" s="338"/>
      <c r="S1135" s="338"/>
      <c r="T1135" s="338"/>
      <c r="U1135" s="338"/>
      <c r="V1135" s="338"/>
      <c r="W1135" s="338"/>
      <c r="X1135" s="338"/>
      <c r="Y1135" s="338"/>
      <c r="Z1135" s="338"/>
      <c r="AA1135" s="2774" t="s">
        <v>0</v>
      </c>
      <c r="AB1135" s="2774"/>
    </row>
    <row r="1136" spans="1:28" s="352" customFormat="1" ht="18" customHeight="1" x14ac:dyDescent="0.2">
      <c r="A1136" s="2703" t="s">
        <v>1</v>
      </c>
      <c r="B1136" s="2703"/>
      <c r="C1136" s="2703"/>
      <c r="D1136" s="2703"/>
      <c r="E1136" s="2703"/>
      <c r="F1136" s="2703"/>
      <c r="G1136" s="2703"/>
      <c r="H1136" s="2703"/>
      <c r="I1136" s="2703"/>
      <c r="J1136" s="2703"/>
      <c r="K1136" s="2703"/>
      <c r="L1136" s="2703"/>
      <c r="M1136" s="2703"/>
      <c r="N1136" s="2703"/>
      <c r="O1136" s="2703"/>
      <c r="P1136" s="2703"/>
      <c r="Q1136" s="2703"/>
      <c r="R1136" s="2703"/>
      <c r="S1136" s="2703"/>
      <c r="T1136" s="2703"/>
      <c r="U1136" s="2703"/>
      <c r="V1136" s="2703"/>
      <c r="W1136" s="2703"/>
      <c r="X1136" s="2703"/>
      <c r="Y1136" s="2703"/>
      <c r="Z1136" s="2703"/>
      <c r="AA1136" s="2703"/>
      <c r="AB1136" s="2703"/>
    </row>
    <row r="1137" spans="1:28" s="352" customFormat="1" ht="18" customHeight="1" x14ac:dyDescent="0.2">
      <c r="A1137" s="2785" t="s">
        <v>305</v>
      </c>
      <c r="B1137" s="2785"/>
      <c r="C1137" s="2785"/>
      <c r="D1137" s="2785"/>
      <c r="E1137" s="2785"/>
      <c r="F1137" s="2785"/>
      <c r="G1137" s="2785"/>
      <c r="H1137" s="2785"/>
      <c r="I1137" s="2785"/>
      <c r="J1137" s="2785"/>
      <c r="K1137" s="2785"/>
      <c r="L1137" s="2785"/>
      <c r="M1137" s="2785"/>
      <c r="N1137" s="2785"/>
      <c r="O1137" s="2785"/>
      <c r="P1137" s="2785"/>
      <c r="Q1137" s="2785"/>
      <c r="R1137" s="2785"/>
      <c r="S1137" s="2785"/>
      <c r="T1137" s="2785"/>
      <c r="U1137" s="2785"/>
      <c r="V1137" s="2785"/>
      <c r="W1137" s="2785"/>
      <c r="X1137" s="2785"/>
      <c r="Y1137" s="2785"/>
      <c r="Z1137" s="2785"/>
      <c r="AA1137" s="2785"/>
      <c r="AB1137" s="2785"/>
    </row>
    <row r="1138" spans="1:28" s="352" customFormat="1" ht="18" customHeight="1" x14ac:dyDescent="0.2">
      <c r="A1138" s="2686" t="s">
        <v>2</v>
      </c>
      <c r="B1138" s="360"/>
      <c r="C1138" s="2686" t="s">
        <v>3</v>
      </c>
      <c r="D1138" s="360"/>
      <c r="E1138" s="360"/>
      <c r="F1138" s="2693" t="s">
        <v>4</v>
      </c>
      <c r="G1138" s="2693"/>
      <c r="H1138" s="2693"/>
      <c r="I1138" s="2694"/>
      <c r="J1138" s="2694"/>
      <c r="K1138" s="2695"/>
      <c r="L1138" s="361"/>
      <c r="M1138" s="2679" t="s">
        <v>5</v>
      </c>
      <c r="N1138" s="2679"/>
      <c r="O1138" s="2679"/>
      <c r="P1138" s="2679"/>
      <c r="Q1138" s="2696"/>
      <c r="R1138" s="2696"/>
      <c r="S1138" s="2696"/>
      <c r="T1138" s="2696"/>
      <c r="U1138" s="2696"/>
      <c r="V1138" s="2697"/>
      <c r="W1138" s="362" t="s">
        <v>6</v>
      </c>
      <c r="X1138" s="363" t="s">
        <v>7</v>
      </c>
      <c r="Y1138" s="364"/>
      <c r="Z1138" s="364"/>
      <c r="AA1138" s="363"/>
      <c r="AB1138" s="365"/>
    </row>
    <row r="1139" spans="1:28" s="352" customFormat="1" ht="18" customHeight="1" x14ac:dyDescent="0.2">
      <c r="A1139" s="2687"/>
      <c r="B1139" s="367"/>
      <c r="C1139" s="2687"/>
      <c r="D1139" s="2158" t="s">
        <v>9</v>
      </c>
      <c r="E1139" s="368" t="s">
        <v>10</v>
      </c>
      <c r="F1139" s="2698" t="s">
        <v>11</v>
      </c>
      <c r="G1139" s="2694"/>
      <c r="H1139" s="2695"/>
      <c r="I1139" s="360"/>
      <c r="J1139" s="369" t="s">
        <v>12</v>
      </c>
      <c r="K1139" s="360"/>
      <c r="L1139" s="2679" t="s">
        <v>2</v>
      </c>
      <c r="M1139" s="2162"/>
      <c r="N1139" s="2162"/>
      <c r="O1139" s="2162"/>
      <c r="P1139" s="371"/>
      <c r="Q1139" s="372" t="s">
        <v>13</v>
      </c>
      <c r="R1139" s="373" t="s">
        <v>12</v>
      </c>
      <c r="S1139" s="2162" t="s">
        <v>6</v>
      </c>
      <c r="T1139" s="2682" t="s">
        <v>14</v>
      </c>
      <c r="U1139" s="2683"/>
      <c r="V1139" s="375" t="s">
        <v>7</v>
      </c>
      <c r="W1139" s="376" t="s">
        <v>15</v>
      </c>
      <c r="X1139" s="377" t="s">
        <v>16</v>
      </c>
      <c r="Y1139" s="377" t="s">
        <v>17</v>
      </c>
      <c r="Z1139" s="377" t="s">
        <v>18</v>
      </c>
      <c r="AA1139" s="377"/>
      <c r="AB1139" s="378" t="s">
        <v>19</v>
      </c>
    </row>
    <row r="1140" spans="1:28" s="352" customFormat="1" ht="18" customHeight="1" x14ac:dyDescent="0.2">
      <c r="A1140" s="2687"/>
      <c r="B1140" s="2158" t="s">
        <v>23</v>
      </c>
      <c r="C1140" s="2687"/>
      <c r="D1140" s="2158" t="s">
        <v>24</v>
      </c>
      <c r="E1140" s="368" t="s">
        <v>25</v>
      </c>
      <c r="F1140" s="2699"/>
      <c r="G1140" s="2700"/>
      <c r="H1140" s="2701"/>
      <c r="I1140" s="2158" t="s">
        <v>26</v>
      </c>
      <c r="J1140" s="379" t="s">
        <v>15</v>
      </c>
      <c r="K1140" s="2159" t="s">
        <v>6</v>
      </c>
      <c r="L1140" s="2680"/>
      <c r="M1140" s="2163" t="s">
        <v>27</v>
      </c>
      <c r="N1140" s="2163" t="s">
        <v>10</v>
      </c>
      <c r="O1140" s="382" t="s">
        <v>10</v>
      </c>
      <c r="P1140" s="383" t="s">
        <v>28</v>
      </c>
      <c r="Q1140" s="384" t="s">
        <v>29</v>
      </c>
      <c r="R1140" s="383" t="s">
        <v>15</v>
      </c>
      <c r="S1140" s="385" t="s">
        <v>15</v>
      </c>
      <c r="T1140" s="2684"/>
      <c r="U1140" s="2685"/>
      <c r="V1140" s="375" t="s">
        <v>30</v>
      </c>
      <c r="W1140" s="376" t="s">
        <v>31</v>
      </c>
      <c r="X1140" s="377" t="s">
        <v>30</v>
      </c>
      <c r="Y1140" s="377" t="s">
        <v>32</v>
      </c>
      <c r="Z1140" s="377" t="s">
        <v>7</v>
      </c>
      <c r="AA1140" s="377" t="s">
        <v>33</v>
      </c>
      <c r="AB1140" s="378" t="s">
        <v>34</v>
      </c>
    </row>
    <row r="1141" spans="1:28" s="352" customFormat="1" ht="18" customHeight="1" x14ac:dyDescent="0.2">
      <c r="A1141" s="2687"/>
      <c r="B1141" s="2158" t="s">
        <v>39</v>
      </c>
      <c r="C1141" s="2687"/>
      <c r="D1141" s="2158" t="s">
        <v>40</v>
      </c>
      <c r="E1141" s="368" t="s">
        <v>41</v>
      </c>
      <c r="F1141" s="2686" t="s">
        <v>42</v>
      </c>
      <c r="G1141" s="2686" t="s">
        <v>43</v>
      </c>
      <c r="H1141" s="2688" t="s">
        <v>44</v>
      </c>
      <c r="I1141" s="2158" t="s">
        <v>45</v>
      </c>
      <c r="J1141" s="379" t="s">
        <v>46</v>
      </c>
      <c r="K1141" s="2159" t="s">
        <v>47</v>
      </c>
      <c r="L1141" s="2680"/>
      <c r="M1141" s="2163" t="s">
        <v>30</v>
      </c>
      <c r="N1141" s="2163" t="s">
        <v>30</v>
      </c>
      <c r="O1141" s="382" t="s">
        <v>25</v>
      </c>
      <c r="P1141" s="383" t="s">
        <v>30</v>
      </c>
      <c r="Q1141" s="384" t="s">
        <v>48</v>
      </c>
      <c r="R1141" s="383" t="s">
        <v>49</v>
      </c>
      <c r="S1141" s="385" t="s">
        <v>30</v>
      </c>
      <c r="T1141" s="386" t="s">
        <v>50</v>
      </c>
      <c r="U1141" s="2161" t="s">
        <v>13</v>
      </c>
      <c r="V1141" s="375" t="s">
        <v>51</v>
      </c>
      <c r="W1141" s="376" t="s">
        <v>52</v>
      </c>
      <c r="X1141" s="377" t="s">
        <v>53</v>
      </c>
      <c r="Y1141" s="377" t="s">
        <v>54</v>
      </c>
      <c r="Z1141" s="377" t="s">
        <v>55</v>
      </c>
      <c r="AA1141" s="377" t="s">
        <v>56</v>
      </c>
      <c r="AB1141" s="378" t="s">
        <v>57</v>
      </c>
    </row>
    <row r="1142" spans="1:28" s="352" customFormat="1" ht="18" customHeight="1" x14ac:dyDescent="0.2">
      <c r="A1142" s="2687"/>
      <c r="B1142" s="2158" t="s">
        <v>61</v>
      </c>
      <c r="C1142" s="2687"/>
      <c r="D1142" s="2158" t="s">
        <v>62</v>
      </c>
      <c r="E1142" s="368" t="s">
        <v>63</v>
      </c>
      <c r="F1142" s="2687"/>
      <c r="G1142" s="2687"/>
      <c r="H1142" s="2689"/>
      <c r="I1142" s="2158" t="s">
        <v>64</v>
      </c>
      <c r="J1142" s="379" t="s">
        <v>59</v>
      </c>
      <c r="K1142" s="2159" t="s">
        <v>59</v>
      </c>
      <c r="L1142" s="2680"/>
      <c r="M1142" s="2163"/>
      <c r="N1142" s="2163"/>
      <c r="O1142" s="382" t="s">
        <v>41</v>
      </c>
      <c r="P1142" s="383" t="s">
        <v>65</v>
      </c>
      <c r="Q1142" s="384" t="s">
        <v>66</v>
      </c>
      <c r="R1142" s="383" t="s">
        <v>67</v>
      </c>
      <c r="S1142" s="385" t="s">
        <v>59</v>
      </c>
      <c r="T1142" s="387" t="s">
        <v>68</v>
      </c>
      <c r="U1142" s="375" t="s">
        <v>14</v>
      </c>
      <c r="V1142" s="375" t="s">
        <v>14</v>
      </c>
      <c r="W1142" s="376" t="s">
        <v>30</v>
      </c>
      <c r="X1142" s="388" t="s">
        <v>69</v>
      </c>
      <c r="Y1142" s="388" t="s">
        <v>70</v>
      </c>
      <c r="Z1142" s="377" t="s">
        <v>71</v>
      </c>
      <c r="AA1142" s="377" t="s">
        <v>72</v>
      </c>
      <c r="AB1142" s="378" t="s">
        <v>59</v>
      </c>
    </row>
    <row r="1143" spans="1:28" s="352" customFormat="1" ht="18" customHeight="1" x14ac:dyDescent="0.2">
      <c r="A1143" s="2692"/>
      <c r="B1143" s="390"/>
      <c r="C1143" s="2692"/>
      <c r="D1143" s="390"/>
      <c r="E1143" s="2160"/>
      <c r="F1143" s="390"/>
      <c r="G1143" s="390"/>
      <c r="H1143" s="391"/>
      <c r="I1143" s="2160"/>
      <c r="J1143" s="392"/>
      <c r="K1143" s="393"/>
      <c r="L1143" s="2681"/>
      <c r="M1143" s="2164"/>
      <c r="N1143" s="2164"/>
      <c r="O1143" s="2164" t="s">
        <v>63</v>
      </c>
      <c r="P1143" s="395"/>
      <c r="Q1143" s="396" t="s">
        <v>72</v>
      </c>
      <c r="R1143" s="397" t="s">
        <v>59</v>
      </c>
      <c r="S1143" s="398"/>
      <c r="T1143" s="397" t="s">
        <v>73</v>
      </c>
      <c r="U1143" s="398" t="s">
        <v>59</v>
      </c>
      <c r="V1143" s="399" t="s">
        <v>59</v>
      </c>
      <c r="W1143" s="400" t="s">
        <v>59</v>
      </c>
      <c r="X1143" s="401" t="s">
        <v>59</v>
      </c>
      <c r="Y1143" s="401" t="s">
        <v>59</v>
      </c>
      <c r="Z1143" s="401" t="s">
        <v>59</v>
      </c>
      <c r="AA1143" s="402"/>
      <c r="AB1143" s="403"/>
    </row>
    <row r="1144" spans="1:28" s="352" customFormat="1" ht="18" customHeight="1" x14ac:dyDescent="0.2">
      <c r="A1144" s="53">
        <v>1</v>
      </c>
      <c r="B1144" s="41">
        <v>27710</v>
      </c>
      <c r="C1144" s="41">
        <v>5</v>
      </c>
      <c r="D1144" s="41" t="s">
        <v>107</v>
      </c>
      <c r="E1144" s="41">
        <v>4</v>
      </c>
      <c r="F1144" s="41">
        <v>0</v>
      </c>
      <c r="G1144" s="41">
        <v>1</v>
      </c>
      <c r="H1144" s="267">
        <v>41</v>
      </c>
      <c r="I1144" s="302">
        <f>F1144*400+G1144*100+H1144</f>
        <v>141</v>
      </c>
      <c r="J1144" s="310">
        <v>3000</v>
      </c>
      <c r="K1144" s="303">
        <f>SUM(I1144*J1144)</f>
        <v>423000</v>
      </c>
      <c r="L1144" s="16"/>
      <c r="M1144" s="82"/>
      <c r="N1144" s="41"/>
      <c r="O1144" s="16"/>
      <c r="P1144" s="404"/>
      <c r="Q1144" s="14"/>
      <c r="R1144" s="302"/>
      <c r="S1144" s="302"/>
      <c r="T1144" s="41"/>
      <c r="U1144" s="302"/>
      <c r="V1144" s="302"/>
      <c r="W1144" s="302">
        <f>K1144+V1144</f>
        <v>423000</v>
      </c>
      <c r="X1144" s="302">
        <f>W1144</f>
        <v>423000</v>
      </c>
      <c r="Y1144" s="310"/>
      <c r="Z1144" s="302">
        <f>+X1144</f>
        <v>423000</v>
      </c>
      <c r="AA1144" s="405">
        <v>0.6</v>
      </c>
      <c r="AB1144" s="406">
        <f>+Z1144*AA1144/100</f>
        <v>2538</v>
      </c>
    </row>
    <row r="1145" spans="1:28" s="352" customFormat="1" ht="18" customHeight="1" x14ac:dyDescent="0.2">
      <c r="A1145" s="61"/>
      <c r="B1145" s="2166"/>
      <c r="C1145" s="2166"/>
      <c r="D1145" s="2166"/>
      <c r="E1145" s="2166"/>
      <c r="F1145" s="2166"/>
      <c r="G1145" s="2166"/>
      <c r="H1145" s="407"/>
      <c r="I1145" s="77"/>
      <c r="J1145" s="2168"/>
      <c r="K1145" s="78"/>
      <c r="L1145" s="61"/>
      <c r="M1145" s="2166"/>
      <c r="N1145" s="2166"/>
      <c r="O1145" s="61"/>
      <c r="P1145" s="177"/>
      <c r="Q1145" s="196"/>
      <c r="R1145" s="408"/>
      <c r="S1145" s="77"/>
      <c r="T1145" s="2166"/>
      <c r="U1145" s="77"/>
      <c r="V1145" s="77"/>
      <c r="W1145" s="77"/>
      <c r="X1145" s="77"/>
      <c r="Y1145" s="2168"/>
      <c r="Z1145" s="77"/>
      <c r="AA1145" s="2170"/>
      <c r="AB1145" s="410"/>
    </row>
    <row r="1146" spans="1:28" s="352" customFormat="1" ht="18" customHeight="1" x14ac:dyDescent="0.2">
      <c r="A1146" s="75"/>
      <c r="B1146" s="88"/>
      <c r="C1146" s="88"/>
      <c r="D1146" s="88"/>
      <c r="E1146" s="88"/>
      <c r="F1146" s="88"/>
      <c r="G1146" s="88"/>
      <c r="H1146" s="495"/>
      <c r="I1146" s="74"/>
      <c r="J1146" s="121"/>
      <c r="K1146" s="159"/>
      <c r="L1146" s="75"/>
      <c r="M1146" s="88"/>
      <c r="N1146" s="88"/>
      <c r="O1146" s="75"/>
      <c r="P1146" s="180"/>
      <c r="Q1146" s="174"/>
      <c r="R1146" s="413"/>
      <c r="S1146" s="74"/>
      <c r="T1146" s="88"/>
      <c r="U1146" s="74"/>
      <c r="V1146" s="74"/>
      <c r="W1146" s="74"/>
      <c r="X1146" s="74"/>
      <c r="Y1146" s="121"/>
      <c r="Z1146" s="74"/>
      <c r="AA1146" s="414"/>
      <c r="AB1146" s="410"/>
    </row>
    <row r="1147" spans="1:28" s="352" customFormat="1" ht="18" customHeight="1" x14ac:dyDescent="0.2">
      <c r="A1147" s="75"/>
      <c r="B1147" s="88"/>
      <c r="C1147" s="88"/>
      <c r="D1147" s="88"/>
      <c r="E1147" s="88"/>
      <c r="F1147" s="88"/>
      <c r="G1147" s="88"/>
      <c r="H1147" s="495"/>
      <c r="I1147" s="74"/>
      <c r="J1147" s="121"/>
      <c r="K1147" s="159"/>
      <c r="L1147" s="75"/>
      <c r="M1147" s="88"/>
      <c r="N1147" s="88"/>
      <c r="O1147" s="75"/>
      <c r="P1147" s="180"/>
      <c r="Q1147" s="174"/>
      <c r="R1147" s="413"/>
      <c r="S1147" s="74"/>
      <c r="T1147" s="88"/>
      <c r="U1147" s="74"/>
      <c r="V1147" s="74"/>
      <c r="W1147" s="74"/>
      <c r="X1147" s="74"/>
      <c r="Y1147" s="121"/>
      <c r="Z1147" s="74"/>
      <c r="AA1147" s="414"/>
      <c r="AB1147" s="410"/>
    </row>
    <row r="1148" spans="1:28" s="352" customFormat="1" ht="18" customHeight="1" x14ac:dyDescent="0.2">
      <c r="A1148" s="75"/>
      <c r="B1148" s="88"/>
      <c r="C1148" s="88"/>
      <c r="D1148" s="88"/>
      <c r="E1148" s="88"/>
      <c r="F1148" s="88"/>
      <c r="G1148" s="88"/>
      <c r="H1148" s="495"/>
      <c r="I1148" s="74"/>
      <c r="J1148" s="121"/>
      <c r="K1148" s="159"/>
      <c r="L1148" s="75"/>
      <c r="M1148" s="88"/>
      <c r="N1148" s="88"/>
      <c r="O1148" s="75"/>
      <c r="P1148" s="180"/>
      <c r="Q1148" s="174"/>
      <c r="R1148" s="413"/>
      <c r="S1148" s="74"/>
      <c r="T1148" s="88"/>
      <c r="U1148" s="74"/>
      <c r="V1148" s="74"/>
      <c r="W1148" s="74"/>
      <c r="X1148" s="74"/>
      <c r="Y1148" s="121"/>
      <c r="Z1148" s="74"/>
      <c r="AA1148" s="414"/>
      <c r="AB1148" s="416"/>
    </row>
    <row r="1149" spans="1:28" s="352" customFormat="1" ht="18" customHeight="1" x14ac:dyDescent="0.2">
      <c r="A1149" s="61"/>
      <c r="B1149" s="2166"/>
      <c r="C1149" s="2166"/>
      <c r="D1149" s="2166"/>
      <c r="E1149" s="2166"/>
      <c r="F1149" s="2166"/>
      <c r="G1149" s="2166"/>
      <c r="H1149" s="407"/>
      <c r="I1149" s="77"/>
      <c r="J1149" s="2168"/>
      <c r="K1149" s="78"/>
      <c r="L1149" s="61"/>
      <c r="M1149" s="2166"/>
      <c r="N1149" s="2166"/>
      <c r="O1149" s="61"/>
      <c r="P1149" s="177"/>
      <c r="Q1149" s="196"/>
      <c r="R1149" s="408"/>
      <c r="S1149" s="77"/>
      <c r="T1149" s="2166"/>
      <c r="U1149" s="77"/>
      <c r="V1149" s="77"/>
      <c r="W1149" s="77"/>
      <c r="X1149" s="77"/>
      <c r="Y1149" s="2168"/>
      <c r="Z1149" s="77"/>
      <c r="AA1149" s="2170"/>
      <c r="AB1149" s="410"/>
    </row>
    <row r="1150" spans="1:28" s="352" customFormat="1" ht="18" customHeight="1" x14ac:dyDescent="0.2">
      <c r="A1150" s="2166"/>
      <c r="B1150" s="177"/>
      <c r="C1150" s="177"/>
      <c r="D1150" s="2166"/>
      <c r="E1150" s="2166"/>
      <c r="F1150" s="2166"/>
      <c r="G1150" s="2166"/>
      <c r="H1150" s="2171"/>
      <c r="I1150" s="2168"/>
      <c r="J1150" s="178"/>
      <c r="K1150" s="2168"/>
      <c r="L1150" s="2166"/>
      <c r="M1150" s="2166"/>
      <c r="N1150" s="2166"/>
      <c r="O1150" s="2166"/>
      <c r="P1150" s="2171"/>
      <c r="Q1150" s="2167"/>
      <c r="R1150" s="437"/>
      <c r="S1150" s="2168"/>
      <c r="T1150" s="179"/>
      <c r="U1150" s="178"/>
      <c r="V1150" s="2168"/>
      <c r="W1150" s="2168"/>
      <c r="X1150" s="470"/>
      <c r="Y1150" s="470"/>
      <c r="Z1150" s="471"/>
      <c r="AA1150" s="471"/>
      <c r="AB1150" s="466"/>
    </row>
    <row r="1151" spans="1:28" s="352" customFormat="1" ht="18" customHeight="1" x14ac:dyDescent="0.2">
      <c r="A1151" s="2166"/>
      <c r="B1151" s="177"/>
      <c r="C1151" s="177"/>
      <c r="D1151" s="2166"/>
      <c r="E1151" s="2166"/>
      <c r="F1151" s="2166"/>
      <c r="G1151" s="2166"/>
      <c r="H1151" s="2171"/>
      <c r="I1151" s="2168"/>
      <c r="J1151" s="178"/>
      <c r="K1151" s="2168"/>
      <c r="L1151" s="2166"/>
      <c r="M1151" s="2166"/>
      <c r="N1151" s="2166"/>
      <c r="O1151" s="2166"/>
      <c r="P1151" s="2171"/>
      <c r="Q1151" s="2167"/>
      <c r="R1151" s="437"/>
      <c r="S1151" s="2168"/>
      <c r="T1151" s="179"/>
      <c r="U1151" s="178"/>
      <c r="V1151" s="2168"/>
      <c r="W1151" s="2168"/>
      <c r="X1151" s="470"/>
      <c r="Y1151" s="470"/>
      <c r="Z1151" s="471"/>
      <c r="AA1151" s="471"/>
      <c r="AB1151" s="466"/>
    </row>
    <row r="1152" spans="1:28" s="352" customFormat="1" ht="18" customHeight="1" x14ac:dyDescent="0.2">
      <c r="A1152" s="2166"/>
      <c r="B1152" s="177"/>
      <c r="C1152" s="177"/>
      <c r="D1152" s="2166"/>
      <c r="E1152" s="2166"/>
      <c r="F1152" s="2166"/>
      <c r="G1152" s="2166"/>
      <c r="H1152" s="2171"/>
      <c r="I1152" s="2168"/>
      <c r="J1152" s="178"/>
      <c r="K1152" s="2168"/>
      <c r="L1152" s="2166"/>
      <c r="M1152" s="2166"/>
      <c r="N1152" s="2166"/>
      <c r="O1152" s="2166"/>
      <c r="P1152" s="2171"/>
      <c r="Q1152" s="2167"/>
      <c r="R1152" s="437"/>
      <c r="S1152" s="2168"/>
      <c r="T1152" s="179"/>
      <c r="U1152" s="178"/>
      <c r="V1152" s="2168"/>
      <c r="W1152" s="2168"/>
      <c r="X1152" s="470"/>
      <c r="Y1152" s="470"/>
      <c r="Z1152" s="471"/>
      <c r="AA1152" s="471"/>
      <c r="AB1152" s="466"/>
    </row>
    <row r="1153" spans="1:28" s="352" customFormat="1" ht="18" customHeight="1" x14ac:dyDescent="0.2">
      <c r="A1153" s="2166"/>
      <c r="B1153" s="177"/>
      <c r="C1153" s="177"/>
      <c r="D1153" s="2166"/>
      <c r="E1153" s="2166"/>
      <c r="F1153" s="2166"/>
      <c r="G1153" s="2166"/>
      <c r="H1153" s="2171"/>
      <c r="I1153" s="2168"/>
      <c r="J1153" s="178"/>
      <c r="K1153" s="2168"/>
      <c r="L1153" s="2166"/>
      <c r="M1153" s="2166"/>
      <c r="N1153" s="2166"/>
      <c r="O1153" s="2166"/>
      <c r="P1153" s="2171"/>
      <c r="Q1153" s="2167"/>
      <c r="R1153" s="437"/>
      <c r="S1153" s="2168"/>
      <c r="T1153" s="179"/>
      <c r="U1153" s="178"/>
      <c r="V1153" s="2168"/>
      <c r="W1153" s="2168"/>
      <c r="X1153" s="470"/>
      <c r="Y1153" s="470"/>
      <c r="Z1153" s="471"/>
      <c r="AA1153" s="471"/>
      <c r="AB1153" s="466"/>
    </row>
    <row r="1154" spans="1:28" s="352" customFormat="1" ht="18" customHeight="1" x14ac:dyDescent="0.2">
      <c r="A1154" s="2166"/>
      <c r="B1154" s="177"/>
      <c r="C1154" s="177"/>
      <c r="D1154" s="2166"/>
      <c r="E1154" s="2166"/>
      <c r="F1154" s="2166"/>
      <c r="G1154" s="2166"/>
      <c r="H1154" s="2171"/>
      <c r="I1154" s="2168"/>
      <c r="J1154" s="178"/>
      <c r="K1154" s="2168"/>
      <c r="L1154" s="2166"/>
      <c r="M1154" s="2166"/>
      <c r="N1154" s="2166"/>
      <c r="O1154" s="2166"/>
      <c r="P1154" s="2171"/>
      <c r="Q1154" s="2167"/>
      <c r="R1154" s="437"/>
      <c r="S1154" s="2168"/>
      <c r="T1154" s="179"/>
      <c r="U1154" s="178"/>
      <c r="V1154" s="2168"/>
      <c r="W1154" s="2168"/>
      <c r="X1154" s="470"/>
      <c r="Y1154" s="470"/>
      <c r="Z1154" s="471"/>
      <c r="AA1154" s="471"/>
      <c r="AB1154" s="466"/>
    </row>
    <row r="1155" spans="1:28" s="352" customFormat="1" ht="18" customHeight="1" x14ac:dyDescent="0.2">
      <c r="A1155" s="2166"/>
      <c r="B1155" s="177"/>
      <c r="C1155" s="177"/>
      <c r="D1155" s="2166"/>
      <c r="E1155" s="2166"/>
      <c r="F1155" s="2166"/>
      <c r="G1155" s="2166"/>
      <c r="H1155" s="2171"/>
      <c r="I1155" s="2168"/>
      <c r="J1155" s="178"/>
      <c r="K1155" s="2168"/>
      <c r="L1155" s="2166"/>
      <c r="M1155" s="2166"/>
      <c r="N1155" s="2166"/>
      <c r="O1155" s="2166"/>
      <c r="P1155" s="2171"/>
      <c r="Q1155" s="2167"/>
      <c r="R1155" s="437"/>
      <c r="S1155" s="2168"/>
      <c r="T1155" s="179"/>
      <c r="U1155" s="178"/>
      <c r="V1155" s="2168"/>
      <c r="W1155" s="2168"/>
      <c r="X1155" s="470"/>
      <c r="Y1155" s="470"/>
      <c r="Z1155" s="471"/>
      <c r="AA1155" s="471"/>
      <c r="AB1155" s="466"/>
    </row>
    <row r="1156" spans="1:28" s="352" customFormat="1" ht="18" customHeight="1" x14ac:dyDescent="0.2">
      <c r="A1156" s="2166"/>
      <c r="B1156" s="177"/>
      <c r="C1156" s="177"/>
      <c r="D1156" s="2166"/>
      <c r="E1156" s="2166"/>
      <c r="F1156" s="2166"/>
      <c r="G1156" s="2166"/>
      <c r="H1156" s="2171"/>
      <c r="I1156" s="2168"/>
      <c r="J1156" s="178"/>
      <c r="K1156" s="2168"/>
      <c r="L1156" s="2166"/>
      <c r="M1156" s="2166"/>
      <c r="N1156" s="2166"/>
      <c r="O1156" s="2166"/>
      <c r="P1156" s="2171"/>
      <c r="Q1156" s="2167"/>
      <c r="R1156" s="437"/>
      <c r="S1156" s="2168"/>
      <c r="T1156" s="179"/>
      <c r="U1156" s="178"/>
      <c r="V1156" s="2168"/>
      <c r="W1156" s="2168"/>
      <c r="X1156" s="470"/>
      <c r="Y1156" s="470"/>
      <c r="Z1156" s="471"/>
      <c r="AA1156" s="471"/>
      <c r="AB1156" s="466"/>
    </row>
    <row r="1157" spans="1:28" s="352" customFormat="1" ht="18" customHeight="1" x14ac:dyDescent="0.2">
      <c r="A1157" s="88"/>
      <c r="B1157" s="180"/>
      <c r="C1157" s="180"/>
      <c r="D1157" s="88"/>
      <c r="E1157" s="88"/>
      <c r="F1157" s="88"/>
      <c r="G1157" s="88"/>
      <c r="H1157" s="120"/>
      <c r="I1157" s="121"/>
      <c r="J1157" s="181"/>
      <c r="K1157" s="121"/>
      <c r="L1157" s="88"/>
      <c r="M1157" s="88"/>
      <c r="N1157" s="88"/>
      <c r="O1157" s="88"/>
      <c r="P1157" s="88"/>
      <c r="Q1157" s="129"/>
      <c r="R1157" s="445"/>
      <c r="S1157" s="121"/>
      <c r="T1157" s="182"/>
      <c r="U1157" s="181"/>
      <c r="V1157" s="121"/>
      <c r="W1157" s="121"/>
      <c r="X1157" s="472"/>
      <c r="Y1157" s="472"/>
      <c r="Z1157" s="473"/>
      <c r="AA1157" s="473"/>
      <c r="AB1157" s="410"/>
    </row>
    <row r="1158" spans="1:28" s="352" customFormat="1" ht="18" customHeight="1" x14ac:dyDescent="0.2">
      <c r="A1158" s="1850"/>
      <c r="B1158" s="1850"/>
      <c r="C1158" s="1850"/>
      <c r="D1158" s="1850"/>
      <c r="E1158" s="1850"/>
      <c r="F1158" s="1850"/>
      <c r="G1158" s="1850"/>
      <c r="H1158" s="1851"/>
      <c r="I1158" s="1852"/>
      <c r="J1158" s="1853"/>
      <c r="K1158" s="1852"/>
      <c r="L1158" s="1852"/>
      <c r="M1158" s="1852"/>
      <c r="N1158" s="1852"/>
      <c r="O1158" s="1852"/>
      <c r="P1158" s="1852"/>
      <c r="Q1158" s="1852"/>
      <c r="R1158" s="1854"/>
      <c r="S1158" s="1852"/>
      <c r="T1158" s="1855"/>
      <c r="U1158" s="1853"/>
      <c r="V1158" s="1852"/>
      <c r="W1158" s="1852"/>
      <c r="X1158" s="1856"/>
      <c r="Y1158" s="1856"/>
      <c r="Z1158" s="1857"/>
      <c r="AA1158" s="1857"/>
      <c r="AB1158" s="1847">
        <f>SUM(AB1144:AB1157)</f>
        <v>2538</v>
      </c>
    </row>
    <row r="1159" spans="1:28" s="352" customFormat="1" ht="18" customHeight="1" x14ac:dyDescent="0.2">
      <c r="A1159" s="2778" t="s">
        <v>76</v>
      </c>
      <c r="B1159" s="2778"/>
      <c r="C1159" s="2779" t="s">
        <v>77</v>
      </c>
      <c r="D1159" s="2779"/>
      <c r="E1159" s="2779"/>
      <c r="F1159" s="2779"/>
      <c r="G1159" s="2779"/>
      <c r="H1159" s="2779"/>
      <c r="I1159" s="424" t="s">
        <v>78</v>
      </c>
      <c r="J1159" s="424"/>
      <c r="K1159" s="424"/>
      <c r="L1159" s="424"/>
      <c r="M1159" s="424"/>
      <c r="N1159" s="424"/>
      <c r="AB1159" s="425"/>
    </row>
    <row r="1160" spans="1:28" s="352" customFormat="1" ht="18" customHeight="1" x14ac:dyDescent="0.2">
      <c r="A1160" s="424"/>
      <c r="B1160" s="426"/>
      <c r="C1160" s="424"/>
      <c r="D1160" s="424"/>
      <c r="E1160" s="424"/>
      <c r="F1160" s="424"/>
      <c r="G1160" s="424"/>
      <c r="H1160" s="424"/>
      <c r="I1160" s="424" t="s">
        <v>79</v>
      </c>
      <c r="J1160" s="424"/>
      <c r="K1160" s="424"/>
      <c r="L1160" s="424"/>
      <c r="M1160" s="424"/>
      <c r="N1160" s="424"/>
      <c r="AB1160" s="425"/>
    </row>
    <row r="1161" spans="1:28" s="352" customFormat="1" ht="18" customHeight="1" x14ac:dyDescent="0.2">
      <c r="A1161" s="424"/>
      <c r="B1161" s="426"/>
      <c r="C1161" s="424"/>
      <c r="D1161" s="424"/>
      <c r="E1161" s="424"/>
      <c r="F1161" s="424"/>
      <c r="G1161" s="424"/>
      <c r="H1161" s="424"/>
      <c r="I1161" s="424" t="s">
        <v>80</v>
      </c>
      <c r="J1161" s="424"/>
      <c r="K1161" s="424"/>
      <c r="L1161" s="424"/>
      <c r="M1161" s="424"/>
      <c r="N1161" s="424"/>
      <c r="AB1161" s="425"/>
    </row>
    <row r="1162" spans="1:28" s="352" customFormat="1" ht="18" customHeight="1" x14ac:dyDescent="0.2">
      <c r="A1162" s="424"/>
      <c r="B1162" s="426"/>
      <c r="C1162" s="424"/>
      <c r="D1162" s="424"/>
      <c r="E1162" s="424"/>
      <c r="F1162" s="424"/>
      <c r="G1162" s="424"/>
      <c r="H1162" s="424"/>
      <c r="I1162" s="424" t="s">
        <v>81</v>
      </c>
      <c r="J1162" s="424"/>
      <c r="K1162" s="424"/>
      <c r="L1162" s="424"/>
      <c r="M1162" s="424"/>
      <c r="N1162" s="424"/>
      <c r="AB1162" s="425"/>
    </row>
    <row r="1163" spans="1:28" s="352" customFormat="1" ht="18" customHeight="1" x14ac:dyDescent="0.2">
      <c r="A1163" s="424"/>
      <c r="B1163" s="426"/>
      <c r="C1163" s="424"/>
      <c r="D1163" s="424"/>
      <c r="E1163" s="424"/>
      <c r="F1163" s="424"/>
      <c r="G1163" s="424"/>
      <c r="H1163" s="424"/>
      <c r="I1163" s="424" t="s">
        <v>88</v>
      </c>
      <c r="J1163" s="424"/>
      <c r="K1163" s="424"/>
      <c r="L1163" s="424"/>
      <c r="M1163" s="424"/>
      <c r="N1163" s="424"/>
      <c r="AB1163" s="425"/>
    </row>
    <row r="1164" spans="1:28" s="352" customFormat="1" ht="18" customHeight="1" x14ac:dyDescent="0.2">
      <c r="A1164" s="338"/>
      <c r="B1164" s="338"/>
      <c r="C1164" s="338"/>
      <c r="D1164" s="338"/>
      <c r="E1164" s="338"/>
      <c r="F1164" s="338"/>
      <c r="G1164" s="338"/>
      <c r="H1164" s="338"/>
      <c r="I1164" s="338"/>
      <c r="J1164" s="338"/>
      <c r="K1164" s="338"/>
      <c r="L1164" s="338"/>
      <c r="M1164" s="338"/>
      <c r="N1164" s="338"/>
      <c r="O1164" s="338"/>
      <c r="P1164" s="338"/>
      <c r="Q1164" s="338"/>
      <c r="R1164" s="338"/>
      <c r="S1164" s="338"/>
      <c r="T1164" s="338"/>
      <c r="U1164" s="338"/>
      <c r="V1164" s="338"/>
      <c r="W1164" s="338"/>
      <c r="X1164" s="338"/>
      <c r="Y1164" s="338"/>
      <c r="Z1164" s="338"/>
      <c r="AA1164" s="2774" t="s">
        <v>0</v>
      </c>
      <c r="AB1164" s="2774"/>
    </row>
    <row r="1165" spans="1:28" s="352" customFormat="1" ht="18" customHeight="1" x14ac:dyDescent="0.2">
      <c r="A1165" s="2703" t="s">
        <v>1</v>
      </c>
      <c r="B1165" s="2703"/>
      <c r="C1165" s="2703"/>
      <c r="D1165" s="2703"/>
      <c r="E1165" s="2703"/>
      <c r="F1165" s="2703"/>
      <c r="G1165" s="2703"/>
      <c r="H1165" s="2703"/>
      <c r="I1165" s="2703"/>
      <c r="J1165" s="2703"/>
      <c r="K1165" s="2703"/>
      <c r="L1165" s="2703"/>
      <c r="M1165" s="2703"/>
      <c r="N1165" s="2703"/>
      <c r="O1165" s="2703"/>
      <c r="P1165" s="2703"/>
      <c r="Q1165" s="2703"/>
      <c r="R1165" s="2703"/>
      <c r="S1165" s="2703"/>
      <c r="T1165" s="2703"/>
      <c r="U1165" s="2703"/>
      <c r="V1165" s="2703"/>
      <c r="W1165" s="2703"/>
      <c r="X1165" s="2703"/>
      <c r="Y1165" s="2703"/>
      <c r="Z1165" s="2703"/>
      <c r="AA1165" s="2703"/>
      <c r="AB1165" s="2703"/>
    </row>
    <row r="1166" spans="1:28" s="352" customFormat="1" ht="18" customHeight="1" x14ac:dyDescent="0.2">
      <c r="A1166" s="2780" t="s">
        <v>638</v>
      </c>
      <c r="B1166" s="2780"/>
      <c r="C1166" s="2780"/>
      <c r="D1166" s="2780"/>
      <c r="E1166" s="2780"/>
      <c r="F1166" s="2780"/>
      <c r="G1166" s="2780"/>
      <c r="H1166" s="2780"/>
      <c r="I1166" s="2780"/>
      <c r="J1166" s="2780"/>
      <c r="K1166" s="2780"/>
      <c r="L1166" s="2780"/>
      <c r="M1166" s="2780"/>
      <c r="N1166" s="2780"/>
      <c r="O1166" s="2780"/>
      <c r="P1166" s="2780"/>
      <c r="Q1166" s="2780"/>
      <c r="R1166" s="2780"/>
      <c r="S1166" s="2780"/>
      <c r="T1166" s="2780"/>
      <c r="U1166" s="2780"/>
      <c r="V1166" s="2780"/>
      <c r="W1166" s="2780"/>
      <c r="X1166" s="2780"/>
      <c r="Y1166" s="2780"/>
      <c r="Z1166" s="2780"/>
      <c r="AA1166" s="2780"/>
      <c r="AB1166" s="2780"/>
    </row>
    <row r="1167" spans="1:28" s="352" customFormat="1" ht="18" customHeight="1" x14ac:dyDescent="0.2">
      <c r="A1167" s="2686" t="s">
        <v>2</v>
      </c>
      <c r="B1167" s="360"/>
      <c r="C1167" s="2686" t="s">
        <v>3</v>
      </c>
      <c r="D1167" s="360"/>
      <c r="E1167" s="360"/>
      <c r="F1167" s="2693" t="s">
        <v>4</v>
      </c>
      <c r="G1167" s="2693"/>
      <c r="H1167" s="2693"/>
      <c r="I1167" s="2694"/>
      <c r="J1167" s="2694"/>
      <c r="K1167" s="2695"/>
      <c r="L1167" s="361"/>
      <c r="M1167" s="2679" t="s">
        <v>5</v>
      </c>
      <c r="N1167" s="2679"/>
      <c r="O1167" s="2679"/>
      <c r="P1167" s="2679"/>
      <c r="Q1167" s="2696"/>
      <c r="R1167" s="2696"/>
      <c r="S1167" s="2696"/>
      <c r="T1167" s="2696"/>
      <c r="U1167" s="2696"/>
      <c r="V1167" s="2697"/>
      <c r="W1167" s="362" t="s">
        <v>6</v>
      </c>
      <c r="X1167" s="363" t="s">
        <v>7</v>
      </c>
      <c r="Y1167" s="364"/>
      <c r="Z1167" s="364"/>
      <c r="AA1167" s="363"/>
      <c r="AB1167" s="365"/>
    </row>
    <row r="1168" spans="1:28" s="352" customFormat="1" ht="18" customHeight="1" x14ac:dyDescent="0.2">
      <c r="A1168" s="2687"/>
      <c r="B1168" s="367"/>
      <c r="C1168" s="2687"/>
      <c r="D1168" s="2158" t="s">
        <v>9</v>
      </c>
      <c r="E1168" s="368" t="s">
        <v>10</v>
      </c>
      <c r="F1168" s="2698" t="s">
        <v>11</v>
      </c>
      <c r="G1168" s="2694"/>
      <c r="H1168" s="2695"/>
      <c r="I1168" s="360"/>
      <c r="J1168" s="369" t="s">
        <v>12</v>
      </c>
      <c r="K1168" s="360"/>
      <c r="L1168" s="2679" t="s">
        <v>2</v>
      </c>
      <c r="M1168" s="2162"/>
      <c r="N1168" s="2162"/>
      <c r="O1168" s="2162"/>
      <c r="P1168" s="371"/>
      <c r="Q1168" s="372" t="s">
        <v>13</v>
      </c>
      <c r="R1168" s="373" t="s">
        <v>12</v>
      </c>
      <c r="S1168" s="2162" t="s">
        <v>6</v>
      </c>
      <c r="T1168" s="2682" t="s">
        <v>14</v>
      </c>
      <c r="U1168" s="2683"/>
      <c r="V1168" s="375" t="s">
        <v>7</v>
      </c>
      <c r="W1168" s="376" t="s">
        <v>15</v>
      </c>
      <c r="X1168" s="377" t="s">
        <v>16</v>
      </c>
      <c r="Y1168" s="377" t="s">
        <v>17</v>
      </c>
      <c r="Z1168" s="377" t="s">
        <v>18</v>
      </c>
      <c r="AA1168" s="377"/>
      <c r="AB1168" s="378" t="s">
        <v>19</v>
      </c>
    </row>
    <row r="1169" spans="1:28" s="352" customFormat="1" ht="18" customHeight="1" x14ac:dyDescent="0.2">
      <c r="A1169" s="2687"/>
      <c r="B1169" s="2158" t="s">
        <v>23</v>
      </c>
      <c r="C1169" s="2687"/>
      <c r="D1169" s="2158" t="s">
        <v>24</v>
      </c>
      <c r="E1169" s="368" t="s">
        <v>25</v>
      </c>
      <c r="F1169" s="2699"/>
      <c r="G1169" s="2700"/>
      <c r="H1169" s="2701"/>
      <c r="I1169" s="2158" t="s">
        <v>26</v>
      </c>
      <c r="J1169" s="379" t="s">
        <v>15</v>
      </c>
      <c r="K1169" s="2159" t="s">
        <v>6</v>
      </c>
      <c r="L1169" s="2680"/>
      <c r="M1169" s="2163" t="s">
        <v>27</v>
      </c>
      <c r="N1169" s="2163" t="s">
        <v>10</v>
      </c>
      <c r="O1169" s="382" t="s">
        <v>10</v>
      </c>
      <c r="P1169" s="383" t="s">
        <v>28</v>
      </c>
      <c r="Q1169" s="384" t="s">
        <v>29</v>
      </c>
      <c r="R1169" s="383" t="s">
        <v>15</v>
      </c>
      <c r="S1169" s="385" t="s">
        <v>15</v>
      </c>
      <c r="T1169" s="2684"/>
      <c r="U1169" s="2685"/>
      <c r="V1169" s="375" t="s">
        <v>30</v>
      </c>
      <c r="W1169" s="376" t="s">
        <v>31</v>
      </c>
      <c r="X1169" s="377" t="s">
        <v>30</v>
      </c>
      <c r="Y1169" s="377" t="s">
        <v>32</v>
      </c>
      <c r="Z1169" s="377" t="s">
        <v>7</v>
      </c>
      <c r="AA1169" s="377" t="s">
        <v>33</v>
      </c>
      <c r="AB1169" s="378" t="s">
        <v>34</v>
      </c>
    </row>
    <row r="1170" spans="1:28" s="352" customFormat="1" ht="18" customHeight="1" x14ac:dyDescent="0.2">
      <c r="A1170" s="2687"/>
      <c r="B1170" s="2158" t="s">
        <v>39</v>
      </c>
      <c r="C1170" s="2687"/>
      <c r="D1170" s="2158" t="s">
        <v>40</v>
      </c>
      <c r="E1170" s="368" t="s">
        <v>41</v>
      </c>
      <c r="F1170" s="2686" t="s">
        <v>42</v>
      </c>
      <c r="G1170" s="2686" t="s">
        <v>43</v>
      </c>
      <c r="H1170" s="2688" t="s">
        <v>44</v>
      </c>
      <c r="I1170" s="2158" t="s">
        <v>45</v>
      </c>
      <c r="J1170" s="379" t="s">
        <v>46</v>
      </c>
      <c r="K1170" s="2159" t="s">
        <v>47</v>
      </c>
      <c r="L1170" s="2680"/>
      <c r="M1170" s="2163" t="s">
        <v>30</v>
      </c>
      <c r="N1170" s="2163" t="s">
        <v>30</v>
      </c>
      <c r="O1170" s="382" t="s">
        <v>25</v>
      </c>
      <c r="P1170" s="383" t="s">
        <v>30</v>
      </c>
      <c r="Q1170" s="384" t="s">
        <v>48</v>
      </c>
      <c r="R1170" s="383" t="s">
        <v>49</v>
      </c>
      <c r="S1170" s="385" t="s">
        <v>30</v>
      </c>
      <c r="T1170" s="386" t="s">
        <v>50</v>
      </c>
      <c r="U1170" s="2161" t="s">
        <v>13</v>
      </c>
      <c r="V1170" s="375" t="s">
        <v>51</v>
      </c>
      <c r="W1170" s="376" t="s">
        <v>52</v>
      </c>
      <c r="X1170" s="377" t="s">
        <v>53</v>
      </c>
      <c r="Y1170" s="377" t="s">
        <v>54</v>
      </c>
      <c r="Z1170" s="377" t="s">
        <v>55</v>
      </c>
      <c r="AA1170" s="377" t="s">
        <v>56</v>
      </c>
      <c r="AB1170" s="378" t="s">
        <v>57</v>
      </c>
    </row>
    <row r="1171" spans="1:28" s="352" customFormat="1" ht="18" customHeight="1" x14ac:dyDescent="0.2">
      <c r="A1171" s="2687"/>
      <c r="B1171" s="2158" t="s">
        <v>61</v>
      </c>
      <c r="C1171" s="2687"/>
      <c r="D1171" s="2158" t="s">
        <v>62</v>
      </c>
      <c r="E1171" s="368" t="s">
        <v>63</v>
      </c>
      <c r="F1171" s="2687"/>
      <c r="G1171" s="2687"/>
      <c r="H1171" s="2689"/>
      <c r="I1171" s="2158" t="s">
        <v>64</v>
      </c>
      <c r="J1171" s="379" t="s">
        <v>59</v>
      </c>
      <c r="K1171" s="2159" t="s">
        <v>59</v>
      </c>
      <c r="L1171" s="2680"/>
      <c r="M1171" s="2163"/>
      <c r="N1171" s="2163"/>
      <c r="O1171" s="382" t="s">
        <v>41</v>
      </c>
      <c r="P1171" s="383" t="s">
        <v>65</v>
      </c>
      <c r="Q1171" s="384" t="s">
        <v>66</v>
      </c>
      <c r="R1171" s="383" t="s">
        <v>67</v>
      </c>
      <c r="S1171" s="385" t="s">
        <v>59</v>
      </c>
      <c r="T1171" s="387" t="s">
        <v>68</v>
      </c>
      <c r="U1171" s="375" t="s">
        <v>14</v>
      </c>
      <c r="V1171" s="375" t="s">
        <v>14</v>
      </c>
      <c r="W1171" s="376" t="s">
        <v>30</v>
      </c>
      <c r="X1171" s="388" t="s">
        <v>69</v>
      </c>
      <c r="Y1171" s="388" t="s">
        <v>70</v>
      </c>
      <c r="Z1171" s="377" t="s">
        <v>71</v>
      </c>
      <c r="AA1171" s="377" t="s">
        <v>72</v>
      </c>
      <c r="AB1171" s="378" t="s">
        <v>59</v>
      </c>
    </row>
    <row r="1172" spans="1:28" s="352" customFormat="1" ht="18" customHeight="1" x14ac:dyDescent="0.2">
      <c r="A1172" s="2692"/>
      <c r="B1172" s="390"/>
      <c r="C1172" s="2692"/>
      <c r="D1172" s="390"/>
      <c r="E1172" s="2160"/>
      <c r="F1172" s="390"/>
      <c r="G1172" s="390"/>
      <c r="H1172" s="391"/>
      <c r="I1172" s="2160"/>
      <c r="J1172" s="392"/>
      <c r="K1172" s="393"/>
      <c r="L1172" s="2681"/>
      <c r="M1172" s="2164"/>
      <c r="N1172" s="2164"/>
      <c r="O1172" s="2164" t="s">
        <v>63</v>
      </c>
      <c r="P1172" s="395"/>
      <c r="Q1172" s="396" t="s">
        <v>72</v>
      </c>
      <c r="R1172" s="397" t="s">
        <v>59</v>
      </c>
      <c r="S1172" s="398"/>
      <c r="T1172" s="397" t="s">
        <v>73</v>
      </c>
      <c r="U1172" s="398" t="s">
        <v>59</v>
      </c>
      <c r="V1172" s="399" t="s">
        <v>59</v>
      </c>
      <c r="W1172" s="400" t="s">
        <v>59</v>
      </c>
      <c r="X1172" s="401" t="s">
        <v>59</v>
      </c>
      <c r="Y1172" s="401" t="s">
        <v>59</v>
      </c>
      <c r="Z1172" s="401" t="s">
        <v>59</v>
      </c>
      <c r="AA1172" s="402"/>
      <c r="AB1172" s="403"/>
    </row>
    <row r="1173" spans="1:28" s="352" customFormat="1" ht="18" customHeight="1" x14ac:dyDescent="0.2">
      <c r="A1173" s="53">
        <v>1</v>
      </c>
      <c r="B1173" s="41">
        <v>27717</v>
      </c>
      <c r="C1173" s="41">
        <v>764</v>
      </c>
      <c r="D1173" s="41" t="s">
        <v>107</v>
      </c>
      <c r="E1173" s="41">
        <v>4</v>
      </c>
      <c r="F1173" s="41">
        <v>0</v>
      </c>
      <c r="G1173" s="41">
        <v>1</v>
      </c>
      <c r="H1173" s="267">
        <v>25</v>
      </c>
      <c r="I1173" s="302">
        <f>F1173*400+G1173*100+H1173</f>
        <v>125</v>
      </c>
      <c r="J1173" s="310">
        <v>3000</v>
      </c>
      <c r="K1173" s="303">
        <f>SUM(I1173*J1173)</f>
        <v>375000</v>
      </c>
      <c r="L1173" s="16"/>
      <c r="M1173" s="82"/>
      <c r="N1173" s="41"/>
      <c r="O1173" s="16"/>
      <c r="P1173" s="404"/>
      <c r="Q1173" s="14"/>
      <c r="R1173" s="302"/>
      <c r="S1173" s="302"/>
      <c r="T1173" s="41"/>
      <c r="U1173" s="302"/>
      <c r="V1173" s="302"/>
      <c r="W1173" s="302">
        <f>K1173+V1173</f>
        <v>375000</v>
      </c>
      <c r="X1173" s="302">
        <f>W1173</f>
        <v>375000</v>
      </c>
      <c r="Y1173" s="310"/>
      <c r="Z1173" s="302">
        <f>+X1173</f>
        <v>375000</v>
      </c>
      <c r="AA1173" s="405">
        <v>0.6</v>
      </c>
      <c r="AB1173" s="406">
        <f>+Z1173*AA1173/100</f>
        <v>2250</v>
      </c>
    </row>
    <row r="1174" spans="1:28" s="352" customFormat="1" ht="18" customHeight="1" x14ac:dyDescent="0.2">
      <c r="A1174" s="61"/>
      <c r="B1174" s="2166"/>
      <c r="C1174" s="2166"/>
      <c r="D1174" s="2166"/>
      <c r="E1174" s="2166"/>
      <c r="F1174" s="2166"/>
      <c r="G1174" s="2166"/>
      <c r="H1174" s="407"/>
      <c r="I1174" s="77"/>
      <c r="J1174" s="2168"/>
      <c r="K1174" s="78"/>
      <c r="L1174" s="61"/>
      <c r="M1174" s="2166"/>
      <c r="N1174" s="2166"/>
      <c r="O1174" s="61"/>
      <c r="P1174" s="177"/>
      <c r="Q1174" s="196"/>
      <c r="R1174" s="408"/>
      <c r="S1174" s="77"/>
      <c r="T1174" s="2166"/>
      <c r="U1174" s="77"/>
      <c r="V1174" s="77"/>
      <c r="W1174" s="77"/>
      <c r="X1174" s="77"/>
      <c r="Y1174" s="2168"/>
      <c r="Z1174" s="77"/>
      <c r="AA1174" s="2170"/>
      <c r="AB1174" s="410"/>
    </row>
    <row r="1175" spans="1:28" s="352" customFormat="1" ht="18" customHeight="1" x14ac:dyDescent="0.2">
      <c r="A1175" s="75"/>
      <c r="B1175" s="88"/>
      <c r="C1175" s="88"/>
      <c r="D1175" s="88"/>
      <c r="E1175" s="88"/>
      <c r="F1175" s="88"/>
      <c r="G1175" s="88"/>
      <c r="H1175" s="495"/>
      <c r="I1175" s="74"/>
      <c r="J1175" s="121"/>
      <c r="K1175" s="159"/>
      <c r="L1175" s="75"/>
      <c r="M1175" s="88"/>
      <c r="N1175" s="88"/>
      <c r="O1175" s="75"/>
      <c r="P1175" s="180"/>
      <c r="Q1175" s="174"/>
      <c r="R1175" s="413"/>
      <c r="S1175" s="74"/>
      <c r="T1175" s="88"/>
      <c r="U1175" s="74"/>
      <c r="V1175" s="74"/>
      <c r="W1175" s="74"/>
      <c r="X1175" s="74"/>
      <c r="Y1175" s="121"/>
      <c r="Z1175" s="74"/>
      <c r="AA1175" s="414"/>
      <c r="AB1175" s="410"/>
    </row>
    <row r="1176" spans="1:28" s="352" customFormat="1" ht="18" customHeight="1" x14ac:dyDescent="0.2">
      <c r="A1176" s="75"/>
      <c r="B1176" s="88"/>
      <c r="C1176" s="88"/>
      <c r="D1176" s="88"/>
      <c r="E1176" s="88"/>
      <c r="F1176" s="88"/>
      <c r="G1176" s="88"/>
      <c r="H1176" s="495"/>
      <c r="I1176" s="74"/>
      <c r="J1176" s="121"/>
      <c r="K1176" s="159"/>
      <c r="L1176" s="75"/>
      <c r="M1176" s="88"/>
      <c r="N1176" s="88"/>
      <c r="O1176" s="75"/>
      <c r="P1176" s="180"/>
      <c r="Q1176" s="174"/>
      <c r="R1176" s="413"/>
      <c r="S1176" s="74"/>
      <c r="T1176" s="88"/>
      <c r="U1176" s="74"/>
      <c r="V1176" s="74"/>
      <c r="W1176" s="74"/>
      <c r="X1176" s="74"/>
      <c r="Y1176" s="121"/>
      <c r="Z1176" s="74"/>
      <c r="AA1176" s="414"/>
      <c r="AB1176" s="410"/>
    </row>
    <row r="1177" spans="1:28" s="352" customFormat="1" ht="18" customHeight="1" x14ac:dyDescent="0.2">
      <c r="A1177" s="75"/>
      <c r="B1177" s="88"/>
      <c r="C1177" s="88"/>
      <c r="D1177" s="88"/>
      <c r="E1177" s="88"/>
      <c r="F1177" s="88"/>
      <c r="G1177" s="88"/>
      <c r="H1177" s="495"/>
      <c r="I1177" s="74"/>
      <c r="J1177" s="121"/>
      <c r="K1177" s="159"/>
      <c r="L1177" s="75"/>
      <c r="M1177" s="88"/>
      <c r="N1177" s="88"/>
      <c r="O1177" s="75"/>
      <c r="P1177" s="180"/>
      <c r="Q1177" s="174"/>
      <c r="R1177" s="413"/>
      <c r="S1177" s="74"/>
      <c r="T1177" s="88"/>
      <c r="U1177" s="74"/>
      <c r="V1177" s="74"/>
      <c r="W1177" s="74"/>
      <c r="X1177" s="74"/>
      <c r="Y1177" s="121"/>
      <c r="Z1177" s="74"/>
      <c r="AA1177" s="414"/>
      <c r="AB1177" s="416"/>
    </row>
    <row r="1178" spans="1:28" s="352" customFormat="1" ht="18" customHeight="1" x14ac:dyDescent="0.2">
      <c r="A1178" s="61"/>
      <c r="B1178" s="2166"/>
      <c r="C1178" s="2166"/>
      <c r="D1178" s="2166"/>
      <c r="E1178" s="2166"/>
      <c r="F1178" s="2166"/>
      <c r="G1178" s="2166"/>
      <c r="H1178" s="407"/>
      <c r="I1178" s="77"/>
      <c r="J1178" s="2168"/>
      <c r="K1178" s="78"/>
      <c r="L1178" s="61"/>
      <c r="M1178" s="2166"/>
      <c r="N1178" s="2166"/>
      <c r="O1178" s="61"/>
      <c r="P1178" s="177"/>
      <c r="Q1178" s="196"/>
      <c r="R1178" s="408"/>
      <c r="S1178" s="77"/>
      <c r="T1178" s="2166"/>
      <c r="U1178" s="77"/>
      <c r="V1178" s="77"/>
      <c r="W1178" s="77"/>
      <c r="X1178" s="77"/>
      <c r="Y1178" s="2168"/>
      <c r="Z1178" s="77"/>
      <c r="AA1178" s="2170"/>
      <c r="AB1178" s="466"/>
    </row>
    <row r="1179" spans="1:28" s="352" customFormat="1" ht="18" customHeight="1" x14ac:dyDescent="0.2">
      <c r="A1179" s="61"/>
      <c r="B1179" s="2166"/>
      <c r="C1179" s="2166"/>
      <c r="D1179" s="2166"/>
      <c r="E1179" s="2166"/>
      <c r="F1179" s="2166"/>
      <c r="G1179" s="2166"/>
      <c r="H1179" s="407"/>
      <c r="I1179" s="77"/>
      <c r="J1179" s="2168"/>
      <c r="K1179" s="78"/>
      <c r="L1179" s="61"/>
      <c r="M1179" s="2166"/>
      <c r="N1179" s="2166"/>
      <c r="O1179" s="61"/>
      <c r="P1179" s="177"/>
      <c r="Q1179" s="196"/>
      <c r="R1179" s="408"/>
      <c r="S1179" s="77"/>
      <c r="T1179" s="2166"/>
      <c r="U1179" s="77"/>
      <c r="V1179" s="77"/>
      <c r="W1179" s="77"/>
      <c r="X1179" s="77"/>
      <c r="Y1179" s="2168"/>
      <c r="Z1179" s="77"/>
      <c r="AA1179" s="2170"/>
      <c r="AB1179" s="466"/>
    </row>
    <row r="1180" spans="1:28" s="352" customFormat="1" ht="18" customHeight="1" x14ac:dyDescent="0.2">
      <c r="A1180" s="2166"/>
      <c r="B1180" s="177"/>
      <c r="C1180" s="177"/>
      <c r="D1180" s="2166"/>
      <c r="E1180" s="2166"/>
      <c r="F1180" s="2166"/>
      <c r="G1180" s="2166"/>
      <c r="H1180" s="2171"/>
      <c r="I1180" s="2168"/>
      <c r="J1180" s="178"/>
      <c r="K1180" s="2168"/>
      <c r="L1180" s="2166"/>
      <c r="M1180" s="2166"/>
      <c r="N1180" s="2166"/>
      <c r="O1180" s="2166"/>
      <c r="P1180" s="2171"/>
      <c r="Q1180" s="2167"/>
      <c r="R1180" s="437"/>
      <c r="S1180" s="2168"/>
      <c r="T1180" s="179"/>
      <c r="U1180" s="178"/>
      <c r="V1180" s="2168"/>
      <c r="W1180" s="2168"/>
      <c r="X1180" s="470"/>
      <c r="Y1180" s="470"/>
      <c r="Z1180" s="471"/>
      <c r="AA1180" s="471"/>
      <c r="AB1180" s="466"/>
    </row>
    <row r="1181" spans="1:28" s="352" customFormat="1" ht="18" customHeight="1" x14ac:dyDescent="0.2">
      <c r="A1181" s="2166"/>
      <c r="B1181" s="177"/>
      <c r="C1181" s="177"/>
      <c r="D1181" s="2166"/>
      <c r="E1181" s="2166"/>
      <c r="F1181" s="2166"/>
      <c r="G1181" s="2166"/>
      <c r="H1181" s="2171"/>
      <c r="I1181" s="2168"/>
      <c r="J1181" s="178"/>
      <c r="K1181" s="2168"/>
      <c r="L1181" s="2166"/>
      <c r="M1181" s="2166"/>
      <c r="N1181" s="2166"/>
      <c r="O1181" s="2166"/>
      <c r="P1181" s="2171"/>
      <c r="Q1181" s="2167"/>
      <c r="R1181" s="437"/>
      <c r="S1181" s="2168"/>
      <c r="T1181" s="179"/>
      <c r="U1181" s="178"/>
      <c r="V1181" s="2168"/>
      <c r="W1181" s="2168"/>
      <c r="X1181" s="470"/>
      <c r="Y1181" s="470"/>
      <c r="Z1181" s="471"/>
      <c r="AA1181" s="471"/>
      <c r="AB1181" s="466"/>
    </row>
    <row r="1182" spans="1:28" s="352" customFormat="1" ht="18" customHeight="1" x14ac:dyDescent="0.2">
      <c r="A1182" s="2166"/>
      <c r="B1182" s="177"/>
      <c r="C1182" s="177"/>
      <c r="D1182" s="2166"/>
      <c r="E1182" s="2166"/>
      <c r="F1182" s="2166"/>
      <c r="G1182" s="2166"/>
      <c r="H1182" s="2171"/>
      <c r="I1182" s="2168"/>
      <c r="J1182" s="178"/>
      <c r="K1182" s="2168"/>
      <c r="L1182" s="2166"/>
      <c r="M1182" s="2166"/>
      <c r="N1182" s="2166"/>
      <c r="O1182" s="2166"/>
      <c r="P1182" s="2171"/>
      <c r="Q1182" s="2167"/>
      <c r="R1182" s="437"/>
      <c r="S1182" s="2168"/>
      <c r="T1182" s="179"/>
      <c r="U1182" s="178"/>
      <c r="V1182" s="2168"/>
      <c r="W1182" s="2168"/>
      <c r="X1182" s="470"/>
      <c r="Y1182" s="470"/>
      <c r="Z1182" s="471"/>
      <c r="AA1182" s="471"/>
      <c r="AB1182" s="466"/>
    </row>
    <row r="1183" spans="1:28" s="352" customFormat="1" ht="18" customHeight="1" x14ac:dyDescent="0.2">
      <c r="A1183" s="2166"/>
      <c r="B1183" s="177"/>
      <c r="C1183" s="177"/>
      <c r="D1183" s="2166"/>
      <c r="E1183" s="2166"/>
      <c r="F1183" s="2166"/>
      <c r="G1183" s="2166"/>
      <c r="H1183" s="2171"/>
      <c r="I1183" s="2168"/>
      <c r="J1183" s="178"/>
      <c r="K1183" s="2168"/>
      <c r="L1183" s="2166"/>
      <c r="M1183" s="2166"/>
      <c r="N1183" s="2166"/>
      <c r="O1183" s="2166"/>
      <c r="P1183" s="2171"/>
      <c r="Q1183" s="2167"/>
      <c r="R1183" s="437"/>
      <c r="S1183" s="2168"/>
      <c r="T1183" s="179"/>
      <c r="U1183" s="178"/>
      <c r="V1183" s="2168"/>
      <c r="W1183" s="2168"/>
      <c r="X1183" s="470"/>
      <c r="Y1183" s="470"/>
      <c r="Z1183" s="471"/>
      <c r="AA1183" s="471"/>
      <c r="AB1183" s="466"/>
    </row>
    <row r="1184" spans="1:28" s="352" customFormat="1" ht="18" customHeight="1" x14ac:dyDescent="0.2">
      <c r="A1184" s="2166"/>
      <c r="B1184" s="177"/>
      <c r="C1184" s="177"/>
      <c r="D1184" s="2166"/>
      <c r="E1184" s="2166"/>
      <c r="F1184" s="2166"/>
      <c r="G1184" s="2166"/>
      <c r="H1184" s="2171"/>
      <c r="I1184" s="2168"/>
      <c r="J1184" s="178"/>
      <c r="K1184" s="2168"/>
      <c r="L1184" s="2166"/>
      <c r="M1184" s="2166"/>
      <c r="N1184" s="2166"/>
      <c r="O1184" s="2166"/>
      <c r="P1184" s="2171"/>
      <c r="Q1184" s="2167"/>
      <c r="R1184" s="437"/>
      <c r="S1184" s="2168"/>
      <c r="T1184" s="179"/>
      <c r="U1184" s="178"/>
      <c r="V1184" s="2168"/>
      <c r="W1184" s="2168"/>
      <c r="X1184" s="470"/>
      <c r="Y1184" s="470"/>
      <c r="Z1184" s="471"/>
      <c r="AA1184" s="471"/>
      <c r="AB1184" s="466"/>
    </row>
    <row r="1185" spans="1:28" s="352" customFormat="1" ht="18" customHeight="1" x14ac:dyDescent="0.2">
      <c r="A1185" s="2166"/>
      <c r="B1185" s="177"/>
      <c r="C1185" s="177"/>
      <c r="D1185" s="2166"/>
      <c r="E1185" s="2166"/>
      <c r="F1185" s="2166"/>
      <c r="G1185" s="2166"/>
      <c r="H1185" s="2171"/>
      <c r="I1185" s="2168"/>
      <c r="J1185" s="178"/>
      <c r="K1185" s="2168"/>
      <c r="L1185" s="2166"/>
      <c r="M1185" s="2166"/>
      <c r="N1185" s="2166"/>
      <c r="O1185" s="2166"/>
      <c r="P1185" s="2171"/>
      <c r="Q1185" s="2167"/>
      <c r="R1185" s="437"/>
      <c r="S1185" s="2168"/>
      <c r="T1185" s="179"/>
      <c r="U1185" s="178"/>
      <c r="V1185" s="2168"/>
      <c r="W1185" s="2168"/>
      <c r="X1185" s="470"/>
      <c r="Y1185" s="470"/>
      <c r="Z1185" s="471"/>
      <c r="AA1185" s="471"/>
      <c r="AB1185" s="466"/>
    </row>
    <row r="1186" spans="1:28" s="352" customFormat="1" ht="18" customHeight="1" x14ac:dyDescent="0.2">
      <c r="A1186" s="88"/>
      <c r="B1186" s="180"/>
      <c r="C1186" s="180"/>
      <c r="D1186" s="88"/>
      <c r="E1186" s="88"/>
      <c r="F1186" s="88"/>
      <c r="G1186" s="88"/>
      <c r="H1186" s="120"/>
      <c r="I1186" s="121"/>
      <c r="J1186" s="181"/>
      <c r="K1186" s="121"/>
      <c r="L1186" s="88"/>
      <c r="M1186" s="88"/>
      <c r="N1186" s="88"/>
      <c r="O1186" s="88"/>
      <c r="P1186" s="88"/>
      <c r="Q1186" s="129"/>
      <c r="R1186" s="445"/>
      <c r="S1186" s="121"/>
      <c r="T1186" s="182"/>
      <c r="U1186" s="181"/>
      <c r="V1186" s="121"/>
      <c r="W1186" s="121"/>
      <c r="X1186" s="472"/>
      <c r="Y1186" s="472"/>
      <c r="Z1186" s="473"/>
      <c r="AA1186" s="473"/>
      <c r="AB1186" s="410"/>
    </row>
    <row r="1187" spans="1:28" s="352" customFormat="1" ht="18" customHeight="1" x14ac:dyDescent="0.2">
      <c r="A1187" s="1850"/>
      <c r="B1187" s="1850"/>
      <c r="C1187" s="1850"/>
      <c r="D1187" s="1850"/>
      <c r="E1187" s="1850"/>
      <c r="F1187" s="1850"/>
      <c r="G1187" s="1850"/>
      <c r="H1187" s="1851"/>
      <c r="I1187" s="1852"/>
      <c r="J1187" s="1853"/>
      <c r="K1187" s="1852"/>
      <c r="L1187" s="1852"/>
      <c r="M1187" s="1852"/>
      <c r="N1187" s="1852"/>
      <c r="O1187" s="1852"/>
      <c r="P1187" s="1852"/>
      <c r="Q1187" s="1852"/>
      <c r="R1187" s="1854"/>
      <c r="S1187" s="1852"/>
      <c r="T1187" s="1855"/>
      <c r="U1187" s="1853"/>
      <c r="V1187" s="1852"/>
      <c r="W1187" s="1852"/>
      <c r="X1187" s="1856"/>
      <c r="Y1187" s="1856"/>
      <c r="Z1187" s="1857"/>
      <c r="AA1187" s="1857"/>
      <c r="AB1187" s="1847">
        <f>SUM(AB1173:AB1186)</f>
        <v>2250</v>
      </c>
    </row>
    <row r="1188" spans="1:28" s="352" customFormat="1" ht="18" customHeight="1" x14ac:dyDescent="0.2">
      <c r="A1188" s="2778" t="s">
        <v>76</v>
      </c>
      <c r="B1188" s="2778"/>
      <c r="C1188" s="2779" t="s">
        <v>77</v>
      </c>
      <c r="D1188" s="2779"/>
      <c r="E1188" s="2779"/>
      <c r="F1188" s="2779"/>
      <c r="G1188" s="2779"/>
      <c r="H1188" s="2779"/>
      <c r="I1188" s="424" t="s">
        <v>78</v>
      </c>
      <c r="J1188" s="424"/>
      <c r="K1188" s="424"/>
      <c r="L1188" s="424"/>
      <c r="M1188" s="424"/>
      <c r="N1188" s="424"/>
      <c r="AB1188" s="425"/>
    </row>
    <row r="1189" spans="1:28" s="352" customFormat="1" ht="18" customHeight="1" x14ac:dyDescent="0.2">
      <c r="A1189" s="424"/>
      <c r="B1189" s="426"/>
      <c r="C1189" s="424"/>
      <c r="D1189" s="424"/>
      <c r="E1189" s="424"/>
      <c r="F1189" s="424"/>
      <c r="G1189" s="424"/>
      <c r="H1189" s="424"/>
      <c r="I1189" s="424" t="s">
        <v>79</v>
      </c>
      <c r="J1189" s="424"/>
      <c r="K1189" s="424"/>
      <c r="L1189" s="424"/>
      <c r="M1189" s="424"/>
      <c r="N1189" s="424"/>
      <c r="AB1189" s="425"/>
    </row>
    <row r="1190" spans="1:28" s="352" customFormat="1" ht="18" customHeight="1" x14ac:dyDescent="0.2">
      <c r="A1190" s="424"/>
      <c r="B1190" s="426"/>
      <c r="C1190" s="424"/>
      <c r="D1190" s="424"/>
      <c r="E1190" s="424"/>
      <c r="F1190" s="424"/>
      <c r="G1190" s="424"/>
      <c r="H1190" s="424"/>
      <c r="I1190" s="424" t="s">
        <v>80</v>
      </c>
      <c r="J1190" s="424"/>
      <c r="K1190" s="424"/>
      <c r="L1190" s="424"/>
      <c r="M1190" s="424"/>
      <c r="N1190" s="424"/>
      <c r="AB1190" s="425"/>
    </row>
    <row r="1191" spans="1:28" s="352" customFormat="1" ht="18" customHeight="1" x14ac:dyDescent="0.2">
      <c r="A1191" s="424"/>
      <c r="B1191" s="426"/>
      <c r="C1191" s="424"/>
      <c r="D1191" s="424"/>
      <c r="E1191" s="424"/>
      <c r="F1191" s="424"/>
      <c r="G1191" s="424"/>
      <c r="H1191" s="424"/>
      <c r="I1191" s="424" t="s">
        <v>81</v>
      </c>
      <c r="J1191" s="424"/>
      <c r="K1191" s="424"/>
      <c r="L1191" s="424"/>
      <c r="M1191" s="424"/>
      <c r="N1191" s="424"/>
      <c r="AB1191" s="425"/>
    </row>
    <row r="1192" spans="1:28" s="352" customFormat="1" ht="18" customHeight="1" x14ac:dyDescent="0.2">
      <c r="A1192" s="424"/>
      <c r="B1192" s="426"/>
      <c r="C1192" s="424"/>
      <c r="D1192" s="424"/>
      <c r="E1192" s="424"/>
      <c r="F1192" s="424"/>
      <c r="G1192" s="424"/>
      <c r="H1192" s="424"/>
      <c r="I1192" s="424" t="s">
        <v>88</v>
      </c>
      <c r="J1192" s="424"/>
      <c r="K1192" s="424"/>
      <c r="L1192" s="424"/>
      <c r="M1192" s="424"/>
      <c r="N1192" s="424"/>
      <c r="AB1192" s="425"/>
    </row>
    <row r="1193" spans="1:28" s="352" customFormat="1" ht="18" customHeight="1" x14ac:dyDescent="0.2">
      <c r="A1193" s="338"/>
      <c r="B1193" s="338"/>
      <c r="C1193" s="338"/>
      <c r="D1193" s="338"/>
      <c r="E1193" s="338"/>
      <c r="F1193" s="338"/>
      <c r="G1193" s="338"/>
      <c r="H1193" s="338"/>
      <c r="I1193" s="338"/>
      <c r="J1193" s="338"/>
      <c r="K1193" s="338"/>
      <c r="L1193" s="338"/>
      <c r="M1193" s="338"/>
      <c r="N1193" s="338"/>
      <c r="O1193" s="338"/>
      <c r="P1193" s="338"/>
      <c r="Q1193" s="338"/>
      <c r="R1193" s="338"/>
      <c r="S1193" s="338"/>
      <c r="T1193" s="338"/>
      <c r="U1193" s="338"/>
      <c r="V1193" s="338"/>
      <c r="W1193" s="338"/>
      <c r="X1193" s="338"/>
      <c r="Y1193" s="338"/>
      <c r="Z1193" s="338"/>
      <c r="AA1193" s="2774" t="s">
        <v>0</v>
      </c>
      <c r="AB1193" s="2774"/>
    </row>
    <row r="1194" spans="1:28" s="352" customFormat="1" ht="18" customHeight="1" x14ac:dyDescent="0.2">
      <c r="A1194" s="2703" t="s">
        <v>1</v>
      </c>
      <c r="B1194" s="2703"/>
      <c r="C1194" s="2703"/>
      <c r="D1194" s="2703"/>
      <c r="E1194" s="2703"/>
      <c r="F1194" s="2703"/>
      <c r="G1194" s="2703"/>
      <c r="H1194" s="2703"/>
      <c r="I1194" s="2703"/>
      <c r="J1194" s="2703"/>
      <c r="K1194" s="2703"/>
      <c r="L1194" s="2703"/>
      <c r="M1194" s="2703"/>
      <c r="N1194" s="2703"/>
      <c r="O1194" s="2703"/>
      <c r="P1194" s="2703"/>
      <c r="Q1194" s="2703"/>
      <c r="R1194" s="2703"/>
      <c r="S1194" s="2703"/>
      <c r="T1194" s="2703"/>
      <c r="U1194" s="2703"/>
      <c r="V1194" s="2703"/>
      <c r="W1194" s="2703"/>
      <c r="X1194" s="2703"/>
      <c r="Y1194" s="2703"/>
      <c r="Z1194" s="2703"/>
      <c r="AA1194" s="2703"/>
      <c r="AB1194" s="2703"/>
    </row>
    <row r="1195" spans="1:28" s="352" customFormat="1" ht="18" customHeight="1" x14ac:dyDescent="0.2">
      <c r="A1195" s="2780" t="s">
        <v>639</v>
      </c>
      <c r="B1195" s="2780"/>
      <c r="C1195" s="2780"/>
      <c r="D1195" s="2780"/>
      <c r="E1195" s="2780"/>
      <c r="F1195" s="2780"/>
      <c r="G1195" s="2780"/>
      <c r="H1195" s="2780"/>
      <c r="I1195" s="2780"/>
      <c r="J1195" s="2780"/>
      <c r="K1195" s="2780"/>
      <c r="L1195" s="2780"/>
      <c r="M1195" s="2780"/>
      <c r="N1195" s="2780"/>
      <c r="O1195" s="2780"/>
      <c r="P1195" s="2780"/>
      <c r="Q1195" s="2780"/>
      <c r="R1195" s="2780"/>
      <c r="S1195" s="2780"/>
      <c r="T1195" s="2780"/>
      <c r="U1195" s="2780"/>
      <c r="V1195" s="2780"/>
      <c r="W1195" s="2780"/>
      <c r="X1195" s="2780"/>
      <c r="Y1195" s="2780"/>
      <c r="Z1195" s="2780"/>
      <c r="AA1195" s="2780"/>
      <c r="AB1195" s="2780"/>
    </row>
    <row r="1196" spans="1:28" s="352" customFormat="1" ht="18" customHeight="1" x14ac:dyDescent="0.2">
      <c r="A1196" s="2686" t="s">
        <v>2</v>
      </c>
      <c r="B1196" s="360"/>
      <c r="C1196" s="2686" t="s">
        <v>3</v>
      </c>
      <c r="D1196" s="360"/>
      <c r="E1196" s="360"/>
      <c r="F1196" s="2693" t="s">
        <v>4</v>
      </c>
      <c r="G1196" s="2693"/>
      <c r="H1196" s="2693"/>
      <c r="I1196" s="2694"/>
      <c r="J1196" s="2694"/>
      <c r="K1196" s="2695"/>
      <c r="L1196" s="361"/>
      <c r="M1196" s="2679" t="s">
        <v>5</v>
      </c>
      <c r="N1196" s="2679"/>
      <c r="O1196" s="2679"/>
      <c r="P1196" s="2679"/>
      <c r="Q1196" s="2696"/>
      <c r="R1196" s="2696"/>
      <c r="S1196" s="2696"/>
      <c r="T1196" s="2696"/>
      <c r="U1196" s="2696"/>
      <c r="V1196" s="2697"/>
      <c r="W1196" s="362" t="s">
        <v>6</v>
      </c>
      <c r="X1196" s="363" t="s">
        <v>7</v>
      </c>
      <c r="Y1196" s="364"/>
      <c r="Z1196" s="364"/>
      <c r="AA1196" s="363"/>
      <c r="AB1196" s="365"/>
    </row>
    <row r="1197" spans="1:28" s="352" customFormat="1" ht="18" customHeight="1" x14ac:dyDescent="0.2">
      <c r="A1197" s="2687"/>
      <c r="B1197" s="367"/>
      <c r="C1197" s="2687"/>
      <c r="D1197" s="2158" t="s">
        <v>9</v>
      </c>
      <c r="E1197" s="368" t="s">
        <v>10</v>
      </c>
      <c r="F1197" s="2698" t="s">
        <v>11</v>
      </c>
      <c r="G1197" s="2694"/>
      <c r="H1197" s="2695"/>
      <c r="I1197" s="360"/>
      <c r="J1197" s="369" t="s">
        <v>12</v>
      </c>
      <c r="K1197" s="360"/>
      <c r="L1197" s="2679" t="s">
        <v>2</v>
      </c>
      <c r="M1197" s="2162"/>
      <c r="N1197" s="2162"/>
      <c r="O1197" s="2162"/>
      <c r="P1197" s="371"/>
      <c r="Q1197" s="372" t="s">
        <v>13</v>
      </c>
      <c r="R1197" s="373" t="s">
        <v>12</v>
      </c>
      <c r="S1197" s="2162" t="s">
        <v>6</v>
      </c>
      <c r="T1197" s="2682" t="s">
        <v>14</v>
      </c>
      <c r="U1197" s="2683"/>
      <c r="V1197" s="375" t="s">
        <v>7</v>
      </c>
      <c r="W1197" s="376" t="s">
        <v>15</v>
      </c>
      <c r="X1197" s="377" t="s">
        <v>16</v>
      </c>
      <c r="Y1197" s="377" t="s">
        <v>17</v>
      </c>
      <c r="Z1197" s="377" t="s">
        <v>18</v>
      </c>
      <c r="AA1197" s="377"/>
      <c r="AB1197" s="378" t="s">
        <v>19</v>
      </c>
    </row>
    <row r="1198" spans="1:28" s="352" customFormat="1" ht="18" customHeight="1" x14ac:dyDescent="0.2">
      <c r="A1198" s="2687"/>
      <c r="B1198" s="2158" t="s">
        <v>23</v>
      </c>
      <c r="C1198" s="2687"/>
      <c r="D1198" s="2158" t="s">
        <v>24</v>
      </c>
      <c r="E1198" s="368" t="s">
        <v>25</v>
      </c>
      <c r="F1198" s="2699"/>
      <c r="G1198" s="2700"/>
      <c r="H1198" s="2701"/>
      <c r="I1198" s="2158" t="s">
        <v>26</v>
      </c>
      <c r="J1198" s="379" t="s">
        <v>15</v>
      </c>
      <c r="K1198" s="2159" t="s">
        <v>6</v>
      </c>
      <c r="L1198" s="2680"/>
      <c r="M1198" s="2163" t="s">
        <v>27</v>
      </c>
      <c r="N1198" s="2163" t="s">
        <v>10</v>
      </c>
      <c r="O1198" s="382" t="s">
        <v>10</v>
      </c>
      <c r="P1198" s="383" t="s">
        <v>28</v>
      </c>
      <c r="Q1198" s="384" t="s">
        <v>29</v>
      </c>
      <c r="R1198" s="383" t="s">
        <v>15</v>
      </c>
      <c r="S1198" s="385" t="s">
        <v>15</v>
      </c>
      <c r="T1198" s="2684"/>
      <c r="U1198" s="2685"/>
      <c r="V1198" s="375" t="s">
        <v>30</v>
      </c>
      <c r="W1198" s="376" t="s">
        <v>31</v>
      </c>
      <c r="X1198" s="377" t="s">
        <v>30</v>
      </c>
      <c r="Y1198" s="377" t="s">
        <v>32</v>
      </c>
      <c r="Z1198" s="377" t="s">
        <v>7</v>
      </c>
      <c r="AA1198" s="377" t="s">
        <v>33</v>
      </c>
      <c r="AB1198" s="378" t="s">
        <v>34</v>
      </c>
    </row>
    <row r="1199" spans="1:28" s="352" customFormat="1" ht="18" customHeight="1" x14ac:dyDescent="0.2">
      <c r="A1199" s="2687"/>
      <c r="B1199" s="2158" t="s">
        <v>39</v>
      </c>
      <c r="C1199" s="2687"/>
      <c r="D1199" s="2158" t="s">
        <v>40</v>
      </c>
      <c r="E1199" s="368" t="s">
        <v>41</v>
      </c>
      <c r="F1199" s="2686" t="s">
        <v>42</v>
      </c>
      <c r="G1199" s="2686" t="s">
        <v>43</v>
      </c>
      <c r="H1199" s="2688" t="s">
        <v>44</v>
      </c>
      <c r="I1199" s="2158" t="s">
        <v>45</v>
      </c>
      <c r="J1199" s="379" t="s">
        <v>46</v>
      </c>
      <c r="K1199" s="2159" t="s">
        <v>47</v>
      </c>
      <c r="L1199" s="2680"/>
      <c r="M1199" s="2163" t="s">
        <v>30</v>
      </c>
      <c r="N1199" s="2163" t="s">
        <v>30</v>
      </c>
      <c r="O1199" s="382" t="s">
        <v>25</v>
      </c>
      <c r="P1199" s="383" t="s">
        <v>30</v>
      </c>
      <c r="Q1199" s="384" t="s">
        <v>48</v>
      </c>
      <c r="R1199" s="383" t="s">
        <v>49</v>
      </c>
      <c r="S1199" s="385" t="s">
        <v>30</v>
      </c>
      <c r="T1199" s="386" t="s">
        <v>50</v>
      </c>
      <c r="U1199" s="2161" t="s">
        <v>13</v>
      </c>
      <c r="V1199" s="375" t="s">
        <v>51</v>
      </c>
      <c r="W1199" s="376" t="s">
        <v>52</v>
      </c>
      <c r="X1199" s="377" t="s">
        <v>53</v>
      </c>
      <c r="Y1199" s="377" t="s">
        <v>54</v>
      </c>
      <c r="Z1199" s="377" t="s">
        <v>55</v>
      </c>
      <c r="AA1199" s="377" t="s">
        <v>56</v>
      </c>
      <c r="AB1199" s="378" t="s">
        <v>57</v>
      </c>
    </row>
    <row r="1200" spans="1:28" s="352" customFormat="1" ht="18" customHeight="1" x14ac:dyDescent="0.2">
      <c r="A1200" s="2687"/>
      <c r="B1200" s="2158" t="s">
        <v>61</v>
      </c>
      <c r="C1200" s="2687"/>
      <c r="D1200" s="2158" t="s">
        <v>62</v>
      </c>
      <c r="E1200" s="368" t="s">
        <v>63</v>
      </c>
      <c r="F1200" s="2687"/>
      <c r="G1200" s="2687"/>
      <c r="H1200" s="2689"/>
      <c r="I1200" s="2158" t="s">
        <v>64</v>
      </c>
      <c r="J1200" s="379" t="s">
        <v>59</v>
      </c>
      <c r="K1200" s="2159" t="s">
        <v>59</v>
      </c>
      <c r="L1200" s="2680"/>
      <c r="M1200" s="2163"/>
      <c r="N1200" s="2163"/>
      <c r="O1200" s="382" t="s">
        <v>41</v>
      </c>
      <c r="P1200" s="383" t="s">
        <v>65</v>
      </c>
      <c r="Q1200" s="384" t="s">
        <v>66</v>
      </c>
      <c r="R1200" s="383" t="s">
        <v>67</v>
      </c>
      <c r="S1200" s="385" t="s">
        <v>59</v>
      </c>
      <c r="T1200" s="387" t="s">
        <v>68</v>
      </c>
      <c r="U1200" s="375" t="s">
        <v>14</v>
      </c>
      <c r="V1200" s="375" t="s">
        <v>14</v>
      </c>
      <c r="W1200" s="376" t="s">
        <v>30</v>
      </c>
      <c r="X1200" s="388" t="s">
        <v>69</v>
      </c>
      <c r="Y1200" s="388" t="s">
        <v>70</v>
      </c>
      <c r="Z1200" s="377" t="s">
        <v>71</v>
      </c>
      <c r="AA1200" s="377" t="s">
        <v>72</v>
      </c>
      <c r="AB1200" s="378" t="s">
        <v>59</v>
      </c>
    </row>
    <row r="1201" spans="1:28" s="352" customFormat="1" ht="18" customHeight="1" x14ac:dyDescent="0.2">
      <c r="A1201" s="2692"/>
      <c r="B1201" s="390"/>
      <c r="C1201" s="2692"/>
      <c r="D1201" s="390"/>
      <c r="E1201" s="2160"/>
      <c r="F1201" s="390"/>
      <c r="G1201" s="390"/>
      <c r="H1201" s="391"/>
      <c r="I1201" s="2160"/>
      <c r="J1201" s="392"/>
      <c r="K1201" s="393"/>
      <c r="L1201" s="2681"/>
      <c r="M1201" s="2164"/>
      <c r="N1201" s="2164"/>
      <c r="O1201" s="2164" t="s">
        <v>63</v>
      </c>
      <c r="P1201" s="395"/>
      <c r="Q1201" s="396" t="s">
        <v>72</v>
      </c>
      <c r="R1201" s="397" t="s">
        <v>59</v>
      </c>
      <c r="S1201" s="398"/>
      <c r="T1201" s="397" t="s">
        <v>73</v>
      </c>
      <c r="U1201" s="398" t="s">
        <v>59</v>
      </c>
      <c r="V1201" s="399" t="s">
        <v>59</v>
      </c>
      <c r="W1201" s="400" t="s">
        <v>59</v>
      </c>
      <c r="X1201" s="401" t="s">
        <v>59</v>
      </c>
      <c r="Y1201" s="401" t="s">
        <v>59</v>
      </c>
      <c r="Z1201" s="401" t="s">
        <v>59</v>
      </c>
      <c r="AA1201" s="402"/>
      <c r="AB1201" s="403"/>
    </row>
    <row r="1202" spans="1:28" s="352" customFormat="1" ht="18" customHeight="1" x14ac:dyDescent="0.2">
      <c r="A1202" s="53">
        <v>1</v>
      </c>
      <c r="B1202" s="41">
        <v>27722</v>
      </c>
      <c r="C1202" s="41">
        <v>766</v>
      </c>
      <c r="D1202" s="41" t="s">
        <v>107</v>
      </c>
      <c r="E1202" s="41">
        <v>4</v>
      </c>
      <c r="F1202" s="41">
        <v>0</v>
      </c>
      <c r="G1202" s="41">
        <v>1</v>
      </c>
      <c r="H1202" s="267">
        <v>0</v>
      </c>
      <c r="I1202" s="302">
        <f>F1202*400+G1202*100+H1202</f>
        <v>100</v>
      </c>
      <c r="J1202" s="310">
        <v>3000</v>
      </c>
      <c r="K1202" s="311">
        <f>SUM(I1202*J1202)</f>
        <v>300000</v>
      </c>
      <c r="L1202" s="16"/>
      <c r="M1202" s="82"/>
      <c r="N1202" s="41"/>
      <c r="O1202" s="16">
        <v>4</v>
      </c>
      <c r="P1202" s="404"/>
      <c r="Q1202" s="14"/>
      <c r="R1202" s="302"/>
      <c r="S1202" s="302"/>
      <c r="T1202" s="41"/>
      <c r="U1202" s="302"/>
      <c r="V1202" s="302"/>
      <c r="W1202" s="302">
        <f>K1202+V1202</f>
        <v>300000</v>
      </c>
      <c r="X1202" s="302">
        <f>W1202</f>
        <v>300000</v>
      </c>
      <c r="Y1202" s="310"/>
      <c r="Z1202" s="310">
        <f>+X1202</f>
        <v>300000</v>
      </c>
      <c r="AA1202" s="405">
        <v>0.6</v>
      </c>
      <c r="AB1202" s="465">
        <f>+Z1202*AA1202/100</f>
        <v>1800</v>
      </c>
    </row>
    <row r="1203" spans="1:28" s="352" customFormat="1" ht="18" customHeight="1" x14ac:dyDescent="0.2">
      <c r="A1203" s="61">
        <v>2</v>
      </c>
      <c r="B1203" s="15">
        <v>27723</v>
      </c>
      <c r="C1203" s="15">
        <v>767</v>
      </c>
      <c r="D1203" s="15"/>
      <c r="E1203" s="15">
        <v>4</v>
      </c>
      <c r="F1203" s="15">
        <v>0</v>
      </c>
      <c r="G1203" s="15">
        <v>1</v>
      </c>
      <c r="H1203" s="284">
        <v>0</v>
      </c>
      <c r="I1203" s="299">
        <f t="shared" ref="I1203" si="91">F1203*400+G1203*100+H1203</f>
        <v>100</v>
      </c>
      <c r="J1203" s="305">
        <v>3000</v>
      </c>
      <c r="K1203" s="312">
        <f t="shared" ref="K1203" si="92">SUM(I1203*J1203)</f>
        <v>300000</v>
      </c>
      <c r="L1203" s="50"/>
      <c r="M1203" s="2166"/>
      <c r="N1203" s="15"/>
      <c r="O1203" s="50">
        <v>4</v>
      </c>
      <c r="P1203" s="673"/>
      <c r="Q1203" s="76"/>
      <c r="R1203" s="296"/>
      <c r="S1203" s="296"/>
      <c r="T1203" s="15"/>
      <c r="U1203" s="296"/>
      <c r="V1203" s="296"/>
      <c r="W1203" s="299">
        <f t="shared" ref="W1203" si="93">K1203+V1203</f>
        <v>300000</v>
      </c>
      <c r="X1203" s="299">
        <f t="shared" ref="X1203" si="94">W1203</f>
        <v>300000</v>
      </c>
      <c r="Y1203" s="305"/>
      <c r="Z1203" s="305">
        <f t="shared" ref="Z1203" si="95">+X1203</f>
        <v>300000</v>
      </c>
      <c r="AA1203" s="494">
        <v>0.6</v>
      </c>
      <c r="AB1203" s="416">
        <f>+Z1203*AA1203/100</f>
        <v>1800</v>
      </c>
    </row>
    <row r="1204" spans="1:28" s="352" customFormat="1" ht="18" customHeight="1" x14ac:dyDescent="0.2">
      <c r="A1204" s="75">
        <v>3</v>
      </c>
      <c r="B1204" s="2166">
        <v>23173</v>
      </c>
      <c r="C1204" s="2166">
        <v>1013</v>
      </c>
      <c r="D1204" s="2166" t="s">
        <v>107</v>
      </c>
      <c r="E1204" s="2166">
        <v>4</v>
      </c>
      <c r="F1204" s="2166">
        <v>0</v>
      </c>
      <c r="G1204" s="2166">
        <v>1</v>
      </c>
      <c r="H1204" s="407">
        <v>20</v>
      </c>
      <c r="I1204" s="810">
        <f>F1204*400+G1204*100+H1204</f>
        <v>120</v>
      </c>
      <c r="J1204" s="1048">
        <v>3000</v>
      </c>
      <c r="K1204" s="1049">
        <f>SUM(I1204*J1204)</f>
        <v>360000</v>
      </c>
      <c r="L1204" s="61"/>
      <c r="M1204" s="2166"/>
      <c r="N1204" s="2166"/>
      <c r="O1204" s="61">
        <v>4</v>
      </c>
      <c r="P1204" s="177"/>
      <c r="Q1204" s="196"/>
      <c r="R1204" s="809"/>
      <c r="S1204" s="810"/>
      <c r="T1204" s="2166"/>
      <c r="U1204" s="810"/>
      <c r="V1204" s="810"/>
      <c r="W1204" s="810">
        <f>K1204+V1204</f>
        <v>360000</v>
      </c>
      <c r="X1204" s="810">
        <f>W1204</f>
        <v>360000</v>
      </c>
      <c r="Y1204" s="1048"/>
      <c r="Z1204" s="810">
        <f>+X1204</f>
        <v>360000</v>
      </c>
      <c r="AA1204" s="812">
        <v>0.6</v>
      </c>
      <c r="AB1204" s="410">
        <f>+Z1204*AA1204/100</f>
        <v>2160</v>
      </c>
    </row>
    <row r="1205" spans="1:28" s="352" customFormat="1" ht="18" customHeight="1" x14ac:dyDescent="0.2">
      <c r="A1205" s="242">
        <v>4</v>
      </c>
      <c r="B1205" s="2166">
        <v>23174</v>
      </c>
      <c r="C1205" s="2166">
        <v>1014</v>
      </c>
      <c r="D1205" s="2166" t="s">
        <v>107</v>
      </c>
      <c r="E1205" s="2166">
        <v>4</v>
      </c>
      <c r="F1205" s="2166">
        <v>0</v>
      </c>
      <c r="G1205" s="2166">
        <v>1</v>
      </c>
      <c r="H1205" s="407">
        <v>0</v>
      </c>
      <c r="I1205" s="810">
        <f>F1205*400+G1205*100+H1205</f>
        <v>100</v>
      </c>
      <c r="J1205" s="1048">
        <v>3000</v>
      </c>
      <c r="K1205" s="1049">
        <f>SUM(I1205*J1205)</f>
        <v>300000</v>
      </c>
      <c r="L1205" s="61"/>
      <c r="M1205" s="2166"/>
      <c r="N1205" s="2166"/>
      <c r="O1205" s="61">
        <v>4</v>
      </c>
      <c r="P1205" s="177"/>
      <c r="Q1205" s="196"/>
      <c r="R1205" s="809"/>
      <c r="S1205" s="810"/>
      <c r="T1205" s="2166"/>
      <c r="U1205" s="810"/>
      <c r="V1205" s="810"/>
      <c r="W1205" s="810">
        <f>K1205+V1205</f>
        <v>300000</v>
      </c>
      <c r="X1205" s="810">
        <f>W1205</f>
        <v>300000</v>
      </c>
      <c r="Y1205" s="1048"/>
      <c r="Z1205" s="810">
        <f>+X1205</f>
        <v>300000</v>
      </c>
      <c r="AA1205" s="812">
        <v>0.6</v>
      </c>
      <c r="AB1205" s="410">
        <f>+Z1205*AA1205/100</f>
        <v>1800</v>
      </c>
    </row>
    <row r="1206" spans="1:28" s="352" customFormat="1" ht="18" customHeight="1" x14ac:dyDescent="0.2">
      <c r="A1206" s="75"/>
      <c r="B1206" s="88"/>
      <c r="C1206" s="88"/>
      <c r="D1206" s="88"/>
      <c r="E1206" s="88"/>
      <c r="F1206" s="88"/>
      <c r="G1206" s="88"/>
      <c r="H1206" s="495"/>
      <c r="I1206" s="74"/>
      <c r="J1206" s="121"/>
      <c r="K1206" s="159"/>
      <c r="L1206" s="75"/>
      <c r="M1206" s="88"/>
      <c r="N1206" s="88"/>
      <c r="O1206" s="75"/>
      <c r="P1206" s="180"/>
      <c r="Q1206" s="174"/>
      <c r="R1206" s="413"/>
      <c r="S1206" s="74"/>
      <c r="T1206" s="88"/>
      <c r="U1206" s="74"/>
      <c r="V1206" s="74"/>
      <c r="W1206" s="74"/>
      <c r="X1206" s="74"/>
      <c r="Y1206" s="121"/>
      <c r="Z1206" s="74"/>
      <c r="AA1206" s="414"/>
      <c r="AB1206" s="416"/>
    </row>
    <row r="1207" spans="1:28" s="352" customFormat="1" ht="18" customHeight="1" x14ac:dyDescent="0.2">
      <c r="A1207" s="61"/>
      <c r="B1207" s="2166"/>
      <c r="C1207" s="2166"/>
      <c r="D1207" s="2166"/>
      <c r="E1207" s="2166"/>
      <c r="F1207" s="2166"/>
      <c r="G1207" s="2166"/>
      <c r="H1207" s="407"/>
      <c r="I1207" s="77"/>
      <c r="J1207" s="2168"/>
      <c r="K1207" s="78"/>
      <c r="L1207" s="61"/>
      <c r="M1207" s="2166"/>
      <c r="N1207" s="2166"/>
      <c r="O1207" s="61"/>
      <c r="P1207" s="177"/>
      <c r="Q1207" s="196"/>
      <c r="R1207" s="408"/>
      <c r="S1207" s="77"/>
      <c r="T1207" s="2166"/>
      <c r="U1207" s="77"/>
      <c r="V1207" s="77"/>
      <c r="W1207" s="77"/>
      <c r="X1207" s="77"/>
      <c r="Y1207" s="2168"/>
      <c r="Z1207" s="77"/>
      <c r="AA1207" s="2170"/>
      <c r="AB1207" s="410"/>
    </row>
    <row r="1208" spans="1:28" s="352" customFormat="1" ht="18" customHeight="1" x14ac:dyDescent="0.2">
      <c r="A1208" s="2166"/>
      <c r="B1208" s="177"/>
      <c r="C1208" s="177"/>
      <c r="D1208" s="2166"/>
      <c r="E1208" s="2166"/>
      <c r="F1208" s="2166"/>
      <c r="G1208" s="2166"/>
      <c r="H1208" s="2171"/>
      <c r="I1208" s="2168"/>
      <c r="J1208" s="178"/>
      <c r="K1208" s="2168"/>
      <c r="L1208" s="2166"/>
      <c r="M1208" s="2166"/>
      <c r="N1208" s="2166"/>
      <c r="O1208" s="2166"/>
      <c r="P1208" s="2171"/>
      <c r="Q1208" s="2167"/>
      <c r="R1208" s="437"/>
      <c r="S1208" s="2168"/>
      <c r="T1208" s="179"/>
      <c r="U1208" s="178"/>
      <c r="V1208" s="2168"/>
      <c r="W1208" s="2168"/>
      <c r="X1208" s="470"/>
      <c r="Y1208" s="470"/>
      <c r="Z1208" s="471"/>
      <c r="AA1208" s="471"/>
      <c r="AB1208" s="466"/>
    </row>
    <row r="1209" spans="1:28" s="352" customFormat="1" ht="18" customHeight="1" x14ac:dyDescent="0.2">
      <c r="A1209" s="2166"/>
      <c r="B1209" s="177"/>
      <c r="C1209" s="177"/>
      <c r="D1209" s="2166"/>
      <c r="E1209" s="2166"/>
      <c r="F1209" s="2166"/>
      <c r="G1209" s="2166"/>
      <c r="H1209" s="2171"/>
      <c r="I1209" s="2168"/>
      <c r="J1209" s="178"/>
      <c r="K1209" s="2168"/>
      <c r="L1209" s="2166"/>
      <c r="M1209" s="2166"/>
      <c r="N1209" s="2166"/>
      <c r="O1209" s="2166"/>
      <c r="P1209" s="2171"/>
      <c r="Q1209" s="2167"/>
      <c r="R1209" s="437"/>
      <c r="S1209" s="2168"/>
      <c r="T1209" s="179"/>
      <c r="U1209" s="178"/>
      <c r="V1209" s="2168"/>
      <c r="W1209" s="2168"/>
      <c r="X1209" s="470"/>
      <c r="Y1209" s="470"/>
      <c r="Z1209" s="471"/>
      <c r="AA1209" s="471"/>
      <c r="AB1209" s="466"/>
    </row>
    <row r="1210" spans="1:28" s="352" customFormat="1" ht="18" customHeight="1" x14ac:dyDescent="0.2">
      <c r="A1210" s="2166"/>
      <c r="B1210" s="177"/>
      <c r="C1210" s="177"/>
      <c r="D1210" s="2166"/>
      <c r="E1210" s="2166"/>
      <c r="F1210" s="2166"/>
      <c r="G1210" s="2166"/>
      <c r="H1210" s="2171"/>
      <c r="I1210" s="2168"/>
      <c r="J1210" s="178"/>
      <c r="K1210" s="2168"/>
      <c r="L1210" s="2166"/>
      <c r="M1210" s="2166"/>
      <c r="N1210" s="2166"/>
      <c r="O1210" s="2166"/>
      <c r="P1210" s="2171"/>
      <c r="Q1210" s="2167"/>
      <c r="R1210" s="437"/>
      <c r="S1210" s="2168"/>
      <c r="T1210" s="179"/>
      <c r="U1210" s="178"/>
      <c r="V1210" s="2168"/>
      <c r="W1210" s="2168"/>
      <c r="X1210" s="470"/>
      <c r="Y1210" s="470"/>
      <c r="Z1210" s="471"/>
      <c r="AA1210" s="471"/>
      <c r="AB1210" s="466"/>
    </row>
    <row r="1211" spans="1:28" s="352" customFormat="1" ht="18" customHeight="1" x14ac:dyDescent="0.2">
      <c r="A1211" s="2166"/>
      <c r="B1211" s="177"/>
      <c r="C1211" s="177"/>
      <c r="D1211" s="2166"/>
      <c r="E1211" s="2166"/>
      <c r="F1211" s="2166"/>
      <c r="G1211" s="2166"/>
      <c r="H1211" s="2171"/>
      <c r="I1211" s="2168"/>
      <c r="J1211" s="178"/>
      <c r="K1211" s="2168"/>
      <c r="L1211" s="2166"/>
      <c r="M1211" s="2166"/>
      <c r="N1211" s="2166"/>
      <c r="O1211" s="2166"/>
      <c r="P1211" s="2171"/>
      <c r="Q1211" s="2167"/>
      <c r="R1211" s="437"/>
      <c r="S1211" s="2168"/>
      <c r="T1211" s="179"/>
      <c r="U1211" s="178"/>
      <c r="V1211" s="2168"/>
      <c r="W1211" s="2168"/>
      <c r="X1211" s="470"/>
      <c r="Y1211" s="470"/>
      <c r="Z1211" s="471"/>
      <c r="AA1211" s="471"/>
      <c r="AB1211" s="466"/>
    </row>
    <row r="1212" spans="1:28" s="352" customFormat="1" ht="18" customHeight="1" x14ac:dyDescent="0.2">
      <c r="A1212" s="2166"/>
      <c r="B1212" s="177"/>
      <c r="C1212" s="177"/>
      <c r="D1212" s="2166"/>
      <c r="E1212" s="2166"/>
      <c r="F1212" s="2166"/>
      <c r="G1212" s="2166"/>
      <c r="H1212" s="2171"/>
      <c r="I1212" s="2168"/>
      <c r="J1212" s="178"/>
      <c r="K1212" s="2168"/>
      <c r="L1212" s="2166"/>
      <c r="M1212" s="2166"/>
      <c r="N1212" s="2166"/>
      <c r="O1212" s="2166"/>
      <c r="P1212" s="2171"/>
      <c r="Q1212" s="2167"/>
      <c r="R1212" s="437"/>
      <c r="S1212" s="2168"/>
      <c r="T1212" s="179"/>
      <c r="U1212" s="178"/>
      <c r="V1212" s="2168"/>
      <c r="W1212" s="2168"/>
      <c r="X1212" s="470"/>
      <c r="Y1212" s="470"/>
      <c r="Z1212" s="471"/>
      <c r="AA1212" s="471"/>
      <c r="AB1212" s="466"/>
    </row>
    <row r="1213" spans="1:28" s="352" customFormat="1" ht="18" customHeight="1" x14ac:dyDescent="0.2">
      <c r="A1213" s="2166"/>
      <c r="B1213" s="177"/>
      <c r="C1213" s="177"/>
      <c r="D1213" s="2166"/>
      <c r="E1213" s="2166"/>
      <c r="F1213" s="2166"/>
      <c r="G1213" s="2166"/>
      <c r="H1213" s="2171"/>
      <c r="I1213" s="2168"/>
      <c r="J1213" s="178"/>
      <c r="K1213" s="2168"/>
      <c r="L1213" s="2166"/>
      <c r="M1213" s="2166"/>
      <c r="N1213" s="2166"/>
      <c r="O1213" s="2166"/>
      <c r="P1213" s="2171"/>
      <c r="Q1213" s="2167"/>
      <c r="R1213" s="437"/>
      <c r="S1213" s="2168"/>
      <c r="T1213" s="179"/>
      <c r="U1213" s="178"/>
      <c r="V1213" s="2168"/>
      <c r="W1213" s="2168"/>
      <c r="X1213" s="470"/>
      <c r="Y1213" s="470"/>
      <c r="Z1213" s="471"/>
      <c r="AA1213" s="471"/>
      <c r="AB1213" s="466"/>
    </row>
    <row r="1214" spans="1:28" s="352" customFormat="1" ht="18" customHeight="1" x14ac:dyDescent="0.2">
      <c r="A1214" s="2166"/>
      <c r="B1214" s="177"/>
      <c r="C1214" s="177"/>
      <c r="D1214" s="2166"/>
      <c r="E1214" s="2166"/>
      <c r="F1214" s="2166"/>
      <c r="G1214" s="2166"/>
      <c r="H1214" s="2171"/>
      <c r="I1214" s="2168"/>
      <c r="J1214" s="178"/>
      <c r="K1214" s="2168"/>
      <c r="L1214" s="2166"/>
      <c r="M1214" s="2166"/>
      <c r="N1214" s="2166"/>
      <c r="O1214" s="2166"/>
      <c r="P1214" s="2171"/>
      <c r="Q1214" s="2167"/>
      <c r="R1214" s="437"/>
      <c r="S1214" s="2168"/>
      <c r="T1214" s="179"/>
      <c r="U1214" s="178"/>
      <c r="V1214" s="2168"/>
      <c r="W1214" s="2168"/>
      <c r="X1214" s="470"/>
      <c r="Y1214" s="470"/>
      <c r="Z1214" s="471"/>
      <c r="AA1214" s="471"/>
      <c r="AB1214" s="466"/>
    </row>
    <row r="1215" spans="1:28" s="352" customFormat="1" ht="18" customHeight="1" x14ac:dyDescent="0.2">
      <c r="A1215" s="88"/>
      <c r="B1215" s="180"/>
      <c r="C1215" s="180"/>
      <c r="D1215" s="88"/>
      <c r="E1215" s="88"/>
      <c r="F1215" s="88"/>
      <c r="G1215" s="88"/>
      <c r="H1215" s="120"/>
      <c r="I1215" s="121"/>
      <c r="J1215" s="181"/>
      <c r="K1215" s="121"/>
      <c r="L1215" s="88"/>
      <c r="M1215" s="88"/>
      <c r="N1215" s="88"/>
      <c r="O1215" s="88"/>
      <c r="P1215" s="88"/>
      <c r="Q1215" s="129"/>
      <c r="R1215" s="445"/>
      <c r="S1215" s="121"/>
      <c r="T1215" s="182"/>
      <c r="U1215" s="181"/>
      <c r="V1215" s="121"/>
      <c r="W1215" s="121"/>
      <c r="X1215" s="472"/>
      <c r="Y1215" s="472"/>
      <c r="Z1215" s="473"/>
      <c r="AA1215" s="473"/>
      <c r="AB1215" s="410"/>
    </row>
    <row r="1216" spans="1:28" s="352" customFormat="1" ht="18" customHeight="1" x14ac:dyDescent="0.2">
      <c r="A1216" s="1850"/>
      <c r="B1216" s="1850"/>
      <c r="C1216" s="1850"/>
      <c r="D1216" s="1850"/>
      <c r="E1216" s="1850"/>
      <c r="F1216" s="1850"/>
      <c r="G1216" s="1850"/>
      <c r="H1216" s="1851"/>
      <c r="I1216" s="1852"/>
      <c r="J1216" s="1853"/>
      <c r="K1216" s="1852"/>
      <c r="L1216" s="1852"/>
      <c r="M1216" s="1852"/>
      <c r="N1216" s="1852"/>
      <c r="O1216" s="1852"/>
      <c r="P1216" s="1852"/>
      <c r="Q1216" s="1852"/>
      <c r="R1216" s="1854"/>
      <c r="S1216" s="1852"/>
      <c r="T1216" s="1855"/>
      <c r="U1216" s="1853"/>
      <c r="V1216" s="1852"/>
      <c r="W1216" s="1852"/>
      <c r="X1216" s="1856"/>
      <c r="Y1216" s="1856"/>
      <c r="Z1216" s="1857"/>
      <c r="AA1216" s="1857"/>
      <c r="AB1216" s="1847">
        <f>SUM(AB1202:AB1215)</f>
        <v>7560</v>
      </c>
    </row>
    <row r="1217" spans="1:28" s="352" customFormat="1" ht="18" customHeight="1" x14ac:dyDescent="0.2">
      <c r="A1217" s="2778" t="s">
        <v>76</v>
      </c>
      <c r="B1217" s="2778"/>
      <c r="C1217" s="2779" t="s">
        <v>77</v>
      </c>
      <c r="D1217" s="2779"/>
      <c r="E1217" s="2779"/>
      <c r="F1217" s="2779"/>
      <c r="G1217" s="2779"/>
      <c r="H1217" s="2779"/>
      <c r="I1217" s="424" t="s">
        <v>78</v>
      </c>
      <c r="J1217" s="424"/>
      <c r="K1217" s="424"/>
      <c r="L1217" s="424"/>
      <c r="M1217" s="424"/>
      <c r="N1217" s="424"/>
      <c r="AB1217" s="425"/>
    </row>
    <row r="1218" spans="1:28" s="352" customFormat="1" ht="18" customHeight="1" x14ac:dyDescent="0.2">
      <c r="A1218" s="424"/>
      <c r="B1218" s="426"/>
      <c r="C1218" s="424"/>
      <c r="D1218" s="424"/>
      <c r="E1218" s="424"/>
      <c r="F1218" s="424"/>
      <c r="G1218" s="424"/>
      <c r="H1218" s="424"/>
      <c r="I1218" s="424" t="s">
        <v>79</v>
      </c>
      <c r="J1218" s="424"/>
      <c r="K1218" s="424"/>
      <c r="L1218" s="424"/>
      <c r="M1218" s="424"/>
      <c r="N1218" s="424"/>
      <c r="AB1218" s="425"/>
    </row>
    <row r="1219" spans="1:28" s="352" customFormat="1" ht="18" customHeight="1" x14ac:dyDescent="0.2">
      <c r="A1219" s="424"/>
      <c r="B1219" s="426"/>
      <c r="C1219" s="424"/>
      <c r="D1219" s="424"/>
      <c r="E1219" s="424"/>
      <c r="F1219" s="424"/>
      <c r="G1219" s="424"/>
      <c r="H1219" s="424"/>
      <c r="I1219" s="424" t="s">
        <v>80</v>
      </c>
      <c r="J1219" s="424"/>
      <c r="K1219" s="424"/>
      <c r="L1219" s="424"/>
      <c r="M1219" s="424"/>
      <c r="N1219" s="424"/>
      <c r="AB1219" s="425"/>
    </row>
    <row r="1220" spans="1:28" s="352" customFormat="1" ht="18" customHeight="1" x14ac:dyDescent="0.2">
      <c r="A1220" s="424"/>
      <c r="B1220" s="426"/>
      <c r="C1220" s="424"/>
      <c r="D1220" s="424"/>
      <c r="E1220" s="424"/>
      <c r="F1220" s="424"/>
      <c r="G1220" s="424"/>
      <c r="H1220" s="424"/>
      <c r="I1220" s="424" t="s">
        <v>81</v>
      </c>
      <c r="J1220" s="424"/>
      <c r="K1220" s="424"/>
      <c r="L1220" s="424"/>
      <c r="M1220" s="424"/>
      <c r="N1220" s="424"/>
      <c r="AB1220" s="425"/>
    </row>
    <row r="1221" spans="1:28" s="352" customFormat="1" ht="18" customHeight="1" x14ac:dyDescent="0.2">
      <c r="A1221" s="424"/>
      <c r="B1221" s="426"/>
      <c r="C1221" s="424"/>
      <c r="D1221" s="424"/>
      <c r="E1221" s="424"/>
      <c r="F1221" s="424"/>
      <c r="G1221" s="424"/>
      <c r="H1221" s="424"/>
      <c r="I1221" s="424" t="s">
        <v>88</v>
      </c>
      <c r="J1221" s="424"/>
      <c r="K1221" s="424"/>
      <c r="L1221" s="424"/>
      <c r="M1221" s="424"/>
      <c r="N1221" s="424"/>
      <c r="AB1221" s="425"/>
    </row>
    <row r="1222" spans="1:28" s="352" customFormat="1" ht="18" customHeight="1" x14ac:dyDescent="0.2">
      <c r="A1222" s="338"/>
      <c r="B1222" s="338"/>
      <c r="C1222" s="338"/>
      <c r="D1222" s="338"/>
      <c r="E1222" s="338"/>
      <c r="F1222" s="338"/>
      <c r="G1222" s="338"/>
      <c r="H1222" s="338"/>
      <c r="I1222" s="338"/>
      <c r="J1222" s="338"/>
      <c r="K1222" s="338"/>
      <c r="L1222" s="338"/>
      <c r="M1222" s="338"/>
      <c r="N1222" s="338"/>
      <c r="O1222" s="338"/>
      <c r="P1222" s="338"/>
      <c r="Q1222" s="338"/>
      <c r="R1222" s="338"/>
      <c r="S1222" s="338"/>
      <c r="T1222" s="338"/>
      <c r="U1222" s="338"/>
      <c r="V1222" s="338"/>
      <c r="W1222" s="338"/>
      <c r="X1222" s="338"/>
      <c r="Y1222" s="338"/>
      <c r="Z1222" s="338"/>
      <c r="AA1222" s="2774" t="s">
        <v>0</v>
      </c>
      <c r="AB1222" s="2774"/>
    </row>
    <row r="1223" spans="1:28" s="352" customFormat="1" ht="18" customHeight="1" x14ac:dyDescent="0.2">
      <c r="A1223" s="2703" t="s">
        <v>1</v>
      </c>
      <c r="B1223" s="2703"/>
      <c r="C1223" s="2703"/>
      <c r="D1223" s="2703"/>
      <c r="E1223" s="2703"/>
      <c r="F1223" s="2703"/>
      <c r="G1223" s="2703"/>
      <c r="H1223" s="2703"/>
      <c r="I1223" s="2703"/>
      <c r="J1223" s="2703"/>
      <c r="K1223" s="2703"/>
      <c r="L1223" s="2703"/>
      <c r="M1223" s="2703"/>
      <c r="N1223" s="2703"/>
      <c r="O1223" s="2703"/>
      <c r="P1223" s="2703"/>
      <c r="Q1223" s="2703"/>
      <c r="R1223" s="2703"/>
      <c r="S1223" s="2703"/>
      <c r="T1223" s="2703"/>
      <c r="U1223" s="2703"/>
      <c r="V1223" s="2703"/>
      <c r="W1223" s="2703"/>
      <c r="X1223" s="2703"/>
      <c r="Y1223" s="2703"/>
      <c r="Z1223" s="2703"/>
      <c r="AA1223" s="2703"/>
      <c r="AB1223" s="2703"/>
    </row>
    <row r="1224" spans="1:28" s="352" customFormat="1" ht="18" customHeight="1" x14ac:dyDescent="0.2">
      <c r="A1224" s="2780" t="s">
        <v>640</v>
      </c>
      <c r="B1224" s="2780"/>
      <c r="C1224" s="2780"/>
      <c r="D1224" s="2780"/>
      <c r="E1224" s="2780"/>
      <c r="F1224" s="2780"/>
      <c r="G1224" s="2780"/>
      <c r="H1224" s="2780"/>
      <c r="I1224" s="2780"/>
      <c r="J1224" s="2780"/>
      <c r="K1224" s="2780"/>
      <c r="L1224" s="2780"/>
      <c r="M1224" s="2780"/>
      <c r="N1224" s="2780"/>
      <c r="O1224" s="2780"/>
      <c r="P1224" s="2780"/>
      <c r="Q1224" s="2780"/>
      <c r="R1224" s="2780"/>
      <c r="S1224" s="2780"/>
      <c r="T1224" s="2780"/>
      <c r="U1224" s="2780"/>
      <c r="V1224" s="2780"/>
      <c r="W1224" s="2780"/>
      <c r="X1224" s="2780"/>
      <c r="Y1224" s="2780"/>
      <c r="Z1224" s="2780"/>
      <c r="AA1224" s="2780"/>
      <c r="AB1224" s="2780"/>
    </row>
    <row r="1225" spans="1:28" s="352" customFormat="1" ht="18" customHeight="1" x14ac:dyDescent="0.2">
      <c r="A1225" s="2686" t="s">
        <v>2</v>
      </c>
      <c r="B1225" s="360"/>
      <c r="C1225" s="2686" t="s">
        <v>3</v>
      </c>
      <c r="D1225" s="360"/>
      <c r="E1225" s="360"/>
      <c r="F1225" s="2693" t="s">
        <v>4</v>
      </c>
      <c r="G1225" s="2693"/>
      <c r="H1225" s="2693"/>
      <c r="I1225" s="2694"/>
      <c r="J1225" s="2694"/>
      <c r="K1225" s="2695"/>
      <c r="L1225" s="361"/>
      <c r="M1225" s="2679" t="s">
        <v>5</v>
      </c>
      <c r="N1225" s="2679"/>
      <c r="O1225" s="2679"/>
      <c r="P1225" s="2679"/>
      <c r="Q1225" s="2696"/>
      <c r="R1225" s="2696"/>
      <c r="S1225" s="2696"/>
      <c r="T1225" s="2696"/>
      <c r="U1225" s="2696"/>
      <c r="V1225" s="2697"/>
      <c r="W1225" s="362" t="s">
        <v>6</v>
      </c>
      <c r="X1225" s="363" t="s">
        <v>7</v>
      </c>
      <c r="Y1225" s="364"/>
      <c r="Z1225" s="364"/>
      <c r="AA1225" s="363"/>
      <c r="AB1225" s="365"/>
    </row>
    <row r="1226" spans="1:28" s="352" customFormat="1" ht="18" customHeight="1" x14ac:dyDescent="0.2">
      <c r="A1226" s="2687"/>
      <c r="B1226" s="367"/>
      <c r="C1226" s="2687"/>
      <c r="D1226" s="2158" t="s">
        <v>9</v>
      </c>
      <c r="E1226" s="368" t="s">
        <v>10</v>
      </c>
      <c r="F1226" s="2698" t="s">
        <v>11</v>
      </c>
      <c r="G1226" s="2694"/>
      <c r="H1226" s="2695"/>
      <c r="I1226" s="360"/>
      <c r="J1226" s="369" t="s">
        <v>12</v>
      </c>
      <c r="K1226" s="360"/>
      <c r="L1226" s="2679" t="s">
        <v>2</v>
      </c>
      <c r="M1226" s="2162"/>
      <c r="N1226" s="2162"/>
      <c r="O1226" s="2162"/>
      <c r="P1226" s="371"/>
      <c r="Q1226" s="372" t="s">
        <v>13</v>
      </c>
      <c r="R1226" s="373" t="s">
        <v>12</v>
      </c>
      <c r="S1226" s="2162" t="s">
        <v>6</v>
      </c>
      <c r="T1226" s="2682" t="s">
        <v>14</v>
      </c>
      <c r="U1226" s="2683"/>
      <c r="V1226" s="375" t="s">
        <v>7</v>
      </c>
      <c r="W1226" s="376" t="s">
        <v>15</v>
      </c>
      <c r="X1226" s="377" t="s">
        <v>16</v>
      </c>
      <c r="Y1226" s="377" t="s">
        <v>17</v>
      </c>
      <c r="Z1226" s="377" t="s">
        <v>18</v>
      </c>
      <c r="AA1226" s="377"/>
      <c r="AB1226" s="378" t="s">
        <v>19</v>
      </c>
    </row>
    <row r="1227" spans="1:28" s="352" customFormat="1" ht="18" customHeight="1" x14ac:dyDescent="0.2">
      <c r="A1227" s="2687"/>
      <c r="B1227" s="2158" t="s">
        <v>23</v>
      </c>
      <c r="C1227" s="2687"/>
      <c r="D1227" s="2158" t="s">
        <v>24</v>
      </c>
      <c r="E1227" s="368" t="s">
        <v>25</v>
      </c>
      <c r="F1227" s="2699"/>
      <c r="G1227" s="2700"/>
      <c r="H1227" s="2701"/>
      <c r="I1227" s="2158" t="s">
        <v>26</v>
      </c>
      <c r="J1227" s="379" t="s">
        <v>15</v>
      </c>
      <c r="K1227" s="2159" t="s">
        <v>6</v>
      </c>
      <c r="L1227" s="2680"/>
      <c r="M1227" s="2163" t="s">
        <v>27</v>
      </c>
      <c r="N1227" s="2163" t="s">
        <v>10</v>
      </c>
      <c r="O1227" s="382" t="s">
        <v>10</v>
      </c>
      <c r="P1227" s="383" t="s">
        <v>28</v>
      </c>
      <c r="Q1227" s="384" t="s">
        <v>29</v>
      </c>
      <c r="R1227" s="383" t="s">
        <v>15</v>
      </c>
      <c r="S1227" s="385" t="s">
        <v>15</v>
      </c>
      <c r="T1227" s="2684"/>
      <c r="U1227" s="2685"/>
      <c r="V1227" s="375" t="s">
        <v>30</v>
      </c>
      <c r="W1227" s="376" t="s">
        <v>31</v>
      </c>
      <c r="X1227" s="377" t="s">
        <v>30</v>
      </c>
      <c r="Y1227" s="377" t="s">
        <v>32</v>
      </c>
      <c r="Z1227" s="377" t="s">
        <v>7</v>
      </c>
      <c r="AA1227" s="377" t="s">
        <v>33</v>
      </c>
      <c r="AB1227" s="378" t="s">
        <v>34</v>
      </c>
    </row>
    <row r="1228" spans="1:28" s="352" customFormat="1" ht="18" customHeight="1" x14ac:dyDescent="0.2">
      <c r="A1228" s="2687"/>
      <c r="B1228" s="2158" t="s">
        <v>39</v>
      </c>
      <c r="C1228" s="2687"/>
      <c r="D1228" s="2158" t="s">
        <v>40</v>
      </c>
      <c r="E1228" s="368" t="s">
        <v>41</v>
      </c>
      <c r="F1228" s="2686" t="s">
        <v>42</v>
      </c>
      <c r="G1228" s="2686" t="s">
        <v>43</v>
      </c>
      <c r="H1228" s="2688" t="s">
        <v>44</v>
      </c>
      <c r="I1228" s="2158" t="s">
        <v>45</v>
      </c>
      <c r="J1228" s="379" t="s">
        <v>46</v>
      </c>
      <c r="K1228" s="2159" t="s">
        <v>47</v>
      </c>
      <c r="L1228" s="2680"/>
      <c r="M1228" s="2163" t="s">
        <v>30</v>
      </c>
      <c r="N1228" s="2163" t="s">
        <v>30</v>
      </c>
      <c r="O1228" s="382" t="s">
        <v>25</v>
      </c>
      <c r="P1228" s="383" t="s">
        <v>30</v>
      </c>
      <c r="Q1228" s="384" t="s">
        <v>48</v>
      </c>
      <c r="R1228" s="383" t="s">
        <v>49</v>
      </c>
      <c r="S1228" s="385" t="s">
        <v>30</v>
      </c>
      <c r="T1228" s="386" t="s">
        <v>50</v>
      </c>
      <c r="U1228" s="2161" t="s">
        <v>13</v>
      </c>
      <c r="V1228" s="375" t="s">
        <v>51</v>
      </c>
      <c r="W1228" s="376" t="s">
        <v>52</v>
      </c>
      <c r="X1228" s="377" t="s">
        <v>53</v>
      </c>
      <c r="Y1228" s="377" t="s">
        <v>54</v>
      </c>
      <c r="Z1228" s="377" t="s">
        <v>55</v>
      </c>
      <c r="AA1228" s="377" t="s">
        <v>56</v>
      </c>
      <c r="AB1228" s="378" t="s">
        <v>57</v>
      </c>
    </row>
    <row r="1229" spans="1:28" s="352" customFormat="1" ht="18" customHeight="1" x14ac:dyDescent="0.2">
      <c r="A1229" s="2687"/>
      <c r="B1229" s="2158" t="s">
        <v>61</v>
      </c>
      <c r="C1229" s="2687"/>
      <c r="D1229" s="2158" t="s">
        <v>62</v>
      </c>
      <c r="E1229" s="368" t="s">
        <v>63</v>
      </c>
      <c r="F1229" s="2687"/>
      <c r="G1229" s="2687"/>
      <c r="H1229" s="2689"/>
      <c r="I1229" s="2158" t="s">
        <v>64</v>
      </c>
      <c r="J1229" s="379" t="s">
        <v>59</v>
      </c>
      <c r="K1229" s="2159" t="s">
        <v>59</v>
      </c>
      <c r="L1229" s="2680"/>
      <c r="M1229" s="2163"/>
      <c r="N1229" s="2163"/>
      <c r="O1229" s="382" t="s">
        <v>41</v>
      </c>
      <c r="P1229" s="383" t="s">
        <v>65</v>
      </c>
      <c r="Q1229" s="384" t="s">
        <v>66</v>
      </c>
      <c r="R1229" s="383" t="s">
        <v>67</v>
      </c>
      <c r="S1229" s="385" t="s">
        <v>59</v>
      </c>
      <c r="T1229" s="387" t="s">
        <v>68</v>
      </c>
      <c r="U1229" s="375" t="s">
        <v>14</v>
      </c>
      <c r="V1229" s="375" t="s">
        <v>14</v>
      </c>
      <c r="W1229" s="376" t="s">
        <v>30</v>
      </c>
      <c r="X1229" s="388" t="s">
        <v>69</v>
      </c>
      <c r="Y1229" s="388" t="s">
        <v>70</v>
      </c>
      <c r="Z1229" s="377" t="s">
        <v>71</v>
      </c>
      <c r="AA1229" s="377" t="s">
        <v>72</v>
      </c>
      <c r="AB1229" s="378" t="s">
        <v>59</v>
      </c>
    </row>
    <row r="1230" spans="1:28" s="352" customFormat="1" ht="18" customHeight="1" x14ac:dyDescent="0.2">
      <c r="A1230" s="2692"/>
      <c r="B1230" s="390"/>
      <c r="C1230" s="2692"/>
      <c r="D1230" s="390"/>
      <c r="E1230" s="2160"/>
      <c r="F1230" s="390"/>
      <c r="G1230" s="390"/>
      <c r="H1230" s="391"/>
      <c r="I1230" s="2160"/>
      <c r="J1230" s="392"/>
      <c r="K1230" s="393"/>
      <c r="L1230" s="2681"/>
      <c r="M1230" s="2164"/>
      <c r="N1230" s="2164"/>
      <c r="O1230" s="2164" t="s">
        <v>63</v>
      </c>
      <c r="P1230" s="395"/>
      <c r="Q1230" s="396" t="s">
        <v>72</v>
      </c>
      <c r="R1230" s="397" t="s">
        <v>59</v>
      </c>
      <c r="S1230" s="398"/>
      <c r="T1230" s="397" t="s">
        <v>73</v>
      </c>
      <c r="U1230" s="398" t="s">
        <v>59</v>
      </c>
      <c r="V1230" s="399" t="s">
        <v>59</v>
      </c>
      <c r="W1230" s="400" t="s">
        <v>59</v>
      </c>
      <c r="X1230" s="401" t="s">
        <v>59</v>
      </c>
      <c r="Y1230" s="401" t="s">
        <v>59</v>
      </c>
      <c r="Z1230" s="401" t="s">
        <v>59</v>
      </c>
      <c r="AA1230" s="402"/>
      <c r="AB1230" s="403"/>
    </row>
    <row r="1231" spans="1:28" s="352" customFormat="1" ht="18" customHeight="1" x14ac:dyDescent="0.2">
      <c r="A1231" s="53">
        <v>1</v>
      </c>
      <c r="B1231" s="41">
        <v>27725</v>
      </c>
      <c r="C1231" s="41">
        <v>768</v>
      </c>
      <c r="D1231" s="41" t="s">
        <v>107</v>
      </c>
      <c r="E1231" s="41">
        <v>4</v>
      </c>
      <c r="F1231" s="41">
        <v>0</v>
      </c>
      <c r="G1231" s="41">
        <v>1</v>
      </c>
      <c r="H1231" s="267">
        <v>15</v>
      </c>
      <c r="I1231" s="302">
        <f>F1231*400+G1231*100+H1231</f>
        <v>115</v>
      </c>
      <c r="J1231" s="310">
        <v>3000</v>
      </c>
      <c r="K1231" s="311">
        <f>SUM(I1231*J1231)</f>
        <v>345000</v>
      </c>
      <c r="L1231" s="16"/>
      <c r="M1231" s="82"/>
      <c r="N1231" s="41"/>
      <c r="O1231" s="16">
        <v>4</v>
      </c>
      <c r="P1231" s="404"/>
      <c r="Q1231" s="14"/>
      <c r="R1231" s="302"/>
      <c r="S1231" s="302"/>
      <c r="T1231" s="41"/>
      <c r="U1231" s="302"/>
      <c r="V1231" s="302"/>
      <c r="W1231" s="302">
        <f>K1231+V1231</f>
        <v>345000</v>
      </c>
      <c r="X1231" s="302">
        <f>W1231</f>
        <v>345000</v>
      </c>
      <c r="Y1231" s="310"/>
      <c r="Z1231" s="310">
        <f>+X1231</f>
        <v>345000</v>
      </c>
      <c r="AA1231" s="405">
        <v>0.6</v>
      </c>
      <c r="AB1231" s="465">
        <f>+Z1231*AA1231/100</f>
        <v>2070</v>
      </c>
    </row>
    <row r="1232" spans="1:28" s="352" customFormat="1" ht="18" customHeight="1" x14ac:dyDescent="0.2">
      <c r="A1232" s="61"/>
      <c r="B1232" s="2166"/>
      <c r="C1232" s="2166"/>
      <c r="D1232" s="2166"/>
      <c r="E1232" s="2166"/>
      <c r="F1232" s="2166"/>
      <c r="G1232" s="2166"/>
      <c r="H1232" s="407"/>
      <c r="I1232" s="77"/>
      <c r="J1232" s="2168"/>
      <c r="K1232" s="78"/>
      <c r="L1232" s="61"/>
      <c r="M1232" s="2166"/>
      <c r="N1232" s="2166"/>
      <c r="O1232" s="61"/>
      <c r="P1232" s="177"/>
      <c r="Q1232" s="196"/>
      <c r="R1232" s="408"/>
      <c r="S1232" s="77"/>
      <c r="T1232" s="2166"/>
      <c r="U1232" s="77"/>
      <c r="V1232" s="77"/>
      <c r="W1232" s="77"/>
      <c r="X1232" s="77"/>
      <c r="Y1232" s="2168"/>
      <c r="Z1232" s="77"/>
      <c r="AA1232" s="2170"/>
      <c r="AB1232" s="416"/>
    </row>
    <row r="1233" spans="1:28" s="352" customFormat="1" ht="18" customHeight="1" x14ac:dyDescent="0.2">
      <c r="A1233" s="75"/>
      <c r="B1233" s="2166"/>
      <c r="C1233" s="2166"/>
      <c r="D1233" s="2166"/>
      <c r="E1233" s="2166"/>
      <c r="F1233" s="2166"/>
      <c r="G1233" s="2166"/>
      <c r="H1233" s="407"/>
      <c r="I1233" s="77"/>
      <c r="J1233" s="2168"/>
      <c r="K1233" s="78"/>
      <c r="L1233" s="61"/>
      <c r="M1233" s="2166"/>
      <c r="N1233" s="2166"/>
      <c r="O1233" s="61"/>
      <c r="P1233" s="177"/>
      <c r="Q1233" s="196"/>
      <c r="R1233" s="408"/>
      <c r="S1233" s="77"/>
      <c r="T1233" s="2166"/>
      <c r="U1233" s="77"/>
      <c r="V1233" s="77"/>
      <c r="W1233" s="77"/>
      <c r="X1233" s="77"/>
      <c r="Y1233" s="2168"/>
      <c r="Z1233" s="77"/>
      <c r="AA1233" s="2170"/>
      <c r="AB1233" s="410"/>
    </row>
    <row r="1234" spans="1:28" s="352" customFormat="1" ht="18" customHeight="1" x14ac:dyDescent="0.2">
      <c r="A1234" s="242"/>
      <c r="B1234" s="2166"/>
      <c r="C1234" s="2166"/>
      <c r="D1234" s="2166"/>
      <c r="E1234" s="2166"/>
      <c r="F1234" s="2166"/>
      <c r="G1234" s="2166"/>
      <c r="H1234" s="407"/>
      <c r="I1234" s="77"/>
      <c r="J1234" s="2168"/>
      <c r="K1234" s="78"/>
      <c r="L1234" s="61"/>
      <c r="M1234" s="2166"/>
      <c r="N1234" s="2166"/>
      <c r="O1234" s="61"/>
      <c r="P1234" s="177"/>
      <c r="Q1234" s="196"/>
      <c r="R1234" s="408"/>
      <c r="S1234" s="77"/>
      <c r="T1234" s="2166"/>
      <c r="U1234" s="77"/>
      <c r="V1234" s="77"/>
      <c r="W1234" s="77"/>
      <c r="X1234" s="77"/>
      <c r="Y1234" s="2168"/>
      <c r="Z1234" s="77"/>
      <c r="AA1234" s="2170"/>
      <c r="AB1234" s="410"/>
    </row>
    <row r="1235" spans="1:28" s="352" customFormat="1" ht="18" customHeight="1" x14ac:dyDescent="0.2">
      <c r="A1235" s="75"/>
      <c r="B1235" s="88"/>
      <c r="C1235" s="88"/>
      <c r="D1235" s="88"/>
      <c r="E1235" s="88"/>
      <c r="F1235" s="88"/>
      <c r="G1235" s="88"/>
      <c r="H1235" s="495"/>
      <c r="I1235" s="74"/>
      <c r="J1235" s="121"/>
      <c r="K1235" s="159"/>
      <c r="L1235" s="75"/>
      <c r="M1235" s="88"/>
      <c r="N1235" s="88"/>
      <c r="O1235" s="75"/>
      <c r="P1235" s="180"/>
      <c r="Q1235" s="174"/>
      <c r="R1235" s="413"/>
      <c r="S1235" s="74"/>
      <c r="T1235" s="88"/>
      <c r="U1235" s="74"/>
      <c r="V1235" s="74"/>
      <c r="W1235" s="74"/>
      <c r="X1235" s="74"/>
      <c r="Y1235" s="121"/>
      <c r="Z1235" s="74"/>
      <c r="AA1235" s="414"/>
      <c r="AB1235" s="416"/>
    </row>
    <row r="1236" spans="1:28" s="352" customFormat="1" ht="18" customHeight="1" x14ac:dyDescent="0.2">
      <c r="A1236" s="61"/>
      <c r="B1236" s="2166"/>
      <c r="C1236" s="2166"/>
      <c r="D1236" s="2166"/>
      <c r="E1236" s="2166"/>
      <c r="F1236" s="2166"/>
      <c r="G1236" s="2166"/>
      <c r="H1236" s="407"/>
      <c r="I1236" s="77"/>
      <c r="J1236" s="2168"/>
      <c r="K1236" s="78"/>
      <c r="L1236" s="61"/>
      <c r="M1236" s="2166"/>
      <c r="N1236" s="2166"/>
      <c r="O1236" s="61"/>
      <c r="P1236" s="177"/>
      <c r="Q1236" s="196"/>
      <c r="R1236" s="408"/>
      <c r="S1236" s="77"/>
      <c r="T1236" s="2166"/>
      <c r="U1236" s="77"/>
      <c r="V1236" s="77"/>
      <c r="W1236" s="77"/>
      <c r="X1236" s="77"/>
      <c r="Y1236" s="2168"/>
      <c r="Z1236" s="77"/>
      <c r="AA1236" s="2170"/>
      <c r="AB1236" s="410"/>
    </row>
    <row r="1237" spans="1:28" s="352" customFormat="1" ht="18" customHeight="1" x14ac:dyDescent="0.2">
      <c r="A1237" s="2166"/>
      <c r="B1237" s="177"/>
      <c r="C1237" s="177"/>
      <c r="D1237" s="2166"/>
      <c r="E1237" s="2166"/>
      <c r="F1237" s="2166"/>
      <c r="G1237" s="2166"/>
      <c r="H1237" s="2171"/>
      <c r="I1237" s="2168"/>
      <c r="J1237" s="178"/>
      <c r="K1237" s="2168"/>
      <c r="L1237" s="2166"/>
      <c r="M1237" s="2166"/>
      <c r="N1237" s="2166"/>
      <c r="O1237" s="2166"/>
      <c r="P1237" s="2171"/>
      <c r="Q1237" s="2167"/>
      <c r="R1237" s="437"/>
      <c r="S1237" s="2168"/>
      <c r="T1237" s="179"/>
      <c r="U1237" s="178"/>
      <c r="V1237" s="2168"/>
      <c r="W1237" s="2168"/>
      <c r="X1237" s="470"/>
      <c r="Y1237" s="470"/>
      <c r="Z1237" s="471"/>
      <c r="AA1237" s="471"/>
      <c r="AB1237" s="466"/>
    </row>
    <row r="1238" spans="1:28" s="352" customFormat="1" ht="18" customHeight="1" x14ac:dyDescent="0.2">
      <c r="A1238" s="2166"/>
      <c r="B1238" s="177"/>
      <c r="C1238" s="177"/>
      <c r="D1238" s="2166"/>
      <c r="E1238" s="2166"/>
      <c r="F1238" s="2166"/>
      <c r="G1238" s="2166"/>
      <c r="H1238" s="2171"/>
      <c r="I1238" s="2168"/>
      <c r="J1238" s="178"/>
      <c r="K1238" s="2168"/>
      <c r="L1238" s="2166"/>
      <c r="M1238" s="2166"/>
      <c r="N1238" s="2166"/>
      <c r="O1238" s="2166"/>
      <c r="P1238" s="2171"/>
      <c r="Q1238" s="2167"/>
      <c r="R1238" s="437"/>
      <c r="S1238" s="2168"/>
      <c r="T1238" s="179"/>
      <c r="U1238" s="178"/>
      <c r="V1238" s="2168"/>
      <c r="W1238" s="2168"/>
      <c r="X1238" s="470"/>
      <c r="Y1238" s="470"/>
      <c r="Z1238" s="471"/>
      <c r="AA1238" s="471"/>
      <c r="AB1238" s="466"/>
    </row>
    <row r="1239" spans="1:28" s="352" customFormat="1" ht="18" customHeight="1" x14ac:dyDescent="0.2">
      <c r="A1239" s="2166"/>
      <c r="B1239" s="177"/>
      <c r="C1239" s="177"/>
      <c r="D1239" s="2166"/>
      <c r="E1239" s="2166"/>
      <c r="F1239" s="2166"/>
      <c r="G1239" s="2166"/>
      <c r="H1239" s="2171"/>
      <c r="I1239" s="2168"/>
      <c r="J1239" s="178"/>
      <c r="K1239" s="2168"/>
      <c r="L1239" s="2166"/>
      <c r="M1239" s="2166"/>
      <c r="N1239" s="2166"/>
      <c r="O1239" s="2166"/>
      <c r="P1239" s="2171"/>
      <c r="Q1239" s="2167"/>
      <c r="R1239" s="437"/>
      <c r="S1239" s="2168"/>
      <c r="T1239" s="179"/>
      <c r="U1239" s="178"/>
      <c r="V1239" s="2168"/>
      <c r="W1239" s="2168"/>
      <c r="X1239" s="470"/>
      <c r="Y1239" s="470"/>
      <c r="Z1239" s="471"/>
      <c r="AA1239" s="471"/>
      <c r="AB1239" s="466"/>
    </row>
    <row r="1240" spans="1:28" s="352" customFormat="1" ht="18" customHeight="1" x14ac:dyDescent="0.2">
      <c r="A1240" s="2166"/>
      <c r="B1240" s="177"/>
      <c r="C1240" s="177"/>
      <c r="D1240" s="2166"/>
      <c r="E1240" s="2166"/>
      <c r="F1240" s="2166"/>
      <c r="G1240" s="2166"/>
      <c r="H1240" s="2171"/>
      <c r="I1240" s="2168"/>
      <c r="J1240" s="178"/>
      <c r="K1240" s="2168"/>
      <c r="L1240" s="2166"/>
      <c r="M1240" s="2166"/>
      <c r="N1240" s="2166"/>
      <c r="O1240" s="2166"/>
      <c r="P1240" s="2171"/>
      <c r="Q1240" s="2167"/>
      <c r="R1240" s="437"/>
      <c r="S1240" s="2168"/>
      <c r="T1240" s="179"/>
      <c r="U1240" s="178"/>
      <c r="V1240" s="2168"/>
      <c r="W1240" s="2168"/>
      <c r="X1240" s="470"/>
      <c r="Y1240" s="470"/>
      <c r="Z1240" s="471"/>
      <c r="AA1240" s="471"/>
      <c r="AB1240" s="466"/>
    </row>
    <row r="1241" spans="1:28" s="352" customFormat="1" ht="18" customHeight="1" x14ac:dyDescent="0.2">
      <c r="A1241" s="2166"/>
      <c r="B1241" s="177"/>
      <c r="C1241" s="177"/>
      <c r="D1241" s="2166"/>
      <c r="E1241" s="2166"/>
      <c r="F1241" s="2166"/>
      <c r="G1241" s="2166"/>
      <c r="H1241" s="2171"/>
      <c r="I1241" s="2168"/>
      <c r="J1241" s="178"/>
      <c r="K1241" s="2168"/>
      <c r="L1241" s="2166"/>
      <c r="M1241" s="2166"/>
      <c r="N1241" s="2166"/>
      <c r="O1241" s="2166"/>
      <c r="P1241" s="2171"/>
      <c r="Q1241" s="2167"/>
      <c r="R1241" s="437"/>
      <c r="S1241" s="2168"/>
      <c r="T1241" s="179"/>
      <c r="U1241" s="178"/>
      <c r="V1241" s="2168"/>
      <c r="W1241" s="2168"/>
      <c r="X1241" s="470"/>
      <c r="Y1241" s="470"/>
      <c r="Z1241" s="471"/>
      <c r="AA1241" s="471"/>
      <c r="AB1241" s="466"/>
    </row>
    <row r="1242" spans="1:28" s="352" customFormat="1" ht="18" customHeight="1" x14ac:dyDescent="0.2">
      <c r="A1242" s="2166"/>
      <c r="B1242" s="177"/>
      <c r="C1242" s="177"/>
      <c r="D1242" s="2166"/>
      <c r="E1242" s="2166"/>
      <c r="F1242" s="2166"/>
      <c r="G1242" s="2166"/>
      <c r="H1242" s="2171"/>
      <c r="I1242" s="2168"/>
      <c r="J1242" s="178"/>
      <c r="K1242" s="2168"/>
      <c r="L1242" s="2166"/>
      <c r="M1242" s="2166"/>
      <c r="N1242" s="2166"/>
      <c r="O1242" s="2166"/>
      <c r="P1242" s="2171"/>
      <c r="Q1242" s="2167"/>
      <c r="R1242" s="437"/>
      <c r="S1242" s="2168"/>
      <c r="T1242" s="179"/>
      <c r="U1242" s="178"/>
      <c r="V1242" s="2168"/>
      <c r="W1242" s="2168"/>
      <c r="X1242" s="470"/>
      <c r="Y1242" s="470"/>
      <c r="Z1242" s="471"/>
      <c r="AA1242" s="471"/>
      <c r="AB1242" s="466"/>
    </row>
    <row r="1243" spans="1:28" s="352" customFormat="1" ht="18" customHeight="1" x14ac:dyDescent="0.2">
      <c r="A1243" s="2166"/>
      <c r="B1243" s="177"/>
      <c r="C1243" s="177"/>
      <c r="D1243" s="2166"/>
      <c r="E1243" s="2166"/>
      <c r="F1243" s="2166"/>
      <c r="G1243" s="2166"/>
      <c r="H1243" s="2171"/>
      <c r="I1243" s="2168"/>
      <c r="J1243" s="178"/>
      <c r="K1243" s="2168"/>
      <c r="L1243" s="2166"/>
      <c r="M1243" s="2166"/>
      <c r="N1243" s="2166"/>
      <c r="O1243" s="2166"/>
      <c r="P1243" s="2171"/>
      <c r="Q1243" s="2167"/>
      <c r="R1243" s="437"/>
      <c r="S1243" s="2168"/>
      <c r="T1243" s="179"/>
      <c r="U1243" s="178"/>
      <c r="V1243" s="2168"/>
      <c r="W1243" s="2168"/>
      <c r="X1243" s="470"/>
      <c r="Y1243" s="470"/>
      <c r="Z1243" s="471"/>
      <c r="AA1243" s="471"/>
      <c r="AB1243" s="466"/>
    </row>
    <row r="1244" spans="1:28" s="352" customFormat="1" ht="18" customHeight="1" x14ac:dyDescent="0.2">
      <c r="A1244" s="88"/>
      <c r="B1244" s="180"/>
      <c r="C1244" s="180"/>
      <c r="D1244" s="88"/>
      <c r="E1244" s="88"/>
      <c r="F1244" s="88"/>
      <c r="G1244" s="88"/>
      <c r="H1244" s="120"/>
      <c r="I1244" s="121"/>
      <c r="J1244" s="181"/>
      <c r="K1244" s="121"/>
      <c r="L1244" s="88"/>
      <c r="M1244" s="88"/>
      <c r="N1244" s="88"/>
      <c r="O1244" s="88"/>
      <c r="P1244" s="88"/>
      <c r="Q1244" s="129"/>
      <c r="R1244" s="445"/>
      <c r="S1244" s="121"/>
      <c r="T1244" s="182"/>
      <c r="U1244" s="181"/>
      <c r="V1244" s="121"/>
      <c r="W1244" s="121"/>
      <c r="X1244" s="472"/>
      <c r="Y1244" s="472"/>
      <c r="Z1244" s="473"/>
      <c r="AA1244" s="473"/>
      <c r="AB1244" s="410"/>
    </row>
    <row r="1245" spans="1:28" s="352" customFormat="1" ht="18" customHeight="1" x14ac:dyDescent="0.2">
      <c r="A1245" s="1850"/>
      <c r="B1245" s="1850"/>
      <c r="C1245" s="1850"/>
      <c r="D1245" s="1850"/>
      <c r="E1245" s="1850"/>
      <c r="F1245" s="1850"/>
      <c r="G1245" s="1850"/>
      <c r="H1245" s="1851"/>
      <c r="I1245" s="1852"/>
      <c r="J1245" s="1853"/>
      <c r="K1245" s="1852"/>
      <c r="L1245" s="1852"/>
      <c r="M1245" s="1852"/>
      <c r="N1245" s="1852"/>
      <c r="O1245" s="1852"/>
      <c r="P1245" s="1852"/>
      <c r="Q1245" s="1852"/>
      <c r="R1245" s="1854"/>
      <c r="S1245" s="1852"/>
      <c r="T1245" s="1855"/>
      <c r="U1245" s="1853"/>
      <c r="V1245" s="1852"/>
      <c r="W1245" s="1852"/>
      <c r="X1245" s="1856"/>
      <c r="Y1245" s="1856"/>
      <c r="Z1245" s="1857"/>
      <c r="AA1245" s="1857"/>
      <c r="AB1245" s="1847">
        <f>SUM(AB1231:AB1244)</f>
        <v>2070</v>
      </c>
    </row>
    <row r="1246" spans="1:28" s="352" customFormat="1" ht="18" customHeight="1" x14ac:dyDescent="0.2">
      <c r="A1246" s="2778" t="s">
        <v>76</v>
      </c>
      <c r="B1246" s="2778"/>
      <c r="C1246" s="2779" t="s">
        <v>77</v>
      </c>
      <c r="D1246" s="2779"/>
      <c r="E1246" s="2779"/>
      <c r="F1246" s="2779"/>
      <c r="G1246" s="2779"/>
      <c r="H1246" s="2779"/>
      <c r="I1246" s="424" t="s">
        <v>78</v>
      </c>
      <c r="J1246" s="424"/>
      <c r="K1246" s="424"/>
      <c r="L1246" s="424"/>
      <c r="M1246" s="424"/>
      <c r="N1246" s="424"/>
      <c r="AB1246" s="425"/>
    </row>
    <row r="1247" spans="1:28" s="352" customFormat="1" ht="18" customHeight="1" x14ac:dyDescent="0.2">
      <c r="A1247" s="424"/>
      <c r="B1247" s="426"/>
      <c r="C1247" s="424"/>
      <c r="D1247" s="424"/>
      <c r="E1247" s="424"/>
      <c r="F1247" s="424"/>
      <c r="G1247" s="424"/>
      <c r="H1247" s="424"/>
      <c r="I1247" s="424" t="s">
        <v>79</v>
      </c>
      <c r="J1247" s="424"/>
      <c r="K1247" s="424"/>
      <c r="L1247" s="424"/>
      <c r="M1247" s="424"/>
      <c r="N1247" s="424"/>
      <c r="AB1247" s="425"/>
    </row>
    <row r="1248" spans="1:28" s="352" customFormat="1" ht="18" customHeight="1" x14ac:dyDescent="0.2">
      <c r="A1248" s="424"/>
      <c r="B1248" s="426"/>
      <c r="C1248" s="424"/>
      <c r="D1248" s="424"/>
      <c r="E1248" s="424"/>
      <c r="F1248" s="424"/>
      <c r="G1248" s="424"/>
      <c r="H1248" s="424"/>
      <c r="I1248" s="424" t="s">
        <v>80</v>
      </c>
      <c r="J1248" s="424"/>
      <c r="K1248" s="424"/>
      <c r="L1248" s="424"/>
      <c r="M1248" s="424"/>
      <c r="N1248" s="424"/>
      <c r="AB1248" s="425"/>
    </row>
    <row r="1249" spans="1:28" s="352" customFormat="1" ht="18" customHeight="1" x14ac:dyDescent="0.2">
      <c r="A1249" s="424"/>
      <c r="B1249" s="426"/>
      <c r="C1249" s="424"/>
      <c r="D1249" s="424"/>
      <c r="E1249" s="424"/>
      <c r="F1249" s="424"/>
      <c r="G1249" s="424"/>
      <c r="H1249" s="424"/>
      <c r="I1249" s="424" t="s">
        <v>81</v>
      </c>
      <c r="J1249" s="424"/>
      <c r="K1249" s="424"/>
      <c r="L1249" s="424"/>
      <c r="M1249" s="424"/>
      <c r="N1249" s="424"/>
      <c r="AB1249" s="425"/>
    </row>
    <row r="1250" spans="1:28" s="352" customFormat="1" ht="18" customHeight="1" x14ac:dyDescent="0.2">
      <c r="A1250" s="424"/>
      <c r="B1250" s="426"/>
      <c r="C1250" s="424"/>
      <c r="D1250" s="424"/>
      <c r="E1250" s="424"/>
      <c r="F1250" s="424"/>
      <c r="G1250" s="424"/>
      <c r="H1250" s="424"/>
      <c r="I1250" s="424" t="s">
        <v>88</v>
      </c>
      <c r="J1250" s="424"/>
      <c r="K1250" s="424"/>
      <c r="L1250" s="424"/>
      <c r="M1250" s="424"/>
      <c r="N1250" s="424"/>
      <c r="AB1250" s="425"/>
    </row>
    <row r="1251" spans="1:28" s="352" customFormat="1" ht="18" customHeight="1" x14ac:dyDescent="0.2">
      <c r="A1251" s="338"/>
      <c r="B1251" s="338"/>
      <c r="C1251" s="338"/>
      <c r="D1251" s="338"/>
      <c r="E1251" s="338"/>
      <c r="F1251" s="338"/>
      <c r="G1251" s="338"/>
      <c r="H1251" s="338"/>
      <c r="I1251" s="338"/>
      <c r="J1251" s="338"/>
      <c r="K1251" s="338"/>
      <c r="L1251" s="338"/>
      <c r="M1251" s="338"/>
      <c r="N1251" s="338"/>
      <c r="O1251" s="338"/>
      <c r="P1251" s="338"/>
      <c r="Q1251" s="338"/>
      <c r="R1251" s="338"/>
      <c r="S1251" s="338"/>
      <c r="T1251" s="338"/>
      <c r="U1251" s="338"/>
      <c r="V1251" s="338"/>
      <c r="W1251" s="338"/>
      <c r="X1251" s="338"/>
      <c r="Y1251" s="338"/>
      <c r="Z1251" s="338"/>
      <c r="AA1251" s="2774" t="s">
        <v>0</v>
      </c>
      <c r="AB1251" s="2774"/>
    </row>
    <row r="1252" spans="1:28" s="352" customFormat="1" ht="18" customHeight="1" x14ac:dyDescent="0.2">
      <c r="A1252" s="2703" t="s">
        <v>1</v>
      </c>
      <c r="B1252" s="2703"/>
      <c r="C1252" s="2703"/>
      <c r="D1252" s="2703"/>
      <c r="E1252" s="2703"/>
      <c r="F1252" s="2703"/>
      <c r="G1252" s="2703"/>
      <c r="H1252" s="2703"/>
      <c r="I1252" s="2703"/>
      <c r="J1252" s="2703"/>
      <c r="K1252" s="2703"/>
      <c r="L1252" s="2703"/>
      <c r="M1252" s="2703"/>
      <c r="N1252" s="2703"/>
      <c r="O1252" s="2703"/>
      <c r="P1252" s="2703"/>
      <c r="Q1252" s="2703"/>
      <c r="R1252" s="2703"/>
      <c r="S1252" s="2703"/>
      <c r="T1252" s="2703"/>
      <c r="U1252" s="2703"/>
      <c r="V1252" s="2703"/>
      <c r="W1252" s="2703"/>
      <c r="X1252" s="2703"/>
      <c r="Y1252" s="2703"/>
      <c r="Z1252" s="2703"/>
      <c r="AA1252" s="2703"/>
      <c r="AB1252" s="2703"/>
    </row>
    <row r="1253" spans="1:28" s="352" customFormat="1" ht="18" customHeight="1" x14ac:dyDescent="0.2">
      <c r="A1253" s="2780" t="s">
        <v>339</v>
      </c>
      <c r="B1253" s="2780"/>
      <c r="C1253" s="2780"/>
      <c r="D1253" s="2780"/>
      <c r="E1253" s="2780"/>
      <c r="F1253" s="2780"/>
      <c r="G1253" s="2780"/>
      <c r="H1253" s="2780"/>
      <c r="I1253" s="2780"/>
      <c r="J1253" s="2780"/>
      <c r="K1253" s="2780"/>
      <c r="L1253" s="2780"/>
      <c r="M1253" s="2780"/>
      <c r="N1253" s="2780"/>
      <c r="O1253" s="2780"/>
      <c r="P1253" s="2780"/>
      <c r="Q1253" s="2780"/>
      <c r="R1253" s="2780"/>
      <c r="S1253" s="2780"/>
      <c r="T1253" s="2780"/>
      <c r="U1253" s="2780"/>
      <c r="V1253" s="2780"/>
      <c r="W1253" s="2780"/>
      <c r="X1253" s="2780"/>
      <c r="Y1253" s="2780"/>
      <c r="Z1253" s="2780"/>
      <c r="AA1253" s="2780"/>
      <c r="AB1253" s="2780"/>
    </row>
    <row r="1254" spans="1:28" s="352" customFormat="1" ht="18" customHeight="1" x14ac:dyDescent="0.2">
      <c r="A1254" s="2686" t="s">
        <v>2</v>
      </c>
      <c r="B1254" s="360"/>
      <c r="C1254" s="2686" t="s">
        <v>3</v>
      </c>
      <c r="D1254" s="360"/>
      <c r="E1254" s="360"/>
      <c r="F1254" s="2693" t="s">
        <v>4</v>
      </c>
      <c r="G1254" s="2693"/>
      <c r="H1254" s="2693"/>
      <c r="I1254" s="2694"/>
      <c r="J1254" s="2694"/>
      <c r="K1254" s="2695"/>
      <c r="L1254" s="361"/>
      <c r="M1254" s="2679" t="s">
        <v>5</v>
      </c>
      <c r="N1254" s="2679"/>
      <c r="O1254" s="2679"/>
      <c r="P1254" s="2679"/>
      <c r="Q1254" s="2696"/>
      <c r="R1254" s="2696"/>
      <c r="S1254" s="2696"/>
      <c r="T1254" s="2696"/>
      <c r="U1254" s="2696"/>
      <c r="V1254" s="2697"/>
      <c r="W1254" s="362" t="s">
        <v>6</v>
      </c>
      <c r="X1254" s="363" t="s">
        <v>7</v>
      </c>
      <c r="Y1254" s="364"/>
      <c r="Z1254" s="364"/>
      <c r="AA1254" s="363"/>
      <c r="AB1254" s="365"/>
    </row>
    <row r="1255" spans="1:28" s="352" customFormat="1" ht="18" customHeight="1" x14ac:dyDescent="0.2">
      <c r="A1255" s="2687"/>
      <c r="B1255" s="367"/>
      <c r="C1255" s="2687"/>
      <c r="D1255" s="2158" t="s">
        <v>9</v>
      </c>
      <c r="E1255" s="368" t="s">
        <v>10</v>
      </c>
      <c r="F1255" s="2698" t="s">
        <v>11</v>
      </c>
      <c r="G1255" s="2694"/>
      <c r="H1255" s="2695"/>
      <c r="I1255" s="360"/>
      <c r="J1255" s="369" t="s">
        <v>12</v>
      </c>
      <c r="K1255" s="360"/>
      <c r="L1255" s="2679" t="s">
        <v>2</v>
      </c>
      <c r="M1255" s="2162"/>
      <c r="N1255" s="2162"/>
      <c r="O1255" s="2162"/>
      <c r="P1255" s="371"/>
      <c r="Q1255" s="372" t="s">
        <v>13</v>
      </c>
      <c r="R1255" s="373" t="s">
        <v>12</v>
      </c>
      <c r="S1255" s="2162" t="s">
        <v>6</v>
      </c>
      <c r="T1255" s="2682" t="s">
        <v>14</v>
      </c>
      <c r="U1255" s="2683"/>
      <c r="V1255" s="375" t="s">
        <v>7</v>
      </c>
      <c r="W1255" s="376" t="s">
        <v>15</v>
      </c>
      <c r="X1255" s="377" t="s">
        <v>16</v>
      </c>
      <c r="Y1255" s="377" t="s">
        <v>17</v>
      </c>
      <c r="Z1255" s="377" t="s">
        <v>18</v>
      </c>
      <c r="AA1255" s="377"/>
      <c r="AB1255" s="378" t="s">
        <v>19</v>
      </c>
    </row>
    <row r="1256" spans="1:28" s="352" customFormat="1" ht="18" customHeight="1" x14ac:dyDescent="0.2">
      <c r="A1256" s="2687"/>
      <c r="B1256" s="2158" t="s">
        <v>23</v>
      </c>
      <c r="C1256" s="2687"/>
      <c r="D1256" s="2158" t="s">
        <v>24</v>
      </c>
      <c r="E1256" s="368" t="s">
        <v>25</v>
      </c>
      <c r="F1256" s="2699"/>
      <c r="G1256" s="2700"/>
      <c r="H1256" s="2701"/>
      <c r="I1256" s="2158" t="s">
        <v>26</v>
      </c>
      <c r="J1256" s="379" t="s">
        <v>15</v>
      </c>
      <c r="K1256" s="2159" t="s">
        <v>6</v>
      </c>
      <c r="L1256" s="2680"/>
      <c r="M1256" s="2163" t="s">
        <v>27</v>
      </c>
      <c r="N1256" s="2163" t="s">
        <v>10</v>
      </c>
      <c r="O1256" s="382" t="s">
        <v>10</v>
      </c>
      <c r="P1256" s="383" t="s">
        <v>28</v>
      </c>
      <c r="Q1256" s="384" t="s">
        <v>29</v>
      </c>
      <c r="R1256" s="383" t="s">
        <v>15</v>
      </c>
      <c r="S1256" s="385" t="s">
        <v>15</v>
      </c>
      <c r="T1256" s="2684"/>
      <c r="U1256" s="2685"/>
      <c r="V1256" s="375" t="s">
        <v>30</v>
      </c>
      <c r="W1256" s="376" t="s">
        <v>31</v>
      </c>
      <c r="X1256" s="377" t="s">
        <v>30</v>
      </c>
      <c r="Y1256" s="377" t="s">
        <v>32</v>
      </c>
      <c r="Z1256" s="377" t="s">
        <v>7</v>
      </c>
      <c r="AA1256" s="377" t="s">
        <v>33</v>
      </c>
      <c r="AB1256" s="378" t="s">
        <v>34</v>
      </c>
    </row>
    <row r="1257" spans="1:28" s="352" customFormat="1" ht="18" customHeight="1" x14ac:dyDescent="0.2">
      <c r="A1257" s="2687"/>
      <c r="B1257" s="2158" t="s">
        <v>39</v>
      </c>
      <c r="C1257" s="2687"/>
      <c r="D1257" s="2158" t="s">
        <v>40</v>
      </c>
      <c r="E1257" s="368" t="s">
        <v>41</v>
      </c>
      <c r="F1257" s="2686" t="s">
        <v>42</v>
      </c>
      <c r="G1257" s="2686" t="s">
        <v>43</v>
      </c>
      <c r="H1257" s="2688" t="s">
        <v>44</v>
      </c>
      <c r="I1257" s="2158" t="s">
        <v>45</v>
      </c>
      <c r="J1257" s="379" t="s">
        <v>46</v>
      </c>
      <c r="K1257" s="2159" t="s">
        <v>47</v>
      </c>
      <c r="L1257" s="2680"/>
      <c r="M1257" s="2163" t="s">
        <v>30</v>
      </c>
      <c r="N1257" s="2163" t="s">
        <v>30</v>
      </c>
      <c r="O1257" s="382" t="s">
        <v>25</v>
      </c>
      <c r="P1257" s="383" t="s">
        <v>30</v>
      </c>
      <c r="Q1257" s="384" t="s">
        <v>48</v>
      </c>
      <c r="R1257" s="383" t="s">
        <v>49</v>
      </c>
      <c r="S1257" s="385" t="s">
        <v>30</v>
      </c>
      <c r="T1257" s="386" t="s">
        <v>50</v>
      </c>
      <c r="U1257" s="2161" t="s">
        <v>13</v>
      </c>
      <c r="V1257" s="375" t="s">
        <v>51</v>
      </c>
      <c r="W1257" s="376" t="s">
        <v>52</v>
      </c>
      <c r="X1257" s="377" t="s">
        <v>53</v>
      </c>
      <c r="Y1257" s="377" t="s">
        <v>54</v>
      </c>
      <c r="Z1257" s="377" t="s">
        <v>55</v>
      </c>
      <c r="AA1257" s="377" t="s">
        <v>56</v>
      </c>
      <c r="AB1257" s="378" t="s">
        <v>57</v>
      </c>
    </row>
    <row r="1258" spans="1:28" s="352" customFormat="1" ht="18" customHeight="1" x14ac:dyDescent="0.2">
      <c r="A1258" s="2687"/>
      <c r="B1258" s="2158" t="s">
        <v>61</v>
      </c>
      <c r="C1258" s="2687"/>
      <c r="D1258" s="2158" t="s">
        <v>62</v>
      </c>
      <c r="E1258" s="368" t="s">
        <v>63</v>
      </c>
      <c r="F1258" s="2687"/>
      <c r="G1258" s="2687"/>
      <c r="H1258" s="2689"/>
      <c r="I1258" s="2158" t="s">
        <v>64</v>
      </c>
      <c r="J1258" s="379" t="s">
        <v>59</v>
      </c>
      <c r="K1258" s="2159" t="s">
        <v>59</v>
      </c>
      <c r="L1258" s="2680"/>
      <c r="M1258" s="2163"/>
      <c r="N1258" s="2163"/>
      <c r="O1258" s="382" t="s">
        <v>41</v>
      </c>
      <c r="P1258" s="383" t="s">
        <v>65</v>
      </c>
      <c r="Q1258" s="384" t="s">
        <v>66</v>
      </c>
      <c r="R1258" s="383" t="s">
        <v>67</v>
      </c>
      <c r="S1258" s="385" t="s">
        <v>59</v>
      </c>
      <c r="T1258" s="387" t="s">
        <v>68</v>
      </c>
      <c r="U1258" s="375" t="s">
        <v>14</v>
      </c>
      <c r="V1258" s="375" t="s">
        <v>14</v>
      </c>
      <c r="W1258" s="376" t="s">
        <v>30</v>
      </c>
      <c r="X1258" s="388" t="s">
        <v>69</v>
      </c>
      <c r="Y1258" s="388" t="s">
        <v>70</v>
      </c>
      <c r="Z1258" s="377" t="s">
        <v>71</v>
      </c>
      <c r="AA1258" s="377" t="s">
        <v>72</v>
      </c>
      <c r="AB1258" s="378" t="s">
        <v>59</v>
      </c>
    </row>
    <row r="1259" spans="1:28" s="352" customFormat="1" ht="18" customHeight="1" x14ac:dyDescent="0.2">
      <c r="A1259" s="2692"/>
      <c r="B1259" s="390"/>
      <c r="C1259" s="2692"/>
      <c r="D1259" s="390"/>
      <c r="E1259" s="2160"/>
      <c r="F1259" s="390"/>
      <c r="G1259" s="390"/>
      <c r="H1259" s="391"/>
      <c r="I1259" s="2160"/>
      <c r="J1259" s="392"/>
      <c r="K1259" s="393"/>
      <c r="L1259" s="2681"/>
      <c r="M1259" s="2164"/>
      <c r="N1259" s="2164"/>
      <c r="O1259" s="2164" t="s">
        <v>63</v>
      </c>
      <c r="P1259" s="395"/>
      <c r="Q1259" s="396" t="s">
        <v>72</v>
      </c>
      <c r="R1259" s="397" t="s">
        <v>59</v>
      </c>
      <c r="S1259" s="398"/>
      <c r="T1259" s="397" t="s">
        <v>73</v>
      </c>
      <c r="U1259" s="398" t="s">
        <v>59</v>
      </c>
      <c r="V1259" s="399" t="s">
        <v>59</v>
      </c>
      <c r="W1259" s="400" t="s">
        <v>59</v>
      </c>
      <c r="X1259" s="401" t="s">
        <v>59</v>
      </c>
      <c r="Y1259" s="401" t="s">
        <v>59</v>
      </c>
      <c r="Z1259" s="401" t="s">
        <v>59</v>
      </c>
      <c r="AA1259" s="402"/>
      <c r="AB1259" s="403"/>
    </row>
    <row r="1260" spans="1:28" s="352" customFormat="1" ht="18" customHeight="1" x14ac:dyDescent="0.25">
      <c r="A1260" s="53">
        <v>1</v>
      </c>
      <c r="B1260" s="333">
        <v>27726</v>
      </c>
      <c r="C1260" s="41">
        <v>769</v>
      </c>
      <c r="D1260" s="41" t="s">
        <v>107</v>
      </c>
      <c r="E1260" s="41">
        <v>4</v>
      </c>
      <c r="F1260" s="1615">
        <v>0</v>
      </c>
      <c r="G1260" s="1615">
        <v>1</v>
      </c>
      <c r="H1260" s="1616">
        <v>15</v>
      </c>
      <c r="I1260" s="302">
        <f>F1260*400+G1260*100+H1260</f>
        <v>115</v>
      </c>
      <c r="J1260" s="310">
        <v>3000</v>
      </c>
      <c r="K1260" s="303">
        <f>SUM(I1260*J1260)</f>
        <v>345000</v>
      </c>
      <c r="L1260" s="16"/>
      <c r="M1260" s="82"/>
      <c r="N1260" s="41"/>
      <c r="O1260" s="1671">
        <v>1</v>
      </c>
      <c r="P1260" s="404"/>
      <c r="Q1260" s="14"/>
      <c r="R1260" s="302"/>
      <c r="S1260" s="302"/>
      <c r="T1260" s="41"/>
      <c r="U1260" s="302"/>
      <c r="V1260" s="302"/>
      <c r="W1260" s="302">
        <f>K1260+V1260</f>
        <v>345000</v>
      </c>
      <c r="X1260" s="302">
        <f>W1260</f>
        <v>345000</v>
      </c>
      <c r="Y1260" s="310" t="s">
        <v>87</v>
      </c>
      <c r="Z1260" s="302"/>
      <c r="AA1260" s="405">
        <v>0.01</v>
      </c>
      <c r="AB1260" s="465">
        <f>+Z1260*AA1260/100</f>
        <v>0</v>
      </c>
    </row>
    <row r="1261" spans="1:28" s="352" customFormat="1" ht="18" customHeight="1" x14ac:dyDescent="0.2">
      <c r="A1261" s="61"/>
      <c r="B1261" s="2166"/>
      <c r="C1261" s="2166"/>
      <c r="D1261" s="2166"/>
      <c r="E1261" s="2166"/>
      <c r="F1261" s="2166"/>
      <c r="G1261" s="2166"/>
      <c r="H1261" s="407"/>
      <c r="I1261" s="77"/>
      <c r="J1261" s="2168"/>
      <c r="K1261" s="78"/>
      <c r="L1261" s="61"/>
      <c r="M1261" s="2166"/>
      <c r="N1261" s="2166"/>
      <c r="O1261" s="61"/>
      <c r="P1261" s="177"/>
      <c r="Q1261" s="196"/>
      <c r="R1261" s="408"/>
      <c r="S1261" s="77"/>
      <c r="T1261" s="2166"/>
      <c r="U1261" s="77"/>
      <c r="V1261" s="77"/>
      <c r="W1261" s="77"/>
      <c r="X1261" s="77"/>
      <c r="Y1261" s="2168"/>
      <c r="Z1261" s="77"/>
      <c r="AA1261" s="2170"/>
      <c r="AB1261" s="416"/>
    </row>
    <row r="1262" spans="1:28" s="352" customFormat="1" ht="18" customHeight="1" x14ac:dyDescent="0.2">
      <c r="A1262" s="75"/>
      <c r="B1262" s="2166"/>
      <c r="C1262" s="2166"/>
      <c r="D1262" s="2166"/>
      <c r="E1262" s="2166"/>
      <c r="F1262" s="2166"/>
      <c r="G1262" s="2166"/>
      <c r="H1262" s="407"/>
      <c r="I1262" s="77"/>
      <c r="J1262" s="2168"/>
      <c r="K1262" s="78"/>
      <c r="L1262" s="61"/>
      <c r="M1262" s="2166"/>
      <c r="N1262" s="2166"/>
      <c r="O1262" s="61"/>
      <c r="P1262" s="177"/>
      <c r="Q1262" s="196"/>
      <c r="R1262" s="408"/>
      <c r="S1262" s="77"/>
      <c r="T1262" s="2166"/>
      <c r="U1262" s="77"/>
      <c r="V1262" s="77"/>
      <c r="W1262" s="77"/>
      <c r="X1262" s="77"/>
      <c r="Y1262" s="2168"/>
      <c r="Z1262" s="77"/>
      <c r="AA1262" s="2170"/>
      <c r="AB1262" s="410"/>
    </row>
    <row r="1263" spans="1:28" s="352" customFormat="1" ht="18" customHeight="1" x14ac:dyDescent="0.2">
      <c r="A1263" s="242"/>
      <c r="B1263" s="2166"/>
      <c r="C1263" s="2166"/>
      <c r="D1263" s="2166"/>
      <c r="E1263" s="2166"/>
      <c r="F1263" s="2166"/>
      <c r="G1263" s="2166"/>
      <c r="H1263" s="407"/>
      <c r="I1263" s="77"/>
      <c r="J1263" s="2168"/>
      <c r="K1263" s="78"/>
      <c r="L1263" s="61"/>
      <c r="M1263" s="2166"/>
      <c r="N1263" s="2166"/>
      <c r="O1263" s="61"/>
      <c r="P1263" s="177"/>
      <c r="Q1263" s="196"/>
      <c r="R1263" s="408"/>
      <c r="S1263" s="77"/>
      <c r="T1263" s="2166"/>
      <c r="U1263" s="77"/>
      <c r="V1263" s="77"/>
      <c r="W1263" s="77"/>
      <c r="X1263" s="77"/>
      <c r="Y1263" s="2168"/>
      <c r="Z1263" s="77"/>
      <c r="AA1263" s="2170"/>
      <c r="AB1263" s="410"/>
    </row>
    <row r="1264" spans="1:28" s="352" customFormat="1" ht="18" customHeight="1" x14ac:dyDescent="0.2">
      <c r="A1264" s="75"/>
      <c r="B1264" s="88"/>
      <c r="C1264" s="88"/>
      <c r="D1264" s="88"/>
      <c r="E1264" s="88"/>
      <c r="F1264" s="88"/>
      <c r="G1264" s="88"/>
      <c r="H1264" s="495"/>
      <c r="I1264" s="74"/>
      <c r="J1264" s="121"/>
      <c r="K1264" s="159"/>
      <c r="L1264" s="75"/>
      <c r="M1264" s="88"/>
      <c r="N1264" s="88"/>
      <c r="O1264" s="75"/>
      <c r="P1264" s="180"/>
      <c r="Q1264" s="174"/>
      <c r="R1264" s="413"/>
      <c r="S1264" s="74"/>
      <c r="T1264" s="88"/>
      <c r="U1264" s="74"/>
      <c r="V1264" s="74"/>
      <c r="W1264" s="74"/>
      <c r="X1264" s="74"/>
      <c r="Y1264" s="121"/>
      <c r="Z1264" s="74"/>
      <c r="AA1264" s="414"/>
      <c r="AB1264" s="416"/>
    </row>
    <row r="1265" spans="1:28" s="352" customFormat="1" ht="18" customHeight="1" x14ac:dyDescent="0.2">
      <c r="A1265" s="61"/>
      <c r="B1265" s="2166"/>
      <c r="C1265" s="2166"/>
      <c r="D1265" s="2166"/>
      <c r="E1265" s="2166"/>
      <c r="F1265" s="2166"/>
      <c r="G1265" s="2166"/>
      <c r="H1265" s="407"/>
      <c r="I1265" s="77"/>
      <c r="J1265" s="2168"/>
      <c r="K1265" s="78"/>
      <c r="L1265" s="61"/>
      <c r="M1265" s="2166"/>
      <c r="N1265" s="2166"/>
      <c r="O1265" s="61"/>
      <c r="P1265" s="177"/>
      <c r="Q1265" s="196"/>
      <c r="R1265" s="408"/>
      <c r="S1265" s="77"/>
      <c r="T1265" s="2166"/>
      <c r="U1265" s="77"/>
      <c r="V1265" s="77"/>
      <c r="W1265" s="77"/>
      <c r="X1265" s="77"/>
      <c r="Y1265" s="2168"/>
      <c r="Z1265" s="77"/>
      <c r="AA1265" s="2170"/>
      <c r="AB1265" s="410"/>
    </row>
    <row r="1266" spans="1:28" s="352" customFormat="1" ht="18" customHeight="1" x14ac:dyDescent="0.2">
      <c r="A1266" s="2166"/>
      <c r="B1266" s="177"/>
      <c r="C1266" s="177"/>
      <c r="D1266" s="2166"/>
      <c r="E1266" s="2166"/>
      <c r="F1266" s="2166"/>
      <c r="G1266" s="2166"/>
      <c r="H1266" s="2171"/>
      <c r="I1266" s="2168"/>
      <c r="J1266" s="178"/>
      <c r="K1266" s="2168"/>
      <c r="L1266" s="2166"/>
      <c r="M1266" s="2166"/>
      <c r="N1266" s="2166"/>
      <c r="O1266" s="2166"/>
      <c r="P1266" s="2171"/>
      <c r="Q1266" s="2167"/>
      <c r="R1266" s="437"/>
      <c r="S1266" s="2168"/>
      <c r="T1266" s="179"/>
      <c r="U1266" s="178"/>
      <c r="V1266" s="2168"/>
      <c r="W1266" s="2168"/>
      <c r="X1266" s="470"/>
      <c r="Y1266" s="470"/>
      <c r="Z1266" s="471"/>
      <c r="AA1266" s="471"/>
      <c r="AB1266" s="466"/>
    </row>
    <row r="1267" spans="1:28" s="352" customFormat="1" ht="18" customHeight="1" x14ac:dyDescent="0.2">
      <c r="A1267" s="2166"/>
      <c r="B1267" s="177"/>
      <c r="C1267" s="177"/>
      <c r="D1267" s="2166"/>
      <c r="E1267" s="2166"/>
      <c r="F1267" s="2166"/>
      <c r="G1267" s="2166"/>
      <c r="H1267" s="2171"/>
      <c r="I1267" s="2168"/>
      <c r="J1267" s="178"/>
      <c r="K1267" s="2168"/>
      <c r="L1267" s="2166"/>
      <c r="M1267" s="2166"/>
      <c r="N1267" s="2166"/>
      <c r="O1267" s="2166"/>
      <c r="P1267" s="2171"/>
      <c r="Q1267" s="2167"/>
      <c r="R1267" s="437"/>
      <c r="S1267" s="2168"/>
      <c r="T1267" s="179"/>
      <c r="U1267" s="178"/>
      <c r="V1267" s="2168"/>
      <c r="W1267" s="2168"/>
      <c r="X1267" s="470"/>
      <c r="Y1267" s="470"/>
      <c r="Z1267" s="471"/>
      <c r="AA1267" s="471"/>
      <c r="AB1267" s="466"/>
    </row>
    <row r="1268" spans="1:28" s="352" customFormat="1" ht="18" customHeight="1" x14ac:dyDescent="0.2">
      <c r="A1268" s="2166"/>
      <c r="B1268" s="177"/>
      <c r="C1268" s="177"/>
      <c r="D1268" s="2166"/>
      <c r="E1268" s="2166"/>
      <c r="F1268" s="2166"/>
      <c r="G1268" s="2166"/>
      <c r="H1268" s="2171"/>
      <c r="I1268" s="2168"/>
      <c r="J1268" s="178"/>
      <c r="K1268" s="2168"/>
      <c r="L1268" s="2166"/>
      <c r="M1268" s="2166"/>
      <c r="N1268" s="2166"/>
      <c r="O1268" s="2166"/>
      <c r="P1268" s="2171"/>
      <c r="Q1268" s="2167"/>
      <c r="R1268" s="437"/>
      <c r="S1268" s="2168"/>
      <c r="T1268" s="179"/>
      <c r="U1268" s="178"/>
      <c r="V1268" s="2168"/>
      <c r="W1268" s="2168"/>
      <c r="X1268" s="470"/>
      <c r="Y1268" s="470"/>
      <c r="Z1268" s="471"/>
      <c r="AA1268" s="471"/>
      <c r="AB1268" s="466"/>
    </row>
    <row r="1269" spans="1:28" s="352" customFormat="1" ht="18" customHeight="1" x14ac:dyDescent="0.2">
      <c r="A1269" s="2166"/>
      <c r="B1269" s="177"/>
      <c r="C1269" s="177"/>
      <c r="D1269" s="2166"/>
      <c r="E1269" s="2166"/>
      <c r="F1269" s="2166"/>
      <c r="G1269" s="2166"/>
      <c r="H1269" s="2171"/>
      <c r="I1269" s="2168"/>
      <c r="J1269" s="178"/>
      <c r="K1269" s="2168"/>
      <c r="L1269" s="2166"/>
      <c r="M1269" s="2166"/>
      <c r="N1269" s="2166"/>
      <c r="O1269" s="2166"/>
      <c r="P1269" s="2171"/>
      <c r="Q1269" s="2167"/>
      <c r="R1269" s="437"/>
      <c r="S1269" s="2168"/>
      <c r="T1269" s="179"/>
      <c r="U1269" s="178"/>
      <c r="V1269" s="2168"/>
      <c r="W1269" s="2168"/>
      <c r="X1269" s="470"/>
      <c r="Y1269" s="470"/>
      <c r="Z1269" s="471"/>
      <c r="AA1269" s="471"/>
      <c r="AB1269" s="466"/>
    </row>
    <row r="1270" spans="1:28" s="352" customFormat="1" ht="18" customHeight="1" x14ac:dyDescent="0.2">
      <c r="A1270" s="2166"/>
      <c r="B1270" s="177"/>
      <c r="C1270" s="177"/>
      <c r="D1270" s="2166"/>
      <c r="E1270" s="2166"/>
      <c r="F1270" s="2166"/>
      <c r="G1270" s="2166"/>
      <c r="H1270" s="2171"/>
      <c r="I1270" s="2168"/>
      <c r="J1270" s="178"/>
      <c r="K1270" s="2168"/>
      <c r="L1270" s="2166"/>
      <c r="M1270" s="2166"/>
      <c r="N1270" s="2166"/>
      <c r="O1270" s="2166"/>
      <c r="P1270" s="2171"/>
      <c r="Q1270" s="2167"/>
      <c r="R1270" s="437"/>
      <c r="S1270" s="2168"/>
      <c r="T1270" s="179"/>
      <c r="U1270" s="178"/>
      <c r="V1270" s="2168"/>
      <c r="W1270" s="2168"/>
      <c r="X1270" s="470"/>
      <c r="Y1270" s="470"/>
      <c r="Z1270" s="471"/>
      <c r="AA1270" s="471"/>
      <c r="AB1270" s="466"/>
    </row>
    <row r="1271" spans="1:28" s="352" customFormat="1" ht="18" customHeight="1" x14ac:dyDescent="0.2">
      <c r="A1271" s="2166"/>
      <c r="B1271" s="177"/>
      <c r="C1271" s="177"/>
      <c r="D1271" s="2166"/>
      <c r="E1271" s="2166"/>
      <c r="F1271" s="2166"/>
      <c r="G1271" s="2166"/>
      <c r="H1271" s="2171"/>
      <c r="I1271" s="2168"/>
      <c r="J1271" s="178"/>
      <c r="K1271" s="2168"/>
      <c r="L1271" s="2166"/>
      <c r="M1271" s="2166"/>
      <c r="N1271" s="2166"/>
      <c r="O1271" s="2166"/>
      <c r="P1271" s="2171"/>
      <c r="Q1271" s="2167"/>
      <c r="R1271" s="437"/>
      <c r="S1271" s="2168"/>
      <c r="T1271" s="179"/>
      <c r="U1271" s="178"/>
      <c r="V1271" s="2168"/>
      <c r="W1271" s="2168"/>
      <c r="X1271" s="470"/>
      <c r="Y1271" s="470"/>
      <c r="Z1271" s="471"/>
      <c r="AA1271" s="471"/>
      <c r="AB1271" s="466"/>
    </row>
    <row r="1272" spans="1:28" s="352" customFormat="1" ht="18" customHeight="1" x14ac:dyDescent="0.2">
      <c r="A1272" s="2166"/>
      <c r="B1272" s="177"/>
      <c r="C1272" s="177"/>
      <c r="D1272" s="2166"/>
      <c r="E1272" s="2166"/>
      <c r="F1272" s="2166"/>
      <c r="G1272" s="2166"/>
      <c r="H1272" s="2171"/>
      <c r="I1272" s="2168"/>
      <c r="J1272" s="178"/>
      <c r="K1272" s="2168"/>
      <c r="L1272" s="2166"/>
      <c r="M1272" s="2166"/>
      <c r="N1272" s="2166"/>
      <c r="O1272" s="2166"/>
      <c r="P1272" s="2171"/>
      <c r="Q1272" s="2167"/>
      <c r="R1272" s="437"/>
      <c r="S1272" s="2168"/>
      <c r="T1272" s="179"/>
      <c r="U1272" s="178"/>
      <c r="V1272" s="2168"/>
      <c r="W1272" s="2168"/>
      <c r="X1272" s="470"/>
      <c r="Y1272" s="470"/>
      <c r="Z1272" s="471"/>
      <c r="AA1272" s="471"/>
      <c r="AB1272" s="466"/>
    </row>
    <row r="1273" spans="1:28" s="352" customFormat="1" ht="18" customHeight="1" x14ac:dyDescent="0.2">
      <c r="A1273" s="88"/>
      <c r="B1273" s="180"/>
      <c r="C1273" s="180"/>
      <c r="D1273" s="88"/>
      <c r="E1273" s="88"/>
      <c r="F1273" s="88"/>
      <c r="G1273" s="88"/>
      <c r="H1273" s="120"/>
      <c r="I1273" s="121"/>
      <c r="J1273" s="181"/>
      <c r="K1273" s="121"/>
      <c r="L1273" s="88"/>
      <c r="M1273" s="88"/>
      <c r="N1273" s="88"/>
      <c r="O1273" s="88"/>
      <c r="P1273" s="88"/>
      <c r="Q1273" s="129"/>
      <c r="R1273" s="445"/>
      <c r="S1273" s="121"/>
      <c r="T1273" s="182"/>
      <c r="U1273" s="181"/>
      <c r="V1273" s="121"/>
      <c r="W1273" s="121"/>
      <c r="X1273" s="472"/>
      <c r="Y1273" s="472"/>
      <c r="Z1273" s="473"/>
      <c r="AA1273" s="473"/>
      <c r="AB1273" s="410"/>
    </row>
    <row r="1274" spans="1:28" s="352" customFormat="1" ht="18" customHeight="1" x14ac:dyDescent="0.2">
      <c r="A1274" s="1850"/>
      <c r="B1274" s="1850"/>
      <c r="C1274" s="1850"/>
      <c r="D1274" s="1850"/>
      <c r="E1274" s="1850"/>
      <c r="F1274" s="1850"/>
      <c r="G1274" s="1850"/>
      <c r="H1274" s="1851"/>
      <c r="I1274" s="1852"/>
      <c r="J1274" s="1853"/>
      <c r="K1274" s="1852"/>
      <c r="L1274" s="1852"/>
      <c r="M1274" s="1852"/>
      <c r="N1274" s="1852"/>
      <c r="O1274" s="1852"/>
      <c r="P1274" s="1852"/>
      <c r="Q1274" s="1852"/>
      <c r="R1274" s="1854"/>
      <c r="S1274" s="1852"/>
      <c r="T1274" s="1855"/>
      <c r="U1274" s="1853"/>
      <c r="V1274" s="1852"/>
      <c r="W1274" s="1852"/>
      <c r="X1274" s="1856"/>
      <c r="Y1274" s="1856"/>
      <c r="Z1274" s="1857"/>
      <c r="AA1274" s="1857"/>
      <c r="AB1274" s="1847">
        <f>SUM(AB1260:AB1273)</f>
        <v>0</v>
      </c>
    </row>
    <row r="1275" spans="1:28" s="352" customFormat="1" ht="18" customHeight="1" x14ac:dyDescent="0.2">
      <c r="A1275" s="2778" t="s">
        <v>76</v>
      </c>
      <c r="B1275" s="2778"/>
      <c r="C1275" s="2779" t="s">
        <v>77</v>
      </c>
      <c r="D1275" s="2779"/>
      <c r="E1275" s="2779"/>
      <c r="F1275" s="2779"/>
      <c r="G1275" s="2779"/>
      <c r="H1275" s="2779"/>
      <c r="I1275" s="424" t="s">
        <v>78</v>
      </c>
      <c r="J1275" s="424"/>
      <c r="K1275" s="424"/>
      <c r="L1275" s="424"/>
      <c r="M1275" s="424"/>
      <c r="N1275" s="424"/>
      <c r="AB1275" s="425"/>
    </row>
    <row r="1276" spans="1:28" s="352" customFormat="1" ht="18" customHeight="1" x14ac:dyDescent="0.2">
      <c r="A1276" s="424"/>
      <c r="B1276" s="426"/>
      <c r="C1276" s="424"/>
      <c r="D1276" s="424"/>
      <c r="E1276" s="424"/>
      <c r="F1276" s="424"/>
      <c r="G1276" s="424"/>
      <c r="H1276" s="424"/>
      <c r="I1276" s="424" t="s">
        <v>79</v>
      </c>
      <c r="J1276" s="424"/>
      <c r="K1276" s="424"/>
      <c r="L1276" s="424"/>
      <c r="M1276" s="424"/>
      <c r="N1276" s="424"/>
      <c r="AB1276" s="425"/>
    </row>
    <row r="1277" spans="1:28" s="352" customFormat="1" ht="18" customHeight="1" x14ac:dyDescent="0.2">
      <c r="A1277" s="424"/>
      <c r="B1277" s="426"/>
      <c r="C1277" s="424"/>
      <c r="D1277" s="424"/>
      <c r="E1277" s="424"/>
      <c r="F1277" s="424"/>
      <c r="G1277" s="424"/>
      <c r="H1277" s="424"/>
      <c r="I1277" s="424" t="s">
        <v>80</v>
      </c>
      <c r="J1277" s="424"/>
      <c r="K1277" s="424"/>
      <c r="L1277" s="424"/>
      <c r="M1277" s="424"/>
      <c r="N1277" s="424"/>
      <c r="AB1277" s="425"/>
    </row>
    <row r="1278" spans="1:28" s="352" customFormat="1" ht="18" customHeight="1" x14ac:dyDescent="0.2">
      <c r="A1278" s="424"/>
      <c r="B1278" s="426"/>
      <c r="C1278" s="424"/>
      <c r="D1278" s="424"/>
      <c r="E1278" s="424"/>
      <c r="F1278" s="424"/>
      <c r="G1278" s="424"/>
      <c r="H1278" s="424"/>
      <c r="I1278" s="424" t="s">
        <v>81</v>
      </c>
      <c r="J1278" s="424"/>
      <c r="K1278" s="424"/>
      <c r="L1278" s="424"/>
      <c r="M1278" s="424"/>
      <c r="N1278" s="424"/>
      <c r="AB1278" s="425"/>
    </row>
    <row r="1279" spans="1:28" s="352" customFormat="1" ht="18" customHeight="1" x14ac:dyDescent="0.2">
      <c r="A1279" s="424"/>
      <c r="B1279" s="426"/>
      <c r="C1279" s="424"/>
      <c r="D1279" s="424"/>
      <c r="E1279" s="424"/>
      <c r="F1279" s="424"/>
      <c r="G1279" s="424"/>
      <c r="H1279" s="424"/>
      <c r="I1279" s="424" t="s">
        <v>88</v>
      </c>
      <c r="J1279" s="424"/>
      <c r="K1279" s="424"/>
      <c r="L1279" s="424"/>
      <c r="M1279" s="424"/>
      <c r="N1279" s="424"/>
      <c r="AB1279" s="425"/>
    </row>
    <row r="1280" spans="1:28" s="580" customFormat="1" ht="18" customHeight="1" x14ac:dyDescent="0.2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2776" t="s">
        <v>0</v>
      </c>
      <c r="AB1280" s="2776"/>
    </row>
    <row r="1281" spans="1:28" s="580" customFormat="1" ht="18" customHeight="1" x14ac:dyDescent="0.2">
      <c r="A1281" s="2707" t="s">
        <v>1</v>
      </c>
      <c r="B1281" s="2707"/>
      <c r="C1281" s="2707"/>
      <c r="D1281" s="2707"/>
      <c r="E1281" s="2707"/>
      <c r="F1281" s="2707"/>
      <c r="G1281" s="2707"/>
      <c r="H1281" s="2707"/>
      <c r="I1281" s="2707"/>
      <c r="J1281" s="2707"/>
      <c r="K1281" s="2707"/>
      <c r="L1281" s="2707"/>
      <c r="M1281" s="2707"/>
      <c r="N1281" s="2707"/>
      <c r="O1281" s="2707"/>
      <c r="P1281" s="2707"/>
      <c r="Q1281" s="2707"/>
      <c r="R1281" s="2707"/>
      <c r="S1281" s="2707"/>
      <c r="T1281" s="2707"/>
      <c r="U1281" s="2707"/>
      <c r="V1281" s="2707"/>
      <c r="W1281" s="2707"/>
      <c r="X1281" s="2707"/>
      <c r="Y1281" s="2707"/>
      <c r="Z1281" s="2707"/>
      <c r="AA1281" s="2707"/>
      <c r="AB1281" s="2707"/>
    </row>
    <row r="1282" spans="1:28" s="580" customFormat="1" ht="18" customHeight="1" x14ac:dyDescent="0.2">
      <c r="A1282" s="2783" t="s">
        <v>340</v>
      </c>
      <c r="B1282" s="2783"/>
      <c r="C1282" s="2783"/>
      <c r="D1282" s="2783"/>
      <c r="E1282" s="2783"/>
      <c r="F1282" s="2783"/>
      <c r="G1282" s="2783"/>
      <c r="H1282" s="2783"/>
      <c r="I1282" s="2783"/>
      <c r="J1282" s="2783"/>
      <c r="K1282" s="2783"/>
      <c r="L1282" s="2783"/>
      <c r="M1282" s="2783"/>
      <c r="N1282" s="2783"/>
      <c r="O1282" s="2783"/>
      <c r="P1282" s="2783"/>
      <c r="Q1282" s="2783"/>
      <c r="R1282" s="2783"/>
      <c r="S1282" s="2783"/>
      <c r="T1282" s="2783"/>
      <c r="U1282" s="2783"/>
      <c r="V1282" s="2783"/>
      <c r="W1282" s="2783"/>
      <c r="X1282" s="2783"/>
      <c r="Y1282" s="2783"/>
      <c r="Z1282" s="2783"/>
      <c r="AA1282" s="2783"/>
      <c r="AB1282" s="2783"/>
    </row>
    <row r="1283" spans="1:28" s="580" customFormat="1" ht="18" customHeight="1" x14ac:dyDescent="0.2">
      <c r="A1283" s="2709" t="s">
        <v>2</v>
      </c>
      <c r="B1283" s="160"/>
      <c r="C1283" s="2709" t="s">
        <v>3</v>
      </c>
      <c r="D1283" s="160"/>
      <c r="E1283" s="160"/>
      <c r="F1283" s="2712" t="s">
        <v>4</v>
      </c>
      <c r="G1283" s="2712"/>
      <c r="H1283" s="2712"/>
      <c r="I1283" s="2713"/>
      <c r="J1283" s="2713"/>
      <c r="K1283" s="2714"/>
      <c r="L1283" s="2"/>
      <c r="M1283" s="2715" t="s">
        <v>5</v>
      </c>
      <c r="N1283" s="2715"/>
      <c r="O1283" s="2715"/>
      <c r="P1283" s="2715"/>
      <c r="Q1283" s="2716"/>
      <c r="R1283" s="2716"/>
      <c r="S1283" s="2716"/>
      <c r="T1283" s="2716"/>
      <c r="U1283" s="2716"/>
      <c r="V1283" s="2717"/>
      <c r="W1283" s="161" t="s">
        <v>6</v>
      </c>
      <c r="X1283" s="162" t="s">
        <v>7</v>
      </c>
      <c r="Y1283" s="163"/>
      <c r="Z1283" s="163"/>
      <c r="AA1283" s="162"/>
      <c r="AB1283" s="206"/>
    </row>
    <row r="1284" spans="1:28" s="580" customFormat="1" ht="18" customHeight="1" x14ac:dyDescent="0.2">
      <c r="A1284" s="2710"/>
      <c r="B1284" s="4"/>
      <c r="C1284" s="2710"/>
      <c r="D1284" s="2154" t="s">
        <v>9</v>
      </c>
      <c r="E1284" s="207" t="s">
        <v>10</v>
      </c>
      <c r="F1284" s="2718" t="s">
        <v>11</v>
      </c>
      <c r="G1284" s="2713"/>
      <c r="H1284" s="2714"/>
      <c r="I1284" s="160"/>
      <c r="J1284" s="208" t="s">
        <v>12</v>
      </c>
      <c r="K1284" s="160"/>
      <c r="L1284" s="2715" t="s">
        <v>2</v>
      </c>
      <c r="M1284" s="141"/>
      <c r="N1284" s="141"/>
      <c r="O1284" s="141"/>
      <c r="P1284" s="164"/>
      <c r="Q1284" s="209" t="s">
        <v>13</v>
      </c>
      <c r="R1284" s="210" t="s">
        <v>12</v>
      </c>
      <c r="S1284" s="141" t="s">
        <v>6</v>
      </c>
      <c r="T1284" s="2724" t="s">
        <v>14</v>
      </c>
      <c r="U1284" s="2725"/>
      <c r="V1284" s="165" t="s">
        <v>7</v>
      </c>
      <c r="W1284" s="166" t="s">
        <v>15</v>
      </c>
      <c r="X1284" s="5" t="s">
        <v>16</v>
      </c>
      <c r="Y1284" s="5" t="s">
        <v>17</v>
      </c>
      <c r="Z1284" s="5" t="s">
        <v>18</v>
      </c>
      <c r="AA1284" s="5"/>
      <c r="AB1284" s="55" t="s">
        <v>19</v>
      </c>
    </row>
    <row r="1285" spans="1:28" s="580" customFormat="1" ht="18" customHeight="1" x14ac:dyDescent="0.2">
      <c r="A1285" s="2710"/>
      <c r="B1285" s="2154" t="s">
        <v>23</v>
      </c>
      <c r="C1285" s="2710"/>
      <c r="D1285" s="2154" t="s">
        <v>24</v>
      </c>
      <c r="E1285" s="207" t="s">
        <v>25</v>
      </c>
      <c r="F1285" s="2719"/>
      <c r="G1285" s="2720"/>
      <c r="H1285" s="2721"/>
      <c r="I1285" s="2154" t="s">
        <v>26</v>
      </c>
      <c r="J1285" s="211" t="s">
        <v>15</v>
      </c>
      <c r="K1285" s="2157" t="s">
        <v>6</v>
      </c>
      <c r="L1285" s="2722"/>
      <c r="M1285" s="142" t="s">
        <v>27</v>
      </c>
      <c r="N1285" s="142" t="s">
        <v>10</v>
      </c>
      <c r="O1285" s="212" t="s">
        <v>10</v>
      </c>
      <c r="P1285" s="213" t="s">
        <v>28</v>
      </c>
      <c r="Q1285" s="214" t="s">
        <v>29</v>
      </c>
      <c r="R1285" s="213" t="s">
        <v>15</v>
      </c>
      <c r="S1285" s="8" t="s">
        <v>15</v>
      </c>
      <c r="T1285" s="2726"/>
      <c r="U1285" s="2727"/>
      <c r="V1285" s="165" t="s">
        <v>30</v>
      </c>
      <c r="W1285" s="166" t="s">
        <v>31</v>
      </c>
      <c r="X1285" s="5" t="s">
        <v>30</v>
      </c>
      <c r="Y1285" s="5" t="s">
        <v>32</v>
      </c>
      <c r="Z1285" s="5" t="s">
        <v>7</v>
      </c>
      <c r="AA1285" s="5" t="s">
        <v>33</v>
      </c>
      <c r="AB1285" s="55" t="s">
        <v>34</v>
      </c>
    </row>
    <row r="1286" spans="1:28" s="580" customFormat="1" ht="18" customHeight="1" x14ac:dyDescent="0.2">
      <c r="A1286" s="2710"/>
      <c r="B1286" s="2154" t="s">
        <v>39</v>
      </c>
      <c r="C1286" s="2710"/>
      <c r="D1286" s="2154" t="s">
        <v>40</v>
      </c>
      <c r="E1286" s="207" t="s">
        <v>41</v>
      </c>
      <c r="F1286" s="2709" t="s">
        <v>42</v>
      </c>
      <c r="G1286" s="2709" t="s">
        <v>43</v>
      </c>
      <c r="H1286" s="2728" t="s">
        <v>44</v>
      </c>
      <c r="I1286" s="2154" t="s">
        <v>45</v>
      </c>
      <c r="J1286" s="211" t="s">
        <v>46</v>
      </c>
      <c r="K1286" s="2157" t="s">
        <v>47</v>
      </c>
      <c r="L1286" s="2722"/>
      <c r="M1286" s="142" t="s">
        <v>30</v>
      </c>
      <c r="N1286" s="142" t="s">
        <v>30</v>
      </c>
      <c r="O1286" s="212" t="s">
        <v>25</v>
      </c>
      <c r="P1286" s="213" t="s">
        <v>30</v>
      </c>
      <c r="Q1286" s="214" t="s">
        <v>48</v>
      </c>
      <c r="R1286" s="213" t="s">
        <v>49</v>
      </c>
      <c r="S1286" s="8" t="s">
        <v>30</v>
      </c>
      <c r="T1286" s="215" t="s">
        <v>50</v>
      </c>
      <c r="U1286" s="2156" t="s">
        <v>13</v>
      </c>
      <c r="V1286" s="165" t="s">
        <v>51</v>
      </c>
      <c r="W1286" s="166" t="s">
        <v>52</v>
      </c>
      <c r="X1286" s="5" t="s">
        <v>53</v>
      </c>
      <c r="Y1286" s="5" t="s">
        <v>54</v>
      </c>
      <c r="Z1286" s="5" t="s">
        <v>55</v>
      </c>
      <c r="AA1286" s="5" t="s">
        <v>56</v>
      </c>
      <c r="AB1286" s="55" t="s">
        <v>57</v>
      </c>
    </row>
    <row r="1287" spans="1:28" s="580" customFormat="1" ht="18" customHeight="1" x14ac:dyDescent="0.2">
      <c r="A1287" s="2710"/>
      <c r="B1287" s="2154" t="s">
        <v>61</v>
      </c>
      <c r="C1287" s="2710"/>
      <c r="D1287" s="2154" t="s">
        <v>62</v>
      </c>
      <c r="E1287" s="207" t="s">
        <v>63</v>
      </c>
      <c r="F1287" s="2710"/>
      <c r="G1287" s="2710"/>
      <c r="H1287" s="2729"/>
      <c r="I1287" s="2154" t="s">
        <v>64</v>
      </c>
      <c r="J1287" s="211" t="s">
        <v>59</v>
      </c>
      <c r="K1287" s="2157" t="s">
        <v>59</v>
      </c>
      <c r="L1287" s="2722"/>
      <c r="M1287" s="142"/>
      <c r="N1287" s="142"/>
      <c r="O1287" s="212" t="s">
        <v>41</v>
      </c>
      <c r="P1287" s="213" t="s">
        <v>65</v>
      </c>
      <c r="Q1287" s="214" t="s">
        <v>66</v>
      </c>
      <c r="R1287" s="213" t="s">
        <v>67</v>
      </c>
      <c r="S1287" s="8" t="s">
        <v>59</v>
      </c>
      <c r="T1287" s="216" t="s">
        <v>68</v>
      </c>
      <c r="U1287" s="165" t="s">
        <v>14</v>
      </c>
      <c r="V1287" s="165" t="s">
        <v>14</v>
      </c>
      <c r="W1287" s="166" t="s">
        <v>30</v>
      </c>
      <c r="X1287" s="167" t="s">
        <v>69</v>
      </c>
      <c r="Y1287" s="167" t="s">
        <v>70</v>
      </c>
      <c r="Z1287" s="5" t="s">
        <v>71</v>
      </c>
      <c r="AA1287" s="5" t="s">
        <v>72</v>
      </c>
      <c r="AB1287" s="55" t="s">
        <v>59</v>
      </c>
    </row>
    <row r="1288" spans="1:28" s="580" customFormat="1" ht="18" customHeight="1" x14ac:dyDescent="0.2">
      <c r="A1288" s="2711"/>
      <c r="B1288" s="9"/>
      <c r="C1288" s="2711"/>
      <c r="D1288" s="9"/>
      <c r="E1288" s="2155"/>
      <c r="F1288" s="9"/>
      <c r="G1288" s="9"/>
      <c r="H1288" s="10"/>
      <c r="I1288" s="2155"/>
      <c r="J1288" s="217"/>
      <c r="K1288" s="168"/>
      <c r="L1288" s="2723"/>
      <c r="M1288" s="143"/>
      <c r="N1288" s="143"/>
      <c r="O1288" s="143" t="s">
        <v>63</v>
      </c>
      <c r="P1288" s="218"/>
      <c r="Q1288" s="219" t="s">
        <v>72</v>
      </c>
      <c r="R1288" s="220" t="s">
        <v>59</v>
      </c>
      <c r="S1288" s="169"/>
      <c r="T1288" s="220" t="s">
        <v>73</v>
      </c>
      <c r="U1288" s="169" t="s">
        <v>59</v>
      </c>
      <c r="V1288" s="170" t="s">
        <v>59</v>
      </c>
      <c r="W1288" s="171" t="s">
        <v>59</v>
      </c>
      <c r="X1288" s="172" t="s">
        <v>59</v>
      </c>
      <c r="Y1288" s="172" t="s">
        <v>59</v>
      </c>
      <c r="Z1288" s="172" t="s">
        <v>59</v>
      </c>
      <c r="AA1288" s="11"/>
      <c r="AB1288" s="56"/>
    </row>
    <row r="1289" spans="1:28" s="580" customFormat="1" ht="18" customHeight="1" x14ac:dyDescent="0.25">
      <c r="A1289" s="99">
        <v>1</v>
      </c>
      <c r="B1289" s="1672">
        <v>27727</v>
      </c>
      <c r="C1289" s="40">
        <v>770</v>
      </c>
      <c r="D1289" s="40" t="s">
        <v>107</v>
      </c>
      <c r="E1289" s="40">
        <v>4</v>
      </c>
      <c r="F1289" s="1673">
        <v>0</v>
      </c>
      <c r="G1289" s="1673">
        <v>1</v>
      </c>
      <c r="H1289" s="1674">
        <v>15</v>
      </c>
      <c r="I1289" s="308">
        <f>F1289*400+G1289*100+H1289</f>
        <v>115</v>
      </c>
      <c r="J1289" s="1675">
        <v>3000</v>
      </c>
      <c r="K1289" s="581">
        <f>SUM(I1289*J1289)</f>
        <v>345000</v>
      </c>
      <c r="L1289" s="1671">
        <v>248</v>
      </c>
      <c r="M1289" s="69">
        <v>103</v>
      </c>
      <c r="N1289" s="1539" t="s">
        <v>74</v>
      </c>
      <c r="O1289" s="1671">
        <v>2</v>
      </c>
      <c r="P1289" s="1676">
        <v>80</v>
      </c>
      <c r="Q1289" s="1677" t="s">
        <v>75</v>
      </c>
      <c r="R1289" s="1541">
        <v>9050</v>
      </c>
      <c r="S1289" s="1663">
        <f>SUM(P1289*R1289)</f>
        <v>724000</v>
      </c>
      <c r="T1289" s="1469">
        <v>1</v>
      </c>
      <c r="U1289" s="1664">
        <f>+S1289*0.1</f>
        <v>72400</v>
      </c>
      <c r="V1289" s="1664">
        <f>SUM(S1289-U1289)</f>
        <v>651600</v>
      </c>
      <c r="W1289" s="1663">
        <f>K1289+V1289</f>
        <v>996600</v>
      </c>
      <c r="X1289" s="1664">
        <f>W1289</f>
        <v>996600</v>
      </c>
      <c r="Y1289" s="1663"/>
      <c r="Z1289" s="1663">
        <f>+X1289</f>
        <v>996600</v>
      </c>
      <c r="AA1289" s="1678">
        <v>0.02</v>
      </c>
      <c r="AB1289" s="1505">
        <f>+Z1289*AA1289/100</f>
        <v>199.32</v>
      </c>
    </row>
    <row r="1290" spans="1:28" s="580" customFormat="1" ht="18" customHeight="1" x14ac:dyDescent="0.2">
      <c r="A1290" s="100"/>
      <c r="B1290" s="105"/>
      <c r="C1290" s="105"/>
      <c r="D1290" s="105"/>
      <c r="E1290" s="105"/>
      <c r="F1290" s="105"/>
      <c r="G1290" s="105"/>
      <c r="H1290" s="126"/>
      <c r="I1290" s="136"/>
      <c r="J1290" s="111"/>
      <c r="K1290" s="110"/>
      <c r="L1290" s="100"/>
      <c r="M1290" s="105"/>
      <c r="N1290" s="105"/>
      <c r="O1290" s="100"/>
      <c r="P1290" s="131"/>
      <c r="Q1290" s="176"/>
      <c r="R1290" s="249"/>
      <c r="S1290" s="136"/>
      <c r="T1290" s="105"/>
      <c r="U1290" s="136"/>
      <c r="V1290" s="136"/>
      <c r="W1290" s="136"/>
      <c r="X1290" s="136"/>
      <c r="Y1290" s="111"/>
      <c r="Z1290" s="136"/>
      <c r="AA1290" s="583"/>
      <c r="AB1290" s="584"/>
    </row>
    <row r="1291" spans="1:28" s="580" customFormat="1" ht="18" customHeight="1" x14ac:dyDescent="0.2">
      <c r="A1291" s="81"/>
      <c r="B1291" s="105"/>
      <c r="C1291" s="105"/>
      <c r="D1291" s="105"/>
      <c r="E1291" s="105"/>
      <c r="F1291" s="105"/>
      <c r="G1291" s="105"/>
      <c r="H1291" s="126"/>
      <c r="I1291" s="136"/>
      <c r="J1291" s="111"/>
      <c r="K1291" s="110"/>
      <c r="L1291" s="100"/>
      <c r="M1291" s="105"/>
      <c r="N1291" s="105"/>
      <c r="O1291" s="100"/>
      <c r="P1291" s="131"/>
      <c r="Q1291" s="176"/>
      <c r="R1291" s="249"/>
      <c r="S1291" s="136"/>
      <c r="T1291" s="105"/>
      <c r="U1291" s="136"/>
      <c r="V1291" s="136"/>
      <c r="W1291" s="136"/>
      <c r="X1291" s="136"/>
      <c r="Y1291" s="111"/>
      <c r="Z1291" s="136"/>
      <c r="AA1291" s="583"/>
      <c r="AB1291" s="585"/>
    </row>
    <row r="1292" spans="1:28" s="580" customFormat="1" ht="18" customHeight="1" x14ac:dyDescent="0.2">
      <c r="A1292" s="52"/>
      <c r="B1292" s="105"/>
      <c r="C1292" s="105"/>
      <c r="D1292" s="105"/>
      <c r="E1292" s="105"/>
      <c r="F1292" s="105"/>
      <c r="G1292" s="105"/>
      <c r="H1292" s="126"/>
      <c r="I1292" s="136"/>
      <c r="J1292" s="111"/>
      <c r="K1292" s="110"/>
      <c r="L1292" s="100"/>
      <c r="M1292" s="105"/>
      <c r="N1292" s="105"/>
      <c r="O1292" s="100"/>
      <c r="P1292" s="131"/>
      <c r="Q1292" s="176"/>
      <c r="R1292" s="249"/>
      <c r="S1292" s="136"/>
      <c r="T1292" s="105"/>
      <c r="U1292" s="136"/>
      <c r="V1292" s="136"/>
      <c r="W1292" s="136"/>
      <c r="X1292" s="136"/>
      <c r="Y1292" s="111"/>
      <c r="Z1292" s="136"/>
      <c r="AA1292" s="583"/>
      <c r="AB1292" s="585"/>
    </row>
    <row r="1293" spans="1:28" s="580" customFormat="1" ht="18" customHeight="1" x14ac:dyDescent="0.2">
      <c r="A1293" s="81"/>
      <c r="B1293" s="54"/>
      <c r="C1293" s="54"/>
      <c r="D1293" s="54"/>
      <c r="E1293" s="54"/>
      <c r="F1293" s="54"/>
      <c r="G1293" s="54"/>
      <c r="H1293" s="158"/>
      <c r="I1293" s="137"/>
      <c r="J1293" s="116"/>
      <c r="K1293" s="114"/>
      <c r="L1293" s="81"/>
      <c r="M1293" s="54"/>
      <c r="N1293" s="54"/>
      <c r="O1293" s="81"/>
      <c r="P1293" s="200"/>
      <c r="Q1293" s="175"/>
      <c r="R1293" s="194"/>
      <c r="S1293" s="137"/>
      <c r="T1293" s="54"/>
      <c r="U1293" s="137"/>
      <c r="V1293" s="137"/>
      <c r="W1293" s="137"/>
      <c r="X1293" s="137"/>
      <c r="Y1293" s="116"/>
      <c r="Z1293" s="137"/>
      <c r="AA1293" s="586"/>
      <c r="AB1293" s="584"/>
    </row>
    <row r="1294" spans="1:28" s="580" customFormat="1" ht="18" customHeight="1" x14ac:dyDescent="0.2">
      <c r="A1294" s="100"/>
      <c r="B1294" s="105"/>
      <c r="C1294" s="105"/>
      <c r="D1294" s="105"/>
      <c r="E1294" s="105"/>
      <c r="F1294" s="105"/>
      <c r="G1294" s="105"/>
      <c r="H1294" s="126"/>
      <c r="I1294" s="136"/>
      <c r="J1294" s="111"/>
      <c r="K1294" s="110"/>
      <c r="L1294" s="100"/>
      <c r="M1294" s="105"/>
      <c r="N1294" s="105"/>
      <c r="O1294" s="100"/>
      <c r="P1294" s="131"/>
      <c r="Q1294" s="176"/>
      <c r="R1294" s="249"/>
      <c r="S1294" s="136"/>
      <c r="T1294" s="105"/>
      <c r="U1294" s="136"/>
      <c r="V1294" s="136"/>
      <c r="W1294" s="136"/>
      <c r="X1294" s="136"/>
      <c r="Y1294" s="111"/>
      <c r="Z1294" s="136"/>
      <c r="AA1294" s="583"/>
      <c r="AB1294" s="585"/>
    </row>
    <row r="1295" spans="1:28" s="580" customFormat="1" ht="18" customHeight="1" x14ac:dyDescent="0.2">
      <c r="A1295" s="105"/>
      <c r="B1295" s="131"/>
      <c r="C1295" s="131"/>
      <c r="D1295" s="105"/>
      <c r="E1295" s="105"/>
      <c r="F1295" s="105"/>
      <c r="G1295" s="105"/>
      <c r="H1295" s="451"/>
      <c r="I1295" s="111"/>
      <c r="J1295" s="587"/>
      <c r="K1295" s="111"/>
      <c r="L1295" s="105"/>
      <c r="M1295" s="105"/>
      <c r="N1295" s="105"/>
      <c r="O1295" s="105"/>
      <c r="P1295" s="451"/>
      <c r="Q1295" s="251"/>
      <c r="R1295" s="588"/>
      <c r="S1295" s="111"/>
      <c r="T1295" s="589"/>
      <c r="U1295" s="587"/>
      <c r="V1295" s="111"/>
      <c r="W1295" s="111"/>
      <c r="X1295" s="112"/>
      <c r="Y1295" s="112"/>
      <c r="Z1295" s="590"/>
      <c r="AA1295" s="590"/>
      <c r="AB1295" s="591"/>
    </row>
    <row r="1296" spans="1:28" s="580" customFormat="1" ht="18" customHeight="1" x14ac:dyDescent="0.2">
      <c r="A1296" s="105"/>
      <c r="B1296" s="131"/>
      <c r="C1296" s="131"/>
      <c r="D1296" s="105"/>
      <c r="E1296" s="105"/>
      <c r="F1296" s="105"/>
      <c r="G1296" s="105"/>
      <c r="H1296" s="451"/>
      <c r="I1296" s="111"/>
      <c r="J1296" s="587"/>
      <c r="K1296" s="111"/>
      <c r="L1296" s="105"/>
      <c r="M1296" s="105"/>
      <c r="N1296" s="105"/>
      <c r="O1296" s="105"/>
      <c r="P1296" s="451"/>
      <c r="Q1296" s="251"/>
      <c r="R1296" s="588"/>
      <c r="S1296" s="111"/>
      <c r="T1296" s="589"/>
      <c r="U1296" s="587"/>
      <c r="V1296" s="111"/>
      <c r="W1296" s="111"/>
      <c r="X1296" s="112"/>
      <c r="Y1296" s="112"/>
      <c r="Z1296" s="590"/>
      <c r="AA1296" s="590"/>
      <c r="AB1296" s="591"/>
    </row>
    <row r="1297" spans="1:28" s="580" customFormat="1" ht="18" customHeight="1" x14ac:dyDescent="0.2">
      <c r="A1297" s="105"/>
      <c r="B1297" s="131"/>
      <c r="C1297" s="131"/>
      <c r="D1297" s="105"/>
      <c r="E1297" s="105"/>
      <c r="F1297" s="105"/>
      <c r="G1297" s="105"/>
      <c r="H1297" s="451"/>
      <c r="I1297" s="111"/>
      <c r="J1297" s="587"/>
      <c r="K1297" s="111"/>
      <c r="L1297" s="105"/>
      <c r="M1297" s="105"/>
      <c r="N1297" s="105"/>
      <c r="O1297" s="105"/>
      <c r="P1297" s="451"/>
      <c r="Q1297" s="251"/>
      <c r="R1297" s="588"/>
      <c r="S1297" s="111"/>
      <c r="T1297" s="589"/>
      <c r="U1297" s="587"/>
      <c r="V1297" s="111"/>
      <c r="W1297" s="111"/>
      <c r="X1297" s="112"/>
      <c r="Y1297" s="112"/>
      <c r="Z1297" s="590"/>
      <c r="AA1297" s="590"/>
      <c r="AB1297" s="591"/>
    </row>
    <row r="1298" spans="1:28" s="580" customFormat="1" ht="18" customHeight="1" x14ac:dyDescent="0.2">
      <c r="A1298" s="105"/>
      <c r="B1298" s="131"/>
      <c r="C1298" s="131"/>
      <c r="D1298" s="105"/>
      <c r="E1298" s="105"/>
      <c r="F1298" s="105"/>
      <c r="G1298" s="105"/>
      <c r="H1298" s="451"/>
      <c r="I1298" s="111"/>
      <c r="J1298" s="587"/>
      <c r="K1298" s="111"/>
      <c r="L1298" s="105"/>
      <c r="M1298" s="105"/>
      <c r="N1298" s="105"/>
      <c r="O1298" s="105"/>
      <c r="P1298" s="451"/>
      <c r="Q1298" s="251"/>
      <c r="R1298" s="588"/>
      <c r="S1298" s="111"/>
      <c r="T1298" s="589"/>
      <c r="U1298" s="587"/>
      <c r="V1298" s="111"/>
      <c r="W1298" s="111"/>
      <c r="X1298" s="112"/>
      <c r="Y1298" s="112"/>
      <c r="Z1298" s="590"/>
      <c r="AA1298" s="590"/>
      <c r="AB1298" s="591"/>
    </row>
    <row r="1299" spans="1:28" s="580" customFormat="1" ht="18" customHeight="1" x14ac:dyDescent="0.2">
      <c r="A1299" s="105"/>
      <c r="B1299" s="131"/>
      <c r="C1299" s="131"/>
      <c r="D1299" s="105"/>
      <c r="E1299" s="105"/>
      <c r="F1299" s="105"/>
      <c r="G1299" s="105"/>
      <c r="H1299" s="451"/>
      <c r="I1299" s="111"/>
      <c r="J1299" s="587"/>
      <c r="K1299" s="111"/>
      <c r="L1299" s="105"/>
      <c r="M1299" s="105"/>
      <c r="N1299" s="105"/>
      <c r="O1299" s="105"/>
      <c r="P1299" s="451"/>
      <c r="Q1299" s="251"/>
      <c r="R1299" s="588"/>
      <c r="S1299" s="111"/>
      <c r="T1299" s="589"/>
      <c r="U1299" s="587"/>
      <c r="V1299" s="111"/>
      <c r="W1299" s="111"/>
      <c r="X1299" s="112"/>
      <c r="Y1299" s="112"/>
      <c r="Z1299" s="590"/>
      <c r="AA1299" s="590"/>
      <c r="AB1299" s="591"/>
    </row>
    <row r="1300" spans="1:28" s="580" customFormat="1" ht="18" customHeight="1" x14ac:dyDescent="0.2">
      <c r="A1300" s="105"/>
      <c r="B1300" s="131"/>
      <c r="C1300" s="131"/>
      <c r="D1300" s="105"/>
      <c r="E1300" s="105"/>
      <c r="F1300" s="105"/>
      <c r="G1300" s="105"/>
      <c r="H1300" s="451"/>
      <c r="I1300" s="111"/>
      <c r="J1300" s="587"/>
      <c r="K1300" s="111"/>
      <c r="L1300" s="105"/>
      <c r="M1300" s="105"/>
      <c r="N1300" s="105"/>
      <c r="O1300" s="105"/>
      <c r="P1300" s="451"/>
      <c r="Q1300" s="251"/>
      <c r="R1300" s="588"/>
      <c r="S1300" s="111"/>
      <c r="T1300" s="589"/>
      <c r="U1300" s="587"/>
      <c r="V1300" s="111"/>
      <c r="W1300" s="111"/>
      <c r="X1300" s="112"/>
      <c r="Y1300" s="112"/>
      <c r="Z1300" s="590"/>
      <c r="AA1300" s="590"/>
      <c r="AB1300" s="591"/>
    </row>
    <row r="1301" spans="1:28" s="580" customFormat="1" ht="18" customHeight="1" x14ac:dyDescent="0.2">
      <c r="A1301" s="105"/>
      <c r="B1301" s="131"/>
      <c r="C1301" s="131"/>
      <c r="D1301" s="105"/>
      <c r="E1301" s="105"/>
      <c r="F1301" s="105"/>
      <c r="G1301" s="105"/>
      <c r="H1301" s="451"/>
      <c r="I1301" s="111"/>
      <c r="J1301" s="587"/>
      <c r="K1301" s="111"/>
      <c r="L1301" s="105"/>
      <c r="M1301" s="105"/>
      <c r="N1301" s="105"/>
      <c r="O1301" s="105"/>
      <c r="P1301" s="451"/>
      <c r="Q1301" s="251"/>
      <c r="R1301" s="588"/>
      <c r="S1301" s="111"/>
      <c r="T1301" s="589"/>
      <c r="U1301" s="587"/>
      <c r="V1301" s="111"/>
      <c r="W1301" s="111"/>
      <c r="X1301" s="112"/>
      <c r="Y1301" s="112"/>
      <c r="Z1301" s="590"/>
      <c r="AA1301" s="590"/>
      <c r="AB1301" s="591"/>
    </row>
    <row r="1302" spans="1:28" s="580" customFormat="1" ht="18" customHeight="1" x14ac:dyDescent="0.2">
      <c r="A1302" s="54"/>
      <c r="B1302" s="200"/>
      <c r="C1302" s="200"/>
      <c r="D1302" s="54"/>
      <c r="E1302" s="54"/>
      <c r="F1302" s="54"/>
      <c r="G1302" s="54"/>
      <c r="H1302" s="250"/>
      <c r="I1302" s="116"/>
      <c r="J1302" s="592"/>
      <c r="K1302" s="116"/>
      <c r="L1302" s="54"/>
      <c r="M1302" s="54"/>
      <c r="N1302" s="54"/>
      <c r="O1302" s="54"/>
      <c r="P1302" s="54"/>
      <c r="Q1302" s="191"/>
      <c r="R1302" s="593"/>
      <c r="S1302" s="116"/>
      <c r="T1302" s="594"/>
      <c r="U1302" s="592"/>
      <c r="V1302" s="116"/>
      <c r="W1302" s="116"/>
      <c r="X1302" s="118"/>
      <c r="Y1302" s="118"/>
      <c r="Z1302" s="595"/>
      <c r="AA1302" s="595"/>
      <c r="AB1302" s="585"/>
    </row>
    <row r="1303" spans="1:28" s="2219" customFormat="1" ht="18" customHeight="1" x14ac:dyDescent="0.2">
      <c r="A1303" s="2210"/>
      <c r="B1303" s="2210"/>
      <c r="C1303" s="2210"/>
      <c r="D1303" s="2210"/>
      <c r="E1303" s="2210"/>
      <c r="F1303" s="2210"/>
      <c r="G1303" s="2210"/>
      <c r="H1303" s="2211"/>
      <c r="I1303" s="2212"/>
      <c r="J1303" s="2213"/>
      <c r="K1303" s="2212"/>
      <c r="L1303" s="2212"/>
      <c r="M1303" s="2212"/>
      <c r="N1303" s="2212"/>
      <c r="O1303" s="2212"/>
      <c r="P1303" s="2212"/>
      <c r="Q1303" s="2212"/>
      <c r="R1303" s="2214"/>
      <c r="S1303" s="2212"/>
      <c r="T1303" s="2215"/>
      <c r="U1303" s="2213"/>
      <c r="V1303" s="2212"/>
      <c r="W1303" s="2212"/>
      <c r="X1303" s="2216"/>
      <c r="Y1303" s="2216"/>
      <c r="Z1303" s="2217"/>
      <c r="AA1303" s="2217"/>
      <c r="AB1303" s="2218">
        <f>SUM(AB1289:AB1302)</f>
        <v>199.32</v>
      </c>
    </row>
    <row r="1304" spans="1:28" s="580" customFormat="1" ht="18" customHeight="1" x14ac:dyDescent="0.2">
      <c r="A1304" s="2772" t="s">
        <v>76</v>
      </c>
      <c r="B1304" s="2772"/>
      <c r="C1304" s="2773" t="s">
        <v>77</v>
      </c>
      <c r="D1304" s="2773"/>
      <c r="E1304" s="2773"/>
      <c r="F1304" s="2773"/>
      <c r="G1304" s="2773"/>
      <c r="H1304" s="2773"/>
      <c r="I1304" s="224" t="s">
        <v>78</v>
      </c>
      <c r="J1304" s="224"/>
      <c r="K1304" s="224"/>
      <c r="L1304" s="224"/>
      <c r="M1304" s="224"/>
      <c r="N1304" s="224"/>
      <c r="AB1304" s="225"/>
    </row>
    <row r="1305" spans="1:28" s="580" customFormat="1" ht="18" customHeight="1" x14ac:dyDescent="0.2">
      <c r="A1305" s="224"/>
      <c r="B1305" s="226"/>
      <c r="C1305" s="224"/>
      <c r="D1305" s="224"/>
      <c r="E1305" s="224"/>
      <c r="F1305" s="224"/>
      <c r="G1305" s="224"/>
      <c r="H1305" s="224"/>
      <c r="I1305" s="224" t="s">
        <v>79</v>
      </c>
      <c r="J1305" s="224"/>
      <c r="K1305" s="224"/>
      <c r="L1305" s="224"/>
      <c r="M1305" s="224"/>
      <c r="N1305" s="224"/>
      <c r="AB1305" s="225"/>
    </row>
    <row r="1306" spans="1:28" s="580" customFormat="1" ht="18" customHeight="1" x14ac:dyDescent="0.2">
      <c r="A1306" s="224"/>
      <c r="B1306" s="226"/>
      <c r="C1306" s="224"/>
      <c r="D1306" s="224"/>
      <c r="E1306" s="224"/>
      <c r="F1306" s="224"/>
      <c r="G1306" s="224"/>
      <c r="H1306" s="224"/>
      <c r="I1306" s="224" t="s">
        <v>80</v>
      </c>
      <c r="J1306" s="224"/>
      <c r="K1306" s="224"/>
      <c r="L1306" s="224"/>
      <c r="M1306" s="224"/>
      <c r="N1306" s="224"/>
      <c r="AB1306" s="225"/>
    </row>
    <row r="1307" spans="1:28" s="580" customFormat="1" ht="18" customHeight="1" x14ac:dyDescent="0.2">
      <c r="A1307" s="224"/>
      <c r="B1307" s="226"/>
      <c r="C1307" s="224"/>
      <c r="D1307" s="224"/>
      <c r="E1307" s="224"/>
      <c r="F1307" s="224"/>
      <c r="G1307" s="224"/>
      <c r="H1307" s="224"/>
      <c r="I1307" s="224" t="s">
        <v>81</v>
      </c>
      <c r="J1307" s="224"/>
      <c r="K1307" s="224"/>
      <c r="L1307" s="224"/>
      <c r="M1307" s="224"/>
      <c r="N1307" s="224"/>
      <c r="AB1307" s="225"/>
    </row>
    <row r="1308" spans="1:28" s="580" customFormat="1" ht="18" customHeight="1" x14ac:dyDescent="0.2">
      <c r="A1308" s="224"/>
      <c r="B1308" s="226"/>
      <c r="C1308" s="224"/>
      <c r="D1308" s="224"/>
      <c r="E1308" s="224"/>
      <c r="F1308" s="224"/>
      <c r="G1308" s="224"/>
      <c r="H1308" s="224"/>
      <c r="I1308" s="224" t="s">
        <v>88</v>
      </c>
      <c r="J1308" s="224"/>
      <c r="K1308" s="224"/>
      <c r="L1308" s="224"/>
      <c r="M1308" s="224"/>
      <c r="N1308" s="224"/>
      <c r="AB1308" s="225"/>
    </row>
    <row r="1309" spans="1:28" s="352" customFormat="1" ht="18" customHeight="1" x14ac:dyDescent="0.2">
      <c r="A1309" s="338"/>
      <c r="B1309" s="338"/>
      <c r="C1309" s="338"/>
      <c r="D1309" s="338"/>
      <c r="E1309" s="338"/>
      <c r="F1309" s="338"/>
      <c r="G1309" s="338"/>
      <c r="H1309" s="338"/>
      <c r="I1309" s="338"/>
      <c r="J1309" s="338"/>
      <c r="K1309" s="338"/>
      <c r="L1309" s="338"/>
      <c r="M1309" s="338"/>
      <c r="N1309" s="338"/>
      <c r="O1309" s="338"/>
      <c r="P1309" s="338"/>
      <c r="Q1309" s="338"/>
      <c r="R1309" s="338"/>
      <c r="S1309" s="338"/>
      <c r="T1309" s="338"/>
      <c r="U1309" s="338"/>
      <c r="V1309" s="338"/>
      <c r="W1309" s="338"/>
      <c r="X1309" s="338"/>
      <c r="Y1309" s="338"/>
      <c r="Z1309" s="338"/>
      <c r="AA1309" s="2774" t="s">
        <v>0</v>
      </c>
      <c r="AB1309" s="2774"/>
    </row>
    <row r="1310" spans="1:28" s="352" customFormat="1" ht="18" customHeight="1" x14ac:dyDescent="0.2">
      <c r="A1310" s="2703" t="s">
        <v>1</v>
      </c>
      <c r="B1310" s="2703"/>
      <c r="C1310" s="2703"/>
      <c r="D1310" s="2703"/>
      <c r="E1310" s="2703"/>
      <c r="F1310" s="2703"/>
      <c r="G1310" s="2703"/>
      <c r="H1310" s="2703"/>
      <c r="I1310" s="2703"/>
      <c r="J1310" s="2703"/>
      <c r="K1310" s="2703"/>
      <c r="L1310" s="2703"/>
      <c r="M1310" s="2703"/>
      <c r="N1310" s="2703"/>
      <c r="O1310" s="2703"/>
      <c r="P1310" s="2703"/>
      <c r="Q1310" s="2703"/>
      <c r="R1310" s="2703"/>
      <c r="S1310" s="2703"/>
      <c r="T1310" s="2703"/>
      <c r="U1310" s="2703"/>
      <c r="V1310" s="2703"/>
      <c r="W1310" s="2703"/>
      <c r="X1310" s="2703"/>
      <c r="Y1310" s="2703"/>
      <c r="Z1310" s="2703"/>
      <c r="AA1310" s="2703"/>
      <c r="AB1310" s="2703"/>
    </row>
    <row r="1311" spans="1:28" s="352" customFormat="1" ht="18" customHeight="1" x14ac:dyDescent="0.2">
      <c r="A1311" s="2780" t="s">
        <v>641</v>
      </c>
      <c r="B1311" s="2780"/>
      <c r="C1311" s="2780"/>
      <c r="D1311" s="2780"/>
      <c r="E1311" s="2780"/>
      <c r="F1311" s="2780"/>
      <c r="G1311" s="2780"/>
      <c r="H1311" s="2780"/>
      <c r="I1311" s="2780"/>
      <c r="J1311" s="2780"/>
      <c r="K1311" s="2780"/>
      <c r="L1311" s="2780"/>
      <c r="M1311" s="2780"/>
      <c r="N1311" s="2780"/>
      <c r="O1311" s="2780"/>
      <c r="P1311" s="2780"/>
      <c r="Q1311" s="2780"/>
      <c r="R1311" s="2780"/>
      <c r="S1311" s="2780"/>
      <c r="T1311" s="2780"/>
      <c r="U1311" s="2780"/>
      <c r="V1311" s="2780"/>
      <c r="W1311" s="2780"/>
      <c r="X1311" s="2780"/>
      <c r="Y1311" s="2780"/>
      <c r="Z1311" s="2780"/>
      <c r="AA1311" s="2780"/>
      <c r="AB1311" s="2780"/>
    </row>
    <row r="1312" spans="1:28" s="352" customFormat="1" ht="18" customHeight="1" x14ac:dyDescent="0.2">
      <c r="A1312" s="2686" t="s">
        <v>2</v>
      </c>
      <c r="B1312" s="360"/>
      <c r="C1312" s="2686" t="s">
        <v>3</v>
      </c>
      <c r="D1312" s="360"/>
      <c r="E1312" s="360"/>
      <c r="F1312" s="2693" t="s">
        <v>4</v>
      </c>
      <c r="G1312" s="2693"/>
      <c r="H1312" s="2693"/>
      <c r="I1312" s="2694"/>
      <c r="J1312" s="2694"/>
      <c r="K1312" s="2695"/>
      <c r="L1312" s="361"/>
      <c r="M1312" s="2679" t="s">
        <v>5</v>
      </c>
      <c r="N1312" s="2679"/>
      <c r="O1312" s="2679"/>
      <c r="P1312" s="2679"/>
      <c r="Q1312" s="2696"/>
      <c r="R1312" s="2696"/>
      <c r="S1312" s="2696"/>
      <c r="T1312" s="2696"/>
      <c r="U1312" s="2696"/>
      <c r="V1312" s="2697"/>
      <c r="W1312" s="362" t="s">
        <v>6</v>
      </c>
      <c r="X1312" s="363" t="s">
        <v>7</v>
      </c>
      <c r="Y1312" s="364"/>
      <c r="Z1312" s="364"/>
      <c r="AA1312" s="363"/>
      <c r="AB1312" s="365"/>
    </row>
    <row r="1313" spans="1:28" s="352" customFormat="1" ht="18" customHeight="1" x14ac:dyDescent="0.2">
      <c r="A1313" s="2687"/>
      <c r="B1313" s="367"/>
      <c r="C1313" s="2687"/>
      <c r="D1313" s="2158" t="s">
        <v>9</v>
      </c>
      <c r="E1313" s="368" t="s">
        <v>10</v>
      </c>
      <c r="F1313" s="2698" t="s">
        <v>11</v>
      </c>
      <c r="G1313" s="2694"/>
      <c r="H1313" s="2695"/>
      <c r="I1313" s="360"/>
      <c r="J1313" s="369" t="s">
        <v>12</v>
      </c>
      <c r="K1313" s="360"/>
      <c r="L1313" s="2679" t="s">
        <v>2</v>
      </c>
      <c r="M1313" s="2162"/>
      <c r="N1313" s="2162"/>
      <c r="O1313" s="2162"/>
      <c r="P1313" s="371"/>
      <c r="Q1313" s="372" t="s">
        <v>13</v>
      </c>
      <c r="R1313" s="373" t="s">
        <v>12</v>
      </c>
      <c r="S1313" s="2162" t="s">
        <v>6</v>
      </c>
      <c r="T1313" s="2682" t="s">
        <v>14</v>
      </c>
      <c r="U1313" s="2683"/>
      <c r="V1313" s="375" t="s">
        <v>7</v>
      </c>
      <c r="W1313" s="376" t="s">
        <v>15</v>
      </c>
      <c r="X1313" s="377" t="s">
        <v>16</v>
      </c>
      <c r="Y1313" s="377" t="s">
        <v>17</v>
      </c>
      <c r="Z1313" s="377" t="s">
        <v>18</v>
      </c>
      <c r="AA1313" s="377"/>
      <c r="AB1313" s="378" t="s">
        <v>19</v>
      </c>
    </row>
    <row r="1314" spans="1:28" s="352" customFormat="1" ht="18" customHeight="1" x14ac:dyDescent="0.2">
      <c r="A1314" s="2687"/>
      <c r="B1314" s="2158" t="s">
        <v>23</v>
      </c>
      <c r="C1314" s="2687"/>
      <c r="D1314" s="2158" t="s">
        <v>24</v>
      </c>
      <c r="E1314" s="368" t="s">
        <v>25</v>
      </c>
      <c r="F1314" s="2699"/>
      <c r="G1314" s="2700"/>
      <c r="H1314" s="2701"/>
      <c r="I1314" s="2158" t="s">
        <v>26</v>
      </c>
      <c r="J1314" s="379" t="s">
        <v>15</v>
      </c>
      <c r="K1314" s="2159" t="s">
        <v>6</v>
      </c>
      <c r="L1314" s="2680"/>
      <c r="M1314" s="2163" t="s">
        <v>27</v>
      </c>
      <c r="N1314" s="2163" t="s">
        <v>10</v>
      </c>
      <c r="O1314" s="382" t="s">
        <v>10</v>
      </c>
      <c r="P1314" s="383" t="s">
        <v>28</v>
      </c>
      <c r="Q1314" s="384" t="s">
        <v>29</v>
      </c>
      <c r="R1314" s="383" t="s">
        <v>15</v>
      </c>
      <c r="S1314" s="385" t="s">
        <v>15</v>
      </c>
      <c r="T1314" s="2684"/>
      <c r="U1314" s="2685"/>
      <c r="V1314" s="375" t="s">
        <v>30</v>
      </c>
      <c r="W1314" s="376" t="s">
        <v>31</v>
      </c>
      <c r="X1314" s="377" t="s">
        <v>30</v>
      </c>
      <c r="Y1314" s="377" t="s">
        <v>32</v>
      </c>
      <c r="Z1314" s="377" t="s">
        <v>7</v>
      </c>
      <c r="AA1314" s="377" t="s">
        <v>33</v>
      </c>
      <c r="AB1314" s="378" t="s">
        <v>34</v>
      </c>
    </row>
    <row r="1315" spans="1:28" s="352" customFormat="1" ht="18" customHeight="1" x14ac:dyDescent="0.2">
      <c r="A1315" s="2687"/>
      <c r="B1315" s="2158" t="s">
        <v>39</v>
      </c>
      <c r="C1315" s="2687"/>
      <c r="D1315" s="2158" t="s">
        <v>40</v>
      </c>
      <c r="E1315" s="368" t="s">
        <v>41</v>
      </c>
      <c r="F1315" s="2686" t="s">
        <v>42</v>
      </c>
      <c r="G1315" s="2686" t="s">
        <v>43</v>
      </c>
      <c r="H1315" s="2688" t="s">
        <v>44</v>
      </c>
      <c r="I1315" s="2158" t="s">
        <v>45</v>
      </c>
      <c r="J1315" s="379" t="s">
        <v>46</v>
      </c>
      <c r="K1315" s="2159" t="s">
        <v>47</v>
      </c>
      <c r="L1315" s="2680"/>
      <c r="M1315" s="2163" t="s">
        <v>30</v>
      </c>
      <c r="N1315" s="2163" t="s">
        <v>30</v>
      </c>
      <c r="O1315" s="382" t="s">
        <v>25</v>
      </c>
      <c r="P1315" s="383" t="s">
        <v>30</v>
      </c>
      <c r="Q1315" s="384" t="s">
        <v>48</v>
      </c>
      <c r="R1315" s="383" t="s">
        <v>49</v>
      </c>
      <c r="S1315" s="385" t="s">
        <v>30</v>
      </c>
      <c r="T1315" s="386" t="s">
        <v>50</v>
      </c>
      <c r="U1315" s="2161" t="s">
        <v>13</v>
      </c>
      <c r="V1315" s="375" t="s">
        <v>51</v>
      </c>
      <c r="W1315" s="376" t="s">
        <v>52</v>
      </c>
      <c r="X1315" s="377" t="s">
        <v>53</v>
      </c>
      <c r="Y1315" s="377" t="s">
        <v>54</v>
      </c>
      <c r="Z1315" s="377" t="s">
        <v>55</v>
      </c>
      <c r="AA1315" s="377" t="s">
        <v>56</v>
      </c>
      <c r="AB1315" s="378" t="s">
        <v>57</v>
      </c>
    </row>
    <row r="1316" spans="1:28" s="352" customFormat="1" ht="18" customHeight="1" x14ac:dyDescent="0.2">
      <c r="A1316" s="2687"/>
      <c r="B1316" s="2158" t="s">
        <v>61</v>
      </c>
      <c r="C1316" s="2687"/>
      <c r="D1316" s="2158" t="s">
        <v>62</v>
      </c>
      <c r="E1316" s="368" t="s">
        <v>63</v>
      </c>
      <c r="F1316" s="2687"/>
      <c r="G1316" s="2687"/>
      <c r="H1316" s="2689"/>
      <c r="I1316" s="2158" t="s">
        <v>64</v>
      </c>
      <c r="J1316" s="379" t="s">
        <v>59</v>
      </c>
      <c r="K1316" s="2159" t="s">
        <v>59</v>
      </c>
      <c r="L1316" s="2680"/>
      <c r="M1316" s="2163"/>
      <c r="N1316" s="2163"/>
      <c r="O1316" s="382" t="s">
        <v>41</v>
      </c>
      <c r="P1316" s="383" t="s">
        <v>65</v>
      </c>
      <c r="Q1316" s="384" t="s">
        <v>66</v>
      </c>
      <c r="R1316" s="383" t="s">
        <v>67</v>
      </c>
      <c r="S1316" s="385" t="s">
        <v>59</v>
      </c>
      <c r="T1316" s="387" t="s">
        <v>68</v>
      </c>
      <c r="U1316" s="375" t="s">
        <v>14</v>
      </c>
      <c r="V1316" s="375" t="s">
        <v>14</v>
      </c>
      <c r="W1316" s="376" t="s">
        <v>30</v>
      </c>
      <c r="X1316" s="388" t="s">
        <v>69</v>
      </c>
      <c r="Y1316" s="388" t="s">
        <v>70</v>
      </c>
      <c r="Z1316" s="377" t="s">
        <v>71</v>
      </c>
      <c r="AA1316" s="377" t="s">
        <v>72</v>
      </c>
      <c r="AB1316" s="378" t="s">
        <v>59</v>
      </c>
    </row>
    <row r="1317" spans="1:28" s="352" customFormat="1" ht="18" customHeight="1" x14ac:dyDescent="0.2">
      <c r="A1317" s="2692"/>
      <c r="B1317" s="390"/>
      <c r="C1317" s="2692"/>
      <c r="D1317" s="390"/>
      <c r="E1317" s="2160"/>
      <c r="F1317" s="390"/>
      <c r="G1317" s="390"/>
      <c r="H1317" s="391"/>
      <c r="I1317" s="2160"/>
      <c r="J1317" s="392"/>
      <c r="K1317" s="393"/>
      <c r="L1317" s="2681"/>
      <c r="M1317" s="2164"/>
      <c r="N1317" s="2164"/>
      <c r="O1317" s="2164" t="s">
        <v>63</v>
      </c>
      <c r="P1317" s="395"/>
      <c r="Q1317" s="396" t="s">
        <v>72</v>
      </c>
      <c r="R1317" s="397" t="s">
        <v>59</v>
      </c>
      <c r="S1317" s="398"/>
      <c r="T1317" s="397" t="s">
        <v>73</v>
      </c>
      <c r="U1317" s="398" t="s">
        <v>59</v>
      </c>
      <c r="V1317" s="399" t="s">
        <v>59</v>
      </c>
      <c r="W1317" s="400" t="s">
        <v>59</v>
      </c>
      <c r="X1317" s="401" t="s">
        <v>59</v>
      </c>
      <c r="Y1317" s="401" t="s">
        <v>59</v>
      </c>
      <c r="Z1317" s="401" t="s">
        <v>59</v>
      </c>
      <c r="AA1317" s="402"/>
      <c r="AB1317" s="403"/>
    </row>
    <row r="1318" spans="1:28" s="352" customFormat="1" ht="18" customHeight="1" x14ac:dyDescent="0.2">
      <c r="A1318" s="53">
        <v>1</v>
      </c>
      <c r="B1318" s="41">
        <v>27728</v>
      </c>
      <c r="C1318" s="41">
        <v>771</v>
      </c>
      <c r="D1318" s="41" t="s">
        <v>107</v>
      </c>
      <c r="E1318" s="41">
        <v>4</v>
      </c>
      <c r="F1318" s="41">
        <v>0</v>
      </c>
      <c r="G1318" s="41">
        <v>1</v>
      </c>
      <c r="H1318" s="267">
        <v>46</v>
      </c>
      <c r="I1318" s="302">
        <f>F1318*400+G1318*100+H1318</f>
        <v>146</v>
      </c>
      <c r="J1318" s="310">
        <v>3000</v>
      </c>
      <c r="K1318" s="303">
        <f>SUM(I1318*J1318)</f>
        <v>438000</v>
      </c>
      <c r="L1318" s="16"/>
      <c r="M1318" s="82"/>
      <c r="N1318" s="41"/>
      <c r="O1318" s="16">
        <v>4</v>
      </c>
      <c r="P1318" s="404"/>
      <c r="Q1318" s="14"/>
      <c r="R1318" s="302"/>
      <c r="S1318" s="302"/>
      <c r="T1318" s="41"/>
      <c r="U1318" s="302"/>
      <c r="V1318" s="302"/>
      <c r="W1318" s="302">
        <f>K1318+V1318</f>
        <v>438000</v>
      </c>
      <c r="X1318" s="302">
        <f>W1318</f>
        <v>438000</v>
      </c>
      <c r="Y1318" s="310"/>
      <c r="Z1318" s="302">
        <f>+X1318</f>
        <v>438000</v>
      </c>
      <c r="AA1318" s="405">
        <v>0.6</v>
      </c>
      <c r="AB1318" s="465">
        <f>+Z1318*AA1318/100</f>
        <v>2628</v>
      </c>
    </row>
    <row r="1319" spans="1:28" s="352" customFormat="1" ht="18" customHeight="1" x14ac:dyDescent="0.2">
      <c r="A1319" s="61"/>
      <c r="B1319" s="2166"/>
      <c r="C1319" s="2166"/>
      <c r="D1319" s="2166"/>
      <c r="E1319" s="2166"/>
      <c r="F1319" s="2166"/>
      <c r="G1319" s="2166"/>
      <c r="H1319" s="407"/>
      <c r="I1319" s="77"/>
      <c r="J1319" s="2168"/>
      <c r="K1319" s="78"/>
      <c r="L1319" s="61"/>
      <c r="M1319" s="2166"/>
      <c r="N1319" s="2166"/>
      <c r="O1319" s="61"/>
      <c r="P1319" s="177"/>
      <c r="Q1319" s="196"/>
      <c r="R1319" s="408"/>
      <c r="S1319" s="77"/>
      <c r="T1319" s="2166"/>
      <c r="U1319" s="77"/>
      <c r="V1319" s="77"/>
      <c r="W1319" s="77"/>
      <c r="X1319" s="77"/>
      <c r="Y1319" s="2168"/>
      <c r="Z1319" s="77"/>
      <c r="AA1319" s="2170"/>
      <c r="AB1319" s="416"/>
    </row>
    <row r="1320" spans="1:28" s="352" customFormat="1" ht="18" customHeight="1" x14ac:dyDescent="0.2">
      <c r="A1320" s="75"/>
      <c r="B1320" s="2166"/>
      <c r="C1320" s="2166"/>
      <c r="D1320" s="2166"/>
      <c r="E1320" s="2166"/>
      <c r="F1320" s="2166"/>
      <c r="G1320" s="2166"/>
      <c r="H1320" s="407"/>
      <c r="I1320" s="77"/>
      <c r="J1320" s="2168"/>
      <c r="K1320" s="78"/>
      <c r="L1320" s="61"/>
      <c r="M1320" s="2166"/>
      <c r="N1320" s="2166"/>
      <c r="O1320" s="61"/>
      <c r="P1320" s="177"/>
      <c r="Q1320" s="196"/>
      <c r="R1320" s="408"/>
      <c r="S1320" s="77"/>
      <c r="T1320" s="2166"/>
      <c r="U1320" s="77"/>
      <c r="V1320" s="77"/>
      <c r="W1320" s="77"/>
      <c r="X1320" s="77"/>
      <c r="Y1320" s="2168"/>
      <c r="Z1320" s="77"/>
      <c r="AA1320" s="2170"/>
      <c r="AB1320" s="410"/>
    </row>
    <row r="1321" spans="1:28" s="352" customFormat="1" ht="18" customHeight="1" x14ac:dyDescent="0.2">
      <c r="A1321" s="242"/>
      <c r="B1321" s="2166"/>
      <c r="C1321" s="2166"/>
      <c r="D1321" s="2166"/>
      <c r="E1321" s="2166"/>
      <c r="F1321" s="2166"/>
      <c r="G1321" s="2166"/>
      <c r="H1321" s="407"/>
      <c r="I1321" s="77"/>
      <c r="J1321" s="2168"/>
      <c r="K1321" s="78"/>
      <c r="L1321" s="61"/>
      <c r="M1321" s="2166"/>
      <c r="N1321" s="2166"/>
      <c r="O1321" s="61"/>
      <c r="P1321" s="177"/>
      <c r="Q1321" s="196"/>
      <c r="R1321" s="408"/>
      <c r="S1321" s="77"/>
      <c r="T1321" s="2166"/>
      <c r="U1321" s="77"/>
      <c r="V1321" s="77"/>
      <c r="W1321" s="77"/>
      <c r="X1321" s="77"/>
      <c r="Y1321" s="2168"/>
      <c r="Z1321" s="77"/>
      <c r="AA1321" s="2170"/>
      <c r="AB1321" s="410"/>
    </row>
    <row r="1322" spans="1:28" s="352" customFormat="1" ht="18" customHeight="1" x14ac:dyDescent="0.2">
      <c r="A1322" s="75"/>
      <c r="B1322" s="88"/>
      <c r="C1322" s="88"/>
      <c r="D1322" s="88"/>
      <c r="E1322" s="88"/>
      <c r="F1322" s="88"/>
      <c r="G1322" s="88"/>
      <c r="H1322" s="495"/>
      <c r="I1322" s="74"/>
      <c r="J1322" s="121"/>
      <c r="K1322" s="159"/>
      <c r="L1322" s="75"/>
      <c r="M1322" s="88"/>
      <c r="N1322" s="88"/>
      <c r="O1322" s="75"/>
      <c r="P1322" s="180"/>
      <c r="Q1322" s="174"/>
      <c r="R1322" s="413"/>
      <c r="S1322" s="74"/>
      <c r="T1322" s="88"/>
      <c r="U1322" s="74"/>
      <c r="V1322" s="74"/>
      <c r="W1322" s="74"/>
      <c r="X1322" s="74"/>
      <c r="Y1322" s="121"/>
      <c r="Z1322" s="74"/>
      <c r="AA1322" s="414"/>
      <c r="AB1322" s="416"/>
    </row>
    <row r="1323" spans="1:28" s="352" customFormat="1" ht="18" customHeight="1" x14ac:dyDescent="0.2">
      <c r="A1323" s="61"/>
      <c r="B1323" s="2166"/>
      <c r="C1323" s="2166"/>
      <c r="D1323" s="2166"/>
      <c r="E1323" s="2166"/>
      <c r="F1323" s="2166"/>
      <c r="G1323" s="2166"/>
      <c r="H1323" s="407"/>
      <c r="I1323" s="77"/>
      <c r="J1323" s="2168"/>
      <c r="K1323" s="78"/>
      <c r="L1323" s="61"/>
      <c r="M1323" s="2166"/>
      <c r="N1323" s="2166"/>
      <c r="O1323" s="61"/>
      <c r="P1323" s="177"/>
      <c r="Q1323" s="196"/>
      <c r="R1323" s="408"/>
      <c r="S1323" s="77"/>
      <c r="T1323" s="2166"/>
      <c r="U1323" s="77"/>
      <c r="V1323" s="77"/>
      <c r="W1323" s="77"/>
      <c r="X1323" s="77"/>
      <c r="Y1323" s="2168"/>
      <c r="Z1323" s="77"/>
      <c r="AA1323" s="2170"/>
      <c r="AB1323" s="410"/>
    </row>
    <row r="1324" spans="1:28" s="352" customFormat="1" ht="18" customHeight="1" x14ac:dyDescent="0.2">
      <c r="A1324" s="2166"/>
      <c r="B1324" s="177"/>
      <c r="C1324" s="177"/>
      <c r="D1324" s="2166"/>
      <c r="E1324" s="2166"/>
      <c r="F1324" s="2166"/>
      <c r="G1324" s="2166"/>
      <c r="H1324" s="2171"/>
      <c r="I1324" s="2168"/>
      <c r="J1324" s="178"/>
      <c r="K1324" s="2168"/>
      <c r="L1324" s="2166"/>
      <c r="M1324" s="2166"/>
      <c r="N1324" s="2166"/>
      <c r="O1324" s="2166"/>
      <c r="P1324" s="2171"/>
      <c r="Q1324" s="2167"/>
      <c r="R1324" s="437"/>
      <c r="S1324" s="2168"/>
      <c r="T1324" s="179"/>
      <c r="U1324" s="178"/>
      <c r="V1324" s="2168"/>
      <c r="W1324" s="2168"/>
      <c r="X1324" s="470"/>
      <c r="Y1324" s="470"/>
      <c r="Z1324" s="471"/>
      <c r="AA1324" s="471"/>
      <c r="AB1324" s="466"/>
    </row>
    <row r="1325" spans="1:28" s="352" customFormat="1" ht="18" customHeight="1" x14ac:dyDescent="0.2">
      <c r="A1325" s="2166"/>
      <c r="B1325" s="177"/>
      <c r="C1325" s="177"/>
      <c r="D1325" s="2166"/>
      <c r="E1325" s="2166"/>
      <c r="F1325" s="2166"/>
      <c r="G1325" s="2166"/>
      <c r="H1325" s="2171"/>
      <c r="I1325" s="2168"/>
      <c r="J1325" s="178"/>
      <c r="K1325" s="2168"/>
      <c r="L1325" s="2166"/>
      <c r="M1325" s="2166"/>
      <c r="N1325" s="2166"/>
      <c r="O1325" s="2166"/>
      <c r="P1325" s="2171"/>
      <c r="Q1325" s="2167"/>
      <c r="R1325" s="437"/>
      <c r="S1325" s="2168"/>
      <c r="T1325" s="179"/>
      <c r="U1325" s="178"/>
      <c r="V1325" s="2168"/>
      <c r="W1325" s="2168"/>
      <c r="X1325" s="470"/>
      <c r="Y1325" s="470"/>
      <c r="Z1325" s="471"/>
      <c r="AA1325" s="471"/>
      <c r="AB1325" s="466"/>
    </row>
    <row r="1326" spans="1:28" s="352" customFormat="1" ht="18" customHeight="1" x14ac:dyDescent="0.2">
      <c r="A1326" s="2166"/>
      <c r="B1326" s="177"/>
      <c r="C1326" s="177"/>
      <c r="D1326" s="2166"/>
      <c r="E1326" s="2166"/>
      <c r="F1326" s="2166"/>
      <c r="G1326" s="2166"/>
      <c r="H1326" s="2171"/>
      <c r="I1326" s="2168"/>
      <c r="J1326" s="178"/>
      <c r="K1326" s="2168"/>
      <c r="L1326" s="2166"/>
      <c r="M1326" s="2166"/>
      <c r="N1326" s="2166"/>
      <c r="O1326" s="2166"/>
      <c r="P1326" s="2171"/>
      <c r="Q1326" s="2167"/>
      <c r="R1326" s="437"/>
      <c r="S1326" s="2168"/>
      <c r="T1326" s="179"/>
      <c r="U1326" s="178"/>
      <c r="V1326" s="2168"/>
      <c r="W1326" s="2168"/>
      <c r="X1326" s="470"/>
      <c r="Y1326" s="470"/>
      <c r="Z1326" s="471"/>
      <c r="AA1326" s="471"/>
      <c r="AB1326" s="466"/>
    </row>
    <row r="1327" spans="1:28" s="352" customFormat="1" ht="18" customHeight="1" x14ac:dyDescent="0.2">
      <c r="A1327" s="2166"/>
      <c r="B1327" s="177"/>
      <c r="C1327" s="177"/>
      <c r="D1327" s="2166"/>
      <c r="E1327" s="2166"/>
      <c r="F1327" s="2166"/>
      <c r="G1327" s="2166"/>
      <c r="H1327" s="2171"/>
      <c r="I1327" s="2168"/>
      <c r="J1327" s="178"/>
      <c r="K1327" s="2168"/>
      <c r="L1327" s="2166"/>
      <c r="M1327" s="2166"/>
      <c r="N1327" s="2166"/>
      <c r="O1327" s="2166"/>
      <c r="P1327" s="2171"/>
      <c r="Q1327" s="2167"/>
      <c r="R1327" s="437"/>
      <c r="S1327" s="2168"/>
      <c r="T1327" s="179"/>
      <c r="U1327" s="178"/>
      <c r="V1327" s="2168"/>
      <c r="W1327" s="2168"/>
      <c r="X1327" s="470"/>
      <c r="Y1327" s="470"/>
      <c r="Z1327" s="471"/>
      <c r="AA1327" s="471"/>
      <c r="AB1327" s="466"/>
    </row>
    <row r="1328" spans="1:28" s="352" customFormat="1" ht="18" customHeight="1" x14ac:dyDescent="0.2">
      <c r="A1328" s="2166"/>
      <c r="B1328" s="177"/>
      <c r="C1328" s="177"/>
      <c r="D1328" s="2166"/>
      <c r="E1328" s="2166"/>
      <c r="F1328" s="2166"/>
      <c r="G1328" s="2166"/>
      <c r="H1328" s="2171"/>
      <c r="I1328" s="2168"/>
      <c r="J1328" s="178"/>
      <c r="K1328" s="2168"/>
      <c r="L1328" s="2166"/>
      <c r="M1328" s="2166"/>
      <c r="N1328" s="2166"/>
      <c r="O1328" s="2166"/>
      <c r="P1328" s="2171"/>
      <c r="Q1328" s="2167"/>
      <c r="R1328" s="437"/>
      <c r="S1328" s="2168"/>
      <c r="T1328" s="179"/>
      <c r="U1328" s="178"/>
      <c r="V1328" s="2168"/>
      <c r="W1328" s="2168"/>
      <c r="X1328" s="470"/>
      <c r="Y1328" s="470"/>
      <c r="Z1328" s="471"/>
      <c r="AA1328" s="471"/>
      <c r="AB1328" s="466"/>
    </row>
    <row r="1329" spans="1:28" s="352" customFormat="1" ht="18" customHeight="1" x14ac:dyDescent="0.2">
      <c r="A1329" s="2166"/>
      <c r="B1329" s="177"/>
      <c r="C1329" s="177"/>
      <c r="D1329" s="2166"/>
      <c r="E1329" s="2166"/>
      <c r="F1329" s="2166"/>
      <c r="G1329" s="2166"/>
      <c r="H1329" s="2171"/>
      <c r="I1329" s="2168"/>
      <c r="J1329" s="178"/>
      <c r="K1329" s="2168"/>
      <c r="L1329" s="2166"/>
      <c r="M1329" s="2166"/>
      <c r="N1329" s="2166"/>
      <c r="O1329" s="2166"/>
      <c r="P1329" s="2171"/>
      <c r="Q1329" s="2167"/>
      <c r="R1329" s="437"/>
      <c r="S1329" s="2168"/>
      <c r="T1329" s="179"/>
      <c r="U1329" s="178"/>
      <c r="V1329" s="2168"/>
      <c r="W1329" s="2168"/>
      <c r="X1329" s="470"/>
      <c r="Y1329" s="470"/>
      <c r="Z1329" s="471"/>
      <c r="AA1329" s="471"/>
      <c r="AB1329" s="466"/>
    </row>
    <row r="1330" spans="1:28" s="352" customFormat="1" ht="18" customHeight="1" x14ac:dyDescent="0.2">
      <c r="A1330" s="2166"/>
      <c r="B1330" s="177"/>
      <c r="C1330" s="177"/>
      <c r="D1330" s="2166"/>
      <c r="E1330" s="2166"/>
      <c r="F1330" s="2166"/>
      <c r="G1330" s="2166"/>
      <c r="H1330" s="2171"/>
      <c r="I1330" s="2168"/>
      <c r="J1330" s="178"/>
      <c r="K1330" s="2168"/>
      <c r="L1330" s="2166"/>
      <c r="M1330" s="2166"/>
      <c r="N1330" s="2166"/>
      <c r="O1330" s="2166"/>
      <c r="P1330" s="2171"/>
      <c r="Q1330" s="2167"/>
      <c r="R1330" s="437"/>
      <c r="S1330" s="2168"/>
      <c r="T1330" s="179"/>
      <c r="U1330" s="178"/>
      <c r="V1330" s="2168"/>
      <c r="W1330" s="2168"/>
      <c r="X1330" s="470"/>
      <c r="Y1330" s="470"/>
      <c r="Z1330" s="471"/>
      <c r="AA1330" s="471"/>
      <c r="AB1330" s="466"/>
    </row>
    <row r="1331" spans="1:28" s="352" customFormat="1" ht="18" customHeight="1" x14ac:dyDescent="0.2">
      <c r="A1331" s="88"/>
      <c r="B1331" s="180"/>
      <c r="C1331" s="180"/>
      <c r="D1331" s="88"/>
      <c r="E1331" s="88"/>
      <c r="F1331" s="88"/>
      <c r="G1331" s="88"/>
      <c r="H1331" s="120"/>
      <c r="I1331" s="121"/>
      <c r="J1331" s="181"/>
      <c r="K1331" s="121"/>
      <c r="L1331" s="88"/>
      <c r="M1331" s="88"/>
      <c r="N1331" s="88"/>
      <c r="O1331" s="88"/>
      <c r="P1331" s="88"/>
      <c r="Q1331" s="129"/>
      <c r="R1331" s="445"/>
      <c r="S1331" s="121"/>
      <c r="T1331" s="182"/>
      <c r="U1331" s="181"/>
      <c r="V1331" s="121"/>
      <c r="W1331" s="121"/>
      <c r="X1331" s="472"/>
      <c r="Y1331" s="472"/>
      <c r="Z1331" s="473"/>
      <c r="AA1331" s="473"/>
      <c r="AB1331" s="410"/>
    </row>
    <row r="1332" spans="1:28" s="352" customFormat="1" ht="18" customHeight="1" x14ac:dyDescent="0.2">
      <c r="A1332" s="1850"/>
      <c r="B1332" s="1850"/>
      <c r="C1332" s="1850"/>
      <c r="D1332" s="1850"/>
      <c r="E1332" s="1850"/>
      <c r="F1332" s="1850"/>
      <c r="G1332" s="1850"/>
      <c r="H1332" s="1851"/>
      <c r="I1332" s="1852"/>
      <c r="J1332" s="1853"/>
      <c r="K1332" s="1852"/>
      <c r="L1332" s="1852"/>
      <c r="M1332" s="1852"/>
      <c r="N1332" s="1852"/>
      <c r="O1332" s="1852"/>
      <c r="P1332" s="1852"/>
      <c r="Q1332" s="1852"/>
      <c r="R1332" s="1854"/>
      <c r="S1332" s="1852"/>
      <c r="T1332" s="1855"/>
      <c r="U1332" s="1853"/>
      <c r="V1332" s="1852"/>
      <c r="W1332" s="1852"/>
      <c r="X1332" s="1856"/>
      <c r="Y1332" s="1856"/>
      <c r="Z1332" s="1857"/>
      <c r="AA1332" s="1857"/>
      <c r="AB1332" s="1847">
        <f>SUM(AB1318:AB1331)</f>
        <v>2628</v>
      </c>
    </row>
    <row r="1333" spans="1:28" s="352" customFormat="1" ht="18" customHeight="1" x14ac:dyDescent="0.2">
      <c r="A1333" s="2778" t="s">
        <v>76</v>
      </c>
      <c r="B1333" s="2778"/>
      <c r="C1333" s="2779" t="s">
        <v>77</v>
      </c>
      <c r="D1333" s="2779"/>
      <c r="E1333" s="2779"/>
      <c r="F1333" s="2779"/>
      <c r="G1333" s="2779"/>
      <c r="H1333" s="2779"/>
      <c r="I1333" s="424" t="s">
        <v>78</v>
      </c>
      <c r="J1333" s="424"/>
      <c r="K1333" s="424"/>
      <c r="L1333" s="424"/>
      <c r="M1333" s="424"/>
      <c r="N1333" s="424"/>
      <c r="AB1333" s="425"/>
    </row>
    <row r="1334" spans="1:28" s="352" customFormat="1" ht="18" customHeight="1" x14ac:dyDescent="0.2">
      <c r="A1334" s="424"/>
      <c r="B1334" s="426"/>
      <c r="C1334" s="424"/>
      <c r="D1334" s="424"/>
      <c r="E1334" s="424"/>
      <c r="F1334" s="424"/>
      <c r="G1334" s="424"/>
      <c r="H1334" s="424"/>
      <c r="I1334" s="424" t="s">
        <v>79</v>
      </c>
      <c r="J1334" s="424"/>
      <c r="K1334" s="424"/>
      <c r="L1334" s="424"/>
      <c r="M1334" s="424"/>
      <c r="N1334" s="424"/>
      <c r="AB1334" s="425"/>
    </row>
    <row r="1335" spans="1:28" s="352" customFormat="1" ht="18" customHeight="1" x14ac:dyDescent="0.2">
      <c r="A1335" s="424"/>
      <c r="B1335" s="426"/>
      <c r="C1335" s="424"/>
      <c r="D1335" s="424"/>
      <c r="E1335" s="424"/>
      <c r="F1335" s="424"/>
      <c r="G1335" s="424"/>
      <c r="H1335" s="424"/>
      <c r="I1335" s="424" t="s">
        <v>80</v>
      </c>
      <c r="J1335" s="424"/>
      <c r="K1335" s="424"/>
      <c r="L1335" s="424"/>
      <c r="M1335" s="424"/>
      <c r="N1335" s="424"/>
      <c r="AB1335" s="425"/>
    </row>
    <row r="1336" spans="1:28" s="352" customFormat="1" ht="18" customHeight="1" x14ac:dyDescent="0.2">
      <c r="A1336" s="424"/>
      <c r="B1336" s="426"/>
      <c r="C1336" s="424"/>
      <c r="D1336" s="424"/>
      <c r="E1336" s="424"/>
      <c r="F1336" s="424"/>
      <c r="G1336" s="424"/>
      <c r="H1336" s="424"/>
      <c r="I1336" s="424" t="s">
        <v>81</v>
      </c>
      <c r="J1336" s="424"/>
      <c r="K1336" s="424"/>
      <c r="L1336" s="424"/>
      <c r="M1336" s="424"/>
      <c r="N1336" s="424"/>
      <c r="AB1336" s="425"/>
    </row>
    <row r="1337" spans="1:28" s="352" customFormat="1" ht="18" customHeight="1" x14ac:dyDescent="0.2">
      <c r="A1337" s="424"/>
      <c r="B1337" s="426"/>
      <c r="C1337" s="424"/>
      <c r="D1337" s="424"/>
      <c r="E1337" s="424"/>
      <c r="F1337" s="424"/>
      <c r="G1337" s="424"/>
      <c r="H1337" s="424"/>
      <c r="I1337" s="424" t="s">
        <v>88</v>
      </c>
      <c r="J1337" s="424"/>
      <c r="K1337" s="424"/>
      <c r="L1337" s="424"/>
      <c r="M1337" s="424"/>
      <c r="N1337" s="424"/>
      <c r="AB1337" s="425"/>
    </row>
    <row r="1338" spans="1:28" s="352" customFormat="1" ht="18" customHeight="1" x14ac:dyDescent="0.2">
      <c r="A1338" s="338"/>
      <c r="B1338" s="338"/>
      <c r="C1338" s="338"/>
      <c r="D1338" s="338"/>
      <c r="E1338" s="338"/>
      <c r="F1338" s="338"/>
      <c r="G1338" s="338"/>
      <c r="H1338" s="338"/>
      <c r="I1338" s="338"/>
      <c r="J1338" s="338"/>
      <c r="K1338" s="338"/>
      <c r="L1338" s="338"/>
      <c r="M1338" s="338"/>
      <c r="N1338" s="338"/>
      <c r="O1338" s="338"/>
      <c r="P1338" s="338"/>
      <c r="Q1338" s="338"/>
      <c r="R1338" s="338"/>
      <c r="S1338" s="338"/>
      <c r="T1338" s="338"/>
      <c r="U1338" s="338"/>
      <c r="V1338" s="338"/>
      <c r="W1338" s="338"/>
      <c r="X1338" s="338"/>
      <c r="Y1338" s="338"/>
      <c r="Z1338" s="338"/>
      <c r="AA1338" s="2774" t="s">
        <v>0</v>
      </c>
      <c r="AB1338" s="2774"/>
    </row>
    <row r="1339" spans="1:28" s="352" customFormat="1" ht="18" customHeight="1" x14ac:dyDescent="0.2">
      <c r="A1339" s="2703" t="s">
        <v>1</v>
      </c>
      <c r="B1339" s="2703"/>
      <c r="C1339" s="2703"/>
      <c r="D1339" s="2703"/>
      <c r="E1339" s="2703"/>
      <c r="F1339" s="2703"/>
      <c r="G1339" s="2703"/>
      <c r="H1339" s="2703"/>
      <c r="I1339" s="2703"/>
      <c r="J1339" s="2703"/>
      <c r="K1339" s="2703"/>
      <c r="L1339" s="2703"/>
      <c r="M1339" s="2703"/>
      <c r="N1339" s="2703"/>
      <c r="O1339" s="2703"/>
      <c r="P1339" s="2703"/>
      <c r="Q1339" s="2703"/>
      <c r="R1339" s="2703"/>
      <c r="S1339" s="2703"/>
      <c r="T1339" s="2703"/>
      <c r="U1339" s="2703"/>
      <c r="V1339" s="2703"/>
      <c r="W1339" s="2703"/>
      <c r="X1339" s="2703"/>
      <c r="Y1339" s="2703"/>
      <c r="Z1339" s="2703"/>
      <c r="AA1339" s="2703"/>
      <c r="AB1339" s="2703"/>
    </row>
    <row r="1340" spans="1:28" s="352" customFormat="1" ht="18" customHeight="1" x14ac:dyDescent="0.2">
      <c r="A1340" s="2780" t="s">
        <v>642</v>
      </c>
      <c r="B1340" s="2780"/>
      <c r="C1340" s="2780"/>
      <c r="D1340" s="2780"/>
      <c r="E1340" s="2780"/>
      <c r="F1340" s="2780"/>
      <c r="G1340" s="2780"/>
      <c r="H1340" s="2780"/>
      <c r="I1340" s="2780"/>
      <c r="J1340" s="2780"/>
      <c r="K1340" s="2780"/>
      <c r="L1340" s="2780"/>
      <c r="M1340" s="2780"/>
      <c r="N1340" s="2780"/>
      <c r="O1340" s="2780"/>
      <c r="P1340" s="2780"/>
      <c r="Q1340" s="2780"/>
      <c r="R1340" s="2780"/>
      <c r="S1340" s="2780"/>
      <c r="T1340" s="2780"/>
      <c r="U1340" s="2780"/>
      <c r="V1340" s="2780"/>
      <c r="W1340" s="2780"/>
      <c r="X1340" s="2780"/>
      <c r="Y1340" s="2780"/>
      <c r="Z1340" s="2780"/>
      <c r="AA1340" s="2780"/>
      <c r="AB1340" s="2780"/>
    </row>
    <row r="1341" spans="1:28" s="352" customFormat="1" ht="18" customHeight="1" x14ac:dyDescent="0.2">
      <c r="A1341" s="2686" t="s">
        <v>2</v>
      </c>
      <c r="B1341" s="360"/>
      <c r="C1341" s="2686" t="s">
        <v>3</v>
      </c>
      <c r="D1341" s="360"/>
      <c r="E1341" s="360"/>
      <c r="F1341" s="2693" t="s">
        <v>4</v>
      </c>
      <c r="G1341" s="2693"/>
      <c r="H1341" s="2693"/>
      <c r="I1341" s="2694"/>
      <c r="J1341" s="2694"/>
      <c r="K1341" s="2695"/>
      <c r="L1341" s="361"/>
      <c r="M1341" s="2679" t="s">
        <v>5</v>
      </c>
      <c r="N1341" s="2679"/>
      <c r="O1341" s="2679"/>
      <c r="P1341" s="2679"/>
      <c r="Q1341" s="2696"/>
      <c r="R1341" s="2696"/>
      <c r="S1341" s="2696"/>
      <c r="T1341" s="2696"/>
      <c r="U1341" s="2696"/>
      <c r="V1341" s="2697"/>
      <c r="W1341" s="362" t="s">
        <v>6</v>
      </c>
      <c r="X1341" s="363" t="s">
        <v>7</v>
      </c>
      <c r="Y1341" s="364"/>
      <c r="Z1341" s="364"/>
      <c r="AA1341" s="363"/>
      <c r="AB1341" s="365"/>
    </row>
    <row r="1342" spans="1:28" s="352" customFormat="1" ht="18" customHeight="1" x14ac:dyDescent="0.2">
      <c r="A1342" s="2687"/>
      <c r="B1342" s="367"/>
      <c r="C1342" s="2687"/>
      <c r="D1342" s="2158" t="s">
        <v>9</v>
      </c>
      <c r="E1342" s="368" t="s">
        <v>10</v>
      </c>
      <c r="F1342" s="2698" t="s">
        <v>11</v>
      </c>
      <c r="G1342" s="2694"/>
      <c r="H1342" s="2695"/>
      <c r="I1342" s="360"/>
      <c r="J1342" s="369" t="s">
        <v>12</v>
      </c>
      <c r="K1342" s="360"/>
      <c r="L1342" s="2679" t="s">
        <v>2</v>
      </c>
      <c r="M1342" s="2162"/>
      <c r="N1342" s="2162"/>
      <c r="O1342" s="2162"/>
      <c r="P1342" s="371"/>
      <c r="Q1342" s="372" t="s">
        <v>13</v>
      </c>
      <c r="R1342" s="373" t="s">
        <v>12</v>
      </c>
      <c r="S1342" s="2162" t="s">
        <v>6</v>
      </c>
      <c r="T1342" s="2682" t="s">
        <v>14</v>
      </c>
      <c r="U1342" s="2683"/>
      <c r="V1342" s="375" t="s">
        <v>7</v>
      </c>
      <c r="W1342" s="376" t="s">
        <v>15</v>
      </c>
      <c r="X1342" s="377" t="s">
        <v>16</v>
      </c>
      <c r="Y1342" s="377" t="s">
        <v>17</v>
      </c>
      <c r="Z1342" s="377" t="s">
        <v>18</v>
      </c>
      <c r="AA1342" s="377"/>
      <c r="AB1342" s="378" t="s">
        <v>19</v>
      </c>
    </row>
    <row r="1343" spans="1:28" s="352" customFormat="1" ht="18" customHeight="1" x14ac:dyDescent="0.2">
      <c r="A1343" s="2687"/>
      <c r="B1343" s="2158" t="s">
        <v>23</v>
      </c>
      <c r="C1343" s="2687"/>
      <c r="D1343" s="2158" t="s">
        <v>24</v>
      </c>
      <c r="E1343" s="368" t="s">
        <v>25</v>
      </c>
      <c r="F1343" s="2699"/>
      <c r="G1343" s="2700"/>
      <c r="H1343" s="2701"/>
      <c r="I1343" s="2158" t="s">
        <v>26</v>
      </c>
      <c r="J1343" s="379" t="s">
        <v>15</v>
      </c>
      <c r="K1343" s="2159" t="s">
        <v>6</v>
      </c>
      <c r="L1343" s="2680"/>
      <c r="M1343" s="2163" t="s">
        <v>27</v>
      </c>
      <c r="N1343" s="2163" t="s">
        <v>10</v>
      </c>
      <c r="O1343" s="382" t="s">
        <v>10</v>
      </c>
      <c r="P1343" s="383" t="s">
        <v>28</v>
      </c>
      <c r="Q1343" s="384" t="s">
        <v>29</v>
      </c>
      <c r="R1343" s="383" t="s">
        <v>15</v>
      </c>
      <c r="S1343" s="385" t="s">
        <v>15</v>
      </c>
      <c r="T1343" s="2684"/>
      <c r="U1343" s="2685"/>
      <c r="V1343" s="375" t="s">
        <v>30</v>
      </c>
      <c r="W1343" s="376" t="s">
        <v>31</v>
      </c>
      <c r="X1343" s="377" t="s">
        <v>30</v>
      </c>
      <c r="Y1343" s="377" t="s">
        <v>32</v>
      </c>
      <c r="Z1343" s="377" t="s">
        <v>7</v>
      </c>
      <c r="AA1343" s="377" t="s">
        <v>33</v>
      </c>
      <c r="AB1343" s="378" t="s">
        <v>34</v>
      </c>
    </row>
    <row r="1344" spans="1:28" s="352" customFormat="1" ht="18" customHeight="1" x14ac:dyDescent="0.2">
      <c r="A1344" s="2687"/>
      <c r="B1344" s="2158" t="s">
        <v>39</v>
      </c>
      <c r="C1344" s="2687"/>
      <c r="D1344" s="2158" t="s">
        <v>40</v>
      </c>
      <c r="E1344" s="368" t="s">
        <v>41</v>
      </c>
      <c r="F1344" s="2686" t="s">
        <v>42</v>
      </c>
      <c r="G1344" s="2686" t="s">
        <v>43</v>
      </c>
      <c r="H1344" s="2688" t="s">
        <v>44</v>
      </c>
      <c r="I1344" s="2158" t="s">
        <v>45</v>
      </c>
      <c r="J1344" s="379" t="s">
        <v>46</v>
      </c>
      <c r="K1344" s="2159" t="s">
        <v>47</v>
      </c>
      <c r="L1344" s="2680"/>
      <c r="M1344" s="2163" t="s">
        <v>30</v>
      </c>
      <c r="N1344" s="2163" t="s">
        <v>30</v>
      </c>
      <c r="O1344" s="382" t="s">
        <v>25</v>
      </c>
      <c r="P1344" s="383" t="s">
        <v>30</v>
      </c>
      <c r="Q1344" s="384" t="s">
        <v>48</v>
      </c>
      <c r="R1344" s="383" t="s">
        <v>49</v>
      </c>
      <c r="S1344" s="385" t="s">
        <v>30</v>
      </c>
      <c r="T1344" s="386" t="s">
        <v>50</v>
      </c>
      <c r="U1344" s="2161" t="s">
        <v>13</v>
      </c>
      <c r="V1344" s="375" t="s">
        <v>51</v>
      </c>
      <c r="W1344" s="376" t="s">
        <v>52</v>
      </c>
      <c r="X1344" s="377" t="s">
        <v>53</v>
      </c>
      <c r="Y1344" s="377" t="s">
        <v>54</v>
      </c>
      <c r="Z1344" s="377" t="s">
        <v>55</v>
      </c>
      <c r="AA1344" s="377" t="s">
        <v>56</v>
      </c>
      <c r="AB1344" s="378" t="s">
        <v>57</v>
      </c>
    </row>
    <row r="1345" spans="1:28" s="352" customFormat="1" ht="18" customHeight="1" x14ac:dyDescent="0.2">
      <c r="A1345" s="2687"/>
      <c r="B1345" s="2158" t="s">
        <v>61</v>
      </c>
      <c r="C1345" s="2687"/>
      <c r="D1345" s="2158" t="s">
        <v>62</v>
      </c>
      <c r="E1345" s="368" t="s">
        <v>63</v>
      </c>
      <c r="F1345" s="2687"/>
      <c r="G1345" s="2687"/>
      <c r="H1345" s="2689"/>
      <c r="I1345" s="2158" t="s">
        <v>64</v>
      </c>
      <c r="J1345" s="379" t="s">
        <v>59</v>
      </c>
      <c r="K1345" s="2159" t="s">
        <v>59</v>
      </c>
      <c r="L1345" s="2680"/>
      <c r="M1345" s="2163"/>
      <c r="N1345" s="2163"/>
      <c r="O1345" s="382" t="s">
        <v>41</v>
      </c>
      <c r="P1345" s="383" t="s">
        <v>65</v>
      </c>
      <c r="Q1345" s="384" t="s">
        <v>66</v>
      </c>
      <c r="R1345" s="383" t="s">
        <v>67</v>
      </c>
      <c r="S1345" s="385" t="s">
        <v>59</v>
      </c>
      <c r="T1345" s="387" t="s">
        <v>68</v>
      </c>
      <c r="U1345" s="375" t="s">
        <v>14</v>
      </c>
      <c r="V1345" s="375" t="s">
        <v>14</v>
      </c>
      <c r="W1345" s="376" t="s">
        <v>30</v>
      </c>
      <c r="X1345" s="388" t="s">
        <v>69</v>
      </c>
      <c r="Y1345" s="388" t="s">
        <v>70</v>
      </c>
      <c r="Z1345" s="377" t="s">
        <v>71</v>
      </c>
      <c r="AA1345" s="377" t="s">
        <v>72</v>
      </c>
      <c r="AB1345" s="378" t="s">
        <v>59</v>
      </c>
    </row>
    <row r="1346" spans="1:28" s="352" customFormat="1" ht="18" customHeight="1" x14ac:dyDescent="0.2">
      <c r="A1346" s="2692"/>
      <c r="B1346" s="390"/>
      <c r="C1346" s="2692"/>
      <c r="D1346" s="390"/>
      <c r="E1346" s="2160"/>
      <c r="F1346" s="390"/>
      <c r="G1346" s="390"/>
      <c r="H1346" s="391"/>
      <c r="I1346" s="2160"/>
      <c r="J1346" s="392"/>
      <c r="K1346" s="393"/>
      <c r="L1346" s="2681"/>
      <c r="M1346" s="2164"/>
      <c r="N1346" s="2164"/>
      <c r="O1346" s="2164" t="s">
        <v>63</v>
      </c>
      <c r="P1346" s="395"/>
      <c r="Q1346" s="396" t="s">
        <v>72</v>
      </c>
      <c r="R1346" s="397" t="s">
        <v>59</v>
      </c>
      <c r="S1346" s="398"/>
      <c r="T1346" s="397" t="s">
        <v>73</v>
      </c>
      <c r="U1346" s="398" t="s">
        <v>59</v>
      </c>
      <c r="V1346" s="399" t="s">
        <v>59</v>
      </c>
      <c r="W1346" s="400" t="s">
        <v>59</v>
      </c>
      <c r="X1346" s="401" t="s">
        <v>59</v>
      </c>
      <c r="Y1346" s="401" t="s">
        <v>59</v>
      </c>
      <c r="Z1346" s="401" t="s">
        <v>59</v>
      </c>
      <c r="AA1346" s="402"/>
      <c r="AB1346" s="403"/>
    </row>
    <row r="1347" spans="1:28" s="352" customFormat="1" ht="18" customHeight="1" x14ac:dyDescent="0.2">
      <c r="A1347" s="53">
        <v>1</v>
      </c>
      <c r="B1347" s="41">
        <v>27764</v>
      </c>
      <c r="C1347" s="41">
        <v>15</v>
      </c>
      <c r="D1347" s="41" t="s">
        <v>107</v>
      </c>
      <c r="E1347" s="41">
        <v>4</v>
      </c>
      <c r="F1347" s="41">
        <v>0</v>
      </c>
      <c r="G1347" s="41">
        <v>1</v>
      </c>
      <c r="H1347" s="267">
        <v>58</v>
      </c>
      <c r="I1347" s="302">
        <f>F1347*400+G1347*100+H1347</f>
        <v>158</v>
      </c>
      <c r="J1347" s="310">
        <v>3000</v>
      </c>
      <c r="K1347" s="303">
        <f>SUM(I1347*J1347)</f>
        <v>474000</v>
      </c>
      <c r="L1347" s="16"/>
      <c r="M1347" s="82"/>
      <c r="N1347" s="41"/>
      <c r="O1347" s="16">
        <v>4</v>
      </c>
      <c r="P1347" s="404"/>
      <c r="Q1347" s="14"/>
      <c r="R1347" s="302"/>
      <c r="S1347" s="302"/>
      <c r="T1347" s="41"/>
      <c r="U1347" s="302"/>
      <c r="V1347" s="302"/>
      <c r="W1347" s="302">
        <f>K1347+V1347</f>
        <v>474000</v>
      </c>
      <c r="X1347" s="302">
        <f>W1347</f>
        <v>474000</v>
      </c>
      <c r="Y1347" s="310"/>
      <c r="Z1347" s="302">
        <f>+X1347</f>
        <v>474000</v>
      </c>
      <c r="AA1347" s="405">
        <v>0.6</v>
      </c>
      <c r="AB1347" s="465">
        <f>+Z1347*AA1347/100</f>
        <v>2844</v>
      </c>
    </row>
    <row r="1348" spans="1:28" s="352" customFormat="1" ht="18" customHeight="1" x14ac:dyDescent="0.2">
      <c r="A1348" s="61"/>
      <c r="B1348" s="2166"/>
      <c r="C1348" s="2166"/>
      <c r="D1348" s="2166"/>
      <c r="E1348" s="2166"/>
      <c r="F1348" s="2166"/>
      <c r="G1348" s="2166"/>
      <c r="H1348" s="407"/>
      <c r="I1348" s="77"/>
      <c r="J1348" s="2168"/>
      <c r="K1348" s="78"/>
      <c r="L1348" s="61"/>
      <c r="M1348" s="2166"/>
      <c r="N1348" s="2166"/>
      <c r="O1348" s="61"/>
      <c r="P1348" s="177"/>
      <c r="Q1348" s="196"/>
      <c r="R1348" s="408"/>
      <c r="S1348" s="77"/>
      <c r="T1348" s="2166"/>
      <c r="U1348" s="77"/>
      <c r="V1348" s="77"/>
      <c r="W1348" s="77"/>
      <c r="X1348" s="77"/>
      <c r="Y1348" s="2168"/>
      <c r="Z1348" s="77"/>
      <c r="AA1348" s="2170"/>
      <c r="AB1348" s="416"/>
    </row>
    <row r="1349" spans="1:28" s="352" customFormat="1" ht="18" customHeight="1" x14ac:dyDescent="0.2">
      <c r="A1349" s="75"/>
      <c r="B1349" s="2166"/>
      <c r="C1349" s="2166"/>
      <c r="D1349" s="2166"/>
      <c r="E1349" s="2166"/>
      <c r="F1349" s="2166"/>
      <c r="G1349" s="2166"/>
      <c r="H1349" s="407"/>
      <c r="I1349" s="77"/>
      <c r="J1349" s="2168"/>
      <c r="K1349" s="78"/>
      <c r="L1349" s="61"/>
      <c r="M1349" s="2166"/>
      <c r="N1349" s="2166"/>
      <c r="O1349" s="61"/>
      <c r="P1349" s="177"/>
      <c r="Q1349" s="196"/>
      <c r="R1349" s="408"/>
      <c r="S1349" s="77"/>
      <c r="T1349" s="2166"/>
      <c r="U1349" s="77"/>
      <c r="V1349" s="77"/>
      <c r="W1349" s="77"/>
      <c r="X1349" s="77"/>
      <c r="Y1349" s="2168"/>
      <c r="Z1349" s="77"/>
      <c r="AA1349" s="2170"/>
      <c r="AB1349" s="410"/>
    </row>
    <row r="1350" spans="1:28" s="352" customFormat="1" ht="18" customHeight="1" x14ac:dyDescent="0.2">
      <c r="A1350" s="242"/>
      <c r="B1350" s="2166"/>
      <c r="C1350" s="2166"/>
      <c r="D1350" s="2166"/>
      <c r="E1350" s="2166"/>
      <c r="F1350" s="2166"/>
      <c r="G1350" s="2166"/>
      <c r="H1350" s="407"/>
      <c r="I1350" s="77"/>
      <c r="J1350" s="2168"/>
      <c r="K1350" s="78"/>
      <c r="L1350" s="61"/>
      <c r="M1350" s="2166"/>
      <c r="N1350" s="2166"/>
      <c r="O1350" s="61"/>
      <c r="P1350" s="177"/>
      <c r="Q1350" s="196"/>
      <c r="R1350" s="408"/>
      <c r="S1350" s="77"/>
      <c r="T1350" s="2166"/>
      <c r="U1350" s="77"/>
      <c r="V1350" s="77"/>
      <c r="W1350" s="77"/>
      <c r="X1350" s="77"/>
      <c r="Y1350" s="2168"/>
      <c r="Z1350" s="77"/>
      <c r="AA1350" s="2170"/>
      <c r="AB1350" s="410"/>
    </row>
    <row r="1351" spans="1:28" s="352" customFormat="1" ht="18" customHeight="1" x14ac:dyDescent="0.2">
      <c r="A1351" s="75"/>
      <c r="B1351" s="88"/>
      <c r="C1351" s="88"/>
      <c r="D1351" s="88"/>
      <c r="E1351" s="88"/>
      <c r="F1351" s="88"/>
      <c r="G1351" s="88"/>
      <c r="H1351" s="495"/>
      <c r="I1351" s="74"/>
      <c r="J1351" s="121"/>
      <c r="K1351" s="159"/>
      <c r="L1351" s="75"/>
      <c r="M1351" s="88"/>
      <c r="N1351" s="88"/>
      <c r="O1351" s="75"/>
      <c r="P1351" s="180"/>
      <c r="Q1351" s="174"/>
      <c r="R1351" s="413"/>
      <c r="S1351" s="74"/>
      <c r="T1351" s="88"/>
      <c r="U1351" s="74"/>
      <c r="V1351" s="74"/>
      <c r="W1351" s="74"/>
      <c r="X1351" s="74"/>
      <c r="Y1351" s="121"/>
      <c r="Z1351" s="74"/>
      <c r="AA1351" s="414"/>
      <c r="AB1351" s="416"/>
    </row>
    <row r="1352" spans="1:28" s="352" customFormat="1" ht="18" customHeight="1" x14ac:dyDescent="0.2">
      <c r="A1352" s="61"/>
      <c r="B1352" s="2166"/>
      <c r="C1352" s="2166"/>
      <c r="D1352" s="2166"/>
      <c r="E1352" s="2166"/>
      <c r="F1352" s="2166"/>
      <c r="G1352" s="2166"/>
      <c r="H1352" s="407"/>
      <c r="I1352" s="77"/>
      <c r="J1352" s="2168"/>
      <c r="K1352" s="78"/>
      <c r="L1352" s="61"/>
      <c r="M1352" s="2166"/>
      <c r="N1352" s="2166"/>
      <c r="O1352" s="61"/>
      <c r="P1352" s="177"/>
      <c r="Q1352" s="196"/>
      <c r="R1352" s="408"/>
      <c r="S1352" s="77"/>
      <c r="T1352" s="2166"/>
      <c r="U1352" s="77"/>
      <c r="V1352" s="77"/>
      <c r="W1352" s="77"/>
      <c r="X1352" s="77"/>
      <c r="Y1352" s="2168"/>
      <c r="Z1352" s="77"/>
      <c r="AA1352" s="2170"/>
      <c r="AB1352" s="410"/>
    </row>
    <row r="1353" spans="1:28" s="352" customFormat="1" ht="18" customHeight="1" x14ac:dyDescent="0.2">
      <c r="A1353" s="2166"/>
      <c r="B1353" s="177"/>
      <c r="C1353" s="177"/>
      <c r="D1353" s="2166"/>
      <c r="E1353" s="2166"/>
      <c r="F1353" s="2166"/>
      <c r="G1353" s="2166"/>
      <c r="H1353" s="2171"/>
      <c r="I1353" s="2168"/>
      <c r="J1353" s="178"/>
      <c r="K1353" s="2168"/>
      <c r="L1353" s="2166"/>
      <c r="M1353" s="2166"/>
      <c r="N1353" s="2166"/>
      <c r="O1353" s="2166"/>
      <c r="P1353" s="2171"/>
      <c r="Q1353" s="2167"/>
      <c r="R1353" s="437"/>
      <c r="S1353" s="2168"/>
      <c r="T1353" s="179"/>
      <c r="U1353" s="178"/>
      <c r="V1353" s="2168"/>
      <c r="W1353" s="2168"/>
      <c r="X1353" s="470"/>
      <c r="Y1353" s="470"/>
      <c r="Z1353" s="471"/>
      <c r="AA1353" s="471"/>
      <c r="AB1353" s="466"/>
    </row>
    <row r="1354" spans="1:28" s="352" customFormat="1" ht="18" customHeight="1" x14ac:dyDescent="0.2">
      <c r="A1354" s="2166"/>
      <c r="B1354" s="177"/>
      <c r="C1354" s="177"/>
      <c r="D1354" s="2166"/>
      <c r="E1354" s="2166"/>
      <c r="F1354" s="2166"/>
      <c r="G1354" s="2166"/>
      <c r="H1354" s="2171"/>
      <c r="I1354" s="2168"/>
      <c r="J1354" s="178"/>
      <c r="K1354" s="2168"/>
      <c r="L1354" s="2166"/>
      <c r="M1354" s="2166"/>
      <c r="N1354" s="2166"/>
      <c r="O1354" s="2166"/>
      <c r="P1354" s="2171"/>
      <c r="Q1354" s="2167"/>
      <c r="R1354" s="437"/>
      <c r="S1354" s="2168"/>
      <c r="T1354" s="179"/>
      <c r="U1354" s="178"/>
      <c r="V1354" s="2168"/>
      <c r="W1354" s="2168"/>
      <c r="X1354" s="470"/>
      <c r="Y1354" s="470"/>
      <c r="Z1354" s="471"/>
      <c r="AA1354" s="471"/>
      <c r="AB1354" s="466"/>
    </row>
    <row r="1355" spans="1:28" s="352" customFormat="1" ht="18" customHeight="1" x14ac:dyDescent="0.2">
      <c r="A1355" s="2166"/>
      <c r="B1355" s="177"/>
      <c r="C1355" s="177"/>
      <c r="D1355" s="2166"/>
      <c r="E1355" s="2166"/>
      <c r="F1355" s="2166"/>
      <c r="G1355" s="2166"/>
      <c r="H1355" s="2171"/>
      <c r="I1355" s="2168"/>
      <c r="J1355" s="178"/>
      <c r="K1355" s="2168"/>
      <c r="L1355" s="2166"/>
      <c r="M1355" s="2166"/>
      <c r="N1355" s="2166"/>
      <c r="O1355" s="2166"/>
      <c r="P1355" s="2171"/>
      <c r="Q1355" s="2167"/>
      <c r="R1355" s="437"/>
      <c r="S1355" s="2168"/>
      <c r="T1355" s="179"/>
      <c r="U1355" s="178"/>
      <c r="V1355" s="2168"/>
      <c r="W1355" s="2168"/>
      <c r="X1355" s="470"/>
      <c r="Y1355" s="470"/>
      <c r="Z1355" s="471"/>
      <c r="AA1355" s="471"/>
      <c r="AB1355" s="466"/>
    </row>
    <row r="1356" spans="1:28" s="352" customFormat="1" ht="18" customHeight="1" x14ac:dyDescent="0.2">
      <c r="A1356" s="2166"/>
      <c r="B1356" s="177"/>
      <c r="C1356" s="177"/>
      <c r="D1356" s="2166"/>
      <c r="E1356" s="2166"/>
      <c r="F1356" s="2166"/>
      <c r="G1356" s="2166"/>
      <c r="H1356" s="2171"/>
      <c r="I1356" s="2168"/>
      <c r="J1356" s="178"/>
      <c r="K1356" s="2168"/>
      <c r="L1356" s="2166"/>
      <c r="M1356" s="2166"/>
      <c r="N1356" s="2166"/>
      <c r="O1356" s="2166"/>
      <c r="P1356" s="2171"/>
      <c r="Q1356" s="2167"/>
      <c r="R1356" s="437"/>
      <c r="S1356" s="2168"/>
      <c r="T1356" s="179"/>
      <c r="U1356" s="178"/>
      <c r="V1356" s="2168"/>
      <c r="W1356" s="2168"/>
      <c r="X1356" s="470"/>
      <c r="Y1356" s="470"/>
      <c r="Z1356" s="471"/>
      <c r="AA1356" s="471"/>
      <c r="AB1356" s="466"/>
    </row>
    <row r="1357" spans="1:28" s="352" customFormat="1" ht="18" customHeight="1" x14ac:dyDescent="0.2">
      <c r="A1357" s="2166"/>
      <c r="B1357" s="177"/>
      <c r="C1357" s="177"/>
      <c r="D1357" s="2166"/>
      <c r="E1357" s="2166"/>
      <c r="F1357" s="2166"/>
      <c r="G1357" s="2166"/>
      <c r="H1357" s="2171"/>
      <c r="I1357" s="2168"/>
      <c r="J1357" s="178"/>
      <c r="K1357" s="2168"/>
      <c r="L1357" s="2166"/>
      <c r="M1357" s="2166"/>
      <c r="N1357" s="2166"/>
      <c r="O1357" s="2166"/>
      <c r="P1357" s="2171"/>
      <c r="Q1357" s="2167"/>
      <c r="R1357" s="437"/>
      <c r="S1357" s="2168"/>
      <c r="T1357" s="179"/>
      <c r="U1357" s="178"/>
      <c r="V1357" s="2168"/>
      <c r="W1357" s="2168"/>
      <c r="X1357" s="470"/>
      <c r="Y1357" s="470"/>
      <c r="Z1357" s="471"/>
      <c r="AA1357" s="471"/>
      <c r="AB1357" s="466"/>
    </row>
    <row r="1358" spans="1:28" s="352" customFormat="1" ht="18" customHeight="1" x14ac:dyDescent="0.2">
      <c r="A1358" s="2166"/>
      <c r="B1358" s="177"/>
      <c r="C1358" s="177"/>
      <c r="D1358" s="2166"/>
      <c r="E1358" s="2166"/>
      <c r="F1358" s="2166"/>
      <c r="G1358" s="2166"/>
      <c r="H1358" s="2171"/>
      <c r="I1358" s="2168"/>
      <c r="J1358" s="178"/>
      <c r="K1358" s="2168"/>
      <c r="L1358" s="2166"/>
      <c r="M1358" s="2166"/>
      <c r="N1358" s="2166"/>
      <c r="O1358" s="2166"/>
      <c r="P1358" s="2171"/>
      <c r="Q1358" s="2167"/>
      <c r="R1358" s="437"/>
      <c r="S1358" s="2168"/>
      <c r="T1358" s="179"/>
      <c r="U1358" s="178"/>
      <c r="V1358" s="2168"/>
      <c r="W1358" s="2168"/>
      <c r="X1358" s="470"/>
      <c r="Y1358" s="470"/>
      <c r="Z1358" s="471"/>
      <c r="AA1358" s="471"/>
      <c r="AB1358" s="466"/>
    </row>
    <row r="1359" spans="1:28" s="352" customFormat="1" ht="18" customHeight="1" x14ac:dyDescent="0.2">
      <c r="A1359" s="2166"/>
      <c r="B1359" s="177"/>
      <c r="C1359" s="177"/>
      <c r="D1359" s="2166"/>
      <c r="E1359" s="2166"/>
      <c r="F1359" s="2166"/>
      <c r="G1359" s="2166"/>
      <c r="H1359" s="2171"/>
      <c r="I1359" s="2168"/>
      <c r="J1359" s="178"/>
      <c r="K1359" s="2168"/>
      <c r="L1359" s="2166"/>
      <c r="M1359" s="2166"/>
      <c r="N1359" s="2166"/>
      <c r="O1359" s="2166"/>
      <c r="P1359" s="2171"/>
      <c r="Q1359" s="2167"/>
      <c r="R1359" s="437"/>
      <c r="S1359" s="2168"/>
      <c r="T1359" s="179"/>
      <c r="U1359" s="178"/>
      <c r="V1359" s="2168"/>
      <c r="W1359" s="2168"/>
      <c r="X1359" s="470"/>
      <c r="Y1359" s="470"/>
      <c r="Z1359" s="471"/>
      <c r="AA1359" s="471"/>
      <c r="AB1359" s="466"/>
    </row>
    <row r="1360" spans="1:28" s="352" customFormat="1" ht="18" customHeight="1" x14ac:dyDescent="0.2">
      <c r="A1360" s="88"/>
      <c r="B1360" s="180"/>
      <c r="C1360" s="180"/>
      <c r="D1360" s="88"/>
      <c r="E1360" s="88"/>
      <c r="F1360" s="88"/>
      <c r="G1360" s="88"/>
      <c r="H1360" s="120"/>
      <c r="I1360" s="121"/>
      <c r="J1360" s="181"/>
      <c r="K1360" s="121"/>
      <c r="L1360" s="88"/>
      <c r="M1360" s="88"/>
      <c r="N1360" s="88"/>
      <c r="O1360" s="88"/>
      <c r="P1360" s="88"/>
      <c r="Q1360" s="129"/>
      <c r="R1360" s="445"/>
      <c r="S1360" s="121"/>
      <c r="T1360" s="182"/>
      <c r="U1360" s="181"/>
      <c r="V1360" s="121"/>
      <c r="W1360" s="121"/>
      <c r="X1360" s="472"/>
      <c r="Y1360" s="472"/>
      <c r="Z1360" s="473"/>
      <c r="AA1360" s="473"/>
      <c r="AB1360" s="410"/>
    </row>
    <row r="1361" spans="1:28" s="352" customFormat="1" ht="18" customHeight="1" x14ac:dyDescent="0.2">
      <c r="A1361" s="1850"/>
      <c r="B1361" s="1850"/>
      <c r="C1361" s="1850"/>
      <c r="D1361" s="1850"/>
      <c r="E1361" s="1850"/>
      <c r="F1361" s="1850"/>
      <c r="G1361" s="1850"/>
      <c r="H1361" s="1851"/>
      <c r="I1361" s="1852"/>
      <c r="J1361" s="1853"/>
      <c r="K1361" s="1852"/>
      <c r="L1361" s="1852"/>
      <c r="M1361" s="1852"/>
      <c r="N1361" s="1852"/>
      <c r="O1361" s="1852"/>
      <c r="P1361" s="1852"/>
      <c r="Q1361" s="1852"/>
      <c r="R1361" s="1854"/>
      <c r="S1361" s="1852"/>
      <c r="T1361" s="1855"/>
      <c r="U1361" s="1853"/>
      <c r="V1361" s="1852"/>
      <c r="W1361" s="1852"/>
      <c r="X1361" s="1856"/>
      <c r="Y1361" s="1856"/>
      <c r="Z1361" s="1857"/>
      <c r="AA1361" s="1857"/>
      <c r="AB1361" s="1847">
        <f>SUM(AB1347:AB1360)</f>
        <v>2844</v>
      </c>
    </row>
    <row r="1362" spans="1:28" s="352" customFormat="1" ht="18" customHeight="1" x14ac:dyDescent="0.2">
      <c r="A1362" s="2778" t="s">
        <v>76</v>
      </c>
      <c r="B1362" s="2778"/>
      <c r="C1362" s="2779" t="s">
        <v>77</v>
      </c>
      <c r="D1362" s="2779"/>
      <c r="E1362" s="2779"/>
      <c r="F1362" s="2779"/>
      <c r="G1362" s="2779"/>
      <c r="H1362" s="2779"/>
      <c r="I1362" s="424" t="s">
        <v>78</v>
      </c>
      <c r="J1362" s="424"/>
      <c r="K1362" s="424"/>
      <c r="L1362" s="424"/>
      <c r="M1362" s="424"/>
      <c r="N1362" s="424"/>
      <c r="AB1362" s="425"/>
    </row>
    <row r="1363" spans="1:28" s="352" customFormat="1" ht="18" customHeight="1" x14ac:dyDescent="0.2">
      <c r="A1363" s="424"/>
      <c r="B1363" s="426"/>
      <c r="C1363" s="424"/>
      <c r="D1363" s="424"/>
      <c r="E1363" s="424"/>
      <c r="F1363" s="424"/>
      <c r="G1363" s="424"/>
      <c r="H1363" s="424"/>
      <c r="I1363" s="424" t="s">
        <v>79</v>
      </c>
      <c r="J1363" s="424"/>
      <c r="K1363" s="424"/>
      <c r="L1363" s="424"/>
      <c r="M1363" s="424"/>
      <c r="N1363" s="424"/>
      <c r="AB1363" s="425"/>
    </row>
    <row r="1364" spans="1:28" s="352" customFormat="1" ht="18" customHeight="1" x14ac:dyDescent="0.2">
      <c r="A1364" s="424"/>
      <c r="B1364" s="426"/>
      <c r="C1364" s="424"/>
      <c r="D1364" s="424"/>
      <c r="E1364" s="424"/>
      <c r="F1364" s="424"/>
      <c r="G1364" s="424"/>
      <c r="H1364" s="424"/>
      <c r="I1364" s="424" t="s">
        <v>80</v>
      </c>
      <c r="J1364" s="424"/>
      <c r="K1364" s="424"/>
      <c r="L1364" s="424"/>
      <c r="M1364" s="424"/>
      <c r="N1364" s="424"/>
      <c r="AB1364" s="425"/>
    </row>
    <row r="1365" spans="1:28" s="352" customFormat="1" ht="18" customHeight="1" x14ac:dyDescent="0.2">
      <c r="A1365" s="424"/>
      <c r="B1365" s="426"/>
      <c r="C1365" s="424"/>
      <c r="D1365" s="424"/>
      <c r="E1365" s="424"/>
      <c r="F1365" s="424"/>
      <c r="G1365" s="424"/>
      <c r="H1365" s="424"/>
      <c r="I1365" s="424" t="s">
        <v>81</v>
      </c>
      <c r="J1365" s="424"/>
      <c r="K1365" s="424"/>
      <c r="L1365" s="424"/>
      <c r="M1365" s="424"/>
      <c r="N1365" s="424"/>
      <c r="AB1365" s="425"/>
    </row>
    <row r="1366" spans="1:28" s="352" customFormat="1" ht="18" customHeight="1" x14ac:dyDescent="0.2">
      <c r="A1366" s="424"/>
      <c r="B1366" s="426"/>
      <c r="C1366" s="424"/>
      <c r="D1366" s="424"/>
      <c r="E1366" s="424"/>
      <c r="F1366" s="424"/>
      <c r="G1366" s="424"/>
      <c r="H1366" s="424"/>
      <c r="I1366" s="424" t="s">
        <v>88</v>
      </c>
      <c r="J1366" s="424"/>
      <c r="K1366" s="424"/>
      <c r="L1366" s="424"/>
      <c r="M1366" s="424"/>
      <c r="N1366" s="424"/>
      <c r="AB1366" s="425"/>
    </row>
    <row r="1367" spans="1:28" s="352" customFormat="1" ht="18" customHeight="1" x14ac:dyDescent="0.2">
      <c r="A1367" s="338"/>
      <c r="B1367" s="338"/>
      <c r="C1367" s="338"/>
      <c r="D1367" s="338"/>
      <c r="E1367" s="338"/>
      <c r="F1367" s="338"/>
      <c r="G1367" s="338"/>
      <c r="H1367" s="338"/>
      <c r="I1367" s="338"/>
      <c r="J1367" s="338"/>
      <c r="K1367" s="338"/>
      <c r="L1367" s="338"/>
      <c r="M1367" s="338"/>
      <c r="N1367" s="338"/>
      <c r="O1367" s="338"/>
      <c r="P1367" s="338"/>
      <c r="Q1367" s="338"/>
      <c r="R1367" s="338"/>
      <c r="S1367" s="338"/>
      <c r="T1367" s="338"/>
      <c r="U1367" s="338"/>
      <c r="V1367" s="338"/>
      <c r="W1367" s="338"/>
      <c r="X1367" s="338"/>
      <c r="Y1367" s="338"/>
      <c r="Z1367" s="338"/>
      <c r="AA1367" s="2774" t="s">
        <v>0</v>
      </c>
      <c r="AB1367" s="2774"/>
    </row>
    <row r="1368" spans="1:28" s="352" customFormat="1" ht="18" customHeight="1" x14ac:dyDescent="0.2">
      <c r="A1368" s="2703" t="s">
        <v>1</v>
      </c>
      <c r="B1368" s="2703"/>
      <c r="C1368" s="2703"/>
      <c r="D1368" s="2703"/>
      <c r="E1368" s="2703"/>
      <c r="F1368" s="2703"/>
      <c r="G1368" s="2703"/>
      <c r="H1368" s="2703"/>
      <c r="I1368" s="2703"/>
      <c r="J1368" s="2703"/>
      <c r="K1368" s="2703"/>
      <c r="L1368" s="2703"/>
      <c r="M1368" s="2703"/>
      <c r="N1368" s="2703"/>
      <c r="O1368" s="2703"/>
      <c r="P1368" s="2703"/>
      <c r="Q1368" s="2703"/>
      <c r="R1368" s="2703"/>
      <c r="S1368" s="2703"/>
      <c r="T1368" s="2703"/>
      <c r="U1368" s="2703"/>
      <c r="V1368" s="2703"/>
      <c r="W1368" s="2703"/>
      <c r="X1368" s="2703"/>
      <c r="Y1368" s="2703"/>
      <c r="Z1368" s="2703"/>
      <c r="AA1368" s="2703"/>
      <c r="AB1368" s="2703"/>
    </row>
    <row r="1369" spans="1:28" s="352" customFormat="1" ht="18" customHeight="1" x14ac:dyDescent="0.2">
      <c r="A1369" s="2780" t="s">
        <v>643</v>
      </c>
      <c r="B1369" s="2780"/>
      <c r="C1369" s="2780"/>
      <c r="D1369" s="2780"/>
      <c r="E1369" s="2780"/>
      <c r="F1369" s="2780"/>
      <c r="G1369" s="2780"/>
      <c r="H1369" s="2780"/>
      <c r="I1369" s="2780"/>
      <c r="J1369" s="2780"/>
      <c r="K1369" s="2780"/>
      <c r="L1369" s="2780"/>
      <c r="M1369" s="2780"/>
      <c r="N1369" s="2780"/>
      <c r="O1369" s="2780"/>
      <c r="P1369" s="2780"/>
      <c r="Q1369" s="2780"/>
      <c r="R1369" s="2780"/>
      <c r="S1369" s="2780"/>
      <c r="T1369" s="2780"/>
      <c r="U1369" s="2780"/>
      <c r="V1369" s="2780"/>
      <c r="W1369" s="2780"/>
      <c r="X1369" s="2780"/>
      <c r="Y1369" s="2780"/>
      <c r="Z1369" s="2780"/>
      <c r="AA1369" s="2780"/>
      <c r="AB1369" s="2780"/>
    </row>
    <row r="1370" spans="1:28" s="352" customFormat="1" ht="18" customHeight="1" x14ac:dyDescent="0.2">
      <c r="A1370" s="2686" t="s">
        <v>2</v>
      </c>
      <c r="B1370" s="360"/>
      <c r="C1370" s="2686" t="s">
        <v>3</v>
      </c>
      <c r="D1370" s="360"/>
      <c r="E1370" s="360"/>
      <c r="F1370" s="2693" t="s">
        <v>4</v>
      </c>
      <c r="G1370" s="2693"/>
      <c r="H1370" s="2693"/>
      <c r="I1370" s="2694"/>
      <c r="J1370" s="2694"/>
      <c r="K1370" s="2695"/>
      <c r="L1370" s="361"/>
      <c r="M1370" s="2679" t="s">
        <v>5</v>
      </c>
      <c r="N1370" s="2679"/>
      <c r="O1370" s="2679"/>
      <c r="P1370" s="2679"/>
      <c r="Q1370" s="2696"/>
      <c r="R1370" s="2696"/>
      <c r="S1370" s="2696"/>
      <c r="T1370" s="2696"/>
      <c r="U1370" s="2696"/>
      <c r="V1370" s="2697"/>
      <c r="W1370" s="362" t="s">
        <v>6</v>
      </c>
      <c r="X1370" s="363" t="s">
        <v>7</v>
      </c>
      <c r="Y1370" s="364"/>
      <c r="Z1370" s="364"/>
      <c r="AA1370" s="363"/>
      <c r="AB1370" s="365"/>
    </row>
    <row r="1371" spans="1:28" s="352" customFormat="1" ht="18" customHeight="1" x14ac:dyDescent="0.2">
      <c r="A1371" s="2687"/>
      <c r="B1371" s="367"/>
      <c r="C1371" s="2687"/>
      <c r="D1371" s="2158" t="s">
        <v>9</v>
      </c>
      <c r="E1371" s="368" t="s">
        <v>10</v>
      </c>
      <c r="F1371" s="2698" t="s">
        <v>11</v>
      </c>
      <c r="G1371" s="2694"/>
      <c r="H1371" s="2695"/>
      <c r="I1371" s="360"/>
      <c r="J1371" s="369" t="s">
        <v>12</v>
      </c>
      <c r="K1371" s="360"/>
      <c r="L1371" s="2679" t="s">
        <v>2</v>
      </c>
      <c r="M1371" s="2162"/>
      <c r="N1371" s="2162"/>
      <c r="O1371" s="2162"/>
      <c r="P1371" s="371"/>
      <c r="Q1371" s="372" t="s">
        <v>13</v>
      </c>
      <c r="R1371" s="373" t="s">
        <v>12</v>
      </c>
      <c r="S1371" s="2162" t="s">
        <v>6</v>
      </c>
      <c r="T1371" s="2682" t="s">
        <v>14</v>
      </c>
      <c r="U1371" s="2683"/>
      <c r="V1371" s="375" t="s">
        <v>7</v>
      </c>
      <c r="W1371" s="376" t="s">
        <v>15</v>
      </c>
      <c r="X1371" s="377" t="s">
        <v>16</v>
      </c>
      <c r="Y1371" s="377" t="s">
        <v>17</v>
      </c>
      <c r="Z1371" s="377" t="s">
        <v>18</v>
      </c>
      <c r="AA1371" s="377"/>
      <c r="AB1371" s="378" t="s">
        <v>19</v>
      </c>
    </row>
    <row r="1372" spans="1:28" s="352" customFormat="1" ht="18" customHeight="1" x14ac:dyDescent="0.2">
      <c r="A1372" s="2687"/>
      <c r="B1372" s="2158" t="s">
        <v>23</v>
      </c>
      <c r="C1372" s="2687"/>
      <c r="D1372" s="2158" t="s">
        <v>24</v>
      </c>
      <c r="E1372" s="368" t="s">
        <v>25</v>
      </c>
      <c r="F1372" s="2699"/>
      <c r="G1372" s="2700"/>
      <c r="H1372" s="2701"/>
      <c r="I1372" s="2158" t="s">
        <v>26</v>
      </c>
      <c r="J1372" s="379" t="s">
        <v>15</v>
      </c>
      <c r="K1372" s="2159" t="s">
        <v>6</v>
      </c>
      <c r="L1372" s="2680"/>
      <c r="M1372" s="2163" t="s">
        <v>27</v>
      </c>
      <c r="N1372" s="2163" t="s">
        <v>10</v>
      </c>
      <c r="O1372" s="382" t="s">
        <v>10</v>
      </c>
      <c r="P1372" s="383" t="s">
        <v>28</v>
      </c>
      <c r="Q1372" s="384" t="s">
        <v>29</v>
      </c>
      <c r="R1372" s="383" t="s">
        <v>15</v>
      </c>
      <c r="S1372" s="385" t="s">
        <v>15</v>
      </c>
      <c r="T1372" s="2684"/>
      <c r="U1372" s="2685"/>
      <c r="V1372" s="375" t="s">
        <v>30</v>
      </c>
      <c r="W1372" s="376" t="s">
        <v>31</v>
      </c>
      <c r="X1372" s="377" t="s">
        <v>30</v>
      </c>
      <c r="Y1372" s="377" t="s">
        <v>32</v>
      </c>
      <c r="Z1372" s="377" t="s">
        <v>7</v>
      </c>
      <c r="AA1372" s="377" t="s">
        <v>33</v>
      </c>
      <c r="AB1372" s="378" t="s">
        <v>34</v>
      </c>
    </row>
    <row r="1373" spans="1:28" s="352" customFormat="1" ht="18" customHeight="1" x14ac:dyDescent="0.2">
      <c r="A1373" s="2687"/>
      <c r="B1373" s="2158" t="s">
        <v>39</v>
      </c>
      <c r="C1373" s="2687"/>
      <c r="D1373" s="2158" t="s">
        <v>40</v>
      </c>
      <c r="E1373" s="368" t="s">
        <v>41</v>
      </c>
      <c r="F1373" s="2686" t="s">
        <v>42</v>
      </c>
      <c r="G1373" s="2686" t="s">
        <v>43</v>
      </c>
      <c r="H1373" s="2688" t="s">
        <v>44</v>
      </c>
      <c r="I1373" s="2158" t="s">
        <v>45</v>
      </c>
      <c r="J1373" s="379" t="s">
        <v>46</v>
      </c>
      <c r="K1373" s="2159" t="s">
        <v>47</v>
      </c>
      <c r="L1373" s="2680"/>
      <c r="M1373" s="2163" t="s">
        <v>30</v>
      </c>
      <c r="N1373" s="2163" t="s">
        <v>30</v>
      </c>
      <c r="O1373" s="382" t="s">
        <v>25</v>
      </c>
      <c r="P1373" s="383" t="s">
        <v>30</v>
      </c>
      <c r="Q1373" s="384" t="s">
        <v>48</v>
      </c>
      <c r="R1373" s="383" t="s">
        <v>49</v>
      </c>
      <c r="S1373" s="385" t="s">
        <v>30</v>
      </c>
      <c r="T1373" s="386" t="s">
        <v>50</v>
      </c>
      <c r="U1373" s="2161" t="s">
        <v>13</v>
      </c>
      <c r="V1373" s="375" t="s">
        <v>51</v>
      </c>
      <c r="W1373" s="376" t="s">
        <v>52</v>
      </c>
      <c r="X1373" s="377" t="s">
        <v>53</v>
      </c>
      <c r="Y1373" s="377" t="s">
        <v>54</v>
      </c>
      <c r="Z1373" s="377" t="s">
        <v>55</v>
      </c>
      <c r="AA1373" s="377" t="s">
        <v>56</v>
      </c>
      <c r="AB1373" s="378" t="s">
        <v>57</v>
      </c>
    </row>
    <row r="1374" spans="1:28" s="352" customFormat="1" ht="18" customHeight="1" x14ac:dyDescent="0.2">
      <c r="A1374" s="2687"/>
      <c r="B1374" s="2158" t="s">
        <v>61</v>
      </c>
      <c r="C1374" s="2687"/>
      <c r="D1374" s="2158" t="s">
        <v>62</v>
      </c>
      <c r="E1374" s="368" t="s">
        <v>63</v>
      </c>
      <c r="F1374" s="2687"/>
      <c r="G1374" s="2687"/>
      <c r="H1374" s="2689"/>
      <c r="I1374" s="2158" t="s">
        <v>64</v>
      </c>
      <c r="J1374" s="379" t="s">
        <v>59</v>
      </c>
      <c r="K1374" s="2159" t="s">
        <v>59</v>
      </c>
      <c r="L1374" s="2680"/>
      <c r="M1374" s="2163"/>
      <c r="N1374" s="2163"/>
      <c r="O1374" s="382" t="s">
        <v>41</v>
      </c>
      <c r="P1374" s="383" t="s">
        <v>65</v>
      </c>
      <c r="Q1374" s="384" t="s">
        <v>66</v>
      </c>
      <c r="R1374" s="383" t="s">
        <v>67</v>
      </c>
      <c r="S1374" s="385" t="s">
        <v>59</v>
      </c>
      <c r="T1374" s="387" t="s">
        <v>68</v>
      </c>
      <c r="U1374" s="375" t="s">
        <v>14</v>
      </c>
      <c r="V1374" s="375" t="s">
        <v>14</v>
      </c>
      <c r="W1374" s="376" t="s">
        <v>30</v>
      </c>
      <c r="X1374" s="388" t="s">
        <v>69</v>
      </c>
      <c r="Y1374" s="388" t="s">
        <v>70</v>
      </c>
      <c r="Z1374" s="377" t="s">
        <v>71</v>
      </c>
      <c r="AA1374" s="377" t="s">
        <v>72</v>
      </c>
      <c r="AB1374" s="378" t="s">
        <v>59</v>
      </c>
    </row>
    <row r="1375" spans="1:28" s="352" customFormat="1" ht="18" customHeight="1" x14ac:dyDescent="0.2">
      <c r="A1375" s="2692"/>
      <c r="B1375" s="390"/>
      <c r="C1375" s="2692"/>
      <c r="D1375" s="390"/>
      <c r="E1375" s="2160"/>
      <c r="F1375" s="390"/>
      <c r="G1375" s="390"/>
      <c r="H1375" s="391"/>
      <c r="I1375" s="2160"/>
      <c r="J1375" s="392"/>
      <c r="K1375" s="393"/>
      <c r="L1375" s="2681"/>
      <c r="M1375" s="2164"/>
      <c r="N1375" s="2164"/>
      <c r="O1375" s="2164" t="s">
        <v>63</v>
      </c>
      <c r="P1375" s="395"/>
      <c r="Q1375" s="396" t="s">
        <v>72</v>
      </c>
      <c r="R1375" s="397" t="s">
        <v>59</v>
      </c>
      <c r="S1375" s="398"/>
      <c r="T1375" s="397" t="s">
        <v>73</v>
      </c>
      <c r="U1375" s="398" t="s">
        <v>59</v>
      </c>
      <c r="V1375" s="399" t="s">
        <v>59</v>
      </c>
      <c r="W1375" s="400" t="s">
        <v>59</v>
      </c>
      <c r="X1375" s="401" t="s">
        <v>59</v>
      </c>
      <c r="Y1375" s="401" t="s">
        <v>59</v>
      </c>
      <c r="Z1375" s="401" t="s">
        <v>59</v>
      </c>
      <c r="AA1375" s="402"/>
      <c r="AB1375" s="403"/>
    </row>
    <row r="1376" spans="1:28" s="352" customFormat="1" ht="18" customHeight="1" x14ac:dyDescent="0.2">
      <c r="A1376" s="53">
        <v>1</v>
      </c>
      <c r="B1376" s="41">
        <v>27769</v>
      </c>
      <c r="C1376" s="41">
        <v>20</v>
      </c>
      <c r="D1376" s="41" t="s">
        <v>107</v>
      </c>
      <c r="E1376" s="41">
        <v>4</v>
      </c>
      <c r="F1376" s="41">
        <v>0</v>
      </c>
      <c r="G1376" s="41">
        <v>1</v>
      </c>
      <c r="H1376" s="267">
        <v>0</v>
      </c>
      <c r="I1376" s="302">
        <f>F1376*400+G1376*100+H1376</f>
        <v>100</v>
      </c>
      <c r="J1376" s="310">
        <v>3000</v>
      </c>
      <c r="K1376" s="303">
        <f>SUM(I1376*J1376)</f>
        <v>300000</v>
      </c>
      <c r="L1376" s="16"/>
      <c r="M1376" s="82"/>
      <c r="N1376" s="41"/>
      <c r="O1376" s="16">
        <v>4</v>
      </c>
      <c r="P1376" s="404"/>
      <c r="Q1376" s="14"/>
      <c r="R1376" s="302"/>
      <c r="S1376" s="302"/>
      <c r="T1376" s="41"/>
      <c r="U1376" s="302"/>
      <c r="V1376" s="302"/>
      <c r="W1376" s="302">
        <f>K1376+V1376</f>
        <v>300000</v>
      </c>
      <c r="X1376" s="302">
        <f>W1376</f>
        <v>300000</v>
      </c>
      <c r="Y1376" s="310"/>
      <c r="Z1376" s="302">
        <f>+X1376</f>
        <v>300000</v>
      </c>
      <c r="AA1376" s="405">
        <v>0.6</v>
      </c>
      <c r="AB1376" s="465">
        <f>+Z1376*AA1376/100</f>
        <v>1800</v>
      </c>
    </row>
    <row r="1377" spans="1:28" s="352" customFormat="1" ht="18" customHeight="1" x14ac:dyDescent="0.2">
      <c r="A1377" s="61"/>
      <c r="B1377" s="2166"/>
      <c r="C1377" s="2166"/>
      <c r="D1377" s="2166"/>
      <c r="E1377" s="2166"/>
      <c r="F1377" s="2166"/>
      <c r="G1377" s="2166"/>
      <c r="H1377" s="407"/>
      <c r="I1377" s="77"/>
      <c r="J1377" s="2168"/>
      <c r="K1377" s="78"/>
      <c r="L1377" s="61"/>
      <c r="M1377" s="2166"/>
      <c r="N1377" s="2166"/>
      <c r="O1377" s="61"/>
      <c r="P1377" s="177"/>
      <c r="Q1377" s="196"/>
      <c r="R1377" s="408"/>
      <c r="S1377" s="77"/>
      <c r="T1377" s="2166"/>
      <c r="U1377" s="77"/>
      <c r="V1377" s="77"/>
      <c r="W1377" s="77"/>
      <c r="X1377" s="77"/>
      <c r="Y1377" s="2168"/>
      <c r="Z1377" s="77"/>
      <c r="AA1377" s="2170"/>
      <c r="AB1377" s="416"/>
    </row>
    <row r="1378" spans="1:28" s="352" customFormat="1" ht="18" customHeight="1" x14ac:dyDescent="0.2">
      <c r="A1378" s="75"/>
      <c r="B1378" s="2166"/>
      <c r="C1378" s="2166"/>
      <c r="D1378" s="2166"/>
      <c r="E1378" s="2166"/>
      <c r="F1378" s="2166"/>
      <c r="G1378" s="2166"/>
      <c r="H1378" s="407"/>
      <c r="I1378" s="77"/>
      <c r="J1378" s="2168"/>
      <c r="K1378" s="78"/>
      <c r="L1378" s="61"/>
      <c r="M1378" s="2166"/>
      <c r="N1378" s="2166"/>
      <c r="O1378" s="61"/>
      <c r="P1378" s="177"/>
      <c r="Q1378" s="196"/>
      <c r="R1378" s="408"/>
      <c r="S1378" s="77"/>
      <c r="T1378" s="2166"/>
      <c r="U1378" s="77"/>
      <c r="V1378" s="77"/>
      <c r="W1378" s="77"/>
      <c r="X1378" s="77"/>
      <c r="Y1378" s="2168"/>
      <c r="Z1378" s="77"/>
      <c r="AA1378" s="2170"/>
      <c r="AB1378" s="410"/>
    </row>
    <row r="1379" spans="1:28" s="352" customFormat="1" ht="18" customHeight="1" x14ac:dyDescent="0.2">
      <c r="A1379" s="242"/>
      <c r="B1379" s="2166"/>
      <c r="C1379" s="2166"/>
      <c r="D1379" s="2166"/>
      <c r="E1379" s="2166"/>
      <c r="F1379" s="2166"/>
      <c r="G1379" s="2166"/>
      <c r="H1379" s="407"/>
      <c r="I1379" s="77"/>
      <c r="J1379" s="2168"/>
      <c r="K1379" s="78"/>
      <c r="L1379" s="61"/>
      <c r="M1379" s="2166"/>
      <c r="N1379" s="2166"/>
      <c r="O1379" s="61"/>
      <c r="P1379" s="177"/>
      <c r="Q1379" s="196"/>
      <c r="R1379" s="408"/>
      <c r="S1379" s="77"/>
      <c r="T1379" s="2166"/>
      <c r="U1379" s="77"/>
      <c r="V1379" s="77"/>
      <c r="W1379" s="77"/>
      <c r="X1379" s="77"/>
      <c r="Y1379" s="2168"/>
      <c r="Z1379" s="77"/>
      <c r="AA1379" s="2170"/>
      <c r="AB1379" s="410"/>
    </row>
    <row r="1380" spans="1:28" s="352" customFormat="1" ht="18" customHeight="1" x14ac:dyDescent="0.2">
      <c r="A1380" s="75"/>
      <c r="B1380" s="88"/>
      <c r="C1380" s="88"/>
      <c r="D1380" s="88"/>
      <c r="E1380" s="88"/>
      <c r="F1380" s="88"/>
      <c r="G1380" s="88"/>
      <c r="H1380" s="495"/>
      <c r="I1380" s="74"/>
      <c r="J1380" s="121"/>
      <c r="K1380" s="159"/>
      <c r="L1380" s="75"/>
      <c r="M1380" s="88"/>
      <c r="N1380" s="88"/>
      <c r="O1380" s="75"/>
      <c r="P1380" s="180"/>
      <c r="Q1380" s="174"/>
      <c r="R1380" s="413"/>
      <c r="S1380" s="74"/>
      <c r="T1380" s="88"/>
      <c r="U1380" s="74"/>
      <c r="V1380" s="74"/>
      <c r="W1380" s="74"/>
      <c r="X1380" s="74"/>
      <c r="Y1380" s="121"/>
      <c r="Z1380" s="74"/>
      <c r="AA1380" s="414"/>
      <c r="AB1380" s="416"/>
    </row>
    <row r="1381" spans="1:28" s="352" customFormat="1" ht="18" customHeight="1" x14ac:dyDescent="0.2">
      <c r="A1381" s="61"/>
      <c r="B1381" s="2166"/>
      <c r="C1381" s="2166"/>
      <c r="D1381" s="2166"/>
      <c r="E1381" s="2166"/>
      <c r="F1381" s="2166"/>
      <c r="G1381" s="2166"/>
      <c r="H1381" s="407"/>
      <c r="I1381" s="77"/>
      <c r="J1381" s="2168"/>
      <c r="K1381" s="78"/>
      <c r="L1381" s="61"/>
      <c r="M1381" s="2166"/>
      <c r="N1381" s="2166"/>
      <c r="O1381" s="61"/>
      <c r="P1381" s="177"/>
      <c r="Q1381" s="196"/>
      <c r="R1381" s="408"/>
      <c r="S1381" s="77"/>
      <c r="T1381" s="2166"/>
      <c r="U1381" s="77"/>
      <c r="V1381" s="77"/>
      <c r="W1381" s="77"/>
      <c r="X1381" s="77"/>
      <c r="Y1381" s="2168"/>
      <c r="Z1381" s="77"/>
      <c r="AA1381" s="2170"/>
      <c r="AB1381" s="410"/>
    </row>
    <row r="1382" spans="1:28" s="352" customFormat="1" ht="18" customHeight="1" x14ac:dyDescent="0.2">
      <c r="A1382" s="2166"/>
      <c r="B1382" s="177"/>
      <c r="C1382" s="177"/>
      <c r="D1382" s="2166"/>
      <c r="E1382" s="2166"/>
      <c r="F1382" s="2166"/>
      <c r="G1382" s="2166"/>
      <c r="H1382" s="2171"/>
      <c r="I1382" s="2168"/>
      <c r="J1382" s="178"/>
      <c r="K1382" s="2168"/>
      <c r="L1382" s="2166"/>
      <c r="M1382" s="2166"/>
      <c r="N1382" s="2166"/>
      <c r="O1382" s="2166"/>
      <c r="P1382" s="2171"/>
      <c r="Q1382" s="2167"/>
      <c r="R1382" s="437"/>
      <c r="S1382" s="2168"/>
      <c r="T1382" s="179"/>
      <c r="U1382" s="178"/>
      <c r="V1382" s="2168"/>
      <c r="W1382" s="2168"/>
      <c r="X1382" s="470"/>
      <c r="Y1382" s="470"/>
      <c r="Z1382" s="471"/>
      <c r="AA1382" s="471"/>
      <c r="AB1382" s="466"/>
    </row>
    <row r="1383" spans="1:28" s="352" customFormat="1" ht="18" customHeight="1" x14ac:dyDescent="0.2">
      <c r="A1383" s="2166"/>
      <c r="B1383" s="177"/>
      <c r="C1383" s="177"/>
      <c r="D1383" s="2166"/>
      <c r="E1383" s="2166"/>
      <c r="F1383" s="2166"/>
      <c r="G1383" s="2166"/>
      <c r="H1383" s="2171"/>
      <c r="I1383" s="2168"/>
      <c r="J1383" s="178"/>
      <c r="K1383" s="2168"/>
      <c r="L1383" s="2166"/>
      <c r="M1383" s="2166"/>
      <c r="N1383" s="2166"/>
      <c r="O1383" s="2166"/>
      <c r="P1383" s="2171"/>
      <c r="Q1383" s="2167"/>
      <c r="R1383" s="437"/>
      <c r="S1383" s="2168"/>
      <c r="T1383" s="179"/>
      <c r="U1383" s="178"/>
      <c r="V1383" s="2168"/>
      <c r="W1383" s="2168"/>
      <c r="X1383" s="470"/>
      <c r="Y1383" s="470"/>
      <c r="Z1383" s="471"/>
      <c r="AA1383" s="471"/>
      <c r="AB1383" s="466"/>
    </row>
    <row r="1384" spans="1:28" s="352" customFormat="1" ht="18" customHeight="1" x14ac:dyDescent="0.2">
      <c r="A1384" s="2166"/>
      <c r="B1384" s="177"/>
      <c r="C1384" s="177"/>
      <c r="D1384" s="2166"/>
      <c r="E1384" s="2166"/>
      <c r="F1384" s="2166"/>
      <c r="G1384" s="2166"/>
      <c r="H1384" s="2171"/>
      <c r="I1384" s="2168"/>
      <c r="J1384" s="178"/>
      <c r="K1384" s="2168"/>
      <c r="L1384" s="2166"/>
      <c r="M1384" s="2166"/>
      <c r="N1384" s="2166"/>
      <c r="O1384" s="2166"/>
      <c r="P1384" s="2171"/>
      <c r="Q1384" s="2167"/>
      <c r="R1384" s="437"/>
      <c r="S1384" s="2168"/>
      <c r="T1384" s="179"/>
      <c r="U1384" s="178"/>
      <c r="V1384" s="2168"/>
      <c r="W1384" s="2168"/>
      <c r="X1384" s="470"/>
      <c r="Y1384" s="470"/>
      <c r="Z1384" s="471"/>
      <c r="AA1384" s="471"/>
      <c r="AB1384" s="466"/>
    </row>
    <row r="1385" spans="1:28" s="352" customFormat="1" ht="18" customHeight="1" x14ac:dyDescent="0.2">
      <c r="A1385" s="2166"/>
      <c r="B1385" s="177"/>
      <c r="C1385" s="177"/>
      <c r="D1385" s="2166"/>
      <c r="E1385" s="2166"/>
      <c r="F1385" s="2166"/>
      <c r="G1385" s="2166"/>
      <c r="H1385" s="2171"/>
      <c r="I1385" s="2168"/>
      <c r="J1385" s="178"/>
      <c r="K1385" s="2168"/>
      <c r="L1385" s="2166"/>
      <c r="M1385" s="2166"/>
      <c r="N1385" s="2166"/>
      <c r="O1385" s="2166"/>
      <c r="P1385" s="2171"/>
      <c r="Q1385" s="2167"/>
      <c r="R1385" s="437"/>
      <c r="S1385" s="2168"/>
      <c r="T1385" s="179"/>
      <c r="U1385" s="178"/>
      <c r="V1385" s="2168"/>
      <c r="W1385" s="2168"/>
      <c r="X1385" s="470"/>
      <c r="Y1385" s="470"/>
      <c r="Z1385" s="471"/>
      <c r="AA1385" s="471"/>
      <c r="AB1385" s="466"/>
    </row>
    <row r="1386" spans="1:28" s="352" customFormat="1" ht="18" customHeight="1" x14ac:dyDescent="0.2">
      <c r="A1386" s="2166"/>
      <c r="B1386" s="177"/>
      <c r="C1386" s="177"/>
      <c r="D1386" s="2166"/>
      <c r="E1386" s="2166"/>
      <c r="F1386" s="2166"/>
      <c r="G1386" s="2166"/>
      <c r="H1386" s="2171"/>
      <c r="I1386" s="2168"/>
      <c r="J1386" s="178"/>
      <c r="K1386" s="2168"/>
      <c r="L1386" s="2166"/>
      <c r="M1386" s="2166"/>
      <c r="N1386" s="2166"/>
      <c r="O1386" s="2166"/>
      <c r="P1386" s="2171"/>
      <c r="Q1386" s="2167"/>
      <c r="R1386" s="437"/>
      <c r="S1386" s="2168"/>
      <c r="T1386" s="179"/>
      <c r="U1386" s="178"/>
      <c r="V1386" s="2168"/>
      <c r="W1386" s="2168"/>
      <c r="X1386" s="470"/>
      <c r="Y1386" s="470"/>
      <c r="Z1386" s="471"/>
      <c r="AA1386" s="471"/>
      <c r="AB1386" s="466"/>
    </row>
    <row r="1387" spans="1:28" s="352" customFormat="1" ht="18" customHeight="1" x14ac:dyDescent="0.2">
      <c r="A1387" s="2166"/>
      <c r="B1387" s="177"/>
      <c r="C1387" s="177"/>
      <c r="D1387" s="2166"/>
      <c r="E1387" s="2166"/>
      <c r="F1387" s="2166"/>
      <c r="G1387" s="2166"/>
      <c r="H1387" s="2171"/>
      <c r="I1387" s="2168"/>
      <c r="J1387" s="178"/>
      <c r="K1387" s="2168"/>
      <c r="L1387" s="2166"/>
      <c r="M1387" s="2166"/>
      <c r="N1387" s="2166"/>
      <c r="O1387" s="2166"/>
      <c r="P1387" s="2171"/>
      <c r="Q1387" s="2167"/>
      <c r="R1387" s="437"/>
      <c r="S1387" s="2168"/>
      <c r="T1387" s="179"/>
      <c r="U1387" s="178"/>
      <c r="V1387" s="2168"/>
      <c r="W1387" s="2168"/>
      <c r="X1387" s="470"/>
      <c r="Y1387" s="470"/>
      <c r="Z1387" s="471"/>
      <c r="AA1387" s="471"/>
      <c r="AB1387" s="466"/>
    </row>
    <row r="1388" spans="1:28" s="352" customFormat="1" ht="18" customHeight="1" x14ac:dyDescent="0.2">
      <c r="A1388" s="2166"/>
      <c r="B1388" s="177"/>
      <c r="C1388" s="177"/>
      <c r="D1388" s="2166"/>
      <c r="E1388" s="2166"/>
      <c r="F1388" s="2166"/>
      <c r="G1388" s="2166"/>
      <c r="H1388" s="2171"/>
      <c r="I1388" s="2168"/>
      <c r="J1388" s="178"/>
      <c r="K1388" s="2168"/>
      <c r="L1388" s="2166"/>
      <c r="M1388" s="2166"/>
      <c r="N1388" s="2166"/>
      <c r="O1388" s="2166"/>
      <c r="P1388" s="2171"/>
      <c r="Q1388" s="2167"/>
      <c r="R1388" s="437"/>
      <c r="S1388" s="2168"/>
      <c r="T1388" s="179"/>
      <c r="U1388" s="178"/>
      <c r="V1388" s="2168"/>
      <c r="W1388" s="2168"/>
      <c r="X1388" s="470"/>
      <c r="Y1388" s="470"/>
      <c r="Z1388" s="471"/>
      <c r="AA1388" s="471"/>
      <c r="AB1388" s="466"/>
    </row>
    <row r="1389" spans="1:28" s="352" customFormat="1" ht="18" customHeight="1" x14ac:dyDescent="0.2">
      <c r="A1389" s="88"/>
      <c r="B1389" s="180"/>
      <c r="C1389" s="180"/>
      <c r="D1389" s="88"/>
      <c r="E1389" s="88"/>
      <c r="F1389" s="88"/>
      <c r="G1389" s="88"/>
      <c r="H1389" s="120"/>
      <c r="I1389" s="121"/>
      <c r="J1389" s="181"/>
      <c r="K1389" s="121"/>
      <c r="L1389" s="88"/>
      <c r="M1389" s="88"/>
      <c r="N1389" s="88"/>
      <c r="O1389" s="88"/>
      <c r="P1389" s="88"/>
      <c r="Q1389" s="129"/>
      <c r="R1389" s="445"/>
      <c r="S1389" s="121"/>
      <c r="T1389" s="182"/>
      <c r="U1389" s="181"/>
      <c r="V1389" s="121"/>
      <c r="W1389" s="121"/>
      <c r="X1389" s="472"/>
      <c r="Y1389" s="472"/>
      <c r="Z1389" s="473"/>
      <c r="AA1389" s="473"/>
      <c r="AB1389" s="410"/>
    </row>
    <row r="1390" spans="1:28" s="352" customFormat="1" ht="18" customHeight="1" x14ac:dyDescent="0.2">
      <c r="A1390" s="1850"/>
      <c r="B1390" s="1850"/>
      <c r="C1390" s="1850"/>
      <c r="D1390" s="1850"/>
      <c r="E1390" s="1850"/>
      <c r="F1390" s="1850"/>
      <c r="G1390" s="1850"/>
      <c r="H1390" s="1851"/>
      <c r="I1390" s="1852"/>
      <c r="J1390" s="1853"/>
      <c r="K1390" s="1852"/>
      <c r="L1390" s="1852"/>
      <c r="M1390" s="1852"/>
      <c r="N1390" s="1852"/>
      <c r="O1390" s="1852"/>
      <c r="P1390" s="1852"/>
      <c r="Q1390" s="1852"/>
      <c r="R1390" s="1854"/>
      <c r="S1390" s="1852"/>
      <c r="T1390" s="1855"/>
      <c r="U1390" s="1853"/>
      <c r="V1390" s="1852"/>
      <c r="W1390" s="1852"/>
      <c r="X1390" s="1856"/>
      <c r="Y1390" s="1856"/>
      <c r="Z1390" s="1857"/>
      <c r="AA1390" s="1857"/>
      <c r="AB1390" s="1847">
        <f>SUM(AB1376:AB1389)</f>
        <v>1800</v>
      </c>
    </row>
    <row r="1391" spans="1:28" s="352" customFormat="1" ht="18" customHeight="1" x14ac:dyDescent="0.2">
      <c r="A1391" s="2778" t="s">
        <v>76</v>
      </c>
      <c r="B1391" s="2778"/>
      <c r="C1391" s="2779" t="s">
        <v>77</v>
      </c>
      <c r="D1391" s="2779"/>
      <c r="E1391" s="2779"/>
      <c r="F1391" s="2779"/>
      <c r="G1391" s="2779"/>
      <c r="H1391" s="2779"/>
      <c r="I1391" s="424" t="s">
        <v>78</v>
      </c>
      <c r="J1391" s="424"/>
      <c r="K1391" s="424"/>
      <c r="L1391" s="424"/>
      <c r="M1391" s="424"/>
      <c r="N1391" s="424"/>
      <c r="AB1391" s="425"/>
    </row>
    <row r="1392" spans="1:28" s="352" customFormat="1" ht="18" customHeight="1" x14ac:dyDescent="0.2">
      <c r="A1392" s="424"/>
      <c r="B1392" s="426"/>
      <c r="C1392" s="424"/>
      <c r="D1392" s="424"/>
      <c r="E1392" s="424"/>
      <c r="F1392" s="424"/>
      <c r="G1392" s="424"/>
      <c r="H1392" s="424"/>
      <c r="I1392" s="424" t="s">
        <v>79</v>
      </c>
      <c r="J1392" s="424"/>
      <c r="K1392" s="424"/>
      <c r="L1392" s="424"/>
      <c r="M1392" s="424"/>
      <c r="N1392" s="424"/>
      <c r="AB1392" s="425"/>
    </row>
    <row r="1393" spans="1:28" s="352" customFormat="1" ht="18" customHeight="1" x14ac:dyDescent="0.2">
      <c r="A1393" s="424"/>
      <c r="B1393" s="426"/>
      <c r="C1393" s="424"/>
      <c r="D1393" s="424"/>
      <c r="E1393" s="424"/>
      <c r="F1393" s="424"/>
      <c r="G1393" s="424"/>
      <c r="H1393" s="424"/>
      <c r="I1393" s="424" t="s">
        <v>80</v>
      </c>
      <c r="J1393" s="424"/>
      <c r="K1393" s="424"/>
      <c r="L1393" s="424"/>
      <c r="M1393" s="424"/>
      <c r="N1393" s="424"/>
      <c r="AB1393" s="425"/>
    </row>
    <row r="1394" spans="1:28" s="352" customFormat="1" ht="18" customHeight="1" x14ac:dyDescent="0.2">
      <c r="A1394" s="424"/>
      <c r="B1394" s="426"/>
      <c r="C1394" s="424"/>
      <c r="D1394" s="424"/>
      <c r="E1394" s="424"/>
      <c r="F1394" s="424"/>
      <c r="G1394" s="424"/>
      <c r="H1394" s="424"/>
      <c r="I1394" s="424" t="s">
        <v>81</v>
      </c>
      <c r="J1394" s="424"/>
      <c r="K1394" s="424"/>
      <c r="L1394" s="424"/>
      <c r="M1394" s="424"/>
      <c r="N1394" s="424"/>
      <c r="AB1394" s="425"/>
    </row>
    <row r="1395" spans="1:28" s="352" customFormat="1" ht="18" customHeight="1" x14ac:dyDescent="0.2">
      <c r="A1395" s="424"/>
      <c r="B1395" s="426"/>
      <c r="C1395" s="424"/>
      <c r="D1395" s="424"/>
      <c r="E1395" s="424"/>
      <c r="F1395" s="424"/>
      <c r="G1395" s="424"/>
      <c r="H1395" s="424"/>
      <c r="I1395" s="424" t="s">
        <v>88</v>
      </c>
      <c r="J1395" s="424"/>
      <c r="K1395" s="424"/>
      <c r="L1395" s="424"/>
      <c r="M1395" s="424"/>
      <c r="N1395" s="424"/>
      <c r="AB1395" s="425"/>
    </row>
    <row r="1396" spans="1:28" s="352" customFormat="1" ht="18" customHeight="1" x14ac:dyDescent="0.2">
      <c r="A1396" s="338"/>
      <c r="B1396" s="338"/>
      <c r="C1396" s="338"/>
      <c r="D1396" s="338"/>
      <c r="E1396" s="338"/>
      <c r="F1396" s="338"/>
      <c r="G1396" s="338"/>
      <c r="H1396" s="338"/>
      <c r="I1396" s="338"/>
      <c r="J1396" s="338"/>
      <c r="K1396" s="338"/>
      <c r="L1396" s="338"/>
      <c r="M1396" s="338"/>
      <c r="N1396" s="338"/>
      <c r="O1396" s="338"/>
      <c r="P1396" s="338"/>
      <c r="Q1396" s="338"/>
      <c r="R1396" s="338"/>
      <c r="S1396" s="338"/>
      <c r="T1396" s="338"/>
      <c r="U1396" s="338"/>
      <c r="V1396" s="338"/>
      <c r="W1396" s="338"/>
      <c r="X1396" s="338"/>
      <c r="Y1396" s="338"/>
      <c r="Z1396" s="338"/>
      <c r="AA1396" s="2774" t="s">
        <v>0</v>
      </c>
      <c r="AB1396" s="2774"/>
    </row>
    <row r="1397" spans="1:28" s="352" customFormat="1" ht="18" customHeight="1" x14ac:dyDescent="0.2">
      <c r="A1397" s="2703" t="s">
        <v>1</v>
      </c>
      <c r="B1397" s="2703"/>
      <c r="C1397" s="2703"/>
      <c r="D1397" s="2703"/>
      <c r="E1397" s="2703"/>
      <c r="F1397" s="2703"/>
      <c r="G1397" s="2703"/>
      <c r="H1397" s="2703"/>
      <c r="I1397" s="2703"/>
      <c r="J1397" s="2703"/>
      <c r="K1397" s="2703"/>
      <c r="L1397" s="2703"/>
      <c r="M1397" s="2703"/>
      <c r="N1397" s="2703"/>
      <c r="O1397" s="2703"/>
      <c r="P1397" s="2703"/>
      <c r="Q1397" s="2703"/>
      <c r="R1397" s="2703"/>
      <c r="S1397" s="2703"/>
      <c r="T1397" s="2703"/>
      <c r="U1397" s="2703"/>
      <c r="V1397" s="2703"/>
      <c r="W1397" s="2703"/>
      <c r="X1397" s="2703"/>
      <c r="Y1397" s="2703"/>
      <c r="Z1397" s="2703"/>
      <c r="AA1397" s="2703"/>
      <c r="AB1397" s="2703"/>
    </row>
    <row r="1398" spans="1:28" s="352" customFormat="1" ht="18" customHeight="1" x14ac:dyDescent="0.2">
      <c r="A1398" s="2780" t="s">
        <v>710</v>
      </c>
      <c r="B1398" s="2780"/>
      <c r="C1398" s="2780"/>
      <c r="D1398" s="2780"/>
      <c r="E1398" s="2780"/>
      <c r="F1398" s="2780"/>
      <c r="G1398" s="2780"/>
      <c r="H1398" s="2780"/>
      <c r="I1398" s="2780"/>
      <c r="J1398" s="2780"/>
      <c r="K1398" s="2780"/>
      <c r="L1398" s="2780"/>
      <c r="M1398" s="2780"/>
      <c r="N1398" s="2780"/>
      <c r="O1398" s="2780"/>
      <c r="P1398" s="2780"/>
      <c r="Q1398" s="2780"/>
      <c r="R1398" s="2780"/>
      <c r="S1398" s="2780"/>
      <c r="T1398" s="2780"/>
      <c r="U1398" s="2780"/>
      <c r="V1398" s="2780"/>
      <c r="W1398" s="2780"/>
      <c r="X1398" s="2780"/>
      <c r="Y1398" s="2780"/>
      <c r="Z1398" s="2780"/>
      <c r="AA1398" s="2780"/>
      <c r="AB1398" s="2780"/>
    </row>
    <row r="1399" spans="1:28" s="352" customFormat="1" ht="18" customHeight="1" x14ac:dyDescent="0.2">
      <c r="A1399" s="2686" t="s">
        <v>2</v>
      </c>
      <c r="B1399" s="360"/>
      <c r="C1399" s="2686" t="s">
        <v>3</v>
      </c>
      <c r="D1399" s="360"/>
      <c r="E1399" s="360"/>
      <c r="F1399" s="2693" t="s">
        <v>4</v>
      </c>
      <c r="G1399" s="2693"/>
      <c r="H1399" s="2693"/>
      <c r="I1399" s="2694"/>
      <c r="J1399" s="2694"/>
      <c r="K1399" s="2695"/>
      <c r="L1399" s="361"/>
      <c r="M1399" s="2679" t="s">
        <v>5</v>
      </c>
      <c r="N1399" s="2679"/>
      <c r="O1399" s="2679"/>
      <c r="P1399" s="2679"/>
      <c r="Q1399" s="2696"/>
      <c r="R1399" s="2696"/>
      <c r="S1399" s="2696"/>
      <c r="T1399" s="2696"/>
      <c r="U1399" s="2696"/>
      <c r="V1399" s="2697"/>
      <c r="W1399" s="362" t="s">
        <v>6</v>
      </c>
      <c r="X1399" s="363" t="s">
        <v>7</v>
      </c>
      <c r="Y1399" s="364"/>
      <c r="Z1399" s="364"/>
      <c r="AA1399" s="363"/>
      <c r="AB1399" s="365"/>
    </row>
    <row r="1400" spans="1:28" s="352" customFormat="1" ht="18" customHeight="1" x14ac:dyDescent="0.2">
      <c r="A1400" s="2687"/>
      <c r="B1400" s="367"/>
      <c r="C1400" s="2687"/>
      <c r="D1400" s="2158" t="s">
        <v>9</v>
      </c>
      <c r="E1400" s="368" t="s">
        <v>10</v>
      </c>
      <c r="F1400" s="2698" t="s">
        <v>11</v>
      </c>
      <c r="G1400" s="2694"/>
      <c r="H1400" s="2695"/>
      <c r="I1400" s="360"/>
      <c r="J1400" s="369" t="s">
        <v>12</v>
      </c>
      <c r="K1400" s="360"/>
      <c r="L1400" s="2679" t="s">
        <v>2</v>
      </c>
      <c r="M1400" s="2162"/>
      <c r="N1400" s="2162"/>
      <c r="O1400" s="2162"/>
      <c r="P1400" s="371"/>
      <c r="Q1400" s="372" t="s">
        <v>13</v>
      </c>
      <c r="R1400" s="373" t="s">
        <v>12</v>
      </c>
      <c r="S1400" s="2162" t="s">
        <v>6</v>
      </c>
      <c r="T1400" s="2682" t="s">
        <v>14</v>
      </c>
      <c r="U1400" s="2683"/>
      <c r="V1400" s="375" t="s">
        <v>7</v>
      </c>
      <c r="W1400" s="376" t="s">
        <v>15</v>
      </c>
      <c r="X1400" s="377" t="s">
        <v>16</v>
      </c>
      <c r="Y1400" s="377" t="s">
        <v>17</v>
      </c>
      <c r="Z1400" s="377" t="s">
        <v>18</v>
      </c>
      <c r="AA1400" s="377"/>
      <c r="AB1400" s="378" t="s">
        <v>19</v>
      </c>
    </row>
    <row r="1401" spans="1:28" s="352" customFormat="1" ht="18" customHeight="1" x14ac:dyDescent="0.2">
      <c r="A1401" s="2687"/>
      <c r="B1401" s="2158" t="s">
        <v>23</v>
      </c>
      <c r="C1401" s="2687"/>
      <c r="D1401" s="2158" t="s">
        <v>24</v>
      </c>
      <c r="E1401" s="368" t="s">
        <v>25</v>
      </c>
      <c r="F1401" s="2699"/>
      <c r="G1401" s="2700"/>
      <c r="H1401" s="2701"/>
      <c r="I1401" s="2158" t="s">
        <v>26</v>
      </c>
      <c r="J1401" s="379" t="s">
        <v>15</v>
      </c>
      <c r="K1401" s="2159" t="s">
        <v>6</v>
      </c>
      <c r="L1401" s="2680"/>
      <c r="M1401" s="2163" t="s">
        <v>27</v>
      </c>
      <c r="N1401" s="2163" t="s">
        <v>10</v>
      </c>
      <c r="O1401" s="382" t="s">
        <v>10</v>
      </c>
      <c r="P1401" s="383" t="s">
        <v>28</v>
      </c>
      <c r="Q1401" s="384" t="s">
        <v>29</v>
      </c>
      <c r="R1401" s="383" t="s">
        <v>15</v>
      </c>
      <c r="S1401" s="385" t="s">
        <v>15</v>
      </c>
      <c r="T1401" s="2684"/>
      <c r="U1401" s="2685"/>
      <c r="V1401" s="375" t="s">
        <v>30</v>
      </c>
      <c r="W1401" s="376" t="s">
        <v>31</v>
      </c>
      <c r="X1401" s="377" t="s">
        <v>30</v>
      </c>
      <c r="Y1401" s="377" t="s">
        <v>32</v>
      </c>
      <c r="Z1401" s="377" t="s">
        <v>7</v>
      </c>
      <c r="AA1401" s="377" t="s">
        <v>33</v>
      </c>
      <c r="AB1401" s="378" t="s">
        <v>34</v>
      </c>
    </row>
    <row r="1402" spans="1:28" s="352" customFormat="1" ht="18" customHeight="1" x14ac:dyDescent="0.2">
      <c r="A1402" s="2687"/>
      <c r="B1402" s="2158" t="s">
        <v>39</v>
      </c>
      <c r="C1402" s="2687"/>
      <c r="D1402" s="2158" t="s">
        <v>40</v>
      </c>
      <c r="E1402" s="368" t="s">
        <v>41</v>
      </c>
      <c r="F1402" s="2686" t="s">
        <v>42</v>
      </c>
      <c r="G1402" s="2686" t="s">
        <v>43</v>
      </c>
      <c r="H1402" s="2688" t="s">
        <v>44</v>
      </c>
      <c r="I1402" s="2158" t="s">
        <v>45</v>
      </c>
      <c r="J1402" s="379" t="s">
        <v>46</v>
      </c>
      <c r="K1402" s="2159" t="s">
        <v>47</v>
      </c>
      <c r="L1402" s="2680"/>
      <c r="M1402" s="2163" t="s">
        <v>30</v>
      </c>
      <c r="N1402" s="2163" t="s">
        <v>30</v>
      </c>
      <c r="O1402" s="382" t="s">
        <v>25</v>
      </c>
      <c r="P1402" s="383" t="s">
        <v>30</v>
      </c>
      <c r="Q1402" s="384" t="s">
        <v>48</v>
      </c>
      <c r="R1402" s="383" t="s">
        <v>49</v>
      </c>
      <c r="S1402" s="385" t="s">
        <v>30</v>
      </c>
      <c r="T1402" s="386" t="s">
        <v>50</v>
      </c>
      <c r="U1402" s="2161" t="s">
        <v>13</v>
      </c>
      <c r="V1402" s="375" t="s">
        <v>51</v>
      </c>
      <c r="W1402" s="376" t="s">
        <v>52</v>
      </c>
      <c r="X1402" s="377" t="s">
        <v>53</v>
      </c>
      <c r="Y1402" s="377" t="s">
        <v>54</v>
      </c>
      <c r="Z1402" s="377" t="s">
        <v>55</v>
      </c>
      <c r="AA1402" s="377" t="s">
        <v>56</v>
      </c>
      <c r="AB1402" s="378" t="s">
        <v>57</v>
      </c>
    </row>
    <row r="1403" spans="1:28" s="352" customFormat="1" ht="18" customHeight="1" x14ac:dyDescent="0.2">
      <c r="A1403" s="2687"/>
      <c r="B1403" s="2158" t="s">
        <v>61</v>
      </c>
      <c r="C1403" s="2687"/>
      <c r="D1403" s="2158" t="s">
        <v>62</v>
      </c>
      <c r="E1403" s="368" t="s">
        <v>63</v>
      </c>
      <c r="F1403" s="2687"/>
      <c r="G1403" s="2687"/>
      <c r="H1403" s="2689"/>
      <c r="I1403" s="2158" t="s">
        <v>64</v>
      </c>
      <c r="J1403" s="379" t="s">
        <v>59</v>
      </c>
      <c r="K1403" s="2159" t="s">
        <v>59</v>
      </c>
      <c r="L1403" s="2680"/>
      <c r="M1403" s="2163"/>
      <c r="N1403" s="2163"/>
      <c r="O1403" s="382" t="s">
        <v>41</v>
      </c>
      <c r="P1403" s="383" t="s">
        <v>65</v>
      </c>
      <c r="Q1403" s="384" t="s">
        <v>66</v>
      </c>
      <c r="R1403" s="383" t="s">
        <v>67</v>
      </c>
      <c r="S1403" s="385" t="s">
        <v>59</v>
      </c>
      <c r="T1403" s="387" t="s">
        <v>68</v>
      </c>
      <c r="U1403" s="375" t="s">
        <v>14</v>
      </c>
      <c r="V1403" s="375" t="s">
        <v>14</v>
      </c>
      <c r="W1403" s="376" t="s">
        <v>30</v>
      </c>
      <c r="X1403" s="388" t="s">
        <v>69</v>
      </c>
      <c r="Y1403" s="388" t="s">
        <v>70</v>
      </c>
      <c r="Z1403" s="377" t="s">
        <v>71</v>
      </c>
      <c r="AA1403" s="377" t="s">
        <v>72</v>
      </c>
      <c r="AB1403" s="378" t="s">
        <v>59</v>
      </c>
    </row>
    <row r="1404" spans="1:28" s="352" customFormat="1" ht="18" customHeight="1" x14ac:dyDescent="0.2">
      <c r="A1404" s="2692"/>
      <c r="B1404" s="390"/>
      <c r="C1404" s="2692"/>
      <c r="D1404" s="390"/>
      <c r="E1404" s="2160"/>
      <c r="F1404" s="390"/>
      <c r="G1404" s="390"/>
      <c r="H1404" s="391"/>
      <c r="I1404" s="2160"/>
      <c r="J1404" s="392"/>
      <c r="K1404" s="393"/>
      <c r="L1404" s="2681"/>
      <c r="M1404" s="2164"/>
      <c r="N1404" s="2164"/>
      <c r="O1404" s="2164" t="s">
        <v>63</v>
      </c>
      <c r="P1404" s="395"/>
      <c r="Q1404" s="396" t="s">
        <v>72</v>
      </c>
      <c r="R1404" s="397" t="s">
        <v>59</v>
      </c>
      <c r="S1404" s="398"/>
      <c r="T1404" s="397" t="s">
        <v>73</v>
      </c>
      <c r="U1404" s="398" t="s">
        <v>59</v>
      </c>
      <c r="V1404" s="399" t="s">
        <v>59</v>
      </c>
      <c r="W1404" s="400" t="s">
        <v>59</v>
      </c>
      <c r="X1404" s="401" t="s">
        <v>59</v>
      </c>
      <c r="Y1404" s="401" t="s">
        <v>59</v>
      </c>
      <c r="Z1404" s="401" t="s">
        <v>59</v>
      </c>
      <c r="AA1404" s="402"/>
      <c r="AB1404" s="403"/>
    </row>
    <row r="1405" spans="1:28" s="352" customFormat="1" ht="18" customHeight="1" x14ac:dyDescent="0.2">
      <c r="A1405" s="53">
        <v>1</v>
      </c>
      <c r="B1405" s="41">
        <v>27770</v>
      </c>
      <c r="C1405" s="41">
        <v>21</v>
      </c>
      <c r="D1405" s="41" t="s">
        <v>107</v>
      </c>
      <c r="E1405" s="41">
        <v>4</v>
      </c>
      <c r="F1405" s="41">
        <v>0</v>
      </c>
      <c r="G1405" s="41">
        <v>1</v>
      </c>
      <c r="H1405" s="267">
        <v>49</v>
      </c>
      <c r="I1405" s="302">
        <f>F1405*400+G1405*100+H1405</f>
        <v>149</v>
      </c>
      <c r="J1405" s="310">
        <v>3000</v>
      </c>
      <c r="K1405" s="303">
        <f>SUM(I1405*J1405)</f>
        <v>447000</v>
      </c>
      <c r="L1405" s="16"/>
      <c r="M1405" s="82"/>
      <c r="N1405" s="41"/>
      <c r="O1405" s="16">
        <v>4</v>
      </c>
      <c r="P1405" s="404"/>
      <c r="Q1405" s="14"/>
      <c r="R1405" s="302"/>
      <c r="S1405" s="302"/>
      <c r="T1405" s="41"/>
      <c r="U1405" s="302"/>
      <c r="V1405" s="302"/>
      <c r="W1405" s="302">
        <f>K1405+V1405</f>
        <v>447000</v>
      </c>
      <c r="X1405" s="302">
        <f>W1405</f>
        <v>447000</v>
      </c>
      <c r="Y1405" s="310"/>
      <c r="Z1405" s="302">
        <f>+X1405</f>
        <v>447000</v>
      </c>
      <c r="AA1405" s="405">
        <v>0.6</v>
      </c>
      <c r="AB1405" s="465">
        <f>+Z1405*AA1405/100</f>
        <v>2682</v>
      </c>
    </row>
    <row r="1406" spans="1:28" s="352" customFormat="1" ht="18" customHeight="1" x14ac:dyDescent="0.2">
      <c r="A1406" s="61"/>
      <c r="B1406" s="2166"/>
      <c r="C1406" s="2166"/>
      <c r="D1406" s="2166"/>
      <c r="E1406" s="2166"/>
      <c r="F1406" s="2166"/>
      <c r="G1406" s="2166"/>
      <c r="H1406" s="407"/>
      <c r="I1406" s="77"/>
      <c r="J1406" s="2168"/>
      <c r="K1406" s="78"/>
      <c r="L1406" s="61"/>
      <c r="M1406" s="2166"/>
      <c r="N1406" s="2166"/>
      <c r="O1406" s="61"/>
      <c r="P1406" s="177"/>
      <c r="Q1406" s="196"/>
      <c r="R1406" s="408"/>
      <c r="S1406" s="77"/>
      <c r="T1406" s="2166"/>
      <c r="U1406" s="77"/>
      <c r="V1406" s="77"/>
      <c r="W1406" s="77"/>
      <c r="X1406" s="77"/>
      <c r="Y1406" s="2168"/>
      <c r="Z1406" s="77"/>
      <c r="AA1406" s="2170"/>
      <c r="AB1406" s="416"/>
    </row>
    <row r="1407" spans="1:28" s="352" customFormat="1" ht="18" customHeight="1" x14ac:dyDescent="0.2">
      <c r="A1407" s="75"/>
      <c r="B1407" s="2166"/>
      <c r="C1407" s="2166"/>
      <c r="D1407" s="2166"/>
      <c r="E1407" s="2166"/>
      <c r="F1407" s="2166"/>
      <c r="G1407" s="2166"/>
      <c r="H1407" s="407"/>
      <c r="I1407" s="77"/>
      <c r="J1407" s="2168"/>
      <c r="K1407" s="78"/>
      <c r="L1407" s="61"/>
      <c r="M1407" s="2166"/>
      <c r="N1407" s="2166"/>
      <c r="O1407" s="61"/>
      <c r="P1407" s="177"/>
      <c r="Q1407" s="196"/>
      <c r="R1407" s="408"/>
      <c r="S1407" s="77"/>
      <c r="T1407" s="2166"/>
      <c r="U1407" s="77"/>
      <c r="V1407" s="77"/>
      <c r="W1407" s="77"/>
      <c r="X1407" s="77"/>
      <c r="Y1407" s="2168"/>
      <c r="Z1407" s="77"/>
      <c r="AA1407" s="2170"/>
      <c r="AB1407" s="410"/>
    </row>
    <row r="1408" spans="1:28" s="352" customFormat="1" ht="18" customHeight="1" x14ac:dyDescent="0.2">
      <c r="A1408" s="242"/>
      <c r="B1408" s="2166"/>
      <c r="C1408" s="2166"/>
      <c r="D1408" s="2166"/>
      <c r="E1408" s="2166"/>
      <c r="F1408" s="2166"/>
      <c r="G1408" s="2166"/>
      <c r="H1408" s="407"/>
      <c r="I1408" s="77"/>
      <c r="J1408" s="2168"/>
      <c r="K1408" s="78"/>
      <c r="L1408" s="61"/>
      <c r="M1408" s="2166"/>
      <c r="N1408" s="2166"/>
      <c r="O1408" s="61"/>
      <c r="P1408" s="177"/>
      <c r="Q1408" s="196"/>
      <c r="R1408" s="408"/>
      <c r="S1408" s="77"/>
      <c r="T1408" s="2166"/>
      <c r="U1408" s="77"/>
      <c r="V1408" s="77"/>
      <c r="W1408" s="77"/>
      <c r="X1408" s="77"/>
      <c r="Y1408" s="2168"/>
      <c r="Z1408" s="77"/>
      <c r="AA1408" s="2170"/>
      <c r="AB1408" s="410"/>
    </row>
    <row r="1409" spans="1:28" s="352" customFormat="1" ht="18" customHeight="1" x14ac:dyDescent="0.2">
      <c r="A1409" s="75"/>
      <c r="B1409" s="88"/>
      <c r="C1409" s="88"/>
      <c r="D1409" s="88"/>
      <c r="E1409" s="88"/>
      <c r="F1409" s="88"/>
      <c r="G1409" s="88"/>
      <c r="H1409" s="495"/>
      <c r="I1409" s="74"/>
      <c r="J1409" s="121"/>
      <c r="K1409" s="159"/>
      <c r="L1409" s="75"/>
      <c r="M1409" s="88"/>
      <c r="N1409" s="88"/>
      <c r="O1409" s="75"/>
      <c r="P1409" s="180"/>
      <c r="Q1409" s="174"/>
      <c r="R1409" s="413"/>
      <c r="S1409" s="74"/>
      <c r="T1409" s="88"/>
      <c r="U1409" s="74"/>
      <c r="V1409" s="74"/>
      <c r="W1409" s="74"/>
      <c r="X1409" s="74"/>
      <c r="Y1409" s="121"/>
      <c r="Z1409" s="74"/>
      <c r="AA1409" s="414"/>
      <c r="AB1409" s="416"/>
    </row>
    <row r="1410" spans="1:28" s="352" customFormat="1" ht="18" customHeight="1" x14ac:dyDescent="0.2">
      <c r="A1410" s="61"/>
      <c r="B1410" s="2166"/>
      <c r="C1410" s="2166"/>
      <c r="D1410" s="2166"/>
      <c r="E1410" s="2166"/>
      <c r="F1410" s="2166"/>
      <c r="G1410" s="2166"/>
      <c r="H1410" s="407"/>
      <c r="I1410" s="77"/>
      <c r="J1410" s="2168"/>
      <c r="K1410" s="78"/>
      <c r="L1410" s="61"/>
      <c r="M1410" s="2166"/>
      <c r="N1410" s="2166"/>
      <c r="O1410" s="61"/>
      <c r="P1410" s="177"/>
      <c r="Q1410" s="196"/>
      <c r="R1410" s="408"/>
      <c r="S1410" s="77"/>
      <c r="T1410" s="2166"/>
      <c r="U1410" s="77"/>
      <c r="V1410" s="77"/>
      <c r="W1410" s="77"/>
      <c r="X1410" s="77"/>
      <c r="Y1410" s="2168"/>
      <c r="Z1410" s="77"/>
      <c r="AA1410" s="2170"/>
      <c r="AB1410" s="410"/>
    </row>
    <row r="1411" spans="1:28" s="352" customFormat="1" ht="18" customHeight="1" x14ac:dyDescent="0.2">
      <c r="A1411" s="2166"/>
      <c r="B1411" s="177"/>
      <c r="C1411" s="177"/>
      <c r="D1411" s="2166"/>
      <c r="E1411" s="2166"/>
      <c r="F1411" s="2166"/>
      <c r="G1411" s="2166"/>
      <c r="H1411" s="2171"/>
      <c r="I1411" s="2168"/>
      <c r="J1411" s="178"/>
      <c r="K1411" s="2168"/>
      <c r="L1411" s="2166"/>
      <c r="M1411" s="2166"/>
      <c r="N1411" s="2166"/>
      <c r="O1411" s="2166"/>
      <c r="P1411" s="2171"/>
      <c r="Q1411" s="2167"/>
      <c r="R1411" s="437"/>
      <c r="S1411" s="2168"/>
      <c r="T1411" s="179"/>
      <c r="U1411" s="178"/>
      <c r="V1411" s="2168"/>
      <c r="W1411" s="2168"/>
      <c r="X1411" s="470"/>
      <c r="Y1411" s="470"/>
      <c r="Z1411" s="471"/>
      <c r="AA1411" s="471"/>
      <c r="AB1411" s="466"/>
    </row>
    <row r="1412" spans="1:28" s="352" customFormat="1" ht="18" customHeight="1" x14ac:dyDescent="0.2">
      <c r="A1412" s="2166"/>
      <c r="B1412" s="177"/>
      <c r="C1412" s="177"/>
      <c r="D1412" s="2166"/>
      <c r="E1412" s="2166"/>
      <c r="F1412" s="2166"/>
      <c r="G1412" s="2166"/>
      <c r="H1412" s="2171"/>
      <c r="I1412" s="2168"/>
      <c r="J1412" s="178"/>
      <c r="K1412" s="2168"/>
      <c r="L1412" s="2166"/>
      <c r="M1412" s="2166"/>
      <c r="N1412" s="2166"/>
      <c r="O1412" s="2166"/>
      <c r="P1412" s="2171"/>
      <c r="Q1412" s="2167"/>
      <c r="R1412" s="437"/>
      <c r="S1412" s="2168"/>
      <c r="T1412" s="179"/>
      <c r="U1412" s="178"/>
      <c r="V1412" s="2168"/>
      <c r="W1412" s="2168"/>
      <c r="X1412" s="470"/>
      <c r="Y1412" s="470"/>
      <c r="Z1412" s="471"/>
      <c r="AA1412" s="471"/>
      <c r="AB1412" s="466"/>
    </row>
    <row r="1413" spans="1:28" s="352" customFormat="1" ht="18" customHeight="1" x14ac:dyDescent="0.2">
      <c r="A1413" s="2166"/>
      <c r="B1413" s="177"/>
      <c r="C1413" s="177"/>
      <c r="D1413" s="2166"/>
      <c r="E1413" s="2166"/>
      <c r="F1413" s="2166"/>
      <c r="G1413" s="2166"/>
      <c r="H1413" s="2171"/>
      <c r="I1413" s="2168"/>
      <c r="J1413" s="178"/>
      <c r="K1413" s="2168"/>
      <c r="L1413" s="2166"/>
      <c r="M1413" s="2166"/>
      <c r="N1413" s="2166"/>
      <c r="O1413" s="2166"/>
      <c r="P1413" s="2171"/>
      <c r="Q1413" s="2167"/>
      <c r="R1413" s="437"/>
      <c r="S1413" s="2168"/>
      <c r="T1413" s="179"/>
      <c r="U1413" s="178"/>
      <c r="V1413" s="2168"/>
      <c r="W1413" s="2168"/>
      <c r="X1413" s="470"/>
      <c r="Y1413" s="470"/>
      <c r="Z1413" s="471"/>
      <c r="AA1413" s="471"/>
      <c r="AB1413" s="466"/>
    </row>
    <row r="1414" spans="1:28" s="352" customFormat="1" ht="18" customHeight="1" x14ac:dyDescent="0.2">
      <c r="A1414" s="2166"/>
      <c r="B1414" s="177"/>
      <c r="C1414" s="177"/>
      <c r="D1414" s="2166"/>
      <c r="E1414" s="2166"/>
      <c r="F1414" s="2166"/>
      <c r="G1414" s="2166"/>
      <c r="H1414" s="2171"/>
      <c r="I1414" s="2168"/>
      <c r="J1414" s="178"/>
      <c r="K1414" s="2168"/>
      <c r="L1414" s="2166"/>
      <c r="M1414" s="2166"/>
      <c r="N1414" s="2166"/>
      <c r="O1414" s="2166"/>
      <c r="P1414" s="2171"/>
      <c r="Q1414" s="2167"/>
      <c r="R1414" s="437"/>
      <c r="S1414" s="2168"/>
      <c r="T1414" s="179"/>
      <c r="U1414" s="178"/>
      <c r="V1414" s="2168"/>
      <c r="W1414" s="2168"/>
      <c r="X1414" s="470"/>
      <c r="Y1414" s="470"/>
      <c r="Z1414" s="471"/>
      <c r="AA1414" s="471"/>
      <c r="AB1414" s="466"/>
    </row>
    <row r="1415" spans="1:28" s="352" customFormat="1" ht="18" customHeight="1" x14ac:dyDescent="0.2">
      <c r="A1415" s="2166"/>
      <c r="B1415" s="177"/>
      <c r="C1415" s="177"/>
      <c r="D1415" s="2166"/>
      <c r="E1415" s="2166"/>
      <c r="F1415" s="2166"/>
      <c r="G1415" s="2166"/>
      <c r="H1415" s="2171"/>
      <c r="I1415" s="2168"/>
      <c r="J1415" s="178"/>
      <c r="K1415" s="2168"/>
      <c r="L1415" s="2166"/>
      <c r="M1415" s="2166"/>
      <c r="N1415" s="2166"/>
      <c r="O1415" s="2166"/>
      <c r="P1415" s="2171"/>
      <c r="Q1415" s="2167"/>
      <c r="R1415" s="437"/>
      <c r="S1415" s="2168"/>
      <c r="T1415" s="179"/>
      <c r="U1415" s="178"/>
      <c r="V1415" s="2168"/>
      <c r="W1415" s="2168"/>
      <c r="X1415" s="470"/>
      <c r="Y1415" s="470"/>
      <c r="Z1415" s="471"/>
      <c r="AA1415" s="471"/>
      <c r="AB1415" s="466"/>
    </row>
    <row r="1416" spans="1:28" s="352" customFormat="1" ht="18" customHeight="1" x14ac:dyDescent="0.2">
      <c r="A1416" s="2166"/>
      <c r="B1416" s="177"/>
      <c r="C1416" s="177"/>
      <c r="D1416" s="2166"/>
      <c r="E1416" s="2166"/>
      <c r="F1416" s="2166"/>
      <c r="G1416" s="2166"/>
      <c r="H1416" s="2171"/>
      <c r="I1416" s="2168"/>
      <c r="J1416" s="178"/>
      <c r="K1416" s="2168"/>
      <c r="L1416" s="2166"/>
      <c r="M1416" s="2166"/>
      <c r="N1416" s="2166"/>
      <c r="O1416" s="2166"/>
      <c r="P1416" s="2171"/>
      <c r="Q1416" s="2167"/>
      <c r="R1416" s="437"/>
      <c r="S1416" s="2168"/>
      <c r="T1416" s="179"/>
      <c r="U1416" s="178"/>
      <c r="V1416" s="2168"/>
      <c r="W1416" s="2168"/>
      <c r="X1416" s="470"/>
      <c r="Y1416" s="470"/>
      <c r="Z1416" s="471"/>
      <c r="AA1416" s="471"/>
      <c r="AB1416" s="466"/>
    </row>
    <row r="1417" spans="1:28" s="352" customFormat="1" ht="18" customHeight="1" x14ac:dyDescent="0.2">
      <c r="A1417" s="2166"/>
      <c r="B1417" s="177"/>
      <c r="C1417" s="177"/>
      <c r="D1417" s="2166"/>
      <c r="E1417" s="2166"/>
      <c r="F1417" s="2166"/>
      <c r="G1417" s="2166"/>
      <c r="H1417" s="2171"/>
      <c r="I1417" s="2168"/>
      <c r="J1417" s="178"/>
      <c r="K1417" s="2168"/>
      <c r="L1417" s="2166"/>
      <c r="M1417" s="2166"/>
      <c r="N1417" s="2166"/>
      <c r="O1417" s="2166"/>
      <c r="P1417" s="2171"/>
      <c r="Q1417" s="2167"/>
      <c r="R1417" s="437"/>
      <c r="S1417" s="2168"/>
      <c r="T1417" s="179"/>
      <c r="U1417" s="178"/>
      <c r="V1417" s="2168"/>
      <c r="W1417" s="2168"/>
      <c r="X1417" s="470"/>
      <c r="Y1417" s="470"/>
      <c r="Z1417" s="471"/>
      <c r="AA1417" s="471"/>
      <c r="AB1417" s="466"/>
    </row>
    <row r="1418" spans="1:28" s="352" customFormat="1" ht="18" customHeight="1" x14ac:dyDescent="0.2">
      <c r="A1418" s="88"/>
      <c r="B1418" s="180"/>
      <c r="C1418" s="180"/>
      <c r="D1418" s="88"/>
      <c r="E1418" s="88"/>
      <c r="F1418" s="88"/>
      <c r="G1418" s="88"/>
      <c r="H1418" s="120"/>
      <c r="I1418" s="121"/>
      <c r="J1418" s="181"/>
      <c r="K1418" s="121"/>
      <c r="L1418" s="88"/>
      <c r="M1418" s="88"/>
      <c r="N1418" s="88"/>
      <c r="O1418" s="88"/>
      <c r="P1418" s="88"/>
      <c r="Q1418" s="129"/>
      <c r="R1418" s="445"/>
      <c r="S1418" s="121"/>
      <c r="T1418" s="182"/>
      <c r="U1418" s="181"/>
      <c r="V1418" s="121"/>
      <c r="W1418" s="121"/>
      <c r="X1418" s="472"/>
      <c r="Y1418" s="472"/>
      <c r="Z1418" s="473"/>
      <c r="AA1418" s="473"/>
      <c r="AB1418" s="410"/>
    </row>
    <row r="1419" spans="1:28" s="352" customFormat="1" ht="18" customHeight="1" x14ac:dyDescent="0.2">
      <c r="A1419" s="1850"/>
      <c r="B1419" s="1850"/>
      <c r="C1419" s="1850"/>
      <c r="D1419" s="1850"/>
      <c r="E1419" s="1850"/>
      <c r="F1419" s="1850"/>
      <c r="G1419" s="1850"/>
      <c r="H1419" s="1851"/>
      <c r="I1419" s="1852"/>
      <c r="J1419" s="1853"/>
      <c r="K1419" s="1852"/>
      <c r="L1419" s="1852"/>
      <c r="M1419" s="1852"/>
      <c r="N1419" s="1852"/>
      <c r="O1419" s="1852"/>
      <c r="P1419" s="1852"/>
      <c r="Q1419" s="1852"/>
      <c r="R1419" s="1854"/>
      <c r="S1419" s="1852"/>
      <c r="T1419" s="1855"/>
      <c r="U1419" s="1853"/>
      <c r="V1419" s="1852"/>
      <c r="W1419" s="1852"/>
      <c r="X1419" s="1856"/>
      <c r="Y1419" s="1856"/>
      <c r="Z1419" s="1857"/>
      <c r="AA1419" s="1857"/>
      <c r="AB1419" s="1847">
        <f>SUM(AB1405:AB1418)</f>
        <v>2682</v>
      </c>
    </row>
    <row r="1420" spans="1:28" s="352" customFormat="1" ht="18" customHeight="1" x14ac:dyDescent="0.2">
      <c r="A1420" s="2778" t="s">
        <v>76</v>
      </c>
      <c r="B1420" s="2778"/>
      <c r="C1420" s="2779" t="s">
        <v>77</v>
      </c>
      <c r="D1420" s="2779"/>
      <c r="E1420" s="2779"/>
      <c r="F1420" s="2779"/>
      <c r="G1420" s="2779"/>
      <c r="H1420" s="2779"/>
      <c r="I1420" s="424" t="s">
        <v>78</v>
      </c>
      <c r="J1420" s="424"/>
      <c r="K1420" s="424"/>
      <c r="L1420" s="424"/>
      <c r="M1420" s="424"/>
      <c r="N1420" s="424"/>
      <c r="AB1420" s="425"/>
    </row>
    <row r="1421" spans="1:28" s="352" customFormat="1" ht="18" customHeight="1" x14ac:dyDescent="0.2">
      <c r="A1421" s="424"/>
      <c r="B1421" s="426"/>
      <c r="C1421" s="424"/>
      <c r="D1421" s="424"/>
      <c r="E1421" s="424"/>
      <c r="F1421" s="424"/>
      <c r="G1421" s="424"/>
      <c r="H1421" s="424"/>
      <c r="I1421" s="424" t="s">
        <v>79</v>
      </c>
      <c r="J1421" s="424"/>
      <c r="K1421" s="424"/>
      <c r="L1421" s="424"/>
      <c r="M1421" s="424"/>
      <c r="N1421" s="424"/>
      <c r="AB1421" s="425"/>
    </row>
    <row r="1422" spans="1:28" s="352" customFormat="1" ht="18" customHeight="1" x14ac:dyDescent="0.2">
      <c r="A1422" s="424"/>
      <c r="B1422" s="426"/>
      <c r="C1422" s="424"/>
      <c r="D1422" s="424"/>
      <c r="E1422" s="424"/>
      <c r="F1422" s="424"/>
      <c r="G1422" s="424"/>
      <c r="H1422" s="424"/>
      <c r="I1422" s="424" t="s">
        <v>80</v>
      </c>
      <c r="J1422" s="424"/>
      <c r="K1422" s="424"/>
      <c r="L1422" s="424"/>
      <c r="M1422" s="424"/>
      <c r="N1422" s="424"/>
      <c r="AB1422" s="425"/>
    </row>
    <row r="1423" spans="1:28" s="352" customFormat="1" ht="18" customHeight="1" x14ac:dyDescent="0.2">
      <c r="A1423" s="424"/>
      <c r="B1423" s="426"/>
      <c r="C1423" s="424"/>
      <c r="D1423" s="424"/>
      <c r="E1423" s="424"/>
      <c r="F1423" s="424"/>
      <c r="G1423" s="424"/>
      <c r="H1423" s="424"/>
      <c r="I1423" s="424" t="s">
        <v>81</v>
      </c>
      <c r="J1423" s="424"/>
      <c r="K1423" s="424"/>
      <c r="L1423" s="424"/>
      <c r="M1423" s="424"/>
      <c r="N1423" s="424"/>
      <c r="AB1423" s="425"/>
    </row>
    <row r="1424" spans="1:28" s="352" customFormat="1" ht="18" customHeight="1" x14ac:dyDescent="0.2">
      <c r="A1424" s="424"/>
      <c r="B1424" s="426"/>
      <c r="C1424" s="424"/>
      <c r="D1424" s="424"/>
      <c r="E1424" s="424"/>
      <c r="F1424" s="424"/>
      <c r="G1424" s="424"/>
      <c r="H1424" s="424"/>
      <c r="I1424" s="424" t="s">
        <v>88</v>
      </c>
      <c r="J1424" s="424"/>
      <c r="K1424" s="424"/>
      <c r="L1424" s="424"/>
      <c r="M1424" s="424"/>
      <c r="N1424" s="424"/>
      <c r="AB1424" s="425"/>
    </row>
    <row r="1425" spans="1:28" s="343" customFormat="1" ht="18" customHeight="1" x14ac:dyDescent="0.2">
      <c r="A1425" s="338"/>
      <c r="B1425" s="338"/>
      <c r="C1425" s="338"/>
      <c r="D1425" s="338"/>
      <c r="E1425" s="338"/>
      <c r="F1425" s="338"/>
      <c r="G1425" s="338"/>
      <c r="H1425" s="338"/>
      <c r="I1425" s="338"/>
      <c r="J1425" s="338"/>
      <c r="K1425" s="338"/>
      <c r="L1425" s="338"/>
      <c r="M1425" s="338"/>
      <c r="N1425" s="338"/>
      <c r="O1425" s="338"/>
      <c r="P1425" s="338"/>
      <c r="Q1425" s="338"/>
      <c r="R1425" s="338"/>
      <c r="S1425" s="338"/>
      <c r="T1425" s="338"/>
      <c r="U1425" s="338"/>
      <c r="V1425" s="338"/>
      <c r="W1425" s="338"/>
      <c r="X1425" s="338"/>
      <c r="Y1425" s="338"/>
      <c r="Z1425" s="338"/>
      <c r="AA1425" s="2774" t="s">
        <v>0</v>
      </c>
      <c r="AB1425" s="2774"/>
    </row>
    <row r="1426" spans="1:28" s="343" customFormat="1" ht="18" customHeight="1" x14ac:dyDescent="0.2">
      <c r="A1426" s="2702" t="s">
        <v>1</v>
      </c>
      <c r="B1426" s="2702"/>
      <c r="C1426" s="2702"/>
      <c r="D1426" s="2702"/>
      <c r="E1426" s="2702"/>
      <c r="F1426" s="2702"/>
      <c r="G1426" s="2702"/>
      <c r="H1426" s="2702"/>
      <c r="I1426" s="2702"/>
      <c r="J1426" s="2702"/>
      <c r="K1426" s="2702"/>
      <c r="L1426" s="2702"/>
      <c r="M1426" s="2702"/>
      <c r="N1426" s="2702"/>
      <c r="O1426" s="2702"/>
      <c r="P1426" s="2702"/>
      <c r="Q1426" s="2702"/>
      <c r="R1426" s="2702"/>
      <c r="S1426" s="2702"/>
      <c r="T1426" s="2702"/>
      <c r="U1426" s="2702"/>
      <c r="V1426" s="2702"/>
      <c r="W1426" s="2702"/>
      <c r="X1426" s="2702"/>
      <c r="Y1426" s="2702"/>
      <c r="Z1426" s="2702"/>
      <c r="AA1426" s="2702"/>
      <c r="AB1426" s="2702"/>
    </row>
    <row r="1427" spans="1:28" s="343" customFormat="1" ht="18" customHeight="1" x14ac:dyDescent="0.2">
      <c r="A1427" s="2775" t="s">
        <v>644</v>
      </c>
      <c r="B1427" s="2775"/>
      <c r="C1427" s="2775"/>
      <c r="D1427" s="2775"/>
      <c r="E1427" s="2775"/>
      <c r="F1427" s="2775"/>
      <c r="G1427" s="2775"/>
      <c r="H1427" s="2775"/>
      <c r="I1427" s="2775"/>
      <c r="J1427" s="2775"/>
      <c r="K1427" s="2775"/>
      <c r="L1427" s="2775"/>
      <c r="M1427" s="2775"/>
      <c r="N1427" s="2775"/>
      <c r="O1427" s="2775"/>
      <c r="P1427" s="2775"/>
      <c r="Q1427" s="2775"/>
      <c r="R1427" s="2775"/>
      <c r="S1427" s="2775"/>
      <c r="T1427" s="2775"/>
      <c r="U1427" s="2775"/>
      <c r="V1427" s="2775"/>
      <c r="W1427" s="2775"/>
      <c r="X1427" s="2775"/>
      <c r="Y1427" s="2775"/>
      <c r="Z1427" s="2775"/>
      <c r="AA1427" s="2775"/>
      <c r="AB1427" s="2775"/>
    </row>
    <row r="1428" spans="1:28" s="343" customFormat="1" ht="18" customHeight="1" x14ac:dyDescent="0.2">
      <c r="A1428" s="2686" t="s">
        <v>2</v>
      </c>
      <c r="B1428" s="360"/>
      <c r="C1428" s="2686" t="s">
        <v>3</v>
      </c>
      <c r="D1428" s="360"/>
      <c r="E1428" s="360"/>
      <c r="F1428" s="2693" t="s">
        <v>4</v>
      </c>
      <c r="G1428" s="2693"/>
      <c r="H1428" s="2693"/>
      <c r="I1428" s="2694"/>
      <c r="J1428" s="2694"/>
      <c r="K1428" s="2695"/>
      <c r="L1428" s="361"/>
      <c r="M1428" s="2679" t="s">
        <v>5</v>
      </c>
      <c r="N1428" s="2679"/>
      <c r="O1428" s="2679"/>
      <c r="P1428" s="2679"/>
      <c r="Q1428" s="2696"/>
      <c r="R1428" s="2696"/>
      <c r="S1428" s="2696"/>
      <c r="T1428" s="2696"/>
      <c r="U1428" s="2696"/>
      <c r="V1428" s="2697"/>
      <c r="W1428" s="362" t="s">
        <v>6</v>
      </c>
      <c r="X1428" s="363" t="s">
        <v>7</v>
      </c>
      <c r="Y1428" s="364"/>
      <c r="Z1428" s="364"/>
      <c r="AA1428" s="363"/>
      <c r="AB1428" s="365"/>
    </row>
    <row r="1429" spans="1:28" s="343" customFormat="1" ht="18" customHeight="1" x14ac:dyDescent="0.2">
      <c r="A1429" s="2687"/>
      <c r="B1429" s="367"/>
      <c r="C1429" s="2687"/>
      <c r="D1429" s="2158" t="s">
        <v>9</v>
      </c>
      <c r="E1429" s="368" t="s">
        <v>10</v>
      </c>
      <c r="F1429" s="2698" t="s">
        <v>11</v>
      </c>
      <c r="G1429" s="2694"/>
      <c r="H1429" s="2695"/>
      <c r="I1429" s="360"/>
      <c r="J1429" s="369" t="s">
        <v>12</v>
      </c>
      <c r="K1429" s="360"/>
      <c r="L1429" s="2679" t="s">
        <v>2</v>
      </c>
      <c r="M1429" s="2162"/>
      <c r="N1429" s="2162"/>
      <c r="O1429" s="2162"/>
      <c r="P1429" s="371"/>
      <c r="Q1429" s="372" t="s">
        <v>13</v>
      </c>
      <c r="R1429" s="373" t="s">
        <v>12</v>
      </c>
      <c r="S1429" s="2162" t="s">
        <v>6</v>
      </c>
      <c r="T1429" s="2682" t="s">
        <v>14</v>
      </c>
      <c r="U1429" s="2683"/>
      <c r="V1429" s="375" t="s">
        <v>7</v>
      </c>
      <c r="W1429" s="376" t="s">
        <v>15</v>
      </c>
      <c r="X1429" s="377" t="s">
        <v>16</v>
      </c>
      <c r="Y1429" s="377" t="s">
        <v>17</v>
      </c>
      <c r="Z1429" s="377" t="s">
        <v>18</v>
      </c>
      <c r="AA1429" s="377"/>
      <c r="AB1429" s="378" t="s">
        <v>19</v>
      </c>
    </row>
    <row r="1430" spans="1:28" s="343" customFormat="1" ht="18" customHeight="1" x14ac:dyDescent="0.2">
      <c r="A1430" s="2687"/>
      <c r="B1430" s="2158" t="s">
        <v>23</v>
      </c>
      <c r="C1430" s="2687"/>
      <c r="D1430" s="2158" t="s">
        <v>24</v>
      </c>
      <c r="E1430" s="368" t="s">
        <v>25</v>
      </c>
      <c r="F1430" s="2699"/>
      <c r="G1430" s="2700"/>
      <c r="H1430" s="2701"/>
      <c r="I1430" s="2158" t="s">
        <v>26</v>
      </c>
      <c r="J1430" s="379" t="s">
        <v>15</v>
      </c>
      <c r="K1430" s="2159" t="s">
        <v>6</v>
      </c>
      <c r="L1430" s="2680"/>
      <c r="M1430" s="2163" t="s">
        <v>27</v>
      </c>
      <c r="N1430" s="2163" t="s">
        <v>10</v>
      </c>
      <c r="O1430" s="382" t="s">
        <v>10</v>
      </c>
      <c r="P1430" s="383" t="s">
        <v>28</v>
      </c>
      <c r="Q1430" s="384" t="s">
        <v>29</v>
      </c>
      <c r="R1430" s="383" t="s">
        <v>15</v>
      </c>
      <c r="S1430" s="385" t="s">
        <v>15</v>
      </c>
      <c r="T1430" s="2684"/>
      <c r="U1430" s="2685"/>
      <c r="V1430" s="375" t="s">
        <v>30</v>
      </c>
      <c r="W1430" s="376" t="s">
        <v>31</v>
      </c>
      <c r="X1430" s="377" t="s">
        <v>30</v>
      </c>
      <c r="Y1430" s="377" t="s">
        <v>32</v>
      </c>
      <c r="Z1430" s="377" t="s">
        <v>7</v>
      </c>
      <c r="AA1430" s="377" t="s">
        <v>33</v>
      </c>
      <c r="AB1430" s="378" t="s">
        <v>34</v>
      </c>
    </row>
    <row r="1431" spans="1:28" s="343" customFormat="1" ht="18" customHeight="1" x14ac:dyDescent="0.2">
      <c r="A1431" s="2687"/>
      <c r="B1431" s="2158" t="s">
        <v>39</v>
      </c>
      <c r="C1431" s="2687"/>
      <c r="D1431" s="2158" t="s">
        <v>40</v>
      </c>
      <c r="E1431" s="368" t="s">
        <v>41</v>
      </c>
      <c r="F1431" s="2686" t="s">
        <v>42</v>
      </c>
      <c r="G1431" s="2686" t="s">
        <v>43</v>
      </c>
      <c r="H1431" s="2688" t="s">
        <v>44</v>
      </c>
      <c r="I1431" s="2158" t="s">
        <v>45</v>
      </c>
      <c r="J1431" s="379" t="s">
        <v>46</v>
      </c>
      <c r="K1431" s="2159" t="s">
        <v>47</v>
      </c>
      <c r="L1431" s="2680"/>
      <c r="M1431" s="2163" t="s">
        <v>30</v>
      </c>
      <c r="N1431" s="2163" t="s">
        <v>30</v>
      </c>
      <c r="O1431" s="382" t="s">
        <v>25</v>
      </c>
      <c r="P1431" s="383" t="s">
        <v>30</v>
      </c>
      <c r="Q1431" s="384" t="s">
        <v>48</v>
      </c>
      <c r="R1431" s="383" t="s">
        <v>49</v>
      </c>
      <c r="S1431" s="385" t="s">
        <v>30</v>
      </c>
      <c r="T1431" s="386" t="s">
        <v>50</v>
      </c>
      <c r="U1431" s="2161" t="s">
        <v>13</v>
      </c>
      <c r="V1431" s="375" t="s">
        <v>51</v>
      </c>
      <c r="W1431" s="376" t="s">
        <v>52</v>
      </c>
      <c r="X1431" s="377" t="s">
        <v>53</v>
      </c>
      <c r="Y1431" s="377" t="s">
        <v>54</v>
      </c>
      <c r="Z1431" s="377" t="s">
        <v>55</v>
      </c>
      <c r="AA1431" s="377" t="s">
        <v>56</v>
      </c>
      <c r="AB1431" s="378" t="s">
        <v>57</v>
      </c>
    </row>
    <row r="1432" spans="1:28" s="343" customFormat="1" ht="18" customHeight="1" x14ac:dyDescent="0.2">
      <c r="A1432" s="2687"/>
      <c r="B1432" s="2158" t="s">
        <v>61</v>
      </c>
      <c r="C1432" s="2687"/>
      <c r="D1432" s="2158" t="s">
        <v>62</v>
      </c>
      <c r="E1432" s="368" t="s">
        <v>63</v>
      </c>
      <c r="F1432" s="2687"/>
      <c r="G1432" s="2687"/>
      <c r="H1432" s="2689"/>
      <c r="I1432" s="2158" t="s">
        <v>64</v>
      </c>
      <c r="J1432" s="379" t="s">
        <v>59</v>
      </c>
      <c r="K1432" s="2159" t="s">
        <v>59</v>
      </c>
      <c r="L1432" s="2680"/>
      <c r="M1432" s="2163"/>
      <c r="N1432" s="2163"/>
      <c r="O1432" s="382" t="s">
        <v>41</v>
      </c>
      <c r="P1432" s="383" t="s">
        <v>65</v>
      </c>
      <c r="Q1432" s="384" t="s">
        <v>66</v>
      </c>
      <c r="R1432" s="383" t="s">
        <v>67</v>
      </c>
      <c r="S1432" s="385" t="s">
        <v>59</v>
      </c>
      <c r="T1432" s="387" t="s">
        <v>68</v>
      </c>
      <c r="U1432" s="375" t="s">
        <v>14</v>
      </c>
      <c r="V1432" s="375" t="s">
        <v>14</v>
      </c>
      <c r="W1432" s="376" t="s">
        <v>30</v>
      </c>
      <c r="X1432" s="388" t="s">
        <v>69</v>
      </c>
      <c r="Y1432" s="388" t="s">
        <v>70</v>
      </c>
      <c r="Z1432" s="377" t="s">
        <v>71</v>
      </c>
      <c r="AA1432" s="377" t="s">
        <v>72</v>
      </c>
      <c r="AB1432" s="378" t="s">
        <v>59</v>
      </c>
    </row>
    <row r="1433" spans="1:28" s="343" customFormat="1" ht="18" customHeight="1" x14ac:dyDescent="0.2">
      <c r="A1433" s="2692"/>
      <c r="B1433" s="390"/>
      <c r="C1433" s="2692"/>
      <c r="D1433" s="390"/>
      <c r="E1433" s="2160"/>
      <c r="F1433" s="390"/>
      <c r="G1433" s="390"/>
      <c r="H1433" s="391"/>
      <c r="I1433" s="2160"/>
      <c r="J1433" s="392"/>
      <c r="K1433" s="393"/>
      <c r="L1433" s="2681"/>
      <c r="M1433" s="2164"/>
      <c r="N1433" s="2164"/>
      <c r="O1433" s="2164" t="s">
        <v>63</v>
      </c>
      <c r="P1433" s="395"/>
      <c r="Q1433" s="396" t="s">
        <v>72</v>
      </c>
      <c r="R1433" s="397" t="s">
        <v>59</v>
      </c>
      <c r="S1433" s="398"/>
      <c r="T1433" s="397" t="s">
        <v>73</v>
      </c>
      <c r="U1433" s="398" t="s">
        <v>59</v>
      </c>
      <c r="V1433" s="399" t="s">
        <v>59</v>
      </c>
      <c r="W1433" s="400" t="s">
        <v>59</v>
      </c>
      <c r="X1433" s="401" t="s">
        <v>59</v>
      </c>
      <c r="Y1433" s="401" t="s">
        <v>59</v>
      </c>
      <c r="Z1433" s="401" t="s">
        <v>59</v>
      </c>
      <c r="AA1433" s="402"/>
      <c r="AB1433" s="403"/>
    </row>
    <row r="1434" spans="1:28" s="343" customFormat="1" ht="18" customHeight="1" x14ac:dyDescent="0.2">
      <c r="A1434" s="313">
        <v>1</v>
      </c>
      <c r="B1434" s="358">
        <v>27782</v>
      </c>
      <c r="C1434" s="358">
        <v>33</v>
      </c>
      <c r="D1434" s="358" t="s">
        <v>107</v>
      </c>
      <c r="E1434" s="358">
        <v>4</v>
      </c>
      <c r="F1434" s="358">
        <v>0</v>
      </c>
      <c r="G1434" s="358">
        <v>1</v>
      </c>
      <c r="H1434" s="677">
        <v>6</v>
      </c>
      <c r="I1434" s="356">
        <f>F1434*400+G1434*100+H1434</f>
        <v>106</v>
      </c>
      <c r="J1434" s="678">
        <v>3000</v>
      </c>
      <c r="K1434" s="357">
        <f>SUM(I1434*J1434)</f>
        <v>318000</v>
      </c>
      <c r="L1434" s="313"/>
      <c r="M1434" s="358"/>
      <c r="N1434" s="358"/>
      <c r="O1434" s="313"/>
      <c r="P1434" s="358"/>
      <c r="Q1434" s="679"/>
      <c r="R1434" s="680"/>
      <c r="S1434" s="356"/>
      <c r="T1434" s="358"/>
      <c r="U1434" s="356"/>
      <c r="V1434" s="356"/>
      <c r="W1434" s="356">
        <f>K1434+V1434</f>
        <v>318000</v>
      </c>
      <c r="X1434" s="356">
        <f>W1434</f>
        <v>318000</v>
      </c>
      <c r="Y1434" s="678"/>
      <c r="Z1434" s="356">
        <f>+X1434</f>
        <v>318000</v>
      </c>
      <c r="AA1434" s="681">
        <v>0.6</v>
      </c>
      <c r="AB1434" s="682">
        <f>+Z1434*AA1434/100</f>
        <v>1908</v>
      </c>
    </row>
    <row r="1435" spans="1:28" s="343" customFormat="1" ht="18" customHeight="1" x14ac:dyDescent="0.2">
      <c r="A1435" s="271"/>
      <c r="B1435" s="177"/>
      <c r="C1435" s="177"/>
      <c r="D1435" s="177"/>
      <c r="E1435" s="177"/>
      <c r="F1435" s="177"/>
      <c r="G1435" s="177"/>
      <c r="H1435" s="683"/>
      <c r="I1435" s="243"/>
      <c r="J1435" s="275"/>
      <c r="K1435" s="279"/>
      <c r="L1435" s="271"/>
      <c r="M1435" s="177"/>
      <c r="N1435" s="177"/>
      <c r="O1435" s="271"/>
      <c r="P1435" s="177"/>
      <c r="Q1435" s="684"/>
      <c r="R1435" s="685"/>
      <c r="S1435" s="243"/>
      <c r="T1435" s="177"/>
      <c r="U1435" s="243"/>
      <c r="V1435" s="243"/>
      <c r="W1435" s="243"/>
      <c r="X1435" s="243"/>
      <c r="Y1435" s="275"/>
      <c r="Z1435" s="243"/>
      <c r="AA1435" s="686"/>
      <c r="AB1435" s="687"/>
    </row>
    <row r="1436" spans="1:28" s="343" customFormat="1" ht="18" customHeight="1" x14ac:dyDescent="0.2">
      <c r="A1436" s="281"/>
      <c r="B1436" s="177"/>
      <c r="C1436" s="177"/>
      <c r="D1436" s="177"/>
      <c r="E1436" s="177"/>
      <c r="F1436" s="177"/>
      <c r="G1436" s="177"/>
      <c r="H1436" s="683"/>
      <c r="I1436" s="243"/>
      <c r="J1436" s="275"/>
      <c r="K1436" s="279"/>
      <c r="L1436" s="271"/>
      <c r="M1436" s="177"/>
      <c r="N1436" s="177"/>
      <c r="O1436" s="271"/>
      <c r="P1436" s="177"/>
      <c r="Q1436" s="684"/>
      <c r="R1436" s="685"/>
      <c r="S1436" s="243"/>
      <c r="T1436" s="177"/>
      <c r="U1436" s="243"/>
      <c r="V1436" s="243"/>
      <c r="W1436" s="243"/>
      <c r="X1436" s="243"/>
      <c r="Y1436" s="275"/>
      <c r="Z1436" s="243"/>
      <c r="AA1436" s="686"/>
      <c r="AB1436" s="688"/>
    </row>
    <row r="1437" spans="1:28" s="343" customFormat="1" ht="18" customHeight="1" x14ac:dyDescent="0.2">
      <c r="A1437" s="689"/>
      <c r="B1437" s="177"/>
      <c r="C1437" s="177"/>
      <c r="D1437" s="177"/>
      <c r="E1437" s="177"/>
      <c r="F1437" s="177"/>
      <c r="G1437" s="177"/>
      <c r="H1437" s="683"/>
      <c r="I1437" s="243"/>
      <c r="J1437" s="275"/>
      <c r="K1437" s="279"/>
      <c r="L1437" s="271"/>
      <c r="M1437" s="177"/>
      <c r="N1437" s="177"/>
      <c r="O1437" s="271"/>
      <c r="P1437" s="177"/>
      <c r="Q1437" s="684"/>
      <c r="R1437" s="685"/>
      <c r="S1437" s="243"/>
      <c r="T1437" s="177"/>
      <c r="U1437" s="243"/>
      <c r="V1437" s="243"/>
      <c r="W1437" s="243"/>
      <c r="X1437" s="243"/>
      <c r="Y1437" s="275"/>
      <c r="Z1437" s="243"/>
      <c r="AA1437" s="686"/>
      <c r="AB1437" s="688"/>
    </row>
    <row r="1438" spans="1:28" s="343" customFormat="1" ht="18" customHeight="1" x14ac:dyDescent="0.2">
      <c r="A1438" s="281"/>
      <c r="B1438" s="180"/>
      <c r="C1438" s="180"/>
      <c r="D1438" s="180"/>
      <c r="E1438" s="180"/>
      <c r="F1438" s="180"/>
      <c r="G1438" s="180"/>
      <c r="H1438" s="690"/>
      <c r="I1438" s="295"/>
      <c r="J1438" s="280"/>
      <c r="K1438" s="314"/>
      <c r="L1438" s="281"/>
      <c r="M1438" s="180"/>
      <c r="N1438" s="180"/>
      <c r="O1438" s="281"/>
      <c r="P1438" s="180"/>
      <c r="Q1438" s="691"/>
      <c r="R1438" s="692"/>
      <c r="S1438" s="295"/>
      <c r="T1438" s="180"/>
      <c r="U1438" s="295"/>
      <c r="V1438" s="295"/>
      <c r="W1438" s="295"/>
      <c r="X1438" s="295"/>
      <c r="Y1438" s="280"/>
      <c r="Z1438" s="295"/>
      <c r="AA1438" s="693"/>
      <c r="AB1438" s="687"/>
    </row>
    <row r="1439" spans="1:28" s="343" customFormat="1" ht="18" customHeight="1" x14ac:dyDescent="0.2">
      <c r="A1439" s="271"/>
      <c r="B1439" s="177"/>
      <c r="C1439" s="177"/>
      <c r="D1439" s="177"/>
      <c r="E1439" s="177"/>
      <c r="F1439" s="177"/>
      <c r="G1439" s="177"/>
      <c r="H1439" s="683"/>
      <c r="I1439" s="243"/>
      <c r="J1439" s="275"/>
      <c r="K1439" s="279"/>
      <c r="L1439" s="271"/>
      <c r="M1439" s="177"/>
      <c r="N1439" s="177"/>
      <c r="O1439" s="271"/>
      <c r="P1439" s="177"/>
      <c r="Q1439" s="684"/>
      <c r="R1439" s="685"/>
      <c r="S1439" s="243"/>
      <c r="T1439" s="177"/>
      <c r="U1439" s="243"/>
      <c r="V1439" s="243"/>
      <c r="W1439" s="243"/>
      <c r="X1439" s="243"/>
      <c r="Y1439" s="275"/>
      <c r="Z1439" s="243"/>
      <c r="AA1439" s="686"/>
      <c r="AB1439" s="688"/>
    </row>
    <row r="1440" spans="1:28" s="343" customFormat="1" ht="18" customHeight="1" x14ac:dyDescent="0.2">
      <c r="A1440" s="177"/>
      <c r="B1440" s="177"/>
      <c r="C1440" s="177"/>
      <c r="D1440" s="177"/>
      <c r="E1440" s="177"/>
      <c r="F1440" s="177"/>
      <c r="G1440" s="177"/>
      <c r="H1440" s="274"/>
      <c r="I1440" s="275"/>
      <c r="J1440" s="275"/>
      <c r="K1440" s="275"/>
      <c r="L1440" s="177"/>
      <c r="M1440" s="177"/>
      <c r="N1440" s="177"/>
      <c r="O1440" s="177"/>
      <c r="P1440" s="274"/>
      <c r="Q1440" s="276"/>
      <c r="R1440" s="661"/>
      <c r="S1440" s="275"/>
      <c r="T1440" s="277"/>
      <c r="U1440" s="275"/>
      <c r="V1440" s="275"/>
      <c r="W1440" s="275"/>
      <c r="X1440" s="662"/>
      <c r="Y1440" s="662"/>
      <c r="Z1440" s="663"/>
      <c r="AA1440" s="663"/>
      <c r="AB1440" s="664"/>
    </row>
    <row r="1441" spans="1:28" s="343" customFormat="1" ht="18" customHeight="1" x14ac:dyDescent="0.2">
      <c r="A1441" s="177"/>
      <c r="B1441" s="177"/>
      <c r="C1441" s="177"/>
      <c r="D1441" s="177"/>
      <c r="E1441" s="177"/>
      <c r="F1441" s="177"/>
      <c r="G1441" s="177"/>
      <c r="H1441" s="274"/>
      <c r="I1441" s="275"/>
      <c r="J1441" s="275"/>
      <c r="K1441" s="275"/>
      <c r="L1441" s="177"/>
      <c r="M1441" s="177"/>
      <c r="N1441" s="177"/>
      <c r="O1441" s="177"/>
      <c r="P1441" s="274"/>
      <c r="Q1441" s="276"/>
      <c r="R1441" s="661"/>
      <c r="S1441" s="275"/>
      <c r="T1441" s="277"/>
      <c r="U1441" s="275"/>
      <c r="V1441" s="275"/>
      <c r="W1441" s="275"/>
      <c r="X1441" s="662"/>
      <c r="Y1441" s="662"/>
      <c r="Z1441" s="663"/>
      <c r="AA1441" s="663"/>
      <c r="AB1441" s="664"/>
    </row>
    <row r="1442" spans="1:28" s="343" customFormat="1" ht="18" customHeight="1" x14ac:dyDescent="0.2">
      <c r="A1442" s="177"/>
      <c r="B1442" s="177"/>
      <c r="C1442" s="177"/>
      <c r="D1442" s="177"/>
      <c r="E1442" s="177"/>
      <c r="F1442" s="177"/>
      <c r="G1442" s="177"/>
      <c r="H1442" s="274"/>
      <c r="I1442" s="275"/>
      <c r="J1442" s="275"/>
      <c r="K1442" s="275"/>
      <c r="L1442" s="177"/>
      <c r="M1442" s="177"/>
      <c r="N1442" s="177"/>
      <c r="O1442" s="177"/>
      <c r="P1442" s="274"/>
      <c r="Q1442" s="276"/>
      <c r="R1442" s="661"/>
      <c r="S1442" s="275"/>
      <c r="T1442" s="277"/>
      <c r="U1442" s="275"/>
      <c r="V1442" s="275"/>
      <c r="W1442" s="275"/>
      <c r="X1442" s="662"/>
      <c r="Y1442" s="662"/>
      <c r="Z1442" s="663"/>
      <c r="AA1442" s="663"/>
      <c r="AB1442" s="664"/>
    </row>
    <row r="1443" spans="1:28" s="343" customFormat="1" ht="18" customHeight="1" x14ac:dyDescent="0.2">
      <c r="A1443" s="177"/>
      <c r="B1443" s="177"/>
      <c r="C1443" s="177"/>
      <c r="D1443" s="177"/>
      <c r="E1443" s="177"/>
      <c r="F1443" s="177"/>
      <c r="G1443" s="177"/>
      <c r="H1443" s="274"/>
      <c r="I1443" s="275"/>
      <c r="J1443" s="275"/>
      <c r="K1443" s="275"/>
      <c r="L1443" s="177"/>
      <c r="M1443" s="177"/>
      <c r="N1443" s="177"/>
      <c r="O1443" s="177"/>
      <c r="P1443" s="274"/>
      <c r="Q1443" s="276"/>
      <c r="R1443" s="661"/>
      <c r="S1443" s="275"/>
      <c r="T1443" s="277"/>
      <c r="U1443" s="275"/>
      <c r="V1443" s="275"/>
      <c r="W1443" s="275"/>
      <c r="X1443" s="662"/>
      <c r="Y1443" s="662"/>
      <c r="Z1443" s="663"/>
      <c r="AA1443" s="663"/>
      <c r="AB1443" s="664"/>
    </row>
    <row r="1444" spans="1:28" s="343" customFormat="1" ht="18" customHeight="1" x14ac:dyDescent="0.2">
      <c r="A1444" s="177"/>
      <c r="B1444" s="177"/>
      <c r="C1444" s="177"/>
      <c r="D1444" s="177"/>
      <c r="E1444" s="177"/>
      <c r="F1444" s="177"/>
      <c r="G1444" s="177"/>
      <c r="H1444" s="274"/>
      <c r="I1444" s="275"/>
      <c r="J1444" s="275"/>
      <c r="K1444" s="275"/>
      <c r="L1444" s="177"/>
      <c r="M1444" s="177"/>
      <c r="N1444" s="177"/>
      <c r="O1444" s="177"/>
      <c r="P1444" s="274"/>
      <c r="Q1444" s="276"/>
      <c r="R1444" s="661"/>
      <c r="S1444" s="275"/>
      <c r="T1444" s="277"/>
      <c r="U1444" s="275"/>
      <c r="V1444" s="275"/>
      <c r="W1444" s="275"/>
      <c r="X1444" s="662"/>
      <c r="Y1444" s="662"/>
      <c r="Z1444" s="663"/>
      <c r="AA1444" s="663"/>
      <c r="AB1444" s="664"/>
    </row>
    <row r="1445" spans="1:28" s="343" customFormat="1" ht="18" customHeight="1" x14ac:dyDescent="0.2">
      <c r="A1445" s="177"/>
      <c r="B1445" s="177"/>
      <c r="C1445" s="177"/>
      <c r="D1445" s="177"/>
      <c r="E1445" s="177"/>
      <c r="F1445" s="177"/>
      <c r="G1445" s="177"/>
      <c r="H1445" s="274"/>
      <c r="I1445" s="275"/>
      <c r="J1445" s="275"/>
      <c r="K1445" s="275"/>
      <c r="L1445" s="177"/>
      <c r="M1445" s="177"/>
      <c r="N1445" s="177"/>
      <c r="O1445" s="177"/>
      <c r="P1445" s="274"/>
      <c r="Q1445" s="276"/>
      <c r="R1445" s="661"/>
      <c r="S1445" s="275"/>
      <c r="T1445" s="277"/>
      <c r="U1445" s="275"/>
      <c r="V1445" s="275"/>
      <c r="W1445" s="275"/>
      <c r="X1445" s="662"/>
      <c r="Y1445" s="662"/>
      <c r="Z1445" s="663"/>
      <c r="AA1445" s="663"/>
      <c r="AB1445" s="664"/>
    </row>
    <row r="1446" spans="1:28" s="343" customFormat="1" ht="18" customHeight="1" x14ac:dyDescent="0.2">
      <c r="A1446" s="177"/>
      <c r="B1446" s="177"/>
      <c r="C1446" s="177"/>
      <c r="D1446" s="177"/>
      <c r="E1446" s="177"/>
      <c r="F1446" s="177"/>
      <c r="G1446" s="177"/>
      <c r="H1446" s="274"/>
      <c r="I1446" s="275"/>
      <c r="J1446" s="275"/>
      <c r="K1446" s="275"/>
      <c r="L1446" s="177"/>
      <c r="M1446" s="177"/>
      <c r="N1446" s="177"/>
      <c r="O1446" s="177"/>
      <c r="P1446" s="274"/>
      <c r="Q1446" s="276"/>
      <c r="R1446" s="661"/>
      <c r="S1446" s="275"/>
      <c r="T1446" s="277"/>
      <c r="U1446" s="275"/>
      <c r="V1446" s="275"/>
      <c r="W1446" s="275"/>
      <c r="X1446" s="662"/>
      <c r="Y1446" s="662"/>
      <c r="Z1446" s="663"/>
      <c r="AA1446" s="663"/>
      <c r="AB1446" s="664"/>
    </row>
    <row r="1447" spans="1:28" s="343" customFormat="1" ht="18" customHeight="1" x14ac:dyDescent="0.2">
      <c r="A1447" s="180"/>
      <c r="B1447" s="180"/>
      <c r="C1447" s="180"/>
      <c r="D1447" s="180"/>
      <c r="E1447" s="180"/>
      <c r="F1447" s="180"/>
      <c r="G1447" s="180"/>
      <c r="H1447" s="315"/>
      <c r="I1447" s="280"/>
      <c r="J1447" s="280"/>
      <c r="K1447" s="280"/>
      <c r="L1447" s="180"/>
      <c r="M1447" s="180"/>
      <c r="N1447" s="180"/>
      <c r="O1447" s="180"/>
      <c r="P1447" s="180"/>
      <c r="Q1447" s="316"/>
      <c r="R1447" s="694"/>
      <c r="S1447" s="280"/>
      <c r="T1447" s="317"/>
      <c r="U1447" s="280"/>
      <c r="V1447" s="280"/>
      <c r="W1447" s="280"/>
      <c r="X1447" s="695"/>
      <c r="Y1447" s="695"/>
      <c r="Z1447" s="696"/>
      <c r="AA1447" s="696"/>
      <c r="AB1447" s="688"/>
    </row>
    <row r="1448" spans="1:28" s="343" customFormat="1" ht="18" customHeight="1" x14ac:dyDescent="0.2">
      <c r="A1448" s="1878"/>
      <c r="B1448" s="1878"/>
      <c r="C1448" s="1878"/>
      <c r="D1448" s="1878"/>
      <c r="E1448" s="1878"/>
      <c r="F1448" s="1878"/>
      <c r="G1448" s="1878"/>
      <c r="H1448" s="1979"/>
      <c r="I1448" s="1865"/>
      <c r="J1448" s="1865"/>
      <c r="K1448" s="1865"/>
      <c r="L1448" s="1865"/>
      <c r="M1448" s="1865"/>
      <c r="N1448" s="1865"/>
      <c r="O1448" s="1865"/>
      <c r="P1448" s="1865"/>
      <c r="Q1448" s="1865"/>
      <c r="R1448" s="1980"/>
      <c r="S1448" s="1865"/>
      <c r="T1448" s="1981"/>
      <c r="U1448" s="1865"/>
      <c r="V1448" s="1865"/>
      <c r="W1448" s="1865"/>
      <c r="X1448" s="1982"/>
      <c r="Y1448" s="1982"/>
      <c r="Z1448" s="1983"/>
      <c r="AA1448" s="1983"/>
      <c r="AB1448" s="1984">
        <f>SUM(AB1434:AB1447)</f>
        <v>1908</v>
      </c>
    </row>
    <row r="1449" spans="1:28" s="343" customFormat="1" ht="18" customHeight="1" x14ac:dyDescent="0.2">
      <c r="A1449" s="2781" t="s">
        <v>76</v>
      </c>
      <c r="B1449" s="2781"/>
      <c r="C1449" s="2782" t="s">
        <v>77</v>
      </c>
      <c r="D1449" s="2782"/>
      <c r="E1449" s="2782"/>
      <c r="F1449" s="2782"/>
      <c r="G1449" s="2782"/>
      <c r="H1449" s="2782"/>
      <c r="I1449" s="697" t="s">
        <v>78</v>
      </c>
      <c r="J1449" s="697"/>
      <c r="K1449" s="697"/>
      <c r="L1449" s="697"/>
      <c r="M1449" s="697"/>
      <c r="N1449" s="697"/>
      <c r="AB1449" s="698"/>
    </row>
    <row r="1450" spans="1:28" s="343" customFormat="1" ht="18" customHeight="1" x14ac:dyDescent="0.2">
      <c r="A1450" s="697"/>
      <c r="B1450" s="699"/>
      <c r="C1450" s="697"/>
      <c r="D1450" s="697"/>
      <c r="E1450" s="697"/>
      <c r="F1450" s="697"/>
      <c r="G1450" s="697"/>
      <c r="H1450" s="697"/>
      <c r="I1450" s="697" t="s">
        <v>79</v>
      </c>
      <c r="J1450" s="697"/>
      <c r="K1450" s="697"/>
      <c r="L1450" s="697"/>
      <c r="M1450" s="697"/>
      <c r="N1450" s="697"/>
      <c r="AB1450" s="698"/>
    </row>
    <row r="1451" spans="1:28" s="343" customFormat="1" ht="18" customHeight="1" x14ac:dyDescent="0.2">
      <c r="A1451" s="697"/>
      <c r="B1451" s="699"/>
      <c r="C1451" s="697"/>
      <c r="D1451" s="697"/>
      <c r="E1451" s="697"/>
      <c r="F1451" s="697"/>
      <c r="G1451" s="697"/>
      <c r="H1451" s="697"/>
      <c r="I1451" s="697" t="s">
        <v>80</v>
      </c>
      <c r="J1451" s="697"/>
      <c r="K1451" s="697"/>
      <c r="L1451" s="697"/>
      <c r="M1451" s="697"/>
      <c r="N1451" s="697"/>
      <c r="AB1451" s="698"/>
    </row>
    <row r="1452" spans="1:28" s="343" customFormat="1" ht="18" customHeight="1" x14ac:dyDescent="0.2">
      <c r="A1452" s="697"/>
      <c r="B1452" s="699"/>
      <c r="C1452" s="697"/>
      <c r="D1452" s="697"/>
      <c r="E1452" s="697"/>
      <c r="F1452" s="697"/>
      <c r="G1452" s="697"/>
      <c r="H1452" s="697"/>
      <c r="I1452" s="697" t="s">
        <v>81</v>
      </c>
      <c r="J1452" s="697"/>
      <c r="K1452" s="697"/>
      <c r="L1452" s="697"/>
      <c r="M1452" s="697"/>
      <c r="N1452" s="697"/>
      <c r="AB1452" s="698"/>
    </row>
    <row r="1453" spans="1:28" s="343" customFormat="1" ht="18" customHeight="1" x14ac:dyDescent="0.2">
      <c r="A1453" s="697"/>
      <c r="B1453" s="699"/>
      <c r="C1453" s="697"/>
      <c r="D1453" s="697"/>
      <c r="E1453" s="697"/>
      <c r="F1453" s="697"/>
      <c r="G1453" s="697"/>
      <c r="H1453" s="697"/>
      <c r="I1453" s="697" t="s">
        <v>88</v>
      </c>
      <c r="J1453" s="697"/>
      <c r="K1453" s="697"/>
      <c r="L1453" s="697"/>
      <c r="M1453" s="697"/>
      <c r="N1453" s="697"/>
      <c r="AB1453" s="698"/>
    </row>
    <row r="1454" spans="1:28" s="352" customFormat="1" ht="18" customHeight="1" x14ac:dyDescent="0.2">
      <c r="A1454" s="338"/>
      <c r="B1454" s="338"/>
      <c r="C1454" s="338"/>
      <c r="D1454" s="338"/>
      <c r="E1454" s="338"/>
      <c r="F1454" s="338"/>
      <c r="G1454" s="338"/>
      <c r="H1454" s="338"/>
      <c r="I1454" s="338"/>
      <c r="J1454" s="338"/>
      <c r="K1454" s="338"/>
      <c r="L1454" s="338"/>
      <c r="M1454" s="338"/>
      <c r="N1454" s="338"/>
      <c r="O1454" s="338"/>
      <c r="P1454" s="338"/>
      <c r="Q1454" s="338"/>
      <c r="R1454" s="338"/>
      <c r="S1454" s="338"/>
      <c r="T1454" s="338"/>
      <c r="U1454" s="338"/>
      <c r="V1454" s="338"/>
      <c r="W1454" s="338"/>
      <c r="X1454" s="338"/>
      <c r="Y1454" s="338"/>
      <c r="Z1454" s="338"/>
      <c r="AA1454" s="2774" t="s">
        <v>0</v>
      </c>
      <c r="AB1454" s="2774"/>
    </row>
    <row r="1455" spans="1:28" s="352" customFormat="1" ht="18" customHeight="1" x14ac:dyDescent="0.2">
      <c r="A1455" s="2703" t="s">
        <v>1</v>
      </c>
      <c r="B1455" s="2703"/>
      <c r="C1455" s="2703"/>
      <c r="D1455" s="2703"/>
      <c r="E1455" s="2703"/>
      <c r="F1455" s="2703"/>
      <c r="G1455" s="2703"/>
      <c r="H1455" s="2703"/>
      <c r="I1455" s="2703"/>
      <c r="J1455" s="2703"/>
      <c r="K1455" s="2703"/>
      <c r="L1455" s="2703"/>
      <c r="M1455" s="2703"/>
      <c r="N1455" s="2703"/>
      <c r="O1455" s="2703"/>
      <c r="P1455" s="2703"/>
      <c r="Q1455" s="2703"/>
      <c r="R1455" s="2703"/>
      <c r="S1455" s="2703"/>
      <c r="T1455" s="2703"/>
      <c r="U1455" s="2703"/>
      <c r="V1455" s="2703"/>
      <c r="W1455" s="2703"/>
      <c r="X1455" s="2703"/>
      <c r="Y1455" s="2703"/>
      <c r="Z1455" s="2703"/>
      <c r="AA1455" s="2703"/>
      <c r="AB1455" s="2703"/>
    </row>
    <row r="1456" spans="1:28" s="352" customFormat="1" ht="18" customHeight="1" x14ac:dyDescent="0.2">
      <c r="A1456" s="2780" t="s">
        <v>645</v>
      </c>
      <c r="B1456" s="2780"/>
      <c r="C1456" s="2780"/>
      <c r="D1456" s="2780"/>
      <c r="E1456" s="2780"/>
      <c r="F1456" s="2780"/>
      <c r="G1456" s="2780"/>
      <c r="H1456" s="2780"/>
      <c r="I1456" s="2780"/>
      <c r="J1456" s="2780"/>
      <c r="K1456" s="2780"/>
      <c r="L1456" s="2780"/>
      <c r="M1456" s="2780"/>
      <c r="N1456" s="2780"/>
      <c r="O1456" s="2780"/>
      <c r="P1456" s="2780"/>
      <c r="Q1456" s="2780"/>
      <c r="R1456" s="2780"/>
      <c r="S1456" s="2780"/>
      <c r="T1456" s="2780"/>
      <c r="U1456" s="2780"/>
      <c r="V1456" s="2780"/>
      <c r="W1456" s="2780"/>
      <c r="X1456" s="2780"/>
      <c r="Y1456" s="2780"/>
      <c r="Z1456" s="2780"/>
      <c r="AA1456" s="2780"/>
      <c r="AB1456" s="2780"/>
    </row>
    <row r="1457" spans="1:28" s="352" customFormat="1" ht="18" customHeight="1" x14ac:dyDescent="0.2">
      <c r="A1457" s="2686" t="s">
        <v>2</v>
      </c>
      <c r="B1457" s="360"/>
      <c r="C1457" s="2686" t="s">
        <v>3</v>
      </c>
      <c r="D1457" s="360"/>
      <c r="E1457" s="360"/>
      <c r="F1457" s="2693" t="s">
        <v>4</v>
      </c>
      <c r="G1457" s="2693"/>
      <c r="H1457" s="2693"/>
      <c r="I1457" s="2694"/>
      <c r="J1457" s="2694"/>
      <c r="K1457" s="2695"/>
      <c r="L1457" s="361"/>
      <c r="M1457" s="2679" t="s">
        <v>5</v>
      </c>
      <c r="N1457" s="2679"/>
      <c r="O1457" s="2679"/>
      <c r="P1457" s="2679"/>
      <c r="Q1457" s="2696"/>
      <c r="R1457" s="2696"/>
      <c r="S1457" s="2696"/>
      <c r="T1457" s="2696"/>
      <c r="U1457" s="2696"/>
      <c r="V1457" s="2697"/>
      <c r="W1457" s="362" t="s">
        <v>6</v>
      </c>
      <c r="X1457" s="363" t="s">
        <v>7</v>
      </c>
      <c r="Y1457" s="364"/>
      <c r="Z1457" s="364"/>
      <c r="AA1457" s="363"/>
      <c r="AB1457" s="365"/>
    </row>
    <row r="1458" spans="1:28" s="352" customFormat="1" ht="18" customHeight="1" x14ac:dyDescent="0.2">
      <c r="A1458" s="2687"/>
      <c r="B1458" s="367"/>
      <c r="C1458" s="2687"/>
      <c r="D1458" s="2158" t="s">
        <v>9</v>
      </c>
      <c r="E1458" s="368" t="s">
        <v>10</v>
      </c>
      <c r="F1458" s="2698" t="s">
        <v>11</v>
      </c>
      <c r="G1458" s="2694"/>
      <c r="H1458" s="2695"/>
      <c r="I1458" s="360"/>
      <c r="J1458" s="369" t="s">
        <v>12</v>
      </c>
      <c r="K1458" s="360"/>
      <c r="L1458" s="2679" t="s">
        <v>2</v>
      </c>
      <c r="M1458" s="2162"/>
      <c r="N1458" s="2162"/>
      <c r="O1458" s="2162"/>
      <c r="P1458" s="371"/>
      <c r="Q1458" s="372" t="s">
        <v>13</v>
      </c>
      <c r="R1458" s="373" t="s">
        <v>12</v>
      </c>
      <c r="S1458" s="2162" t="s">
        <v>6</v>
      </c>
      <c r="T1458" s="2682" t="s">
        <v>14</v>
      </c>
      <c r="U1458" s="2683"/>
      <c r="V1458" s="375" t="s">
        <v>7</v>
      </c>
      <c r="W1458" s="376" t="s">
        <v>15</v>
      </c>
      <c r="X1458" s="377" t="s">
        <v>16</v>
      </c>
      <c r="Y1458" s="377" t="s">
        <v>17</v>
      </c>
      <c r="Z1458" s="377" t="s">
        <v>18</v>
      </c>
      <c r="AA1458" s="377"/>
      <c r="AB1458" s="378" t="s">
        <v>19</v>
      </c>
    </row>
    <row r="1459" spans="1:28" s="352" customFormat="1" ht="18" customHeight="1" x14ac:dyDescent="0.2">
      <c r="A1459" s="2687"/>
      <c r="B1459" s="2158" t="s">
        <v>23</v>
      </c>
      <c r="C1459" s="2687"/>
      <c r="D1459" s="2158" t="s">
        <v>24</v>
      </c>
      <c r="E1459" s="368" t="s">
        <v>25</v>
      </c>
      <c r="F1459" s="2699"/>
      <c r="G1459" s="2700"/>
      <c r="H1459" s="2701"/>
      <c r="I1459" s="2158" t="s">
        <v>26</v>
      </c>
      <c r="J1459" s="379" t="s">
        <v>15</v>
      </c>
      <c r="K1459" s="2159" t="s">
        <v>6</v>
      </c>
      <c r="L1459" s="2680"/>
      <c r="M1459" s="2163" t="s">
        <v>27</v>
      </c>
      <c r="N1459" s="2163" t="s">
        <v>10</v>
      </c>
      <c r="O1459" s="382" t="s">
        <v>10</v>
      </c>
      <c r="P1459" s="383" t="s">
        <v>28</v>
      </c>
      <c r="Q1459" s="384" t="s">
        <v>29</v>
      </c>
      <c r="R1459" s="383" t="s">
        <v>15</v>
      </c>
      <c r="S1459" s="385" t="s">
        <v>15</v>
      </c>
      <c r="T1459" s="2684"/>
      <c r="U1459" s="2685"/>
      <c r="V1459" s="375" t="s">
        <v>30</v>
      </c>
      <c r="W1459" s="376" t="s">
        <v>31</v>
      </c>
      <c r="X1459" s="377" t="s">
        <v>30</v>
      </c>
      <c r="Y1459" s="377" t="s">
        <v>32</v>
      </c>
      <c r="Z1459" s="377" t="s">
        <v>7</v>
      </c>
      <c r="AA1459" s="377" t="s">
        <v>33</v>
      </c>
      <c r="AB1459" s="378" t="s">
        <v>34</v>
      </c>
    </row>
    <row r="1460" spans="1:28" s="352" customFormat="1" ht="18" customHeight="1" x14ac:dyDescent="0.2">
      <c r="A1460" s="2687"/>
      <c r="B1460" s="2158" t="s">
        <v>39</v>
      </c>
      <c r="C1460" s="2687"/>
      <c r="D1460" s="2158" t="s">
        <v>40</v>
      </c>
      <c r="E1460" s="368" t="s">
        <v>41</v>
      </c>
      <c r="F1460" s="2686" t="s">
        <v>42</v>
      </c>
      <c r="G1460" s="2686" t="s">
        <v>43</v>
      </c>
      <c r="H1460" s="2688" t="s">
        <v>44</v>
      </c>
      <c r="I1460" s="2158" t="s">
        <v>45</v>
      </c>
      <c r="J1460" s="379" t="s">
        <v>46</v>
      </c>
      <c r="K1460" s="2159" t="s">
        <v>47</v>
      </c>
      <c r="L1460" s="2680"/>
      <c r="M1460" s="2163" t="s">
        <v>30</v>
      </c>
      <c r="N1460" s="2163" t="s">
        <v>30</v>
      </c>
      <c r="O1460" s="382" t="s">
        <v>25</v>
      </c>
      <c r="P1460" s="383" t="s">
        <v>30</v>
      </c>
      <c r="Q1460" s="384" t="s">
        <v>48</v>
      </c>
      <c r="R1460" s="383" t="s">
        <v>49</v>
      </c>
      <c r="S1460" s="385" t="s">
        <v>30</v>
      </c>
      <c r="T1460" s="386" t="s">
        <v>50</v>
      </c>
      <c r="U1460" s="2161" t="s">
        <v>13</v>
      </c>
      <c r="V1460" s="375" t="s">
        <v>51</v>
      </c>
      <c r="W1460" s="376" t="s">
        <v>52</v>
      </c>
      <c r="X1460" s="377" t="s">
        <v>53</v>
      </c>
      <c r="Y1460" s="377" t="s">
        <v>54</v>
      </c>
      <c r="Z1460" s="377" t="s">
        <v>55</v>
      </c>
      <c r="AA1460" s="377" t="s">
        <v>56</v>
      </c>
      <c r="AB1460" s="378" t="s">
        <v>57</v>
      </c>
    </row>
    <row r="1461" spans="1:28" s="352" customFormat="1" ht="18" customHeight="1" x14ac:dyDescent="0.2">
      <c r="A1461" s="2687"/>
      <c r="B1461" s="2158" t="s">
        <v>61</v>
      </c>
      <c r="C1461" s="2687"/>
      <c r="D1461" s="2158" t="s">
        <v>62</v>
      </c>
      <c r="E1461" s="368" t="s">
        <v>63</v>
      </c>
      <c r="F1461" s="2687"/>
      <c r="G1461" s="2687"/>
      <c r="H1461" s="2689"/>
      <c r="I1461" s="2158" t="s">
        <v>64</v>
      </c>
      <c r="J1461" s="379" t="s">
        <v>59</v>
      </c>
      <c r="K1461" s="2159" t="s">
        <v>59</v>
      </c>
      <c r="L1461" s="2680"/>
      <c r="M1461" s="2163"/>
      <c r="N1461" s="2163"/>
      <c r="O1461" s="382" t="s">
        <v>41</v>
      </c>
      <c r="P1461" s="383" t="s">
        <v>65</v>
      </c>
      <c r="Q1461" s="384" t="s">
        <v>66</v>
      </c>
      <c r="R1461" s="383" t="s">
        <v>67</v>
      </c>
      <c r="S1461" s="385" t="s">
        <v>59</v>
      </c>
      <c r="T1461" s="387" t="s">
        <v>68</v>
      </c>
      <c r="U1461" s="375" t="s">
        <v>14</v>
      </c>
      <c r="V1461" s="375" t="s">
        <v>14</v>
      </c>
      <c r="W1461" s="376" t="s">
        <v>30</v>
      </c>
      <c r="X1461" s="388" t="s">
        <v>69</v>
      </c>
      <c r="Y1461" s="388" t="s">
        <v>70</v>
      </c>
      <c r="Z1461" s="377" t="s">
        <v>71</v>
      </c>
      <c r="AA1461" s="377" t="s">
        <v>72</v>
      </c>
      <c r="AB1461" s="378" t="s">
        <v>59</v>
      </c>
    </row>
    <row r="1462" spans="1:28" s="352" customFormat="1" ht="18" customHeight="1" x14ac:dyDescent="0.2">
      <c r="A1462" s="2692"/>
      <c r="B1462" s="390"/>
      <c r="C1462" s="2692"/>
      <c r="D1462" s="390"/>
      <c r="E1462" s="2160"/>
      <c r="F1462" s="390"/>
      <c r="G1462" s="390"/>
      <c r="H1462" s="391"/>
      <c r="I1462" s="2160"/>
      <c r="J1462" s="392"/>
      <c r="K1462" s="393"/>
      <c r="L1462" s="2681"/>
      <c r="M1462" s="2164"/>
      <c r="N1462" s="2164"/>
      <c r="O1462" s="2164" t="s">
        <v>63</v>
      </c>
      <c r="P1462" s="395"/>
      <c r="Q1462" s="396" t="s">
        <v>72</v>
      </c>
      <c r="R1462" s="397" t="s">
        <v>59</v>
      </c>
      <c r="S1462" s="398"/>
      <c r="T1462" s="397" t="s">
        <v>73</v>
      </c>
      <c r="U1462" s="398" t="s">
        <v>59</v>
      </c>
      <c r="V1462" s="399" t="s">
        <v>59</v>
      </c>
      <c r="W1462" s="400" t="s">
        <v>59</v>
      </c>
      <c r="X1462" s="401" t="s">
        <v>59</v>
      </c>
      <c r="Y1462" s="401" t="s">
        <v>59</v>
      </c>
      <c r="Z1462" s="401" t="s">
        <v>59</v>
      </c>
      <c r="AA1462" s="402"/>
      <c r="AB1462" s="403"/>
    </row>
    <row r="1463" spans="1:28" s="352" customFormat="1" ht="18" customHeight="1" x14ac:dyDescent="0.2">
      <c r="A1463" s="53">
        <v>1</v>
      </c>
      <c r="B1463" s="41">
        <v>30265</v>
      </c>
      <c r="C1463" s="41">
        <v>129</v>
      </c>
      <c r="D1463" s="41" t="s">
        <v>107</v>
      </c>
      <c r="E1463" s="41">
        <v>4</v>
      </c>
      <c r="F1463" s="41">
        <v>0</v>
      </c>
      <c r="G1463" s="41">
        <v>1</v>
      </c>
      <c r="H1463" s="267">
        <v>8.6</v>
      </c>
      <c r="I1463" s="302">
        <f>F1463*400+G1463*100+H1463</f>
        <v>108.6</v>
      </c>
      <c r="J1463" s="310">
        <v>3000</v>
      </c>
      <c r="K1463" s="303">
        <f>SUM(I1463*J1463)</f>
        <v>325800</v>
      </c>
      <c r="L1463" s="16"/>
      <c r="M1463" s="82"/>
      <c r="N1463" s="41"/>
      <c r="O1463" s="16">
        <v>4</v>
      </c>
      <c r="P1463" s="404"/>
      <c r="Q1463" s="14"/>
      <c r="R1463" s="302"/>
      <c r="S1463" s="302"/>
      <c r="T1463" s="41"/>
      <c r="U1463" s="302"/>
      <c r="V1463" s="302"/>
      <c r="W1463" s="302">
        <f>K1463+V1463</f>
        <v>325800</v>
      </c>
      <c r="X1463" s="302">
        <f>W1463</f>
        <v>325800</v>
      </c>
      <c r="Y1463" s="310"/>
      <c r="Z1463" s="302">
        <f>+X1463</f>
        <v>325800</v>
      </c>
      <c r="AA1463" s="405">
        <v>0.6</v>
      </c>
      <c r="AB1463" s="465">
        <f>+Z1463*AA1463/100</f>
        <v>1954.8</v>
      </c>
    </row>
    <row r="1464" spans="1:28" s="352" customFormat="1" ht="18" customHeight="1" x14ac:dyDescent="0.2">
      <c r="A1464" s="61"/>
      <c r="B1464" s="2166"/>
      <c r="C1464" s="2166"/>
      <c r="D1464" s="2166"/>
      <c r="E1464" s="2166"/>
      <c r="F1464" s="2166"/>
      <c r="G1464" s="2166"/>
      <c r="H1464" s="407"/>
      <c r="I1464" s="77"/>
      <c r="J1464" s="2168"/>
      <c r="K1464" s="78"/>
      <c r="L1464" s="61"/>
      <c r="M1464" s="2166"/>
      <c r="N1464" s="2166"/>
      <c r="O1464" s="61"/>
      <c r="P1464" s="177"/>
      <c r="Q1464" s="196"/>
      <c r="R1464" s="408"/>
      <c r="S1464" s="77"/>
      <c r="T1464" s="2166"/>
      <c r="U1464" s="77"/>
      <c r="V1464" s="77"/>
      <c r="W1464" s="77"/>
      <c r="X1464" s="77"/>
      <c r="Y1464" s="2168"/>
      <c r="Z1464" s="77"/>
      <c r="AA1464" s="2170"/>
      <c r="AB1464" s="416"/>
    </row>
    <row r="1465" spans="1:28" s="343" customFormat="1" ht="18" customHeight="1" x14ac:dyDescent="0.2">
      <c r="A1465" s="281"/>
      <c r="B1465" s="177"/>
      <c r="C1465" s="177"/>
      <c r="D1465" s="177"/>
      <c r="E1465" s="177"/>
      <c r="F1465" s="177"/>
      <c r="G1465" s="177"/>
      <c r="H1465" s="683"/>
      <c r="I1465" s="243"/>
      <c r="J1465" s="275"/>
      <c r="K1465" s="279"/>
      <c r="L1465" s="271"/>
      <c r="M1465" s="177"/>
      <c r="N1465" s="177"/>
      <c r="O1465" s="271"/>
      <c r="P1465" s="177"/>
      <c r="Q1465" s="684"/>
      <c r="R1465" s="685"/>
      <c r="S1465" s="243"/>
      <c r="T1465" s="177"/>
      <c r="U1465" s="243"/>
      <c r="V1465" s="243"/>
      <c r="W1465" s="243"/>
      <c r="X1465" s="243"/>
      <c r="Y1465" s="275"/>
      <c r="Z1465" s="243"/>
      <c r="AA1465" s="686"/>
      <c r="AB1465" s="688"/>
    </row>
    <row r="1466" spans="1:28" s="352" customFormat="1" ht="18" customHeight="1" x14ac:dyDescent="0.2">
      <c r="A1466" s="242"/>
      <c r="B1466" s="2166"/>
      <c r="C1466" s="2166"/>
      <c r="D1466" s="2166"/>
      <c r="E1466" s="2166"/>
      <c r="F1466" s="2166"/>
      <c r="G1466" s="2166"/>
      <c r="H1466" s="407"/>
      <c r="I1466" s="77"/>
      <c r="J1466" s="2168"/>
      <c r="K1466" s="78"/>
      <c r="L1466" s="61"/>
      <c r="M1466" s="2166"/>
      <c r="N1466" s="2166"/>
      <c r="O1466" s="61"/>
      <c r="P1466" s="177"/>
      <c r="Q1466" s="196"/>
      <c r="R1466" s="408"/>
      <c r="S1466" s="77"/>
      <c r="T1466" s="2166"/>
      <c r="U1466" s="77"/>
      <c r="V1466" s="77"/>
      <c r="W1466" s="77"/>
      <c r="X1466" s="77"/>
      <c r="Y1466" s="2168"/>
      <c r="Z1466" s="77"/>
      <c r="AA1466" s="2170"/>
      <c r="AB1466" s="410"/>
    </row>
    <row r="1467" spans="1:28" s="352" customFormat="1" ht="18" customHeight="1" x14ac:dyDescent="0.2">
      <c r="A1467" s="75"/>
      <c r="B1467" s="88"/>
      <c r="C1467" s="88"/>
      <c r="D1467" s="88"/>
      <c r="E1467" s="88"/>
      <c r="F1467" s="88"/>
      <c r="G1467" s="88"/>
      <c r="H1467" s="495"/>
      <c r="I1467" s="74"/>
      <c r="J1467" s="121"/>
      <c r="K1467" s="159"/>
      <c r="L1467" s="75"/>
      <c r="M1467" s="88"/>
      <c r="N1467" s="88"/>
      <c r="O1467" s="75"/>
      <c r="P1467" s="180"/>
      <c r="Q1467" s="174"/>
      <c r="R1467" s="413"/>
      <c r="S1467" s="74"/>
      <c r="T1467" s="88"/>
      <c r="U1467" s="74"/>
      <c r="V1467" s="74"/>
      <c r="W1467" s="74"/>
      <c r="X1467" s="74"/>
      <c r="Y1467" s="121"/>
      <c r="Z1467" s="74"/>
      <c r="AA1467" s="414"/>
      <c r="AB1467" s="416"/>
    </row>
    <row r="1468" spans="1:28" s="352" customFormat="1" ht="18" customHeight="1" x14ac:dyDescent="0.2">
      <c r="A1468" s="61"/>
      <c r="B1468" s="2166"/>
      <c r="C1468" s="2166"/>
      <c r="D1468" s="2166"/>
      <c r="E1468" s="2166"/>
      <c r="F1468" s="2166"/>
      <c r="G1468" s="2166"/>
      <c r="H1468" s="407"/>
      <c r="I1468" s="77"/>
      <c r="J1468" s="2168"/>
      <c r="K1468" s="78"/>
      <c r="L1468" s="61"/>
      <c r="M1468" s="2166"/>
      <c r="N1468" s="2166"/>
      <c r="O1468" s="61"/>
      <c r="P1468" s="177"/>
      <c r="Q1468" s="196"/>
      <c r="R1468" s="408"/>
      <c r="S1468" s="77"/>
      <c r="T1468" s="2166"/>
      <c r="U1468" s="77"/>
      <c r="V1468" s="77"/>
      <c r="W1468" s="77"/>
      <c r="X1468" s="77"/>
      <c r="Y1468" s="2168"/>
      <c r="Z1468" s="77"/>
      <c r="AA1468" s="2170"/>
      <c r="AB1468" s="410"/>
    </row>
    <row r="1469" spans="1:28" s="352" customFormat="1" ht="18" customHeight="1" x14ac:dyDescent="0.2">
      <c r="A1469" s="2166"/>
      <c r="B1469" s="177"/>
      <c r="C1469" s="177"/>
      <c r="D1469" s="2166"/>
      <c r="E1469" s="2166"/>
      <c r="F1469" s="2166"/>
      <c r="G1469" s="2166"/>
      <c r="H1469" s="2171"/>
      <c r="I1469" s="2168"/>
      <c r="J1469" s="178"/>
      <c r="K1469" s="2168"/>
      <c r="L1469" s="2166"/>
      <c r="M1469" s="2166"/>
      <c r="N1469" s="2166"/>
      <c r="O1469" s="2166"/>
      <c r="P1469" s="2171"/>
      <c r="Q1469" s="2167"/>
      <c r="R1469" s="437"/>
      <c r="S1469" s="2168"/>
      <c r="T1469" s="179"/>
      <c r="U1469" s="178"/>
      <c r="V1469" s="2168"/>
      <c r="W1469" s="2168"/>
      <c r="X1469" s="470"/>
      <c r="Y1469" s="470"/>
      <c r="Z1469" s="471"/>
      <c r="AA1469" s="471"/>
      <c r="AB1469" s="466"/>
    </row>
    <row r="1470" spans="1:28" s="352" customFormat="1" ht="18" customHeight="1" x14ac:dyDescent="0.2">
      <c r="A1470" s="2166"/>
      <c r="B1470" s="177"/>
      <c r="C1470" s="177"/>
      <c r="D1470" s="2166"/>
      <c r="E1470" s="2166"/>
      <c r="F1470" s="2166"/>
      <c r="G1470" s="2166"/>
      <c r="H1470" s="2171"/>
      <c r="I1470" s="2168"/>
      <c r="J1470" s="178"/>
      <c r="K1470" s="2168"/>
      <c r="L1470" s="2166"/>
      <c r="M1470" s="2166"/>
      <c r="N1470" s="2166"/>
      <c r="O1470" s="2166"/>
      <c r="P1470" s="2171"/>
      <c r="Q1470" s="2167"/>
      <c r="R1470" s="437"/>
      <c r="S1470" s="2168"/>
      <c r="T1470" s="179"/>
      <c r="U1470" s="178"/>
      <c r="V1470" s="2168"/>
      <c r="W1470" s="2168"/>
      <c r="X1470" s="470"/>
      <c r="Y1470" s="470"/>
      <c r="Z1470" s="471"/>
      <c r="AA1470" s="471"/>
      <c r="AB1470" s="466"/>
    </row>
    <row r="1471" spans="1:28" s="352" customFormat="1" ht="18" customHeight="1" x14ac:dyDescent="0.2">
      <c r="A1471" s="2166"/>
      <c r="B1471" s="177"/>
      <c r="C1471" s="177"/>
      <c r="D1471" s="2166"/>
      <c r="E1471" s="2166"/>
      <c r="F1471" s="2166"/>
      <c r="G1471" s="2166"/>
      <c r="H1471" s="2171"/>
      <c r="I1471" s="2168"/>
      <c r="J1471" s="178"/>
      <c r="K1471" s="2168"/>
      <c r="L1471" s="2166"/>
      <c r="M1471" s="2166"/>
      <c r="N1471" s="2166"/>
      <c r="O1471" s="2166"/>
      <c r="P1471" s="2171"/>
      <c r="Q1471" s="2167"/>
      <c r="R1471" s="437"/>
      <c r="S1471" s="2168"/>
      <c r="T1471" s="179"/>
      <c r="U1471" s="178"/>
      <c r="V1471" s="2168"/>
      <c r="W1471" s="2168"/>
      <c r="X1471" s="470"/>
      <c r="Y1471" s="470"/>
      <c r="Z1471" s="471"/>
      <c r="AA1471" s="471"/>
      <c r="AB1471" s="466"/>
    </row>
    <row r="1472" spans="1:28" s="352" customFormat="1" ht="18" customHeight="1" x14ac:dyDescent="0.2">
      <c r="A1472" s="2166"/>
      <c r="B1472" s="177"/>
      <c r="C1472" s="177"/>
      <c r="D1472" s="2166"/>
      <c r="E1472" s="2166"/>
      <c r="F1472" s="2166"/>
      <c r="G1472" s="2166"/>
      <c r="H1472" s="2171"/>
      <c r="I1472" s="2168"/>
      <c r="J1472" s="178"/>
      <c r="K1472" s="2168"/>
      <c r="L1472" s="2166"/>
      <c r="M1472" s="2166"/>
      <c r="N1472" s="2166"/>
      <c r="O1472" s="2166"/>
      <c r="P1472" s="2171"/>
      <c r="Q1472" s="2167"/>
      <c r="R1472" s="437"/>
      <c r="S1472" s="2168"/>
      <c r="T1472" s="179"/>
      <c r="U1472" s="178"/>
      <c r="V1472" s="2168"/>
      <c r="W1472" s="2168"/>
      <c r="X1472" s="470"/>
      <c r="Y1472" s="470"/>
      <c r="Z1472" s="471"/>
      <c r="AA1472" s="471"/>
      <c r="AB1472" s="466"/>
    </row>
    <row r="1473" spans="1:28" s="352" customFormat="1" ht="18" customHeight="1" x14ac:dyDescent="0.2">
      <c r="A1473" s="2166"/>
      <c r="B1473" s="177"/>
      <c r="C1473" s="177"/>
      <c r="D1473" s="2166"/>
      <c r="E1473" s="2166"/>
      <c r="F1473" s="2166"/>
      <c r="G1473" s="2166"/>
      <c r="H1473" s="2171"/>
      <c r="I1473" s="2168"/>
      <c r="J1473" s="178"/>
      <c r="K1473" s="2168"/>
      <c r="L1473" s="2166"/>
      <c r="M1473" s="2166"/>
      <c r="N1473" s="2166"/>
      <c r="O1473" s="2166"/>
      <c r="P1473" s="2171"/>
      <c r="Q1473" s="2167"/>
      <c r="R1473" s="437"/>
      <c r="S1473" s="2168"/>
      <c r="T1473" s="179"/>
      <c r="U1473" s="178"/>
      <c r="V1473" s="2168"/>
      <c r="W1473" s="2168"/>
      <c r="X1473" s="470"/>
      <c r="Y1473" s="470"/>
      <c r="Z1473" s="471"/>
      <c r="AA1473" s="471"/>
      <c r="AB1473" s="466"/>
    </row>
    <row r="1474" spans="1:28" s="352" customFormat="1" ht="18" customHeight="1" x14ac:dyDescent="0.2">
      <c r="A1474" s="2166"/>
      <c r="B1474" s="177"/>
      <c r="C1474" s="177"/>
      <c r="D1474" s="2166"/>
      <c r="E1474" s="2166"/>
      <c r="F1474" s="2166"/>
      <c r="G1474" s="2166"/>
      <c r="H1474" s="2171"/>
      <c r="I1474" s="2168"/>
      <c r="J1474" s="178"/>
      <c r="K1474" s="2168"/>
      <c r="L1474" s="2166"/>
      <c r="M1474" s="2166"/>
      <c r="N1474" s="2166"/>
      <c r="O1474" s="2166"/>
      <c r="P1474" s="2171"/>
      <c r="Q1474" s="2167"/>
      <c r="R1474" s="437"/>
      <c r="S1474" s="2168"/>
      <c r="T1474" s="179"/>
      <c r="U1474" s="178"/>
      <c r="V1474" s="2168"/>
      <c r="W1474" s="2168"/>
      <c r="X1474" s="470"/>
      <c r="Y1474" s="470"/>
      <c r="Z1474" s="471"/>
      <c r="AA1474" s="471"/>
      <c r="AB1474" s="466"/>
    </row>
    <row r="1475" spans="1:28" s="352" customFormat="1" ht="18" customHeight="1" x14ac:dyDescent="0.2">
      <c r="A1475" s="2166"/>
      <c r="B1475" s="177"/>
      <c r="C1475" s="177"/>
      <c r="D1475" s="2166"/>
      <c r="E1475" s="2166"/>
      <c r="F1475" s="2166"/>
      <c r="G1475" s="2166"/>
      <c r="H1475" s="2171"/>
      <c r="I1475" s="2168"/>
      <c r="J1475" s="178"/>
      <c r="K1475" s="2168"/>
      <c r="L1475" s="2166"/>
      <c r="M1475" s="2166"/>
      <c r="N1475" s="2166"/>
      <c r="O1475" s="2166"/>
      <c r="P1475" s="2171"/>
      <c r="Q1475" s="2167"/>
      <c r="R1475" s="437"/>
      <c r="S1475" s="2168"/>
      <c r="T1475" s="179"/>
      <c r="U1475" s="178"/>
      <c r="V1475" s="2168"/>
      <c r="W1475" s="2168"/>
      <c r="X1475" s="470"/>
      <c r="Y1475" s="470"/>
      <c r="Z1475" s="471"/>
      <c r="AA1475" s="471"/>
      <c r="AB1475" s="466"/>
    </row>
    <row r="1476" spans="1:28" s="352" customFormat="1" ht="18" customHeight="1" x14ac:dyDescent="0.2">
      <c r="A1476" s="88"/>
      <c r="B1476" s="180"/>
      <c r="C1476" s="180"/>
      <c r="D1476" s="88"/>
      <c r="E1476" s="88"/>
      <c r="F1476" s="88"/>
      <c r="G1476" s="88"/>
      <c r="H1476" s="120"/>
      <c r="I1476" s="121"/>
      <c r="J1476" s="181"/>
      <c r="K1476" s="121"/>
      <c r="L1476" s="88"/>
      <c r="M1476" s="88"/>
      <c r="N1476" s="88"/>
      <c r="O1476" s="88"/>
      <c r="P1476" s="88"/>
      <c r="Q1476" s="129"/>
      <c r="R1476" s="445"/>
      <c r="S1476" s="121"/>
      <c r="T1476" s="182"/>
      <c r="U1476" s="181"/>
      <c r="V1476" s="121"/>
      <c r="W1476" s="121"/>
      <c r="X1476" s="472"/>
      <c r="Y1476" s="472"/>
      <c r="Z1476" s="473"/>
      <c r="AA1476" s="473"/>
      <c r="AB1476" s="410"/>
    </row>
    <row r="1477" spans="1:28" s="352" customFormat="1" ht="18" customHeight="1" x14ac:dyDescent="0.2">
      <c r="A1477" s="1850"/>
      <c r="B1477" s="1850"/>
      <c r="C1477" s="1850"/>
      <c r="D1477" s="1850"/>
      <c r="E1477" s="1850"/>
      <c r="F1477" s="1850"/>
      <c r="G1477" s="1850"/>
      <c r="H1477" s="1851"/>
      <c r="I1477" s="1852"/>
      <c r="J1477" s="1853"/>
      <c r="K1477" s="1852"/>
      <c r="L1477" s="1852"/>
      <c r="M1477" s="1852"/>
      <c r="N1477" s="1852"/>
      <c r="O1477" s="1852"/>
      <c r="P1477" s="1852"/>
      <c r="Q1477" s="1852"/>
      <c r="R1477" s="1854"/>
      <c r="S1477" s="1852"/>
      <c r="T1477" s="1855"/>
      <c r="U1477" s="1853"/>
      <c r="V1477" s="1852"/>
      <c r="W1477" s="1852"/>
      <c r="X1477" s="1856"/>
      <c r="Y1477" s="1856"/>
      <c r="Z1477" s="1857"/>
      <c r="AA1477" s="1857"/>
      <c r="AB1477" s="1847">
        <f>SUM(AB1463:AB1476)</f>
        <v>1954.8</v>
      </c>
    </row>
    <row r="1478" spans="1:28" s="352" customFormat="1" ht="18" customHeight="1" x14ac:dyDescent="0.2">
      <c r="A1478" s="2778" t="s">
        <v>76</v>
      </c>
      <c r="B1478" s="2778"/>
      <c r="C1478" s="2779" t="s">
        <v>77</v>
      </c>
      <c r="D1478" s="2779"/>
      <c r="E1478" s="2779"/>
      <c r="F1478" s="2779"/>
      <c r="G1478" s="2779"/>
      <c r="H1478" s="2779"/>
      <c r="I1478" s="424" t="s">
        <v>78</v>
      </c>
      <c r="J1478" s="424"/>
      <c r="K1478" s="424"/>
      <c r="L1478" s="424"/>
      <c r="M1478" s="424"/>
      <c r="N1478" s="424"/>
      <c r="AB1478" s="425"/>
    </row>
    <row r="1479" spans="1:28" s="352" customFormat="1" ht="18" customHeight="1" x14ac:dyDescent="0.2">
      <c r="A1479" s="424"/>
      <c r="B1479" s="426"/>
      <c r="C1479" s="424"/>
      <c r="D1479" s="424"/>
      <c r="E1479" s="424"/>
      <c r="F1479" s="424"/>
      <c r="G1479" s="424"/>
      <c r="H1479" s="424"/>
      <c r="I1479" s="424" t="s">
        <v>79</v>
      </c>
      <c r="J1479" s="424"/>
      <c r="K1479" s="424"/>
      <c r="L1479" s="424"/>
      <c r="M1479" s="424"/>
      <c r="N1479" s="424"/>
      <c r="AB1479" s="425"/>
    </row>
    <row r="1480" spans="1:28" s="352" customFormat="1" ht="18" customHeight="1" x14ac:dyDescent="0.2">
      <c r="A1480" s="424"/>
      <c r="B1480" s="426"/>
      <c r="C1480" s="424"/>
      <c r="D1480" s="424"/>
      <c r="E1480" s="424"/>
      <c r="F1480" s="424"/>
      <c r="G1480" s="424"/>
      <c r="H1480" s="424"/>
      <c r="I1480" s="424" t="s">
        <v>80</v>
      </c>
      <c r="J1480" s="424"/>
      <c r="K1480" s="424"/>
      <c r="L1480" s="424"/>
      <c r="M1480" s="424"/>
      <c r="N1480" s="424"/>
      <c r="AB1480" s="425"/>
    </row>
    <row r="1481" spans="1:28" s="352" customFormat="1" ht="18" customHeight="1" x14ac:dyDescent="0.2">
      <c r="A1481" s="424"/>
      <c r="B1481" s="426"/>
      <c r="C1481" s="424"/>
      <c r="D1481" s="424"/>
      <c r="E1481" s="424"/>
      <c r="F1481" s="424"/>
      <c r="G1481" s="424"/>
      <c r="H1481" s="424"/>
      <c r="I1481" s="424" t="s">
        <v>81</v>
      </c>
      <c r="J1481" s="424"/>
      <c r="K1481" s="424"/>
      <c r="L1481" s="424"/>
      <c r="M1481" s="424"/>
      <c r="N1481" s="424"/>
      <c r="AB1481" s="425"/>
    </row>
    <row r="1482" spans="1:28" s="352" customFormat="1" ht="18" customHeight="1" x14ac:dyDescent="0.2">
      <c r="A1482" s="424"/>
      <c r="B1482" s="426"/>
      <c r="C1482" s="424"/>
      <c r="D1482" s="424"/>
      <c r="E1482" s="424"/>
      <c r="F1482" s="424"/>
      <c r="G1482" s="424"/>
      <c r="H1482" s="424"/>
      <c r="I1482" s="424" t="s">
        <v>88</v>
      </c>
      <c r="J1482" s="424"/>
      <c r="K1482" s="424"/>
      <c r="L1482" s="424"/>
      <c r="M1482" s="424"/>
      <c r="N1482" s="424"/>
      <c r="AB1482" s="425"/>
    </row>
    <row r="1483" spans="1:28" s="352" customFormat="1" ht="18" customHeight="1" x14ac:dyDescent="0.2">
      <c r="A1483" s="338"/>
      <c r="B1483" s="338"/>
      <c r="C1483" s="338"/>
      <c r="D1483" s="338"/>
      <c r="E1483" s="338"/>
      <c r="F1483" s="338"/>
      <c r="G1483" s="338"/>
      <c r="H1483" s="338"/>
      <c r="I1483" s="338"/>
      <c r="J1483" s="338"/>
      <c r="K1483" s="338"/>
      <c r="L1483" s="338"/>
      <c r="M1483" s="338"/>
      <c r="N1483" s="338"/>
      <c r="O1483" s="338"/>
      <c r="P1483" s="338"/>
      <c r="Q1483" s="338"/>
      <c r="R1483" s="338"/>
      <c r="S1483" s="338"/>
      <c r="T1483" s="338"/>
      <c r="U1483" s="338"/>
      <c r="V1483" s="338"/>
      <c r="W1483" s="338"/>
      <c r="X1483" s="338"/>
      <c r="Y1483" s="338"/>
      <c r="Z1483" s="338"/>
      <c r="AA1483" s="2774" t="s">
        <v>0</v>
      </c>
      <c r="AB1483" s="2774"/>
    </row>
    <row r="1484" spans="1:28" s="352" customFormat="1" ht="18" customHeight="1" x14ac:dyDescent="0.2">
      <c r="A1484" s="2703" t="s">
        <v>1</v>
      </c>
      <c r="B1484" s="2703"/>
      <c r="C1484" s="2703"/>
      <c r="D1484" s="2703"/>
      <c r="E1484" s="2703"/>
      <c r="F1484" s="2703"/>
      <c r="G1484" s="2703"/>
      <c r="H1484" s="2703"/>
      <c r="I1484" s="2703"/>
      <c r="J1484" s="2703"/>
      <c r="K1484" s="2703"/>
      <c r="L1484" s="2703"/>
      <c r="M1484" s="2703"/>
      <c r="N1484" s="2703"/>
      <c r="O1484" s="2703"/>
      <c r="P1484" s="2703"/>
      <c r="Q1484" s="2703"/>
      <c r="R1484" s="2703"/>
      <c r="S1484" s="2703"/>
      <c r="T1484" s="2703"/>
      <c r="U1484" s="2703"/>
      <c r="V1484" s="2703"/>
      <c r="W1484" s="2703"/>
      <c r="X1484" s="2703"/>
      <c r="Y1484" s="2703"/>
      <c r="Z1484" s="2703"/>
      <c r="AA1484" s="2703"/>
      <c r="AB1484" s="2703"/>
    </row>
    <row r="1485" spans="1:28" s="352" customFormat="1" ht="18" customHeight="1" x14ac:dyDescent="0.2">
      <c r="A1485" s="2780" t="s">
        <v>646</v>
      </c>
      <c r="B1485" s="2780"/>
      <c r="C1485" s="2780"/>
      <c r="D1485" s="2780"/>
      <c r="E1485" s="2780"/>
      <c r="F1485" s="2780"/>
      <c r="G1485" s="2780"/>
      <c r="H1485" s="2780"/>
      <c r="I1485" s="2780"/>
      <c r="J1485" s="2780"/>
      <c r="K1485" s="2780"/>
      <c r="L1485" s="2780"/>
      <c r="M1485" s="2780"/>
      <c r="N1485" s="2780"/>
      <c r="O1485" s="2780"/>
      <c r="P1485" s="2780"/>
      <c r="Q1485" s="2780"/>
      <c r="R1485" s="2780"/>
      <c r="S1485" s="2780"/>
      <c r="T1485" s="2780"/>
      <c r="U1485" s="2780"/>
      <c r="V1485" s="2780"/>
      <c r="W1485" s="2780"/>
      <c r="X1485" s="2780"/>
      <c r="Y1485" s="2780"/>
      <c r="Z1485" s="2780"/>
      <c r="AA1485" s="2780"/>
      <c r="AB1485" s="2780"/>
    </row>
    <row r="1486" spans="1:28" s="352" customFormat="1" ht="18" customHeight="1" x14ac:dyDescent="0.2">
      <c r="A1486" s="2686" t="s">
        <v>2</v>
      </c>
      <c r="B1486" s="360"/>
      <c r="C1486" s="2686" t="s">
        <v>3</v>
      </c>
      <c r="D1486" s="360"/>
      <c r="E1486" s="360"/>
      <c r="F1486" s="2693" t="s">
        <v>4</v>
      </c>
      <c r="G1486" s="2693"/>
      <c r="H1486" s="2693"/>
      <c r="I1486" s="2694"/>
      <c r="J1486" s="2694"/>
      <c r="K1486" s="2695"/>
      <c r="L1486" s="361"/>
      <c r="M1486" s="2679" t="s">
        <v>5</v>
      </c>
      <c r="N1486" s="2679"/>
      <c r="O1486" s="2679"/>
      <c r="P1486" s="2679"/>
      <c r="Q1486" s="2696"/>
      <c r="R1486" s="2696"/>
      <c r="S1486" s="2696"/>
      <c r="T1486" s="2696"/>
      <c r="U1486" s="2696"/>
      <c r="V1486" s="2697"/>
      <c r="W1486" s="362" t="s">
        <v>6</v>
      </c>
      <c r="X1486" s="363" t="s">
        <v>7</v>
      </c>
      <c r="Y1486" s="364"/>
      <c r="Z1486" s="364"/>
      <c r="AA1486" s="363"/>
      <c r="AB1486" s="365"/>
    </row>
    <row r="1487" spans="1:28" s="352" customFormat="1" ht="18" customHeight="1" x14ac:dyDescent="0.2">
      <c r="A1487" s="2687"/>
      <c r="B1487" s="367"/>
      <c r="C1487" s="2687"/>
      <c r="D1487" s="2158" t="s">
        <v>9</v>
      </c>
      <c r="E1487" s="368" t="s">
        <v>10</v>
      </c>
      <c r="F1487" s="2698" t="s">
        <v>11</v>
      </c>
      <c r="G1487" s="2694"/>
      <c r="H1487" s="2695"/>
      <c r="I1487" s="360"/>
      <c r="J1487" s="369" t="s">
        <v>12</v>
      </c>
      <c r="K1487" s="360"/>
      <c r="L1487" s="2679" t="s">
        <v>2</v>
      </c>
      <c r="M1487" s="2162"/>
      <c r="N1487" s="2162"/>
      <c r="O1487" s="2162"/>
      <c r="P1487" s="371"/>
      <c r="Q1487" s="372" t="s">
        <v>13</v>
      </c>
      <c r="R1487" s="373" t="s">
        <v>12</v>
      </c>
      <c r="S1487" s="2162" t="s">
        <v>6</v>
      </c>
      <c r="T1487" s="2682" t="s">
        <v>14</v>
      </c>
      <c r="U1487" s="2683"/>
      <c r="V1487" s="375" t="s">
        <v>7</v>
      </c>
      <c r="W1487" s="376" t="s">
        <v>15</v>
      </c>
      <c r="X1487" s="377" t="s">
        <v>16</v>
      </c>
      <c r="Y1487" s="377" t="s">
        <v>17</v>
      </c>
      <c r="Z1487" s="377" t="s">
        <v>18</v>
      </c>
      <c r="AA1487" s="377"/>
      <c r="AB1487" s="378" t="s">
        <v>19</v>
      </c>
    </row>
    <row r="1488" spans="1:28" s="352" customFormat="1" ht="18" customHeight="1" x14ac:dyDescent="0.2">
      <c r="A1488" s="2687"/>
      <c r="B1488" s="2158" t="s">
        <v>23</v>
      </c>
      <c r="C1488" s="2687"/>
      <c r="D1488" s="2158" t="s">
        <v>24</v>
      </c>
      <c r="E1488" s="368" t="s">
        <v>25</v>
      </c>
      <c r="F1488" s="2699"/>
      <c r="G1488" s="2700"/>
      <c r="H1488" s="2701"/>
      <c r="I1488" s="2158" t="s">
        <v>26</v>
      </c>
      <c r="J1488" s="379" t="s">
        <v>15</v>
      </c>
      <c r="K1488" s="2159" t="s">
        <v>6</v>
      </c>
      <c r="L1488" s="2680"/>
      <c r="M1488" s="2163" t="s">
        <v>27</v>
      </c>
      <c r="N1488" s="2163" t="s">
        <v>10</v>
      </c>
      <c r="O1488" s="382" t="s">
        <v>10</v>
      </c>
      <c r="P1488" s="383" t="s">
        <v>28</v>
      </c>
      <c r="Q1488" s="384" t="s">
        <v>29</v>
      </c>
      <c r="R1488" s="383" t="s">
        <v>15</v>
      </c>
      <c r="S1488" s="385" t="s">
        <v>15</v>
      </c>
      <c r="T1488" s="2684"/>
      <c r="U1488" s="2685"/>
      <c r="V1488" s="375" t="s">
        <v>30</v>
      </c>
      <c r="W1488" s="376" t="s">
        <v>31</v>
      </c>
      <c r="X1488" s="377" t="s">
        <v>30</v>
      </c>
      <c r="Y1488" s="377" t="s">
        <v>32</v>
      </c>
      <c r="Z1488" s="377" t="s">
        <v>7</v>
      </c>
      <c r="AA1488" s="377" t="s">
        <v>33</v>
      </c>
      <c r="AB1488" s="378" t="s">
        <v>34</v>
      </c>
    </row>
    <row r="1489" spans="1:28" s="352" customFormat="1" ht="18" customHeight="1" x14ac:dyDescent="0.2">
      <c r="A1489" s="2687"/>
      <c r="B1489" s="2158" t="s">
        <v>39</v>
      </c>
      <c r="C1489" s="2687"/>
      <c r="D1489" s="2158" t="s">
        <v>40</v>
      </c>
      <c r="E1489" s="368" t="s">
        <v>41</v>
      </c>
      <c r="F1489" s="2686" t="s">
        <v>42</v>
      </c>
      <c r="G1489" s="2686" t="s">
        <v>43</v>
      </c>
      <c r="H1489" s="2688" t="s">
        <v>44</v>
      </c>
      <c r="I1489" s="2158" t="s">
        <v>45</v>
      </c>
      <c r="J1489" s="379" t="s">
        <v>46</v>
      </c>
      <c r="K1489" s="2159" t="s">
        <v>47</v>
      </c>
      <c r="L1489" s="2680"/>
      <c r="M1489" s="2163" t="s">
        <v>30</v>
      </c>
      <c r="N1489" s="2163" t="s">
        <v>30</v>
      </c>
      <c r="O1489" s="382" t="s">
        <v>25</v>
      </c>
      <c r="P1489" s="383" t="s">
        <v>30</v>
      </c>
      <c r="Q1489" s="384" t="s">
        <v>48</v>
      </c>
      <c r="R1489" s="383" t="s">
        <v>49</v>
      </c>
      <c r="S1489" s="385" t="s">
        <v>30</v>
      </c>
      <c r="T1489" s="386" t="s">
        <v>50</v>
      </c>
      <c r="U1489" s="2161" t="s">
        <v>13</v>
      </c>
      <c r="V1489" s="375" t="s">
        <v>51</v>
      </c>
      <c r="W1489" s="376" t="s">
        <v>52</v>
      </c>
      <c r="X1489" s="377" t="s">
        <v>53</v>
      </c>
      <c r="Y1489" s="377" t="s">
        <v>54</v>
      </c>
      <c r="Z1489" s="377" t="s">
        <v>55</v>
      </c>
      <c r="AA1489" s="377" t="s">
        <v>56</v>
      </c>
      <c r="AB1489" s="378" t="s">
        <v>57</v>
      </c>
    </row>
    <row r="1490" spans="1:28" s="352" customFormat="1" ht="18" customHeight="1" x14ac:dyDescent="0.2">
      <c r="A1490" s="2687"/>
      <c r="B1490" s="2158" t="s">
        <v>61</v>
      </c>
      <c r="C1490" s="2687"/>
      <c r="D1490" s="2158" t="s">
        <v>62</v>
      </c>
      <c r="E1490" s="368" t="s">
        <v>63</v>
      </c>
      <c r="F1490" s="2687"/>
      <c r="G1490" s="2687"/>
      <c r="H1490" s="2689"/>
      <c r="I1490" s="2158" t="s">
        <v>64</v>
      </c>
      <c r="J1490" s="379" t="s">
        <v>59</v>
      </c>
      <c r="K1490" s="2159" t="s">
        <v>59</v>
      </c>
      <c r="L1490" s="2680"/>
      <c r="M1490" s="2163"/>
      <c r="N1490" s="2163"/>
      <c r="O1490" s="382" t="s">
        <v>41</v>
      </c>
      <c r="P1490" s="383" t="s">
        <v>65</v>
      </c>
      <c r="Q1490" s="384" t="s">
        <v>66</v>
      </c>
      <c r="R1490" s="383" t="s">
        <v>67</v>
      </c>
      <c r="S1490" s="385" t="s">
        <v>59</v>
      </c>
      <c r="T1490" s="387" t="s">
        <v>68</v>
      </c>
      <c r="U1490" s="375" t="s">
        <v>14</v>
      </c>
      <c r="V1490" s="375" t="s">
        <v>14</v>
      </c>
      <c r="W1490" s="376" t="s">
        <v>30</v>
      </c>
      <c r="X1490" s="388" t="s">
        <v>69</v>
      </c>
      <c r="Y1490" s="388" t="s">
        <v>70</v>
      </c>
      <c r="Z1490" s="377" t="s">
        <v>71</v>
      </c>
      <c r="AA1490" s="377" t="s">
        <v>72</v>
      </c>
      <c r="AB1490" s="378" t="s">
        <v>59</v>
      </c>
    </row>
    <row r="1491" spans="1:28" s="352" customFormat="1" ht="18" customHeight="1" x14ac:dyDescent="0.2">
      <c r="A1491" s="2692"/>
      <c r="B1491" s="390"/>
      <c r="C1491" s="2692"/>
      <c r="D1491" s="390"/>
      <c r="E1491" s="2160"/>
      <c r="F1491" s="390"/>
      <c r="G1491" s="390"/>
      <c r="H1491" s="391"/>
      <c r="I1491" s="2160"/>
      <c r="J1491" s="392"/>
      <c r="K1491" s="393"/>
      <c r="L1491" s="2681"/>
      <c r="M1491" s="2164"/>
      <c r="N1491" s="2164"/>
      <c r="O1491" s="2164" t="s">
        <v>63</v>
      </c>
      <c r="P1491" s="395"/>
      <c r="Q1491" s="396" t="s">
        <v>72</v>
      </c>
      <c r="R1491" s="397" t="s">
        <v>59</v>
      </c>
      <c r="S1491" s="398"/>
      <c r="T1491" s="397" t="s">
        <v>73</v>
      </c>
      <c r="U1491" s="398" t="s">
        <v>59</v>
      </c>
      <c r="V1491" s="399" t="s">
        <v>59</v>
      </c>
      <c r="W1491" s="400" t="s">
        <v>59</v>
      </c>
      <c r="X1491" s="401" t="s">
        <v>59</v>
      </c>
      <c r="Y1491" s="401" t="s">
        <v>59</v>
      </c>
      <c r="Z1491" s="401" t="s">
        <v>59</v>
      </c>
      <c r="AA1491" s="402"/>
      <c r="AB1491" s="403"/>
    </row>
    <row r="1492" spans="1:28" s="352" customFormat="1" ht="18" customHeight="1" x14ac:dyDescent="0.2">
      <c r="A1492" s="53">
        <v>1</v>
      </c>
      <c r="B1492" s="41">
        <v>30281</v>
      </c>
      <c r="C1492" s="41">
        <v>144</v>
      </c>
      <c r="D1492" s="41" t="s">
        <v>107</v>
      </c>
      <c r="E1492" s="41">
        <v>4</v>
      </c>
      <c r="F1492" s="41">
        <v>0</v>
      </c>
      <c r="G1492" s="41">
        <v>1</v>
      </c>
      <c r="H1492" s="267">
        <v>30.4</v>
      </c>
      <c r="I1492" s="302">
        <f>F1492*400+G1492*100+H1492</f>
        <v>130.4</v>
      </c>
      <c r="J1492" s="310">
        <v>3000</v>
      </c>
      <c r="K1492" s="303">
        <f>SUM(I1492*J1492)</f>
        <v>391200</v>
      </c>
      <c r="L1492" s="16"/>
      <c r="M1492" s="82"/>
      <c r="N1492" s="41"/>
      <c r="O1492" s="16">
        <v>4</v>
      </c>
      <c r="P1492" s="404"/>
      <c r="Q1492" s="14"/>
      <c r="R1492" s="302"/>
      <c r="S1492" s="302"/>
      <c r="T1492" s="41"/>
      <c r="U1492" s="302"/>
      <c r="V1492" s="302"/>
      <c r="W1492" s="302">
        <f>K1492+V1492</f>
        <v>391200</v>
      </c>
      <c r="X1492" s="302">
        <f>W1492</f>
        <v>391200</v>
      </c>
      <c r="Y1492" s="310"/>
      <c r="Z1492" s="302">
        <f>+X1492</f>
        <v>391200</v>
      </c>
      <c r="AA1492" s="405">
        <v>0.6</v>
      </c>
      <c r="AB1492" s="465">
        <f>+Z1492*AA1492/100</f>
        <v>2347.1999999999998</v>
      </c>
    </row>
    <row r="1493" spans="1:28" s="352" customFormat="1" ht="18" customHeight="1" x14ac:dyDescent="0.2">
      <c r="A1493" s="61"/>
      <c r="B1493" s="2166"/>
      <c r="C1493" s="2166"/>
      <c r="D1493" s="2166"/>
      <c r="E1493" s="2166"/>
      <c r="F1493" s="2166"/>
      <c r="G1493" s="2166"/>
      <c r="H1493" s="407"/>
      <c r="I1493" s="77"/>
      <c r="J1493" s="2168"/>
      <c r="K1493" s="78"/>
      <c r="L1493" s="61"/>
      <c r="M1493" s="2166"/>
      <c r="N1493" s="2166"/>
      <c r="O1493" s="61"/>
      <c r="P1493" s="177"/>
      <c r="Q1493" s="196"/>
      <c r="R1493" s="408"/>
      <c r="S1493" s="77"/>
      <c r="T1493" s="2166"/>
      <c r="U1493" s="77"/>
      <c r="V1493" s="77"/>
      <c r="W1493" s="77"/>
      <c r="X1493" s="77"/>
      <c r="Y1493" s="2168"/>
      <c r="Z1493" s="77"/>
      <c r="AA1493" s="2170"/>
      <c r="AB1493" s="466"/>
    </row>
    <row r="1494" spans="1:28" s="352" customFormat="1" ht="18" customHeight="1" x14ac:dyDescent="0.2">
      <c r="A1494" s="61"/>
      <c r="B1494" s="2166"/>
      <c r="C1494" s="2166"/>
      <c r="D1494" s="2166"/>
      <c r="E1494" s="2166"/>
      <c r="F1494" s="2166"/>
      <c r="G1494" s="2166"/>
      <c r="H1494" s="407"/>
      <c r="I1494" s="77"/>
      <c r="J1494" s="2168"/>
      <c r="K1494" s="78"/>
      <c r="L1494" s="61"/>
      <c r="M1494" s="2166"/>
      <c r="N1494" s="2166"/>
      <c r="O1494" s="61"/>
      <c r="P1494" s="177"/>
      <c r="Q1494" s="196"/>
      <c r="R1494" s="408"/>
      <c r="S1494" s="77"/>
      <c r="T1494" s="2166"/>
      <c r="U1494" s="77"/>
      <c r="V1494" s="77"/>
      <c r="W1494" s="77"/>
      <c r="X1494" s="77"/>
      <c r="Y1494" s="2168"/>
      <c r="Z1494" s="77"/>
      <c r="AA1494" s="2170"/>
      <c r="AB1494" s="410"/>
    </row>
    <row r="1495" spans="1:28" s="352" customFormat="1" ht="18" customHeight="1" x14ac:dyDescent="0.2">
      <c r="A1495" s="242"/>
      <c r="B1495" s="2166"/>
      <c r="C1495" s="2166"/>
      <c r="D1495" s="2166"/>
      <c r="E1495" s="2166"/>
      <c r="F1495" s="2166"/>
      <c r="G1495" s="2166"/>
      <c r="H1495" s="407"/>
      <c r="I1495" s="77"/>
      <c r="J1495" s="2168"/>
      <c r="K1495" s="78"/>
      <c r="L1495" s="61"/>
      <c r="M1495" s="2166"/>
      <c r="N1495" s="2166"/>
      <c r="O1495" s="61"/>
      <c r="P1495" s="177"/>
      <c r="Q1495" s="196"/>
      <c r="R1495" s="408"/>
      <c r="S1495" s="77"/>
      <c r="T1495" s="2166"/>
      <c r="U1495" s="77"/>
      <c r="V1495" s="77"/>
      <c r="W1495" s="77"/>
      <c r="X1495" s="77"/>
      <c r="Y1495" s="2168"/>
      <c r="Z1495" s="77"/>
      <c r="AA1495" s="2170"/>
      <c r="AB1495" s="410"/>
    </row>
    <row r="1496" spans="1:28" s="352" customFormat="1" ht="18" customHeight="1" x14ac:dyDescent="0.2">
      <c r="A1496" s="75"/>
      <c r="B1496" s="88"/>
      <c r="C1496" s="88"/>
      <c r="D1496" s="88"/>
      <c r="E1496" s="88"/>
      <c r="F1496" s="88"/>
      <c r="G1496" s="88"/>
      <c r="H1496" s="495"/>
      <c r="I1496" s="74"/>
      <c r="J1496" s="121"/>
      <c r="K1496" s="159"/>
      <c r="L1496" s="75"/>
      <c r="M1496" s="88"/>
      <c r="N1496" s="88"/>
      <c r="O1496" s="75"/>
      <c r="P1496" s="180"/>
      <c r="Q1496" s="174"/>
      <c r="R1496" s="413"/>
      <c r="S1496" s="74"/>
      <c r="T1496" s="88"/>
      <c r="U1496" s="74"/>
      <c r="V1496" s="74"/>
      <c r="W1496" s="74"/>
      <c r="X1496" s="74"/>
      <c r="Y1496" s="121"/>
      <c r="Z1496" s="74"/>
      <c r="AA1496" s="414"/>
      <c r="AB1496" s="416"/>
    </row>
    <row r="1497" spans="1:28" s="352" customFormat="1" ht="18" customHeight="1" x14ac:dyDescent="0.2">
      <c r="A1497" s="61"/>
      <c r="B1497" s="2166"/>
      <c r="C1497" s="2166"/>
      <c r="D1497" s="2166"/>
      <c r="E1497" s="2166"/>
      <c r="F1497" s="2166"/>
      <c r="G1497" s="2166"/>
      <c r="H1497" s="407"/>
      <c r="I1497" s="77"/>
      <c r="J1497" s="2168"/>
      <c r="K1497" s="78"/>
      <c r="L1497" s="61"/>
      <c r="M1497" s="2166"/>
      <c r="N1497" s="2166"/>
      <c r="O1497" s="61"/>
      <c r="P1497" s="177"/>
      <c r="Q1497" s="196"/>
      <c r="R1497" s="408"/>
      <c r="S1497" s="77"/>
      <c r="T1497" s="2166"/>
      <c r="U1497" s="77"/>
      <c r="V1497" s="77"/>
      <c r="W1497" s="77"/>
      <c r="X1497" s="77"/>
      <c r="Y1497" s="2168"/>
      <c r="Z1497" s="77"/>
      <c r="AA1497" s="2170"/>
      <c r="AB1497" s="410"/>
    </row>
    <row r="1498" spans="1:28" s="352" customFormat="1" ht="18" customHeight="1" x14ac:dyDescent="0.2">
      <c r="A1498" s="2166"/>
      <c r="B1498" s="177"/>
      <c r="C1498" s="177"/>
      <c r="D1498" s="2166"/>
      <c r="E1498" s="2166"/>
      <c r="F1498" s="2166"/>
      <c r="G1498" s="2166"/>
      <c r="H1498" s="2171"/>
      <c r="I1498" s="2168"/>
      <c r="J1498" s="178"/>
      <c r="K1498" s="2168"/>
      <c r="L1498" s="2166"/>
      <c r="M1498" s="2166"/>
      <c r="N1498" s="2166"/>
      <c r="O1498" s="2166"/>
      <c r="P1498" s="2171"/>
      <c r="Q1498" s="2167"/>
      <c r="R1498" s="437"/>
      <c r="S1498" s="2168"/>
      <c r="T1498" s="179"/>
      <c r="U1498" s="178"/>
      <c r="V1498" s="2168"/>
      <c r="W1498" s="2168"/>
      <c r="X1498" s="470"/>
      <c r="Y1498" s="470"/>
      <c r="Z1498" s="471"/>
      <c r="AA1498" s="471"/>
      <c r="AB1498" s="466"/>
    </row>
    <row r="1499" spans="1:28" s="352" customFormat="1" ht="18" customHeight="1" x14ac:dyDescent="0.2">
      <c r="A1499" s="2166"/>
      <c r="B1499" s="177"/>
      <c r="C1499" s="177"/>
      <c r="D1499" s="2166"/>
      <c r="E1499" s="2166"/>
      <c r="F1499" s="2166"/>
      <c r="G1499" s="2166"/>
      <c r="H1499" s="2171"/>
      <c r="I1499" s="2168"/>
      <c r="J1499" s="178"/>
      <c r="K1499" s="2168"/>
      <c r="L1499" s="2166"/>
      <c r="M1499" s="2166"/>
      <c r="N1499" s="2166"/>
      <c r="O1499" s="2166"/>
      <c r="P1499" s="2171"/>
      <c r="Q1499" s="2167"/>
      <c r="R1499" s="437"/>
      <c r="S1499" s="2168"/>
      <c r="T1499" s="179"/>
      <c r="U1499" s="178"/>
      <c r="V1499" s="2168"/>
      <c r="W1499" s="2168"/>
      <c r="X1499" s="470"/>
      <c r="Y1499" s="470"/>
      <c r="Z1499" s="471"/>
      <c r="AA1499" s="471"/>
      <c r="AB1499" s="466"/>
    </row>
    <row r="1500" spans="1:28" s="352" customFormat="1" ht="18" customHeight="1" x14ac:dyDescent="0.2">
      <c r="A1500" s="2166"/>
      <c r="B1500" s="177"/>
      <c r="C1500" s="177"/>
      <c r="D1500" s="2166"/>
      <c r="E1500" s="2166"/>
      <c r="F1500" s="2166"/>
      <c r="G1500" s="2166"/>
      <c r="H1500" s="2171"/>
      <c r="I1500" s="2168"/>
      <c r="J1500" s="178"/>
      <c r="K1500" s="2168"/>
      <c r="L1500" s="2166"/>
      <c r="M1500" s="2166"/>
      <c r="N1500" s="2166"/>
      <c r="O1500" s="2166"/>
      <c r="P1500" s="2171"/>
      <c r="Q1500" s="2167"/>
      <c r="R1500" s="437"/>
      <c r="S1500" s="2168"/>
      <c r="T1500" s="179"/>
      <c r="U1500" s="178"/>
      <c r="V1500" s="2168"/>
      <c r="W1500" s="2168"/>
      <c r="X1500" s="470"/>
      <c r="Y1500" s="470"/>
      <c r="Z1500" s="471"/>
      <c r="AA1500" s="471"/>
      <c r="AB1500" s="466"/>
    </row>
    <row r="1501" spans="1:28" s="352" customFormat="1" ht="18" customHeight="1" x14ac:dyDescent="0.2">
      <c r="A1501" s="2166"/>
      <c r="B1501" s="177"/>
      <c r="C1501" s="177"/>
      <c r="D1501" s="2166"/>
      <c r="E1501" s="2166"/>
      <c r="F1501" s="2166"/>
      <c r="G1501" s="2166"/>
      <c r="H1501" s="2171"/>
      <c r="I1501" s="2168"/>
      <c r="J1501" s="178"/>
      <c r="K1501" s="2168"/>
      <c r="L1501" s="2166"/>
      <c r="M1501" s="2166"/>
      <c r="N1501" s="2166"/>
      <c r="O1501" s="2166"/>
      <c r="P1501" s="2171"/>
      <c r="Q1501" s="2167"/>
      <c r="R1501" s="437"/>
      <c r="S1501" s="2168"/>
      <c r="T1501" s="179"/>
      <c r="U1501" s="178"/>
      <c r="V1501" s="2168"/>
      <c r="W1501" s="2168"/>
      <c r="X1501" s="470"/>
      <c r="Y1501" s="470"/>
      <c r="Z1501" s="471"/>
      <c r="AA1501" s="471"/>
      <c r="AB1501" s="466"/>
    </row>
    <row r="1502" spans="1:28" s="352" customFormat="1" ht="18" customHeight="1" x14ac:dyDescent="0.2">
      <c r="A1502" s="2166"/>
      <c r="B1502" s="177"/>
      <c r="C1502" s="177"/>
      <c r="D1502" s="2166"/>
      <c r="E1502" s="2166"/>
      <c r="F1502" s="2166"/>
      <c r="G1502" s="2166"/>
      <c r="H1502" s="2171"/>
      <c r="I1502" s="2168"/>
      <c r="J1502" s="178"/>
      <c r="K1502" s="2168"/>
      <c r="L1502" s="2166"/>
      <c r="M1502" s="2166"/>
      <c r="N1502" s="2166"/>
      <c r="O1502" s="2166"/>
      <c r="P1502" s="2171"/>
      <c r="Q1502" s="2167"/>
      <c r="R1502" s="437"/>
      <c r="S1502" s="2168"/>
      <c r="T1502" s="179"/>
      <c r="U1502" s="178"/>
      <c r="V1502" s="2168"/>
      <c r="W1502" s="2168"/>
      <c r="X1502" s="470"/>
      <c r="Y1502" s="470"/>
      <c r="Z1502" s="471"/>
      <c r="AA1502" s="471"/>
      <c r="AB1502" s="466"/>
    </row>
    <row r="1503" spans="1:28" s="352" customFormat="1" ht="18" customHeight="1" x14ac:dyDescent="0.2">
      <c r="A1503" s="2166"/>
      <c r="B1503" s="177"/>
      <c r="C1503" s="177"/>
      <c r="D1503" s="2166"/>
      <c r="E1503" s="2166"/>
      <c r="F1503" s="2166"/>
      <c r="G1503" s="2166"/>
      <c r="H1503" s="2171"/>
      <c r="I1503" s="2168"/>
      <c r="J1503" s="178"/>
      <c r="K1503" s="2168"/>
      <c r="L1503" s="2166"/>
      <c r="M1503" s="2166"/>
      <c r="N1503" s="2166"/>
      <c r="O1503" s="2166"/>
      <c r="P1503" s="2171"/>
      <c r="Q1503" s="2167"/>
      <c r="R1503" s="437"/>
      <c r="S1503" s="2168"/>
      <c r="T1503" s="179"/>
      <c r="U1503" s="178"/>
      <c r="V1503" s="2168"/>
      <c r="W1503" s="2168"/>
      <c r="X1503" s="470"/>
      <c r="Y1503" s="470"/>
      <c r="Z1503" s="471"/>
      <c r="AA1503" s="471"/>
      <c r="AB1503" s="466"/>
    </row>
    <row r="1504" spans="1:28" s="352" customFormat="1" ht="18" customHeight="1" x14ac:dyDescent="0.2">
      <c r="A1504" s="2166"/>
      <c r="B1504" s="177"/>
      <c r="C1504" s="177"/>
      <c r="D1504" s="2166"/>
      <c r="E1504" s="2166"/>
      <c r="F1504" s="2166"/>
      <c r="G1504" s="2166"/>
      <c r="H1504" s="2171"/>
      <c r="I1504" s="2168"/>
      <c r="J1504" s="178"/>
      <c r="K1504" s="2168"/>
      <c r="L1504" s="2166"/>
      <c r="M1504" s="2166"/>
      <c r="N1504" s="2166"/>
      <c r="O1504" s="2166"/>
      <c r="P1504" s="2171"/>
      <c r="Q1504" s="2167"/>
      <c r="R1504" s="437"/>
      <c r="S1504" s="2168"/>
      <c r="T1504" s="179"/>
      <c r="U1504" s="178"/>
      <c r="V1504" s="2168"/>
      <c r="W1504" s="2168"/>
      <c r="X1504" s="470"/>
      <c r="Y1504" s="470"/>
      <c r="Z1504" s="471"/>
      <c r="AA1504" s="471"/>
      <c r="AB1504" s="466"/>
    </row>
    <row r="1505" spans="1:28" s="352" customFormat="1" ht="18" customHeight="1" x14ac:dyDescent="0.2">
      <c r="A1505" s="88"/>
      <c r="B1505" s="180"/>
      <c r="C1505" s="180"/>
      <c r="D1505" s="88"/>
      <c r="E1505" s="88"/>
      <c r="F1505" s="88"/>
      <c r="G1505" s="88"/>
      <c r="H1505" s="120"/>
      <c r="I1505" s="121"/>
      <c r="J1505" s="181"/>
      <c r="K1505" s="121"/>
      <c r="L1505" s="88"/>
      <c r="M1505" s="88"/>
      <c r="N1505" s="88"/>
      <c r="O1505" s="88"/>
      <c r="P1505" s="88"/>
      <c r="Q1505" s="129"/>
      <c r="R1505" s="445"/>
      <c r="S1505" s="121"/>
      <c r="T1505" s="182"/>
      <c r="U1505" s="181"/>
      <c r="V1505" s="121"/>
      <c r="W1505" s="121"/>
      <c r="X1505" s="472"/>
      <c r="Y1505" s="472"/>
      <c r="Z1505" s="473"/>
      <c r="AA1505" s="473"/>
      <c r="AB1505" s="410"/>
    </row>
    <row r="1506" spans="1:28" s="352" customFormat="1" ht="18" customHeight="1" x14ac:dyDescent="0.2">
      <c r="A1506" s="1850"/>
      <c r="B1506" s="1850"/>
      <c r="C1506" s="1850"/>
      <c r="D1506" s="1850"/>
      <c r="E1506" s="1850"/>
      <c r="F1506" s="1850"/>
      <c r="G1506" s="1850"/>
      <c r="H1506" s="1851"/>
      <c r="I1506" s="1852"/>
      <c r="J1506" s="1853"/>
      <c r="K1506" s="1852"/>
      <c r="L1506" s="1852"/>
      <c r="M1506" s="1852"/>
      <c r="N1506" s="1852"/>
      <c r="O1506" s="1852"/>
      <c r="P1506" s="1852"/>
      <c r="Q1506" s="1852"/>
      <c r="R1506" s="1854"/>
      <c r="S1506" s="1852"/>
      <c r="T1506" s="1855"/>
      <c r="U1506" s="1853"/>
      <c r="V1506" s="1852"/>
      <c r="W1506" s="1852"/>
      <c r="X1506" s="1856"/>
      <c r="Y1506" s="1856"/>
      <c r="Z1506" s="1857"/>
      <c r="AA1506" s="1857"/>
      <c r="AB1506" s="1847">
        <f>SUM(AB1492:AB1505)</f>
        <v>2347.1999999999998</v>
      </c>
    </row>
    <row r="1507" spans="1:28" s="352" customFormat="1" ht="18" customHeight="1" x14ac:dyDescent="0.2">
      <c r="A1507" s="2778" t="s">
        <v>76</v>
      </c>
      <c r="B1507" s="2778"/>
      <c r="C1507" s="2779" t="s">
        <v>77</v>
      </c>
      <c r="D1507" s="2779"/>
      <c r="E1507" s="2779"/>
      <c r="F1507" s="2779"/>
      <c r="G1507" s="2779"/>
      <c r="H1507" s="2779"/>
      <c r="I1507" s="424" t="s">
        <v>78</v>
      </c>
      <c r="J1507" s="424"/>
      <c r="K1507" s="424"/>
      <c r="L1507" s="424"/>
      <c r="M1507" s="424"/>
      <c r="N1507" s="424"/>
      <c r="AB1507" s="425"/>
    </row>
    <row r="1508" spans="1:28" s="352" customFormat="1" ht="18" customHeight="1" x14ac:dyDescent="0.2">
      <c r="A1508" s="424"/>
      <c r="B1508" s="426"/>
      <c r="C1508" s="424"/>
      <c r="D1508" s="424"/>
      <c r="E1508" s="424"/>
      <c r="F1508" s="424"/>
      <c r="G1508" s="424"/>
      <c r="H1508" s="424"/>
      <c r="I1508" s="424" t="s">
        <v>79</v>
      </c>
      <c r="J1508" s="424"/>
      <c r="K1508" s="424"/>
      <c r="L1508" s="424"/>
      <c r="M1508" s="424"/>
      <c r="N1508" s="424"/>
      <c r="AB1508" s="425"/>
    </row>
    <row r="1509" spans="1:28" s="352" customFormat="1" ht="18" customHeight="1" x14ac:dyDescent="0.2">
      <c r="A1509" s="424"/>
      <c r="B1509" s="426"/>
      <c r="C1509" s="424"/>
      <c r="D1509" s="424"/>
      <c r="E1509" s="424"/>
      <c r="F1509" s="424"/>
      <c r="G1509" s="424"/>
      <c r="H1509" s="424"/>
      <c r="I1509" s="424" t="s">
        <v>80</v>
      </c>
      <c r="J1509" s="424"/>
      <c r="K1509" s="424"/>
      <c r="L1509" s="424"/>
      <c r="M1509" s="424"/>
      <c r="N1509" s="424"/>
      <c r="AB1509" s="425"/>
    </row>
    <row r="1510" spans="1:28" s="352" customFormat="1" ht="18" customHeight="1" x14ac:dyDescent="0.2">
      <c r="A1510" s="424"/>
      <c r="B1510" s="426"/>
      <c r="C1510" s="424"/>
      <c r="D1510" s="424"/>
      <c r="E1510" s="424"/>
      <c r="F1510" s="424"/>
      <c r="G1510" s="424"/>
      <c r="H1510" s="424"/>
      <c r="I1510" s="424" t="s">
        <v>81</v>
      </c>
      <c r="J1510" s="424"/>
      <c r="K1510" s="424"/>
      <c r="L1510" s="424"/>
      <c r="M1510" s="424"/>
      <c r="N1510" s="424"/>
      <c r="AB1510" s="425"/>
    </row>
    <row r="1511" spans="1:28" s="352" customFormat="1" ht="18" customHeight="1" x14ac:dyDescent="0.2">
      <c r="A1511" s="424"/>
      <c r="B1511" s="426"/>
      <c r="C1511" s="424"/>
      <c r="D1511" s="424"/>
      <c r="E1511" s="424"/>
      <c r="F1511" s="424"/>
      <c r="G1511" s="424"/>
      <c r="H1511" s="424"/>
      <c r="I1511" s="424" t="s">
        <v>88</v>
      </c>
      <c r="J1511" s="424"/>
      <c r="K1511" s="424"/>
      <c r="L1511" s="424"/>
      <c r="M1511" s="424"/>
      <c r="N1511" s="424"/>
      <c r="AB1511" s="425"/>
    </row>
    <row r="1512" spans="1:28" s="352" customFormat="1" ht="18" customHeight="1" x14ac:dyDescent="0.2">
      <c r="A1512" s="338"/>
      <c r="B1512" s="338"/>
      <c r="C1512" s="338"/>
      <c r="D1512" s="338"/>
      <c r="E1512" s="338"/>
      <c r="F1512" s="338"/>
      <c r="G1512" s="338"/>
      <c r="H1512" s="338"/>
      <c r="I1512" s="338"/>
      <c r="J1512" s="338"/>
      <c r="K1512" s="338"/>
      <c r="L1512" s="338"/>
      <c r="M1512" s="338"/>
      <c r="N1512" s="338"/>
      <c r="O1512" s="338"/>
      <c r="P1512" s="338"/>
      <c r="Q1512" s="338"/>
      <c r="R1512" s="338"/>
      <c r="S1512" s="338"/>
      <c r="T1512" s="338"/>
      <c r="U1512" s="338"/>
      <c r="V1512" s="338"/>
      <c r="W1512" s="338"/>
      <c r="X1512" s="338"/>
      <c r="Y1512" s="338"/>
      <c r="Z1512" s="338"/>
      <c r="AA1512" s="2774" t="s">
        <v>0</v>
      </c>
      <c r="AB1512" s="2774"/>
    </row>
    <row r="1513" spans="1:28" s="352" customFormat="1" ht="18" customHeight="1" x14ac:dyDescent="0.2">
      <c r="A1513" s="2703" t="s">
        <v>1</v>
      </c>
      <c r="B1513" s="2703"/>
      <c r="C1513" s="2703"/>
      <c r="D1513" s="2703"/>
      <c r="E1513" s="2703"/>
      <c r="F1513" s="2703"/>
      <c r="G1513" s="2703"/>
      <c r="H1513" s="2703"/>
      <c r="I1513" s="2703"/>
      <c r="J1513" s="2703"/>
      <c r="K1513" s="2703"/>
      <c r="L1513" s="2703"/>
      <c r="M1513" s="2703"/>
      <c r="N1513" s="2703"/>
      <c r="O1513" s="2703"/>
      <c r="P1513" s="2703"/>
      <c r="Q1513" s="2703"/>
      <c r="R1513" s="2703"/>
      <c r="S1513" s="2703"/>
      <c r="T1513" s="2703"/>
      <c r="U1513" s="2703"/>
      <c r="V1513" s="2703"/>
      <c r="W1513" s="2703"/>
      <c r="X1513" s="2703"/>
      <c r="Y1513" s="2703"/>
      <c r="Z1513" s="2703"/>
      <c r="AA1513" s="2703"/>
      <c r="AB1513" s="2703"/>
    </row>
    <row r="1514" spans="1:28" s="352" customFormat="1" ht="18" customHeight="1" x14ac:dyDescent="0.2">
      <c r="A1514" s="2780" t="s">
        <v>647</v>
      </c>
      <c r="B1514" s="2780"/>
      <c r="C1514" s="2780"/>
      <c r="D1514" s="2780"/>
      <c r="E1514" s="2780"/>
      <c r="F1514" s="2780"/>
      <c r="G1514" s="2780"/>
      <c r="H1514" s="2780"/>
      <c r="I1514" s="2780"/>
      <c r="J1514" s="2780"/>
      <c r="K1514" s="2780"/>
      <c r="L1514" s="2780"/>
      <c r="M1514" s="2780"/>
      <c r="N1514" s="2780"/>
      <c r="O1514" s="2780"/>
      <c r="P1514" s="2780"/>
      <c r="Q1514" s="2780"/>
      <c r="R1514" s="2780"/>
      <c r="S1514" s="2780"/>
      <c r="T1514" s="2780"/>
      <c r="U1514" s="2780"/>
      <c r="V1514" s="2780"/>
      <c r="W1514" s="2780"/>
      <c r="X1514" s="2780"/>
      <c r="Y1514" s="2780"/>
      <c r="Z1514" s="2780"/>
      <c r="AA1514" s="2780"/>
      <c r="AB1514" s="2780"/>
    </row>
    <row r="1515" spans="1:28" s="352" customFormat="1" ht="18" customHeight="1" x14ac:dyDescent="0.2">
      <c r="A1515" s="2686" t="s">
        <v>2</v>
      </c>
      <c r="B1515" s="360"/>
      <c r="C1515" s="2686" t="s">
        <v>3</v>
      </c>
      <c r="D1515" s="360"/>
      <c r="E1515" s="360"/>
      <c r="F1515" s="2693" t="s">
        <v>4</v>
      </c>
      <c r="G1515" s="2693"/>
      <c r="H1515" s="2693"/>
      <c r="I1515" s="2694"/>
      <c r="J1515" s="2694"/>
      <c r="K1515" s="2695"/>
      <c r="L1515" s="361"/>
      <c r="M1515" s="2679" t="s">
        <v>5</v>
      </c>
      <c r="N1515" s="2679"/>
      <c r="O1515" s="2679"/>
      <c r="P1515" s="2679"/>
      <c r="Q1515" s="2696"/>
      <c r="R1515" s="2696"/>
      <c r="S1515" s="2696"/>
      <c r="T1515" s="2696"/>
      <c r="U1515" s="2696"/>
      <c r="V1515" s="2697"/>
      <c r="W1515" s="362" t="s">
        <v>6</v>
      </c>
      <c r="X1515" s="363" t="s">
        <v>7</v>
      </c>
      <c r="Y1515" s="364"/>
      <c r="Z1515" s="364"/>
      <c r="AA1515" s="363"/>
      <c r="AB1515" s="365"/>
    </row>
    <row r="1516" spans="1:28" s="352" customFormat="1" ht="18" customHeight="1" x14ac:dyDescent="0.2">
      <c r="A1516" s="2687"/>
      <c r="B1516" s="367"/>
      <c r="C1516" s="2687"/>
      <c r="D1516" s="2158" t="s">
        <v>9</v>
      </c>
      <c r="E1516" s="368" t="s">
        <v>10</v>
      </c>
      <c r="F1516" s="2698" t="s">
        <v>11</v>
      </c>
      <c r="G1516" s="2694"/>
      <c r="H1516" s="2695"/>
      <c r="I1516" s="360"/>
      <c r="J1516" s="369" t="s">
        <v>12</v>
      </c>
      <c r="K1516" s="360"/>
      <c r="L1516" s="2679" t="s">
        <v>2</v>
      </c>
      <c r="M1516" s="2162"/>
      <c r="N1516" s="2162"/>
      <c r="O1516" s="2162"/>
      <c r="P1516" s="371"/>
      <c r="Q1516" s="372" t="s">
        <v>13</v>
      </c>
      <c r="R1516" s="373" t="s">
        <v>12</v>
      </c>
      <c r="S1516" s="2162" t="s">
        <v>6</v>
      </c>
      <c r="T1516" s="2682" t="s">
        <v>14</v>
      </c>
      <c r="U1516" s="2683"/>
      <c r="V1516" s="375" t="s">
        <v>7</v>
      </c>
      <c r="W1516" s="376" t="s">
        <v>15</v>
      </c>
      <c r="X1516" s="377" t="s">
        <v>16</v>
      </c>
      <c r="Y1516" s="377" t="s">
        <v>17</v>
      </c>
      <c r="Z1516" s="377" t="s">
        <v>18</v>
      </c>
      <c r="AA1516" s="377"/>
      <c r="AB1516" s="378" t="s">
        <v>19</v>
      </c>
    </row>
    <row r="1517" spans="1:28" s="352" customFormat="1" ht="18" customHeight="1" x14ac:dyDescent="0.2">
      <c r="A1517" s="2687"/>
      <c r="B1517" s="2158" t="s">
        <v>23</v>
      </c>
      <c r="C1517" s="2687"/>
      <c r="D1517" s="2158" t="s">
        <v>24</v>
      </c>
      <c r="E1517" s="368" t="s">
        <v>25</v>
      </c>
      <c r="F1517" s="2699"/>
      <c r="G1517" s="2700"/>
      <c r="H1517" s="2701"/>
      <c r="I1517" s="2158" t="s">
        <v>26</v>
      </c>
      <c r="J1517" s="379" t="s">
        <v>15</v>
      </c>
      <c r="K1517" s="2159" t="s">
        <v>6</v>
      </c>
      <c r="L1517" s="2680"/>
      <c r="M1517" s="2163" t="s">
        <v>27</v>
      </c>
      <c r="N1517" s="2163" t="s">
        <v>10</v>
      </c>
      <c r="O1517" s="382" t="s">
        <v>10</v>
      </c>
      <c r="P1517" s="383" t="s">
        <v>28</v>
      </c>
      <c r="Q1517" s="384" t="s">
        <v>29</v>
      </c>
      <c r="R1517" s="383" t="s">
        <v>15</v>
      </c>
      <c r="S1517" s="385" t="s">
        <v>15</v>
      </c>
      <c r="T1517" s="2684"/>
      <c r="U1517" s="2685"/>
      <c r="V1517" s="375" t="s">
        <v>30</v>
      </c>
      <c r="W1517" s="376" t="s">
        <v>31</v>
      </c>
      <c r="X1517" s="377" t="s">
        <v>30</v>
      </c>
      <c r="Y1517" s="377" t="s">
        <v>32</v>
      </c>
      <c r="Z1517" s="377" t="s">
        <v>7</v>
      </c>
      <c r="AA1517" s="377" t="s">
        <v>33</v>
      </c>
      <c r="AB1517" s="378" t="s">
        <v>34</v>
      </c>
    </row>
    <row r="1518" spans="1:28" s="352" customFormat="1" ht="18" customHeight="1" x14ac:dyDescent="0.2">
      <c r="A1518" s="2687"/>
      <c r="B1518" s="2158" t="s">
        <v>39</v>
      </c>
      <c r="C1518" s="2687"/>
      <c r="D1518" s="2158" t="s">
        <v>40</v>
      </c>
      <c r="E1518" s="368" t="s">
        <v>41</v>
      </c>
      <c r="F1518" s="2686" t="s">
        <v>42</v>
      </c>
      <c r="G1518" s="2686" t="s">
        <v>43</v>
      </c>
      <c r="H1518" s="2688" t="s">
        <v>44</v>
      </c>
      <c r="I1518" s="2158" t="s">
        <v>45</v>
      </c>
      <c r="J1518" s="379" t="s">
        <v>46</v>
      </c>
      <c r="K1518" s="2159" t="s">
        <v>47</v>
      </c>
      <c r="L1518" s="2680"/>
      <c r="M1518" s="2163" t="s">
        <v>30</v>
      </c>
      <c r="N1518" s="2163" t="s">
        <v>30</v>
      </c>
      <c r="O1518" s="382" t="s">
        <v>25</v>
      </c>
      <c r="P1518" s="383" t="s">
        <v>30</v>
      </c>
      <c r="Q1518" s="384" t="s">
        <v>48</v>
      </c>
      <c r="R1518" s="383" t="s">
        <v>49</v>
      </c>
      <c r="S1518" s="385" t="s">
        <v>30</v>
      </c>
      <c r="T1518" s="386" t="s">
        <v>50</v>
      </c>
      <c r="U1518" s="2161" t="s">
        <v>13</v>
      </c>
      <c r="V1518" s="375" t="s">
        <v>51</v>
      </c>
      <c r="W1518" s="376" t="s">
        <v>52</v>
      </c>
      <c r="X1518" s="377" t="s">
        <v>53</v>
      </c>
      <c r="Y1518" s="377" t="s">
        <v>54</v>
      </c>
      <c r="Z1518" s="377" t="s">
        <v>55</v>
      </c>
      <c r="AA1518" s="377" t="s">
        <v>56</v>
      </c>
      <c r="AB1518" s="378" t="s">
        <v>57</v>
      </c>
    </row>
    <row r="1519" spans="1:28" s="352" customFormat="1" ht="18" customHeight="1" x14ac:dyDescent="0.2">
      <c r="A1519" s="2687"/>
      <c r="B1519" s="2158" t="s">
        <v>61</v>
      </c>
      <c r="C1519" s="2687"/>
      <c r="D1519" s="2158" t="s">
        <v>62</v>
      </c>
      <c r="E1519" s="368" t="s">
        <v>63</v>
      </c>
      <c r="F1519" s="2687"/>
      <c r="G1519" s="2687"/>
      <c r="H1519" s="2689"/>
      <c r="I1519" s="2158" t="s">
        <v>64</v>
      </c>
      <c r="J1519" s="379" t="s">
        <v>59</v>
      </c>
      <c r="K1519" s="2159" t="s">
        <v>59</v>
      </c>
      <c r="L1519" s="2680"/>
      <c r="M1519" s="2163"/>
      <c r="N1519" s="2163"/>
      <c r="O1519" s="382" t="s">
        <v>41</v>
      </c>
      <c r="P1519" s="383" t="s">
        <v>65</v>
      </c>
      <c r="Q1519" s="384" t="s">
        <v>66</v>
      </c>
      <c r="R1519" s="383" t="s">
        <v>67</v>
      </c>
      <c r="S1519" s="385" t="s">
        <v>59</v>
      </c>
      <c r="T1519" s="387" t="s">
        <v>68</v>
      </c>
      <c r="U1519" s="375" t="s">
        <v>14</v>
      </c>
      <c r="V1519" s="375" t="s">
        <v>14</v>
      </c>
      <c r="W1519" s="376" t="s">
        <v>30</v>
      </c>
      <c r="X1519" s="388" t="s">
        <v>69</v>
      </c>
      <c r="Y1519" s="388" t="s">
        <v>70</v>
      </c>
      <c r="Z1519" s="377" t="s">
        <v>71</v>
      </c>
      <c r="AA1519" s="377" t="s">
        <v>72</v>
      </c>
      <c r="AB1519" s="378" t="s">
        <v>59</v>
      </c>
    </row>
    <row r="1520" spans="1:28" s="352" customFormat="1" ht="18" customHeight="1" x14ac:dyDescent="0.2">
      <c r="A1520" s="2692"/>
      <c r="B1520" s="390"/>
      <c r="C1520" s="2692"/>
      <c r="D1520" s="390"/>
      <c r="E1520" s="2160"/>
      <c r="F1520" s="390"/>
      <c r="G1520" s="390"/>
      <c r="H1520" s="391"/>
      <c r="I1520" s="2160"/>
      <c r="J1520" s="392"/>
      <c r="K1520" s="393"/>
      <c r="L1520" s="2681"/>
      <c r="M1520" s="2164"/>
      <c r="N1520" s="2164"/>
      <c r="O1520" s="2164" t="s">
        <v>63</v>
      </c>
      <c r="P1520" s="395"/>
      <c r="Q1520" s="396" t="s">
        <v>72</v>
      </c>
      <c r="R1520" s="397" t="s">
        <v>59</v>
      </c>
      <c r="S1520" s="398"/>
      <c r="T1520" s="397" t="s">
        <v>73</v>
      </c>
      <c r="U1520" s="398" t="s">
        <v>59</v>
      </c>
      <c r="V1520" s="399" t="s">
        <v>59</v>
      </c>
      <c r="W1520" s="400" t="s">
        <v>59</v>
      </c>
      <c r="X1520" s="401" t="s">
        <v>59</v>
      </c>
      <c r="Y1520" s="401" t="s">
        <v>59</v>
      </c>
      <c r="Z1520" s="401" t="s">
        <v>59</v>
      </c>
      <c r="AA1520" s="402"/>
      <c r="AB1520" s="403"/>
    </row>
    <row r="1521" spans="1:28" s="352" customFormat="1" ht="18" customHeight="1" x14ac:dyDescent="0.2">
      <c r="A1521" s="53">
        <v>1</v>
      </c>
      <c r="B1521" s="41">
        <v>30282</v>
      </c>
      <c r="C1521" s="41">
        <v>145</v>
      </c>
      <c r="D1521" s="41" t="s">
        <v>107</v>
      </c>
      <c r="E1521" s="41">
        <v>4</v>
      </c>
      <c r="F1521" s="41">
        <v>0</v>
      </c>
      <c r="G1521" s="41">
        <v>1</v>
      </c>
      <c r="H1521" s="267">
        <v>25</v>
      </c>
      <c r="I1521" s="302">
        <f>F1521*400+G1521*100+H1521</f>
        <v>125</v>
      </c>
      <c r="J1521" s="310">
        <v>3000</v>
      </c>
      <c r="K1521" s="303">
        <f>SUM(I1521*J1521)</f>
        <v>375000</v>
      </c>
      <c r="L1521" s="16"/>
      <c r="M1521" s="82"/>
      <c r="N1521" s="41"/>
      <c r="O1521" s="16">
        <v>4</v>
      </c>
      <c r="P1521" s="404"/>
      <c r="Q1521" s="14"/>
      <c r="R1521" s="302"/>
      <c r="S1521" s="302"/>
      <c r="T1521" s="41"/>
      <c r="U1521" s="302"/>
      <c r="V1521" s="302"/>
      <c r="W1521" s="302">
        <f>K1521+V1521</f>
        <v>375000</v>
      </c>
      <c r="X1521" s="302">
        <f>W1521</f>
        <v>375000</v>
      </c>
      <c r="Y1521" s="310"/>
      <c r="Z1521" s="302">
        <f>+X1521</f>
        <v>375000</v>
      </c>
      <c r="AA1521" s="405">
        <v>0.6</v>
      </c>
      <c r="AB1521" s="465">
        <f>+Z1521*AA1521/100</f>
        <v>2250</v>
      </c>
    </row>
    <row r="1522" spans="1:28" s="352" customFormat="1" ht="18" customHeight="1" x14ac:dyDescent="0.2">
      <c r="A1522" s="61"/>
      <c r="B1522" s="2166"/>
      <c r="C1522" s="2166"/>
      <c r="D1522" s="2166"/>
      <c r="E1522" s="2166"/>
      <c r="F1522" s="2166"/>
      <c r="G1522" s="2166"/>
      <c r="H1522" s="407"/>
      <c r="I1522" s="77"/>
      <c r="J1522" s="2168"/>
      <c r="K1522" s="78"/>
      <c r="L1522" s="61"/>
      <c r="M1522" s="2166"/>
      <c r="N1522" s="2166"/>
      <c r="O1522" s="61"/>
      <c r="P1522" s="177"/>
      <c r="Q1522" s="196"/>
      <c r="R1522" s="408"/>
      <c r="S1522" s="77"/>
      <c r="T1522" s="2166"/>
      <c r="U1522" s="77"/>
      <c r="V1522" s="77"/>
      <c r="W1522" s="77"/>
      <c r="X1522" s="77"/>
      <c r="Y1522" s="2168"/>
      <c r="Z1522" s="77"/>
      <c r="AA1522" s="2170"/>
      <c r="AB1522" s="466"/>
    </row>
    <row r="1523" spans="1:28" s="352" customFormat="1" ht="18" customHeight="1" x14ac:dyDescent="0.2">
      <c r="A1523" s="61"/>
      <c r="B1523" s="2166"/>
      <c r="C1523" s="2166"/>
      <c r="D1523" s="2166"/>
      <c r="E1523" s="2166"/>
      <c r="F1523" s="2166"/>
      <c r="G1523" s="2166"/>
      <c r="H1523" s="407"/>
      <c r="I1523" s="77"/>
      <c r="J1523" s="2168"/>
      <c r="K1523" s="78"/>
      <c r="L1523" s="61"/>
      <c r="M1523" s="2166"/>
      <c r="N1523" s="2166"/>
      <c r="O1523" s="61"/>
      <c r="P1523" s="177"/>
      <c r="Q1523" s="196"/>
      <c r="R1523" s="408"/>
      <c r="S1523" s="77"/>
      <c r="T1523" s="2166"/>
      <c r="U1523" s="77"/>
      <c r="V1523" s="77"/>
      <c r="W1523" s="77"/>
      <c r="X1523" s="77"/>
      <c r="Y1523" s="2168"/>
      <c r="Z1523" s="77"/>
      <c r="AA1523" s="2170"/>
      <c r="AB1523" s="410"/>
    </row>
    <row r="1524" spans="1:28" s="352" customFormat="1" ht="18" customHeight="1" x14ac:dyDescent="0.2">
      <c r="A1524" s="242"/>
      <c r="B1524" s="2166"/>
      <c r="C1524" s="2166"/>
      <c r="D1524" s="2166"/>
      <c r="E1524" s="2166"/>
      <c r="F1524" s="2166"/>
      <c r="G1524" s="2166"/>
      <c r="H1524" s="407"/>
      <c r="I1524" s="77"/>
      <c r="J1524" s="2168"/>
      <c r="K1524" s="78"/>
      <c r="L1524" s="61"/>
      <c r="M1524" s="2166"/>
      <c r="N1524" s="2166"/>
      <c r="O1524" s="61"/>
      <c r="P1524" s="177"/>
      <c r="Q1524" s="196"/>
      <c r="R1524" s="408"/>
      <c r="S1524" s="77"/>
      <c r="T1524" s="2166"/>
      <c r="U1524" s="77"/>
      <c r="V1524" s="77"/>
      <c r="W1524" s="77"/>
      <c r="X1524" s="77"/>
      <c r="Y1524" s="2168"/>
      <c r="Z1524" s="77"/>
      <c r="AA1524" s="2170"/>
      <c r="AB1524" s="410"/>
    </row>
    <row r="1525" spans="1:28" s="352" customFormat="1" ht="18" customHeight="1" x14ac:dyDescent="0.2">
      <c r="A1525" s="75"/>
      <c r="B1525" s="88"/>
      <c r="C1525" s="88"/>
      <c r="D1525" s="88"/>
      <c r="E1525" s="88"/>
      <c r="F1525" s="88"/>
      <c r="G1525" s="88"/>
      <c r="H1525" s="495"/>
      <c r="I1525" s="74"/>
      <c r="J1525" s="121"/>
      <c r="K1525" s="159"/>
      <c r="L1525" s="75"/>
      <c r="M1525" s="88"/>
      <c r="N1525" s="88"/>
      <c r="O1525" s="75"/>
      <c r="P1525" s="180"/>
      <c r="Q1525" s="174"/>
      <c r="R1525" s="413"/>
      <c r="S1525" s="74"/>
      <c r="T1525" s="88"/>
      <c r="U1525" s="74"/>
      <c r="V1525" s="74"/>
      <c r="W1525" s="74"/>
      <c r="X1525" s="74"/>
      <c r="Y1525" s="121"/>
      <c r="Z1525" s="74"/>
      <c r="AA1525" s="414"/>
      <c r="AB1525" s="416"/>
    </row>
    <row r="1526" spans="1:28" s="352" customFormat="1" ht="18" customHeight="1" x14ac:dyDescent="0.2">
      <c r="A1526" s="61"/>
      <c r="B1526" s="2166"/>
      <c r="C1526" s="2166"/>
      <c r="D1526" s="2166"/>
      <c r="E1526" s="2166"/>
      <c r="F1526" s="2166"/>
      <c r="G1526" s="2166"/>
      <c r="H1526" s="407"/>
      <c r="I1526" s="77"/>
      <c r="J1526" s="2168"/>
      <c r="K1526" s="78"/>
      <c r="L1526" s="61"/>
      <c r="M1526" s="2166"/>
      <c r="N1526" s="2166"/>
      <c r="O1526" s="61"/>
      <c r="P1526" s="177"/>
      <c r="Q1526" s="196"/>
      <c r="R1526" s="408"/>
      <c r="S1526" s="77"/>
      <c r="T1526" s="2166"/>
      <c r="U1526" s="77"/>
      <c r="V1526" s="77"/>
      <c r="W1526" s="77"/>
      <c r="X1526" s="77"/>
      <c r="Y1526" s="2168"/>
      <c r="Z1526" s="77"/>
      <c r="AA1526" s="2170"/>
      <c r="AB1526" s="410"/>
    </row>
    <row r="1527" spans="1:28" s="352" customFormat="1" ht="18" customHeight="1" x14ac:dyDescent="0.2">
      <c r="A1527" s="2166"/>
      <c r="B1527" s="177"/>
      <c r="C1527" s="177"/>
      <c r="D1527" s="2166"/>
      <c r="E1527" s="2166"/>
      <c r="F1527" s="2166"/>
      <c r="G1527" s="2166"/>
      <c r="H1527" s="2171"/>
      <c r="I1527" s="2168"/>
      <c r="J1527" s="178"/>
      <c r="K1527" s="2168"/>
      <c r="L1527" s="2166"/>
      <c r="M1527" s="2166"/>
      <c r="N1527" s="2166"/>
      <c r="O1527" s="2166"/>
      <c r="P1527" s="2171"/>
      <c r="Q1527" s="2167"/>
      <c r="R1527" s="437"/>
      <c r="S1527" s="2168"/>
      <c r="T1527" s="179"/>
      <c r="U1527" s="178"/>
      <c r="V1527" s="2168"/>
      <c r="W1527" s="2168"/>
      <c r="X1527" s="470"/>
      <c r="Y1527" s="470"/>
      <c r="Z1527" s="471"/>
      <c r="AA1527" s="471"/>
      <c r="AB1527" s="466"/>
    </row>
    <row r="1528" spans="1:28" s="352" customFormat="1" ht="18" customHeight="1" x14ac:dyDescent="0.2">
      <c r="A1528" s="2166"/>
      <c r="B1528" s="177"/>
      <c r="C1528" s="177"/>
      <c r="D1528" s="2166"/>
      <c r="E1528" s="2166"/>
      <c r="F1528" s="2166"/>
      <c r="G1528" s="2166"/>
      <c r="H1528" s="2171"/>
      <c r="I1528" s="2168"/>
      <c r="J1528" s="178"/>
      <c r="K1528" s="2168"/>
      <c r="L1528" s="2166"/>
      <c r="M1528" s="2166"/>
      <c r="N1528" s="2166"/>
      <c r="O1528" s="2166"/>
      <c r="P1528" s="2171"/>
      <c r="Q1528" s="2167"/>
      <c r="R1528" s="437"/>
      <c r="S1528" s="2168"/>
      <c r="T1528" s="179"/>
      <c r="U1528" s="178"/>
      <c r="V1528" s="2168"/>
      <c r="W1528" s="2168"/>
      <c r="X1528" s="470"/>
      <c r="Y1528" s="470"/>
      <c r="Z1528" s="471"/>
      <c r="AA1528" s="471"/>
      <c r="AB1528" s="466"/>
    </row>
    <row r="1529" spans="1:28" s="352" customFormat="1" ht="18" customHeight="1" x14ac:dyDescent="0.2">
      <c r="A1529" s="2166"/>
      <c r="B1529" s="177"/>
      <c r="C1529" s="177"/>
      <c r="D1529" s="2166"/>
      <c r="E1529" s="2166"/>
      <c r="F1529" s="2166"/>
      <c r="G1529" s="2166"/>
      <c r="H1529" s="2171"/>
      <c r="I1529" s="2168"/>
      <c r="J1529" s="178"/>
      <c r="K1529" s="2168"/>
      <c r="L1529" s="2166"/>
      <c r="M1529" s="2166"/>
      <c r="N1529" s="2166"/>
      <c r="O1529" s="2166"/>
      <c r="P1529" s="2171"/>
      <c r="Q1529" s="2167"/>
      <c r="R1529" s="437"/>
      <c r="S1529" s="2168"/>
      <c r="T1529" s="179"/>
      <c r="U1529" s="178"/>
      <c r="V1529" s="2168"/>
      <c r="W1529" s="2168"/>
      <c r="X1529" s="470"/>
      <c r="Y1529" s="470"/>
      <c r="Z1529" s="471"/>
      <c r="AA1529" s="471"/>
      <c r="AB1529" s="466"/>
    </row>
    <row r="1530" spans="1:28" s="352" customFormat="1" ht="18" customHeight="1" x14ac:dyDescent="0.2">
      <c r="A1530" s="2166"/>
      <c r="B1530" s="177"/>
      <c r="C1530" s="177"/>
      <c r="D1530" s="2166"/>
      <c r="E1530" s="2166"/>
      <c r="F1530" s="2166"/>
      <c r="G1530" s="2166"/>
      <c r="H1530" s="2171"/>
      <c r="I1530" s="2168"/>
      <c r="J1530" s="178"/>
      <c r="K1530" s="2168"/>
      <c r="L1530" s="2166"/>
      <c r="M1530" s="2166"/>
      <c r="N1530" s="2166"/>
      <c r="O1530" s="2166"/>
      <c r="P1530" s="2171"/>
      <c r="Q1530" s="2167"/>
      <c r="R1530" s="437"/>
      <c r="S1530" s="2168"/>
      <c r="T1530" s="179"/>
      <c r="U1530" s="178"/>
      <c r="V1530" s="2168"/>
      <c r="W1530" s="2168"/>
      <c r="X1530" s="470"/>
      <c r="Y1530" s="470"/>
      <c r="Z1530" s="471"/>
      <c r="AA1530" s="471"/>
      <c r="AB1530" s="466"/>
    </row>
    <row r="1531" spans="1:28" s="352" customFormat="1" ht="18" customHeight="1" x14ac:dyDescent="0.2">
      <c r="A1531" s="2166"/>
      <c r="B1531" s="177"/>
      <c r="C1531" s="177"/>
      <c r="D1531" s="2166"/>
      <c r="E1531" s="2166"/>
      <c r="F1531" s="2166"/>
      <c r="G1531" s="2166"/>
      <c r="H1531" s="2171"/>
      <c r="I1531" s="2168"/>
      <c r="J1531" s="178"/>
      <c r="K1531" s="2168"/>
      <c r="L1531" s="2166"/>
      <c r="M1531" s="2166"/>
      <c r="N1531" s="2166"/>
      <c r="O1531" s="2166"/>
      <c r="P1531" s="2171"/>
      <c r="Q1531" s="2167"/>
      <c r="R1531" s="437"/>
      <c r="S1531" s="2168"/>
      <c r="T1531" s="179"/>
      <c r="U1531" s="178"/>
      <c r="V1531" s="2168"/>
      <c r="W1531" s="2168"/>
      <c r="X1531" s="470"/>
      <c r="Y1531" s="470"/>
      <c r="Z1531" s="471"/>
      <c r="AA1531" s="471"/>
      <c r="AB1531" s="466"/>
    </row>
    <row r="1532" spans="1:28" s="352" customFormat="1" ht="18" customHeight="1" x14ac:dyDescent="0.2">
      <c r="A1532" s="2166"/>
      <c r="B1532" s="177"/>
      <c r="C1532" s="177"/>
      <c r="D1532" s="2166"/>
      <c r="E1532" s="2166"/>
      <c r="F1532" s="2166"/>
      <c r="G1532" s="2166"/>
      <c r="H1532" s="2171"/>
      <c r="I1532" s="2168"/>
      <c r="J1532" s="178"/>
      <c r="K1532" s="2168"/>
      <c r="L1532" s="2166"/>
      <c r="M1532" s="2166"/>
      <c r="N1532" s="2166"/>
      <c r="O1532" s="2166"/>
      <c r="P1532" s="2171"/>
      <c r="Q1532" s="2167"/>
      <c r="R1532" s="437"/>
      <c r="S1532" s="2168"/>
      <c r="T1532" s="179"/>
      <c r="U1532" s="178"/>
      <c r="V1532" s="2168"/>
      <c r="W1532" s="2168"/>
      <c r="X1532" s="470"/>
      <c r="Y1532" s="470"/>
      <c r="Z1532" s="471"/>
      <c r="AA1532" s="471"/>
      <c r="AB1532" s="466"/>
    </row>
    <row r="1533" spans="1:28" s="352" customFormat="1" ht="18" customHeight="1" x14ac:dyDescent="0.2">
      <c r="A1533" s="2166"/>
      <c r="B1533" s="177"/>
      <c r="C1533" s="177"/>
      <c r="D1533" s="2166"/>
      <c r="E1533" s="2166"/>
      <c r="F1533" s="2166"/>
      <c r="G1533" s="2166"/>
      <c r="H1533" s="2171"/>
      <c r="I1533" s="2168"/>
      <c r="J1533" s="178"/>
      <c r="K1533" s="2168"/>
      <c r="L1533" s="2166"/>
      <c r="M1533" s="2166"/>
      <c r="N1533" s="2166"/>
      <c r="O1533" s="2166"/>
      <c r="P1533" s="2171"/>
      <c r="Q1533" s="2167"/>
      <c r="R1533" s="437"/>
      <c r="S1533" s="2168"/>
      <c r="T1533" s="179"/>
      <c r="U1533" s="178"/>
      <c r="V1533" s="2168"/>
      <c r="W1533" s="2168"/>
      <c r="X1533" s="470"/>
      <c r="Y1533" s="470"/>
      <c r="Z1533" s="471"/>
      <c r="AA1533" s="471"/>
      <c r="AB1533" s="466"/>
    </row>
    <row r="1534" spans="1:28" s="352" customFormat="1" ht="18" customHeight="1" x14ac:dyDescent="0.2">
      <c r="A1534" s="88"/>
      <c r="B1534" s="180"/>
      <c r="C1534" s="180"/>
      <c r="D1534" s="88"/>
      <c r="E1534" s="88"/>
      <c r="F1534" s="88"/>
      <c r="G1534" s="88"/>
      <c r="H1534" s="120"/>
      <c r="I1534" s="121"/>
      <c r="J1534" s="181"/>
      <c r="K1534" s="121"/>
      <c r="L1534" s="88"/>
      <c r="M1534" s="88"/>
      <c r="N1534" s="88"/>
      <c r="O1534" s="88"/>
      <c r="P1534" s="88"/>
      <c r="Q1534" s="129"/>
      <c r="R1534" s="445"/>
      <c r="S1534" s="121"/>
      <c r="T1534" s="182"/>
      <c r="U1534" s="181"/>
      <c r="V1534" s="121"/>
      <c r="W1534" s="121"/>
      <c r="X1534" s="472"/>
      <c r="Y1534" s="472"/>
      <c r="Z1534" s="473"/>
      <c r="AA1534" s="473"/>
      <c r="AB1534" s="410"/>
    </row>
    <row r="1535" spans="1:28" s="352" customFormat="1" ht="18" customHeight="1" x14ac:dyDescent="0.2">
      <c r="A1535" s="1850"/>
      <c r="B1535" s="1850"/>
      <c r="C1535" s="1850"/>
      <c r="D1535" s="1850"/>
      <c r="E1535" s="1850"/>
      <c r="F1535" s="1850"/>
      <c r="G1535" s="1850"/>
      <c r="H1535" s="1851"/>
      <c r="I1535" s="1852"/>
      <c r="J1535" s="1853"/>
      <c r="K1535" s="1852"/>
      <c r="L1535" s="1852"/>
      <c r="M1535" s="1852"/>
      <c r="N1535" s="1852"/>
      <c r="O1535" s="1852"/>
      <c r="P1535" s="1852"/>
      <c r="Q1535" s="1852"/>
      <c r="R1535" s="1854"/>
      <c r="S1535" s="1852"/>
      <c r="T1535" s="1855"/>
      <c r="U1535" s="1853"/>
      <c r="V1535" s="1852"/>
      <c r="W1535" s="1852"/>
      <c r="X1535" s="1856"/>
      <c r="Y1535" s="1856"/>
      <c r="Z1535" s="1857"/>
      <c r="AA1535" s="1857"/>
      <c r="AB1535" s="1847">
        <f>SUM(AB1521:AB1534)</f>
        <v>2250</v>
      </c>
    </row>
    <row r="1536" spans="1:28" s="352" customFormat="1" ht="18" customHeight="1" x14ac:dyDescent="0.2">
      <c r="A1536" s="2778" t="s">
        <v>76</v>
      </c>
      <c r="B1536" s="2778"/>
      <c r="C1536" s="2779" t="s">
        <v>77</v>
      </c>
      <c r="D1536" s="2779"/>
      <c r="E1536" s="2779"/>
      <c r="F1536" s="2779"/>
      <c r="G1536" s="2779"/>
      <c r="H1536" s="2779"/>
      <c r="I1536" s="424" t="s">
        <v>78</v>
      </c>
      <c r="J1536" s="424"/>
      <c r="K1536" s="424"/>
      <c r="L1536" s="424"/>
      <c r="M1536" s="424"/>
      <c r="N1536" s="424"/>
      <c r="AB1536" s="425"/>
    </row>
    <row r="1537" spans="1:28" s="352" customFormat="1" ht="18" customHeight="1" x14ac:dyDescent="0.2">
      <c r="A1537" s="424"/>
      <c r="B1537" s="426"/>
      <c r="C1537" s="424"/>
      <c r="D1537" s="424"/>
      <c r="E1537" s="424"/>
      <c r="F1537" s="424"/>
      <c r="G1537" s="424"/>
      <c r="H1537" s="424"/>
      <c r="I1537" s="424" t="s">
        <v>79</v>
      </c>
      <c r="J1537" s="424"/>
      <c r="K1537" s="424"/>
      <c r="L1537" s="424"/>
      <c r="M1537" s="424"/>
      <c r="N1537" s="424"/>
      <c r="AB1537" s="425"/>
    </row>
    <row r="1538" spans="1:28" s="352" customFormat="1" ht="18" customHeight="1" x14ac:dyDescent="0.2">
      <c r="A1538" s="424"/>
      <c r="B1538" s="426"/>
      <c r="C1538" s="424"/>
      <c r="D1538" s="424"/>
      <c r="E1538" s="424"/>
      <c r="F1538" s="424"/>
      <c r="G1538" s="424"/>
      <c r="H1538" s="424"/>
      <c r="I1538" s="424" t="s">
        <v>80</v>
      </c>
      <c r="J1538" s="424"/>
      <c r="K1538" s="424"/>
      <c r="L1538" s="424"/>
      <c r="M1538" s="424"/>
      <c r="N1538" s="424"/>
      <c r="AB1538" s="425"/>
    </row>
    <row r="1539" spans="1:28" s="352" customFormat="1" ht="18" customHeight="1" x14ac:dyDescent="0.2">
      <c r="A1539" s="424"/>
      <c r="B1539" s="426"/>
      <c r="C1539" s="424"/>
      <c r="D1539" s="424"/>
      <c r="E1539" s="424"/>
      <c r="F1539" s="424"/>
      <c r="G1539" s="424"/>
      <c r="H1539" s="424"/>
      <c r="I1539" s="424" t="s">
        <v>81</v>
      </c>
      <c r="J1539" s="424"/>
      <c r="K1539" s="424"/>
      <c r="L1539" s="424"/>
      <c r="M1539" s="424"/>
      <c r="N1539" s="424"/>
      <c r="AB1539" s="425"/>
    </row>
    <row r="1540" spans="1:28" s="352" customFormat="1" ht="18" customHeight="1" x14ac:dyDescent="0.2">
      <c r="A1540" s="424"/>
      <c r="B1540" s="426"/>
      <c r="C1540" s="424"/>
      <c r="D1540" s="424"/>
      <c r="E1540" s="424"/>
      <c r="F1540" s="424"/>
      <c r="G1540" s="424"/>
      <c r="H1540" s="424"/>
      <c r="I1540" s="424" t="s">
        <v>88</v>
      </c>
      <c r="J1540" s="424"/>
      <c r="K1540" s="424"/>
      <c r="L1540" s="424"/>
      <c r="M1540" s="424"/>
      <c r="N1540" s="424"/>
      <c r="AB1540" s="425"/>
    </row>
    <row r="1541" spans="1:28" s="352" customFormat="1" ht="18" customHeight="1" x14ac:dyDescent="0.2">
      <c r="A1541" s="338"/>
      <c r="B1541" s="338"/>
      <c r="C1541" s="338"/>
      <c r="D1541" s="338"/>
      <c r="E1541" s="338"/>
      <c r="F1541" s="338"/>
      <c r="G1541" s="338"/>
      <c r="H1541" s="338"/>
      <c r="I1541" s="338"/>
      <c r="J1541" s="338"/>
      <c r="K1541" s="338"/>
      <c r="L1541" s="338"/>
      <c r="M1541" s="338"/>
      <c r="N1541" s="338"/>
      <c r="O1541" s="338"/>
      <c r="P1541" s="338"/>
      <c r="Q1541" s="338"/>
      <c r="R1541" s="338"/>
      <c r="S1541" s="338"/>
      <c r="T1541" s="338"/>
      <c r="U1541" s="338"/>
      <c r="V1541" s="338"/>
      <c r="W1541" s="338"/>
      <c r="X1541" s="338"/>
      <c r="Y1541" s="338"/>
      <c r="Z1541" s="338"/>
      <c r="AA1541" s="2774" t="s">
        <v>0</v>
      </c>
      <c r="AB1541" s="2774"/>
    </row>
    <row r="1542" spans="1:28" s="352" customFormat="1" ht="18" customHeight="1" x14ac:dyDescent="0.2">
      <c r="A1542" s="2703" t="s">
        <v>1</v>
      </c>
      <c r="B1542" s="2703"/>
      <c r="C1542" s="2703"/>
      <c r="D1542" s="2703"/>
      <c r="E1542" s="2703"/>
      <c r="F1542" s="2703"/>
      <c r="G1542" s="2703"/>
      <c r="H1542" s="2703"/>
      <c r="I1542" s="2703"/>
      <c r="J1542" s="2703"/>
      <c r="K1542" s="2703"/>
      <c r="L1542" s="2703"/>
      <c r="M1542" s="2703"/>
      <c r="N1542" s="2703"/>
      <c r="O1542" s="2703"/>
      <c r="P1542" s="2703"/>
      <c r="Q1542" s="2703"/>
      <c r="R1542" s="2703"/>
      <c r="S1542" s="2703"/>
      <c r="T1542" s="2703"/>
      <c r="U1542" s="2703"/>
      <c r="V1542" s="2703"/>
      <c r="W1542" s="2703"/>
      <c r="X1542" s="2703"/>
      <c r="Y1542" s="2703"/>
      <c r="Z1542" s="2703"/>
      <c r="AA1542" s="2703"/>
      <c r="AB1542" s="2703"/>
    </row>
    <row r="1543" spans="1:28" s="352" customFormat="1" ht="18" customHeight="1" x14ac:dyDescent="0.2">
      <c r="A1543" s="2780" t="s">
        <v>648</v>
      </c>
      <c r="B1543" s="2780"/>
      <c r="C1543" s="2780"/>
      <c r="D1543" s="2780"/>
      <c r="E1543" s="2780"/>
      <c r="F1543" s="2780"/>
      <c r="G1543" s="2780"/>
      <c r="H1543" s="2780"/>
      <c r="I1543" s="2780"/>
      <c r="J1543" s="2780"/>
      <c r="K1543" s="2780"/>
      <c r="L1543" s="2780"/>
      <c r="M1543" s="2780"/>
      <c r="N1543" s="2780"/>
      <c r="O1543" s="2780"/>
      <c r="P1543" s="2780"/>
      <c r="Q1543" s="2780"/>
      <c r="R1543" s="2780"/>
      <c r="S1543" s="2780"/>
      <c r="T1543" s="2780"/>
      <c r="U1543" s="2780"/>
      <c r="V1543" s="2780"/>
      <c r="W1543" s="2780"/>
      <c r="X1543" s="2780"/>
      <c r="Y1543" s="2780"/>
      <c r="Z1543" s="2780"/>
      <c r="AA1543" s="2780"/>
      <c r="AB1543" s="2780"/>
    </row>
    <row r="1544" spans="1:28" s="352" customFormat="1" ht="18" customHeight="1" x14ac:dyDescent="0.2">
      <c r="A1544" s="2686" t="s">
        <v>2</v>
      </c>
      <c r="B1544" s="360"/>
      <c r="C1544" s="2686" t="s">
        <v>3</v>
      </c>
      <c r="D1544" s="360"/>
      <c r="E1544" s="360"/>
      <c r="F1544" s="2693" t="s">
        <v>4</v>
      </c>
      <c r="G1544" s="2693"/>
      <c r="H1544" s="2693"/>
      <c r="I1544" s="2694"/>
      <c r="J1544" s="2694"/>
      <c r="K1544" s="2695"/>
      <c r="L1544" s="361"/>
      <c r="M1544" s="2679" t="s">
        <v>5</v>
      </c>
      <c r="N1544" s="2679"/>
      <c r="O1544" s="2679"/>
      <c r="P1544" s="2679"/>
      <c r="Q1544" s="2696"/>
      <c r="R1544" s="2696"/>
      <c r="S1544" s="2696"/>
      <c r="T1544" s="2696"/>
      <c r="U1544" s="2696"/>
      <c r="V1544" s="2697"/>
      <c r="W1544" s="362" t="s">
        <v>6</v>
      </c>
      <c r="X1544" s="363" t="s">
        <v>7</v>
      </c>
      <c r="Y1544" s="364"/>
      <c r="Z1544" s="364"/>
      <c r="AA1544" s="363"/>
      <c r="AB1544" s="365"/>
    </row>
    <row r="1545" spans="1:28" s="352" customFormat="1" ht="18" customHeight="1" x14ac:dyDescent="0.2">
      <c r="A1545" s="2687"/>
      <c r="B1545" s="367"/>
      <c r="C1545" s="2687"/>
      <c r="D1545" s="2158" t="s">
        <v>9</v>
      </c>
      <c r="E1545" s="368" t="s">
        <v>10</v>
      </c>
      <c r="F1545" s="2698" t="s">
        <v>11</v>
      </c>
      <c r="G1545" s="2694"/>
      <c r="H1545" s="2695"/>
      <c r="I1545" s="360"/>
      <c r="J1545" s="369" t="s">
        <v>12</v>
      </c>
      <c r="K1545" s="360"/>
      <c r="L1545" s="2679" t="s">
        <v>2</v>
      </c>
      <c r="M1545" s="2162"/>
      <c r="N1545" s="2162"/>
      <c r="O1545" s="2162"/>
      <c r="P1545" s="371"/>
      <c r="Q1545" s="372" t="s">
        <v>13</v>
      </c>
      <c r="R1545" s="373" t="s">
        <v>12</v>
      </c>
      <c r="S1545" s="2162" t="s">
        <v>6</v>
      </c>
      <c r="T1545" s="2682" t="s">
        <v>14</v>
      </c>
      <c r="U1545" s="2683"/>
      <c r="V1545" s="375" t="s">
        <v>7</v>
      </c>
      <c r="W1545" s="376" t="s">
        <v>15</v>
      </c>
      <c r="X1545" s="377" t="s">
        <v>16</v>
      </c>
      <c r="Y1545" s="377" t="s">
        <v>17</v>
      </c>
      <c r="Z1545" s="377" t="s">
        <v>18</v>
      </c>
      <c r="AA1545" s="377"/>
      <c r="AB1545" s="378" t="s">
        <v>19</v>
      </c>
    </row>
    <row r="1546" spans="1:28" s="352" customFormat="1" ht="18" customHeight="1" x14ac:dyDescent="0.2">
      <c r="A1546" s="2687"/>
      <c r="B1546" s="2158" t="s">
        <v>23</v>
      </c>
      <c r="C1546" s="2687"/>
      <c r="D1546" s="2158" t="s">
        <v>24</v>
      </c>
      <c r="E1546" s="368" t="s">
        <v>25</v>
      </c>
      <c r="F1546" s="2699"/>
      <c r="G1546" s="2700"/>
      <c r="H1546" s="2701"/>
      <c r="I1546" s="2158" t="s">
        <v>26</v>
      </c>
      <c r="J1546" s="379" t="s">
        <v>15</v>
      </c>
      <c r="K1546" s="2159" t="s">
        <v>6</v>
      </c>
      <c r="L1546" s="2680"/>
      <c r="M1546" s="2163" t="s">
        <v>27</v>
      </c>
      <c r="N1546" s="2163" t="s">
        <v>10</v>
      </c>
      <c r="O1546" s="382" t="s">
        <v>10</v>
      </c>
      <c r="P1546" s="383" t="s">
        <v>28</v>
      </c>
      <c r="Q1546" s="384" t="s">
        <v>29</v>
      </c>
      <c r="R1546" s="383" t="s">
        <v>15</v>
      </c>
      <c r="S1546" s="385" t="s">
        <v>15</v>
      </c>
      <c r="T1546" s="2684"/>
      <c r="U1546" s="2685"/>
      <c r="V1546" s="375" t="s">
        <v>30</v>
      </c>
      <c r="W1546" s="376" t="s">
        <v>31</v>
      </c>
      <c r="X1546" s="377" t="s">
        <v>30</v>
      </c>
      <c r="Y1546" s="377" t="s">
        <v>32</v>
      </c>
      <c r="Z1546" s="377" t="s">
        <v>7</v>
      </c>
      <c r="AA1546" s="377" t="s">
        <v>33</v>
      </c>
      <c r="AB1546" s="378" t="s">
        <v>34</v>
      </c>
    </row>
    <row r="1547" spans="1:28" s="352" customFormat="1" ht="18" customHeight="1" x14ac:dyDescent="0.2">
      <c r="A1547" s="2687"/>
      <c r="B1547" s="2158" t="s">
        <v>39</v>
      </c>
      <c r="C1547" s="2687"/>
      <c r="D1547" s="2158" t="s">
        <v>40</v>
      </c>
      <c r="E1547" s="368" t="s">
        <v>41</v>
      </c>
      <c r="F1547" s="2686" t="s">
        <v>42</v>
      </c>
      <c r="G1547" s="2686" t="s">
        <v>43</v>
      </c>
      <c r="H1547" s="2688" t="s">
        <v>44</v>
      </c>
      <c r="I1547" s="2158" t="s">
        <v>45</v>
      </c>
      <c r="J1547" s="379" t="s">
        <v>46</v>
      </c>
      <c r="K1547" s="2159" t="s">
        <v>47</v>
      </c>
      <c r="L1547" s="2680"/>
      <c r="M1547" s="2163" t="s">
        <v>30</v>
      </c>
      <c r="N1547" s="2163" t="s">
        <v>30</v>
      </c>
      <c r="O1547" s="382" t="s">
        <v>25</v>
      </c>
      <c r="P1547" s="383" t="s">
        <v>30</v>
      </c>
      <c r="Q1547" s="384" t="s">
        <v>48</v>
      </c>
      <c r="R1547" s="383" t="s">
        <v>49</v>
      </c>
      <c r="S1547" s="385" t="s">
        <v>30</v>
      </c>
      <c r="T1547" s="386" t="s">
        <v>50</v>
      </c>
      <c r="U1547" s="2161" t="s">
        <v>13</v>
      </c>
      <c r="V1547" s="375" t="s">
        <v>51</v>
      </c>
      <c r="W1547" s="376" t="s">
        <v>52</v>
      </c>
      <c r="X1547" s="377" t="s">
        <v>53</v>
      </c>
      <c r="Y1547" s="377" t="s">
        <v>54</v>
      </c>
      <c r="Z1547" s="377" t="s">
        <v>55</v>
      </c>
      <c r="AA1547" s="377" t="s">
        <v>56</v>
      </c>
      <c r="AB1547" s="378" t="s">
        <v>57</v>
      </c>
    </row>
    <row r="1548" spans="1:28" s="352" customFormat="1" ht="18" customHeight="1" x14ac:dyDescent="0.2">
      <c r="A1548" s="2687"/>
      <c r="B1548" s="2158" t="s">
        <v>61</v>
      </c>
      <c r="C1548" s="2687"/>
      <c r="D1548" s="2158" t="s">
        <v>62</v>
      </c>
      <c r="E1548" s="368" t="s">
        <v>63</v>
      </c>
      <c r="F1548" s="2687"/>
      <c r="G1548" s="2687"/>
      <c r="H1548" s="2689"/>
      <c r="I1548" s="2158" t="s">
        <v>64</v>
      </c>
      <c r="J1548" s="379" t="s">
        <v>59</v>
      </c>
      <c r="K1548" s="2159" t="s">
        <v>59</v>
      </c>
      <c r="L1548" s="2680"/>
      <c r="M1548" s="2163"/>
      <c r="N1548" s="2163"/>
      <c r="O1548" s="382" t="s">
        <v>41</v>
      </c>
      <c r="P1548" s="383" t="s">
        <v>65</v>
      </c>
      <c r="Q1548" s="384" t="s">
        <v>66</v>
      </c>
      <c r="R1548" s="383" t="s">
        <v>67</v>
      </c>
      <c r="S1548" s="385" t="s">
        <v>59</v>
      </c>
      <c r="T1548" s="387" t="s">
        <v>68</v>
      </c>
      <c r="U1548" s="375" t="s">
        <v>14</v>
      </c>
      <c r="V1548" s="375" t="s">
        <v>14</v>
      </c>
      <c r="W1548" s="376" t="s">
        <v>30</v>
      </c>
      <c r="X1548" s="388" t="s">
        <v>69</v>
      </c>
      <c r="Y1548" s="388" t="s">
        <v>70</v>
      </c>
      <c r="Z1548" s="377" t="s">
        <v>71</v>
      </c>
      <c r="AA1548" s="377" t="s">
        <v>72</v>
      </c>
      <c r="AB1548" s="378" t="s">
        <v>59</v>
      </c>
    </row>
    <row r="1549" spans="1:28" s="352" customFormat="1" ht="18" customHeight="1" x14ac:dyDescent="0.2">
      <c r="A1549" s="2692"/>
      <c r="B1549" s="390"/>
      <c r="C1549" s="2692"/>
      <c r="D1549" s="390"/>
      <c r="E1549" s="2160"/>
      <c r="F1549" s="390"/>
      <c r="G1549" s="390"/>
      <c r="H1549" s="391"/>
      <c r="I1549" s="2160"/>
      <c r="J1549" s="392"/>
      <c r="K1549" s="393"/>
      <c r="L1549" s="2681"/>
      <c r="M1549" s="2164"/>
      <c r="N1549" s="2164"/>
      <c r="O1549" s="2164" t="s">
        <v>63</v>
      </c>
      <c r="P1549" s="395"/>
      <c r="Q1549" s="396" t="s">
        <v>72</v>
      </c>
      <c r="R1549" s="397" t="s">
        <v>59</v>
      </c>
      <c r="S1549" s="398"/>
      <c r="T1549" s="397" t="s">
        <v>73</v>
      </c>
      <c r="U1549" s="398" t="s">
        <v>59</v>
      </c>
      <c r="V1549" s="399" t="s">
        <v>59</v>
      </c>
      <c r="W1549" s="400" t="s">
        <v>59</v>
      </c>
      <c r="X1549" s="401" t="s">
        <v>59</v>
      </c>
      <c r="Y1549" s="401" t="s">
        <v>59</v>
      </c>
      <c r="Z1549" s="401" t="s">
        <v>59</v>
      </c>
      <c r="AA1549" s="402"/>
      <c r="AB1549" s="403"/>
    </row>
    <row r="1550" spans="1:28" s="352" customFormat="1" ht="18" customHeight="1" x14ac:dyDescent="0.2">
      <c r="A1550" s="53">
        <v>1</v>
      </c>
      <c r="B1550" s="41">
        <v>30283</v>
      </c>
      <c r="C1550" s="41">
        <v>146</v>
      </c>
      <c r="D1550" s="41" t="s">
        <v>107</v>
      </c>
      <c r="E1550" s="41">
        <v>4</v>
      </c>
      <c r="F1550" s="41">
        <v>0</v>
      </c>
      <c r="G1550" s="41">
        <v>1</v>
      </c>
      <c r="H1550" s="267">
        <v>25</v>
      </c>
      <c r="I1550" s="302">
        <f>F1550*400+G1550*100+H1550</f>
        <v>125</v>
      </c>
      <c r="J1550" s="310">
        <v>3000</v>
      </c>
      <c r="K1550" s="303">
        <f>SUM(I1550*J1550)</f>
        <v>375000</v>
      </c>
      <c r="L1550" s="16"/>
      <c r="M1550" s="82"/>
      <c r="N1550" s="41"/>
      <c r="O1550" s="16">
        <v>4</v>
      </c>
      <c r="P1550" s="404"/>
      <c r="Q1550" s="14"/>
      <c r="R1550" s="302"/>
      <c r="S1550" s="302"/>
      <c r="T1550" s="41"/>
      <c r="U1550" s="302"/>
      <c r="V1550" s="302"/>
      <c r="W1550" s="302">
        <f>K1550+V1550</f>
        <v>375000</v>
      </c>
      <c r="X1550" s="302">
        <f>W1550</f>
        <v>375000</v>
      </c>
      <c r="Y1550" s="310"/>
      <c r="Z1550" s="302">
        <f>+X1550</f>
        <v>375000</v>
      </c>
      <c r="AA1550" s="405">
        <v>0.6</v>
      </c>
      <c r="AB1550" s="465">
        <f>+Z1550*AA1550/100</f>
        <v>2250</v>
      </c>
    </row>
    <row r="1551" spans="1:28" s="352" customFormat="1" ht="18" customHeight="1" x14ac:dyDescent="0.2">
      <c r="A1551" s="61"/>
      <c r="B1551" s="2166"/>
      <c r="C1551" s="2166"/>
      <c r="D1551" s="2166"/>
      <c r="E1551" s="2166"/>
      <c r="F1551" s="2166"/>
      <c r="G1551" s="2166"/>
      <c r="H1551" s="407"/>
      <c r="I1551" s="77"/>
      <c r="J1551" s="2168"/>
      <c r="K1551" s="78"/>
      <c r="L1551" s="61"/>
      <c r="M1551" s="2166"/>
      <c r="N1551" s="2166"/>
      <c r="O1551" s="61"/>
      <c r="P1551" s="177"/>
      <c r="Q1551" s="196"/>
      <c r="R1551" s="408"/>
      <c r="S1551" s="77"/>
      <c r="T1551" s="2166"/>
      <c r="U1551" s="77"/>
      <c r="V1551" s="77"/>
      <c r="W1551" s="77"/>
      <c r="X1551" s="77"/>
      <c r="Y1551" s="2168"/>
      <c r="Z1551" s="77"/>
      <c r="AA1551" s="2170"/>
      <c r="AB1551" s="466"/>
    </row>
    <row r="1552" spans="1:28" s="352" customFormat="1" ht="18" customHeight="1" x14ac:dyDescent="0.2">
      <c r="A1552" s="61"/>
      <c r="B1552" s="2166"/>
      <c r="C1552" s="2166"/>
      <c r="D1552" s="2166"/>
      <c r="E1552" s="2166"/>
      <c r="F1552" s="2166"/>
      <c r="G1552" s="2166"/>
      <c r="H1552" s="407"/>
      <c r="I1552" s="77"/>
      <c r="J1552" s="2168"/>
      <c r="K1552" s="78"/>
      <c r="L1552" s="61"/>
      <c r="M1552" s="2166"/>
      <c r="N1552" s="2166"/>
      <c r="O1552" s="61"/>
      <c r="P1552" s="177"/>
      <c r="Q1552" s="196"/>
      <c r="R1552" s="408"/>
      <c r="S1552" s="77"/>
      <c r="T1552" s="2166"/>
      <c r="U1552" s="77"/>
      <c r="V1552" s="77"/>
      <c r="W1552" s="77"/>
      <c r="X1552" s="77"/>
      <c r="Y1552" s="2168"/>
      <c r="Z1552" s="77"/>
      <c r="AA1552" s="2170"/>
      <c r="AB1552" s="410"/>
    </row>
    <row r="1553" spans="1:28" s="352" customFormat="1" ht="18" customHeight="1" x14ac:dyDescent="0.2">
      <c r="A1553" s="242"/>
      <c r="B1553" s="2166"/>
      <c r="C1553" s="2166"/>
      <c r="D1553" s="2166"/>
      <c r="E1553" s="2166"/>
      <c r="F1553" s="2166"/>
      <c r="G1553" s="2166"/>
      <c r="H1553" s="407"/>
      <c r="I1553" s="77"/>
      <c r="J1553" s="2168"/>
      <c r="K1553" s="78"/>
      <c r="L1553" s="61"/>
      <c r="M1553" s="2166"/>
      <c r="N1553" s="2166"/>
      <c r="O1553" s="61"/>
      <c r="P1553" s="177"/>
      <c r="Q1553" s="196"/>
      <c r="R1553" s="408"/>
      <c r="S1553" s="77"/>
      <c r="T1553" s="2166"/>
      <c r="U1553" s="77"/>
      <c r="V1553" s="77"/>
      <c r="W1553" s="77"/>
      <c r="X1553" s="77"/>
      <c r="Y1553" s="2168"/>
      <c r="Z1553" s="77"/>
      <c r="AA1553" s="2170"/>
      <c r="AB1553" s="410"/>
    </row>
    <row r="1554" spans="1:28" s="352" customFormat="1" ht="18" customHeight="1" x14ac:dyDescent="0.2">
      <c r="A1554" s="75"/>
      <c r="B1554" s="88"/>
      <c r="C1554" s="88"/>
      <c r="D1554" s="88"/>
      <c r="E1554" s="88"/>
      <c r="F1554" s="88"/>
      <c r="G1554" s="88"/>
      <c r="H1554" s="495"/>
      <c r="I1554" s="74"/>
      <c r="J1554" s="121"/>
      <c r="K1554" s="159"/>
      <c r="L1554" s="75"/>
      <c r="M1554" s="88"/>
      <c r="N1554" s="88"/>
      <c r="O1554" s="75"/>
      <c r="P1554" s="180"/>
      <c r="Q1554" s="174"/>
      <c r="R1554" s="413"/>
      <c r="S1554" s="74"/>
      <c r="T1554" s="88"/>
      <c r="U1554" s="74"/>
      <c r="V1554" s="74"/>
      <c r="W1554" s="74"/>
      <c r="X1554" s="74"/>
      <c r="Y1554" s="121"/>
      <c r="Z1554" s="74"/>
      <c r="AA1554" s="414"/>
      <c r="AB1554" s="416"/>
    </row>
    <row r="1555" spans="1:28" s="352" customFormat="1" ht="18" customHeight="1" x14ac:dyDescent="0.2">
      <c r="A1555" s="61"/>
      <c r="B1555" s="2166"/>
      <c r="C1555" s="2166"/>
      <c r="D1555" s="2166"/>
      <c r="E1555" s="2166"/>
      <c r="F1555" s="2166"/>
      <c r="G1555" s="2166"/>
      <c r="H1555" s="407"/>
      <c r="I1555" s="77"/>
      <c r="J1555" s="2168"/>
      <c r="K1555" s="78"/>
      <c r="L1555" s="61"/>
      <c r="M1555" s="2166"/>
      <c r="N1555" s="2166"/>
      <c r="O1555" s="61"/>
      <c r="P1555" s="177"/>
      <c r="Q1555" s="196"/>
      <c r="R1555" s="408"/>
      <c r="S1555" s="77"/>
      <c r="T1555" s="2166"/>
      <c r="U1555" s="77"/>
      <c r="V1555" s="77"/>
      <c r="W1555" s="77"/>
      <c r="X1555" s="77"/>
      <c r="Y1555" s="2168"/>
      <c r="Z1555" s="77"/>
      <c r="AA1555" s="2170"/>
      <c r="AB1555" s="410"/>
    </row>
    <row r="1556" spans="1:28" s="352" customFormat="1" ht="18" customHeight="1" x14ac:dyDescent="0.2">
      <c r="A1556" s="2166"/>
      <c r="B1556" s="177"/>
      <c r="C1556" s="177"/>
      <c r="D1556" s="2166"/>
      <c r="E1556" s="2166"/>
      <c r="F1556" s="2166"/>
      <c r="G1556" s="2166"/>
      <c r="H1556" s="2171"/>
      <c r="I1556" s="2168"/>
      <c r="J1556" s="178"/>
      <c r="K1556" s="2168"/>
      <c r="L1556" s="2166"/>
      <c r="M1556" s="2166"/>
      <c r="N1556" s="2166"/>
      <c r="O1556" s="2166"/>
      <c r="P1556" s="2171"/>
      <c r="Q1556" s="2167"/>
      <c r="R1556" s="437"/>
      <c r="S1556" s="2168"/>
      <c r="T1556" s="179"/>
      <c r="U1556" s="178"/>
      <c r="V1556" s="2168"/>
      <c r="W1556" s="2168"/>
      <c r="X1556" s="470"/>
      <c r="Y1556" s="470"/>
      <c r="Z1556" s="471"/>
      <c r="AA1556" s="471"/>
      <c r="AB1556" s="466"/>
    </row>
    <row r="1557" spans="1:28" s="352" customFormat="1" ht="18" customHeight="1" x14ac:dyDescent="0.2">
      <c r="A1557" s="2166"/>
      <c r="B1557" s="177"/>
      <c r="C1557" s="177"/>
      <c r="D1557" s="2166"/>
      <c r="E1557" s="2166"/>
      <c r="F1557" s="2166"/>
      <c r="G1557" s="2166"/>
      <c r="H1557" s="2171"/>
      <c r="I1557" s="2168"/>
      <c r="J1557" s="178"/>
      <c r="K1557" s="2168"/>
      <c r="L1557" s="2166"/>
      <c r="M1557" s="2166"/>
      <c r="N1557" s="2166"/>
      <c r="O1557" s="2166"/>
      <c r="P1557" s="2171"/>
      <c r="Q1557" s="2167"/>
      <c r="R1557" s="437"/>
      <c r="S1557" s="2168"/>
      <c r="T1557" s="179"/>
      <c r="U1557" s="178"/>
      <c r="V1557" s="2168"/>
      <c r="W1557" s="2168"/>
      <c r="X1557" s="470"/>
      <c r="Y1557" s="470"/>
      <c r="Z1557" s="471"/>
      <c r="AA1557" s="471"/>
      <c r="AB1557" s="466"/>
    </row>
    <row r="1558" spans="1:28" s="352" customFormat="1" ht="18" customHeight="1" x14ac:dyDescent="0.2">
      <c r="A1558" s="2166"/>
      <c r="B1558" s="177"/>
      <c r="C1558" s="177"/>
      <c r="D1558" s="2166"/>
      <c r="E1558" s="2166"/>
      <c r="F1558" s="2166"/>
      <c r="G1558" s="2166"/>
      <c r="H1558" s="2171"/>
      <c r="I1558" s="2168"/>
      <c r="J1558" s="178"/>
      <c r="K1558" s="2168"/>
      <c r="L1558" s="2166"/>
      <c r="M1558" s="2166"/>
      <c r="N1558" s="2166"/>
      <c r="O1558" s="2166"/>
      <c r="P1558" s="2171"/>
      <c r="Q1558" s="2167"/>
      <c r="R1558" s="437"/>
      <c r="S1558" s="2168"/>
      <c r="T1558" s="179"/>
      <c r="U1558" s="178"/>
      <c r="V1558" s="2168"/>
      <c r="W1558" s="2168"/>
      <c r="X1558" s="470"/>
      <c r="Y1558" s="470"/>
      <c r="Z1558" s="471"/>
      <c r="AA1558" s="471"/>
      <c r="AB1558" s="466"/>
    </row>
    <row r="1559" spans="1:28" s="352" customFormat="1" ht="18" customHeight="1" x14ac:dyDescent="0.2">
      <c r="A1559" s="2166"/>
      <c r="B1559" s="177"/>
      <c r="C1559" s="177"/>
      <c r="D1559" s="2166"/>
      <c r="E1559" s="2166"/>
      <c r="F1559" s="2166"/>
      <c r="G1559" s="2166"/>
      <c r="H1559" s="2171"/>
      <c r="I1559" s="2168"/>
      <c r="J1559" s="178"/>
      <c r="K1559" s="2168"/>
      <c r="L1559" s="2166"/>
      <c r="M1559" s="2166"/>
      <c r="N1559" s="2166"/>
      <c r="O1559" s="2166"/>
      <c r="P1559" s="2171"/>
      <c r="Q1559" s="2167"/>
      <c r="R1559" s="437"/>
      <c r="S1559" s="2168"/>
      <c r="T1559" s="179"/>
      <c r="U1559" s="178"/>
      <c r="V1559" s="2168"/>
      <c r="W1559" s="2168"/>
      <c r="X1559" s="470"/>
      <c r="Y1559" s="470"/>
      <c r="Z1559" s="471"/>
      <c r="AA1559" s="471"/>
      <c r="AB1559" s="466"/>
    </row>
    <row r="1560" spans="1:28" s="352" customFormat="1" ht="18" customHeight="1" x14ac:dyDescent="0.2">
      <c r="A1560" s="2166"/>
      <c r="B1560" s="177"/>
      <c r="C1560" s="177"/>
      <c r="D1560" s="2166"/>
      <c r="E1560" s="2166"/>
      <c r="F1560" s="2166"/>
      <c r="G1560" s="2166"/>
      <c r="H1560" s="2171"/>
      <c r="I1560" s="2168"/>
      <c r="J1560" s="178"/>
      <c r="K1560" s="2168"/>
      <c r="L1560" s="2166"/>
      <c r="M1560" s="2166"/>
      <c r="N1560" s="2166"/>
      <c r="O1560" s="2166"/>
      <c r="P1560" s="2171"/>
      <c r="Q1560" s="2167"/>
      <c r="R1560" s="437"/>
      <c r="S1560" s="2168"/>
      <c r="T1560" s="179"/>
      <c r="U1560" s="178"/>
      <c r="V1560" s="2168"/>
      <c r="W1560" s="2168"/>
      <c r="X1560" s="470"/>
      <c r="Y1560" s="470"/>
      <c r="Z1560" s="471"/>
      <c r="AA1560" s="471"/>
      <c r="AB1560" s="466"/>
    </row>
    <row r="1561" spans="1:28" s="352" customFormat="1" ht="18" customHeight="1" x14ac:dyDescent="0.2">
      <c r="A1561" s="2166"/>
      <c r="B1561" s="177"/>
      <c r="C1561" s="177"/>
      <c r="D1561" s="2166"/>
      <c r="E1561" s="2166"/>
      <c r="F1561" s="2166"/>
      <c r="G1561" s="2166"/>
      <c r="H1561" s="2171"/>
      <c r="I1561" s="2168"/>
      <c r="J1561" s="178"/>
      <c r="K1561" s="2168"/>
      <c r="L1561" s="2166"/>
      <c r="M1561" s="2166"/>
      <c r="N1561" s="2166"/>
      <c r="O1561" s="2166"/>
      <c r="P1561" s="2171"/>
      <c r="Q1561" s="2167"/>
      <c r="R1561" s="437"/>
      <c r="S1561" s="2168"/>
      <c r="T1561" s="179"/>
      <c r="U1561" s="178"/>
      <c r="V1561" s="2168"/>
      <c r="W1561" s="2168"/>
      <c r="X1561" s="470"/>
      <c r="Y1561" s="470"/>
      <c r="Z1561" s="471"/>
      <c r="AA1561" s="471"/>
      <c r="AB1561" s="466"/>
    </row>
    <row r="1562" spans="1:28" s="352" customFormat="1" ht="18" customHeight="1" x14ac:dyDescent="0.2">
      <c r="A1562" s="2166"/>
      <c r="B1562" s="177"/>
      <c r="C1562" s="177"/>
      <c r="D1562" s="2166"/>
      <c r="E1562" s="2166"/>
      <c r="F1562" s="2166"/>
      <c r="G1562" s="2166"/>
      <c r="H1562" s="2171"/>
      <c r="I1562" s="2168"/>
      <c r="J1562" s="178"/>
      <c r="K1562" s="2168"/>
      <c r="L1562" s="2166"/>
      <c r="M1562" s="2166"/>
      <c r="N1562" s="2166"/>
      <c r="O1562" s="2166"/>
      <c r="P1562" s="2171"/>
      <c r="Q1562" s="2167"/>
      <c r="R1562" s="437"/>
      <c r="S1562" s="2168"/>
      <c r="T1562" s="179"/>
      <c r="U1562" s="178"/>
      <c r="V1562" s="2168"/>
      <c r="W1562" s="2168"/>
      <c r="X1562" s="470"/>
      <c r="Y1562" s="470"/>
      <c r="Z1562" s="471"/>
      <c r="AA1562" s="471"/>
      <c r="AB1562" s="466"/>
    </row>
    <row r="1563" spans="1:28" s="352" customFormat="1" ht="18" customHeight="1" x14ac:dyDescent="0.2">
      <c r="A1563" s="88"/>
      <c r="B1563" s="180"/>
      <c r="C1563" s="180"/>
      <c r="D1563" s="88"/>
      <c r="E1563" s="88"/>
      <c r="F1563" s="88"/>
      <c r="G1563" s="88"/>
      <c r="H1563" s="120"/>
      <c r="I1563" s="121"/>
      <c r="J1563" s="181"/>
      <c r="K1563" s="121"/>
      <c r="L1563" s="88"/>
      <c r="M1563" s="88"/>
      <c r="N1563" s="88"/>
      <c r="O1563" s="88"/>
      <c r="P1563" s="88"/>
      <c r="Q1563" s="129"/>
      <c r="R1563" s="445"/>
      <c r="S1563" s="121"/>
      <c r="T1563" s="182"/>
      <c r="U1563" s="181"/>
      <c r="V1563" s="121"/>
      <c r="W1563" s="121"/>
      <c r="X1563" s="472"/>
      <c r="Y1563" s="472"/>
      <c r="Z1563" s="473"/>
      <c r="AA1563" s="473"/>
      <c r="AB1563" s="410"/>
    </row>
    <row r="1564" spans="1:28" s="352" customFormat="1" ht="18" customHeight="1" x14ac:dyDescent="0.2">
      <c r="A1564" s="1850"/>
      <c r="B1564" s="1850"/>
      <c r="C1564" s="1850"/>
      <c r="D1564" s="1850"/>
      <c r="E1564" s="1850"/>
      <c r="F1564" s="1850"/>
      <c r="G1564" s="1850"/>
      <c r="H1564" s="1851"/>
      <c r="I1564" s="1852"/>
      <c r="J1564" s="1853"/>
      <c r="K1564" s="1852"/>
      <c r="L1564" s="1852"/>
      <c r="M1564" s="1852"/>
      <c r="N1564" s="1852"/>
      <c r="O1564" s="1852"/>
      <c r="P1564" s="1852"/>
      <c r="Q1564" s="1852"/>
      <c r="R1564" s="1854"/>
      <c r="S1564" s="1852"/>
      <c r="T1564" s="1855"/>
      <c r="U1564" s="1853"/>
      <c r="V1564" s="1852"/>
      <c r="W1564" s="1852"/>
      <c r="X1564" s="1856"/>
      <c r="Y1564" s="1856"/>
      <c r="Z1564" s="1857"/>
      <c r="AA1564" s="1857"/>
      <c r="AB1564" s="1847">
        <f>SUM(AB1550:AB1563)</f>
        <v>2250</v>
      </c>
    </row>
    <row r="1565" spans="1:28" s="352" customFormat="1" ht="18" customHeight="1" x14ac:dyDescent="0.2">
      <c r="A1565" s="2778" t="s">
        <v>76</v>
      </c>
      <c r="B1565" s="2778"/>
      <c r="C1565" s="2779" t="s">
        <v>77</v>
      </c>
      <c r="D1565" s="2779"/>
      <c r="E1565" s="2779"/>
      <c r="F1565" s="2779"/>
      <c r="G1565" s="2779"/>
      <c r="H1565" s="2779"/>
      <c r="I1565" s="424" t="s">
        <v>78</v>
      </c>
      <c r="J1565" s="424"/>
      <c r="K1565" s="424"/>
      <c r="L1565" s="424"/>
      <c r="M1565" s="424"/>
      <c r="N1565" s="424"/>
      <c r="AB1565" s="425"/>
    </row>
    <row r="1566" spans="1:28" s="352" customFormat="1" ht="18" customHeight="1" x14ac:dyDescent="0.2">
      <c r="A1566" s="424"/>
      <c r="B1566" s="426"/>
      <c r="C1566" s="424"/>
      <c r="D1566" s="424"/>
      <c r="E1566" s="424"/>
      <c r="F1566" s="424"/>
      <c r="G1566" s="424"/>
      <c r="H1566" s="424"/>
      <c r="I1566" s="424" t="s">
        <v>79</v>
      </c>
      <c r="J1566" s="424"/>
      <c r="K1566" s="424"/>
      <c r="L1566" s="424"/>
      <c r="M1566" s="424"/>
      <c r="N1566" s="424"/>
      <c r="AB1566" s="425"/>
    </row>
    <row r="1567" spans="1:28" s="352" customFormat="1" ht="18" customHeight="1" x14ac:dyDescent="0.2">
      <c r="A1567" s="424"/>
      <c r="B1567" s="426"/>
      <c r="C1567" s="424"/>
      <c r="D1567" s="424"/>
      <c r="E1567" s="424"/>
      <c r="F1567" s="424"/>
      <c r="G1567" s="424"/>
      <c r="H1567" s="424"/>
      <c r="I1567" s="424" t="s">
        <v>80</v>
      </c>
      <c r="J1567" s="424"/>
      <c r="K1567" s="424"/>
      <c r="L1567" s="424"/>
      <c r="M1567" s="424"/>
      <c r="N1567" s="424"/>
      <c r="AB1567" s="425"/>
    </row>
    <row r="1568" spans="1:28" s="352" customFormat="1" ht="18" customHeight="1" x14ac:dyDescent="0.2">
      <c r="A1568" s="424"/>
      <c r="B1568" s="426"/>
      <c r="C1568" s="424"/>
      <c r="D1568" s="424"/>
      <c r="E1568" s="424"/>
      <c r="F1568" s="424"/>
      <c r="G1568" s="424"/>
      <c r="H1568" s="424"/>
      <c r="I1568" s="424" t="s">
        <v>81</v>
      </c>
      <c r="J1568" s="424"/>
      <c r="K1568" s="424"/>
      <c r="L1568" s="424"/>
      <c r="M1568" s="424"/>
      <c r="N1568" s="424"/>
      <c r="AB1568" s="425"/>
    </row>
    <row r="1569" spans="1:28" s="352" customFormat="1" ht="18" customHeight="1" x14ac:dyDescent="0.2">
      <c r="A1569" s="424"/>
      <c r="B1569" s="426"/>
      <c r="C1569" s="424"/>
      <c r="D1569" s="424"/>
      <c r="E1569" s="424"/>
      <c r="F1569" s="424"/>
      <c r="G1569" s="424"/>
      <c r="H1569" s="424"/>
      <c r="I1569" s="424" t="s">
        <v>88</v>
      </c>
      <c r="J1569" s="424"/>
      <c r="K1569" s="424"/>
      <c r="L1569" s="424"/>
      <c r="M1569" s="424"/>
      <c r="N1569" s="424"/>
      <c r="AB1569" s="425"/>
    </row>
    <row r="1570" spans="1:28" s="352" customFormat="1" ht="18" customHeight="1" x14ac:dyDescent="0.2">
      <c r="A1570" s="338"/>
      <c r="B1570" s="338"/>
      <c r="C1570" s="338"/>
      <c r="D1570" s="338"/>
      <c r="E1570" s="338"/>
      <c r="F1570" s="338"/>
      <c r="G1570" s="338"/>
      <c r="H1570" s="338"/>
      <c r="I1570" s="338"/>
      <c r="J1570" s="338"/>
      <c r="K1570" s="338"/>
      <c r="L1570" s="338"/>
      <c r="M1570" s="338"/>
      <c r="N1570" s="338"/>
      <c r="O1570" s="338"/>
      <c r="P1570" s="338"/>
      <c r="Q1570" s="338"/>
      <c r="R1570" s="338"/>
      <c r="S1570" s="338"/>
      <c r="T1570" s="338"/>
      <c r="U1570" s="338"/>
      <c r="V1570" s="338"/>
      <c r="W1570" s="338"/>
      <c r="X1570" s="338"/>
      <c r="Y1570" s="338"/>
      <c r="Z1570" s="338"/>
      <c r="AA1570" s="2774" t="s">
        <v>0</v>
      </c>
      <c r="AB1570" s="2774"/>
    </row>
    <row r="1571" spans="1:28" s="352" customFormat="1" ht="18" customHeight="1" x14ac:dyDescent="0.2">
      <c r="A1571" s="2703" t="s">
        <v>1</v>
      </c>
      <c r="B1571" s="2703"/>
      <c r="C1571" s="2703"/>
      <c r="D1571" s="2703"/>
      <c r="E1571" s="2703"/>
      <c r="F1571" s="2703"/>
      <c r="G1571" s="2703"/>
      <c r="H1571" s="2703"/>
      <c r="I1571" s="2703"/>
      <c r="J1571" s="2703"/>
      <c r="K1571" s="2703"/>
      <c r="L1571" s="2703"/>
      <c r="M1571" s="2703"/>
      <c r="N1571" s="2703"/>
      <c r="O1571" s="2703"/>
      <c r="P1571" s="2703"/>
      <c r="Q1571" s="2703"/>
      <c r="R1571" s="2703"/>
      <c r="S1571" s="2703"/>
      <c r="T1571" s="2703"/>
      <c r="U1571" s="2703"/>
      <c r="V1571" s="2703"/>
      <c r="W1571" s="2703"/>
      <c r="X1571" s="2703"/>
      <c r="Y1571" s="2703"/>
      <c r="Z1571" s="2703"/>
      <c r="AA1571" s="2703"/>
      <c r="AB1571" s="2703"/>
    </row>
    <row r="1572" spans="1:28" s="352" customFormat="1" ht="18" customHeight="1" x14ac:dyDescent="0.2">
      <c r="A1572" s="2780" t="s">
        <v>649</v>
      </c>
      <c r="B1572" s="2780"/>
      <c r="C1572" s="2780"/>
      <c r="D1572" s="2780"/>
      <c r="E1572" s="2780"/>
      <c r="F1572" s="2780"/>
      <c r="G1572" s="2780"/>
      <c r="H1572" s="2780"/>
      <c r="I1572" s="2780"/>
      <c r="J1572" s="2780"/>
      <c r="K1572" s="2780"/>
      <c r="L1572" s="2780"/>
      <c r="M1572" s="2780"/>
      <c r="N1572" s="2780"/>
      <c r="O1572" s="2780"/>
      <c r="P1572" s="2780"/>
      <c r="Q1572" s="2780"/>
      <c r="R1572" s="2780"/>
      <c r="S1572" s="2780"/>
      <c r="T1572" s="2780"/>
      <c r="U1572" s="2780"/>
      <c r="V1572" s="2780"/>
      <c r="W1572" s="2780"/>
      <c r="X1572" s="2780"/>
      <c r="Y1572" s="2780"/>
      <c r="Z1572" s="2780"/>
      <c r="AA1572" s="2780"/>
      <c r="AB1572" s="2780"/>
    </row>
    <row r="1573" spans="1:28" s="352" customFormat="1" ht="18" customHeight="1" x14ac:dyDescent="0.2">
      <c r="A1573" s="2686" t="s">
        <v>2</v>
      </c>
      <c r="B1573" s="360"/>
      <c r="C1573" s="2686" t="s">
        <v>3</v>
      </c>
      <c r="D1573" s="360"/>
      <c r="E1573" s="360"/>
      <c r="F1573" s="2693" t="s">
        <v>4</v>
      </c>
      <c r="G1573" s="2693"/>
      <c r="H1573" s="2693"/>
      <c r="I1573" s="2694"/>
      <c r="J1573" s="2694"/>
      <c r="K1573" s="2695"/>
      <c r="L1573" s="361"/>
      <c r="M1573" s="2679" t="s">
        <v>5</v>
      </c>
      <c r="N1573" s="2679"/>
      <c r="O1573" s="2679"/>
      <c r="P1573" s="2679"/>
      <c r="Q1573" s="2696"/>
      <c r="R1573" s="2696"/>
      <c r="S1573" s="2696"/>
      <c r="T1573" s="2696"/>
      <c r="U1573" s="2696"/>
      <c r="V1573" s="2697"/>
      <c r="W1573" s="362" t="s">
        <v>6</v>
      </c>
      <c r="X1573" s="363" t="s">
        <v>7</v>
      </c>
      <c r="Y1573" s="364"/>
      <c r="Z1573" s="364"/>
      <c r="AA1573" s="363"/>
      <c r="AB1573" s="365"/>
    </row>
    <row r="1574" spans="1:28" s="352" customFormat="1" ht="18" customHeight="1" x14ac:dyDescent="0.2">
      <c r="A1574" s="2687"/>
      <c r="B1574" s="367"/>
      <c r="C1574" s="2687"/>
      <c r="D1574" s="2158" t="s">
        <v>9</v>
      </c>
      <c r="E1574" s="368" t="s">
        <v>10</v>
      </c>
      <c r="F1574" s="2698" t="s">
        <v>11</v>
      </c>
      <c r="G1574" s="2694"/>
      <c r="H1574" s="2695"/>
      <c r="I1574" s="360"/>
      <c r="J1574" s="369" t="s">
        <v>12</v>
      </c>
      <c r="K1574" s="360"/>
      <c r="L1574" s="2679" t="s">
        <v>2</v>
      </c>
      <c r="M1574" s="2162"/>
      <c r="N1574" s="2162"/>
      <c r="O1574" s="2162"/>
      <c r="P1574" s="371"/>
      <c r="Q1574" s="372" t="s">
        <v>13</v>
      </c>
      <c r="R1574" s="373" t="s">
        <v>12</v>
      </c>
      <c r="S1574" s="2162" t="s">
        <v>6</v>
      </c>
      <c r="T1574" s="2682" t="s">
        <v>14</v>
      </c>
      <c r="U1574" s="2683"/>
      <c r="V1574" s="375" t="s">
        <v>7</v>
      </c>
      <c r="W1574" s="376" t="s">
        <v>15</v>
      </c>
      <c r="X1574" s="377" t="s">
        <v>16</v>
      </c>
      <c r="Y1574" s="377" t="s">
        <v>17</v>
      </c>
      <c r="Z1574" s="377" t="s">
        <v>18</v>
      </c>
      <c r="AA1574" s="377"/>
      <c r="AB1574" s="378" t="s">
        <v>19</v>
      </c>
    </row>
    <row r="1575" spans="1:28" s="352" customFormat="1" ht="18" customHeight="1" x14ac:dyDescent="0.2">
      <c r="A1575" s="2687"/>
      <c r="B1575" s="2158" t="s">
        <v>23</v>
      </c>
      <c r="C1575" s="2687"/>
      <c r="D1575" s="2158" t="s">
        <v>24</v>
      </c>
      <c r="E1575" s="368" t="s">
        <v>25</v>
      </c>
      <c r="F1575" s="2699"/>
      <c r="G1575" s="2700"/>
      <c r="H1575" s="2701"/>
      <c r="I1575" s="2158" t="s">
        <v>26</v>
      </c>
      <c r="J1575" s="379" t="s">
        <v>15</v>
      </c>
      <c r="K1575" s="2159" t="s">
        <v>6</v>
      </c>
      <c r="L1575" s="2680"/>
      <c r="M1575" s="2163" t="s">
        <v>27</v>
      </c>
      <c r="N1575" s="2163" t="s">
        <v>10</v>
      </c>
      <c r="O1575" s="382" t="s">
        <v>10</v>
      </c>
      <c r="P1575" s="383" t="s">
        <v>28</v>
      </c>
      <c r="Q1575" s="384" t="s">
        <v>29</v>
      </c>
      <c r="R1575" s="383" t="s">
        <v>15</v>
      </c>
      <c r="S1575" s="385" t="s">
        <v>15</v>
      </c>
      <c r="T1575" s="2684"/>
      <c r="U1575" s="2685"/>
      <c r="V1575" s="375" t="s">
        <v>30</v>
      </c>
      <c r="W1575" s="376" t="s">
        <v>31</v>
      </c>
      <c r="X1575" s="377" t="s">
        <v>30</v>
      </c>
      <c r="Y1575" s="377" t="s">
        <v>32</v>
      </c>
      <c r="Z1575" s="377" t="s">
        <v>7</v>
      </c>
      <c r="AA1575" s="377" t="s">
        <v>33</v>
      </c>
      <c r="AB1575" s="378" t="s">
        <v>34</v>
      </c>
    </row>
    <row r="1576" spans="1:28" s="352" customFormat="1" ht="18" customHeight="1" x14ac:dyDescent="0.2">
      <c r="A1576" s="2687"/>
      <c r="B1576" s="2158" t="s">
        <v>39</v>
      </c>
      <c r="C1576" s="2687"/>
      <c r="D1576" s="2158" t="s">
        <v>40</v>
      </c>
      <c r="E1576" s="368" t="s">
        <v>41</v>
      </c>
      <c r="F1576" s="2686" t="s">
        <v>42</v>
      </c>
      <c r="G1576" s="2686" t="s">
        <v>43</v>
      </c>
      <c r="H1576" s="2688" t="s">
        <v>44</v>
      </c>
      <c r="I1576" s="2158" t="s">
        <v>45</v>
      </c>
      <c r="J1576" s="379" t="s">
        <v>46</v>
      </c>
      <c r="K1576" s="2159" t="s">
        <v>47</v>
      </c>
      <c r="L1576" s="2680"/>
      <c r="M1576" s="2163" t="s">
        <v>30</v>
      </c>
      <c r="N1576" s="2163" t="s">
        <v>30</v>
      </c>
      <c r="O1576" s="382" t="s">
        <v>25</v>
      </c>
      <c r="P1576" s="383" t="s">
        <v>30</v>
      </c>
      <c r="Q1576" s="384" t="s">
        <v>48</v>
      </c>
      <c r="R1576" s="383" t="s">
        <v>49</v>
      </c>
      <c r="S1576" s="385" t="s">
        <v>30</v>
      </c>
      <c r="T1576" s="386" t="s">
        <v>50</v>
      </c>
      <c r="U1576" s="2161" t="s">
        <v>13</v>
      </c>
      <c r="V1576" s="375" t="s">
        <v>51</v>
      </c>
      <c r="W1576" s="376" t="s">
        <v>52</v>
      </c>
      <c r="X1576" s="377" t="s">
        <v>53</v>
      </c>
      <c r="Y1576" s="377" t="s">
        <v>54</v>
      </c>
      <c r="Z1576" s="377" t="s">
        <v>55</v>
      </c>
      <c r="AA1576" s="377" t="s">
        <v>56</v>
      </c>
      <c r="AB1576" s="378" t="s">
        <v>57</v>
      </c>
    </row>
    <row r="1577" spans="1:28" s="352" customFormat="1" ht="18" customHeight="1" x14ac:dyDescent="0.2">
      <c r="A1577" s="2687"/>
      <c r="B1577" s="2158" t="s">
        <v>61</v>
      </c>
      <c r="C1577" s="2687"/>
      <c r="D1577" s="2158" t="s">
        <v>62</v>
      </c>
      <c r="E1577" s="368" t="s">
        <v>63</v>
      </c>
      <c r="F1577" s="2687"/>
      <c r="G1577" s="2687"/>
      <c r="H1577" s="2689"/>
      <c r="I1577" s="2158" t="s">
        <v>64</v>
      </c>
      <c r="J1577" s="379" t="s">
        <v>59</v>
      </c>
      <c r="K1577" s="2159" t="s">
        <v>59</v>
      </c>
      <c r="L1577" s="2680"/>
      <c r="M1577" s="2163"/>
      <c r="N1577" s="2163"/>
      <c r="O1577" s="382" t="s">
        <v>41</v>
      </c>
      <c r="P1577" s="383" t="s">
        <v>65</v>
      </c>
      <c r="Q1577" s="384" t="s">
        <v>66</v>
      </c>
      <c r="R1577" s="383" t="s">
        <v>67</v>
      </c>
      <c r="S1577" s="385" t="s">
        <v>59</v>
      </c>
      <c r="T1577" s="387" t="s">
        <v>68</v>
      </c>
      <c r="U1577" s="375" t="s">
        <v>14</v>
      </c>
      <c r="V1577" s="375" t="s">
        <v>14</v>
      </c>
      <c r="W1577" s="376" t="s">
        <v>30</v>
      </c>
      <c r="X1577" s="388" t="s">
        <v>69</v>
      </c>
      <c r="Y1577" s="388" t="s">
        <v>70</v>
      </c>
      <c r="Z1577" s="377" t="s">
        <v>71</v>
      </c>
      <c r="AA1577" s="377" t="s">
        <v>72</v>
      </c>
      <c r="AB1577" s="378" t="s">
        <v>59</v>
      </c>
    </row>
    <row r="1578" spans="1:28" s="352" customFormat="1" ht="18" customHeight="1" x14ac:dyDescent="0.2">
      <c r="A1578" s="2692"/>
      <c r="B1578" s="390"/>
      <c r="C1578" s="2692"/>
      <c r="D1578" s="390"/>
      <c r="E1578" s="2160"/>
      <c r="F1578" s="390"/>
      <c r="G1578" s="390"/>
      <c r="H1578" s="391"/>
      <c r="I1578" s="2160"/>
      <c r="J1578" s="392"/>
      <c r="K1578" s="393"/>
      <c r="L1578" s="2681"/>
      <c r="M1578" s="2164"/>
      <c r="N1578" s="2164"/>
      <c r="O1578" s="2164" t="s">
        <v>63</v>
      </c>
      <c r="P1578" s="395"/>
      <c r="Q1578" s="396" t="s">
        <v>72</v>
      </c>
      <c r="R1578" s="397" t="s">
        <v>59</v>
      </c>
      <c r="S1578" s="398"/>
      <c r="T1578" s="397" t="s">
        <v>73</v>
      </c>
      <c r="U1578" s="398" t="s">
        <v>59</v>
      </c>
      <c r="V1578" s="399" t="s">
        <v>59</v>
      </c>
      <c r="W1578" s="400" t="s">
        <v>59</v>
      </c>
      <c r="X1578" s="401" t="s">
        <v>59</v>
      </c>
      <c r="Y1578" s="401" t="s">
        <v>59</v>
      </c>
      <c r="Z1578" s="401" t="s">
        <v>59</v>
      </c>
      <c r="AA1578" s="402"/>
      <c r="AB1578" s="403"/>
    </row>
    <row r="1579" spans="1:28" s="352" customFormat="1" ht="18" customHeight="1" x14ac:dyDescent="0.2">
      <c r="A1579" s="61">
        <v>1</v>
      </c>
      <c r="B1579" s="2166">
        <v>32474</v>
      </c>
      <c r="C1579" s="2166">
        <v>256</v>
      </c>
      <c r="D1579" s="2166" t="s">
        <v>107</v>
      </c>
      <c r="E1579" s="2166">
        <v>4</v>
      </c>
      <c r="F1579" s="2166">
        <v>0</v>
      </c>
      <c r="G1579" s="2166">
        <v>0</v>
      </c>
      <c r="H1579" s="407">
        <v>50</v>
      </c>
      <c r="I1579" s="77">
        <f>F1579*400+G1579*100+H1579</f>
        <v>50</v>
      </c>
      <c r="J1579" s="2168">
        <v>3000</v>
      </c>
      <c r="K1579" s="78">
        <f>SUM(I1579*J1579)</f>
        <v>150000</v>
      </c>
      <c r="L1579" s="61"/>
      <c r="M1579" s="2166"/>
      <c r="N1579" s="2166"/>
      <c r="O1579" s="61"/>
      <c r="P1579" s="177"/>
      <c r="Q1579" s="196"/>
      <c r="R1579" s="408"/>
      <c r="S1579" s="77"/>
      <c r="T1579" s="2166"/>
      <c r="U1579" s="77"/>
      <c r="V1579" s="77"/>
      <c r="W1579" s="77">
        <f>K1579+V1579</f>
        <v>150000</v>
      </c>
      <c r="X1579" s="77">
        <f>W1579</f>
        <v>150000</v>
      </c>
      <c r="Y1579" s="2168"/>
      <c r="Z1579" s="77">
        <f>+X1579</f>
        <v>150000</v>
      </c>
      <c r="AA1579" s="2170">
        <v>0.3</v>
      </c>
      <c r="AB1579" s="410">
        <f>+Z1579*AA1579/100</f>
        <v>450</v>
      </c>
    </row>
    <row r="1580" spans="1:28" s="352" customFormat="1" ht="18" customHeight="1" x14ac:dyDescent="0.2">
      <c r="A1580" s="61"/>
      <c r="B1580" s="2166"/>
      <c r="C1580" s="2166"/>
      <c r="D1580" s="2166"/>
      <c r="E1580" s="2166"/>
      <c r="F1580" s="2166"/>
      <c r="G1580" s="2166"/>
      <c r="H1580" s="407"/>
      <c r="I1580" s="77"/>
      <c r="J1580" s="2168"/>
      <c r="K1580" s="78"/>
      <c r="L1580" s="61"/>
      <c r="M1580" s="2166"/>
      <c r="N1580" s="2166"/>
      <c r="O1580" s="61"/>
      <c r="P1580" s="177"/>
      <c r="Q1580" s="196"/>
      <c r="R1580" s="408"/>
      <c r="S1580" s="77"/>
      <c r="T1580" s="2166"/>
      <c r="U1580" s="77"/>
      <c r="V1580" s="77"/>
      <c r="W1580" s="77"/>
      <c r="X1580" s="77"/>
      <c r="Y1580" s="2168"/>
      <c r="Z1580" s="77"/>
      <c r="AA1580" s="2170"/>
      <c r="AB1580" s="410"/>
    </row>
    <row r="1581" spans="1:28" s="352" customFormat="1" ht="18" customHeight="1" x14ac:dyDescent="0.2">
      <c r="A1581" s="61"/>
      <c r="B1581" s="2166"/>
      <c r="C1581" s="2166"/>
      <c r="D1581" s="2166"/>
      <c r="E1581" s="2166"/>
      <c r="F1581" s="2166"/>
      <c r="G1581" s="2166"/>
      <c r="H1581" s="407"/>
      <c r="I1581" s="77"/>
      <c r="J1581" s="2168"/>
      <c r="K1581" s="78"/>
      <c r="L1581" s="61"/>
      <c r="M1581" s="2166"/>
      <c r="N1581" s="2166"/>
      <c r="O1581" s="61"/>
      <c r="P1581" s="177"/>
      <c r="Q1581" s="196"/>
      <c r="R1581" s="408"/>
      <c r="S1581" s="77"/>
      <c r="T1581" s="2166"/>
      <c r="U1581" s="77"/>
      <c r="V1581" s="77"/>
      <c r="W1581" s="77"/>
      <c r="X1581" s="77"/>
      <c r="Y1581" s="2168"/>
      <c r="Z1581" s="77"/>
      <c r="AA1581" s="2170"/>
      <c r="AB1581" s="410"/>
    </row>
    <row r="1582" spans="1:28" s="352" customFormat="1" ht="18" customHeight="1" x14ac:dyDescent="0.2">
      <c r="A1582" s="242"/>
      <c r="B1582" s="2166"/>
      <c r="C1582" s="2166"/>
      <c r="D1582" s="2166"/>
      <c r="E1582" s="2166"/>
      <c r="F1582" s="2166"/>
      <c r="G1582" s="2166"/>
      <c r="H1582" s="407"/>
      <c r="I1582" s="77"/>
      <c r="J1582" s="2168"/>
      <c r="K1582" s="78"/>
      <c r="L1582" s="61"/>
      <c r="M1582" s="2166"/>
      <c r="N1582" s="2166"/>
      <c r="O1582" s="61"/>
      <c r="P1582" s="177"/>
      <c r="Q1582" s="196"/>
      <c r="R1582" s="408"/>
      <c r="S1582" s="77"/>
      <c r="T1582" s="2166"/>
      <c r="U1582" s="77"/>
      <c r="V1582" s="77"/>
      <c r="W1582" s="77"/>
      <c r="X1582" s="77"/>
      <c r="Y1582" s="2168"/>
      <c r="Z1582" s="77"/>
      <c r="AA1582" s="2170"/>
      <c r="AB1582" s="410"/>
    </row>
    <row r="1583" spans="1:28" s="352" customFormat="1" ht="18" customHeight="1" x14ac:dyDescent="0.2">
      <c r="A1583" s="75"/>
      <c r="B1583" s="88"/>
      <c r="C1583" s="88"/>
      <c r="D1583" s="88"/>
      <c r="E1583" s="88"/>
      <c r="F1583" s="88"/>
      <c r="G1583" s="88"/>
      <c r="H1583" s="495"/>
      <c r="I1583" s="74"/>
      <c r="J1583" s="121"/>
      <c r="K1583" s="159"/>
      <c r="L1583" s="75"/>
      <c r="M1583" s="88"/>
      <c r="N1583" s="88"/>
      <c r="O1583" s="75"/>
      <c r="P1583" s="180"/>
      <c r="Q1583" s="174"/>
      <c r="R1583" s="413"/>
      <c r="S1583" s="74"/>
      <c r="T1583" s="88"/>
      <c r="U1583" s="74"/>
      <c r="V1583" s="74"/>
      <c r="W1583" s="74"/>
      <c r="X1583" s="74"/>
      <c r="Y1583" s="121"/>
      <c r="Z1583" s="74"/>
      <c r="AA1583" s="414"/>
      <c r="AB1583" s="416"/>
    </row>
    <row r="1584" spans="1:28" s="352" customFormat="1" ht="18" customHeight="1" x14ac:dyDescent="0.2">
      <c r="A1584" s="61"/>
      <c r="B1584" s="2166"/>
      <c r="C1584" s="2166"/>
      <c r="D1584" s="2166"/>
      <c r="E1584" s="2166"/>
      <c r="F1584" s="2166"/>
      <c r="G1584" s="2166"/>
      <c r="H1584" s="407"/>
      <c r="I1584" s="77"/>
      <c r="J1584" s="2168"/>
      <c r="K1584" s="78"/>
      <c r="L1584" s="61"/>
      <c r="M1584" s="2166"/>
      <c r="N1584" s="2166"/>
      <c r="O1584" s="61"/>
      <c r="P1584" s="177"/>
      <c r="Q1584" s="196"/>
      <c r="R1584" s="408"/>
      <c r="S1584" s="77"/>
      <c r="T1584" s="2166"/>
      <c r="U1584" s="77"/>
      <c r="V1584" s="77"/>
      <c r="W1584" s="77"/>
      <c r="X1584" s="77"/>
      <c r="Y1584" s="2168"/>
      <c r="Z1584" s="77"/>
      <c r="AA1584" s="2170"/>
      <c r="AB1584" s="410"/>
    </row>
    <row r="1585" spans="1:28" s="352" customFormat="1" ht="18" customHeight="1" x14ac:dyDescent="0.2">
      <c r="A1585" s="2166"/>
      <c r="B1585" s="177"/>
      <c r="C1585" s="177"/>
      <c r="D1585" s="2166"/>
      <c r="E1585" s="2166"/>
      <c r="F1585" s="2166"/>
      <c r="G1585" s="2166"/>
      <c r="H1585" s="2171"/>
      <c r="I1585" s="2168"/>
      <c r="J1585" s="178"/>
      <c r="K1585" s="2168"/>
      <c r="L1585" s="2166"/>
      <c r="M1585" s="2166"/>
      <c r="N1585" s="2166"/>
      <c r="O1585" s="2166"/>
      <c r="P1585" s="2171"/>
      <c r="Q1585" s="2167"/>
      <c r="R1585" s="437"/>
      <c r="S1585" s="2168"/>
      <c r="T1585" s="179"/>
      <c r="U1585" s="178"/>
      <c r="V1585" s="2168"/>
      <c r="W1585" s="2168"/>
      <c r="X1585" s="470"/>
      <c r="Y1585" s="470"/>
      <c r="Z1585" s="471"/>
      <c r="AA1585" s="471"/>
      <c r="AB1585" s="466"/>
    </row>
    <row r="1586" spans="1:28" s="352" customFormat="1" ht="18" customHeight="1" x14ac:dyDescent="0.2">
      <c r="A1586" s="2166"/>
      <c r="B1586" s="177"/>
      <c r="C1586" s="177"/>
      <c r="D1586" s="2166"/>
      <c r="E1586" s="2166"/>
      <c r="F1586" s="2166"/>
      <c r="G1586" s="2166"/>
      <c r="H1586" s="2171"/>
      <c r="I1586" s="2168"/>
      <c r="J1586" s="178"/>
      <c r="K1586" s="2168"/>
      <c r="L1586" s="2166"/>
      <c r="M1586" s="2166"/>
      <c r="N1586" s="2166"/>
      <c r="O1586" s="2166"/>
      <c r="P1586" s="2171"/>
      <c r="Q1586" s="2167"/>
      <c r="R1586" s="437"/>
      <c r="S1586" s="2168"/>
      <c r="T1586" s="179"/>
      <c r="U1586" s="178"/>
      <c r="V1586" s="2168"/>
      <c r="W1586" s="2168"/>
      <c r="X1586" s="470"/>
      <c r="Y1586" s="470"/>
      <c r="Z1586" s="471"/>
      <c r="AA1586" s="471"/>
      <c r="AB1586" s="466"/>
    </row>
    <row r="1587" spans="1:28" s="352" customFormat="1" ht="18" customHeight="1" x14ac:dyDescent="0.2">
      <c r="A1587" s="2166"/>
      <c r="B1587" s="177"/>
      <c r="C1587" s="177"/>
      <c r="D1587" s="2166"/>
      <c r="E1587" s="2166"/>
      <c r="F1587" s="2166"/>
      <c r="G1587" s="2166"/>
      <c r="H1587" s="2171"/>
      <c r="I1587" s="2168"/>
      <c r="J1587" s="178"/>
      <c r="K1587" s="2168"/>
      <c r="L1587" s="2166"/>
      <c r="M1587" s="2166"/>
      <c r="N1587" s="2166"/>
      <c r="O1587" s="2166"/>
      <c r="P1587" s="2171"/>
      <c r="Q1587" s="2167"/>
      <c r="R1587" s="437"/>
      <c r="S1587" s="2168"/>
      <c r="T1587" s="179"/>
      <c r="U1587" s="178"/>
      <c r="V1587" s="2168"/>
      <c r="W1587" s="2168"/>
      <c r="X1587" s="470"/>
      <c r="Y1587" s="470"/>
      <c r="Z1587" s="471"/>
      <c r="AA1587" s="471"/>
      <c r="AB1587" s="466"/>
    </row>
    <row r="1588" spans="1:28" s="352" customFormat="1" ht="18" customHeight="1" x14ac:dyDescent="0.2">
      <c r="A1588" s="2166"/>
      <c r="B1588" s="177"/>
      <c r="C1588" s="177"/>
      <c r="D1588" s="2166"/>
      <c r="E1588" s="2166"/>
      <c r="F1588" s="2166"/>
      <c r="G1588" s="2166"/>
      <c r="H1588" s="2171"/>
      <c r="I1588" s="2168"/>
      <c r="J1588" s="178"/>
      <c r="K1588" s="2168"/>
      <c r="L1588" s="2166"/>
      <c r="M1588" s="2166"/>
      <c r="N1588" s="2166"/>
      <c r="O1588" s="2166"/>
      <c r="P1588" s="2171"/>
      <c r="Q1588" s="2167"/>
      <c r="R1588" s="437"/>
      <c r="S1588" s="2168"/>
      <c r="T1588" s="179"/>
      <c r="U1588" s="178"/>
      <c r="V1588" s="2168"/>
      <c r="W1588" s="2168"/>
      <c r="X1588" s="470"/>
      <c r="Y1588" s="470"/>
      <c r="Z1588" s="471"/>
      <c r="AA1588" s="471"/>
      <c r="AB1588" s="466"/>
    </row>
    <row r="1589" spans="1:28" s="352" customFormat="1" ht="18" customHeight="1" x14ac:dyDescent="0.2">
      <c r="A1589" s="2166"/>
      <c r="B1589" s="177"/>
      <c r="C1589" s="177"/>
      <c r="D1589" s="2166"/>
      <c r="E1589" s="2166"/>
      <c r="F1589" s="2166"/>
      <c r="G1589" s="2166"/>
      <c r="H1589" s="2171"/>
      <c r="I1589" s="2168"/>
      <c r="J1589" s="178"/>
      <c r="K1589" s="2168"/>
      <c r="L1589" s="2166"/>
      <c r="M1589" s="2166"/>
      <c r="N1589" s="2166"/>
      <c r="O1589" s="2166"/>
      <c r="P1589" s="2171"/>
      <c r="Q1589" s="2167"/>
      <c r="R1589" s="437"/>
      <c r="S1589" s="2168"/>
      <c r="T1589" s="179"/>
      <c r="U1589" s="178"/>
      <c r="V1589" s="2168"/>
      <c r="W1589" s="2168"/>
      <c r="X1589" s="470"/>
      <c r="Y1589" s="470"/>
      <c r="Z1589" s="471"/>
      <c r="AA1589" s="471"/>
      <c r="AB1589" s="466"/>
    </row>
    <row r="1590" spans="1:28" s="352" customFormat="1" ht="18" customHeight="1" x14ac:dyDescent="0.2">
      <c r="A1590" s="2166"/>
      <c r="B1590" s="177"/>
      <c r="C1590" s="177"/>
      <c r="D1590" s="2166"/>
      <c r="E1590" s="2166"/>
      <c r="F1590" s="2166"/>
      <c r="G1590" s="2166"/>
      <c r="H1590" s="2171"/>
      <c r="I1590" s="2168"/>
      <c r="J1590" s="178"/>
      <c r="K1590" s="2168"/>
      <c r="L1590" s="2166"/>
      <c r="M1590" s="2166"/>
      <c r="N1590" s="2166"/>
      <c r="O1590" s="2166"/>
      <c r="P1590" s="2171"/>
      <c r="Q1590" s="2167"/>
      <c r="R1590" s="437"/>
      <c r="S1590" s="2168"/>
      <c r="T1590" s="179"/>
      <c r="U1590" s="178"/>
      <c r="V1590" s="2168"/>
      <c r="W1590" s="2168"/>
      <c r="X1590" s="470"/>
      <c r="Y1590" s="470"/>
      <c r="Z1590" s="471"/>
      <c r="AA1590" s="471"/>
      <c r="AB1590" s="466"/>
    </row>
    <row r="1591" spans="1:28" s="352" customFormat="1" ht="18" customHeight="1" x14ac:dyDescent="0.2">
      <c r="A1591" s="2166"/>
      <c r="B1591" s="177"/>
      <c r="C1591" s="177"/>
      <c r="D1591" s="2166"/>
      <c r="E1591" s="2166"/>
      <c r="F1591" s="2166"/>
      <c r="G1591" s="2166"/>
      <c r="H1591" s="2171"/>
      <c r="I1591" s="2168"/>
      <c r="J1591" s="178"/>
      <c r="K1591" s="2168"/>
      <c r="L1591" s="2166"/>
      <c r="M1591" s="2166"/>
      <c r="N1591" s="2166"/>
      <c r="O1591" s="2166"/>
      <c r="P1591" s="2171"/>
      <c r="Q1591" s="2167"/>
      <c r="R1591" s="437"/>
      <c r="S1591" s="2168"/>
      <c r="T1591" s="179"/>
      <c r="U1591" s="178"/>
      <c r="V1591" s="2168"/>
      <c r="W1591" s="2168"/>
      <c r="X1591" s="470"/>
      <c r="Y1591" s="470"/>
      <c r="Z1591" s="471"/>
      <c r="AA1591" s="471"/>
      <c r="AB1591" s="466"/>
    </row>
    <row r="1592" spans="1:28" s="352" customFormat="1" ht="18" customHeight="1" x14ac:dyDescent="0.2">
      <c r="A1592" s="88"/>
      <c r="B1592" s="180"/>
      <c r="C1592" s="180"/>
      <c r="D1592" s="88"/>
      <c r="E1592" s="88"/>
      <c r="F1592" s="88"/>
      <c r="G1592" s="88"/>
      <c r="H1592" s="120"/>
      <c r="I1592" s="121"/>
      <c r="J1592" s="181"/>
      <c r="K1592" s="121"/>
      <c r="L1592" s="88"/>
      <c r="M1592" s="88"/>
      <c r="N1592" s="88"/>
      <c r="O1592" s="88"/>
      <c r="P1592" s="88"/>
      <c r="Q1592" s="129"/>
      <c r="R1592" s="445"/>
      <c r="S1592" s="121"/>
      <c r="T1592" s="182"/>
      <c r="U1592" s="181"/>
      <c r="V1592" s="121"/>
      <c r="W1592" s="121"/>
      <c r="X1592" s="472"/>
      <c r="Y1592" s="472"/>
      <c r="Z1592" s="473"/>
      <c r="AA1592" s="473"/>
      <c r="AB1592" s="410"/>
    </row>
    <row r="1593" spans="1:28" s="352" customFormat="1" ht="18" customHeight="1" x14ac:dyDescent="0.2">
      <c r="A1593" s="1850"/>
      <c r="B1593" s="1850"/>
      <c r="C1593" s="1850"/>
      <c r="D1593" s="1850"/>
      <c r="E1593" s="1850"/>
      <c r="F1593" s="1850"/>
      <c r="G1593" s="1850"/>
      <c r="H1593" s="1851"/>
      <c r="I1593" s="1852"/>
      <c r="J1593" s="1853"/>
      <c r="K1593" s="1852"/>
      <c r="L1593" s="1852"/>
      <c r="M1593" s="1852"/>
      <c r="N1593" s="1852"/>
      <c r="O1593" s="1852"/>
      <c r="P1593" s="1852"/>
      <c r="Q1593" s="1852"/>
      <c r="R1593" s="1854"/>
      <c r="S1593" s="1852"/>
      <c r="T1593" s="1855"/>
      <c r="U1593" s="1853"/>
      <c r="V1593" s="1852"/>
      <c r="W1593" s="1852"/>
      <c r="X1593" s="1856"/>
      <c r="Y1593" s="1856"/>
      <c r="Z1593" s="1857"/>
      <c r="AA1593" s="1857"/>
      <c r="AB1593" s="1847">
        <f>SUM(AB1579:AB1592)</f>
        <v>450</v>
      </c>
    </row>
    <row r="1594" spans="1:28" s="352" customFormat="1" ht="18" customHeight="1" x14ac:dyDescent="0.2">
      <c r="A1594" s="2778" t="s">
        <v>76</v>
      </c>
      <c r="B1594" s="2778"/>
      <c r="C1594" s="2779" t="s">
        <v>77</v>
      </c>
      <c r="D1594" s="2779"/>
      <c r="E1594" s="2779"/>
      <c r="F1594" s="2779"/>
      <c r="G1594" s="2779"/>
      <c r="H1594" s="2779"/>
      <c r="I1594" s="424" t="s">
        <v>78</v>
      </c>
      <c r="J1594" s="424"/>
      <c r="K1594" s="424"/>
      <c r="L1594" s="424"/>
      <c r="M1594" s="424"/>
      <c r="N1594" s="424"/>
      <c r="AB1594" s="425"/>
    </row>
    <row r="1595" spans="1:28" s="352" customFormat="1" ht="18" customHeight="1" x14ac:dyDescent="0.2">
      <c r="A1595" s="424"/>
      <c r="B1595" s="426"/>
      <c r="C1595" s="424"/>
      <c r="D1595" s="424"/>
      <c r="E1595" s="424"/>
      <c r="F1595" s="424"/>
      <c r="G1595" s="424"/>
      <c r="H1595" s="424"/>
      <c r="I1595" s="424" t="s">
        <v>79</v>
      </c>
      <c r="J1595" s="424"/>
      <c r="K1595" s="424"/>
      <c r="L1595" s="424"/>
      <c r="M1595" s="424"/>
      <c r="N1595" s="424"/>
      <c r="AB1595" s="425"/>
    </row>
    <row r="1596" spans="1:28" s="352" customFormat="1" ht="18" customHeight="1" x14ac:dyDescent="0.2">
      <c r="A1596" s="424"/>
      <c r="B1596" s="426"/>
      <c r="C1596" s="424"/>
      <c r="D1596" s="424"/>
      <c r="E1596" s="424"/>
      <c r="F1596" s="424"/>
      <c r="G1596" s="424"/>
      <c r="H1596" s="424"/>
      <c r="I1596" s="424" t="s">
        <v>80</v>
      </c>
      <c r="J1596" s="424"/>
      <c r="K1596" s="424"/>
      <c r="L1596" s="424"/>
      <c r="M1596" s="424"/>
      <c r="N1596" s="424"/>
      <c r="AB1596" s="425"/>
    </row>
    <row r="1597" spans="1:28" s="352" customFormat="1" ht="18" customHeight="1" x14ac:dyDescent="0.2">
      <c r="A1597" s="424"/>
      <c r="B1597" s="426"/>
      <c r="C1597" s="424"/>
      <c r="D1597" s="424"/>
      <c r="E1597" s="424"/>
      <c r="F1597" s="424"/>
      <c r="G1597" s="424"/>
      <c r="H1597" s="424"/>
      <c r="I1597" s="424" t="s">
        <v>81</v>
      </c>
      <c r="J1597" s="424"/>
      <c r="K1597" s="424"/>
      <c r="L1597" s="424"/>
      <c r="M1597" s="424"/>
      <c r="N1597" s="424"/>
      <c r="AB1597" s="425"/>
    </row>
    <row r="1598" spans="1:28" s="352" customFormat="1" ht="18" customHeight="1" x14ac:dyDescent="0.2">
      <c r="A1598" s="424"/>
      <c r="B1598" s="426"/>
      <c r="C1598" s="424"/>
      <c r="D1598" s="424"/>
      <c r="E1598" s="424"/>
      <c r="F1598" s="424"/>
      <c r="G1598" s="424"/>
      <c r="H1598" s="424"/>
      <c r="I1598" s="424" t="s">
        <v>88</v>
      </c>
      <c r="J1598" s="424"/>
      <c r="K1598" s="424"/>
      <c r="L1598" s="424"/>
      <c r="M1598" s="424"/>
      <c r="N1598" s="424"/>
      <c r="AB1598" s="425"/>
    </row>
    <row r="1599" spans="1:28" s="352" customFormat="1" ht="18" customHeight="1" x14ac:dyDescent="0.2">
      <c r="A1599" s="338"/>
      <c r="B1599" s="338"/>
      <c r="C1599" s="338"/>
      <c r="D1599" s="338"/>
      <c r="E1599" s="338"/>
      <c r="F1599" s="338"/>
      <c r="G1599" s="338"/>
      <c r="H1599" s="338"/>
      <c r="I1599" s="338"/>
      <c r="J1599" s="338"/>
      <c r="K1599" s="338"/>
      <c r="L1599" s="338"/>
      <c r="M1599" s="338"/>
      <c r="N1599" s="338"/>
      <c r="O1599" s="338"/>
      <c r="P1599" s="338"/>
      <c r="Q1599" s="338"/>
      <c r="R1599" s="338"/>
      <c r="S1599" s="338"/>
      <c r="T1599" s="338"/>
      <c r="U1599" s="338"/>
      <c r="V1599" s="338"/>
      <c r="W1599" s="338"/>
      <c r="X1599" s="338"/>
      <c r="Y1599" s="338"/>
      <c r="Z1599" s="338"/>
      <c r="AA1599" s="2774" t="s">
        <v>0</v>
      </c>
      <c r="AB1599" s="2774"/>
    </row>
    <row r="1600" spans="1:28" s="352" customFormat="1" ht="18" customHeight="1" x14ac:dyDescent="0.2">
      <c r="A1600" s="2703" t="s">
        <v>1</v>
      </c>
      <c r="B1600" s="2703"/>
      <c r="C1600" s="2703"/>
      <c r="D1600" s="2703"/>
      <c r="E1600" s="2703"/>
      <c r="F1600" s="2703"/>
      <c r="G1600" s="2703"/>
      <c r="H1600" s="2703"/>
      <c r="I1600" s="2703"/>
      <c r="J1600" s="2703"/>
      <c r="K1600" s="2703"/>
      <c r="L1600" s="2703"/>
      <c r="M1600" s="2703"/>
      <c r="N1600" s="2703"/>
      <c r="O1600" s="2703"/>
      <c r="P1600" s="2703"/>
      <c r="Q1600" s="2703"/>
      <c r="R1600" s="2703"/>
      <c r="S1600" s="2703"/>
      <c r="T1600" s="2703"/>
      <c r="U1600" s="2703"/>
      <c r="V1600" s="2703"/>
      <c r="W1600" s="2703"/>
      <c r="X1600" s="2703"/>
      <c r="Y1600" s="2703"/>
      <c r="Z1600" s="2703"/>
      <c r="AA1600" s="2703"/>
      <c r="AB1600" s="2703"/>
    </row>
    <row r="1601" spans="1:28" s="352" customFormat="1" ht="18" customHeight="1" x14ac:dyDescent="0.2">
      <c r="A1601" s="2780" t="s">
        <v>650</v>
      </c>
      <c r="B1601" s="2780"/>
      <c r="C1601" s="2780"/>
      <c r="D1601" s="2780"/>
      <c r="E1601" s="2780"/>
      <c r="F1601" s="2780"/>
      <c r="G1601" s="2780"/>
      <c r="H1601" s="2780"/>
      <c r="I1601" s="2780"/>
      <c r="J1601" s="2780"/>
      <c r="K1601" s="2780"/>
      <c r="L1601" s="2780"/>
      <c r="M1601" s="2780"/>
      <c r="N1601" s="2780"/>
      <c r="O1601" s="2780"/>
      <c r="P1601" s="2780"/>
      <c r="Q1601" s="2780"/>
      <c r="R1601" s="2780"/>
      <c r="S1601" s="2780"/>
      <c r="T1601" s="2780"/>
      <c r="U1601" s="2780"/>
      <c r="V1601" s="2780"/>
      <c r="W1601" s="2780"/>
      <c r="X1601" s="2780"/>
      <c r="Y1601" s="2780"/>
      <c r="Z1601" s="2780"/>
      <c r="AA1601" s="2780"/>
      <c r="AB1601" s="2780"/>
    </row>
    <row r="1602" spans="1:28" s="352" customFormat="1" ht="18" customHeight="1" x14ac:dyDescent="0.2">
      <c r="A1602" s="2686" t="s">
        <v>2</v>
      </c>
      <c r="B1602" s="360"/>
      <c r="C1602" s="2686" t="s">
        <v>3</v>
      </c>
      <c r="D1602" s="360"/>
      <c r="E1602" s="360"/>
      <c r="F1602" s="2732" t="s">
        <v>4</v>
      </c>
      <c r="G1602" s="2693"/>
      <c r="H1602" s="2693"/>
      <c r="I1602" s="2693"/>
      <c r="J1602" s="2693"/>
      <c r="K1602" s="2733"/>
      <c r="L1602" s="361"/>
      <c r="M1602" s="2696" t="s">
        <v>5</v>
      </c>
      <c r="N1602" s="2696"/>
      <c r="O1602" s="2696"/>
      <c r="P1602" s="2696"/>
      <c r="Q1602" s="2696"/>
      <c r="R1602" s="2696"/>
      <c r="S1602" s="2696"/>
      <c r="T1602" s="2696"/>
      <c r="U1602" s="2696"/>
      <c r="V1602" s="2697"/>
      <c r="W1602" s="362" t="s">
        <v>6</v>
      </c>
      <c r="X1602" s="363" t="s">
        <v>7</v>
      </c>
      <c r="Y1602" s="364"/>
      <c r="Z1602" s="364"/>
      <c r="AA1602" s="363"/>
      <c r="AB1602" s="365"/>
    </row>
    <row r="1603" spans="1:28" s="352" customFormat="1" ht="18" customHeight="1" x14ac:dyDescent="0.2">
      <c r="A1603" s="2687"/>
      <c r="B1603" s="367"/>
      <c r="C1603" s="2687"/>
      <c r="D1603" s="2158" t="s">
        <v>9</v>
      </c>
      <c r="E1603" s="368" t="s">
        <v>10</v>
      </c>
      <c r="F1603" s="2698" t="s">
        <v>11</v>
      </c>
      <c r="G1603" s="2694"/>
      <c r="H1603" s="2695"/>
      <c r="I1603" s="360"/>
      <c r="J1603" s="369" t="s">
        <v>12</v>
      </c>
      <c r="K1603" s="360"/>
      <c r="L1603" s="2734" t="s">
        <v>2</v>
      </c>
      <c r="M1603" s="2162"/>
      <c r="N1603" s="2162"/>
      <c r="O1603" s="2162"/>
      <c r="P1603" s="371"/>
      <c r="Q1603" s="372" t="s">
        <v>13</v>
      </c>
      <c r="R1603" s="373" t="s">
        <v>12</v>
      </c>
      <c r="S1603" s="2162" t="s">
        <v>6</v>
      </c>
      <c r="T1603" s="2682" t="s">
        <v>14</v>
      </c>
      <c r="U1603" s="2683"/>
      <c r="V1603" s="375" t="s">
        <v>7</v>
      </c>
      <c r="W1603" s="376" t="s">
        <v>15</v>
      </c>
      <c r="X1603" s="377" t="s">
        <v>16</v>
      </c>
      <c r="Y1603" s="377" t="s">
        <v>17</v>
      </c>
      <c r="Z1603" s="377" t="s">
        <v>18</v>
      </c>
      <c r="AA1603" s="377"/>
      <c r="AB1603" s="378" t="s">
        <v>19</v>
      </c>
    </row>
    <row r="1604" spans="1:28" s="352" customFormat="1" ht="18" customHeight="1" x14ac:dyDescent="0.2">
      <c r="A1604" s="2687"/>
      <c r="B1604" s="2158" t="s">
        <v>23</v>
      </c>
      <c r="C1604" s="2687"/>
      <c r="D1604" s="2158" t="s">
        <v>24</v>
      </c>
      <c r="E1604" s="368" t="s">
        <v>25</v>
      </c>
      <c r="F1604" s="2699"/>
      <c r="G1604" s="2700"/>
      <c r="H1604" s="2701"/>
      <c r="I1604" s="2158" t="s">
        <v>26</v>
      </c>
      <c r="J1604" s="379" t="s">
        <v>15</v>
      </c>
      <c r="K1604" s="2159" t="s">
        <v>6</v>
      </c>
      <c r="L1604" s="2735"/>
      <c r="M1604" s="2163" t="s">
        <v>27</v>
      </c>
      <c r="N1604" s="2163" t="s">
        <v>10</v>
      </c>
      <c r="O1604" s="382" t="s">
        <v>10</v>
      </c>
      <c r="P1604" s="383" t="s">
        <v>28</v>
      </c>
      <c r="Q1604" s="384" t="s">
        <v>29</v>
      </c>
      <c r="R1604" s="383" t="s">
        <v>15</v>
      </c>
      <c r="S1604" s="385" t="s">
        <v>15</v>
      </c>
      <c r="T1604" s="2684"/>
      <c r="U1604" s="2685"/>
      <c r="V1604" s="375" t="s">
        <v>30</v>
      </c>
      <c r="W1604" s="376" t="s">
        <v>31</v>
      </c>
      <c r="X1604" s="377" t="s">
        <v>30</v>
      </c>
      <c r="Y1604" s="377" t="s">
        <v>32</v>
      </c>
      <c r="Z1604" s="377" t="s">
        <v>7</v>
      </c>
      <c r="AA1604" s="377" t="s">
        <v>33</v>
      </c>
      <c r="AB1604" s="378" t="s">
        <v>34</v>
      </c>
    </row>
    <row r="1605" spans="1:28" s="352" customFormat="1" ht="18" customHeight="1" x14ac:dyDescent="0.2">
      <c r="A1605" s="2687"/>
      <c r="B1605" s="2158" t="s">
        <v>39</v>
      </c>
      <c r="C1605" s="2687"/>
      <c r="D1605" s="2158" t="s">
        <v>40</v>
      </c>
      <c r="E1605" s="368" t="s">
        <v>41</v>
      </c>
      <c r="F1605" s="2686" t="s">
        <v>42</v>
      </c>
      <c r="G1605" s="2686" t="s">
        <v>43</v>
      </c>
      <c r="H1605" s="2688" t="s">
        <v>44</v>
      </c>
      <c r="I1605" s="2158" t="s">
        <v>45</v>
      </c>
      <c r="J1605" s="379" t="s">
        <v>46</v>
      </c>
      <c r="K1605" s="2159" t="s">
        <v>47</v>
      </c>
      <c r="L1605" s="2735"/>
      <c r="M1605" s="2163" t="s">
        <v>30</v>
      </c>
      <c r="N1605" s="2163" t="s">
        <v>30</v>
      </c>
      <c r="O1605" s="382" t="s">
        <v>25</v>
      </c>
      <c r="P1605" s="383" t="s">
        <v>30</v>
      </c>
      <c r="Q1605" s="384" t="s">
        <v>48</v>
      </c>
      <c r="R1605" s="383" t="s">
        <v>49</v>
      </c>
      <c r="S1605" s="385" t="s">
        <v>30</v>
      </c>
      <c r="T1605" s="386" t="s">
        <v>50</v>
      </c>
      <c r="U1605" s="2161" t="s">
        <v>13</v>
      </c>
      <c r="V1605" s="375" t="s">
        <v>51</v>
      </c>
      <c r="W1605" s="376" t="s">
        <v>52</v>
      </c>
      <c r="X1605" s="377" t="s">
        <v>53</v>
      </c>
      <c r="Y1605" s="377" t="s">
        <v>54</v>
      </c>
      <c r="Z1605" s="377" t="s">
        <v>55</v>
      </c>
      <c r="AA1605" s="377" t="s">
        <v>56</v>
      </c>
      <c r="AB1605" s="378" t="s">
        <v>57</v>
      </c>
    </row>
    <row r="1606" spans="1:28" s="352" customFormat="1" ht="18" customHeight="1" x14ac:dyDescent="0.2">
      <c r="A1606" s="2687"/>
      <c r="B1606" s="2158" t="s">
        <v>61</v>
      </c>
      <c r="C1606" s="2687"/>
      <c r="D1606" s="2158" t="s">
        <v>62</v>
      </c>
      <c r="E1606" s="368" t="s">
        <v>63</v>
      </c>
      <c r="F1606" s="2687"/>
      <c r="G1606" s="2687"/>
      <c r="H1606" s="2689"/>
      <c r="I1606" s="2158" t="s">
        <v>64</v>
      </c>
      <c r="J1606" s="379" t="s">
        <v>59</v>
      </c>
      <c r="K1606" s="2159" t="s">
        <v>59</v>
      </c>
      <c r="L1606" s="2735"/>
      <c r="M1606" s="2163"/>
      <c r="N1606" s="2163"/>
      <c r="O1606" s="382" t="s">
        <v>41</v>
      </c>
      <c r="P1606" s="383" t="s">
        <v>65</v>
      </c>
      <c r="Q1606" s="384" t="s">
        <v>66</v>
      </c>
      <c r="R1606" s="383" t="s">
        <v>67</v>
      </c>
      <c r="S1606" s="385" t="s">
        <v>59</v>
      </c>
      <c r="T1606" s="387" t="s">
        <v>68</v>
      </c>
      <c r="U1606" s="375" t="s">
        <v>14</v>
      </c>
      <c r="V1606" s="375" t="s">
        <v>14</v>
      </c>
      <c r="W1606" s="376" t="s">
        <v>30</v>
      </c>
      <c r="X1606" s="388" t="s">
        <v>69</v>
      </c>
      <c r="Y1606" s="388" t="s">
        <v>70</v>
      </c>
      <c r="Z1606" s="377" t="s">
        <v>71</v>
      </c>
      <c r="AA1606" s="377" t="s">
        <v>72</v>
      </c>
      <c r="AB1606" s="378" t="s">
        <v>59</v>
      </c>
    </row>
    <row r="1607" spans="1:28" s="352" customFormat="1" ht="18" customHeight="1" x14ac:dyDescent="0.2">
      <c r="A1607" s="2692"/>
      <c r="B1607" s="390"/>
      <c r="C1607" s="2692"/>
      <c r="D1607" s="390"/>
      <c r="E1607" s="2160"/>
      <c r="F1607" s="390"/>
      <c r="G1607" s="390"/>
      <c r="H1607" s="391"/>
      <c r="I1607" s="2160"/>
      <c r="J1607" s="392"/>
      <c r="K1607" s="393"/>
      <c r="L1607" s="2736"/>
      <c r="M1607" s="2164"/>
      <c r="N1607" s="2164"/>
      <c r="O1607" s="2164" t="s">
        <v>63</v>
      </c>
      <c r="P1607" s="395"/>
      <c r="Q1607" s="396" t="s">
        <v>72</v>
      </c>
      <c r="R1607" s="397" t="s">
        <v>59</v>
      </c>
      <c r="S1607" s="398"/>
      <c r="T1607" s="397" t="s">
        <v>73</v>
      </c>
      <c r="U1607" s="398" t="s">
        <v>59</v>
      </c>
      <c r="V1607" s="399" t="s">
        <v>59</v>
      </c>
      <c r="W1607" s="400" t="s">
        <v>59</v>
      </c>
      <c r="X1607" s="401" t="s">
        <v>59</v>
      </c>
      <c r="Y1607" s="401" t="s">
        <v>59</v>
      </c>
      <c r="Z1607" s="401" t="s">
        <v>59</v>
      </c>
      <c r="AA1607" s="402"/>
      <c r="AB1607" s="403"/>
    </row>
    <row r="1608" spans="1:28" s="352" customFormat="1" ht="18" customHeight="1" x14ac:dyDescent="0.2">
      <c r="A1608" s="82">
        <v>1</v>
      </c>
      <c r="B1608" s="41">
        <v>23120</v>
      </c>
      <c r="C1608" s="41">
        <v>1044</v>
      </c>
      <c r="D1608" s="41" t="s">
        <v>107</v>
      </c>
      <c r="E1608" s="41">
        <v>2</v>
      </c>
      <c r="F1608" s="41">
        <v>0</v>
      </c>
      <c r="G1608" s="41">
        <v>1</v>
      </c>
      <c r="H1608" s="267">
        <v>0</v>
      </c>
      <c r="I1608" s="302">
        <f>F1608*400+G1608*100+H1608</f>
        <v>100</v>
      </c>
      <c r="J1608" s="310">
        <v>3000</v>
      </c>
      <c r="K1608" s="310">
        <f>SUM(I1608*J1608)</f>
        <v>300000</v>
      </c>
      <c r="L1608" s="16">
        <v>1</v>
      </c>
      <c r="M1608" s="82">
        <v>105</v>
      </c>
      <c r="N1608" s="41" t="s">
        <v>74</v>
      </c>
      <c r="O1608" s="16">
        <v>2</v>
      </c>
      <c r="P1608" s="404">
        <v>48</v>
      </c>
      <c r="Q1608" s="14" t="s">
        <v>75</v>
      </c>
      <c r="R1608" s="302">
        <v>8800</v>
      </c>
      <c r="S1608" s="310">
        <f>R1608*P1608</f>
        <v>422400</v>
      </c>
      <c r="T1608" s="41">
        <v>3</v>
      </c>
      <c r="U1608" s="302">
        <f>S1608*3/100</f>
        <v>12672</v>
      </c>
      <c r="V1608" s="310">
        <f>S1608-U1608</f>
        <v>409728</v>
      </c>
      <c r="W1608" s="302">
        <f>K1608+V1608</f>
        <v>709728</v>
      </c>
      <c r="X1608" s="310">
        <f>W1608</f>
        <v>709728</v>
      </c>
      <c r="Y1608" s="310">
        <f>V1608</f>
        <v>409728</v>
      </c>
      <c r="Z1608" s="310">
        <f>K1608</f>
        <v>300000</v>
      </c>
      <c r="AA1608" s="405">
        <v>0.02</v>
      </c>
      <c r="AB1608" s="465">
        <f>+Z1608*AA1608/100</f>
        <v>60</v>
      </c>
    </row>
    <row r="1609" spans="1:28" s="352" customFormat="1" ht="18" customHeight="1" x14ac:dyDescent="0.2">
      <c r="A1609" s="61">
        <v>2</v>
      </c>
      <c r="B1609" s="15">
        <v>23121</v>
      </c>
      <c r="C1609" s="15">
        <v>1045</v>
      </c>
      <c r="D1609" s="15" t="s">
        <v>107</v>
      </c>
      <c r="E1609" s="15">
        <v>2</v>
      </c>
      <c r="F1609" s="15">
        <v>0</v>
      </c>
      <c r="G1609" s="15">
        <v>1</v>
      </c>
      <c r="H1609" s="284">
        <v>0</v>
      </c>
      <c r="I1609" s="296">
        <v>100</v>
      </c>
      <c r="J1609" s="306">
        <v>3000</v>
      </c>
      <c r="K1609" s="305">
        <f>SUM(I1609*J1609)</f>
        <v>300000</v>
      </c>
      <c r="L1609" s="50">
        <v>2</v>
      </c>
      <c r="M1609" s="2166">
        <v>504</v>
      </c>
      <c r="N1609" s="15" t="s">
        <v>74</v>
      </c>
      <c r="O1609" s="50">
        <v>2</v>
      </c>
      <c r="P1609" s="673">
        <v>96</v>
      </c>
      <c r="Q1609" s="76" t="s">
        <v>75</v>
      </c>
      <c r="R1609" s="296">
        <v>3100</v>
      </c>
      <c r="S1609" s="305">
        <f>R1609*P1609</f>
        <v>297600</v>
      </c>
      <c r="T1609" s="15">
        <v>3</v>
      </c>
      <c r="U1609" s="299">
        <f>S1609*3/100</f>
        <v>8928</v>
      </c>
      <c r="V1609" s="305">
        <f>S1609-U1609</f>
        <v>288672</v>
      </c>
      <c r="W1609" s="299">
        <f>K1609+V1609</f>
        <v>588672</v>
      </c>
      <c r="X1609" s="305">
        <f>W1609</f>
        <v>588672</v>
      </c>
      <c r="Y1609" s="305">
        <f>V1609</f>
        <v>288672</v>
      </c>
      <c r="Z1609" s="305">
        <f>K1609</f>
        <v>300000</v>
      </c>
      <c r="AA1609" s="670">
        <v>0.02</v>
      </c>
      <c r="AB1609" s="410">
        <f>+Z1609*AA1609/100</f>
        <v>60</v>
      </c>
    </row>
    <row r="1610" spans="1:28" s="352" customFormat="1" ht="18" customHeight="1" x14ac:dyDescent="0.2">
      <c r="A1610" s="61"/>
      <c r="B1610" s="2166"/>
      <c r="C1610" s="2166"/>
      <c r="D1610" s="2166"/>
      <c r="E1610" s="2166"/>
      <c r="F1610" s="2166"/>
      <c r="G1610" s="2166"/>
      <c r="H1610" s="407"/>
      <c r="I1610" s="77"/>
      <c r="J1610" s="2168"/>
      <c r="K1610" s="78"/>
      <c r="L1610" s="61"/>
      <c r="M1610" s="2166"/>
      <c r="N1610" s="2166"/>
      <c r="O1610" s="61"/>
      <c r="P1610" s="177"/>
      <c r="Q1610" s="196"/>
      <c r="R1610" s="408"/>
      <c r="S1610" s="77"/>
      <c r="T1610" s="2166"/>
      <c r="U1610" s="77"/>
      <c r="V1610" s="77"/>
      <c r="W1610" s="77"/>
      <c r="X1610" s="77"/>
      <c r="Y1610" s="2168"/>
      <c r="Z1610" s="77"/>
      <c r="AA1610" s="2170"/>
      <c r="AB1610" s="410"/>
    </row>
    <row r="1611" spans="1:28" s="352" customFormat="1" ht="18" customHeight="1" x14ac:dyDescent="0.2">
      <c r="A1611" s="242"/>
      <c r="B1611" s="2166"/>
      <c r="C1611" s="2166"/>
      <c r="D1611" s="2166"/>
      <c r="E1611" s="2166"/>
      <c r="F1611" s="2166"/>
      <c r="G1611" s="2166"/>
      <c r="H1611" s="407"/>
      <c r="I1611" s="77"/>
      <c r="J1611" s="2168"/>
      <c r="K1611" s="78"/>
      <c r="L1611" s="61"/>
      <c r="M1611" s="2166"/>
      <c r="N1611" s="2166"/>
      <c r="O1611" s="61"/>
      <c r="P1611" s="177"/>
      <c r="Q1611" s="196"/>
      <c r="R1611" s="408"/>
      <c r="S1611" s="77"/>
      <c r="T1611" s="2166"/>
      <c r="U1611" s="77"/>
      <c r="V1611" s="77"/>
      <c r="W1611" s="77"/>
      <c r="X1611" s="77"/>
      <c r="Y1611" s="2168"/>
      <c r="Z1611" s="77"/>
      <c r="AA1611" s="2170"/>
      <c r="AB1611" s="410"/>
    </row>
    <row r="1612" spans="1:28" s="352" customFormat="1" ht="18" customHeight="1" x14ac:dyDescent="0.2">
      <c r="A1612" s="75"/>
      <c r="B1612" s="88"/>
      <c r="C1612" s="88"/>
      <c r="D1612" s="88"/>
      <c r="E1612" s="88"/>
      <c r="F1612" s="88"/>
      <c r="G1612" s="88"/>
      <c r="H1612" s="495"/>
      <c r="I1612" s="74"/>
      <c r="J1612" s="121"/>
      <c r="K1612" s="159"/>
      <c r="L1612" s="75"/>
      <c r="M1612" s="88"/>
      <c r="N1612" s="88"/>
      <c r="O1612" s="75"/>
      <c r="P1612" s="180"/>
      <c r="Q1612" s="174"/>
      <c r="R1612" s="413"/>
      <c r="S1612" s="74"/>
      <c r="T1612" s="88"/>
      <c r="U1612" s="74"/>
      <c r="V1612" s="74"/>
      <c r="W1612" s="74"/>
      <c r="X1612" s="74"/>
      <c r="Y1612" s="121"/>
      <c r="Z1612" s="74"/>
      <c r="AA1612" s="414"/>
      <c r="AB1612" s="416"/>
    </row>
    <row r="1613" spans="1:28" s="352" customFormat="1" ht="18" customHeight="1" x14ac:dyDescent="0.2">
      <c r="A1613" s="61"/>
      <c r="B1613" s="2166"/>
      <c r="C1613" s="2166"/>
      <c r="D1613" s="2166"/>
      <c r="E1613" s="2166"/>
      <c r="F1613" s="2166"/>
      <c r="G1613" s="2166"/>
      <c r="H1613" s="407"/>
      <c r="I1613" s="77"/>
      <c r="J1613" s="2168"/>
      <c r="K1613" s="78"/>
      <c r="L1613" s="61"/>
      <c r="M1613" s="2166"/>
      <c r="N1613" s="2166"/>
      <c r="O1613" s="61"/>
      <c r="P1613" s="177"/>
      <c r="Q1613" s="196"/>
      <c r="R1613" s="408"/>
      <c r="S1613" s="77"/>
      <c r="T1613" s="2166"/>
      <c r="U1613" s="77"/>
      <c r="V1613" s="77"/>
      <c r="W1613" s="77"/>
      <c r="X1613" s="77"/>
      <c r="Y1613" s="2168"/>
      <c r="Z1613" s="77"/>
      <c r="AA1613" s="2170"/>
      <c r="AB1613" s="410"/>
    </row>
    <row r="1614" spans="1:28" s="352" customFormat="1" ht="18" customHeight="1" x14ac:dyDescent="0.2">
      <c r="A1614" s="2166"/>
      <c r="B1614" s="177"/>
      <c r="C1614" s="177"/>
      <c r="D1614" s="2166"/>
      <c r="E1614" s="2166"/>
      <c r="F1614" s="2166"/>
      <c r="G1614" s="2166"/>
      <c r="H1614" s="2171"/>
      <c r="I1614" s="2168"/>
      <c r="J1614" s="178"/>
      <c r="K1614" s="2168"/>
      <c r="L1614" s="2166"/>
      <c r="M1614" s="2166"/>
      <c r="N1614" s="2166"/>
      <c r="O1614" s="2166"/>
      <c r="P1614" s="2171"/>
      <c r="Q1614" s="2167"/>
      <c r="R1614" s="437"/>
      <c r="S1614" s="2168"/>
      <c r="T1614" s="179"/>
      <c r="U1614" s="178"/>
      <c r="V1614" s="2168"/>
      <c r="W1614" s="2168"/>
      <c r="X1614" s="470"/>
      <c r="Y1614" s="470"/>
      <c r="Z1614" s="471"/>
      <c r="AA1614" s="471"/>
      <c r="AB1614" s="466"/>
    </row>
    <row r="1615" spans="1:28" s="352" customFormat="1" ht="18" customHeight="1" x14ac:dyDescent="0.2">
      <c r="A1615" s="2166"/>
      <c r="B1615" s="177"/>
      <c r="C1615" s="177"/>
      <c r="D1615" s="2166"/>
      <c r="E1615" s="2166"/>
      <c r="F1615" s="2166"/>
      <c r="G1615" s="2166"/>
      <c r="H1615" s="2171"/>
      <c r="I1615" s="2168"/>
      <c r="J1615" s="178"/>
      <c r="K1615" s="2168"/>
      <c r="L1615" s="2166"/>
      <c r="M1615" s="2166"/>
      <c r="N1615" s="2166"/>
      <c r="O1615" s="2166"/>
      <c r="P1615" s="2171"/>
      <c r="Q1615" s="2167"/>
      <c r="R1615" s="437"/>
      <c r="S1615" s="2168"/>
      <c r="T1615" s="179"/>
      <c r="U1615" s="178"/>
      <c r="V1615" s="2168"/>
      <c r="W1615" s="2168"/>
      <c r="X1615" s="470"/>
      <c r="Y1615" s="470"/>
      <c r="Z1615" s="471"/>
      <c r="AA1615" s="471"/>
      <c r="AB1615" s="466"/>
    </row>
    <row r="1616" spans="1:28" s="352" customFormat="1" ht="18" customHeight="1" x14ac:dyDescent="0.2">
      <c r="A1616" s="2166"/>
      <c r="B1616" s="177"/>
      <c r="C1616" s="177"/>
      <c r="D1616" s="2166"/>
      <c r="E1616" s="2166"/>
      <c r="F1616" s="2166"/>
      <c r="G1616" s="2166"/>
      <c r="H1616" s="2171"/>
      <c r="I1616" s="2168"/>
      <c r="J1616" s="178"/>
      <c r="K1616" s="2168"/>
      <c r="L1616" s="2166"/>
      <c r="M1616" s="2166"/>
      <c r="N1616" s="2166"/>
      <c r="O1616" s="2166"/>
      <c r="P1616" s="2171"/>
      <c r="Q1616" s="2167"/>
      <c r="R1616" s="437"/>
      <c r="S1616" s="2168"/>
      <c r="T1616" s="179"/>
      <c r="U1616" s="178"/>
      <c r="V1616" s="2168"/>
      <c r="W1616" s="2168"/>
      <c r="X1616" s="470"/>
      <c r="Y1616" s="470"/>
      <c r="Z1616" s="471"/>
      <c r="AA1616" s="471"/>
      <c r="AB1616" s="466"/>
    </row>
    <row r="1617" spans="1:28" s="352" customFormat="1" ht="18" customHeight="1" x14ac:dyDescent="0.2">
      <c r="A1617" s="2166"/>
      <c r="B1617" s="177"/>
      <c r="C1617" s="177"/>
      <c r="D1617" s="2166"/>
      <c r="E1617" s="2166"/>
      <c r="F1617" s="2166"/>
      <c r="G1617" s="2166"/>
      <c r="H1617" s="2171"/>
      <c r="I1617" s="2168"/>
      <c r="J1617" s="178"/>
      <c r="K1617" s="2168"/>
      <c r="L1617" s="2166"/>
      <c r="M1617" s="2166"/>
      <c r="N1617" s="2166"/>
      <c r="O1617" s="2166"/>
      <c r="P1617" s="2171"/>
      <c r="Q1617" s="2167"/>
      <c r="R1617" s="437"/>
      <c r="S1617" s="2168"/>
      <c r="T1617" s="179"/>
      <c r="U1617" s="178"/>
      <c r="V1617" s="2168"/>
      <c r="W1617" s="2168"/>
      <c r="X1617" s="470"/>
      <c r="Y1617" s="470"/>
      <c r="Z1617" s="471"/>
      <c r="AA1617" s="471"/>
      <c r="AB1617" s="466"/>
    </row>
    <row r="1618" spans="1:28" s="352" customFormat="1" ht="18" customHeight="1" x14ac:dyDescent="0.2">
      <c r="A1618" s="2166"/>
      <c r="B1618" s="177"/>
      <c r="C1618" s="177"/>
      <c r="D1618" s="2166"/>
      <c r="E1618" s="2166"/>
      <c r="F1618" s="2166"/>
      <c r="G1618" s="2166"/>
      <c r="H1618" s="2171"/>
      <c r="I1618" s="2168"/>
      <c r="J1618" s="178"/>
      <c r="K1618" s="2168"/>
      <c r="L1618" s="2166"/>
      <c r="M1618" s="2166"/>
      <c r="N1618" s="2166"/>
      <c r="O1618" s="2166"/>
      <c r="P1618" s="2171"/>
      <c r="Q1618" s="2167"/>
      <c r="R1618" s="437"/>
      <c r="S1618" s="2168"/>
      <c r="T1618" s="179"/>
      <c r="U1618" s="178"/>
      <c r="V1618" s="2168"/>
      <c r="W1618" s="2168"/>
      <c r="X1618" s="470"/>
      <c r="Y1618" s="470"/>
      <c r="Z1618" s="471"/>
      <c r="AA1618" s="471"/>
      <c r="AB1618" s="466"/>
    </row>
    <row r="1619" spans="1:28" s="352" customFormat="1" ht="18" customHeight="1" x14ac:dyDescent="0.2">
      <c r="A1619" s="2166"/>
      <c r="B1619" s="177"/>
      <c r="C1619" s="177"/>
      <c r="D1619" s="2166"/>
      <c r="E1619" s="2166"/>
      <c r="F1619" s="2166"/>
      <c r="G1619" s="2166"/>
      <c r="H1619" s="2171"/>
      <c r="I1619" s="2168"/>
      <c r="J1619" s="178"/>
      <c r="K1619" s="2168"/>
      <c r="L1619" s="2166"/>
      <c r="M1619" s="2166"/>
      <c r="N1619" s="2166"/>
      <c r="O1619" s="2166"/>
      <c r="P1619" s="2171"/>
      <c r="Q1619" s="2167"/>
      <c r="R1619" s="437"/>
      <c r="S1619" s="2168"/>
      <c r="T1619" s="179"/>
      <c r="U1619" s="178"/>
      <c r="V1619" s="2168"/>
      <c r="W1619" s="2168"/>
      <c r="X1619" s="470"/>
      <c r="Y1619" s="470"/>
      <c r="Z1619" s="471"/>
      <c r="AA1619" s="471"/>
      <c r="AB1619" s="466"/>
    </row>
    <row r="1620" spans="1:28" s="352" customFormat="1" ht="18" customHeight="1" x14ac:dyDescent="0.2">
      <c r="A1620" s="2166"/>
      <c r="B1620" s="177"/>
      <c r="C1620" s="177"/>
      <c r="D1620" s="2166"/>
      <c r="E1620" s="2166"/>
      <c r="F1620" s="2166"/>
      <c r="G1620" s="2166"/>
      <c r="H1620" s="2171"/>
      <c r="I1620" s="2168"/>
      <c r="J1620" s="178"/>
      <c r="K1620" s="2168"/>
      <c r="L1620" s="2166"/>
      <c r="M1620" s="2166"/>
      <c r="N1620" s="2166"/>
      <c r="O1620" s="2166"/>
      <c r="P1620" s="2171"/>
      <c r="Q1620" s="2167"/>
      <c r="R1620" s="437"/>
      <c r="S1620" s="2168"/>
      <c r="T1620" s="179"/>
      <c r="U1620" s="178"/>
      <c r="V1620" s="2168"/>
      <c r="W1620" s="2168"/>
      <c r="X1620" s="470"/>
      <c r="Y1620" s="470"/>
      <c r="Z1620" s="471"/>
      <c r="AA1620" s="471"/>
      <c r="AB1620" s="466"/>
    </row>
    <row r="1621" spans="1:28" s="352" customFormat="1" ht="18" customHeight="1" x14ac:dyDescent="0.2">
      <c r="A1621" s="88"/>
      <c r="B1621" s="180"/>
      <c r="C1621" s="180"/>
      <c r="D1621" s="88"/>
      <c r="E1621" s="88"/>
      <c r="F1621" s="88"/>
      <c r="G1621" s="88"/>
      <c r="H1621" s="120"/>
      <c r="I1621" s="121"/>
      <c r="J1621" s="181"/>
      <c r="K1621" s="121"/>
      <c r="L1621" s="88"/>
      <c r="M1621" s="88"/>
      <c r="N1621" s="88"/>
      <c r="O1621" s="88"/>
      <c r="P1621" s="88"/>
      <c r="Q1621" s="129"/>
      <c r="R1621" s="445"/>
      <c r="S1621" s="121"/>
      <c r="T1621" s="182"/>
      <c r="U1621" s="181"/>
      <c r="V1621" s="121"/>
      <c r="W1621" s="121"/>
      <c r="X1621" s="472"/>
      <c r="Y1621" s="472"/>
      <c r="Z1621" s="473"/>
      <c r="AA1621" s="473"/>
      <c r="AB1621" s="410"/>
    </row>
    <row r="1622" spans="1:28" s="352" customFormat="1" ht="18" customHeight="1" x14ac:dyDescent="0.2">
      <c r="A1622" s="1850"/>
      <c r="B1622" s="1850"/>
      <c r="C1622" s="1850"/>
      <c r="D1622" s="1850"/>
      <c r="E1622" s="1850"/>
      <c r="F1622" s="1850"/>
      <c r="G1622" s="1850"/>
      <c r="H1622" s="1851"/>
      <c r="I1622" s="1852"/>
      <c r="J1622" s="1853"/>
      <c r="K1622" s="1852"/>
      <c r="L1622" s="1852"/>
      <c r="M1622" s="1852"/>
      <c r="N1622" s="1852"/>
      <c r="O1622" s="1852"/>
      <c r="P1622" s="1852"/>
      <c r="Q1622" s="1852"/>
      <c r="R1622" s="1854"/>
      <c r="S1622" s="1852"/>
      <c r="T1622" s="1855"/>
      <c r="U1622" s="1853"/>
      <c r="V1622" s="1852"/>
      <c r="W1622" s="1852"/>
      <c r="X1622" s="1856"/>
      <c r="Y1622" s="1856"/>
      <c r="Z1622" s="1857"/>
      <c r="AA1622" s="1857"/>
      <c r="AB1622" s="1847">
        <f>SUM(AB1608:AB1621)</f>
        <v>120</v>
      </c>
    </row>
    <row r="1623" spans="1:28" s="352" customFormat="1" ht="18" customHeight="1" x14ac:dyDescent="0.2">
      <c r="A1623" s="2786" t="s">
        <v>76</v>
      </c>
      <c r="B1623" s="2786"/>
      <c r="C1623" s="2787" t="s">
        <v>77</v>
      </c>
      <c r="D1623" s="2787"/>
      <c r="E1623" s="2787"/>
      <c r="F1623" s="2787"/>
      <c r="G1623" s="2787"/>
      <c r="H1623" s="2787"/>
      <c r="I1623" s="424" t="s">
        <v>78</v>
      </c>
      <c r="J1623" s="424"/>
      <c r="K1623" s="424"/>
      <c r="L1623" s="424"/>
      <c r="M1623" s="424"/>
      <c r="N1623" s="424"/>
      <c r="AB1623" s="425"/>
    </row>
    <row r="1624" spans="1:28" s="352" customFormat="1" ht="18" customHeight="1" x14ac:dyDescent="0.2">
      <c r="A1624" s="424"/>
      <c r="B1624" s="426"/>
      <c r="C1624" s="424"/>
      <c r="D1624" s="424"/>
      <c r="E1624" s="424"/>
      <c r="F1624" s="424"/>
      <c r="G1624" s="424"/>
      <c r="H1624" s="424"/>
      <c r="I1624" s="424" t="s">
        <v>79</v>
      </c>
      <c r="J1624" s="424"/>
      <c r="K1624" s="424"/>
      <c r="L1624" s="424"/>
      <c r="M1624" s="424"/>
      <c r="N1624" s="424"/>
      <c r="AB1624" s="425"/>
    </row>
    <row r="1625" spans="1:28" s="352" customFormat="1" ht="18" customHeight="1" x14ac:dyDescent="0.2">
      <c r="A1625" s="424"/>
      <c r="B1625" s="426"/>
      <c r="C1625" s="424"/>
      <c r="D1625" s="424"/>
      <c r="E1625" s="424"/>
      <c r="F1625" s="424"/>
      <c r="G1625" s="424"/>
      <c r="H1625" s="424"/>
      <c r="I1625" s="424" t="s">
        <v>80</v>
      </c>
      <c r="J1625" s="424"/>
      <c r="K1625" s="424"/>
      <c r="L1625" s="424"/>
      <c r="M1625" s="424"/>
      <c r="N1625" s="424"/>
      <c r="AB1625" s="425"/>
    </row>
    <row r="1626" spans="1:28" s="352" customFormat="1" ht="18" customHeight="1" x14ac:dyDescent="0.2">
      <c r="A1626" s="424"/>
      <c r="B1626" s="426"/>
      <c r="C1626" s="424"/>
      <c r="D1626" s="424"/>
      <c r="E1626" s="424"/>
      <c r="F1626" s="424"/>
      <c r="G1626" s="424"/>
      <c r="H1626" s="424"/>
      <c r="I1626" s="424" t="s">
        <v>81</v>
      </c>
      <c r="J1626" s="424"/>
      <c r="K1626" s="424"/>
      <c r="L1626" s="424"/>
      <c r="M1626" s="424"/>
      <c r="N1626" s="424"/>
      <c r="AB1626" s="425"/>
    </row>
    <row r="1627" spans="1:28" s="352" customFormat="1" ht="18" customHeight="1" x14ac:dyDescent="0.2">
      <c r="A1627" s="424"/>
      <c r="B1627" s="426"/>
      <c r="C1627" s="424"/>
      <c r="D1627" s="424"/>
      <c r="E1627" s="424"/>
      <c r="F1627" s="424"/>
      <c r="G1627" s="424"/>
      <c r="H1627" s="424"/>
      <c r="I1627" s="424" t="s">
        <v>88</v>
      </c>
      <c r="J1627" s="424"/>
      <c r="K1627" s="424"/>
      <c r="L1627" s="424"/>
      <c r="M1627" s="424"/>
      <c r="N1627" s="424"/>
      <c r="AB1627" s="425"/>
    </row>
    <row r="1628" spans="1:28" s="352" customFormat="1" ht="18" customHeight="1" x14ac:dyDescent="0.2">
      <c r="A1628" s="338"/>
      <c r="B1628" s="338"/>
      <c r="C1628" s="338"/>
      <c r="D1628" s="338"/>
      <c r="E1628" s="338"/>
      <c r="F1628" s="338"/>
      <c r="G1628" s="338"/>
      <c r="H1628" s="338"/>
      <c r="I1628" s="338"/>
      <c r="J1628" s="338"/>
      <c r="K1628" s="338"/>
      <c r="L1628" s="338"/>
      <c r="M1628" s="338"/>
      <c r="N1628" s="338"/>
      <c r="O1628" s="338"/>
      <c r="P1628" s="338"/>
      <c r="Q1628" s="338"/>
      <c r="R1628" s="338"/>
      <c r="S1628" s="338"/>
      <c r="T1628" s="338"/>
      <c r="U1628" s="338"/>
      <c r="V1628" s="338"/>
      <c r="W1628" s="338"/>
      <c r="X1628" s="338"/>
      <c r="Y1628" s="338"/>
      <c r="Z1628" s="338"/>
      <c r="AA1628" s="2774" t="s">
        <v>0</v>
      </c>
      <c r="AB1628" s="2774"/>
    </row>
    <row r="1629" spans="1:28" s="352" customFormat="1" ht="18" customHeight="1" x14ac:dyDescent="0.2">
      <c r="A1629" s="2703" t="s">
        <v>1</v>
      </c>
      <c r="B1629" s="2703"/>
      <c r="C1629" s="2703"/>
      <c r="D1629" s="2703"/>
      <c r="E1629" s="2703"/>
      <c r="F1629" s="2703"/>
      <c r="G1629" s="2703"/>
      <c r="H1629" s="2703"/>
      <c r="I1629" s="2703"/>
      <c r="J1629" s="2703"/>
      <c r="K1629" s="2703"/>
      <c r="L1629" s="2703"/>
      <c r="M1629" s="2703"/>
      <c r="N1629" s="2703"/>
      <c r="O1629" s="2703"/>
      <c r="P1629" s="2703"/>
      <c r="Q1629" s="2703"/>
      <c r="R1629" s="2703"/>
      <c r="S1629" s="2703"/>
      <c r="T1629" s="2703"/>
      <c r="U1629" s="2703"/>
      <c r="V1629" s="2703"/>
      <c r="W1629" s="2703"/>
      <c r="X1629" s="2703"/>
      <c r="Y1629" s="2703"/>
      <c r="Z1629" s="2703"/>
      <c r="AA1629" s="2703"/>
      <c r="AB1629" s="2703"/>
    </row>
    <row r="1630" spans="1:28" s="2191" customFormat="1" ht="18" customHeight="1" x14ac:dyDescent="0.2">
      <c r="A1630" s="2780" t="s">
        <v>651</v>
      </c>
      <c r="B1630" s="2780"/>
      <c r="C1630" s="2780"/>
      <c r="D1630" s="2780"/>
      <c r="E1630" s="2780"/>
      <c r="F1630" s="2780"/>
      <c r="G1630" s="2780"/>
      <c r="H1630" s="2780"/>
      <c r="I1630" s="2780"/>
      <c r="J1630" s="2780"/>
      <c r="K1630" s="2780"/>
      <c r="L1630" s="2780"/>
      <c r="M1630" s="2780"/>
      <c r="N1630" s="2780"/>
      <c r="O1630" s="2780"/>
      <c r="P1630" s="2780"/>
      <c r="Q1630" s="2780"/>
      <c r="R1630" s="2780"/>
      <c r="S1630" s="2780"/>
      <c r="T1630" s="2780"/>
      <c r="U1630" s="2780"/>
      <c r="V1630" s="2780"/>
      <c r="W1630" s="2780"/>
      <c r="X1630" s="2780"/>
      <c r="Y1630" s="2780"/>
      <c r="Z1630" s="2780"/>
      <c r="AA1630" s="2780"/>
      <c r="AB1630" s="2780"/>
    </row>
    <row r="1631" spans="1:28" s="352" customFormat="1" ht="18" customHeight="1" x14ac:dyDescent="0.2">
      <c r="A1631" s="2686" t="s">
        <v>2</v>
      </c>
      <c r="B1631" s="360"/>
      <c r="C1631" s="2686" t="s">
        <v>3</v>
      </c>
      <c r="D1631" s="360"/>
      <c r="E1631" s="360"/>
      <c r="F1631" s="2693" t="s">
        <v>4</v>
      </c>
      <c r="G1631" s="2693"/>
      <c r="H1631" s="2693"/>
      <c r="I1631" s="2694"/>
      <c r="J1631" s="2694"/>
      <c r="K1631" s="2695"/>
      <c r="L1631" s="361"/>
      <c r="M1631" s="2679" t="s">
        <v>5</v>
      </c>
      <c r="N1631" s="2679"/>
      <c r="O1631" s="2679"/>
      <c r="P1631" s="2679"/>
      <c r="Q1631" s="2696"/>
      <c r="R1631" s="2696"/>
      <c r="S1631" s="2696"/>
      <c r="T1631" s="2696"/>
      <c r="U1631" s="2696"/>
      <c r="V1631" s="2697"/>
      <c r="W1631" s="362" t="s">
        <v>6</v>
      </c>
      <c r="X1631" s="363" t="s">
        <v>7</v>
      </c>
      <c r="Y1631" s="364"/>
      <c r="Z1631" s="364"/>
      <c r="AA1631" s="363"/>
      <c r="AB1631" s="365"/>
    </row>
    <row r="1632" spans="1:28" s="352" customFormat="1" ht="18" customHeight="1" x14ac:dyDescent="0.2">
      <c r="A1632" s="2687"/>
      <c r="B1632" s="367"/>
      <c r="C1632" s="2687"/>
      <c r="D1632" s="2158" t="s">
        <v>9</v>
      </c>
      <c r="E1632" s="368" t="s">
        <v>10</v>
      </c>
      <c r="F1632" s="2698" t="s">
        <v>11</v>
      </c>
      <c r="G1632" s="2694"/>
      <c r="H1632" s="2695"/>
      <c r="I1632" s="360"/>
      <c r="J1632" s="369" t="s">
        <v>12</v>
      </c>
      <c r="K1632" s="360"/>
      <c r="L1632" s="2679" t="s">
        <v>2</v>
      </c>
      <c r="M1632" s="2162"/>
      <c r="N1632" s="2162"/>
      <c r="O1632" s="2162"/>
      <c r="P1632" s="371"/>
      <c r="Q1632" s="372" t="s">
        <v>13</v>
      </c>
      <c r="R1632" s="373" t="s">
        <v>12</v>
      </c>
      <c r="S1632" s="2162" t="s">
        <v>6</v>
      </c>
      <c r="T1632" s="2682" t="s">
        <v>14</v>
      </c>
      <c r="U1632" s="2683"/>
      <c r="V1632" s="375" t="s">
        <v>7</v>
      </c>
      <c r="W1632" s="376" t="s">
        <v>15</v>
      </c>
      <c r="X1632" s="377" t="s">
        <v>16</v>
      </c>
      <c r="Y1632" s="377" t="s">
        <v>17</v>
      </c>
      <c r="Z1632" s="377" t="s">
        <v>18</v>
      </c>
      <c r="AA1632" s="377"/>
      <c r="AB1632" s="378" t="s">
        <v>19</v>
      </c>
    </row>
    <row r="1633" spans="1:28" s="352" customFormat="1" ht="18" customHeight="1" x14ac:dyDescent="0.2">
      <c r="A1633" s="2687"/>
      <c r="B1633" s="2158" t="s">
        <v>23</v>
      </c>
      <c r="C1633" s="2687"/>
      <c r="D1633" s="2158" t="s">
        <v>24</v>
      </c>
      <c r="E1633" s="368" t="s">
        <v>25</v>
      </c>
      <c r="F1633" s="2699"/>
      <c r="G1633" s="2700"/>
      <c r="H1633" s="2701"/>
      <c r="I1633" s="2158" t="s">
        <v>26</v>
      </c>
      <c r="J1633" s="379" t="s">
        <v>15</v>
      </c>
      <c r="K1633" s="2159" t="s">
        <v>6</v>
      </c>
      <c r="L1633" s="2680"/>
      <c r="M1633" s="2163" t="s">
        <v>27</v>
      </c>
      <c r="N1633" s="2163" t="s">
        <v>10</v>
      </c>
      <c r="O1633" s="382" t="s">
        <v>10</v>
      </c>
      <c r="P1633" s="383" t="s">
        <v>28</v>
      </c>
      <c r="Q1633" s="384" t="s">
        <v>29</v>
      </c>
      <c r="R1633" s="383" t="s">
        <v>15</v>
      </c>
      <c r="S1633" s="385" t="s">
        <v>15</v>
      </c>
      <c r="T1633" s="2684"/>
      <c r="U1633" s="2685"/>
      <c r="V1633" s="375" t="s">
        <v>30</v>
      </c>
      <c r="W1633" s="376" t="s">
        <v>31</v>
      </c>
      <c r="X1633" s="377" t="s">
        <v>30</v>
      </c>
      <c r="Y1633" s="377" t="s">
        <v>32</v>
      </c>
      <c r="Z1633" s="377" t="s">
        <v>7</v>
      </c>
      <c r="AA1633" s="377" t="s">
        <v>33</v>
      </c>
      <c r="AB1633" s="378" t="s">
        <v>34</v>
      </c>
    </row>
    <row r="1634" spans="1:28" s="352" customFormat="1" ht="18" customHeight="1" x14ac:dyDescent="0.2">
      <c r="A1634" s="2687"/>
      <c r="B1634" s="2158" t="s">
        <v>39</v>
      </c>
      <c r="C1634" s="2687"/>
      <c r="D1634" s="2158" t="s">
        <v>40</v>
      </c>
      <c r="E1634" s="368" t="s">
        <v>41</v>
      </c>
      <c r="F1634" s="2686" t="s">
        <v>42</v>
      </c>
      <c r="G1634" s="2686" t="s">
        <v>43</v>
      </c>
      <c r="H1634" s="2688" t="s">
        <v>44</v>
      </c>
      <c r="I1634" s="2158" t="s">
        <v>45</v>
      </c>
      <c r="J1634" s="379" t="s">
        <v>46</v>
      </c>
      <c r="K1634" s="2159" t="s">
        <v>47</v>
      </c>
      <c r="L1634" s="2680"/>
      <c r="M1634" s="2163" t="s">
        <v>30</v>
      </c>
      <c r="N1634" s="2163" t="s">
        <v>30</v>
      </c>
      <c r="O1634" s="382" t="s">
        <v>25</v>
      </c>
      <c r="P1634" s="383" t="s">
        <v>30</v>
      </c>
      <c r="Q1634" s="384" t="s">
        <v>48</v>
      </c>
      <c r="R1634" s="383" t="s">
        <v>49</v>
      </c>
      <c r="S1634" s="385" t="s">
        <v>30</v>
      </c>
      <c r="T1634" s="386" t="s">
        <v>50</v>
      </c>
      <c r="U1634" s="2161" t="s">
        <v>13</v>
      </c>
      <c r="V1634" s="375" t="s">
        <v>51</v>
      </c>
      <c r="W1634" s="376" t="s">
        <v>52</v>
      </c>
      <c r="X1634" s="377" t="s">
        <v>53</v>
      </c>
      <c r="Y1634" s="377" t="s">
        <v>54</v>
      </c>
      <c r="Z1634" s="377" t="s">
        <v>55</v>
      </c>
      <c r="AA1634" s="377" t="s">
        <v>56</v>
      </c>
      <c r="AB1634" s="378" t="s">
        <v>57</v>
      </c>
    </row>
    <row r="1635" spans="1:28" s="352" customFormat="1" ht="18" customHeight="1" x14ac:dyDescent="0.2">
      <c r="A1635" s="2687"/>
      <c r="B1635" s="2158" t="s">
        <v>61</v>
      </c>
      <c r="C1635" s="2687"/>
      <c r="D1635" s="2158" t="s">
        <v>62</v>
      </c>
      <c r="E1635" s="368" t="s">
        <v>63</v>
      </c>
      <c r="F1635" s="2687"/>
      <c r="G1635" s="2687"/>
      <c r="H1635" s="2689"/>
      <c r="I1635" s="2158" t="s">
        <v>64</v>
      </c>
      <c r="J1635" s="379" t="s">
        <v>59</v>
      </c>
      <c r="K1635" s="2159" t="s">
        <v>59</v>
      </c>
      <c r="L1635" s="2680"/>
      <c r="M1635" s="2163"/>
      <c r="N1635" s="2163"/>
      <c r="O1635" s="382" t="s">
        <v>41</v>
      </c>
      <c r="P1635" s="383" t="s">
        <v>65</v>
      </c>
      <c r="Q1635" s="384" t="s">
        <v>66</v>
      </c>
      <c r="R1635" s="383" t="s">
        <v>67</v>
      </c>
      <c r="S1635" s="385" t="s">
        <v>59</v>
      </c>
      <c r="T1635" s="387" t="s">
        <v>68</v>
      </c>
      <c r="U1635" s="375" t="s">
        <v>14</v>
      </c>
      <c r="V1635" s="375" t="s">
        <v>14</v>
      </c>
      <c r="W1635" s="376" t="s">
        <v>30</v>
      </c>
      <c r="X1635" s="388" t="s">
        <v>69</v>
      </c>
      <c r="Y1635" s="388" t="s">
        <v>70</v>
      </c>
      <c r="Z1635" s="377" t="s">
        <v>71</v>
      </c>
      <c r="AA1635" s="377" t="s">
        <v>72</v>
      </c>
      <c r="AB1635" s="378" t="s">
        <v>59</v>
      </c>
    </row>
    <row r="1636" spans="1:28" s="352" customFormat="1" ht="18" customHeight="1" x14ac:dyDescent="0.2">
      <c r="A1636" s="2692"/>
      <c r="B1636" s="390"/>
      <c r="C1636" s="2692"/>
      <c r="D1636" s="390"/>
      <c r="E1636" s="2160"/>
      <c r="F1636" s="390"/>
      <c r="G1636" s="390"/>
      <c r="H1636" s="391"/>
      <c r="I1636" s="2160"/>
      <c r="J1636" s="392"/>
      <c r="K1636" s="393"/>
      <c r="L1636" s="2681"/>
      <c r="M1636" s="2164"/>
      <c r="N1636" s="2164"/>
      <c r="O1636" s="2164" t="s">
        <v>63</v>
      </c>
      <c r="P1636" s="395"/>
      <c r="Q1636" s="396" t="s">
        <v>72</v>
      </c>
      <c r="R1636" s="397" t="s">
        <v>59</v>
      </c>
      <c r="S1636" s="398"/>
      <c r="T1636" s="397" t="s">
        <v>73</v>
      </c>
      <c r="U1636" s="398" t="s">
        <v>59</v>
      </c>
      <c r="V1636" s="399" t="s">
        <v>59</v>
      </c>
      <c r="W1636" s="400" t="s">
        <v>59</v>
      </c>
      <c r="X1636" s="401" t="s">
        <v>59</v>
      </c>
      <c r="Y1636" s="401" t="s">
        <v>59</v>
      </c>
      <c r="Z1636" s="401" t="s">
        <v>59</v>
      </c>
      <c r="AA1636" s="402"/>
      <c r="AB1636" s="403"/>
    </row>
    <row r="1637" spans="1:28" s="352" customFormat="1" ht="18" customHeight="1" x14ac:dyDescent="0.2">
      <c r="A1637" s="82">
        <v>1</v>
      </c>
      <c r="B1637" s="41">
        <v>33569</v>
      </c>
      <c r="C1637" s="41">
        <v>314</v>
      </c>
      <c r="D1637" s="41" t="s">
        <v>107</v>
      </c>
      <c r="E1637" s="41">
        <v>4</v>
      </c>
      <c r="F1637" s="41">
        <v>0</v>
      </c>
      <c r="G1637" s="41">
        <v>1</v>
      </c>
      <c r="H1637" s="267">
        <v>0</v>
      </c>
      <c r="I1637" s="302">
        <f>F1637*400+G1637*100+H1637</f>
        <v>100</v>
      </c>
      <c r="J1637" s="310">
        <v>3000</v>
      </c>
      <c r="K1637" s="303">
        <f>SUM(I1637*J1637)</f>
        <v>300000</v>
      </c>
      <c r="L1637" s="16"/>
      <c r="M1637" s="82"/>
      <c r="N1637" s="41"/>
      <c r="O1637" s="16"/>
      <c r="P1637" s="404"/>
      <c r="Q1637" s="14"/>
      <c r="R1637" s="302"/>
      <c r="S1637" s="302"/>
      <c r="T1637" s="41"/>
      <c r="U1637" s="302"/>
      <c r="V1637" s="302"/>
      <c r="W1637" s="302">
        <f>K1637+V1637</f>
        <v>300000</v>
      </c>
      <c r="X1637" s="302">
        <f>W1637</f>
        <v>300000</v>
      </c>
      <c r="Y1637" s="310"/>
      <c r="Z1637" s="302">
        <f>+X1637</f>
        <v>300000</v>
      </c>
      <c r="AA1637" s="405">
        <v>0.6</v>
      </c>
      <c r="AB1637" s="406">
        <f>+Z1637*AA1637/100</f>
        <v>1800</v>
      </c>
    </row>
    <row r="1638" spans="1:28" s="352" customFormat="1" ht="18" customHeight="1" x14ac:dyDescent="0.2">
      <c r="A1638" s="61"/>
      <c r="B1638" s="2166"/>
      <c r="C1638" s="2166"/>
      <c r="D1638" s="2166"/>
      <c r="E1638" s="2166"/>
      <c r="F1638" s="2166"/>
      <c r="G1638" s="2166"/>
      <c r="H1638" s="407"/>
      <c r="I1638" s="77"/>
      <c r="J1638" s="2168"/>
      <c r="K1638" s="78"/>
      <c r="L1638" s="61"/>
      <c r="M1638" s="2166"/>
      <c r="N1638" s="2166"/>
      <c r="O1638" s="61"/>
      <c r="P1638" s="177"/>
      <c r="Q1638" s="196"/>
      <c r="R1638" s="408"/>
      <c r="S1638" s="77"/>
      <c r="T1638" s="2166"/>
      <c r="U1638" s="77"/>
      <c r="V1638" s="77"/>
      <c r="W1638" s="77"/>
      <c r="X1638" s="77"/>
      <c r="Y1638" s="2168"/>
      <c r="Z1638" s="77"/>
      <c r="AA1638" s="2170"/>
      <c r="AB1638" s="410"/>
    </row>
    <row r="1639" spans="1:28" s="352" customFormat="1" ht="18" customHeight="1" x14ac:dyDescent="0.2">
      <c r="A1639" s="61"/>
      <c r="B1639" s="2166"/>
      <c r="C1639" s="2166"/>
      <c r="D1639" s="2166"/>
      <c r="E1639" s="2166"/>
      <c r="F1639" s="2166"/>
      <c r="G1639" s="2166"/>
      <c r="H1639" s="407"/>
      <c r="I1639" s="77"/>
      <c r="J1639" s="2168"/>
      <c r="K1639" s="78"/>
      <c r="L1639" s="61"/>
      <c r="M1639" s="2166"/>
      <c r="N1639" s="2166"/>
      <c r="O1639" s="61"/>
      <c r="P1639" s="177"/>
      <c r="Q1639" s="196"/>
      <c r="R1639" s="408"/>
      <c r="S1639" s="77"/>
      <c r="T1639" s="2166"/>
      <c r="U1639" s="77"/>
      <c r="V1639" s="77"/>
      <c r="W1639" s="77"/>
      <c r="X1639" s="77"/>
      <c r="Y1639" s="2168"/>
      <c r="Z1639" s="77"/>
      <c r="AA1639" s="2170"/>
      <c r="AB1639" s="410"/>
    </row>
    <row r="1640" spans="1:28" s="352" customFormat="1" ht="18" customHeight="1" x14ac:dyDescent="0.2">
      <c r="A1640" s="242"/>
      <c r="B1640" s="2166"/>
      <c r="C1640" s="2166"/>
      <c r="D1640" s="2166"/>
      <c r="E1640" s="2166"/>
      <c r="F1640" s="2166"/>
      <c r="G1640" s="2166"/>
      <c r="H1640" s="407"/>
      <c r="I1640" s="77"/>
      <c r="J1640" s="2168"/>
      <c r="K1640" s="78"/>
      <c r="L1640" s="61"/>
      <c r="M1640" s="2166"/>
      <c r="N1640" s="2166"/>
      <c r="O1640" s="61"/>
      <c r="P1640" s="177"/>
      <c r="Q1640" s="196"/>
      <c r="R1640" s="408"/>
      <c r="S1640" s="77"/>
      <c r="T1640" s="2166"/>
      <c r="U1640" s="77"/>
      <c r="V1640" s="77"/>
      <c r="W1640" s="77"/>
      <c r="X1640" s="77"/>
      <c r="Y1640" s="2168"/>
      <c r="Z1640" s="77"/>
      <c r="AA1640" s="2170"/>
      <c r="AB1640" s="410"/>
    </row>
    <row r="1641" spans="1:28" s="352" customFormat="1" ht="18" customHeight="1" x14ac:dyDescent="0.2">
      <c r="A1641" s="75"/>
      <c r="B1641" s="88"/>
      <c r="C1641" s="88"/>
      <c r="D1641" s="88"/>
      <c r="E1641" s="88"/>
      <c r="F1641" s="88"/>
      <c r="G1641" s="88"/>
      <c r="H1641" s="495"/>
      <c r="I1641" s="74"/>
      <c r="J1641" s="121"/>
      <c r="K1641" s="159"/>
      <c r="L1641" s="75"/>
      <c r="M1641" s="88"/>
      <c r="N1641" s="88"/>
      <c r="O1641" s="75"/>
      <c r="P1641" s="180"/>
      <c r="Q1641" s="174"/>
      <c r="R1641" s="413"/>
      <c r="S1641" s="74"/>
      <c r="T1641" s="88"/>
      <c r="U1641" s="74"/>
      <c r="V1641" s="74"/>
      <c r="W1641" s="74"/>
      <c r="X1641" s="74"/>
      <c r="Y1641" s="121"/>
      <c r="Z1641" s="74"/>
      <c r="AA1641" s="414"/>
      <c r="AB1641" s="416"/>
    </row>
    <row r="1642" spans="1:28" s="352" customFormat="1" ht="18" customHeight="1" x14ac:dyDescent="0.2">
      <c r="A1642" s="61"/>
      <c r="B1642" s="2166"/>
      <c r="C1642" s="2166"/>
      <c r="D1642" s="2166"/>
      <c r="E1642" s="2166"/>
      <c r="F1642" s="2166"/>
      <c r="G1642" s="2166"/>
      <c r="H1642" s="407"/>
      <c r="I1642" s="77"/>
      <c r="J1642" s="2168"/>
      <c r="K1642" s="78"/>
      <c r="L1642" s="61"/>
      <c r="M1642" s="2166"/>
      <c r="N1642" s="2166"/>
      <c r="O1642" s="61"/>
      <c r="P1642" s="177"/>
      <c r="Q1642" s="196"/>
      <c r="R1642" s="408"/>
      <c r="S1642" s="77"/>
      <c r="T1642" s="2166"/>
      <c r="U1642" s="77"/>
      <c r="V1642" s="77"/>
      <c r="W1642" s="77"/>
      <c r="X1642" s="77"/>
      <c r="Y1642" s="2168"/>
      <c r="Z1642" s="77"/>
      <c r="AA1642" s="2170"/>
      <c r="AB1642" s="410"/>
    </row>
    <row r="1643" spans="1:28" s="352" customFormat="1" ht="18" customHeight="1" x14ac:dyDescent="0.2">
      <c r="A1643" s="2166"/>
      <c r="B1643" s="177"/>
      <c r="C1643" s="177"/>
      <c r="D1643" s="2166"/>
      <c r="E1643" s="2166"/>
      <c r="F1643" s="2166"/>
      <c r="G1643" s="2166"/>
      <c r="H1643" s="2171"/>
      <c r="I1643" s="2168"/>
      <c r="J1643" s="178"/>
      <c r="K1643" s="2168"/>
      <c r="L1643" s="2166"/>
      <c r="M1643" s="2166"/>
      <c r="N1643" s="2166"/>
      <c r="O1643" s="2166"/>
      <c r="P1643" s="2171"/>
      <c r="Q1643" s="2167"/>
      <c r="R1643" s="437"/>
      <c r="S1643" s="2168"/>
      <c r="T1643" s="179"/>
      <c r="U1643" s="178"/>
      <c r="V1643" s="2168"/>
      <c r="W1643" s="2168"/>
      <c r="X1643" s="470"/>
      <c r="Y1643" s="470"/>
      <c r="Z1643" s="471"/>
      <c r="AA1643" s="471"/>
      <c r="AB1643" s="466"/>
    </row>
    <row r="1644" spans="1:28" s="352" customFormat="1" ht="18" customHeight="1" x14ac:dyDescent="0.2">
      <c r="A1644" s="2166"/>
      <c r="B1644" s="177"/>
      <c r="C1644" s="177"/>
      <c r="D1644" s="2166"/>
      <c r="E1644" s="2166"/>
      <c r="F1644" s="2166"/>
      <c r="G1644" s="2166"/>
      <c r="H1644" s="2171"/>
      <c r="I1644" s="2168"/>
      <c r="J1644" s="178"/>
      <c r="K1644" s="2168"/>
      <c r="L1644" s="2166"/>
      <c r="M1644" s="2166"/>
      <c r="N1644" s="2166"/>
      <c r="O1644" s="2166"/>
      <c r="P1644" s="2171"/>
      <c r="Q1644" s="2167"/>
      <c r="R1644" s="437"/>
      <c r="S1644" s="2168"/>
      <c r="T1644" s="179"/>
      <c r="U1644" s="178"/>
      <c r="V1644" s="2168"/>
      <c r="W1644" s="2168"/>
      <c r="X1644" s="470"/>
      <c r="Y1644" s="470"/>
      <c r="Z1644" s="471"/>
      <c r="AA1644" s="471"/>
      <c r="AB1644" s="466"/>
    </row>
    <row r="1645" spans="1:28" s="352" customFormat="1" ht="18" customHeight="1" x14ac:dyDescent="0.2">
      <c r="A1645" s="2166"/>
      <c r="B1645" s="177"/>
      <c r="C1645" s="177"/>
      <c r="D1645" s="2166"/>
      <c r="E1645" s="2166"/>
      <c r="F1645" s="2166"/>
      <c r="G1645" s="2166"/>
      <c r="H1645" s="2171"/>
      <c r="I1645" s="2168"/>
      <c r="J1645" s="178"/>
      <c r="K1645" s="2168"/>
      <c r="L1645" s="2166"/>
      <c r="M1645" s="2166"/>
      <c r="N1645" s="2166"/>
      <c r="O1645" s="2166"/>
      <c r="P1645" s="2171"/>
      <c r="Q1645" s="2167"/>
      <c r="R1645" s="437"/>
      <c r="S1645" s="2168"/>
      <c r="T1645" s="179"/>
      <c r="U1645" s="178"/>
      <c r="V1645" s="2168"/>
      <c r="W1645" s="2168"/>
      <c r="X1645" s="470"/>
      <c r="Y1645" s="470"/>
      <c r="Z1645" s="471"/>
      <c r="AA1645" s="471"/>
      <c r="AB1645" s="466"/>
    </row>
    <row r="1646" spans="1:28" s="352" customFormat="1" ht="18" customHeight="1" x14ac:dyDescent="0.2">
      <c r="A1646" s="2166"/>
      <c r="B1646" s="177"/>
      <c r="C1646" s="177"/>
      <c r="D1646" s="2166"/>
      <c r="E1646" s="2166"/>
      <c r="F1646" s="2166"/>
      <c r="G1646" s="2166"/>
      <c r="H1646" s="2171"/>
      <c r="I1646" s="2168"/>
      <c r="J1646" s="178"/>
      <c r="K1646" s="2168"/>
      <c r="L1646" s="2166"/>
      <c r="M1646" s="2166"/>
      <c r="N1646" s="2166"/>
      <c r="O1646" s="2166"/>
      <c r="P1646" s="2171"/>
      <c r="Q1646" s="2167"/>
      <c r="R1646" s="437"/>
      <c r="S1646" s="2168"/>
      <c r="T1646" s="179"/>
      <c r="U1646" s="178"/>
      <c r="V1646" s="2168"/>
      <c r="W1646" s="2168"/>
      <c r="X1646" s="470"/>
      <c r="Y1646" s="470"/>
      <c r="Z1646" s="471"/>
      <c r="AA1646" s="471"/>
      <c r="AB1646" s="466"/>
    </row>
    <row r="1647" spans="1:28" s="352" customFormat="1" ht="18" customHeight="1" x14ac:dyDescent="0.2">
      <c r="A1647" s="2166"/>
      <c r="B1647" s="177"/>
      <c r="C1647" s="177"/>
      <c r="D1647" s="2166"/>
      <c r="E1647" s="2166"/>
      <c r="F1647" s="2166"/>
      <c r="G1647" s="2166"/>
      <c r="H1647" s="2171"/>
      <c r="I1647" s="2168"/>
      <c r="J1647" s="178"/>
      <c r="K1647" s="2168"/>
      <c r="L1647" s="2166"/>
      <c r="M1647" s="2166"/>
      <c r="N1647" s="2166"/>
      <c r="O1647" s="2166"/>
      <c r="P1647" s="2171"/>
      <c r="Q1647" s="2167"/>
      <c r="R1647" s="437"/>
      <c r="S1647" s="2168"/>
      <c r="T1647" s="179"/>
      <c r="U1647" s="178"/>
      <c r="V1647" s="2168"/>
      <c r="W1647" s="2168"/>
      <c r="X1647" s="470"/>
      <c r="Y1647" s="470"/>
      <c r="Z1647" s="471"/>
      <c r="AA1647" s="471"/>
      <c r="AB1647" s="466"/>
    </row>
    <row r="1648" spans="1:28" s="352" customFormat="1" ht="18" customHeight="1" x14ac:dyDescent="0.2">
      <c r="A1648" s="2166"/>
      <c r="B1648" s="177"/>
      <c r="C1648" s="177"/>
      <c r="D1648" s="2166"/>
      <c r="E1648" s="2166"/>
      <c r="F1648" s="2166"/>
      <c r="G1648" s="2166"/>
      <c r="H1648" s="2171"/>
      <c r="I1648" s="2168"/>
      <c r="J1648" s="178"/>
      <c r="K1648" s="2168"/>
      <c r="L1648" s="2166"/>
      <c r="M1648" s="2166"/>
      <c r="N1648" s="2166"/>
      <c r="O1648" s="2166"/>
      <c r="P1648" s="2171"/>
      <c r="Q1648" s="2167"/>
      <c r="R1648" s="437"/>
      <c r="S1648" s="2168"/>
      <c r="T1648" s="179"/>
      <c r="U1648" s="178"/>
      <c r="V1648" s="2168"/>
      <c r="W1648" s="2168"/>
      <c r="X1648" s="470"/>
      <c r="Y1648" s="470"/>
      <c r="Z1648" s="471"/>
      <c r="AA1648" s="471"/>
      <c r="AB1648" s="466"/>
    </row>
    <row r="1649" spans="1:28" s="352" customFormat="1" ht="18" customHeight="1" x14ac:dyDescent="0.2">
      <c r="A1649" s="2166"/>
      <c r="B1649" s="177"/>
      <c r="C1649" s="177"/>
      <c r="D1649" s="2166"/>
      <c r="E1649" s="2166"/>
      <c r="F1649" s="2166"/>
      <c r="G1649" s="2166"/>
      <c r="H1649" s="2171"/>
      <c r="I1649" s="2168"/>
      <c r="J1649" s="178"/>
      <c r="K1649" s="2168"/>
      <c r="L1649" s="2166"/>
      <c r="M1649" s="2166"/>
      <c r="N1649" s="2166"/>
      <c r="O1649" s="2166"/>
      <c r="P1649" s="2171"/>
      <c r="Q1649" s="2167"/>
      <c r="R1649" s="437"/>
      <c r="S1649" s="2168"/>
      <c r="T1649" s="179"/>
      <c r="U1649" s="178"/>
      <c r="V1649" s="2168"/>
      <c r="W1649" s="2168"/>
      <c r="X1649" s="470"/>
      <c r="Y1649" s="470"/>
      <c r="Z1649" s="471"/>
      <c r="AA1649" s="471"/>
      <c r="AB1649" s="466"/>
    </row>
    <row r="1650" spans="1:28" s="352" customFormat="1" ht="18" customHeight="1" x14ac:dyDescent="0.2">
      <c r="A1650" s="88"/>
      <c r="B1650" s="180"/>
      <c r="C1650" s="180"/>
      <c r="D1650" s="88"/>
      <c r="E1650" s="88"/>
      <c r="F1650" s="88"/>
      <c r="G1650" s="88"/>
      <c r="H1650" s="120"/>
      <c r="I1650" s="121"/>
      <c r="J1650" s="181"/>
      <c r="K1650" s="121"/>
      <c r="L1650" s="88"/>
      <c r="M1650" s="88"/>
      <c r="N1650" s="88"/>
      <c r="O1650" s="88"/>
      <c r="P1650" s="88"/>
      <c r="Q1650" s="129"/>
      <c r="R1650" s="445"/>
      <c r="S1650" s="121"/>
      <c r="T1650" s="182"/>
      <c r="U1650" s="181"/>
      <c r="V1650" s="121"/>
      <c r="W1650" s="121"/>
      <c r="X1650" s="472"/>
      <c r="Y1650" s="472"/>
      <c r="Z1650" s="473"/>
      <c r="AA1650" s="473"/>
      <c r="AB1650" s="410"/>
    </row>
    <row r="1651" spans="1:28" s="352" customFormat="1" ht="18" customHeight="1" x14ac:dyDescent="0.2">
      <c r="A1651" s="1850"/>
      <c r="B1651" s="1850"/>
      <c r="C1651" s="1850"/>
      <c r="D1651" s="1850"/>
      <c r="E1651" s="1850"/>
      <c r="F1651" s="1850"/>
      <c r="G1651" s="1850"/>
      <c r="H1651" s="1851"/>
      <c r="I1651" s="1852"/>
      <c r="J1651" s="1853"/>
      <c r="K1651" s="1852"/>
      <c r="L1651" s="1852"/>
      <c r="M1651" s="1852"/>
      <c r="N1651" s="1852"/>
      <c r="O1651" s="1852"/>
      <c r="P1651" s="1852"/>
      <c r="Q1651" s="1852"/>
      <c r="R1651" s="1854"/>
      <c r="S1651" s="1852"/>
      <c r="T1651" s="1855"/>
      <c r="U1651" s="1853"/>
      <c r="V1651" s="1852"/>
      <c r="W1651" s="1852"/>
      <c r="X1651" s="1856"/>
      <c r="Y1651" s="1856"/>
      <c r="Z1651" s="1857"/>
      <c r="AA1651" s="1857"/>
      <c r="AB1651" s="1847">
        <f>SUM(AB1637:AB1650)</f>
        <v>1800</v>
      </c>
    </row>
    <row r="1652" spans="1:28" s="352" customFormat="1" ht="18" customHeight="1" x14ac:dyDescent="0.2">
      <c r="A1652" s="2778" t="s">
        <v>76</v>
      </c>
      <c r="B1652" s="2778"/>
      <c r="C1652" s="2779" t="s">
        <v>77</v>
      </c>
      <c r="D1652" s="2779"/>
      <c r="E1652" s="2779"/>
      <c r="F1652" s="2779"/>
      <c r="G1652" s="2779"/>
      <c r="H1652" s="2779"/>
      <c r="I1652" s="424" t="s">
        <v>78</v>
      </c>
      <c r="J1652" s="424"/>
      <c r="K1652" s="424"/>
      <c r="L1652" s="424"/>
      <c r="M1652" s="424"/>
      <c r="N1652" s="424"/>
      <c r="AB1652" s="425"/>
    </row>
    <row r="1653" spans="1:28" s="352" customFormat="1" ht="18" customHeight="1" x14ac:dyDescent="0.2">
      <c r="A1653" s="424"/>
      <c r="B1653" s="426"/>
      <c r="C1653" s="424"/>
      <c r="D1653" s="424"/>
      <c r="E1653" s="424"/>
      <c r="F1653" s="424"/>
      <c r="G1653" s="424"/>
      <c r="H1653" s="424"/>
      <c r="I1653" s="424" t="s">
        <v>79</v>
      </c>
      <c r="J1653" s="424"/>
      <c r="K1653" s="424"/>
      <c r="L1653" s="424"/>
      <c r="M1653" s="424"/>
      <c r="N1653" s="424"/>
      <c r="AB1653" s="425"/>
    </row>
    <row r="1654" spans="1:28" s="352" customFormat="1" ht="18" customHeight="1" x14ac:dyDescent="0.2">
      <c r="A1654" s="424"/>
      <c r="B1654" s="426"/>
      <c r="C1654" s="424"/>
      <c r="D1654" s="424"/>
      <c r="E1654" s="424"/>
      <c r="F1654" s="424"/>
      <c r="G1654" s="424"/>
      <c r="H1654" s="424"/>
      <c r="I1654" s="424" t="s">
        <v>80</v>
      </c>
      <c r="J1654" s="424"/>
      <c r="K1654" s="424"/>
      <c r="L1654" s="424"/>
      <c r="M1654" s="424"/>
      <c r="N1654" s="424"/>
      <c r="AB1654" s="425"/>
    </row>
    <row r="1655" spans="1:28" s="352" customFormat="1" ht="18" customHeight="1" x14ac:dyDescent="0.2">
      <c r="A1655" s="424"/>
      <c r="B1655" s="426"/>
      <c r="C1655" s="424"/>
      <c r="D1655" s="424"/>
      <c r="E1655" s="424"/>
      <c r="F1655" s="424"/>
      <c r="G1655" s="424"/>
      <c r="H1655" s="424"/>
      <c r="I1655" s="424" t="s">
        <v>81</v>
      </c>
      <c r="J1655" s="424"/>
      <c r="K1655" s="424"/>
      <c r="L1655" s="424"/>
      <c r="M1655" s="424"/>
      <c r="N1655" s="424"/>
      <c r="AB1655" s="425"/>
    </row>
    <row r="1656" spans="1:28" s="352" customFormat="1" ht="18" customHeight="1" x14ac:dyDescent="0.2">
      <c r="A1656" s="424"/>
      <c r="B1656" s="426"/>
      <c r="C1656" s="424"/>
      <c r="D1656" s="424"/>
      <c r="E1656" s="424"/>
      <c r="F1656" s="424"/>
      <c r="G1656" s="424"/>
      <c r="H1656" s="424"/>
      <c r="I1656" s="424" t="s">
        <v>88</v>
      </c>
      <c r="J1656" s="424"/>
      <c r="K1656" s="424"/>
      <c r="L1656" s="424"/>
      <c r="M1656" s="424"/>
      <c r="N1656" s="424"/>
      <c r="AB1656" s="425"/>
    </row>
    <row r="1657" spans="1:28" s="352" customFormat="1" ht="18" customHeight="1" x14ac:dyDescent="0.2">
      <c r="A1657" s="338"/>
      <c r="B1657" s="338"/>
      <c r="C1657" s="338"/>
      <c r="D1657" s="338"/>
      <c r="E1657" s="338"/>
      <c r="F1657" s="338"/>
      <c r="G1657" s="338"/>
      <c r="H1657" s="338"/>
      <c r="I1657" s="338"/>
      <c r="J1657" s="338"/>
      <c r="K1657" s="338"/>
      <c r="L1657" s="338"/>
      <c r="M1657" s="338"/>
      <c r="N1657" s="338"/>
      <c r="O1657" s="338"/>
      <c r="P1657" s="338"/>
      <c r="Q1657" s="338"/>
      <c r="R1657" s="338"/>
      <c r="S1657" s="338"/>
      <c r="T1657" s="338"/>
      <c r="U1657" s="338"/>
      <c r="V1657" s="338"/>
      <c r="W1657" s="338"/>
      <c r="X1657" s="338"/>
      <c r="Y1657" s="338"/>
      <c r="Z1657" s="338"/>
      <c r="AA1657" s="2774" t="s">
        <v>0</v>
      </c>
      <c r="AB1657" s="2774"/>
    </row>
    <row r="1658" spans="1:28" s="352" customFormat="1" ht="18" customHeight="1" x14ac:dyDescent="0.2">
      <c r="A1658" s="2703" t="s">
        <v>1</v>
      </c>
      <c r="B1658" s="2703"/>
      <c r="C1658" s="2703"/>
      <c r="D1658" s="2703"/>
      <c r="E1658" s="2703"/>
      <c r="F1658" s="2703"/>
      <c r="G1658" s="2703"/>
      <c r="H1658" s="2703"/>
      <c r="I1658" s="2703"/>
      <c r="J1658" s="2703"/>
      <c r="K1658" s="2703"/>
      <c r="L1658" s="2703"/>
      <c r="M1658" s="2703"/>
      <c r="N1658" s="2703"/>
      <c r="O1658" s="2703"/>
      <c r="P1658" s="2703"/>
      <c r="Q1658" s="2703"/>
      <c r="R1658" s="2703"/>
      <c r="S1658" s="2703"/>
      <c r="T1658" s="2703"/>
      <c r="U1658" s="2703"/>
      <c r="V1658" s="2703"/>
      <c r="W1658" s="2703"/>
      <c r="X1658" s="2703"/>
      <c r="Y1658" s="2703"/>
      <c r="Z1658" s="2703"/>
      <c r="AA1658" s="2703"/>
      <c r="AB1658" s="2703"/>
    </row>
    <row r="1659" spans="1:28" s="352" customFormat="1" ht="18" customHeight="1" x14ac:dyDescent="0.2">
      <c r="A1659" s="2780" t="s">
        <v>652</v>
      </c>
      <c r="B1659" s="2780"/>
      <c r="C1659" s="2780"/>
      <c r="D1659" s="2780"/>
      <c r="E1659" s="2780"/>
      <c r="F1659" s="2780"/>
      <c r="G1659" s="2780"/>
      <c r="H1659" s="2780"/>
      <c r="I1659" s="2780"/>
      <c r="J1659" s="2780"/>
      <c r="K1659" s="2780"/>
      <c r="L1659" s="2780"/>
      <c r="M1659" s="2780"/>
      <c r="N1659" s="2780"/>
      <c r="O1659" s="2780"/>
      <c r="P1659" s="2780"/>
      <c r="Q1659" s="2780"/>
      <c r="R1659" s="2780"/>
      <c r="S1659" s="2780"/>
      <c r="T1659" s="2780"/>
      <c r="U1659" s="2780"/>
      <c r="V1659" s="2780"/>
      <c r="W1659" s="2780"/>
      <c r="X1659" s="2780"/>
      <c r="Y1659" s="2780"/>
      <c r="Z1659" s="2780"/>
      <c r="AA1659" s="2780"/>
      <c r="AB1659" s="2780"/>
    </row>
    <row r="1660" spans="1:28" s="352" customFormat="1" ht="18" customHeight="1" x14ac:dyDescent="0.2">
      <c r="A1660" s="2686" t="s">
        <v>2</v>
      </c>
      <c r="B1660" s="360"/>
      <c r="C1660" s="2686" t="s">
        <v>3</v>
      </c>
      <c r="D1660" s="360"/>
      <c r="E1660" s="360"/>
      <c r="F1660" s="2693" t="s">
        <v>4</v>
      </c>
      <c r="G1660" s="2693"/>
      <c r="H1660" s="2693"/>
      <c r="I1660" s="2694"/>
      <c r="J1660" s="2694"/>
      <c r="K1660" s="2695"/>
      <c r="L1660" s="361"/>
      <c r="M1660" s="2679" t="s">
        <v>5</v>
      </c>
      <c r="N1660" s="2679"/>
      <c r="O1660" s="2679"/>
      <c r="P1660" s="2679"/>
      <c r="Q1660" s="2696"/>
      <c r="R1660" s="2696"/>
      <c r="S1660" s="2696"/>
      <c r="T1660" s="2696"/>
      <c r="U1660" s="2696"/>
      <c r="V1660" s="2697"/>
      <c r="W1660" s="362" t="s">
        <v>6</v>
      </c>
      <c r="X1660" s="363" t="s">
        <v>7</v>
      </c>
      <c r="Y1660" s="364"/>
      <c r="Z1660" s="364"/>
      <c r="AA1660" s="363"/>
      <c r="AB1660" s="365"/>
    </row>
    <row r="1661" spans="1:28" s="352" customFormat="1" ht="18" customHeight="1" x14ac:dyDescent="0.2">
      <c r="A1661" s="2687"/>
      <c r="B1661" s="367"/>
      <c r="C1661" s="2687"/>
      <c r="D1661" s="2158" t="s">
        <v>9</v>
      </c>
      <c r="E1661" s="368" t="s">
        <v>10</v>
      </c>
      <c r="F1661" s="2698" t="s">
        <v>11</v>
      </c>
      <c r="G1661" s="2694"/>
      <c r="H1661" s="2695"/>
      <c r="I1661" s="360"/>
      <c r="J1661" s="369" t="s">
        <v>12</v>
      </c>
      <c r="K1661" s="360"/>
      <c r="L1661" s="2679" t="s">
        <v>2</v>
      </c>
      <c r="M1661" s="2162"/>
      <c r="N1661" s="2162"/>
      <c r="O1661" s="2162"/>
      <c r="P1661" s="371"/>
      <c r="Q1661" s="372" t="s">
        <v>13</v>
      </c>
      <c r="R1661" s="373" t="s">
        <v>12</v>
      </c>
      <c r="S1661" s="2162" t="s">
        <v>6</v>
      </c>
      <c r="T1661" s="2682" t="s">
        <v>14</v>
      </c>
      <c r="U1661" s="2683"/>
      <c r="V1661" s="375" t="s">
        <v>7</v>
      </c>
      <c r="W1661" s="376" t="s">
        <v>15</v>
      </c>
      <c r="X1661" s="377" t="s">
        <v>16</v>
      </c>
      <c r="Y1661" s="377" t="s">
        <v>17</v>
      </c>
      <c r="Z1661" s="377" t="s">
        <v>18</v>
      </c>
      <c r="AA1661" s="377"/>
      <c r="AB1661" s="378" t="s">
        <v>19</v>
      </c>
    </row>
    <row r="1662" spans="1:28" s="352" customFormat="1" ht="18" customHeight="1" x14ac:dyDescent="0.2">
      <c r="A1662" s="2687"/>
      <c r="B1662" s="2158" t="s">
        <v>23</v>
      </c>
      <c r="C1662" s="2687"/>
      <c r="D1662" s="2158" t="s">
        <v>24</v>
      </c>
      <c r="E1662" s="368" t="s">
        <v>25</v>
      </c>
      <c r="F1662" s="2699"/>
      <c r="G1662" s="2700"/>
      <c r="H1662" s="2701"/>
      <c r="I1662" s="2158" t="s">
        <v>26</v>
      </c>
      <c r="J1662" s="379" t="s">
        <v>15</v>
      </c>
      <c r="K1662" s="2159" t="s">
        <v>6</v>
      </c>
      <c r="L1662" s="2680"/>
      <c r="M1662" s="2163" t="s">
        <v>27</v>
      </c>
      <c r="N1662" s="2163" t="s">
        <v>10</v>
      </c>
      <c r="O1662" s="382" t="s">
        <v>10</v>
      </c>
      <c r="P1662" s="383" t="s">
        <v>28</v>
      </c>
      <c r="Q1662" s="384" t="s">
        <v>29</v>
      </c>
      <c r="R1662" s="383" t="s">
        <v>15</v>
      </c>
      <c r="S1662" s="385" t="s">
        <v>15</v>
      </c>
      <c r="T1662" s="2684"/>
      <c r="U1662" s="2685"/>
      <c r="V1662" s="375" t="s">
        <v>30</v>
      </c>
      <c r="W1662" s="376" t="s">
        <v>31</v>
      </c>
      <c r="X1662" s="377" t="s">
        <v>30</v>
      </c>
      <c r="Y1662" s="377" t="s">
        <v>32</v>
      </c>
      <c r="Z1662" s="377" t="s">
        <v>7</v>
      </c>
      <c r="AA1662" s="377" t="s">
        <v>33</v>
      </c>
      <c r="AB1662" s="378" t="s">
        <v>34</v>
      </c>
    </row>
    <row r="1663" spans="1:28" s="352" customFormat="1" ht="18" customHeight="1" x14ac:dyDescent="0.2">
      <c r="A1663" s="2687"/>
      <c r="B1663" s="2158" t="s">
        <v>39</v>
      </c>
      <c r="C1663" s="2687"/>
      <c r="D1663" s="2158" t="s">
        <v>40</v>
      </c>
      <c r="E1663" s="368" t="s">
        <v>41</v>
      </c>
      <c r="F1663" s="2686" t="s">
        <v>42</v>
      </c>
      <c r="G1663" s="2686" t="s">
        <v>43</v>
      </c>
      <c r="H1663" s="2688" t="s">
        <v>44</v>
      </c>
      <c r="I1663" s="2158" t="s">
        <v>45</v>
      </c>
      <c r="J1663" s="379" t="s">
        <v>46</v>
      </c>
      <c r="K1663" s="2159" t="s">
        <v>47</v>
      </c>
      <c r="L1663" s="2680"/>
      <c r="M1663" s="2163" t="s">
        <v>30</v>
      </c>
      <c r="N1663" s="2163" t="s">
        <v>30</v>
      </c>
      <c r="O1663" s="382" t="s">
        <v>25</v>
      </c>
      <c r="P1663" s="383" t="s">
        <v>30</v>
      </c>
      <c r="Q1663" s="384" t="s">
        <v>48</v>
      </c>
      <c r="R1663" s="383" t="s">
        <v>49</v>
      </c>
      <c r="S1663" s="385" t="s">
        <v>30</v>
      </c>
      <c r="T1663" s="386" t="s">
        <v>50</v>
      </c>
      <c r="U1663" s="2161" t="s">
        <v>13</v>
      </c>
      <c r="V1663" s="375" t="s">
        <v>51</v>
      </c>
      <c r="W1663" s="376" t="s">
        <v>52</v>
      </c>
      <c r="X1663" s="377" t="s">
        <v>53</v>
      </c>
      <c r="Y1663" s="377" t="s">
        <v>54</v>
      </c>
      <c r="Z1663" s="377" t="s">
        <v>55</v>
      </c>
      <c r="AA1663" s="377" t="s">
        <v>56</v>
      </c>
      <c r="AB1663" s="378" t="s">
        <v>57</v>
      </c>
    </row>
    <row r="1664" spans="1:28" s="352" customFormat="1" ht="18" customHeight="1" x14ac:dyDescent="0.2">
      <c r="A1664" s="2687"/>
      <c r="B1664" s="2158" t="s">
        <v>61</v>
      </c>
      <c r="C1664" s="2687"/>
      <c r="D1664" s="2158" t="s">
        <v>62</v>
      </c>
      <c r="E1664" s="368" t="s">
        <v>63</v>
      </c>
      <c r="F1664" s="2687"/>
      <c r="G1664" s="2687"/>
      <c r="H1664" s="2689"/>
      <c r="I1664" s="2158" t="s">
        <v>64</v>
      </c>
      <c r="J1664" s="379" t="s">
        <v>59</v>
      </c>
      <c r="K1664" s="2159" t="s">
        <v>59</v>
      </c>
      <c r="L1664" s="2680"/>
      <c r="M1664" s="2163"/>
      <c r="N1664" s="2163"/>
      <c r="O1664" s="382" t="s">
        <v>41</v>
      </c>
      <c r="P1664" s="383" t="s">
        <v>65</v>
      </c>
      <c r="Q1664" s="384" t="s">
        <v>66</v>
      </c>
      <c r="R1664" s="383" t="s">
        <v>67</v>
      </c>
      <c r="S1664" s="385" t="s">
        <v>59</v>
      </c>
      <c r="T1664" s="387" t="s">
        <v>68</v>
      </c>
      <c r="U1664" s="375" t="s">
        <v>14</v>
      </c>
      <c r="V1664" s="375" t="s">
        <v>14</v>
      </c>
      <c r="W1664" s="376" t="s">
        <v>30</v>
      </c>
      <c r="X1664" s="388" t="s">
        <v>69</v>
      </c>
      <c r="Y1664" s="388" t="s">
        <v>70</v>
      </c>
      <c r="Z1664" s="377" t="s">
        <v>71</v>
      </c>
      <c r="AA1664" s="377" t="s">
        <v>72</v>
      </c>
      <c r="AB1664" s="378" t="s">
        <v>59</v>
      </c>
    </row>
    <row r="1665" spans="1:28" s="352" customFormat="1" ht="18" customHeight="1" x14ac:dyDescent="0.2">
      <c r="A1665" s="2692"/>
      <c r="B1665" s="390"/>
      <c r="C1665" s="2692"/>
      <c r="D1665" s="390"/>
      <c r="E1665" s="2160"/>
      <c r="F1665" s="390"/>
      <c r="G1665" s="390"/>
      <c r="H1665" s="391"/>
      <c r="I1665" s="2160"/>
      <c r="J1665" s="392"/>
      <c r="K1665" s="393"/>
      <c r="L1665" s="2681"/>
      <c r="M1665" s="2164"/>
      <c r="N1665" s="2164"/>
      <c r="O1665" s="2164" t="s">
        <v>63</v>
      </c>
      <c r="P1665" s="395"/>
      <c r="Q1665" s="396" t="s">
        <v>72</v>
      </c>
      <c r="R1665" s="397" t="s">
        <v>59</v>
      </c>
      <c r="S1665" s="398"/>
      <c r="T1665" s="397" t="s">
        <v>73</v>
      </c>
      <c r="U1665" s="398" t="s">
        <v>59</v>
      </c>
      <c r="V1665" s="399" t="s">
        <v>59</v>
      </c>
      <c r="W1665" s="400" t="s">
        <v>59</v>
      </c>
      <c r="X1665" s="401" t="s">
        <v>59</v>
      </c>
      <c r="Y1665" s="401" t="s">
        <v>59</v>
      </c>
      <c r="Z1665" s="401" t="s">
        <v>59</v>
      </c>
      <c r="AA1665" s="402"/>
      <c r="AB1665" s="403"/>
    </row>
    <row r="1666" spans="1:28" s="352" customFormat="1" ht="18" customHeight="1" x14ac:dyDescent="0.2">
      <c r="A1666" s="2166">
        <v>1</v>
      </c>
      <c r="B1666" s="27">
        <v>27762</v>
      </c>
      <c r="C1666" s="27">
        <v>13</v>
      </c>
      <c r="D1666" s="27"/>
      <c r="E1666" s="27">
        <v>3</v>
      </c>
      <c r="F1666" s="27">
        <v>0</v>
      </c>
      <c r="G1666" s="27">
        <v>0</v>
      </c>
      <c r="H1666" s="557">
        <v>10</v>
      </c>
      <c r="I1666" s="299">
        <f t="shared" ref="I1666:I1673" si="96">F1666*400+G1666*100+H1666</f>
        <v>10</v>
      </c>
      <c r="J1666" s="305">
        <v>3000</v>
      </c>
      <c r="K1666" s="312">
        <f t="shared" ref="K1666:K1673" si="97">SUM(I1666*J1666)</f>
        <v>30000</v>
      </c>
      <c r="L1666" s="45"/>
      <c r="M1666" s="88"/>
      <c r="N1666" s="27"/>
      <c r="O1666" s="45">
        <v>3</v>
      </c>
      <c r="P1666" s="802"/>
      <c r="Q1666" s="62"/>
      <c r="R1666" s="299"/>
      <c r="S1666" s="299"/>
      <c r="T1666" s="27"/>
      <c r="U1666" s="299"/>
      <c r="V1666" s="299"/>
      <c r="W1666" s="299">
        <f t="shared" ref="W1666:W1673" si="98">K1666+V1666</f>
        <v>30000</v>
      </c>
      <c r="X1666" s="299">
        <f t="shared" ref="X1666:X1673" si="99">W1666</f>
        <v>30000</v>
      </c>
      <c r="Y1666" s="305"/>
      <c r="Z1666" s="305">
        <f t="shared" ref="Z1666:Z1673" si="100">+X1666</f>
        <v>30000</v>
      </c>
      <c r="AA1666" s="670">
        <v>0.3</v>
      </c>
      <c r="AB1666" s="1465">
        <f t="shared" ref="AB1666:AB1674" si="101">+Z1666*AA1666/100</f>
        <v>90</v>
      </c>
    </row>
    <row r="1667" spans="1:28" s="510" customFormat="1" ht="15" customHeight="1" x14ac:dyDescent="0.25">
      <c r="A1667" s="88">
        <v>2</v>
      </c>
      <c r="B1667" s="269">
        <v>27763</v>
      </c>
      <c r="C1667" s="285">
        <v>14</v>
      </c>
      <c r="D1667" s="273"/>
      <c r="E1667" s="273">
        <v>3</v>
      </c>
      <c r="F1667" s="268">
        <v>0</v>
      </c>
      <c r="G1667" s="269">
        <v>0</v>
      </c>
      <c r="H1667" s="266">
        <v>7</v>
      </c>
      <c r="I1667" s="299">
        <f t="shared" si="96"/>
        <v>7</v>
      </c>
      <c r="J1667" s="305">
        <v>3000</v>
      </c>
      <c r="K1667" s="312">
        <f t="shared" si="97"/>
        <v>21000</v>
      </c>
      <c r="L1667" s="269"/>
      <c r="M1667" s="242"/>
      <c r="N1667" s="269"/>
      <c r="O1667" s="269">
        <v>3</v>
      </c>
      <c r="P1667" s="760"/>
      <c r="Q1667" s="285"/>
      <c r="R1667" s="321"/>
      <c r="S1667" s="321"/>
      <c r="T1667" s="323"/>
      <c r="U1667" s="321"/>
      <c r="V1667" s="321"/>
      <c r="W1667" s="299">
        <f t="shared" si="98"/>
        <v>21000</v>
      </c>
      <c r="X1667" s="299">
        <f t="shared" si="99"/>
        <v>21000</v>
      </c>
      <c r="Y1667" s="305"/>
      <c r="Z1667" s="305">
        <f t="shared" si="100"/>
        <v>21000</v>
      </c>
      <c r="AA1667" s="708">
        <v>0.3</v>
      </c>
      <c r="AB1667" s="1465">
        <f t="shared" si="101"/>
        <v>63</v>
      </c>
    </row>
    <row r="1668" spans="1:28" s="352" customFormat="1" ht="18" customHeight="1" x14ac:dyDescent="0.25">
      <c r="A1668" s="88">
        <v>3</v>
      </c>
      <c r="B1668" s="269">
        <v>34000</v>
      </c>
      <c r="C1668" s="285">
        <v>349</v>
      </c>
      <c r="D1668" s="273"/>
      <c r="E1668" s="273">
        <v>3</v>
      </c>
      <c r="F1668" s="268">
        <v>0</v>
      </c>
      <c r="G1668" s="269">
        <v>0</v>
      </c>
      <c r="H1668" s="266">
        <v>17.3</v>
      </c>
      <c r="I1668" s="299">
        <f t="shared" si="96"/>
        <v>17.3</v>
      </c>
      <c r="J1668" s="305">
        <v>3000</v>
      </c>
      <c r="K1668" s="312">
        <f t="shared" si="97"/>
        <v>51900</v>
      </c>
      <c r="L1668" s="269"/>
      <c r="M1668" s="242"/>
      <c r="N1668" s="269"/>
      <c r="O1668" s="269">
        <v>3</v>
      </c>
      <c r="P1668" s="760"/>
      <c r="Q1668" s="285"/>
      <c r="R1668" s="321"/>
      <c r="S1668" s="321"/>
      <c r="T1668" s="323"/>
      <c r="U1668" s="321"/>
      <c r="V1668" s="321"/>
      <c r="W1668" s="299">
        <f t="shared" si="98"/>
        <v>51900</v>
      </c>
      <c r="X1668" s="299">
        <f t="shared" si="99"/>
        <v>51900</v>
      </c>
      <c r="Y1668" s="305"/>
      <c r="Z1668" s="305">
        <f t="shared" si="100"/>
        <v>51900</v>
      </c>
      <c r="AA1668" s="708">
        <v>0.3</v>
      </c>
      <c r="AB1668" s="1465">
        <f t="shared" si="101"/>
        <v>155.69999999999999</v>
      </c>
    </row>
    <row r="1669" spans="1:28" s="352" customFormat="1" ht="18" customHeight="1" x14ac:dyDescent="0.25">
      <c r="A1669" s="88">
        <v>4</v>
      </c>
      <c r="B1669" s="269">
        <v>34794</v>
      </c>
      <c r="C1669" s="285">
        <v>388</v>
      </c>
      <c r="D1669" s="273"/>
      <c r="E1669" s="273">
        <v>3</v>
      </c>
      <c r="F1669" s="268">
        <v>0</v>
      </c>
      <c r="G1669" s="269">
        <v>0</v>
      </c>
      <c r="H1669" s="266">
        <v>90</v>
      </c>
      <c r="I1669" s="299">
        <f t="shared" si="96"/>
        <v>90</v>
      </c>
      <c r="J1669" s="305">
        <v>3000</v>
      </c>
      <c r="K1669" s="312">
        <f t="shared" si="97"/>
        <v>270000</v>
      </c>
      <c r="L1669" s="269"/>
      <c r="M1669" s="242"/>
      <c r="N1669" s="269"/>
      <c r="O1669" s="269">
        <v>3</v>
      </c>
      <c r="P1669" s="760"/>
      <c r="Q1669" s="285"/>
      <c r="R1669" s="321"/>
      <c r="S1669" s="321"/>
      <c r="T1669" s="323"/>
      <c r="U1669" s="321"/>
      <c r="V1669" s="321"/>
      <c r="W1669" s="299">
        <f t="shared" si="98"/>
        <v>270000</v>
      </c>
      <c r="X1669" s="299">
        <f t="shared" si="99"/>
        <v>270000</v>
      </c>
      <c r="Y1669" s="305"/>
      <c r="Z1669" s="305">
        <f t="shared" si="100"/>
        <v>270000</v>
      </c>
      <c r="AA1669" s="708">
        <v>0.3</v>
      </c>
      <c r="AB1669" s="1465">
        <f t="shared" si="101"/>
        <v>810</v>
      </c>
    </row>
    <row r="1670" spans="1:28" s="352" customFormat="1" ht="18" customHeight="1" x14ac:dyDescent="0.25">
      <c r="A1670" s="88">
        <v>5</v>
      </c>
      <c r="B1670" s="269">
        <v>35437</v>
      </c>
      <c r="C1670" s="285">
        <v>404</v>
      </c>
      <c r="D1670" s="273"/>
      <c r="E1670" s="273">
        <v>3</v>
      </c>
      <c r="F1670" s="268">
        <v>0</v>
      </c>
      <c r="G1670" s="269">
        <v>0</v>
      </c>
      <c r="H1670" s="266">
        <v>11.8</v>
      </c>
      <c r="I1670" s="299">
        <f t="shared" si="96"/>
        <v>11.8</v>
      </c>
      <c r="J1670" s="305">
        <v>3000</v>
      </c>
      <c r="K1670" s="312">
        <f t="shared" si="97"/>
        <v>35400</v>
      </c>
      <c r="L1670" s="269"/>
      <c r="M1670" s="242">
        <v>404</v>
      </c>
      <c r="N1670" s="269" t="s">
        <v>74</v>
      </c>
      <c r="O1670" s="269">
        <v>3</v>
      </c>
      <c r="P1670" s="760">
        <v>111.86</v>
      </c>
      <c r="Q1670" s="285" t="s">
        <v>75</v>
      </c>
      <c r="R1670" s="321">
        <v>8500</v>
      </c>
      <c r="S1670" s="321">
        <f>R1670*P1670</f>
        <v>950810</v>
      </c>
      <c r="T1670" s="323">
        <v>21</v>
      </c>
      <c r="U1670" s="321">
        <f>S1670*32/100</f>
        <v>304259.20000000001</v>
      </c>
      <c r="V1670" s="321">
        <f>S1670-U1670</f>
        <v>646550.80000000005</v>
      </c>
      <c r="W1670" s="299">
        <f t="shared" si="98"/>
        <v>681950.8</v>
      </c>
      <c r="X1670" s="299">
        <f t="shared" si="99"/>
        <v>681950.8</v>
      </c>
      <c r="Y1670" s="305"/>
      <c r="Z1670" s="305">
        <f t="shared" si="100"/>
        <v>681950.8</v>
      </c>
      <c r="AA1670" s="708">
        <v>0.3</v>
      </c>
      <c r="AB1670" s="660">
        <f t="shared" si="101"/>
        <v>2045.8524000000002</v>
      </c>
    </row>
    <row r="1671" spans="1:28" s="352" customFormat="1" ht="18" customHeight="1" x14ac:dyDescent="0.25">
      <c r="A1671" s="88">
        <v>6</v>
      </c>
      <c r="B1671" s="269">
        <v>34795</v>
      </c>
      <c r="C1671" s="285">
        <v>389</v>
      </c>
      <c r="D1671" s="273"/>
      <c r="E1671" s="273">
        <v>3</v>
      </c>
      <c r="F1671" s="268">
        <v>0</v>
      </c>
      <c r="G1671" s="269">
        <v>0</v>
      </c>
      <c r="H1671" s="266">
        <v>87.7</v>
      </c>
      <c r="I1671" s="299">
        <f t="shared" si="96"/>
        <v>87.7</v>
      </c>
      <c r="J1671" s="305">
        <v>3000</v>
      </c>
      <c r="K1671" s="312">
        <f t="shared" si="97"/>
        <v>263100</v>
      </c>
      <c r="L1671" s="269"/>
      <c r="M1671" s="242"/>
      <c r="N1671" s="269"/>
      <c r="O1671" s="269">
        <v>3</v>
      </c>
      <c r="P1671" s="760"/>
      <c r="Q1671" s="285"/>
      <c r="R1671" s="321"/>
      <c r="S1671" s="321"/>
      <c r="T1671" s="323"/>
      <c r="U1671" s="321"/>
      <c r="V1671" s="321"/>
      <c r="W1671" s="299">
        <f t="shared" si="98"/>
        <v>263100</v>
      </c>
      <c r="X1671" s="299">
        <f t="shared" si="99"/>
        <v>263100</v>
      </c>
      <c r="Y1671" s="305"/>
      <c r="Z1671" s="305">
        <f t="shared" si="100"/>
        <v>263100</v>
      </c>
      <c r="AA1671" s="708">
        <v>0.3</v>
      </c>
      <c r="AB1671" s="658">
        <f t="shared" si="101"/>
        <v>789.3</v>
      </c>
    </row>
    <row r="1672" spans="1:28" s="352" customFormat="1" ht="18" customHeight="1" x14ac:dyDescent="0.25">
      <c r="A1672" s="88">
        <v>7</v>
      </c>
      <c r="B1672" s="269">
        <v>27707</v>
      </c>
      <c r="C1672" s="285">
        <v>2</v>
      </c>
      <c r="D1672" s="273"/>
      <c r="E1672" s="273">
        <v>3</v>
      </c>
      <c r="F1672" s="268">
        <v>0</v>
      </c>
      <c r="G1672" s="269">
        <v>1</v>
      </c>
      <c r="H1672" s="266">
        <v>44</v>
      </c>
      <c r="I1672" s="299">
        <f t="shared" si="96"/>
        <v>144</v>
      </c>
      <c r="J1672" s="305">
        <v>3000</v>
      </c>
      <c r="K1672" s="312">
        <f t="shared" si="97"/>
        <v>432000</v>
      </c>
      <c r="L1672" s="269"/>
      <c r="M1672" s="242"/>
      <c r="N1672" s="269"/>
      <c r="O1672" s="269">
        <v>3</v>
      </c>
      <c r="P1672" s="760"/>
      <c r="Q1672" s="285"/>
      <c r="R1672" s="321"/>
      <c r="S1672" s="321"/>
      <c r="T1672" s="323"/>
      <c r="U1672" s="321"/>
      <c r="V1672" s="321"/>
      <c r="W1672" s="299">
        <f t="shared" si="98"/>
        <v>432000</v>
      </c>
      <c r="X1672" s="299">
        <f t="shared" si="99"/>
        <v>432000</v>
      </c>
      <c r="Y1672" s="305"/>
      <c r="Z1672" s="305">
        <f t="shared" si="100"/>
        <v>432000</v>
      </c>
      <c r="AA1672" s="708">
        <v>0.3</v>
      </c>
      <c r="AB1672" s="660">
        <f t="shared" si="101"/>
        <v>1296</v>
      </c>
    </row>
    <row r="1673" spans="1:28" s="352" customFormat="1" ht="18" customHeight="1" x14ac:dyDescent="0.25">
      <c r="A1673" s="88">
        <v>8</v>
      </c>
      <c r="B1673" s="269">
        <v>34001</v>
      </c>
      <c r="C1673" s="285">
        <v>350</v>
      </c>
      <c r="D1673" s="273"/>
      <c r="E1673" s="273">
        <v>3</v>
      </c>
      <c r="F1673" s="268">
        <v>0</v>
      </c>
      <c r="G1673" s="269">
        <v>1</v>
      </c>
      <c r="H1673" s="266">
        <v>18.8</v>
      </c>
      <c r="I1673" s="299">
        <f t="shared" si="96"/>
        <v>118.8</v>
      </c>
      <c r="J1673" s="305">
        <v>3000</v>
      </c>
      <c r="K1673" s="312">
        <f t="shared" si="97"/>
        <v>356400</v>
      </c>
      <c r="L1673" s="269"/>
      <c r="M1673" s="242"/>
      <c r="N1673" s="269"/>
      <c r="O1673" s="269">
        <v>3</v>
      </c>
      <c r="P1673" s="760"/>
      <c r="Q1673" s="285"/>
      <c r="R1673" s="321"/>
      <c r="S1673" s="321"/>
      <c r="T1673" s="323"/>
      <c r="U1673" s="321"/>
      <c r="V1673" s="321"/>
      <c r="W1673" s="299">
        <f t="shared" si="98"/>
        <v>356400</v>
      </c>
      <c r="X1673" s="299">
        <f t="shared" si="99"/>
        <v>356400</v>
      </c>
      <c r="Y1673" s="305"/>
      <c r="Z1673" s="305">
        <f t="shared" si="100"/>
        <v>356400</v>
      </c>
      <c r="AA1673" s="708">
        <v>0.3</v>
      </c>
      <c r="AB1673" s="660">
        <f t="shared" si="101"/>
        <v>1069.2</v>
      </c>
    </row>
    <row r="1674" spans="1:28" s="352" customFormat="1" ht="18" customHeight="1" x14ac:dyDescent="0.25">
      <c r="A1674" s="88">
        <v>9</v>
      </c>
      <c r="B1674" s="269">
        <v>34002</v>
      </c>
      <c r="C1674" s="285">
        <v>351</v>
      </c>
      <c r="D1674" s="273"/>
      <c r="E1674" s="273">
        <v>3</v>
      </c>
      <c r="F1674" s="268">
        <v>0</v>
      </c>
      <c r="G1674" s="269">
        <v>1</v>
      </c>
      <c r="H1674" s="266">
        <v>16.600000000000001</v>
      </c>
      <c r="I1674" s="299">
        <v>116.6</v>
      </c>
      <c r="J1674" s="305">
        <v>3000</v>
      </c>
      <c r="K1674" s="312">
        <v>349800</v>
      </c>
      <c r="L1674" s="269"/>
      <c r="M1674" s="242"/>
      <c r="N1674" s="269"/>
      <c r="O1674" s="269">
        <v>3</v>
      </c>
      <c r="P1674" s="760"/>
      <c r="Q1674" s="285"/>
      <c r="R1674" s="321"/>
      <c r="S1674" s="321"/>
      <c r="T1674" s="323"/>
      <c r="U1674" s="321"/>
      <c r="V1674" s="321"/>
      <c r="W1674" s="299">
        <v>349800</v>
      </c>
      <c r="X1674" s="299">
        <v>349800</v>
      </c>
      <c r="Y1674" s="305"/>
      <c r="Z1674" s="305">
        <v>349800</v>
      </c>
      <c r="AA1674" s="708">
        <v>0.3</v>
      </c>
      <c r="AB1674" s="660">
        <f t="shared" si="101"/>
        <v>1049.4000000000001</v>
      </c>
    </row>
    <row r="1675" spans="1:28" s="352" customFormat="1" ht="18" customHeight="1" x14ac:dyDescent="0.25">
      <c r="A1675" s="88"/>
      <c r="B1675" s="269"/>
      <c r="C1675" s="285"/>
      <c r="D1675" s="273"/>
      <c r="E1675" s="273"/>
      <c r="F1675" s="268"/>
      <c r="G1675" s="269"/>
      <c r="H1675" s="266"/>
      <c r="I1675" s="299"/>
      <c r="J1675" s="305"/>
      <c r="K1675" s="312"/>
      <c r="L1675" s="269"/>
      <c r="M1675" s="242"/>
      <c r="N1675" s="269"/>
      <c r="O1675" s="269"/>
      <c r="P1675" s="760"/>
      <c r="Q1675" s="285"/>
      <c r="R1675" s="321"/>
      <c r="S1675" s="321"/>
      <c r="T1675" s="323"/>
      <c r="U1675" s="321"/>
      <c r="V1675" s="321"/>
      <c r="W1675" s="299"/>
      <c r="X1675" s="299"/>
      <c r="Y1675" s="305"/>
      <c r="Z1675" s="305"/>
      <c r="AA1675" s="708"/>
      <c r="AB1675" s="660"/>
    </row>
    <row r="1676" spans="1:28" s="352" customFormat="1" ht="18" customHeight="1" x14ac:dyDescent="0.25">
      <c r="A1676" s="88"/>
      <c r="B1676" s="269"/>
      <c r="C1676" s="285"/>
      <c r="D1676" s="273"/>
      <c r="E1676" s="273"/>
      <c r="F1676" s="268"/>
      <c r="G1676" s="269"/>
      <c r="H1676" s="266"/>
      <c r="I1676" s="299"/>
      <c r="J1676" s="305"/>
      <c r="K1676" s="312"/>
      <c r="L1676" s="269"/>
      <c r="M1676" s="242"/>
      <c r="N1676" s="269"/>
      <c r="O1676" s="269"/>
      <c r="P1676" s="760"/>
      <c r="Q1676" s="285"/>
      <c r="R1676" s="321"/>
      <c r="S1676" s="321"/>
      <c r="T1676" s="323"/>
      <c r="U1676" s="321"/>
      <c r="V1676" s="321"/>
      <c r="W1676" s="299"/>
      <c r="X1676" s="299"/>
      <c r="Y1676" s="305"/>
      <c r="Z1676" s="305"/>
      <c r="AA1676" s="708"/>
      <c r="AB1676" s="660"/>
    </row>
    <row r="1677" spans="1:28" s="352" customFormat="1" ht="18" customHeight="1" x14ac:dyDescent="0.25">
      <c r="A1677" s="88"/>
      <c r="B1677" s="269"/>
      <c r="C1677" s="285"/>
      <c r="D1677" s="273"/>
      <c r="E1677" s="273"/>
      <c r="F1677" s="268"/>
      <c r="G1677" s="269"/>
      <c r="H1677" s="266"/>
      <c r="I1677" s="299"/>
      <c r="J1677" s="305"/>
      <c r="K1677" s="312"/>
      <c r="L1677" s="269"/>
      <c r="M1677" s="242"/>
      <c r="N1677" s="269"/>
      <c r="O1677" s="269"/>
      <c r="P1677" s="760"/>
      <c r="Q1677" s="285"/>
      <c r="R1677" s="321"/>
      <c r="S1677" s="321"/>
      <c r="T1677" s="323"/>
      <c r="U1677" s="321"/>
      <c r="V1677" s="321"/>
      <c r="W1677" s="299"/>
      <c r="X1677" s="299"/>
      <c r="Y1677" s="305"/>
      <c r="Z1677" s="305"/>
      <c r="AA1677" s="708"/>
      <c r="AB1677" s="660"/>
    </row>
    <row r="1678" spans="1:28" s="352" customFormat="1" ht="18" customHeight="1" x14ac:dyDescent="0.2">
      <c r="A1678" s="88"/>
      <c r="B1678" s="418"/>
      <c r="C1678" s="88"/>
      <c r="D1678" s="88"/>
      <c r="E1678" s="88"/>
      <c r="F1678" s="411"/>
      <c r="G1678" s="242"/>
      <c r="H1678" s="412"/>
      <c r="I1678" s="1319"/>
      <c r="J1678" s="181"/>
      <c r="K1678" s="1319"/>
      <c r="L1678" s="75"/>
      <c r="M1678" s="88"/>
      <c r="N1678" s="88"/>
      <c r="O1678" s="75"/>
      <c r="P1678" s="88"/>
      <c r="Q1678" s="174"/>
      <c r="R1678" s="745"/>
      <c r="S1678" s="205"/>
      <c r="T1678" s="88"/>
      <c r="U1678" s="205"/>
      <c r="V1678" s="205"/>
      <c r="W1678" s="205"/>
      <c r="X1678" s="205"/>
      <c r="Y1678" s="181"/>
      <c r="Z1678" s="205"/>
      <c r="AA1678" s="1320"/>
      <c r="AB1678" s="660"/>
    </row>
    <row r="1679" spans="1:28" s="352" customFormat="1" ht="18" customHeight="1" x14ac:dyDescent="0.2">
      <c r="A1679" s="88"/>
      <c r="B1679" s="75"/>
      <c r="C1679" s="88"/>
      <c r="D1679" s="88"/>
      <c r="E1679" s="88"/>
      <c r="F1679" s="88"/>
      <c r="G1679" s="88"/>
      <c r="H1679" s="495"/>
      <c r="I1679" s="205"/>
      <c r="J1679" s="181"/>
      <c r="K1679" s="1319"/>
      <c r="L1679" s="75"/>
      <c r="M1679" s="88"/>
      <c r="N1679" s="88"/>
      <c r="O1679" s="75"/>
      <c r="P1679" s="88"/>
      <c r="Q1679" s="174"/>
      <c r="R1679" s="745"/>
      <c r="S1679" s="205"/>
      <c r="T1679" s="88"/>
      <c r="U1679" s="205"/>
      <c r="V1679" s="205"/>
      <c r="W1679" s="205"/>
      <c r="X1679" s="205"/>
      <c r="Y1679" s="181"/>
      <c r="Z1679" s="205"/>
      <c r="AA1679" s="1320"/>
      <c r="AB1679" s="660"/>
    </row>
    <row r="1680" spans="1:28" s="352" customFormat="1" ht="18" customHeight="1" x14ac:dyDescent="0.2">
      <c r="A1680" s="88"/>
      <c r="B1680" s="418"/>
      <c r="C1680" s="88"/>
      <c r="D1680" s="88"/>
      <c r="E1680" s="2166"/>
      <c r="F1680" s="2166"/>
      <c r="G1680" s="2166"/>
      <c r="H1680" s="407"/>
      <c r="I1680" s="205"/>
      <c r="J1680" s="181"/>
      <c r="K1680" s="1319"/>
      <c r="L1680" s="75"/>
      <c r="M1680" s="88"/>
      <c r="N1680" s="88"/>
      <c r="O1680" s="75"/>
      <c r="P1680" s="88"/>
      <c r="Q1680" s="174"/>
      <c r="R1680" s="745"/>
      <c r="S1680" s="205"/>
      <c r="T1680" s="88"/>
      <c r="U1680" s="205"/>
      <c r="V1680" s="205"/>
      <c r="W1680" s="205"/>
      <c r="X1680" s="205"/>
      <c r="Y1680" s="181"/>
      <c r="Z1680" s="205"/>
      <c r="AA1680" s="1320"/>
      <c r="AB1680" s="744"/>
    </row>
    <row r="1681" spans="1:29" s="352" customFormat="1" ht="18" customHeight="1" x14ac:dyDescent="0.2">
      <c r="A1681" s="727"/>
      <c r="B1681" s="2241"/>
      <c r="C1681" s="1109"/>
      <c r="D1681" s="1109"/>
      <c r="E1681" s="2242"/>
      <c r="F1681" s="1147"/>
      <c r="G1681" s="1147"/>
      <c r="H1681" s="1990"/>
      <c r="I1681" s="2243"/>
      <c r="J1681" s="1869"/>
      <c r="K1681" s="2243"/>
      <c r="L1681" s="1989"/>
      <c r="M1681" s="1147"/>
      <c r="N1681" s="1147"/>
      <c r="O1681" s="1989"/>
      <c r="P1681" s="1147"/>
      <c r="Q1681" s="1993"/>
      <c r="R1681" s="2244"/>
      <c r="S1681" s="2245"/>
      <c r="T1681" s="1147"/>
      <c r="U1681" s="2245"/>
      <c r="V1681" s="2245"/>
      <c r="W1681" s="2245"/>
      <c r="X1681" s="2245"/>
      <c r="Y1681" s="1869"/>
      <c r="Z1681" s="2245"/>
      <c r="AA1681" s="2246"/>
      <c r="AB1681" s="2247">
        <f>SUM(AB1666:AB1680)</f>
        <v>7368.4524000000001</v>
      </c>
    </row>
    <row r="1682" spans="1:29" s="352" customFormat="1" ht="18" customHeight="1" x14ac:dyDescent="0.2">
      <c r="A1682" s="2788" t="s">
        <v>76</v>
      </c>
      <c r="B1682" s="2788"/>
      <c r="C1682" s="2787" t="s">
        <v>77</v>
      </c>
      <c r="D1682" s="2787"/>
      <c r="E1682" s="2787"/>
      <c r="F1682" s="2779"/>
      <c r="G1682" s="2779"/>
      <c r="H1682" s="2779"/>
      <c r="I1682" s="424" t="s">
        <v>78</v>
      </c>
      <c r="J1682" s="424"/>
      <c r="K1682" s="424"/>
      <c r="L1682" s="424"/>
      <c r="M1682" s="424"/>
      <c r="N1682" s="424"/>
      <c r="AB1682" s="425"/>
    </row>
    <row r="1683" spans="1:29" s="352" customFormat="1" ht="18" customHeight="1" x14ac:dyDescent="0.2">
      <c r="A1683" s="424"/>
      <c r="B1683" s="426"/>
      <c r="C1683" s="424"/>
      <c r="D1683" s="424"/>
      <c r="E1683" s="424"/>
      <c r="F1683" s="424"/>
      <c r="G1683" s="424"/>
      <c r="H1683" s="424"/>
      <c r="I1683" s="424" t="s">
        <v>79</v>
      </c>
      <c r="J1683" s="424"/>
      <c r="K1683" s="424"/>
      <c r="L1683" s="424"/>
      <c r="M1683" s="424"/>
      <c r="N1683" s="424"/>
      <c r="AB1683" s="425"/>
    </row>
    <row r="1684" spans="1:29" s="352" customFormat="1" ht="18" customHeight="1" x14ac:dyDescent="0.2">
      <c r="A1684" s="424"/>
      <c r="B1684" s="426"/>
      <c r="C1684" s="424"/>
      <c r="D1684" s="424"/>
      <c r="E1684" s="424"/>
      <c r="F1684" s="424"/>
      <c r="G1684" s="424"/>
      <c r="H1684" s="424"/>
      <c r="I1684" s="424" t="s">
        <v>80</v>
      </c>
      <c r="J1684" s="424"/>
      <c r="K1684" s="424"/>
      <c r="L1684" s="424"/>
      <c r="M1684" s="424"/>
      <c r="N1684" s="424"/>
      <c r="AB1684" s="425"/>
    </row>
    <row r="1685" spans="1:29" s="352" customFormat="1" ht="18" customHeight="1" x14ac:dyDescent="0.2">
      <c r="A1685" s="424"/>
      <c r="B1685" s="426"/>
      <c r="C1685" s="424"/>
      <c r="D1685" s="424"/>
      <c r="E1685" s="424"/>
      <c r="F1685" s="424"/>
      <c r="G1685" s="424"/>
      <c r="H1685" s="424"/>
      <c r="I1685" s="424" t="s">
        <v>81</v>
      </c>
      <c r="J1685" s="424"/>
      <c r="K1685" s="424"/>
      <c r="L1685" s="424"/>
      <c r="M1685" s="424"/>
      <c r="N1685" s="424"/>
      <c r="AB1685" s="425"/>
    </row>
    <row r="1686" spans="1:29" s="352" customFormat="1" ht="18" customHeight="1" x14ac:dyDescent="0.2">
      <c r="A1686" s="424"/>
      <c r="B1686" s="426"/>
      <c r="C1686" s="424"/>
      <c r="D1686" s="424"/>
      <c r="E1686" s="424"/>
      <c r="F1686" s="424"/>
      <c r="G1686" s="424"/>
      <c r="H1686" s="424"/>
      <c r="I1686" s="424" t="s">
        <v>88</v>
      </c>
      <c r="J1686" s="424"/>
      <c r="K1686" s="424"/>
      <c r="L1686" s="424"/>
      <c r="M1686" s="424"/>
      <c r="N1686" s="424"/>
      <c r="AB1686" s="425"/>
    </row>
    <row r="1687" spans="1:29" s="352" customFormat="1" ht="18" customHeight="1" x14ac:dyDescent="0.2">
      <c r="A1687" s="338"/>
      <c r="B1687" s="338"/>
      <c r="C1687" s="338"/>
      <c r="D1687" s="338"/>
      <c r="E1687" s="338"/>
      <c r="F1687" s="338"/>
      <c r="G1687" s="338"/>
      <c r="H1687" s="338"/>
      <c r="I1687" s="338"/>
      <c r="J1687" s="338"/>
      <c r="K1687" s="338"/>
      <c r="L1687" s="338"/>
      <c r="M1687" s="338"/>
      <c r="N1687" s="338"/>
      <c r="O1687" s="338"/>
      <c r="P1687" s="338"/>
      <c r="Q1687" s="338"/>
      <c r="R1687" s="338"/>
      <c r="S1687" s="338"/>
      <c r="T1687" s="338"/>
      <c r="U1687" s="338"/>
      <c r="V1687" s="338"/>
      <c r="W1687" s="338"/>
      <c r="X1687" s="338"/>
      <c r="Y1687" s="338"/>
      <c r="Z1687" s="338"/>
      <c r="AA1687" s="2774" t="s">
        <v>0</v>
      </c>
      <c r="AB1687" s="2774"/>
    </row>
    <row r="1688" spans="1:29" s="352" customFormat="1" ht="18" customHeight="1" x14ac:dyDescent="0.2">
      <c r="A1688" s="2703" t="s">
        <v>1</v>
      </c>
      <c r="B1688" s="2703"/>
      <c r="C1688" s="2703"/>
      <c r="D1688" s="2703"/>
      <c r="E1688" s="2703"/>
      <c r="F1688" s="2703"/>
      <c r="G1688" s="2703"/>
      <c r="H1688" s="2703"/>
      <c r="I1688" s="2703"/>
      <c r="J1688" s="2703"/>
      <c r="K1688" s="2703"/>
      <c r="L1688" s="2703"/>
      <c r="M1688" s="2703"/>
      <c r="N1688" s="2703"/>
      <c r="O1688" s="2703"/>
      <c r="P1688" s="2703"/>
      <c r="Q1688" s="2703"/>
      <c r="R1688" s="2703"/>
      <c r="S1688" s="2703"/>
      <c r="T1688" s="2703"/>
      <c r="U1688" s="2703"/>
      <c r="V1688" s="2703"/>
      <c r="W1688" s="2703"/>
      <c r="X1688" s="2703"/>
      <c r="Y1688" s="2703"/>
      <c r="Z1688" s="2703"/>
      <c r="AA1688" s="2703"/>
      <c r="AB1688" s="2703"/>
    </row>
    <row r="1689" spans="1:29" s="352" customFormat="1" ht="18" customHeight="1" x14ac:dyDescent="0.2">
      <c r="A1689" s="2780" t="s">
        <v>597</v>
      </c>
      <c r="B1689" s="2780"/>
      <c r="C1689" s="2780"/>
      <c r="D1689" s="2780"/>
      <c r="E1689" s="2780"/>
      <c r="F1689" s="2780"/>
      <c r="G1689" s="2780"/>
      <c r="H1689" s="2780"/>
      <c r="I1689" s="2780"/>
      <c r="J1689" s="2780"/>
      <c r="K1689" s="2780"/>
      <c r="L1689" s="2780"/>
      <c r="M1689" s="2780"/>
      <c r="N1689" s="2780"/>
      <c r="O1689" s="2780"/>
      <c r="P1689" s="2780"/>
      <c r="Q1689" s="2780"/>
      <c r="R1689" s="2780"/>
      <c r="S1689" s="2780"/>
      <c r="T1689" s="2780"/>
      <c r="U1689" s="2780"/>
      <c r="V1689" s="2780"/>
      <c r="W1689" s="2780"/>
      <c r="X1689" s="2780"/>
      <c r="Y1689" s="2780"/>
      <c r="Z1689" s="2780"/>
      <c r="AA1689" s="2780"/>
      <c r="AB1689" s="2780"/>
    </row>
    <row r="1690" spans="1:29" s="352" customFormat="1" ht="18" customHeight="1" x14ac:dyDescent="0.2">
      <c r="A1690" s="2686" t="s">
        <v>2</v>
      </c>
      <c r="B1690" s="360"/>
      <c r="C1690" s="2686" t="s">
        <v>3</v>
      </c>
      <c r="D1690" s="360"/>
      <c r="E1690" s="360"/>
      <c r="F1690" s="2693" t="s">
        <v>4</v>
      </c>
      <c r="G1690" s="2693"/>
      <c r="H1690" s="2693"/>
      <c r="I1690" s="2694"/>
      <c r="J1690" s="2694"/>
      <c r="K1690" s="2695"/>
      <c r="L1690" s="361"/>
      <c r="M1690" s="2679" t="s">
        <v>5</v>
      </c>
      <c r="N1690" s="2679"/>
      <c r="O1690" s="2679"/>
      <c r="P1690" s="2679"/>
      <c r="Q1690" s="2696"/>
      <c r="R1690" s="2696"/>
      <c r="S1690" s="2696"/>
      <c r="T1690" s="2696"/>
      <c r="U1690" s="2696"/>
      <c r="V1690" s="2697"/>
      <c r="W1690" s="362" t="s">
        <v>6</v>
      </c>
      <c r="X1690" s="363" t="s">
        <v>7</v>
      </c>
      <c r="Y1690" s="364"/>
      <c r="Z1690" s="364"/>
      <c r="AA1690" s="363"/>
      <c r="AB1690" s="365"/>
    </row>
    <row r="1691" spans="1:29" s="352" customFormat="1" ht="18" customHeight="1" x14ac:dyDescent="0.2">
      <c r="A1691" s="2687"/>
      <c r="B1691" s="367"/>
      <c r="C1691" s="2687"/>
      <c r="D1691" s="2158" t="s">
        <v>9</v>
      </c>
      <c r="E1691" s="368" t="s">
        <v>10</v>
      </c>
      <c r="F1691" s="2698" t="s">
        <v>11</v>
      </c>
      <c r="G1691" s="2694"/>
      <c r="H1691" s="2695"/>
      <c r="I1691" s="360"/>
      <c r="J1691" s="369" t="s">
        <v>12</v>
      </c>
      <c r="K1691" s="360"/>
      <c r="L1691" s="2679" t="s">
        <v>2</v>
      </c>
      <c r="M1691" s="2162"/>
      <c r="N1691" s="2162"/>
      <c r="O1691" s="2162"/>
      <c r="P1691" s="371"/>
      <c r="Q1691" s="372" t="s">
        <v>13</v>
      </c>
      <c r="R1691" s="373" t="s">
        <v>12</v>
      </c>
      <c r="S1691" s="2162" t="s">
        <v>6</v>
      </c>
      <c r="T1691" s="2682" t="s">
        <v>14</v>
      </c>
      <c r="U1691" s="2683"/>
      <c r="V1691" s="375" t="s">
        <v>7</v>
      </c>
      <c r="W1691" s="376" t="s">
        <v>15</v>
      </c>
      <c r="X1691" s="377" t="s">
        <v>16</v>
      </c>
      <c r="Y1691" s="377" t="s">
        <v>17</v>
      </c>
      <c r="Z1691" s="377" t="s">
        <v>18</v>
      </c>
      <c r="AA1691" s="377"/>
      <c r="AB1691" s="378" t="s">
        <v>19</v>
      </c>
    </row>
    <row r="1692" spans="1:29" s="352" customFormat="1" ht="18" customHeight="1" x14ac:dyDescent="0.2">
      <c r="A1692" s="2687"/>
      <c r="B1692" s="2158" t="s">
        <v>23</v>
      </c>
      <c r="C1692" s="2687"/>
      <c r="D1692" s="2158" t="s">
        <v>24</v>
      </c>
      <c r="E1692" s="368" t="s">
        <v>25</v>
      </c>
      <c r="F1692" s="2699"/>
      <c r="G1692" s="2700"/>
      <c r="H1692" s="2701"/>
      <c r="I1692" s="2158" t="s">
        <v>26</v>
      </c>
      <c r="J1692" s="379" t="s">
        <v>15</v>
      </c>
      <c r="K1692" s="2159" t="s">
        <v>6</v>
      </c>
      <c r="L1692" s="2680"/>
      <c r="M1692" s="2163" t="s">
        <v>27</v>
      </c>
      <c r="N1692" s="2163" t="s">
        <v>10</v>
      </c>
      <c r="O1692" s="382" t="s">
        <v>10</v>
      </c>
      <c r="P1692" s="383" t="s">
        <v>28</v>
      </c>
      <c r="Q1692" s="384" t="s">
        <v>29</v>
      </c>
      <c r="R1692" s="383" t="s">
        <v>15</v>
      </c>
      <c r="S1692" s="385" t="s">
        <v>15</v>
      </c>
      <c r="T1692" s="2684"/>
      <c r="U1692" s="2685"/>
      <c r="V1692" s="375" t="s">
        <v>30</v>
      </c>
      <c r="W1692" s="376" t="s">
        <v>31</v>
      </c>
      <c r="X1692" s="377" t="s">
        <v>30</v>
      </c>
      <c r="Y1692" s="377" t="s">
        <v>32</v>
      </c>
      <c r="Z1692" s="377" t="s">
        <v>7</v>
      </c>
      <c r="AA1692" s="377" t="s">
        <v>33</v>
      </c>
      <c r="AB1692" s="378" t="s">
        <v>34</v>
      </c>
    </row>
    <row r="1693" spans="1:29" s="352" customFormat="1" ht="18" customHeight="1" x14ac:dyDescent="0.2">
      <c r="A1693" s="2687"/>
      <c r="B1693" s="2158" t="s">
        <v>39</v>
      </c>
      <c r="C1693" s="2687"/>
      <c r="D1693" s="2158" t="s">
        <v>40</v>
      </c>
      <c r="E1693" s="368" t="s">
        <v>41</v>
      </c>
      <c r="F1693" s="2686" t="s">
        <v>42</v>
      </c>
      <c r="G1693" s="2686" t="s">
        <v>43</v>
      </c>
      <c r="H1693" s="2688" t="s">
        <v>44</v>
      </c>
      <c r="I1693" s="2158" t="s">
        <v>45</v>
      </c>
      <c r="J1693" s="379" t="s">
        <v>46</v>
      </c>
      <c r="K1693" s="2159" t="s">
        <v>47</v>
      </c>
      <c r="L1693" s="2680"/>
      <c r="M1693" s="2163" t="s">
        <v>30</v>
      </c>
      <c r="N1693" s="2163" t="s">
        <v>30</v>
      </c>
      <c r="O1693" s="382" t="s">
        <v>25</v>
      </c>
      <c r="P1693" s="383" t="s">
        <v>30</v>
      </c>
      <c r="Q1693" s="384" t="s">
        <v>48</v>
      </c>
      <c r="R1693" s="383" t="s">
        <v>49</v>
      </c>
      <c r="S1693" s="385" t="s">
        <v>30</v>
      </c>
      <c r="T1693" s="386" t="s">
        <v>50</v>
      </c>
      <c r="U1693" s="2161" t="s">
        <v>13</v>
      </c>
      <c r="V1693" s="375" t="s">
        <v>51</v>
      </c>
      <c r="W1693" s="376" t="s">
        <v>52</v>
      </c>
      <c r="X1693" s="377" t="s">
        <v>53</v>
      </c>
      <c r="Y1693" s="377" t="s">
        <v>54</v>
      </c>
      <c r="Z1693" s="377" t="s">
        <v>55</v>
      </c>
      <c r="AA1693" s="377" t="s">
        <v>56</v>
      </c>
      <c r="AB1693" s="378" t="s">
        <v>57</v>
      </c>
    </row>
    <row r="1694" spans="1:29" s="352" customFormat="1" ht="18" customHeight="1" x14ac:dyDescent="0.2">
      <c r="A1694" s="2687"/>
      <c r="B1694" s="2158" t="s">
        <v>61</v>
      </c>
      <c r="C1694" s="2687"/>
      <c r="D1694" s="2158" t="s">
        <v>62</v>
      </c>
      <c r="E1694" s="368" t="s">
        <v>63</v>
      </c>
      <c r="F1694" s="2687"/>
      <c r="G1694" s="2687"/>
      <c r="H1694" s="2689"/>
      <c r="I1694" s="2158" t="s">
        <v>64</v>
      </c>
      <c r="J1694" s="379" t="s">
        <v>59</v>
      </c>
      <c r="K1694" s="2159" t="s">
        <v>59</v>
      </c>
      <c r="L1694" s="2680"/>
      <c r="M1694" s="2163"/>
      <c r="N1694" s="2163"/>
      <c r="O1694" s="382" t="s">
        <v>41</v>
      </c>
      <c r="P1694" s="383" t="s">
        <v>65</v>
      </c>
      <c r="Q1694" s="384" t="s">
        <v>66</v>
      </c>
      <c r="R1694" s="383" t="s">
        <v>67</v>
      </c>
      <c r="S1694" s="385" t="s">
        <v>59</v>
      </c>
      <c r="T1694" s="387" t="s">
        <v>68</v>
      </c>
      <c r="U1694" s="375" t="s">
        <v>14</v>
      </c>
      <c r="V1694" s="375" t="s">
        <v>14</v>
      </c>
      <c r="W1694" s="376" t="s">
        <v>30</v>
      </c>
      <c r="X1694" s="388" t="s">
        <v>69</v>
      </c>
      <c r="Y1694" s="388" t="s">
        <v>70</v>
      </c>
      <c r="Z1694" s="377" t="s">
        <v>71</v>
      </c>
      <c r="AA1694" s="377" t="s">
        <v>72</v>
      </c>
      <c r="AB1694" s="378" t="s">
        <v>59</v>
      </c>
    </row>
    <row r="1695" spans="1:29" s="352" customFormat="1" ht="18" customHeight="1" x14ac:dyDescent="0.2">
      <c r="A1695" s="2692"/>
      <c r="B1695" s="390"/>
      <c r="C1695" s="2692"/>
      <c r="D1695" s="390"/>
      <c r="E1695" s="2160"/>
      <c r="F1695" s="390"/>
      <c r="G1695" s="390"/>
      <c r="H1695" s="391"/>
      <c r="I1695" s="2160"/>
      <c r="J1695" s="392"/>
      <c r="K1695" s="393"/>
      <c r="L1695" s="2681"/>
      <c r="M1695" s="2164"/>
      <c r="N1695" s="2164"/>
      <c r="O1695" s="2164" t="s">
        <v>63</v>
      </c>
      <c r="P1695" s="395"/>
      <c r="Q1695" s="396" t="s">
        <v>72</v>
      </c>
      <c r="R1695" s="397" t="s">
        <v>59</v>
      </c>
      <c r="S1695" s="398"/>
      <c r="T1695" s="397" t="s">
        <v>73</v>
      </c>
      <c r="U1695" s="398" t="s">
        <v>59</v>
      </c>
      <c r="V1695" s="399" t="s">
        <v>59</v>
      </c>
      <c r="W1695" s="400" t="s">
        <v>59</v>
      </c>
      <c r="X1695" s="401" t="s">
        <v>59</v>
      </c>
      <c r="Y1695" s="401" t="s">
        <v>59</v>
      </c>
      <c r="Z1695" s="401" t="s">
        <v>59</v>
      </c>
      <c r="AA1695" s="402"/>
      <c r="AB1695" s="403"/>
    </row>
    <row r="1696" spans="1:29" s="352" customFormat="1" ht="18" customHeight="1" x14ac:dyDescent="0.25">
      <c r="A1696" s="88">
        <v>1</v>
      </c>
      <c r="B1696" s="53">
        <v>34068</v>
      </c>
      <c r="C1696" s="82">
        <v>357</v>
      </c>
      <c r="D1696" s="41" t="s">
        <v>84</v>
      </c>
      <c r="E1696" s="41">
        <v>3</v>
      </c>
      <c r="F1696" s="41">
        <v>0</v>
      </c>
      <c r="G1696" s="41">
        <v>0</v>
      </c>
      <c r="H1696" s="267">
        <v>51.3</v>
      </c>
      <c r="I1696" s="302">
        <f>F1696*400+G1696*100+H1696</f>
        <v>51.3</v>
      </c>
      <c r="J1696" s="310">
        <v>3000</v>
      </c>
      <c r="K1696" s="310">
        <f>SUM(I1696*J1696)</f>
        <v>153900</v>
      </c>
      <c r="L1696" s="480"/>
      <c r="M1696" s="242">
        <v>103</v>
      </c>
      <c r="N1696" s="269" t="s">
        <v>74</v>
      </c>
      <c r="O1696" s="61">
        <v>2</v>
      </c>
      <c r="P1696" s="177">
        <v>64</v>
      </c>
      <c r="Q1696" s="285" t="s">
        <v>75</v>
      </c>
      <c r="R1696" s="321">
        <v>9500</v>
      </c>
      <c r="S1696" s="321">
        <f>R1696*P1696</f>
        <v>608000</v>
      </c>
      <c r="T1696" s="483"/>
      <c r="U1696" s="485"/>
      <c r="V1696" s="486"/>
      <c r="W1696" s="302">
        <f>K1696</f>
        <v>153900</v>
      </c>
      <c r="X1696" s="310">
        <f>W1696</f>
        <v>153900</v>
      </c>
      <c r="Y1696" s="310"/>
      <c r="Z1696" s="302">
        <f>+X1696</f>
        <v>153900</v>
      </c>
      <c r="AA1696" s="405">
        <v>0.3</v>
      </c>
      <c r="AB1696" s="658">
        <f>+Z1696*AA1696/100</f>
        <v>461.7</v>
      </c>
      <c r="AC1696" s="352" t="s">
        <v>474</v>
      </c>
    </row>
    <row r="1697" spans="1:29" s="352" customFormat="1" ht="18" customHeight="1" x14ac:dyDescent="0.25">
      <c r="A1697" s="2166">
        <v>2</v>
      </c>
      <c r="B1697" s="61">
        <v>74557</v>
      </c>
      <c r="C1697" s="2166">
        <v>1899</v>
      </c>
      <c r="D1697" s="41" t="s">
        <v>84</v>
      </c>
      <c r="E1697" s="2166">
        <v>3</v>
      </c>
      <c r="F1697" s="2166">
        <v>0</v>
      </c>
      <c r="G1697" s="2166">
        <v>0</v>
      </c>
      <c r="H1697" s="407">
        <v>51.3</v>
      </c>
      <c r="I1697" s="302">
        <f>F1697*400+G1697*100+H1697</f>
        <v>51.3</v>
      </c>
      <c r="J1697" s="310">
        <v>3000</v>
      </c>
      <c r="K1697" s="310">
        <f>SUM(I1697*J1697)</f>
        <v>153900</v>
      </c>
      <c r="L1697" s="61"/>
      <c r="M1697" s="242">
        <v>103</v>
      </c>
      <c r="N1697" s="269" t="s">
        <v>74</v>
      </c>
      <c r="O1697" s="61">
        <v>2</v>
      </c>
      <c r="P1697" s="177">
        <v>64</v>
      </c>
      <c r="Q1697" s="285" t="s">
        <v>237</v>
      </c>
      <c r="R1697" s="321">
        <v>9500</v>
      </c>
      <c r="S1697" s="321">
        <f>R1697*P1697</f>
        <v>608000</v>
      </c>
      <c r="T1697" s="2166"/>
      <c r="U1697" s="77"/>
      <c r="V1697" s="77"/>
      <c r="W1697" s="302">
        <f>K1697</f>
        <v>153900</v>
      </c>
      <c r="X1697" s="310">
        <f>W1697</f>
        <v>153900</v>
      </c>
      <c r="Y1697" s="310"/>
      <c r="Z1697" s="302">
        <f>+X1697</f>
        <v>153900</v>
      </c>
      <c r="AA1697" s="405">
        <v>0.3</v>
      </c>
      <c r="AB1697" s="658">
        <f>+Z1697*AA1697/100</f>
        <v>461.7</v>
      </c>
      <c r="AC1697" s="352" t="s">
        <v>474</v>
      </c>
    </row>
    <row r="1698" spans="1:29" s="352" customFormat="1" ht="18" customHeight="1" x14ac:dyDescent="0.2">
      <c r="A1698" s="2166"/>
      <c r="B1698" s="61"/>
      <c r="C1698" s="2166"/>
      <c r="D1698" s="2166"/>
      <c r="E1698" s="2166"/>
      <c r="F1698" s="2166"/>
      <c r="G1698" s="2166"/>
      <c r="H1698" s="407"/>
      <c r="I1698" s="77"/>
      <c r="J1698" s="2168"/>
      <c r="K1698" s="2168"/>
      <c r="L1698" s="61"/>
      <c r="M1698" s="2166"/>
      <c r="N1698" s="2166"/>
      <c r="O1698" s="61"/>
      <c r="P1698" s="177"/>
      <c r="Q1698" s="196"/>
      <c r="R1698" s="408"/>
      <c r="S1698" s="77"/>
      <c r="T1698" s="2166"/>
      <c r="U1698" s="77"/>
      <c r="V1698" s="77"/>
      <c r="W1698" s="77"/>
      <c r="X1698" s="2168"/>
      <c r="Y1698" s="2168"/>
      <c r="Z1698" s="77"/>
      <c r="AA1698" s="2170"/>
      <c r="AB1698" s="416"/>
    </row>
    <row r="1699" spans="1:29" s="352" customFormat="1" ht="18" customHeight="1" x14ac:dyDescent="0.2">
      <c r="A1699" s="2166"/>
      <c r="B1699" s="61"/>
      <c r="C1699" s="2166"/>
      <c r="D1699" s="2166"/>
      <c r="E1699" s="2166"/>
      <c r="F1699" s="2166"/>
      <c r="G1699" s="2166"/>
      <c r="H1699" s="407"/>
      <c r="I1699" s="77"/>
      <c r="J1699" s="2168"/>
      <c r="K1699" s="2168"/>
      <c r="L1699" s="488"/>
      <c r="M1699" s="488"/>
      <c r="N1699" s="488"/>
      <c r="O1699" s="488"/>
      <c r="P1699" s="819"/>
      <c r="Q1699" s="819"/>
      <c r="R1699" s="820"/>
      <c r="S1699" s="820"/>
      <c r="T1699" s="819"/>
      <c r="U1699" s="820"/>
      <c r="V1699" s="821"/>
      <c r="W1699" s="77"/>
      <c r="X1699" s="2168"/>
      <c r="Y1699" s="2168"/>
      <c r="Z1699" s="77"/>
      <c r="AA1699" s="2170"/>
      <c r="AB1699" s="410"/>
    </row>
    <row r="1700" spans="1:29" s="352" customFormat="1" ht="18" customHeight="1" x14ac:dyDescent="0.2">
      <c r="A1700" s="2166"/>
      <c r="B1700" s="61"/>
      <c r="C1700" s="2166"/>
      <c r="D1700" s="2166"/>
      <c r="E1700" s="2166"/>
      <c r="F1700" s="2166"/>
      <c r="G1700" s="2166"/>
      <c r="H1700" s="407"/>
      <c r="I1700" s="77"/>
      <c r="J1700" s="2168"/>
      <c r="K1700" s="78"/>
      <c r="L1700" s="61"/>
      <c r="M1700" s="2166"/>
      <c r="N1700" s="2166"/>
      <c r="O1700" s="61"/>
      <c r="P1700" s="177"/>
      <c r="Q1700" s="196"/>
      <c r="R1700" s="408"/>
      <c r="S1700" s="77"/>
      <c r="T1700" s="2166"/>
      <c r="U1700" s="77"/>
      <c r="V1700" s="77"/>
      <c r="W1700" s="77"/>
      <c r="X1700" s="77"/>
      <c r="Y1700" s="2168"/>
      <c r="Z1700" s="77"/>
      <c r="AA1700" s="2170"/>
      <c r="AB1700" s="410"/>
    </row>
    <row r="1701" spans="1:29" s="352" customFormat="1" ht="18" customHeight="1" x14ac:dyDescent="0.2">
      <c r="A1701" s="2166"/>
      <c r="B1701" s="61"/>
      <c r="C1701" s="2166"/>
      <c r="D1701" s="2166"/>
      <c r="E1701" s="2166"/>
      <c r="F1701" s="2166"/>
      <c r="G1701" s="2166"/>
      <c r="H1701" s="407"/>
      <c r="I1701" s="77"/>
      <c r="J1701" s="2168"/>
      <c r="K1701" s="78"/>
      <c r="L1701" s="61"/>
      <c r="M1701" s="2166"/>
      <c r="N1701" s="2166"/>
      <c r="O1701" s="61"/>
      <c r="P1701" s="177"/>
      <c r="Q1701" s="196"/>
      <c r="R1701" s="408"/>
      <c r="S1701" s="77"/>
      <c r="T1701" s="2166"/>
      <c r="U1701" s="77"/>
      <c r="V1701" s="77"/>
      <c r="W1701" s="77"/>
      <c r="X1701" s="77"/>
      <c r="Y1701" s="2168"/>
      <c r="Z1701" s="77"/>
      <c r="AA1701" s="2170"/>
      <c r="AB1701" s="410"/>
    </row>
    <row r="1702" spans="1:29" s="352" customFormat="1" ht="18" customHeight="1" x14ac:dyDescent="0.2">
      <c r="A1702" s="2166"/>
      <c r="B1702" s="61"/>
      <c r="C1702" s="2166"/>
      <c r="D1702" s="2166"/>
      <c r="E1702" s="2166"/>
      <c r="F1702" s="2166"/>
      <c r="G1702" s="2166"/>
      <c r="H1702" s="407"/>
      <c r="I1702" s="77"/>
      <c r="J1702" s="2168"/>
      <c r="K1702" s="78"/>
      <c r="L1702" s="61"/>
      <c r="M1702" s="2166"/>
      <c r="N1702" s="2166"/>
      <c r="O1702" s="61"/>
      <c r="P1702" s="177"/>
      <c r="Q1702" s="196"/>
      <c r="R1702" s="408"/>
      <c r="S1702" s="77"/>
      <c r="T1702" s="2166"/>
      <c r="U1702" s="77"/>
      <c r="V1702" s="77"/>
      <c r="W1702" s="77"/>
      <c r="X1702" s="77"/>
      <c r="Y1702" s="2168"/>
      <c r="Z1702" s="77"/>
      <c r="AA1702" s="2170"/>
      <c r="AB1702" s="410"/>
    </row>
    <row r="1703" spans="1:29" s="352" customFormat="1" ht="18" customHeight="1" x14ac:dyDescent="0.2">
      <c r="A1703" s="88"/>
      <c r="B1703" s="75"/>
      <c r="C1703" s="88"/>
      <c r="D1703" s="88"/>
      <c r="E1703" s="2166"/>
      <c r="F1703" s="411"/>
      <c r="G1703" s="242"/>
      <c r="H1703" s="412"/>
      <c r="I1703" s="159"/>
      <c r="J1703" s="121"/>
      <c r="K1703" s="159"/>
      <c r="L1703" s="75"/>
      <c r="M1703" s="88"/>
      <c r="N1703" s="88"/>
      <c r="O1703" s="75"/>
      <c r="P1703" s="180"/>
      <c r="Q1703" s="174"/>
      <c r="R1703" s="413"/>
      <c r="S1703" s="74"/>
      <c r="T1703" s="88"/>
      <c r="U1703" s="74"/>
      <c r="V1703" s="74"/>
      <c r="W1703" s="74"/>
      <c r="X1703" s="74"/>
      <c r="Y1703" s="121"/>
      <c r="Z1703" s="74"/>
      <c r="AA1703" s="414"/>
      <c r="AB1703" s="415"/>
    </row>
    <row r="1704" spans="1:29" s="352" customFormat="1" ht="18" customHeight="1" x14ac:dyDescent="0.2">
      <c r="A1704" s="88"/>
      <c r="B1704" s="75"/>
      <c r="C1704" s="88"/>
      <c r="D1704" s="231"/>
      <c r="E1704" s="2166"/>
      <c r="F1704" s="411"/>
      <c r="G1704" s="242"/>
      <c r="H1704" s="412"/>
      <c r="I1704" s="159"/>
      <c r="J1704" s="121"/>
      <c r="K1704" s="159"/>
      <c r="L1704" s="75"/>
      <c r="M1704" s="88"/>
      <c r="N1704" s="88"/>
      <c r="O1704" s="75"/>
      <c r="P1704" s="180"/>
      <c r="Q1704" s="174"/>
      <c r="R1704" s="413"/>
      <c r="S1704" s="74"/>
      <c r="T1704" s="88"/>
      <c r="U1704" s="74"/>
      <c r="V1704" s="74"/>
      <c r="W1704" s="74"/>
      <c r="X1704" s="74"/>
      <c r="Y1704" s="121"/>
      <c r="Z1704" s="74"/>
      <c r="AA1704" s="417"/>
      <c r="AB1704" s="410"/>
    </row>
    <row r="1705" spans="1:29" s="352" customFormat="1" ht="18" customHeight="1" x14ac:dyDescent="0.2">
      <c r="A1705" s="88"/>
      <c r="B1705" s="75"/>
      <c r="C1705" s="88"/>
      <c r="D1705" s="88"/>
      <c r="E1705" s="2166"/>
      <c r="F1705" s="411"/>
      <c r="G1705" s="242"/>
      <c r="H1705" s="412"/>
      <c r="I1705" s="159"/>
      <c r="J1705" s="121"/>
      <c r="K1705" s="159"/>
      <c r="L1705" s="75"/>
      <c r="M1705" s="88"/>
      <c r="N1705" s="88"/>
      <c r="O1705" s="75"/>
      <c r="P1705" s="180"/>
      <c r="Q1705" s="174"/>
      <c r="R1705" s="413"/>
      <c r="S1705" s="74"/>
      <c r="T1705" s="88"/>
      <c r="U1705" s="74"/>
      <c r="V1705" s="74"/>
      <c r="W1705" s="74"/>
      <c r="X1705" s="74"/>
      <c r="Y1705" s="121"/>
      <c r="Z1705" s="74"/>
      <c r="AA1705" s="414"/>
      <c r="AB1705" s="416"/>
    </row>
    <row r="1706" spans="1:29" s="352" customFormat="1" ht="18" customHeight="1" x14ac:dyDescent="0.2">
      <c r="A1706" s="88"/>
      <c r="B1706" s="75"/>
      <c r="C1706" s="88"/>
      <c r="D1706" s="88"/>
      <c r="E1706" s="2166"/>
      <c r="F1706" s="411"/>
      <c r="G1706" s="242"/>
      <c r="H1706" s="412"/>
      <c r="I1706" s="159"/>
      <c r="J1706" s="121"/>
      <c r="K1706" s="159"/>
      <c r="L1706" s="75"/>
      <c r="M1706" s="88"/>
      <c r="N1706" s="88"/>
      <c r="O1706" s="75"/>
      <c r="P1706" s="180"/>
      <c r="Q1706" s="174"/>
      <c r="R1706" s="413"/>
      <c r="S1706" s="74"/>
      <c r="T1706" s="88"/>
      <c r="U1706" s="74"/>
      <c r="V1706" s="74"/>
      <c r="W1706" s="74"/>
      <c r="X1706" s="74"/>
      <c r="Y1706" s="121"/>
      <c r="Z1706" s="74"/>
      <c r="AA1706" s="414"/>
      <c r="AB1706" s="415"/>
    </row>
    <row r="1707" spans="1:29" s="352" customFormat="1" ht="18" customHeight="1" x14ac:dyDescent="0.2">
      <c r="A1707" s="88"/>
      <c r="B1707" s="75"/>
      <c r="C1707" s="88"/>
      <c r="D1707" s="2165"/>
      <c r="E1707" s="2166"/>
      <c r="F1707" s="411"/>
      <c r="G1707" s="242"/>
      <c r="H1707" s="412"/>
      <c r="I1707" s="159"/>
      <c r="J1707" s="121"/>
      <c r="K1707" s="159"/>
      <c r="L1707" s="75"/>
      <c r="M1707" s="88"/>
      <c r="N1707" s="88"/>
      <c r="O1707" s="75"/>
      <c r="P1707" s="180"/>
      <c r="Q1707" s="174"/>
      <c r="R1707" s="413"/>
      <c r="S1707" s="74"/>
      <c r="T1707" s="88"/>
      <c r="U1707" s="74"/>
      <c r="V1707" s="74"/>
      <c r="W1707" s="74"/>
      <c r="X1707" s="74"/>
      <c r="Y1707" s="121"/>
      <c r="Z1707" s="74"/>
      <c r="AA1707" s="414"/>
      <c r="AB1707" s="410"/>
    </row>
    <row r="1708" spans="1:29" s="352" customFormat="1" ht="18" customHeight="1" x14ac:dyDescent="0.2">
      <c r="A1708" s="88"/>
      <c r="B1708" s="75"/>
      <c r="C1708" s="88"/>
      <c r="D1708" s="2165"/>
      <c r="E1708" s="2166"/>
      <c r="F1708" s="411"/>
      <c r="G1708" s="242"/>
      <c r="H1708" s="412"/>
      <c r="I1708" s="159"/>
      <c r="J1708" s="121"/>
      <c r="K1708" s="159"/>
      <c r="L1708" s="75"/>
      <c r="M1708" s="88"/>
      <c r="N1708" s="88"/>
      <c r="O1708" s="75"/>
      <c r="P1708" s="180"/>
      <c r="Q1708" s="174"/>
      <c r="R1708" s="413"/>
      <c r="S1708" s="74"/>
      <c r="T1708" s="88"/>
      <c r="U1708" s="74"/>
      <c r="V1708" s="74"/>
      <c r="W1708" s="74"/>
      <c r="X1708" s="74"/>
      <c r="Y1708" s="121"/>
      <c r="Z1708" s="74"/>
      <c r="AA1708" s="414"/>
      <c r="AB1708" s="416"/>
    </row>
    <row r="1709" spans="1:29" s="352" customFormat="1" ht="18" customHeight="1" x14ac:dyDescent="0.2">
      <c r="A1709" s="88"/>
      <c r="B1709" s="418"/>
      <c r="C1709" s="88"/>
      <c r="D1709" s="88"/>
      <c r="E1709" s="88"/>
      <c r="F1709" s="411"/>
      <c r="G1709" s="242"/>
      <c r="H1709" s="412"/>
      <c r="I1709" s="159"/>
      <c r="J1709" s="121"/>
      <c r="K1709" s="159"/>
      <c r="L1709" s="75"/>
      <c r="M1709" s="88"/>
      <c r="N1709" s="88"/>
      <c r="O1709" s="75"/>
      <c r="P1709" s="180"/>
      <c r="Q1709" s="174"/>
      <c r="R1709" s="413"/>
      <c r="S1709" s="74"/>
      <c r="T1709" s="88"/>
      <c r="U1709" s="74"/>
      <c r="V1709" s="74"/>
      <c r="W1709" s="74"/>
      <c r="X1709" s="74"/>
      <c r="Y1709" s="121"/>
      <c r="Z1709" s="74"/>
      <c r="AA1709" s="414"/>
      <c r="AB1709" s="410"/>
    </row>
    <row r="1710" spans="1:29" s="352" customFormat="1" ht="18" customHeight="1" x14ac:dyDescent="0.2">
      <c r="A1710" s="1147"/>
      <c r="B1710" s="1989"/>
      <c r="C1710" s="1147"/>
      <c r="D1710" s="1147"/>
      <c r="E1710" s="1147"/>
      <c r="F1710" s="1147"/>
      <c r="G1710" s="1147"/>
      <c r="H1710" s="1990"/>
      <c r="I1710" s="1991"/>
      <c r="J1710" s="1868"/>
      <c r="K1710" s="1992"/>
      <c r="L1710" s="1989"/>
      <c r="M1710" s="1147"/>
      <c r="N1710" s="1147"/>
      <c r="O1710" s="1989"/>
      <c r="P1710" s="1867"/>
      <c r="Q1710" s="1993"/>
      <c r="R1710" s="1994"/>
      <c r="S1710" s="1991"/>
      <c r="T1710" s="1147"/>
      <c r="U1710" s="1991"/>
      <c r="V1710" s="1991"/>
      <c r="W1710" s="1991"/>
      <c r="X1710" s="1991"/>
      <c r="Y1710" s="1868"/>
      <c r="Z1710" s="1991"/>
      <c r="AA1710" s="1995"/>
      <c r="AB1710" s="1849">
        <f>SUM(AB1696:AB1709)</f>
        <v>923.4</v>
      </c>
    </row>
    <row r="1711" spans="1:29" s="352" customFormat="1" ht="18" customHeight="1" x14ac:dyDescent="0.2">
      <c r="A1711" s="2788" t="s">
        <v>76</v>
      </c>
      <c r="B1711" s="2788"/>
      <c r="C1711" s="2779" t="s">
        <v>77</v>
      </c>
      <c r="D1711" s="2779"/>
      <c r="E1711" s="2779"/>
      <c r="F1711" s="2779"/>
      <c r="G1711" s="2779"/>
      <c r="H1711" s="2779"/>
      <c r="I1711" s="424" t="s">
        <v>78</v>
      </c>
      <c r="J1711" s="424"/>
      <c r="K1711" s="424"/>
      <c r="L1711" s="424"/>
      <c r="M1711" s="424"/>
      <c r="N1711" s="424"/>
      <c r="AB1711" s="425"/>
    </row>
    <row r="1712" spans="1:29" s="352" customFormat="1" ht="18" customHeight="1" x14ac:dyDescent="0.2">
      <c r="A1712" s="424"/>
      <c r="B1712" s="426"/>
      <c r="C1712" s="424"/>
      <c r="D1712" s="424"/>
      <c r="E1712" s="424"/>
      <c r="F1712" s="424"/>
      <c r="G1712" s="424"/>
      <c r="H1712" s="424"/>
      <c r="I1712" s="424" t="s">
        <v>79</v>
      </c>
      <c r="J1712" s="424"/>
      <c r="K1712" s="424"/>
      <c r="L1712" s="424"/>
      <c r="M1712" s="424"/>
      <c r="N1712" s="424"/>
      <c r="AB1712" s="425"/>
    </row>
    <row r="1713" spans="1:28" s="352" customFormat="1" ht="18" customHeight="1" x14ac:dyDescent="0.2">
      <c r="A1713" s="424"/>
      <c r="B1713" s="426"/>
      <c r="C1713" s="424"/>
      <c r="D1713" s="424"/>
      <c r="E1713" s="424"/>
      <c r="F1713" s="424"/>
      <c r="G1713" s="424"/>
      <c r="H1713" s="424"/>
      <c r="I1713" s="424" t="s">
        <v>80</v>
      </c>
      <c r="J1713" s="424"/>
      <c r="K1713" s="424"/>
      <c r="L1713" s="424"/>
      <c r="M1713" s="424"/>
      <c r="N1713" s="424"/>
      <c r="AB1713" s="425"/>
    </row>
    <row r="1714" spans="1:28" s="352" customFormat="1" ht="18" customHeight="1" x14ac:dyDescent="0.2">
      <c r="A1714" s="424"/>
      <c r="B1714" s="426"/>
      <c r="C1714" s="424"/>
      <c r="D1714" s="424"/>
      <c r="E1714" s="424"/>
      <c r="F1714" s="424"/>
      <c r="G1714" s="424"/>
      <c r="H1714" s="424"/>
      <c r="I1714" s="424" t="s">
        <v>81</v>
      </c>
      <c r="J1714" s="424"/>
      <c r="K1714" s="424"/>
      <c r="L1714" s="424"/>
      <c r="M1714" s="424"/>
      <c r="N1714" s="424"/>
      <c r="AB1714" s="425"/>
    </row>
    <row r="1715" spans="1:28" s="352" customFormat="1" ht="18" customHeight="1" x14ac:dyDescent="0.2">
      <c r="A1715" s="424"/>
      <c r="B1715" s="426"/>
      <c r="C1715" s="424"/>
      <c r="D1715" s="424"/>
      <c r="E1715" s="424"/>
      <c r="F1715" s="424"/>
      <c r="G1715" s="424"/>
      <c r="H1715" s="424"/>
      <c r="I1715" s="424" t="s">
        <v>88</v>
      </c>
      <c r="J1715" s="424"/>
      <c r="K1715" s="424"/>
      <c r="L1715" s="424"/>
      <c r="M1715" s="424"/>
      <c r="N1715" s="424"/>
      <c r="AB1715" s="425"/>
    </row>
    <row r="1716" spans="1:28" s="352" customFormat="1" ht="18" customHeight="1" x14ac:dyDescent="0.2">
      <c r="A1716" s="338"/>
      <c r="B1716" s="338"/>
      <c r="C1716" s="338"/>
      <c r="D1716" s="338"/>
      <c r="E1716" s="338"/>
      <c r="F1716" s="338"/>
      <c r="G1716" s="338"/>
      <c r="H1716" s="338"/>
      <c r="I1716" s="338"/>
      <c r="J1716" s="338"/>
      <c r="K1716" s="338"/>
      <c r="L1716" s="338"/>
      <c r="M1716" s="338"/>
      <c r="N1716" s="338"/>
      <c r="O1716" s="338"/>
      <c r="P1716" s="338"/>
      <c r="Q1716" s="338"/>
      <c r="R1716" s="338"/>
      <c r="S1716" s="338"/>
      <c r="T1716" s="338"/>
      <c r="U1716" s="338"/>
      <c r="V1716" s="338"/>
      <c r="W1716" s="338"/>
      <c r="X1716" s="338"/>
      <c r="Y1716" s="338"/>
      <c r="Z1716" s="338"/>
      <c r="AA1716" s="2774" t="s">
        <v>0</v>
      </c>
      <c r="AB1716" s="2774"/>
    </row>
    <row r="1717" spans="1:28" s="352" customFormat="1" ht="18" customHeight="1" x14ac:dyDescent="0.2">
      <c r="A1717" s="2703" t="s">
        <v>1</v>
      </c>
      <c r="B1717" s="2703"/>
      <c r="C1717" s="2703"/>
      <c r="D1717" s="2703"/>
      <c r="E1717" s="2703"/>
      <c r="F1717" s="2703"/>
      <c r="G1717" s="2703"/>
      <c r="H1717" s="2703"/>
      <c r="I1717" s="2703"/>
      <c r="J1717" s="2703"/>
      <c r="K1717" s="2703"/>
      <c r="L1717" s="2703"/>
      <c r="M1717" s="2703"/>
      <c r="N1717" s="2703"/>
      <c r="O1717" s="2703"/>
      <c r="P1717" s="2703"/>
      <c r="Q1717" s="2703"/>
      <c r="R1717" s="2703"/>
      <c r="S1717" s="2703"/>
      <c r="T1717" s="2703"/>
      <c r="U1717" s="2703"/>
      <c r="V1717" s="2703"/>
      <c r="W1717" s="2703"/>
      <c r="X1717" s="2703"/>
      <c r="Y1717" s="2703"/>
      <c r="Z1717" s="2703"/>
      <c r="AA1717" s="2703"/>
      <c r="AB1717" s="2703"/>
    </row>
    <row r="1718" spans="1:28" s="352" customFormat="1" ht="18" customHeight="1" x14ac:dyDescent="0.2">
      <c r="A1718" s="2780" t="s">
        <v>653</v>
      </c>
      <c r="B1718" s="2780"/>
      <c r="C1718" s="2780"/>
      <c r="D1718" s="2780"/>
      <c r="E1718" s="2780"/>
      <c r="F1718" s="2780"/>
      <c r="G1718" s="2780"/>
      <c r="H1718" s="2780"/>
      <c r="I1718" s="2780"/>
      <c r="J1718" s="2780"/>
      <c r="K1718" s="2780"/>
      <c r="L1718" s="2780"/>
      <c r="M1718" s="2780"/>
      <c r="N1718" s="2780"/>
      <c r="O1718" s="2780"/>
      <c r="P1718" s="2780"/>
      <c r="Q1718" s="2780"/>
      <c r="R1718" s="2780"/>
      <c r="S1718" s="2780"/>
      <c r="T1718" s="2780"/>
      <c r="U1718" s="2780"/>
      <c r="V1718" s="2780"/>
      <c r="W1718" s="2780"/>
      <c r="X1718" s="2780"/>
      <c r="Y1718" s="2780"/>
      <c r="Z1718" s="2780"/>
      <c r="AA1718" s="2780"/>
      <c r="AB1718" s="2780"/>
    </row>
    <row r="1719" spans="1:28" s="352" customFormat="1" ht="18" customHeight="1" x14ac:dyDescent="0.2">
      <c r="A1719" s="2686" t="s">
        <v>2</v>
      </c>
      <c r="B1719" s="360"/>
      <c r="C1719" s="2686" t="s">
        <v>3</v>
      </c>
      <c r="D1719" s="360"/>
      <c r="E1719" s="360"/>
      <c r="F1719" s="2693" t="s">
        <v>4</v>
      </c>
      <c r="G1719" s="2693"/>
      <c r="H1719" s="2693"/>
      <c r="I1719" s="2694"/>
      <c r="J1719" s="2694"/>
      <c r="K1719" s="2695"/>
      <c r="L1719" s="361"/>
      <c r="M1719" s="2679" t="s">
        <v>5</v>
      </c>
      <c r="N1719" s="2679"/>
      <c r="O1719" s="2679"/>
      <c r="P1719" s="2679"/>
      <c r="Q1719" s="2696"/>
      <c r="R1719" s="2696"/>
      <c r="S1719" s="2696"/>
      <c r="T1719" s="2696"/>
      <c r="U1719" s="2696"/>
      <c r="V1719" s="2697"/>
      <c r="W1719" s="362" t="s">
        <v>6</v>
      </c>
      <c r="X1719" s="363" t="s">
        <v>7</v>
      </c>
      <c r="Y1719" s="364"/>
      <c r="Z1719" s="364"/>
      <c r="AA1719" s="363"/>
      <c r="AB1719" s="365"/>
    </row>
    <row r="1720" spans="1:28" s="352" customFormat="1" ht="18" customHeight="1" x14ac:dyDescent="0.2">
      <c r="A1720" s="2687"/>
      <c r="B1720" s="367"/>
      <c r="C1720" s="2687"/>
      <c r="D1720" s="2158" t="s">
        <v>9</v>
      </c>
      <c r="E1720" s="368" t="s">
        <v>10</v>
      </c>
      <c r="F1720" s="2698" t="s">
        <v>11</v>
      </c>
      <c r="G1720" s="2694"/>
      <c r="H1720" s="2695"/>
      <c r="I1720" s="360"/>
      <c r="J1720" s="369" t="s">
        <v>12</v>
      </c>
      <c r="K1720" s="360"/>
      <c r="L1720" s="2679" t="s">
        <v>2</v>
      </c>
      <c r="M1720" s="2162"/>
      <c r="N1720" s="2162"/>
      <c r="O1720" s="2162"/>
      <c r="P1720" s="371"/>
      <c r="Q1720" s="372" t="s">
        <v>13</v>
      </c>
      <c r="R1720" s="373" t="s">
        <v>12</v>
      </c>
      <c r="S1720" s="2162" t="s">
        <v>6</v>
      </c>
      <c r="T1720" s="2682" t="s">
        <v>14</v>
      </c>
      <c r="U1720" s="2683"/>
      <c r="V1720" s="375" t="s">
        <v>7</v>
      </c>
      <c r="W1720" s="376" t="s">
        <v>15</v>
      </c>
      <c r="X1720" s="377" t="s">
        <v>16</v>
      </c>
      <c r="Y1720" s="377" t="s">
        <v>17</v>
      </c>
      <c r="Z1720" s="377" t="s">
        <v>18</v>
      </c>
      <c r="AA1720" s="377"/>
      <c r="AB1720" s="378" t="s">
        <v>19</v>
      </c>
    </row>
    <row r="1721" spans="1:28" s="352" customFormat="1" ht="18" customHeight="1" x14ac:dyDescent="0.2">
      <c r="A1721" s="2687"/>
      <c r="B1721" s="2158" t="s">
        <v>23</v>
      </c>
      <c r="C1721" s="2687"/>
      <c r="D1721" s="2158" t="s">
        <v>24</v>
      </c>
      <c r="E1721" s="368" t="s">
        <v>25</v>
      </c>
      <c r="F1721" s="2699"/>
      <c r="G1721" s="2700"/>
      <c r="H1721" s="2701"/>
      <c r="I1721" s="2158" t="s">
        <v>26</v>
      </c>
      <c r="J1721" s="379" t="s">
        <v>15</v>
      </c>
      <c r="K1721" s="2159" t="s">
        <v>6</v>
      </c>
      <c r="L1721" s="2680"/>
      <c r="M1721" s="2163" t="s">
        <v>27</v>
      </c>
      <c r="N1721" s="2163" t="s">
        <v>10</v>
      </c>
      <c r="O1721" s="382" t="s">
        <v>10</v>
      </c>
      <c r="P1721" s="383" t="s">
        <v>28</v>
      </c>
      <c r="Q1721" s="384" t="s">
        <v>29</v>
      </c>
      <c r="R1721" s="383" t="s">
        <v>15</v>
      </c>
      <c r="S1721" s="385" t="s">
        <v>15</v>
      </c>
      <c r="T1721" s="2684"/>
      <c r="U1721" s="2685"/>
      <c r="V1721" s="375" t="s">
        <v>30</v>
      </c>
      <c r="W1721" s="376" t="s">
        <v>31</v>
      </c>
      <c r="X1721" s="377" t="s">
        <v>30</v>
      </c>
      <c r="Y1721" s="377" t="s">
        <v>32</v>
      </c>
      <c r="Z1721" s="377" t="s">
        <v>7</v>
      </c>
      <c r="AA1721" s="377" t="s">
        <v>33</v>
      </c>
      <c r="AB1721" s="378" t="s">
        <v>34</v>
      </c>
    </row>
    <row r="1722" spans="1:28" s="352" customFormat="1" ht="18" customHeight="1" x14ac:dyDescent="0.2">
      <c r="A1722" s="2687"/>
      <c r="B1722" s="2158" t="s">
        <v>39</v>
      </c>
      <c r="C1722" s="2687"/>
      <c r="D1722" s="2158" t="s">
        <v>40</v>
      </c>
      <c r="E1722" s="368" t="s">
        <v>41</v>
      </c>
      <c r="F1722" s="2686" t="s">
        <v>42</v>
      </c>
      <c r="G1722" s="2686" t="s">
        <v>43</v>
      </c>
      <c r="H1722" s="2688" t="s">
        <v>44</v>
      </c>
      <c r="I1722" s="2158" t="s">
        <v>45</v>
      </c>
      <c r="J1722" s="379" t="s">
        <v>46</v>
      </c>
      <c r="K1722" s="2159" t="s">
        <v>47</v>
      </c>
      <c r="L1722" s="2680"/>
      <c r="M1722" s="2163" t="s">
        <v>30</v>
      </c>
      <c r="N1722" s="2163" t="s">
        <v>30</v>
      </c>
      <c r="O1722" s="382" t="s">
        <v>25</v>
      </c>
      <c r="P1722" s="383" t="s">
        <v>30</v>
      </c>
      <c r="Q1722" s="384" t="s">
        <v>48</v>
      </c>
      <c r="R1722" s="383" t="s">
        <v>49</v>
      </c>
      <c r="S1722" s="385" t="s">
        <v>30</v>
      </c>
      <c r="T1722" s="386" t="s">
        <v>50</v>
      </c>
      <c r="U1722" s="2161" t="s">
        <v>13</v>
      </c>
      <c r="V1722" s="375" t="s">
        <v>51</v>
      </c>
      <c r="W1722" s="376" t="s">
        <v>52</v>
      </c>
      <c r="X1722" s="377" t="s">
        <v>53</v>
      </c>
      <c r="Y1722" s="377" t="s">
        <v>54</v>
      </c>
      <c r="Z1722" s="377" t="s">
        <v>55</v>
      </c>
      <c r="AA1722" s="377" t="s">
        <v>56</v>
      </c>
      <c r="AB1722" s="378" t="s">
        <v>57</v>
      </c>
    </row>
    <row r="1723" spans="1:28" s="352" customFormat="1" ht="18" customHeight="1" x14ac:dyDescent="0.2">
      <c r="A1723" s="2687"/>
      <c r="B1723" s="2158" t="s">
        <v>61</v>
      </c>
      <c r="C1723" s="2687"/>
      <c r="D1723" s="2158" t="s">
        <v>62</v>
      </c>
      <c r="E1723" s="368" t="s">
        <v>63</v>
      </c>
      <c r="F1723" s="2687"/>
      <c r="G1723" s="2687"/>
      <c r="H1723" s="2689"/>
      <c r="I1723" s="2158" t="s">
        <v>64</v>
      </c>
      <c r="J1723" s="379" t="s">
        <v>59</v>
      </c>
      <c r="K1723" s="2159" t="s">
        <v>59</v>
      </c>
      <c r="L1723" s="2680"/>
      <c r="M1723" s="2163"/>
      <c r="N1723" s="2163"/>
      <c r="O1723" s="382" t="s">
        <v>41</v>
      </c>
      <c r="P1723" s="383" t="s">
        <v>65</v>
      </c>
      <c r="Q1723" s="384" t="s">
        <v>66</v>
      </c>
      <c r="R1723" s="383" t="s">
        <v>67</v>
      </c>
      <c r="S1723" s="385" t="s">
        <v>59</v>
      </c>
      <c r="T1723" s="387" t="s">
        <v>68</v>
      </c>
      <c r="U1723" s="375" t="s">
        <v>14</v>
      </c>
      <c r="V1723" s="375" t="s">
        <v>14</v>
      </c>
      <c r="W1723" s="376" t="s">
        <v>30</v>
      </c>
      <c r="X1723" s="388" t="s">
        <v>69</v>
      </c>
      <c r="Y1723" s="388" t="s">
        <v>70</v>
      </c>
      <c r="Z1723" s="377" t="s">
        <v>71</v>
      </c>
      <c r="AA1723" s="377" t="s">
        <v>72</v>
      </c>
      <c r="AB1723" s="378" t="s">
        <v>59</v>
      </c>
    </row>
    <row r="1724" spans="1:28" s="352" customFormat="1" ht="18" customHeight="1" x14ac:dyDescent="0.2">
      <c r="A1724" s="2692"/>
      <c r="B1724" s="390"/>
      <c r="C1724" s="2692"/>
      <c r="D1724" s="390"/>
      <c r="E1724" s="2160"/>
      <c r="F1724" s="390"/>
      <c r="G1724" s="390"/>
      <c r="H1724" s="391"/>
      <c r="I1724" s="2160"/>
      <c r="J1724" s="392"/>
      <c r="K1724" s="393"/>
      <c r="L1724" s="2681"/>
      <c r="M1724" s="2164"/>
      <c r="N1724" s="2164"/>
      <c r="O1724" s="2164" t="s">
        <v>63</v>
      </c>
      <c r="P1724" s="395"/>
      <c r="Q1724" s="396" t="s">
        <v>72</v>
      </c>
      <c r="R1724" s="397" t="s">
        <v>59</v>
      </c>
      <c r="S1724" s="398"/>
      <c r="T1724" s="397" t="s">
        <v>73</v>
      </c>
      <c r="U1724" s="398" t="s">
        <v>59</v>
      </c>
      <c r="V1724" s="399" t="s">
        <v>59</v>
      </c>
      <c r="W1724" s="400" t="s">
        <v>59</v>
      </c>
      <c r="X1724" s="401" t="s">
        <v>59</v>
      </c>
      <c r="Y1724" s="401" t="s">
        <v>59</v>
      </c>
      <c r="Z1724" s="401" t="s">
        <v>59</v>
      </c>
      <c r="AA1724" s="402"/>
      <c r="AB1724" s="403"/>
    </row>
    <row r="1725" spans="1:28" s="352" customFormat="1" ht="18" customHeight="1" x14ac:dyDescent="0.2">
      <c r="A1725" s="82">
        <v>1</v>
      </c>
      <c r="B1725" s="41">
        <v>34664</v>
      </c>
      <c r="C1725" s="41">
        <v>343</v>
      </c>
      <c r="D1725" s="41" t="s">
        <v>107</v>
      </c>
      <c r="E1725" s="41">
        <v>4</v>
      </c>
      <c r="F1725" s="41">
        <v>0</v>
      </c>
      <c r="G1725" s="41">
        <v>0</v>
      </c>
      <c r="H1725" s="267">
        <v>88</v>
      </c>
      <c r="I1725" s="302">
        <f>F1725*400+G1725*100+H1725</f>
        <v>88</v>
      </c>
      <c r="J1725" s="310">
        <v>3000</v>
      </c>
      <c r="K1725" s="311">
        <f>SUM(I1725*J1725)</f>
        <v>264000</v>
      </c>
      <c r="L1725" s="16"/>
      <c r="M1725" s="82"/>
      <c r="N1725" s="41"/>
      <c r="O1725" s="16">
        <v>4</v>
      </c>
      <c r="P1725" s="404"/>
      <c r="Q1725" s="14"/>
      <c r="R1725" s="302"/>
      <c r="S1725" s="302"/>
      <c r="T1725" s="41"/>
      <c r="U1725" s="302"/>
      <c r="V1725" s="302"/>
      <c r="W1725" s="302">
        <f>K1725+V1725</f>
        <v>264000</v>
      </c>
      <c r="X1725" s="302">
        <f>W1725</f>
        <v>264000</v>
      </c>
      <c r="Y1725" s="310"/>
      <c r="Z1725" s="310">
        <f>+X1725</f>
        <v>264000</v>
      </c>
      <c r="AA1725" s="405">
        <v>0.6</v>
      </c>
      <c r="AB1725" s="406">
        <f t="shared" ref="AB1725:AB1731" si="102">+Z1725*AA1725/100</f>
        <v>1584</v>
      </c>
    </row>
    <row r="1726" spans="1:28" s="352" customFormat="1" ht="18" customHeight="1" x14ac:dyDescent="0.2">
      <c r="A1726" s="2166">
        <v>2</v>
      </c>
      <c r="B1726" s="27">
        <v>9396</v>
      </c>
      <c r="C1726" s="27">
        <v>663</v>
      </c>
      <c r="D1726" s="27"/>
      <c r="E1726" s="27">
        <v>4</v>
      </c>
      <c r="F1726" s="27">
        <v>0</v>
      </c>
      <c r="G1726" s="27">
        <v>0</v>
      </c>
      <c r="H1726" s="557">
        <v>66</v>
      </c>
      <c r="I1726" s="299">
        <f t="shared" ref="I1726:I1731" si="103">F1726*400+G1726*100+H1726</f>
        <v>66</v>
      </c>
      <c r="J1726" s="305">
        <v>3000</v>
      </c>
      <c r="K1726" s="312">
        <f t="shared" ref="K1726:K1731" si="104">SUM(I1726*J1726)</f>
        <v>198000</v>
      </c>
      <c r="L1726" s="45"/>
      <c r="M1726" s="88"/>
      <c r="N1726" s="27"/>
      <c r="O1726" s="45">
        <v>4</v>
      </c>
      <c r="P1726" s="802"/>
      <c r="Q1726" s="62"/>
      <c r="R1726" s="299"/>
      <c r="S1726" s="299"/>
      <c r="T1726" s="27"/>
      <c r="U1726" s="299"/>
      <c r="V1726" s="299"/>
      <c r="W1726" s="299">
        <f t="shared" ref="W1726:W1731" si="105">K1726+V1726</f>
        <v>198000</v>
      </c>
      <c r="X1726" s="299">
        <f t="shared" ref="X1726:X1731" si="106">W1726</f>
        <v>198000</v>
      </c>
      <c r="Y1726" s="305"/>
      <c r="Z1726" s="305">
        <f t="shared" ref="Z1726:Z1731" si="107">+X1726</f>
        <v>198000</v>
      </c>
      <c r="AA1726" s="670">
        <v>0.6</v>
      </c>
      <c r="AB1726" s="410">
        <f t="shared" si="102"/>
        <v>1188</v>
      </c>
    </row>
    <row r="1727" spans="1:28" s="352" customFormat="1" ht="18" customHeight="1" x14ac:dyDescent="0.2">
      <c r="A1727" s="2166">
        <v>3</v>
      </c>
      <c r="B1727" s="27">
        <v>47476</v>
      </c>
      <c r="C1727" s="27">
        <v>1505</v>
      </c>
      <c r="D1727" s="27"/>
      <c r="E1727" s="27">
        <v>4</v>
      </c>
      <c r="F1727" s="27">
        <v>0</v>
      </c>
      <c r="G1727" s="27">
        <v>0</v>
      </c>
      <c r="H1727" s="557">
        <v>65</v>
      </c>
      <c r="I1727" s="299">
        <f t="shared" si="103"/>
        <v>65</v>
      </c>
      <c r="J1727" s="305">
        <v>3000</v>
      </c>
      <c r="K1727" s="312">
        <f t="shared" si="104"/>
        <v>195000</v>
      </c>
      <c r="L1727" s="45"/>
      <c r="M1727" s="88"/>
      <c r="N1727" s="27"/>
      <c r="O1727" s="45">
        <v>4</v>
      </c>
      <c r="P1727" s="802"/>
      <c r="Q1727" s="62"/>
      <c r="R1727" s="299"/>
      <c r="S1727" s="299"/>
      <c r="T1727" s="27"/>
      <c r="U1727" s="299"/>
      <c r="V1727" s="299"/>
      <c r="W1727" s="299">
        <f t="shared" si="105"/>
        <v>195000</v>
      </c>
      <c r="X1727" s="299">
        <f t="shared" si="106"/>
        <v>195000</v>
      </c>
      <c r="Y1727" s="305"/>
      <c r="Z1727" s="305">
        <f t="shared" si="107"/>
        <v>195000</v>
      </c>
      <c r="AA1727" s="670">
        <v>0.6</v>
      </c>
      <c r="AB1727" s="410">
        <f t="shared" si="102"/>
        <v>1170</v>
      </c>
    </row>
    <row r="1728" spans="1:28" s="352" customFormat="1" ht="18" customHeight="1" x14ac:dyDescent="0.25">
      <c r="A1728" s="2166">
        <v>4</v>
      </c>
      <c r="B1728" s="269">
        <v>30272</v>
      </c>
      <c r="C1728" s="285">
        <v>136</v>
      </c>
      <c r="D1728" s="273"/>
      <c r="E1728" s="273">
        <v>4</v>
      </c>
      <c r="F1728" s="268">
        <v>0</v>
      </c>
      <c r="G1728" s="269">
        <v>0</v>
      </c>
      <c r="H1728" s="266">
        <v>74</v>
      </c>
      <c r="I1728" s="299">
        <f t="shared" si="103"/>
        <v>74</v>
      </c>
      <c r="J1728" s="305">
        <v>3000</v>
      </c>
      <c r="K1728" s="312">
        <f t="shared" si="104"/>
        <v>222000</v>
      </c>
      <c r="L1728" s="269"/>
      <c r="M1728" s="242"/>
      <c r="N1728" s="269"/>
      <c r="O1728" s="269">
        <v>4</v>
      </c>
      <c r="P1728" s="760"/>
      <c r="Q1728" s="285"/>
      <c r="R1728" s="321"/>
      <c r="S1728" s="321"/>
      <c r="T1728" s="323"/>
      <c r="U1728" s="321"/>
      <c r="V1728" s="321"/>
      <c r="W1728" s="299">
        <f t="shared" si="105"/>
        <v>222000</v>
      </c>
      <c r="X1728" s="299">
        <f t="shared" si="106"/>
        <v>222000</v>
      </c>
      <c r="Y1728" s="305"/>
      <c r="Z1728" s="305">
        <f t="shared" si="107"/>
        <v>222000</v>
      </c>
      <c r="AA1728" s="708">
        <v>0.6</v>
      </c>
      <c r="AB1728" s="410">
        <f t="shared" si="102"/>
        <v>1332</v>
      </c>
    </row>
    <row r="1729" spans="1:28" s="352" customFormat="1" ht="18" customHeight="1" x14ac:dyDescent="0.25">
      <c r="A1729" s="2166">
        <v>5</v>
      </c>
      <c r="B1729" s="269">
        <v>30277</v>
      </c>
      <c r="C1729" s="285">
        <v>141</v>
      </c>
      <c r="D1729" s="273"/>
      <c r="E1729" s="273">
        <v>4</v>
      </c>
      <c r="F1729" s="268">
        <v>0</v>
      </c>
      <c r="G1729" s="269">
        <v>2</v>
      </c>
      <c r="H1729" s="266">
        <v>76</v>
      </c>
      <c r="I1729" s="299">
        <f t="shared" si="103"/>
        <v>276</v>
      </c>
      <c r="J1729" s="305">
        <v>3000</v>
      </c>
      <c r="K1729" s="312">
        <f t="shared" si="104"/>
        <v>828000</v>
      </c>
      <c r="L1729" s="269"/>
      <c r="M1729" s="242"/>
      <c r="N1729" s="269"/>
      <c r="O1729" s="269">
        <v>4</v>
      </c>
      <c r="P1729" s="760"/>
      <c r="Q1729" s="285"/>
      <c r="R1729" s="321"/>
      <c r="S1729" s="321"/>
      <c r="T1729" s="323"/>
      <c r="U1729" s="321"/>
      <c r="V1729" s="321"/>
      <c r="W1729" s="299">
        <f t="shared" si="105"/>
        <v>828000</v>
      </c>
      <c r="X1729" s="299">
        <f t="shared" si="106"/>
        <v>828000</v>
      </c>
      <c r="Y1729" s="305"/>
      <c r="Z1729" s="305">
        <f t="shared" si="107"/>
        <v>828000</v>
      </c>
      <c r="AA1729" s="708">
        <v>0.6</v>
      </c>
      <c r="AB1729" s="410">
        <f t="shared" si="102"/>
        <v>4968</v>
      </c>
    </row>
    <row r="1730" spans="1:28" s="352" customFormat="1" ht="18" customHeight="1" x14ac:dyDescent="0.25">
      <c r="A1730" s="2166">
        <v>6</v>
      </c>
      <c r="B1730" s="269">
        <v>32481</v>
      </c>
      <c r="C1730" s="285">
        <v>263</v>
      </c>
      <c r="D1730" s="273"/>
      <c r="E1730" s="273">
        <v>4</v>
      </c>
      <c r="F1730" s="268">
        <v>0</v>
      </c>
      <c r="G1730" s="269">
        <v>1</v>
      </c>
      <c r="H1730" s="266">
        <v>3</v>
      </c>
      <c r="I1730" s="299">
        <f t="shared" si="103"/>
        <v>103</v>
      </c>
      <c r="J1730" s="305">
        <v>3000</v>
      </c>
      <c r="K1730" s="312">
        <f t="shared" si="104"/>
        <v>309000</v>
      </c>
      <c r="L1730" s="269"/>
      <c r="M1730" s="242"/>
      <c r="N1730" s="269"/>
      <c r="O1730" s="269">
        <v>4</v>
      </c>
      <c r="P1730" s="760"/>
      <c r="Q1730" s="285"/>
      <c r="R1730" s="321"/>
      <c r="S1730" s="321"/>
      <c r="T1730" s="323"/>
      <c r="U1730" s="321"/>
      <c r="V1730" s="321"/>
      <c r="W1730" s="299">
        <f t="shared" si="105"/>
        <v>309000</v>
      </c>
      <c r="X1730" s="299">
        <f t="shared" si="106"/>
        <v>309000</v>
      </c>
      <c r="Y1730" s="305"/>
      <c r="Z1730" s="305">
        <f t="shared" si="107"/>
        <v>309000</v>
      </c>
      <c r="AA1730" s="708">
        <v>0.6</v>
      </c>
      <c r="AB1730" s="410">
        <f t="shared" si="102"/>
        <v>1854</v>
      </c>
    </row>
    <row r="1731" spans="1:28" s="352" customFormat="1" ht="18" customHeight="1" x14ac:dyDescent="0.25">
      <c r="A1731" s="2166">
        <v>7</v>
      </c>
      <c r="B1731" s="269">
        <v>46230</v>
      </c>
      <c r="C1731" s="285">
        <v>1465</v>
      </c>
      <c r="D1731" s="273"/>
      <c r="E1731" s="273">
        <v>4</v>
      </c>
      <c r="F1731" s="268">
        <v>0</v>
      </c>
      <c r="G1731" s="269">
        <v>1</v>
      </c>
      <c r="H1731" s="266">
        <v>67</v>
      </c>
      <c r="I1731" s="299">
        <f t="shared" si="103"/>
        <v>167</v>
      </c>
      <c r="J1731" s="305">
        <v>3000</v>
      </c>
      <c r="K1731" s="312">
        <f t="shared" si="104"/>
        <v>501000</v>
      </c>
      <c r="L1731" s="269"/>
      <c r="M1731" s="242"/>
      <c r="N1731" s="269"/>
      <c r="O1731" s="269">
        <v>4</v>
      </c>
      <c r="P1731" s="760"/>
      <c r="Q1731" s="285"/>
      <c r="R1731" s="321"/>
      <c r="S1731" s="321"/>
      <c r="T1731" s="323"/>
      <c r="U1731" s="321"/>
      <c r="V1731" s="321"/>
      <c r="W1731" s="299">
        <f t="shared" si="105"/>
        <v>501000</v>
      </c>
      <c r="X1731" s="299">
        <f t="shared" si="106"/>
        <v>501000</v>
      </c>
      <c r="Y1731" s="305"/>
      <c r="Z1731" s="305">
        <f t="shared" si="107"/>
        <v>501000</v>
      </c>
      <c r="AA1731" s="708">
        <v>0.6</v>
      </c>
      <c r="AB1731" s="410">
        <f t="shared" si="102"/>
        <v>3006</v>
      </c>
    </row>
    <row r="1732" spans="1:28" s="352" customFormat="1" ht="18" customHeight="1" x14ac:dyDescent="0.2">
      <c r="A1732" s="88"/>
      <c r="B1732" s="75"/>
      <c r="C1732" s="88"/>
      <c r="D1732" s="88"/>
      <c r="E1732" s="2166"/>
      <c r="F1732" s="411"/>
      <c r="G1732" s="242"/>
      <c r="H1732" s="412"/>
      <c r="I1732" s="159"/>
      <c r="J1732" s="121"/>
      <c r="K1732" s="159"/>
      <c r="L1732" s="75"/>
      <c r="M1732" s="88"/>
      <c r="N1732" s="88"/>
      <c r="O1732" s="75"/>
      <c r="P1732" s="180"/>
      <c r="Q1732" s="174"/>
      <c r="R1732" s="413"/>
      <c r="S1732" s="74"/>
      <c r="T1732" s="88"/>
      <c r="U1732" s="74"/>
      <c r="V1732" s="74"/>
      <c r="W1732" s="74"/>
      <c r="X1732" s="74"/>
      <c r="Y1732" s="121"/>
      <c r="Z1732" s="74"/>
      <c r="AA1732" s="414"/>
      <c r="AB1732" s="415"/>
    </row>
    <row r="1733" spans="1:28" s="352" customFormat="1" ht="18" customHeight="1" x14ac:dyDescent="0.2">
      <c r="A1733" s="88"/>
      <c r="B1733" s="75"/>
      <c r="C1733" s="88"/>
      <c r="D1733" s="231"/>
      <c r="E1733" s="2166"/>
      <c r="F1733" s="411"/>
      <c r="G1733" s="242"/>
      <c r="H1733" s="412"/>
      <c r="I1733" s="159"/>
      <c r="J1733" s="121"/>
      <c r="K1733" s="159"/>
      <c r="L1733" s="75"/>
      <c r="M1733" s="88"/>
      <c r="N1733" s="88"/>
      <c r="O1733" s="75"/>
      <c r="P1733" s="180"/>
      <c r="Q1733" s="174"/>
      <c r="R1733" s="413"/>
      <c r="S1733" s="74"/>
      <c r="T1733" s="88"/>
      <c r="U1733" s="74"/>
      <c r="V1733" s="74"/>
      <c r="W1733" s="74"/>
      <c r="X1733" s="74"/>
      <c r="Y1733" s="121"/>
      <c r="Z1733" s="74"/>
      <c r="AA1733" s="417"/>
      <c r="AB1733" s="410"/>
    </row>
    <row r="1734" spans="1:28" s="352" customFormat="1" ht="18" customHeight="1" x14ac:dyDescent="0.2">
      <c r="A1734" s="88"/>
      <c r="B1734" s="75"/>
      <c r="C1734" s="88"/>
      <c r="D1734" s="88"/>
      <c r="E1734" s="2166"/>
      <c r="F1734" s="411"/>
      <c r="G1734" s="242"/>
      <c r="H1734" s="412"/>
      <c r="I1734" s="159"/>
      <c r="J1734" s="121"/>
      <c r="K1734" s="159"/>
      <c r="L1734" s="75"/>
      <c r="M1734" s="88"/>
      <c r="N1734" s="88"/>
      <c r="O1734" s="75"/>
      <c r="P1734" s="180"/>
      <c r="Q1734" s="174"/>
      <c r="R1734" s="413"/>
      <c r="S1734" s="74"/>
      <c r="T1734" s="88"/>
      <c r="U1734" s="74"/>
      <c r="V1734" s="74"/>
      <c r="W1734" s="74"/>
      <c r="X1734" s="74"/>
      <c r="Y1734" s="121"/>
      <c r="Z1734" s="74"/>
      <c r="AA1734" s="414"/>
      <c r="AB1734" s="416"/>
    </row>
    <row r="1735" spans="1:28" s="352" customFormat="1" ht="18" customHeight="1" x14ac:dyDescent="0.2">
      <c r="A1735" s="88"/>
      <c r="B1735" s="75"/>
      <c r="C1735" s="88"/>
      <c r="D1735" s="231"/>
      <c r="E1735" s="2166"/>
      <c r="F1735" s="411"/>
      <c r="G1735" s="242"/>
      <c r="H1735" s="412"/>
      <c r="I1735" s="159"/>
      <c r="J1735" s="121"/>
      <c r="K1735" s="159"/>
      <c r="L1735" s="75"/>
      <c r="M1735" s="88"/>
      <c r="N1735" s="88"/>
      <c r="O1735" s="75"/>
      <c r="P1735" s="180"/>
      <c r="Q1735" s="174"/>
      <c r="R1735" s="413"/>
      <c r="S1735" s="74"/>
      <c r="T1735" s="88"/>
      <c r="U1735" s="74"/>
      <c r="V1735" s="74"/>
      <c r="W1735" s="74"/>
      <c r="X1735" s="74"/>
      <c r="Y1735" s="121"/>
      <c r="Z1735" s="74"/>
      <c r="AA1735" s="606"/>
      <c r="AB1735" s="410"/>
    </row>
    <row r="1736" spans="1:28" s="352" customFormat="1" ht="18" customHeight="1" x14ac:dyDescent="0.2">
      <c r="A1736" s="88"/>
      <c r="B1736" s="75"/>
      <c r="C1736" s="88"/>
      <c r="D1736" s="2165"/>
      <c r="E1736" s="2166"/>
      <c r="F1736" s="411"/>
      <c r="G1736" s="242"/>
      <c r="H1736" s="412"/>
      <c r="I1736" s="159"/>
      <c r="J1736" s="121"/>
      <c r="K1736" s="159"/>
      <c r="L1736" s="75"/>
      <c r="M1736" s="88"/>
      <c r="N1736" s="88"/>
      <c r="O1736" s="75"/>
      <c r="P1736" s="180"/>
      <c r="Q1736" s="174"/>
      <c r="R1736" s="413"/>
      <c r="S1736" s="74"/>
      <c r="T1736" s="88"/>
      <c r="U1736" s="74"/>
      <c r="V1736" s="74"/>
      <c r="W1736" s="74"/>
      <c r="X1736" s="74"/>
      <c r="Y1736" s="121"/>
      <c r="Z1736" s="74"/>
      <c r="AA1736" s="414"/>
      <c r="AB1736" s="410"/>
    </row>
    <row r="1737" spans="1:28" s="352" customFormat="1" ht="18" customHeight="1" x14ac:dyDescent="0.2">
      <c r="A1737" s="88"/>
      <c r="B1737" s="75"/>
      <c r="C1737" s="88"/>
      <c r="D1737" s="2165"/>
      <c r="E1737" s="2166"/>
      <c r="F1737" s="411"/>
      <c r="G1737" s="242"/>
      <c r="H1737" s="412"/>
      <c r="I1737" s="159"/>
      <c r="J1737" s="121"/>
      <c r="K1737" s="159"/>
      <c r="L1737" s="75"/>
      <c r="M1737" s="88"/>
      <c r="N1737" s="88"/>
      <c r="O1737" s="75"/>
      <c r="P1737" s="180"/>
      <c r="Q1737" s="174"/>
      <c r="R1737" s="413"/>
      <c r="S1737" s="74"/>
      <c r="T1737" s="88"/>
      <c r="U1737" s="74"/>
      <c r="V1737" s="74"/>
      <c r="W1737" s="74"/>
      <c r="X1737" s="74"/>
      <c r="Y1737" s="121"/>
      <c r="Z1737" s="74"/>
      <c r="AA1737" s="417"/>
      <c r="AB1737" s="410"/>
    </row>
    <row r="1738" spans="1:28" s="352" customFormat="1" ht="18" customHeight="1" x14ac:dyDescent="0.2">
      <c r="A1738" s="88"/>
      <c r="B1738" s="418"/>
      <c r="C1738" s="88"/>
      <c r="D1738" s="88"/>
      <c r="E1738" s="88"/>
      <c r="F1738" s="411"/>
      <c r="G1738" s="242"/>
      <c r="H1738" s="412"/>
      <c r="I1738" s="159"/>
      <c r="J1738" s="121"/>
      <c r="K1738" s="159"/>
      <c r="L1738" s="75"/>
      <c r="M1738" s="88"/>
      <c r="N1738" s="88"/>
      <c r="O1738" s="75"/>
      <c r="P1738" s="180"/>
      <c r="Q1738" s="174"/>
      <c r="R1738" s="413"/>
      <c r="S1738" s="74"/>
      <c r="T1738" s="88"/>
      <c r="U1738" s="74"/>
      <c r="V1738" s="74"/>
      <c r="W1738" s="74"/>
      <c r="X1738" s="74"/>
      <c r="Y1738" s="121"/>
      <c r="Z1738" s="74"/>
      <c r="AA1738" s="414"/>
      <c r="AB1738" s="410"/>
    </row>
    <row r="1739" spans="1:28" s="352" customFormat="1" ht="18" customHeight="1" x14ac:dyDescent="0.2">
      <c r="A1739" s="1147"/>
      <c r="B1739" s="1989"/>
      <c r="C1739" s="1147"/>
      <c r="D1739" s="1147"/>
      <c r="E1739" s="1147"/>
      <c r="F1739" s="1147"/>
      <c r="G1739" s="1147"/>
      <c r="H1739" s="1990"/>
      <c r="I1739" s="1991"/>
      <c r="J1739" s="1868"/>
      <c r="K1739" s="1992"/>
      <c r="L1739" s="1989"/>
      <c r="M1739" s="1147"/>
      <c r="N1739" s="1147"/>
      <c r="O1739" s="1989"/>
      <c r="P1739" s="1867"/>
      <c r="Q1739" s="1993"/>
      <c r="R1739" s="1994"/>
      <c r="S1739" s="1991"/>
      <c r="T1739" s="1147"/>
      <c r="U1739" s="1991"/>
      <c r="V1739" s="1991"/>
      <c r="W1739" s="1991"/>
      <c r="X1739" s="1991"/>
      <c r="Y1739" s="1868"/>
      <c r="Z1739" s="1991"/>
      <c r="AA1739" s="1995"/>
      <c r="AB1739" s="1849">
        <f>SUM(AB1725:AB1738)</f>
        <v>15102</v>
      </c>
    </row>
    <row r="1740" spans="1:28" s="352" customFormat="1" ht="18" customHeight="1" x14ac:dyDescent="0.2">
      <c r="A1740" s="2788" t="s">
        <v>76</v>
      </c>
      <c r="B1740" s="2788"/>
      <c r="C1740" s="2779" t="s">
        <v>77</v>
      </c>
      <c r="D1740" s="2779"/>
      <c r="E1740" s="2779"/>
      <c r="F1740" s="2779"/>
      <c r="G1740" s="2779"/>
      <c r="H1740" s="2779"/>
      <c r="I1740" s="424" t="s">
        <v>78</v>
      </c>
      <c r="J1740" s="424"/>
      <c r="K1740" s="424"/>
      <c r="L1740" s="424"/>
      <c r="M1740" s="424"/>
      <c r="N1740" s="424"/>
      <c r="AB1740" s="425"/>
    </row>
    <row r="1741" spans="1:28" s="352" customFormat="1" ht="18" customHeight="1" x14ac:dyDescent="0.2">
      <c r="A1741" s="424"/>
      <c r="B1741" s="426"/>
      <c r="C1741" s="424"/>
      <c r="D1741" s="424"/>
      <c r="E1741" s="424"/>
      <c r="F1741" s="424"/>
      <c r="G1741" s="424"/>
      <c r="H1741" s="424"/>
      <c r="I1741" s="424" t="s">
        <v>79</v>
      </c>
      <c r="J1741" s="424"/>
      <c r="K1741" s="424"/>
      <c r="L1741" s="424"/>
      <c r="M1741" s="424"/>
      <c r="N1741" s="424"/>
      <c r="AB1741" s="425"/>
    </row>
    <row r="1742" spans="1:28" s="352" customFormat="1" ht="18" customHeight="1" x14ac:dyDescent="0.2">
      <c r="A1742" s="424"/>
      <c r="B1742" s="426"/>
      <c r="C1742" s="424"/>
      <c r="D1742" s="424"/>
      <c r="E1742" s="424"/>
      <c r="F1742" s="424"/>
      <c r="G1742" s="424"/>
      <c r="H1742" s="424"/>
      <c r="I1742" s="424" t="s">
        <v>80</v>
      </c>
      <c r="J1742" s="424"/>
      <c r="K1742" s="424"/>
      <c r="L1742" s="424"/>
      <c r="M1742" s="424"/>
      <c r="N1742" s="424"/>
      <c r="AB1742" s="425"/>
    </row>
    <row r="1743" spans="1:28" s="352" customFormat="1" ht="18" customHeight="1" x14ac:dyDescent="0.2">
      <c r="A1743" s="424"/>
      <c r="B1743" s="426"/>
      <c r="C1743" s="424"/>
      <c r="D1743" s="424"/>
      <c r="E1743" s="424"/>
      <c r="F1743" s="424"/>
      <c r="G1743" s="424"/>
      <c r="H1743" s="424"/>
      <c r="I1743" s="424" t="s">
        <v>81</v>
      </c>
      <c r="J1743" s="424"/>
      <c r="K1743" s="424"/>
      <c r="L1743" s="424"/>
      <c r="M1743" s="424"/>
      <c r="N1743" s="424"/>
      <c r="AB1743" s="425"/>
    </row>
    <row r="1744" spans="1:28" s="352" customFormat="1" ht="18" customHeight="1" x14ac:dyDescent="0.2">
      <c r="A1744" s="424"/>
      <c r="B1744" s="426"/>
      <c r="C1744" s="424"/>
      <c r="D1744" s="424"/>
      <c r="E1744" s="424"/>
      <c r="F1744" s="424"/>
      <c r="G1744" s="424"/>
      <c r="H1744" s="424"/>
      <c r="I1744" s="424" t="s">
        <v>88</v>
      </c>
      <c r="J1744" s="424"/>
      <c r="K1744" s="424"/>
      <c r="L1744" s="424"/>
      <c r="M1744" s="424"/>
      <c r="N1744" s="424"/>
      <c r="AB1744" s="425"/>
    </row>
    <row r="1745" spans="1:28" s="352" customFormat="1" ht="18" customHeight="1" x14ac:dyDescent="0.2">
      <c r="A1745" s="338"/>
      <c r="B1745" s="338"/>
      <c r="C1745" s="338"/>
      <c r="D1745" s="338"/>
      <c r="E1745" s="338"/>
      <c r="F1745" s="338"/>
      <c r="G1745" s="338"/>
      <c r="H1745" s="338"/>
      <c r="I1745" s="338"/>
      <c r="J1745" s="338"/>
      <c r="K1745" s="338"/>
      <c r="L1745" s="338"/>
      <c r="M1745" s="338"/>
      <c r="N1745" s="338"/>
      <c r="O1745" s="338"/>
      <c r="P1745" s="338"/>
      <c r="Q1745" s="338"/>
      <c r="R1745" s="338"/>
      <c r="S1745" s="338"/>
      <c r="T1745" s="338"/>
      <c r="U1745" s="338"/>
      <c r="V1745" s="338"/>
      <c r="W1745" s="338"/>
      <c r="X1745" s="338"/>
      <c r="Y1745" s="338"/>
      <c r="Z1745" s="338"/>
      <c r="AA1745" s="2774" t="s">
        <v>0</v>
      </c>
      <c r="AB1745" s="2774"/>
    </row>
    <row r="1746" spans="1:28" s="352" customFormat="1" ht="18" customHeight="1" x14ac:dyDescent="0.2">
      <c r="A1746" s="2703" t="s">
        <v>1</v>
      </c>
      <c r="B1746" s="2703"/>
      <c r="C1746" s="2703"/>
      <c r="D1746" s="2703"/>
      <c r="E1746" s="2703"/>
      <c r="F1746" s="2703"/>
      <c r="G1746" s="2703"/>
      <c r="H1746" s="2703"/>
      <c r="I1746" s="2703"/>
      <c r="J1746" s="2703"/>
      <c r="K1746" s="2703"/>
      <c r="L1746" s="2703"/>
      <c r="M1746" s="2703"/>
      <c r="N1746" s="2703"/>
      <c r="O1746" s="2703"/>
      <c r="P1746" s="2703"/>
      <c r="Q1746" s="2703"/>
      <c r="R1746" s="2703"/>
      <c r="S1746" s="2703"/>
      <c r="T1746" s="2703"/>
      <c r="U1746" s="2703"/>
      <c r="V1746" s="2703"/>
      <c r="W1746" s="2703"/>
      <c r="X1746" s="2703"/>
      <c r="Y1746" s="2703"/>
      <c r="Z1746" s="2703"/>
      <c r="AA1746" s="2703"/>
      <c r="AB1746" s="2703"/>
    </row>
    <row r="1747" spans="1:28" s="352" customFormat="1" ht="18" customHeight="1" x14ac:dyDescent="0.2">
      <c r="A1747" s="2780" t="s">
        <v>654</v>
      </c>
      <c r="B1747" s="2780"/>
      <c r="C1747" s="2780"/>
      <c r="D1747" s="2780"/>
      <c r="E1747" s="2780"/>
      <c r="F1747" s="2780"/>
      <c r="G1747" s="2780"/>
      <c r="H1747" s="2780"/>
      <c r="I1747" s="2780"/>
      <c r="J1747" s="2780"/>
      <c r="K1747" s="2780"/>
      <c r="L1747" s="2780"/>
      <c r="M1747" s="2780"/>
      <c r="N1747" s="2780"/>
      <c r="O1747" s="2780"/>
      <c r="P1747" s="2780"/>
      <c r="Q1747" s="2780"/>
      <c r="R1747" s="2780"/>
      <c r="S1747" s="2780"/>
      <c r="T1747" s="2780"/>
      <c r="U1747" s="2780"/>
      <c r="V1747" s="2780"/>
      <c r="W1747" s="2780"/>
      <c r="X1747" s="2780"/>
      <c r="Y1747" s="2780"/>
      <c r="Z1747" s="2780"/>
      <c r="AA1747" s="2780"/>
      <c r="AB1747" s="2780"/>
    </row>
    <row r="1748" spans="1:28" s="352" customFormat="1" ht="18" customHeight="1" x14ac:dyDescent="0.2">
      <c r="A1748" s="2686" t="s">
        <v>2</v>
      </c>
      <c r="B1748" s="360"/>
      <c r="C1748" s="2686" t="s">
        <v>3</v>
      </c>
      <c r="D1748" s="360"/>
      <c r="E1748" s="360"/>
      <c r="F1748" s="2693" t="s">
        <v>4</v>
      </c>
      <c r="G1748" s="2693"/>
      <c r="H1748" s="2693"/>
      <c r="I1748" s="2694"/>
      <c r="J1748" s="2694"/>
      <c r="K1748" s="2695"/>
      <c r="L1748" s="361"/>
      <c r="M1748" s="2679" t="s">
        <v>5</v>
      </c>
      <c r="N1748" s="2679"/>
      <c r="O1748" s="2679"/>
      <c r="P1748" s="2679"/>
      <c r="Q1748" s="2696"/>
      <c r="R1748" s="2696"/>
      <c r="S1748" s="2696"/>
      <c r="T1748" s="2696"/>
      <c r="U1748" s="2696"/>
      <c r="V1748" s="2697"/>
      <c r="W1748" s="362" t="s">
        <v>6</v>
      </c>
      <c r="X1748" s="363" t="s">
        <v>7</v>
      </c>
      <c r="Y1748" s="364"/>
      <c r="Z1748" s="364"/>
      <c r="AA1748" s="363"/>
      <c r="AB1748" s="365"/>
    </row>
    <row r="1749" spans="1:28" s="352" customFormat="1" ht="18" customHeight="1" x14ac:dyDescent="0.2">
      <c r="A1749" s="2687"/>
      <c r="B1749" s="367"/>
      <c r="C1749" s="2687"/>
      <c r="D1749" s="2158" t="s">
        <v>9</v>
      </c>
      <c r="E1749" s="368" t="s">
        <v>10</v>
      </c>
      <c r="F1749" s="2698" t="s">
        <v>11</v>
      </c>
      <c r="G1749" s="2694"/>
      <c r="H1749" s="2695"/>
      <c r="I1749" s="360"/>
      <c r="J1749" s="369" t="s">
        <v>12</v>
      </c>
      <c r="K1749" s="360"/>
      <c r="L1749" s="2679" t="s">
        <v>2</v>
      </c>
      <c r="M1749" s="2162"/>
      <c r="N1749" s="2162"/>
      <c r="O1749" s="2162"/>
      <c r="P1749" s="371"/>
      <c r="Q1749" s="372" t="s">
        <v>13</v>
      </c>
      <c r="R1749" s="373" t="s">
        <v>12</v>
      </c>
      <c r="S1749" s="2162" t="s">
        <v>6</v>
      </c>
      <c r="T1749" s="2682" t="s">
        <v>14</v>
      </c>
      <c r="U1749" s="2683"/>
      <c r="V1749" s="375" t="s">
        <v>7</v>
      </c>
      <c r="W1749" s="376" t="s">
        <v>15</v>
      </c>
      <c r="X1749" s="377" t="s">
        <v>16</v>
      </c>
      <c r="Y1749" s="377" t="s">
        <v>17</v>
      </c>
      <c r="Z1749" s="377" t="s">
        <v>18</v>
      </c>
      <c r="AA1749" s="377"/>
      <c r="AB1749" s="378" t="s">
        <v>19</v>
      </c>
    </row>
    <row r="1750" spans="1:28" s="352" customFormat="1" ht="18" customHeight="1" x14ac:dyDescent="0.2">
      <c r="A1750" s="2687"/>
      <c r="B1750" s="2158" t="s">
        <v>23</v>
      </c>
      <c r="C1750" s="2687"/>
      <c r="D1750" s="2158" t="s">
        <v>24</v>
      </c>
      <c r="E1750" s="368" t="s">
        <v>25</v>
      </c>
      <c r="F1750" s="2699"/>
      <c r="G1750" s="2700"/>
      <c r="H1750" s="2701"/>
      <c r="I1750" s="2158" t="s">
        <v>26</v>
      </c>
      <c r="J1750" s="379" t="s">
        <v>15</v>
      </c>
      <c r="K1750" s="2159" t="s">
        <v>6</v>
      </c>
      <c r="L1750" s="2680"/>
      <c r="M1750" s="2163" t="s">
        <v>27</v>
      </c>
      <c r="N1750" s="2163" t="s">
        <v>10</v>
      </c>
      <c r="O1750" s="382" t="s">
        <v>10</v>
      </c>
      <c r="P1750" s="383" t="s">
        <v>28</v>
      </c>
      <c r="Q1750" s="384" t="s">
        <v>29</v>
      </c>
      <c r="R1750" s="383" t="s">
        <v>15</v>
      </c>
      <c r="S1750" s="385" t="s">
        <v>15</v>
      </c>
      <c r="T1750" s="2684"/>
      <c r="U1750" s="2685"/>
      <c r="V1750" s="375" t="s">
        <v>30</v>
      </c>
      <c r="W1750" s="376" t="s">
        <v>31</v>
      </c>
      <c r="X1750" s="377" t="s">
        <v>30</v>
      </c>
      <c r="Y1750" s="377" t="s">
        <v>32</v>
      </c>
      <c r="Z1750" s="377" t="s">
        <v>7</v>
      </c>
      <c r="AA1750" s="377" t="s">
        <v>33</v>
      </c>
      <c r="AB1750" s="378" t="s">
        <v>34</v>
      </c>
    </row>
    <row r="1751" spans="1:28" s="352" customFormat="1" ht="18" customHeight="1" x14ac:dyDescent="0.2">
      <c r="A1751" s="2687"/>
      <c r="B1751" s="2158" t="s">
        <v>39</v>
      </c>
      <c r="C1751" s="2687"/>
      <c r="D1751" s="2158" t="s">
        <v>40</v>
      </c>
      <c r="E1751" s="368" t="s">
        <v>41</v>
      </c>
      <c r="F1751" s="2686" t="s">
        <v>42</v>
      </c>
      <c r="G1751" s="2686" t="s">
        <v>43</v>
      </c>
      <c r="H1751" s="2688" t="s">
        <v>44</v>
      </c>
      <c r="I1751" s="2158" t="s">
        <v>45</v>
      </c>
      <c r="J1751" s="379" t="s">
        <v>46</v>
      </c>
      <c r="K1751" s="2159" t="s">
        <v>47</v>
      </c>
      <c r="L1751" s="2680"/>
      <c r="M1751" s="2163" t="s">
        <v>30</v>
      </c>
      <c r="N1751" s="2163" t="s">
        <v>30</v>
      </c>
      <c r="O1751" s="382" t="s">
        <v>25</v>
      </c>
      <c r="P1751" s="383" t="s">
        <v>30</v>
      </c>
      <c r="Q1751" s="384" t="s">
        <v>48</v>
      </c>
      <c r="R1751" s="383" t="s">
        <v>49</v>
      </c>
      <c r="S1751" s="385" t="s">
        <v>30</v>
      </c>
      <c r="T1751" s="386" t="s">
        <v>50</v>
      </c>
      <c r="U1751" s="2161" t="s">
        <v>13</v>
      </c>
      <c r="V1751" s="375" t="s">
        <v>51</v>
      </c>
      <c r="W1751" s="376" t="s">
        <v>52</v>
      </c>
      <c r="X1751" s="377" t="s">
        <v>53</v>
      </c>
      <c r="Y1751" s="377" t="s">
        <v>54</v>
      </c>
      <c r="Z1751" s="377" t="s">
        <v>55</v>
      </c>
      <c r="AA1751" s="377" t="s">
        <v>56</v>
      </c>
      <c r="AB1751" s="378" t="s">
        <v>57</v>
      </c>
    </row>
    <row r="1752" spans="1:28" s="352" customFormat="1" ht="18" customHeight="1" x14ac:dyDescent="0.2">
      <c r="A1752" s="2687"/>
      <c r="B1752" s="2158" t="s">
        <v>61</v>
      </c>
      <c r="C1752" s="2687"/>
      <c r="D1752" s="2158" t="s">
        <v>62</v>
      </c>
      <c r="E1752" s="368" t="s">
        <v>63</v>
      </c>
      <c r="F1752" s="2687"/>
      <c r="G1752" s="2687"/>
      <c r="H1752" s="2689"/>
      <c r="I1752" s="2158" t="s">
        <v>64</v>
      </c>
      <c r="J1752" s="379" t="s">
        <v>59</v>
      </c>
      <c r="K1752" s="2159" t="s">
        <v>59</v>
      </c>
      <c r="L1752" s="2680"/>
      <c r="M1752" s="2163"/>
      <c r="N1752" s="2163"/>
      <c r="O1752" s="382" t="s">
        <v>41</v>
      </c>
      <c r="P1752" s="383" t="s">
        <v>65</v>
      </c>
      <c r="Q1752" s="384" t="s">
        <v>66</v>
      </c>
      <c r="R1752" s="383" t="s">
        <v>67</v>
      </c>
      <c r="S1752" s="385" t="s">
        <v>59</v>
      </c>
      <c r="T1752" s="387" t="s">
        <v>68</v>
      </c>
      <c r="U1752" s="375" t="s">
        <v>14</v>
      </c>
      <c r="V1752" s="375" t="s">
        <v>14</v>
      </c>
      <c r="W1752" s="376" t="s">
        <v>30</v>
      </c>
      <c r="X1752" s="388" t="s">
        <v>69</v>
      </c>
      <c r="Y1752" s="388" t="s">
        <v>70</v>
      </c>
      <c r="Z1752" s="377" t="s">
        <v>71</v>
      </c>
      <c r="AA1752" s="377" t="s">
        <v>72</v>
      </c>
      <c r="AB1752" s="378" t="s">
        <v>59</v>
      </c>
    </row>
    <row r="1753" spans="1:28" s="352" customFormat="1" ht="18" customHeight="1" x14ac:dyDescent="0.2">
      <c r="A1753" s="2692"/>
      <c r="B1753" s="390"/>
      <c r="C1753" s="2692"/>
      <c r="D1753" s="390"/>
      <c r="E1753" s="2160"/>
      <c r="F1753" s="390"/>
      <c r="G1753" s="390"/>
      <c r="H1753" s="391"/>
      <c r="I1753" s="2160"/>
      <c r="J1753" s="392"/>
      <c r="K1753" s="393"/>
      <c r="L1753" s="2681"/>
      <c r="M1753" s="2164"/>
      <c r="N1753" s="2164"/>
      <c r="O1753" s="2164" t="s">
        <v>63</v>
      </c>
      <c r="P1753" s="395"/>
      <c r="Q1753" s="396" t="s">
        <v>72</v>
      </c>
      <c r="R1753" s="397" t="s">
        <v>59</v>
      </c>
      <c r="S1753" s="398"/>
      <c r="T1753" s="397" t="s">
        <v>73</v>
      </c>
      <c r="U1753" s="398" t="s">
        <v>59</v>
      </c>
      <c r="V1753" s="399" t="s">
        <v>59</v>
      </c>
      <c r="W1753" s="400" t="s">
        <v>59</v>
      </c>
      <c r="X1753" s="401" t="s">
        <v>59</v>
      </c>
      <c r="Y1753" s="401" t="s">
        <v>59</v>
      </c>
      <c r="Z1753" s="401" t="s">
        <v>59</v>
      </c>
      <c r="AA1753" s="402"/>
      <c r="AB1753" s="403"/>
    </row>
    <row r="1754" spans="1:28" s="352" customFormat="1" ht="18" customHeight="1" x14ac:dyDescent="0.2">
      <c r="A1754" s="82">
        <v>1</v>
      </c>
      <c r="B1754" s="41">
        <v>27777</v>
      </c>
      <c r="C1754" s="41">
        <v>28</v>
      </c>
      <c r="D1754" s="41" t="s">
        <v>107</v>
      </c>
      <c r="E1754" s="41">
        <v>4</v>
      </c>
      <c r="F1754" s="41">
        <v>0</v>
      </c>
      <c r="G1754" s="41">
        <v>0</v>
      </c>
      <c r="H1754" s="267">
        <v>28</v>
      </c>
      <c r="I1754" s="302">
        <f>F1754*400+G1754*100+H1754</f>
        <v>28</v>
      </c>
      <c r="J1754" s="310">
        <v>3000</v>
      </c>
      <c r="K1754" s="303">
        <f>SUM(I1754*J1754)</f>
        <v>84000</v>
      </c>
      <c r="L1754" s="16"/>
      <c r="M1754" s="82"/>
      <c r="N1754" s="41"/>
      <c r="O1754" s="16">
        <v>4</v>
      </c>
      <c r="P1754" s="404"/>
      <c r="Q1754" s="14"/>
      <c r="R1754" s="302"/>
      <c r="S1754" s="302"/>
      <c r="T1754" s="41"/>
      <c r="U1754" s="302"/>
      <c r="V1754" s="302"/>
      <c r="W1754" s="302">
        <f>K1754+V1754</f>
        <v>84000</v>
      </c>
      <c r="X1754" s="302">
        <f>W1754</f>
        <v>84000</v>
      </c>
      <c r="Y1754" s="310"/>
      <c r="Z1754" s="302">
        <f>+X1754</f>
        <v>84000</v>
      </c>
      <c r="AA1754" s="405">
        <v>0.6</v>
      </c>
      <c r="AB1754" s="406">
        <f>+Z1754*AA1754/100</f>
        <v>504</v>
      </c>
    </row>
    <row r="1755" spans="1:28" s="352" customFormat="1" ht="18" customHeight="1" x14ac:dyDescent="0.2">
      <c r="A1755" s="2166">
        <v>2</v>
      </c>
      <c r="B1755" s="15">
        <v>27773</v>
      </c>
      <c r="C1755" s="15">
        <v>24</v>
      </c>
      <c r="D1755" s="15" t="s">
        <v>107</v>
      </c>
      <c r="E1755" s="15">
        <v>4</v>
      </c>
      <c r="F1755" s="15">
        <v>0</v>
      </c>
      <c r="G1755" s="15">
        <v>0</v>
      </c>
      <c r="H1755" s="284">
        <v>72</v>
      </c>
      <c r="I1755" s="296">
        <f>F1755*400+G1755*100+H1755</f>
        <v>72</v>
      </c>
      <c r="J1755" s="306">
        <v>3000</v>
      </c>
      <c r="K1755" s="297">
        <f>SUM(I1755*J1755)</f>
        <v>216000</v>
      </c>
      <c r="L1755" s="50"/>
      <c r="M1755" s="2166"/>
      <c r="N1755" s="15"/>
      <c r="O1755" s="50">
        <v>4</v>
      </c>
      <c r="P1755" s="673"/>
      <c r="Q1755" s="76"/>
      <c r="R1755" s="296"/>
      <c r="S1755" s="296"/>
      <c r="T1755" s="15"/>
      <c r="U1755" s="296"/>
      <c r="V1755" s="296"/>
      <c r="W1755" s="296">
        <f>K1755+V1755</f>
        <v>216000</v>
      </c>
      <c r="X1755" s="296">
        <f>W1755</f>
        <v>216000</v>
      </c>
      <c r="Y1755" s="306"/>
      <c r="Z1755" s="296">
        <f>+X1755</f>
        <v>216000</v>
      </c>
      <c r="AA1755" s="494">
        <v>0.6</v>
      </c>
      <c r="AB1755" s="410">
        <f>+Z1755*AA1755/100</f>
        <v>1296</v>
      </c>
    </row>
    <row r="1756" spans="1:28" s="352" customFormat="1" ht="18" customHeight="1" x14ac:dyDescent="0.2">
      <c r="A1756" s="2166"/>
      <c r="B1756" s="61"/>
      <c r="C1756" s="2166"/>
      <c r="D1756" s="2166"/>
      <c r="E1756" s="2166"/>
      <c r="F1756" s="2166"/>
      <c r="G1756" s="2166"/>
      <c r="H1756" s="407"/>
      <c r="I1756" s="77"/>
      <c r="J1756" s="2168"/>
      <c r="K1756" s="78"/>
      <c r="L1756" s="61"/>
      <c r="M1756" s="2166"/>
      <c r="N1756" s="2166"/>
      <c r="O1756" s="61"/>
      <c r="P1756" s="177"/>
      <c r="Q1756" s="196"/>
      <c r="R1756" s="408"/>
      <c r="S1756" s="77"/>
      <c r="T1756" s="2166"/>
      <c r="U1756" s="77"/>
      <c r="V1756" s="77"/>
      <c r="W1756" s="77"/>
      <c r="X1756" s="77"/>
      <c r="Y1756" s="2168"/>
      <c r="Z1756" s="77"/>
      <c r="AA1756" s="2170"/>
      <c r="AB1756" s="410"/>
    </row>
    <row r="1757" spans="1:28" s="352" customFormat="1" ht="18" customHeight="1" x14ac:dyDescent="0.2">
      <c r="A1757" s="2166"/>
      <c r="B1757" s="61"/>
      <c r="C1757" s="2166"/>
      <c r="D1757" s="2166"/>
      <c r="E1757" s="2166"/>
      <c r="F1757" s="2166"/>
      <c r="G1757" s="2166"/>
      <c r="H1757" s="407"/>
      <c r="I1757" s="77"/>
      <c r="J1757" s="2168"/>
      <c r="K1757" s="78"/>
      <c r="L1757" s="61"/>
      <c r="M1757" s="2166"/>
      <c r="N1757" s="2166"/>
      <c r="O1757" s="61"/>
      <c r="P1757" s="177"/>
      <c r="Q1757" s="196"/>
      <c r="R1757" s="408"/>
      <c r="S1757" s="77"/>
      <c r="T1757" s="2166"/>
      <c r="U1757" s="77"/>
      <c r="V1757" s="77"/>
      <c r="W1757" s="77"/>
      <c r="X1757" s="77"/>
      <c r="Y1757" s="2168"/>
      <c r="Z1757" s="77"/>
      <c r="AA1757" s="2170"/>
      <c r="AB1757" s="410"/>
    </row>
    <row r="1758" spans="1:28" s="352" customFormat="1" ht="18" customHeight="1" x14ac:dyDescent="0.2">
      <c r="A1758" s="2166"/>
      <c r="B1758" s="61"/>
      <c r="C1758" s="2166"/>
      <c r="D1758" s="2166"/>
      <c r="E1758" s="2166"/>
      <c r="F1758" s="2166"/>
      <c r="G1758" s="2166"/>
      <c r="H1758" s="407"/>
      <c r="I1758" s="77"/>
      <c r="J1758" s="2168"/>
      <c r="K1758" s="78"/>
      <c r="L1758" s="61"/>
      <c r="M1758" s="2166"/>
      <c r="N1758" s="2166"/>
      <c r="O1758" s="61"/>
      <c r="P1758" s="177"/>
      <c r="Q1758" s="196"/>
      <c r="R1758" s="408"/>
      <c r="S1758" s="77"/>
      <c r="T1758" s="2166"/>
      <c r="U1758" s="77"/>
      <c r="V1758" s="77"/>
      <c r="W1758" s="77"/>
      <c r="X1758" s="77"/>
      <c r="Y1758" s="2168"/>
      <c r="Z1758" s="77"/>
      <c r="AA1758" s="2170"/>
      <c r="AB1758" s="410"/>
    </row>
    <row r="1759" spans="1:28" s="352" customFormat="1" ht="18" customHeight="1" x14ac:dyDescent="0.2">
      <c r="A1759" s="2166"/>
      <c r="B1759" s="61"/>
      <c r="C1759" s="2166"/>
      <c r="D1759" s="2166"/>
      <c r="E1759" s="2166"/>
      <c r="F1759" s="2166"/>
      <c r="G1759" s="2166"/>
      <c r="H1759" s="407"/>
      <c r="I1759" s="77"/>
      <c r="J1759" s="2168"/>
      <c r="K1759" s="78"/>
      <c r="L1759" s="61"/>
      <c r="M1759" s="2166"/>
      <c r="N1759" s="2166"/>
      <c r="O1759" s="61"/>
      <c r="P1759" s="177"/>
      <c r="Q1759" s="196"/>
      <c r="R1759" s="408"/>
      <c r="S1759" s="77"/>
      <c r="T1759" s="2166"/>
      <c r="U1759" s="77"/>
      <c r="V1759" s="77"/>
      <c r="W1759" s="77"/>
      <c r="X1759" s="77"/>
      <c r="Y1759" s="2168"/>
      <c r="Z1759" s="77"/>
      <c r="AA1759" s="2170"/>
      <c r="AB1759" s="410"/>
    </row>
    <row r="1760" spans="1:28" s="352" customFormat="1" ht="18" customHeight="1" x14ac:dyDescent="0.2">
      <c r="A1760" s="2166"/>
      <c r="B1760" s="61"/>
      <c r="C1760" s="2166"/>
      <c r="D1760" s="2166"/>
      <c r="E1760" s="2166"/>
      <c r="F1760" s="2166"/>
      <c r="G1760" s="2166"/>
      <c r="H1760" s="407"/>
      <c r="I1760" s="77"/>
      <c r="J1760" s="2168"/>
      <c r="K1760" s="78"/>
      <c r="L1760" s="61"/>
      <c r="M1760" s="2166"/>
      <c r="N1760" s="2166"/>
      <c r="O1760" s="61"/>
      <c r="P1760" s="177"/>
      <c r="Q1760" s="196"/>
      <c r="R1760" s="408"/>
      <c r="S1760" s="77"/>
      <c r="T1760" s="2166"/>
      <c r="U1760" s="77"/>
      <c r="V1760" s="77"/>
      <c r="W1760" s="77"/>
      <c r="X1760" s="77"/>
      <c r="Y1760" s="2168"/>
      <c r="Z1760" s="77"/>
      <c r="AA1760" s="2170"/>
      <c r="AB1760" s="410"/>
    </row>
    <row r="1761" spans="1:28" s="352" customFormat="1" ht="18" customHeight="1" x14ac:dyDescent="0.2">
      <c r="A1761" s="88"/>
      <c r="B1761" s="75"/>
      <c r="C1761" s="88"/>
      <c r="D1761" s="88"/>
      <c r="E1761" s="2166"/>
      <c r="F1761" s="411"/>
      <c r="G1761" s="242"/>
      <c r="H1761" s="412"/>
      <c r="I1761" s="159"/>
      <c r="J1761" s="121"/>
      <c r="K1761" s="159"/>
      <c r="L1761" s="75"/>
      <c r="M1761" s="88"/>
      <c r="N1761" s="88"/>
      <c r="O1761" s="75"/>
      <c r="P1761" s="180"/>
      <c r="Q1761" s="174"/>
      <c r="R1761" s="413"/>
      <c r="S1761" s="74"/>
      <c r="T1761" s="88"/>
      <c r="U1761" s="74"/>
      <c r="V1761" s="74"/>
      <c r="W1761" s="74"/>
      <c r="X1761" s="74"/>
      <c r="Y1761" s="121"/>
      <c r="Z1761" s="74"/>
      <c r="AA1761" s="414"/>
      <c r="AB1761" s="415"/>
    </row>
    <row r="1762" spans="1:28" s="352" customFormat="1" ht="18" customHeight="1" x14ac:dyDescent="0.2">
      <c r="A1762" s="88"/>
      <c r="B1762" s="75"/>
      <c r="C1762" s="88"/>
      <c r="D1762" s="88"/>
      <c r="E1762" s="2166"/>
      <c r="F1762" s="411"/>
      <c r="G1762" s="242"/>
      <c r="H1762" s="412"/>
      <c r="I1762" s="159"/>
      <c r="J1762" s="121"/>
      <c r="K1762" s="159"/>
      <c r="L1762" s="75"/>
      <c r="M1762" s="88"/>
      <c r="N1762" s="88"/>
      <c r="O1762" s="75"/>
      <c r="P1762" s="180"/>
      <c r="Q1762" s="174"/>
      <c r="R1762" s="413"/>
      <c r="S1762" s="74"/>
      <c r="T1762" s="88"/>
      <c r="U1762" s="74"/>
      <c r="V1762" s="74"/>
      <c r="W1762" s="74"/>
      <c r="X1762" s="74"/>
      <c r="Y1762" s="121"/>
      <c r="Z1762" s="74"/>
      <c r="AA1762" s="414"/>
      <c r="AB1762" s="416"/>
    </row>
    <row r="1763" spans="1:28" s="352" customFormat="1" ht="18" customHeight="1" x14ac:dyDescent="0.2">
      <c r="A1763" s="88"/>
      <c r="B1763" s="75"/>
      <c r="C1763" s="88"/>
      <c r="D1763" s="88"/>
      <c r="E1763" s="2166"/>
      <c r="F1763" s="411"/>
      <c r="G1763" s="242"/>
      <c r="H1763" s="412"/>
      <c r="I1763" s="159"/>
      <c r="J1763" s="121"/>
      <c r="K1763" s="159"/>
      <c r="L1763" s="75"/>
      <c r="M1763" s="88"/>
      <c r="N1763" s="88"/>
      <c r="O1763" s="75"/>
      <c r="P1763" s="180"/>
      <c r="Q1763" s="174"/>
      <c r="R1763" s="413"/>
      <c r="S1763" s="74"/>
      <c r="T1763" s="88"/>
      <c r="U1763" s="74"/>
      <c r="V1763" s="74"/>
      <c r="W1763" s="74"/>
      <c r="X1763" s="74"/>
      <c r="Y1763" s="121"/>
      <c r="Z1763" s="74"/>
      <c r="AA1763" s="414"/>
      <c r="AB1763" s="415"/>
    </row>
    <row r="1764" spans="1:28" s="352" customFormat="1" ht="18" customHeight="1" x14ac:dyDescent="0.2">
      <c r="A1764" s="88"/>
      <c r="B1764" s="75"/>
      <c r="C1764" s="88"/>
      <c r="D1764" s="2165"/>
      <c r="E1764" s="2166"/>
      <c r="F1764" s="411"/>
      <c r="G1764" s="242"/>
      <c r="H1764" s="412"/>
      <c r="I1764" s="159"/>
      <c r="J1764" s="121"/>
      <c r="K1764" s="159"/>
      <c r="L1764" s="75"/>
      <c r="M1764" s="88"/>
      <c r="N1764" s="88"/>
      <c r="O1764" s="75"/>
      <c r="P1764" s="180"/>
      <c r="Q1764" s="174"/>
      <c r="R1764" s="413"/>
      <c r="S1764" s="74"/>
      <c r="T1764" s="88"/>
      <c r="U1764" s="74"/>
      <c r="V1764" s="74"/>
      <c r="W1764" s="74"/>
      <c r="X1764" s="74"/>
      <c r="Y1764" s="121"/>
      <c r="Z1764" s="74"/>
      <c r="AA1764" s="414"/>
      <c r="AB1764" s="410"/>
    </row>
    <row r="1765" spans="1:28" s="352" customFormat="1" ht="18" customHeight="1" x14ac:dyDescent="0.2">
      <c r="A1765" s="88"/>
      <c r="B1765" s="75"/>
      <c r="C1765" s="88"/>
      <c r="D1765" s="2165"/>
      <c r="E1765" s="2166"/>
      <c r="F1765" s="411"/>
      <c r="G1765" s="242"/>
      <c r="H1765" s="412"/>
      <c r="I1765" s="159"/>
      <c r="J1765" s="121"/>
      <c r="K1765" s="159"/>
      <c r="L1765" s="75"/>
      <c r="M1765" s="88"/>
      <c r="N1765" s="88"/>
      <c r="O1765" s="75"/>
      <c r="P1765" s="180"/>
      <c r="Q1765" s="174"/>
      <c r="R1765" s="413"/>
      <c r="S1765" s="74"/>
      <c r="T1765" s="88"/>
      <c r="U1765" s="74"/>
      <c r="V1765" s="74"/>
      <c r="W1765" s="74"/>
      <c r="X1765" s="74"/>
      <c r="Y1765" s="121"/>
      <c r="Z1765" s="74"/>
      <c r="AA1765" s="417"/>
      <c r="AB1765" s="410"/>
    </row>
    <row r="1766" spans="1:28" s="352" customFormat="1" ht="18" customHeight="1" x14ac:dyDescent="0.2">
      <c r="A1766" s="88"/>
      <c r="B1766" s="75"/>
      <c r="C1766" s="88"/>
      <c r="D1766" s="2165"/>
      <c r="E1766" s="2166"/>
      <c r="F1766" s="411"/>
      <c r="G1766" s="242"/>
      <c r="H1766" s="412"/>
      <c r="I1766" s="159"/>
      <c r="J1766" s="121"/>
      <c r="K1766" s="159"/>
      <c r="L1766" s="75"/>
      <c r="M1766" s="88"/>
      <c r="N1766" s="88"/>
      <c r="O1766" s="75"/>
      <c r="P1766" s="180"/>
      <c r="Q1766" s="174"/>
      <c r="R1766" s="413"/>
      <c r="S1766" s="74"/>
      <c r="T1766" s="88"/>
      <c r="U1766" s="74"/>
      <c r="V1766" s="74"/>
      <c r="W1766" s="74"/>
      <c r="X1766" s="74"/>
      <c r="Y1766" s="121"/>
      <c r="Z1766" s="74"/>
      <c r="AA1766" s="414"/>
      <c r="AB1766" s="416"/>
    </row>
    <row r="1767" spans="1:28" s="352" customFormat="1" ht="18" customHeight="1" x14ac:dyDescent="0.2">
      <c r="A1767" s="88"/>
      <c r="B1767" s="418"/>
      <c r="C1767" s="88"/>
      <c r="D1767" s="88"/>
      <c r="E1767" s="88"/>
      <c r="F1767" s="411"/>
      <c r="G1767" s="242"/>
      <c r="H1767" s="412"/>
      <c r="I1767" s="159"/>
      <c r="J1767" s="121"/>
      <c r="K1767" s="159"/>
      <c r="L1767" s="75"/>
      <c r="M1767" s="88"/>
      <c r="N1767" s="88"/>
      <c r="O1767" s="75"/>
      <c r="P1767" s="180"/>
      <c r="Q1767" s="174"/>
      <c r="R1767" s="413"/>
      <c r="S1767" s="74"/>
      <c r="T1767" s="88"/>
      <c r="U1767" s="74"/>
      <c r="V1767" s="74"/>
      <c r="W1767" s="74"/>
      <c r="X1767" s="74"/>
      <c r="Y1767" s="121"/>
      <c r="Z1767" s="74"/>
      <c r="AA1767" s="414"/>
      <c r="AB1767" s="410"/>
    </row>
    <row r="1768" spans="1:28" s="352" customFormat="1" ht="18" customHeight="1" x14ac:dyDescent="0.2">
      <c r="A1768" s="1147"/>
      <c r="B1768" s="1989"/>
      <c r="C1768" s="1147"/>
      <c r="D1768" s="1147"/>
      <c r="E1768" s="1147"/>
      <c r="F1768" s="1147"/>
      <c r="G1768" s="1147"/>
      <c r="H1768" s="1990"/>
      <c r="I1768" s="1991"/>
      <c r="J1768" s="1868"/>
      <c r="K1768" s="1992"/>
      <c r="L1768" s="1989"/>
      <c r="M1768" s="1147"/>
      <c r="N1768" s="1147"/>
      <c r="O1768" s="1989"/>
      <c r="P1768" s="1867"/>
      <c r="Q1768" s="1993"/>
      <c r="R1768" s="1994"/>
      <c r="S1768" s="1991"/>
      <c r="T1768" s="1147"/>
      <c r="U1768" s="1991"/>
      <c r="V1768" s="1991"/>
      <c r="W1768" s="1991"/>
      <c r="X1768" s="1991"/>
      <c r="Y1768" s="1868"/>
      <c r="Z1768" s="1991"/>
      <c r="AA1768" s="1995"/>
      <c r="AB1768" s="1849">
        <f>SUM(AB1754:AB1767)</f>
        <v>1800</v>
      </c>
    </row>
    <row r="1769" spans="1:28" s="352" customFormat="1" ht="18" customHeight="1" x14ac:dyDescent="0.2">
      <c r="A1769" s="2788" t="s">
        <v>76</v>
      </c>
      <c r="B1769" s="2788"/>
      <c r="C1769" s="2779" t="s">
        <v>77</v>
      </c>
      <c r="D1769" s="2779"/>
      <c r="E1769" s="2779"/>
      <c r="F1769" s="2779"/>
      <c r="G1769" s="2779"/>
      <c r="H1769" s="2779"/>
      <c r="I1769" s="424" t="s">
        <v>78</v>
      </c>
      <c r="J1769" s="424"/>
      <c r="K1769" s="424"/>
      <c r="L1769" s="424"/>
      <c r="M1769" s="424"/>
      <c r="N1769" s="424"/>
      <c r="AB1769" s="425"/>
    </row>
    <row r="1770" spans="1:28" s="352" customFormat="1" ht="18" customHeight="1" x14ac:dyDescent="0.2">
      <c r="A1770" s="424"/>
      <c r="B1770" s="426"/>
      <c r="C1770" s="424"/>
      <c r="D1770" s="424"/>
      <c r="E1770" s="424"/>
      <c r="F1770" s="424"/>
      <c r="G1770" s="424"/>
      <c r="H1770" s="424"/>
      <c r="I1770" s="424" t="s">
        <v>79</v>
      </c>
      <c r="J1770" s="424"/>
      <c r="K1770" s="424"/>
      <c r="L1770" s="424"/>
      <c r="M1770" s="424"/>
      <c r="N1770" s="424"/>
      <c r="AB1770" s="425"/>
    </row>
    <row r="1771" spans="1:28" s="352" customFormat="1" ht="18" customHeight="1" x14ac:dyDescent="0.2">
      <c r="A1771" s="424"/>
      <c r="B1771" s="426"/>
      <c r="C1771" s="424"/>
      <c r="D1771" s="424"/>
      <c r="E1771" s="424"/>
      <c r="F1771" s="424"/>
      <c r="G1771" s="424"/>
      <c r="H1771" s="424"/>
      <c r="I1771" s="424" t="s">
        <v>80</v>
      </c>
      <c r="J1771" s="424"/>
      <c r="K1771" s="424"/>
      <c r="L1771" s="424"/>
      <c r="M1771" s="424"/>
      <c r="N1771" s="424"/>
      <c r="AB1771" s="425"/>
    </row>
    <row r="1772" spans="1:28" s="352" customFormat="1" ht="18" customHeight="1" x14ac:dyDescent="0.2">
      <c r="A1772" s="424"/>
      <c r="B1772" s="426"/>
      <c r="C1772" s="424"/>
      <c r="D1772" s="424"/>
      <c r="E1772" s="424"/>
      <c r="F1772" s="424"/>
      <c r="G1772" s="424"/>
      <c r="H1772" s="424"/>
      <c r="I1772" s="424" t="s">
        <v>81</v>
      </c>
      <c r="J1772" s="424"/>
      <c r="K1772" s="424"/>
      <c r="L1772" s="424"/>
      <c r="M1772" s="424"/>
      <c r="N1772" s="424"/>
      <c r="AB1772" s="425"/>
    </row>
    <row r="1773" spans="1:28" s="352" customFormat="1" ht="18" customHeight="1" x14ac:dyDescent="0.2">
      <c r="A1773" s="424"/>
      <c r="B1773" s="426"/>
      <c r="C1773" s="424"/>
      <c r="D1773" s="424"/>
      <c r="E1773" s="424"/>
      <c r="F1773" s="424"/>
      <c r="G1773" s="424"/>
      <c r="H1773" s="424"/>
      <c r="I1773" s="424" t="s">
        <v>88</v>
      </c>
      <c r="J1773" s="424"/>
      <c r="K1773" s="424"/>
      <c r="L1773" s="424"/>
      <c r="M1773" s="424"/>
      <c r="N1773" s="424"/>
      <c r="AB1773" s="425"/>
    </row>
    <row r="1774" spans="1:28" s="352" customFormat="1" ht="18" customHeight="1" x14ac:dyDescent="0.2">
      <c r="A1774" s="338"/>
      <c r="B1774" s="338"/>
      <c r="C1774" s="338"/>
      <c r="D1774" s="338"/>
      <c r="E1774" s="338"/>
      <c r="F1774" s="338"/>
      <c r="G1774" s="338"/>
      <c r="H1774" s="338"/>
      <c r="I1774" s="338"/>
      <c r="J1774" s="338"/>
      <c r="K1774" s="338"/>
      <c r="L1774" s="338"/>
      <c r="M1774" s="338"/>
      <c r="N1774" s="338"/>
      <c r="O1774" s="338"/>
      <c r="P1774" s="338"/>
      <c r="Q1774" s="338"/>
      <c r="R1774" s="338"/>
      <c r="S1774" s="338"/>
      <c r="T1774" s="338"/>
      <c r="U1774" s="338"/>
      <c r="V1774" s="338"/>
      <c r="W1774" s="338"/>
      <c r="X1774" s="338"/>
      <c r="Y1774" s="338"/>
      <c r="Z1774" s="338"/>
      <c r="AA1774" s="2774" t="s">
        <v>0</v>
      </c>
      <c r="AB1774" s="2774"/>
    </row>
    <row r="1775" spans="1:28" s="352" customFormat="1" ht="18" customHeight="1" x14ac:dyDescent="0.2">
      <c r="A1775" s="2703" t="s">
        <v>1</v>
      </c>
      <c r="B1775" s="2703"/>
      <c r="C1775" s="2703"/>
      <c r="D1775" s="2703"/>
      <c r="E1775" s="2703"/>
      <c r="F1775" s="2703"/>
      <c r="G1775" s="2703"/>
      <c r="H1775" s="2703"/>
      <c r="I1775" s="2703"/>
      <c r="J1775" s="2703"/>
      <c r="K1775" s="2703"/>
      <c r="L1775" s="2703"/>
      <c r="M1775" s="2703"/>
      <c r="N1775" s="2703"/>
      <c r="O1775" s="2703"/>
      <c r="P1775" s="2703"/>
      <c r="Q1775" s="2703"/>
      <c r="R1775" s="2703"/>
      <c r="S1775" s="2703"/>
      <c r="T1775" s="2703"/>
      <c r="U1775" s="2703"/>
      <c r="V1775" s="2703"/>
      <c r="W1775" s="2703"/>
      <c r="X1775" s="2703"/>
      <c r="Y1775" s="2703"/>
      <c r="Z1775" s="2703"/>
      <c r="AA1775" s="2703"/>
      <c r="AB1775" s="2703"/>
    </row>
    <row r="1776" spans="1:28" s="352" customFormat="1" ht="18" customHeight="1" x14ac:dyDescent="0.2">
      <c r="A1776" s="2780" t="s">
        <v>335</v>
      </c>
      <c r="B1776" s="2780"/>
      <c r="C1776" s="2780"/>
      <c r="D1776" s="2780"/>
      <c r="E1776" s="2780"/>
      <c r="F1776" s="2780"/>
      <c r="G1776" s="2780"/>
      <c r="H1776" s="2780"/>
      <c r="I1776" s="2780"/>
      <c r="J1776" s="2780"/>
      <c r="K1776" s="2780"/>
      <c r="L1776" s="2780"/>
      <c r="M1776" s="2780"/>
      <c r="N1776" s="2780"/>
      <c r="O1776" s="2780"/>
      <c r="P1776" s="2780"/>
      <c r="Q1776" s="2780"/>
      <c r="R1776" s="2780"/>
      <c r="S1776" s="2780"/>
      <c r="T1776" s="2780"/>
      <c r="U1776" s="2780"/>
      <c r="V1776" s="2780"/>
      <c r="W1776" s="2780"/>
      <c r="X1776" s="2780"/>
      <c r="Y1776" s="2780"/>
      <c r="Z1776" s="2780"/>
      <c r="AA1776" s="2780"/>
      <c r="AB1776" s="2780"/>
    </row>
    <row r="1777" spans="1:28" s="352" customFormat="1" ht="18" customHeight="1" x14ac:dyDescent="0.2">
      <c r="A1777" s="2686" t="s">
        <v>2</v>
      </c>
      <c r="B1777" s="360"/>
      <c r="C1777" s="2686" t="s">
        <v>3</v>
      </c>
      <c r="D1777" s="360"/>
      <c r="E1777" s="360"/>
      <c r="F1777" s="2693" t="s">
        <v>4</v>
      </c>
      <c r="G1777" s="2693"/>
      <c r="H1777" s="2693"/>
      <c r="I1777" s="2694"/>
      <c r="J1777" s="2694"/>
      <c r="K1777" s="2695"/>
      <c r="L1777" s="361"/>
      <c r="M1777" s="2679" t="s">
        <v>5</v>
      </c>
      <c r="N1777" s="2679"/>
      <c r="O1777" s="2679"/>
      <c r="P1777" s="2679"/>
      <c r="Q1777" s="2696"/>
      <c r="R1777" s="2696"/>
      <c r="S1777" s="2696"/>
      <c r="T1777" s="2696"/>
      <c r="U1777" s="2696"/>
      <c r="V1777" s="2697"/>
      <c r="W1777" s="362" t="s">
        <v>6</v>
      </c>
      <c r="X1777" s="363" t="s">
        <v>7</v>
      </c>
      <c r="Y1777" s="364"/>
      <c r="Z1777" s="364"/>
      <c r="AA1777" s="363"/>
      <c r="AB1777" s="365"/>
    </row>
    <row r="1778" spans="1:28" s="352" customFormat="1" ht="18" customHeight="1" x14ac:dyDescent="0.2">
      <c r="A1778" s="2687"/>
      <c r="B1778" s="367"/>
      <c r="C1778" s="2687"/>
      <c r="D1778" s="2158" t="s">
        <v>9</v>
      </c>
      <c r="E1778" s="368" t="s">
        <v>10</v>
      </c>
      <c r="F1778" s="2698" t="s">
        <v>11</v>
      </c>
      <c r="G1778" s="2694"/>
      <c r="H1778" s="2695"/>
      <c r="I1778" s="360"/>
      <c r="J1778" s="369" t="s">
        <v>12</v>
      </c>
      <c r="K1778" s="360"/>
      <c r="L1778" s="2679" t="s">
        <v>2</v>
      </c>
      <c r="M1778" s="2162"/>
      <c r="N1778" s="2162"/>
      <c r="O1778" s="2162"/>
      <c r="P1778" s="371"/>
      <c r="Q1778" s="372" t="s">
        <v>13</v>
      </c>
      <c r="R1778" s="373" t="s">
        <v>12</v>
      </c>
      <c r="S1778" s="2162" t="s">
        <v>6</v>
      </c>
      <c r="T1778" s="2682" t="s">
        <v>14</v>
      </c>
      <c r="U1778" s="2683"/>
      <c r="V1778" s="375" t="s">
        <v>7</v>
      </c>
      <c r="W1778" s="376" t="s">
        <v>15</v>
      </c>
      <c r="X1778" s="377" t="s">
        <v>16</v>
      </c>
      <c r="Y1778" s="377" t="s">
        <v>17</v>
      </c>
      <c r="Z1778" s="377" t="s">
        <v>18</v>
      </c>
      <c r="AA1778" s="377"/>
      <c r="AB1778" s="378" t="s">
        <v>19</v>
      </c>
    </row>
    <row r="1779" spans="1:28" s="352" customFormat="1" ht="18" customHeight="1" x14ac:dyDescent="0.2">
      <c r="A1779" s="2687"/>
      <c r="B1779" s="2158" t="s">
        <v>23</v>
      </c>
      <c r="C1779" s="2687"/>
      <c r="D1779" s="2158" t="s">
        <v>24</v>
      </c>
      <c r="E1779" s="368" t="s">
        <v>25</v>
      </c>
      <c r="F1779" s="2699"/>
      <c r="G1779" s="2700"/>
      <c r="H1779" s="2701"/>
      <c r="I1779" s="2158" t="s">
        <v>26</v>
      </c>
      <c r="J1779" s="379" t="s">
        <v>15</v>
      </c>
      <c r="K1779" s="2159" t="s">
        <v>6</v>
      </c>
      <c r="L1779" s="2680"/>
      <c r="M1779" s="2163" t="s">
        <v>27</v>
      </c>
      <c r="N1779" s="2163" t="s">
        <v>10</v>
      </c>
      <c r="O1779" s="382" t="s">
        <v>10</v>
      </c>
      <c r="P1779" s="383" t="s">
        <v>28</v>
      </c>
      <c r="Q1779" s="384" t="s">
        <v>29</v>
      </c>
      <c r="R1779" s="383" t="s">
        <v>15</v>
      </c>
      <c r="S1779" s="385" t="s">
        <v>15</v>
      </c>
      <c r="T1779" s="2684"/>
      <c r="U1779" s="2685"/>
      <c r="V1779" s="375" t="s">
        <v>30</v>
      </c>
      <c r="W1779" s="376" t="s">
        <v>31</v>
      </c>
      <c r="X1779" s="377" t="s">
        <v>30</v>
      </c>
      <c r="Y1779" s="377" t="s">
        <v>32</v>
      </c>
      <c r="Z1779" s="377" t="s">
        <v>7</v>
      </c>
      <c r="AA1779" s="377" t="s">
        <v>33</v>
      </c>
      <c r="AB1779" s="378" t="s">
        <v>34</v>
      </c>
    </row>
    <row r="1780" spans="1:28" s="352" customFormat="1" ht="18" customHeight="1" x14ac:dyDescent="0.2">
      <c r="A1780" s="2687"/>
      <c r="B1780" s="2158" t="s">
        <v>39</v>
      </c>
      <c r="C1780" s="2687"/>
      <c r="D1780" s="2158" t="s">
        <v>40</v>
      </c>
      <c r="E1780" s="368" t="s">
        <v>41</v>
      </c>
      <c r="F1780" s="2686" t="s">
        <v>42</v>
      </c>
      <c r="G1780" s="2686" t="s">
        <v>43</v>
      </c>
      <c r="H1780" s="2688" t="s">
        <v>44</v>
      </c>
      <c r="I1780" s="2158" t="s">
        <v>45</v>
      </c>
      <c r="J1780" s="379" t="s">
        <v>46</v>
      </c>
      <c r="K1780" s="2159" t="s">
        <v>47</v>
      </c>
      <c r="L1780" s="2680"/>
      <c r="M1780" s="2163" t="s">
        <v>30</v>
      </c>
      <c r="N1780" s="2163" t="s">
        <v>30</v>
      </c>
      <c r="O1780" s="382" t="s">
        <v>25</v>
      </c>
      <c r="P1780" s="383" t="s">
        <v>30</v>
      </c>
      <c r="Q1780" s="384" t="s">
        <v>48</v>
      </c>
      <c r="R1780" s="383" t="s">
        <v>49</v>
      </c>
      <c r="S1780" s="385" t="s">
        <v>30</v>
      </c>
      <c r="T1780" s="386" t="s">
        <v>50</v>
      </c>
      <c r="U1780" s="2161" t="s">
        <v>13</v>
      </c>
      <c r="V1780" s="375" t="s">
        <v>51</v>
      </c>
      <c r="W1780" s="376" t="s">
        <v>52</v>
      </c>
      <c r="X1780" s="377" t="s">
        <v>53</v>
      </c>
      <c r="Y1780" s="377" t="s">
        <v>54</v>
      </c>
      <c r="Z1780" s="377" t="s">
        <v>55</v>
      </c>
      <c r="AA1780" s="377" t="s">
        <v>56</v>
      </c>
      <c r="AB1780" s="378" t="s">
        <v>57</v>
      </c>
    </row>
    <row r="1781" spans="1:28" s="352" customFormat="1" ht="18" customHeight="1" x14ac:dyDescent="0.2">
      <c r="A1781" s="2687"/>
      <c r="B1781" s="2158" t="s">
        <v>61</v>
      </c>
      <c r="C1781" s="2687"/>
      <c r="D1781" s="2158" t="s">
        <v>62</v>
      </c>
      <c r="E1781" s="368" t="s">
        <v>63</v>
      </c>
      <c r="F1781" s="2687"/>
      <c r="G1781" s="2687"/>
      <c r="H1781" s="2689"/>
      <c r="I1781" s="2158" t="s">
        <v>64</v>
      </c>
      <c r="J1781" s="379" t="s">
        <v>59</v>
      </c>
      <c r="K1781" s="2159" t="s">
        <v>59</v>
      </c>
      <c r="L1781" s="2680"/>
      <c r="M1781" s="2163"/>
      <c r="N1781" s="2163"/>
      <c r="O1781" s="382" t="s">
        <v>41</v>
      </c>
      <c r="P1781" s="383" t="s">
        <v>65</v>
      </c>
      <c r="Q1781" s="384" t="s">
        <v>66</v>
      </c>
      <c r="R1781" s="383" t="s">
        <v>67</v>
      </c>
      <c r="S1781" s="385" t="s">
        <v>59</v>
      </c>
      <c r="T1781" s="387" t="s">
        <v>68</v>
      </c>
      <c r="U1781" s="375" t="s">
        <v>14</v>
      </c>
      <c r="V1781" s="375" t="s">
        <v>14</v>
      </c>
      <c r="W1781" s="376" t="s">
        <v>30</v>
      </c>
      <c r="X1781" s="388" t="s">
        <v>69</v>
      </c>
      <c r="Y1781" s="388" t="s">
        <v>70</v>
      </c>
      <c r="Z1781" s="377" t="s">
        <v>71</v>
      </c>
      <c r="AA1781" s="377" t="s">
        <v>72</v>
      </c>
      <c r="AB1781" s="378" t="s">
        <v>59</v>
      </c>
    </row>
    <row r="1782" spans="1:28" s="352" customFormat="1" ht="18" customHeight="1" x14ac:dyDescent="0.2">
      <c r="A1782" s="2692"/>
      <c r="B1782" s="390"/>
      <c r="C1782" s="2692"/>
      <c r="D1782" s="390"/>
      <c r="E1782" s="2160"/>
      <c r="F1782" s="390"/>
      <c r="G1782" s="390"/>
      <c r="H1782" s="391"/>
      <c r="I1782" s="2160"/>
      <c r="J1782" s="392"/>
      <c r="K1782" s="393"/>
      <c r="L1782" s="2681"/>
      <c r="M1782" s="2164"/>
      <c r="N1782" s="2164"/>
      <c r="O1782" s="2164" t="s">
        <v>63</v>
      </c>
      <c r="P1782" s="395"/>
      <c r="Q1782" s="396" t="s">
        <v>72</v>
      </c>
      <c r="R1782" s="397" t="s">
        <v>59</v>
      </c>
      <c r="S1782" s="398"/>
      <c r="T1782" s="397" t="s">
        <v>73</v>
      </c>
      <c r="U1782" s="398" t="s">
        <v>59</v>
      </c>
      <c r="V1782" s="399" t="s">
        <v>59</v>
      </c>
      <c r="W1782" s="400" t="s">
        <v>59</v>
      </c>
      <c r="X1782" s="401" t="s">
        <v>59</v>
      </c>
      <c r="Y1782" s="401" t="s">
        <v>59</v>
      </c>
      <c r="Z1782" s="401" t="s">
        <v>59</v>
      </c>
      <c r="AA1782" s="402"/>
      <c r="AB1782" s="403"/>
    </row>
    <row r="1783" spans="1:28" s="352" customFormat="1" ht="18" customHeight="1" x14ac:dyDescent="0.25">
      <c r="A1783" s="82">
        <v>1</v>
      </c>
      <c r="B1783" s="333">
        <v>27778</v>
      </c>
      <c r="C1783" s="41">
        <v>29</v>
      </c>
      <c r="D1783" s="41" t="s">
        <v>107</v>
      </c>
      <c r="E1783" s="41">
        <v>4</v>
      </c>
      <c r="F1783" s="1615">
        <v>0</v>
      </c>
      <c r="G1783" s="1615">
        <v>0</v>
      </c>
      <c r="H1783" s="1616">
        <v>31</v>
      </c>
      <c r="I1783" s="310">
        <f>F1783*400+G1783*100+H1783</f>
        <v>31</v>
      </c>
      <c r="J1783" s="310">
        <v>3000</v>
      </c>
      <c r="K1783" s="310">
        <f>SUM(I1783*J1783)</f>
        <v>93000</v>
      </c>
      <c r="L1783" s="16"/>
      <c r="M1783" s="82"/>
      <c r="N1783" s="41"/>
      <c r="O1783" s="16">
        <v>4</v>
      </c>
      <c r="P1783" s="404"/>
      <c r="Q1783" s="14"/>
      <c r="R1783" s="302"/>
      <c r="S1783" s="302"/>
      <c r="T1783" s="41"/>
      <c r="U1783" s="302"/>
      <c r="V1783" s="302"/>
      <c r="W1783" s="302">
        <f>K1783+V1783</f>
        <v>93000</v>
      </c>
      <c r="X1783" s="302">
        <f>W1783</f>
        <v>93000</v>
      </c>
      <c r="Y1783" s="310"/>
      <c r="Z1783" s="310">
        <f>+X1783</f>
        <v>93000</v>
      </c>
      <c r="AA1783" s="405">
        <v>0.6</v>
      </c>
      <c r="AB1783" s="465">
        <f>+Z1783*AA1783/100</f>
        <v>558</v>
      </c>
    </row>
    <row r="1784" spans="1:28" s="510" customFormat="1" ht="15" customHeight="1" x14ac:dyDescent="0.25">
      <c r="A1784" s="15">
        <v>2</v>
      </c>
      <c r="B1784" s="273">
        <v>27774</v>
      </c>
      <c r="C1784" s="27">
        <v>25</v>
      </c>
      <c r="D1784" s="27"/>
      <c r="E1784" s="27"/>
      <c r="F1784" s="1649">
        <v>0</v>
      </c>
      <c r="G1784" s="1649">
        <v>1</v>
      </c>
      <c r="H1784" s="1661">
        <v>11</v>
      </c>
      <c r="I1784" s="305">
        <f>F1784*400+G1784*100+H1784</f>
        <v>111</v>
      </c>
      <c r="J1784" s="305">
        <v>3000</v>
      </c>
      <c r="K1784" s="305">
        <f>SUM(I1784*J1784)</f>
        <v>333000</v>
      </c>
      <c r="L1784" s="45"/>
      <c r="M1784" s="88"/>
      <c r="N1784" s="27"/>
      <c r="O1784" s="45">
        <v>4</v>
      </c>
      <c r="P1784" s="802"/>
      <c r="Q1784" s="62"/>
      <c r="R1784" s="299"/>
      <c r="S1784" s="299"/>
      <c r="T1784" s="27"/>
      <c r="U1784" s="299"/>
      <c r="V1784" s="299"/>
      <c r="W1784" s="299">
        <f>K1784+V1784</f>
        <v>333000</v>
      </c>
      <c r="X1784" s="299">
        <f>W1784</f>
        <v>333000</v>
      </c>
      <c r="Y1784" s="305"/>
      <c r="Z1784" s="305">
        <f>+X1784</f>
        <v>333000</v>
      </c>
      <c r="AA1784" s="670">
        <v>0.6</v>
      </c>
      <c r="AB1784" s="566">
        <f>+Z1784*AA1784/100</f>
        <v>1998</v>
      </c>
    </row>
    <row r="1785" spans="1:28" s="352" customFormat="1" ht="18" customHeight="1" x14ac:dyDescent="0.2">
      <c r="A1785" s="2166"/>
      <c r="B1785" s="61"/>
      <c r="C1785" s="2166"/>
      <c r="D1785" s="2166"/>
      <c r="E1785" s="2166"/>
      <c r="F1785" s="2166"/>
      <c r="G1785" s="2166"/>
      <c r="H1785" s="407"/>
      <c r="I1785" s="77"/>
      <c r="J1785" s="2168"/>
      <c r="K1785" s="78"/>
      <c r="L1785" s="61"/>
      <c r="M1785" s="2166"/>
      <c r="N1785" s="2166"/>
      <c r="O1785" s="61"/>
      <c r="P1785" s="177"/>
      <c r="Q1785" s="196"/>
      <c r="R1785" s="408"/>
      <c r="S1785" s="77"/>
      <c r="T1785" s="2166"/>
      <c r="U1785" s="77"/>
      <c r="V1785" s="77"/>
      <c r="W1785" s="77"/>
      <c r="X1785" s="77"/>
      <c r="Y1785" s="2168"/>
      <c r="Z1785" s="77"/>
      <c r="AA1785" s="2170"/>
      <c r="AB1785" s="410"/>
    </row>
    <row r="1786" spans="1:28" s="352" customFormat="1" ht="18" customHeight="1" x14ac:dyDescent="0.2">
      <c r="A1786" s="2166"/>
      <c r="B1786" s="61"/>
      <c r="C1786" s="2166"/>
      <c r="D1786" s="2166"/>
      <c r="E1786" s="2166"/>
      <c r="F1786" s="2166"/>
      <c r="G1786" s="2166"/>
      <c r="H1786" s="407"/>
      <c r="I1786" s="77"/>
      <c r="J1786" s="2168"/>
      <c r="K1786" s="78"/>
      <c r="L1786" s="61"/>
      <c r="M1786" s="2166"/>
      <c r="N1786" s="2166"/>
      <c r="O1786" s="61"/>
      <c r="P1786" s="177"/>
      <c r="Q1786" s="196"/>
      <c r="R1786" s="408"/>
      <c r="S1786" s="77"/>
      <c r="T1786" s="2166"/>
      <c r="U1786" s="77"/>
      <c r="V1786" s="77"/>
      <c r="W1786" s="77"/>
      <c r="X1786" s="77"/>
      <c r="Y1786" s="2168"/>
      <c r="Z1786" s="77"/>
      <c r="AA1786" s="2170"/>
      <c r="AB1786" s="410"/>
    </row>
    <row r="1787" spans="1:28" s="352" customFormat="1" ht="18" customHeight="1" x14ac:dyDescent="0.2">
      <c r="A1787" s="2166"/>
      <c r="B1787" s="61"/>
      <c r="C1787" s="2166"/>
      <c r="D1787" s="2166"/>
      <c r="E1787" s="2166"/>
      <c r="F1787" s="2166"/>
      <c r="G1787" s="2166"/>
      <c r="H1787" s="407"/>
      <c r="I1787" s="77"/>
      <c r="J1787" s="2168"/>
      <c r="K1787" s="78"/>
      <c r="L1787" s="61"/>
      <c r="M1787" s="2166"/>
      <c r="N1787" s="2166"/>
      <c r="O1787" s="61"/>
      <c r="P1787" s="177"/>
      <c r="Q1787" s="196"/>
      <c r="R1787" s="408"/>
      <c r="S1787" s="77"/>
      <c r="T1787" s="2166"/>
      <c r="U1787" s="77"/>
      <c r="V1787" s="77"/>
      <c r="W1787" s="77"/>
      <c r="X1787" s="77"/>
      <c r="Y1787" s="2168"/>
      <c r="Z1787" s="77"/>
      <c r="AA1787" s="2170"/>
      <c r="AB1787" s="410"/>
    </row>
    <row r="1788" spans="1:28" s="352" customFormat="1" ht="18" customHeight="1" x14ac:dyDescent="0.2">
      <c r="A1788" s="2166"/>
      <c r="B1788" s="61"/>
      <c r="C1788" s="2166"/>
      <c r="D1788" s="2166"/>
      <c r="E1788" s="2166"/>
      <c r="F1788" s="2166"/>
      <c r="G1788" s="2166"/>
      <c r="H1788" s="407"/>
      <c r="I1788" s="77"/>
      <c r="J1788" s="2168"/>
      <c r="K1788" s="78"/>
      <c r="L1788" s="61"/>
      <c r="M1788" s="2166"/>
      <c r="N1788" s="2166"/>
      <c r="O1788" s="61"/>
      <c r="P1788" s="177"/>
      <c r="Q1788" s="196"/>
      <c r="R1788" s="408"/>
      <c r="S1788" s="77"/>
      <c r="T1788" s="2166"/>
      <c r="U1788" s="77"/>
      <c r="V1788" s="77"/>
      <c r="W1788" s="77"/>
      <c r="X1788" s="77"/>
      <c r="Y1788" s="2168"/>
      <c r="Z1788" s="77"/>
      <c r="AA1788" s="2170"/>
      <c r="AB1788" s="410"/>
    </row>
    <row r="1789" spans="1:28" s="352" customFormat="1" ht="18" customHeight="1" x14ac:dyDescent="0.2">
      <c r="A1789" s="2166"/>
      <c r="B1789" s="61"/>
      <c r="C1789" s="2166"/>
      <c r="D1789" s="2166"/>
      <c r="E1789" s="2166"/>
      <c r="F1789" s="2166"/>
      <c r="G1789" s="2166"/>
      <c r="H1789" s="407"/>
      <c r="I1789" s="77"/>
      <c r="J1789" s="2168"/>
      <c r="K1789" s="78"/>
      <c r="L1789" s="61"/>
      <c r="M1789" s="2166"/>
      <c r="N1789" s="2166"/>
      <c r="O1789" s="61"/>
      <c r="P1789" s="177"/>
      <c r="Q1789" s="196"/>
      <c r="R1789" s="408"/>
      <c r="S1789" s="77"/>
      <c r="T1789" s="2166"/>
      <c r="U1789" s="77"/>
      <c r="V1789" s="77"/>
      <c r="W1789" s="77"/>
      <c r="X1789" s="77"/>
      <c r="Y1789" s="2168"/>
      <c r="Z1789" s="77"/>
      <c r="AA1789" s="2170"/>
      <c r="AB1789" s="410"/>
    </row>
    <row r="1790" spans="1:28" s="352" customFormat="1" ht="18" customHeight="1" x14ac:dyDescent="0.2">
      <c r="A1790" s="88"/>
      <c r="B1790" s="75"/>
      <c r="C1790" s="88"/>
      <c r="D1790" s="88"/>
      <c r="E1790" s="2166"/>
      <c r="F1790" s="411"/>
      <c r="G1790" s="242"/>
      <c r="H1790" s="412"/>
      <c r="I1790" s="159"/>
      <c r="J1790" s="121"/>
      <c r="K1790" s="159"/>
      <c r="L1790" s="75"/>
      <c r="M1790" s="88"/>
      <c r="N1790" s="88"/>
      <c r="O1790" s="75"/>
      <c r="P1790" s="180"/>
      <c r="Q1790" s="174"/>
      <c r="R1790" s="413"/>
      <c r="S1790" s="74"/>
      <c r="T1790" s="88"/>
      <c r="U1790" s="74"/>
      <c r="V1790" s="74"/>
      <c r="W1790" s="74"/>
      <c r="X1790" s="74"/>
      <c r="Y1790" s="121"/>
      <c r="Z1790" s="74"/>
      <c r="AA1790" s="414"/>
      <c r="AB1790" s="415"/>
    </row>
    <row r="1791" spans="1:28" s="352" customFormat="1" ht="18" customHeight="1" x14ac:dyDescent="0.2">
      <c r="A1791" s="88"/>
      <c r="B1791" s="75"/>
      <c r="C1791" s="88"/>
      <c r="D1791" s="231"/>
      <c r="E1791" s="2166"/>
      <c r="F1791" s="411"/>
      <c r="G1791" s="242"/>
      <c r="H1791" s="412"/>
      <c r="I1791" s="159"/>
      <c r="J1791" s="121"/>
      <c r="K1791" s="159"/>
      <c r="L1791" s="75"/>
      <c r="M1791" s="88"/>
      <c r="N1791" s="88"/>
      <c r="O1791" s="75"/>
      <c r="P1791" s="180"/>
      <c r="Q1791" s="174"/>
      <c r="R1791" s="413"/>
      <c r="S1791" s="74"/>
      <c r="T1791" s="88"/>
      <c r="U1791" s="74"/>
      <c r="V1791" s="74"/>
      <c r="W1791" s="74"/>
      <c r="X1791" s="74"/>
      <c r="Y1791" s="121"/>
      <c r="Z1791" s="74"/>
      <c r="AA1791" s="417"/>
      <c r="AB1791" s="410"/>
    </row>
    <row r="1792" spans="1:28" s="352" customFormat="1" ht="18" customHeight="1" x14ac:dyDescent="0.2">
      <c r="A1792" s="88"/>
      <c r="B1792" s="75"/>
      <c r="C1792" s="88"/>
      <c r="D1792" s="88"/>
      <c r="E1792" s="2166"/>
      <c r="F1792" s="411"/>
      <c r="G1792" s="242"/>
      <c r="H1792" s="412"/>
      <c r="I1792" s="159"/>
      <c r="J1792" s="121"/>
      <c r="K1792" s="159"/>
      <c r="L1792" s="75"/>
      <c r="M1792" s="88"/>
      <c r="N1792" s="88"/>
      <c r="O1792" s="75"/>
      <c r="P1792" s="180"/>
      <c r="Q1792" s="174"/>
      <c r="R1792" s="413"/>
      <c r="S1792" s="74"/>
      <c r="T1792" s="88"/>
      <c r="U1792" s="74"/>
      <c r="V1792" s="74"/>
      <c r="W1792" s="74"/>
      <c r="X1792" s="74"/>
      <c r="Y1792" s="121"/>
      <c r="Z1792" s="74"/>
      <c r="AA1792" s="414"/>
      <c r="AB1792" s="416"/>
    </row>
    <row r="1793" spans="1:28" s="352" customFormat="1" ht="18" customHeight="1" x14ac:dyDescent="0.2">
      <c r="A1793" s="88"/>
      <c r="B1793" s="75"/>
      <c r="C1793" s="88"/>
      <c r="D1793" s="88"/>
      <c r="E1793" s="2166"/>
      <c r="F1793" s="411"/>
      <c r="G1793" s="242"/>
      <c r="H1793" s="412"/>
      <c r="I1793" s="159"/>
      <c r="J1793" s="121"/>
      <c r="K1793" s="159"/>
      <c r="L1793" s="75"/>
      <c r="M1793" s="88"/>
      <c r="N1793" s="88"/>
      <c r="O1793" s="75"/>
      <c r="P1793" s="180"/>
      <c r="Q1793" s="174"/>
      <c r="R1793" s="413"/>
      <c r="S1793" s="74"/>
      <c r="T1793" s="88"/>
      <c r="U1793" s="74"/>
      <c r="V1793" s="74"/>
      <c r="W1793" s="74"/>
      <c r="X1793" s="74"/>
      <c r="Y1793" s="121"/>
      <c r="Z1793" s="74"/>
      <c r="AA1793" s="414"/>
      <c r="AB1793" s="416"/>
    </row>
    <row r="1794" spans="1:28" s="352" customFormat="1" ht="18" customHeight="1" x14ac:dyDescent="0.2">
      <c r="A1794" s="88"/>
      <c r="B1794" s="75"/>
      <c r="C1794" s="88"/>
      <c r="D1794" s="88"/>
      <c r="E1794" s="2166"/>
      <c r="F1794" s="411"/>
      <c r="G1794" s="242"/>
      <c r="H1794" s="412"/>
      <c r="I1794" s="159"/>
      <c r="J1794" s="121"/>
      <c r="K1794" s="159"/>
      <c r="L1794" s="75"/>
      <c r="M1794" s="88"/>
      <c r="N1794" s="88"/>
      <c r="O1794" s="75"/>
      <c r="P1794" s="180"/>
      <c r="Q1794" s="174"/>
      <c r="R1794" s="413"/>
      <c r="S1794" s="74"/>
      <c r="T1794" s="88"/>
      <c r="U1794" s="74"/>
      <c r="V1794" s="74"/>
      <c r="W1794" s="74"/>
      <c r="X1794" s="74"/>
      <c r="Y1794" s="121"/>
      <c r="Z1794" s="74"/>
      <c r="AA1794" s="414"/>
      <c r="AB1794" s="416"/>
    </row>
    <row r="1795" spans="1:28" s="352" customFormat="1" ht="18" customHeight="1" x14ac:dyDescent="0.2">
      <c r="A1795" s="88"/>
      <c r="B1795" s="75"/>
      <c r="C1795" s="88"/>
      <c r="D1795" s="2165"/>
      <c r="E1795" s="2166"/>
      <c r="F1795" s="411"/>
      <c r="G1795" s="242"/>
      <c r="H1795" s="412"/>
      <c r="I1795" s="159"/>
      <c r="J1795" s="121"/>
      <c r="K1795" s="159"/>
      <c r="L1795" s="75"/>
      <c r="M1795" s="88"/>
      <c r="N1795" s="88"/>
      <c r="O1795" s="75"/>
      <c r="P1795" s="180"/>
      <c r="Q1795" s="174"/>
      <c r="R1795" s="413"/>
      <c r="S1795" s="74"/>
      <c r="T1795" s="88"/>
      <c r="U1795" s="74"/>
      <c r="V1795" s="74"/>
      <c r="W1795" s="74"/>
      <c r="X1795" s="74"/>
      <c r="Y1795" s="121"/>
      <c r="Z1795" s="74"/>
      <c r="AA1795" s="417"/>
      <c r="AB1795" s="410"/>
    </row>
    <row r="1796" spans="1:28" s="352" customFormat="1" ht="18" customHeight="1" x14ac:dyDescent="0.2">
      <c r="A1796" s="88"/>
      <c r="B1796" s="75"/>
      <c r="C1796" s="88"/>
      <c r="D1796" s="2165"/>
      <c r="E1796" s="2166"/>
      <c r="F1796" s="411"/>
      <c r="G1796" s="242"/>
      <c r="H1796" s="412"/>
      <c r="I1796" s="159"/>
      <c r="J1796" s="121"/>
      <c r="K1796" s="159"/>
      <c r="L1796" s="75"/>
      <c r="M1796" s="88"/>
      <c r="N1796" s="88"/>
      <c r="O1796" s="75"/>
      <c r="P1796" s="180"/>
      <c r="Q1796" s="174"/>
      <c r="R1796" s="413"/>
      <c r="S1796" s="74"/>
      <c r="T1796" s="88"/>
      <c r="U1796" s="74"/>
      <c r="V1796" s="74"/>
      <c r="W1796" s="74"/>
      <c r="X1796" s="74"/>
      <c r="Y1796" s="121"/>
      <c r="Z1796" s="74"/>
      <c r="AA1796" s="414"/>
      <c r="AB1796" s="416"/>
    </row>
    <row r="1797" spans="1:28" s="352" customFormat="1" ht="18" customHeight="1" x14ac:dyDescent="0.2">
      <c r="A1797" s="88"/>
      <c r="B1797" s="418"/>
      <c r="C1797" s="88"/>
      <c r="D1797" s="88"/>
      <c r="E1797" s="88"/>
      <c r="F1797" s="411"/>
      <c r="G1797" s="242"/>
      <c r="H1797" s="412"/>
      <c r="I1797" s="159"/>
      <c r="J1797" s="121"/>
      <c r="K1797" s="159"/>
      <c r="L1797" s="75"/>
      <c r="M1797" s="88"/>
      <c r="N1797" s="88"/>
      <c r="O1797" s="75"/>
      <c r="P1797" s="180"/>
      <c r="Q1797" s="174"/>
      <c r="R1797" s="413"/>
      <c r="S1797" s="74"/>
      <c r="T1797" s="88"/>
      <c r="U1797" s="74"/>
      <c r="V1797" s="74"/>
      <c r="W1797" s="74"/>
      <c r="X1797" s="74"/>
      <c r="Y1797" s="121"/>
      <c r="Z1797" s="74"/>
      <c r="AA1797" s="414"/>
      <c r="AB1797" s="410"/>
    </row>
    <row r="1798" spans="1:28" s="352" customFormat="1" ht="18" customHeight="1" x14ac:dyDescent="0.2">
      <c r="A1798" s="1147"/>
      <c r="B1798" s="1989"/>
      <c r="C1798" s="1147"/>
      <c r="D1798" s="1147"/>
      <c r="E1798" s="1147"/>
      <c r="F1798" s="1147"/>
      <c r="G1798" s="1147"/>
      <c r="H1798" s="1990"/>
      <c r="I1798" s="1991"/>
      <c r="J1798" s="1868"/>
      <c r="K1798" s="1992"/>
      <c r="L1798" s="1989"/>
      <c r="M1798" s="1147"/>
      <c r="N1798" s="1147"/>
      <c r="O1798" s="1989"/>
      <c r="P1798" s="1867"/>
      <c r="Q1798" s="1993"/>
      <c r="R1798" s="1994"/>
      <c r="S1798" s="1991"/>
      <c r="T1798" s="1147"/>
      <c r="U1798" s="1991"/>
      <c r="V1798" s="1991"/>
      <c r="W1798" s="1991"/>
      <c r="X1798" s="1991"/>
      <c r="Y1798" s="1868"/>
      <c r="Z1798" s="1991"/>
      <c r="AA1798" s="1995"/>
      <c r="AB1798" s="1849">
        <f>SUM(AB1783:AB1797)</f>
        <v>2556</v>
      </c>
    </row>
    <row r="1799" spans="1:28" s="352" customFormat="1" ht="18" customHeight="1" x14ac:dyDescent="0.2">
      <c r="A1799" s="2788" t="s">
        <v>76</v>
      </c>
      <c r="B1799" s="2788"/>
      <c r="C1799" s="2779" t="s">
        <v>77</v>
      </c>
      <c r="D1799" s="2779"/>
      <c r="E1799" s="2779"/>
      <c r="F1799" s="2779"/>
      <c r="G1799" s="2779"/>
      <c r="H1799" s="2779"/>
      <c r="I1799" s="424" t="s">
        <v>78</v>
      </c>
      <c r="J1799" s="424"/>
      <c r="K1799" s="424"/>
      <c r="L1799" s="424"/>
      <c r="M1799" s="424"/>
      <c r="N1799" s="424"/>
      <c r="AB1799" s="425"/>
    </row>
    <row r="1800" spans="1:28" s="352" customFormat="1" ht="18" customHeight="1" x14ac:dyDescent="0.2">
      <c r="A1800" s="424"/>
      <c r="B1800" s="426"/>
      <c r="C1800" s="424"/>
      <c r="D1800" s="424"/>
      <c r="E1800" s="424"/>
      <c r="F1800" s="424"/>
      <c r="G1800" s="424"/>
      <c r="H1800" s="424"/>
      <c r="I1800" s="424" t="s">
        <v>79</v>
      </c>
      <c r="J1800" s="424"/>
      <c r="K1800" s="424"/>
      <c r="L1800" s="424"/>
      <c r="M1800" s="424"/>
      <c r="N1800" s="424"/>
      <c r="AB1800" s="425"/>
    </row>
    <row r="1801" spans="1:28" s="352" customFormat="1" ht="18" customHeight="1" x14ac:dyDescent="0.2">
      <c r="A1801" s="424"/>
      <c r="B1801" s="426"/>
      <c r="C1801" s="424"/>
      <c r="D1801" s="424"/>
      <c r="E1801" s="424"/>
      <c r="F1801" s="424"/>
      <c r="G1801" s="424"/>
      <c r="H1801" s="424"/>
      <c r="I1801" s="424" t="s">
        <v>80</v>
      </c>
      <c r="J1801" s="424"/>
      <c r="K1801" s="424"/>
      <c r="L1801" s="424"/>
      <c r="M1801" s="424"/>
      <c r="N1801" s="424"/>
      <c r="AB1801" s="425"/>
    </row>
    <row r="1802" spans="1:28" s="352" customFormat="1" ht="18" customHeight="1" x14ac:dyDescent="0.2">
      <c r="A1802" s="424"/>
      <c r="B1802" s="426"/>
      <c r="C1802" s="424"/>
      <c r="D1802" s="424"/>
      <c r="E1802" s="424"/>
      <c r="F1802" s="424"/>
      <c r="G1802" s="424"/>
      <c r="H1802" s="424"/>
      <c r="I1802" s="424" t="s">
        <v>81</v>
      </c>
      <c r="J1802" s="424"/>
      <c r="K1802" s="424"/>
      <c r="L1802" s="424"/>
      <c r="M1802" s="424"/>
      <c r="N1802" s="424"/>
      <c r="AB1802" s="425"/>
    </row>
    <row r="1803" spans="1:28" s="352" customFormat="1" ht="18" customHeight="1" x14ac:dyDescent="0.2">
      <c r="A1803" s="424"/>
      <c r="B1803" s="426"/>
      <c r="C1803" s="424"/>
      <c r="D1803" s="424"/>
      <c r="E1803" s="424"/>
      <c r="F1803" s="424"/>
      <c r="G1803" s="424"/>
      <c r="H1803" s="424"/>
      <c r="I1803" s="424" t="s">
        <v>88</v>
      </c>
      <c r="J1803" s="424"/>
      <c r="K1803" s="424"/>
      <c r="L1803" s="424"/>
      <c r="M1803" s="424"/>
      <c r="N1803" s="424"/>
      <c r="AB1803" s="425"/>
    </row>
    <row r="1804" spans="1:28" s="352" customFormat="1" ht="18" customHeight="1" x14ac:dyDescent="0.2">
      <c r="A1804" s="338"/>
      <c r="B1804" s="338"/>
      <c r="C1804" s="338"/>
      <c r="D1804" s="338"/>
      <c r="E1804" s="338"/>
      <c r="F1804" s="338"/>
      <c r="G1804" s="338"/>
      <c r="H1804" s="338"/>
      <c r="I1804" s="338"/>
      <c r="J1804" s="338"/>
      <c r="K1804" s="338"/>
      <c r="L1804" s="338"/>
      <c r="M1804" s="338"/>
      <c r="N1804" s="338"/>
      <c r="O1804" s="338"/>
      <c r="P1804" s="338"/>
      <c r="Q1804" s="338"/>
      <c r="R1804" s="338"/>
      <c r="S1804" s="338"/>
      <c r="T1804" s="338"/>
      <c r="U1804" s="338"/>
      <c r="V1804" s="338"/>
      <c r="W1804" s="338"/>
      <c r="X1804" s="338"/>
      <c r="Y1804" s="338"/>
      <c r="Z1804" s="338"/>
      <c r="AA1804" s="2774" t="s">
        <v>0</v>
      </c>
      <c r="AB1804" s="2774"/>
    </row>
    <row r="1805" spans="1:28" s="352" customFormat="1" ht="18" customHeight="1" x14ac:dyDescent="0.2">
      <c r="A1805" s="2703" t="s">
        <v>1</v>
      </c>
      <c r="B1805" s="2703"/>
      <c r="C1805" s="2703"/>
      <c r="D1805" s="2703"/>
      <c r="E1805" s="2703"/>
      <c r="F1805" s="2703"/>
      <c r="G1805" s="2703"/>
      <c r="H1805" s="2703"/>
      <c r="I1805" s="2703"/>
      <c r="J1805" s="2703"/>
      <c r="K1805" s="2703"/>
      <c r="L1805" s="2703"/>
      <c r="M1805" s="2703"/>
      <c r="N1805" s="2703"/>
      <c r="O1805" s="2703"/>
      <c r="P1805" s="2703"/>
      <c r="Q1805" s="2703"/>
      <c r="R1805" s="2703"/>
      <c r="S1805" s="2703"/>
      <c r="T1805" s="2703"/>
      <c r="U1805" s="2703"/>
      <c r="V1805" s="2703"/>
      <c r="W1805" s="2703"/>
      <c r="X1805" s="2703"/>
      <c r="Y1805" s="2703"/>
      <c r="Z1805" s="2703"/>
      <c r="AA1805" s="2703"/>
      <c r="AB1805" s="2703"/>
    </row>
    <row r="1806" spans="1:28" s="352" customFormat="1" ht="18" customHeight="1" x14ac:dyDescent="0.2">
      <c r="A1806" s="2780" t="s">
        <v>334</v>
      </c>
      <c r="B1806" s="2780"/>
      <c r="C1806" s="2780"/>
      <c r="D1806" s="2780"/>
      <c r="E1806" s="2780"/>
      <c r="F1806" s="2780"/>
      <c r="G1806" s="2780"/>
      <c r="H1806" s="2780"/>
      <c r="I1806" s="2780"/>
      <c r="J1806" s="2780"/>
      <c r="K1806" s="2780"/>
      <c r="L1806" s="2780"/>
      <c r="M1806" s="2780"/>
      <c r="N1806" s="2780"/>
      <c r="O1806" s="2780"/>
      <c r="P1806" s="2780"/>
      <c r="Q1806" s="2780"/>
      <c r="R1806" s="2780"/>
      <c r="S1806" s="2780"/>
      <c r="T1806" s="2780"/>
      <c r="U1806" s="2780"/>
      <c r="V1806" s="2780"/>
      <c r="W1806" s="2780"/>
      <c r="X1806" s="2780"/>
      <c r="Y1806" s="2780"/>
      <c r="Z1806" s="2780"/>
      <c r="AA1806" s="2780"/>
      <c r="AB1806" s="2780"/>
    </row>
    <row r="1807" spans="1:28" s="352" customFormat="1" ht="18" customHeight="1" x14ac:dyDescent="0.2">
      <c r="A1807" s="2686" t="s">
        <v>2</v>
      </c>
      <c r="B1807" s="360"/>
      <c r="C1807" s="2686" t="s">
        <v>3</v>
      </c>
      <c r="D1807" s="360"/>
      <c r="E1807" s="360"/>
      <c r="F1807" s="2693" t="s">
        <v>4</v>
      </c>
      <c r="G1807" s="2693"/>
      <c r="H1807" s="2693"/>
      <c r="I1807" s="2694"/>
      <c r="J1807" s="2694"/>
      <c r="K1807" s="2695"/>
      <c r="L1807" s="361"/>
      <c r="M1807" s="2679" t="s">
        <v>5</v>
      </c>
      <c r="N1807" s="2679"/>
      <c r="O1807" s="2679"/>
      <c r="P1807" s="2679"/>
      <c r="Q1807" s="2696"/>
      <c r="R1807" s="2696"/>
      <c r="S1807" s="2696"/>
      <c r="T1807" s="2696"/>
      <c r="U1807" s="2696"/>
      <c r="V1807" s="2697"/>
      <c r="W1807" s="362" t="s">
        <v>6</v>
      </c>
      <c r="X1807" s="363" t="s">
        <v>7</v>
      </c>
      <c r="Y1807" s="364"/>
      <c r="Z1807" s="364"/>
      <c r="AA1807" s="363"/>
      <c r="AB1807" s="365"/>
    </row>
    <row r="1808" spans="1:28" s="352" customFormat="1" ht="18" customHeight="1" x14ac:dyDescent="0.2">
      <c r="A1808" s="2687"/>
      <c r="B1808" s="367"/>
      <c r="C1808" s="2687"/>
      <c r="D1808" s="2158" t="s">
        <v>9</v>
      </c>
      <c r="E1808" s="368" t="s">
        <v>10</v>
      </c>
      <c r="F1808" s="2698" t="s">
        <v>11</v>
      </c>
      <c r="G1808" s="2694"/>
      <c r="H1808" s="2695"/>
      <c r="I1808" s="360"/>
      <c r="J1808" s="369" t="s">
        <v>12</v>
      </c>
      <c r="K1808" s="360"/>
      <c r="L1808" s="2679" t="s">
        <v>2</v>
      </c>
      <c r="M1808" s="2162"/>
      <c r="N1808" s="2162"/>
      <c r="O1808" s="2162"/>
      <c r="P1808" s="371"/>
      <c r="Q1808" s="372" t="s">
        <v>13</v>
      </c>
      <c r="R1808" s="373" t="s">
        <v>12</v>
      </c>
      <c r="S1808" s="2162" t="s">
        <v>6</v>
      </c>
      <c r="T1808" s="2682" t="s">
        <v>14</v>
      </c>
      <c r="U1808" s="2683"/>
      <c r="V1808" s="375" t="s">
        <v>7</v>
      </c>
      <c r="W1808" s="376" t="s">
        <v>15</v>
      </c>
      <c r="X1808" s="377" t="s">
        <v>16</v>
      </c>
      <c r="Y1808" s="377" t="s">
        <v>17</v>
      </c>
      <c r="Z1808" s="377" t="s">
        <v>18</v>
      </c>
      <c r="AA1808" s="377"/>
      <c r="AB1808" s="378" t="s">
        <v>19</v>
      </c>
    </row>
    <row r="1809" spans="1:28" s="352" customFormat="1" ht="18" customHeight="1" x14ac:dyDescent="0.2">
      <c r="A1809" s="2687"/>
      <c r="B1809" s="2158" t="s">
        <v>23</v>
      </c>
      <c r="C1809" s="2687"/>
      <c r="D1809" s="2158" t="s">
        <v>24</v>
      </c>
      <c r="E1809" s="368" t="s">
        <v>25</v>
      </c>
      <c r="F1809" s="2699"/>
      <c r="G1809" s="2700"/>
      <c r="H1809" s="2701"/>
      <c r="I1809" s="2158" t="s">
        <v>26</v>
      </c>
      <c r="J1809" s="379" t="s">
        <v>15</v>
      </c>
      <c r="K1809" s="2159" t="s">
        <v>6</v>
      </c>
      <c r="L1809" s="2680"/>
      <c r="M1809" s="2163" t="s">
        <v>27</v>
      </c>
      <c r="N1809" s="2163" t="s">
        <v>10</v>
      </c>
      <c r="O1809" s="382" t="s">
        <v>10</v>
      </c>
      <c r="P1809" s="383" t="s">
        <v>28</v>
      </c>
      <c r="Q1809" s="384" t="s">
        <v>29</v>
      </c>
      <c r="R1809" s="383" t="s">
        <v>15</v>
      </c>
      <c r="S1809" s="385" t="s">
        <v>15</v>
      </c>
      <c r="T1809" s="2684"/>
      <c r="U1809" s="2685"/>
      <c r="V1809" s="375" t="s">
        <v>30</v>
      </c>
      <c r="W1809" s="376" t="s">
        <v>31</v>
      </c>
      <c r="X1809" s="377" t="s">
        <v>30</v>
      </c>
      <c r="Y1809" s="377" t="s">
        <v>32</v>
      </c>
      <c r="Z1809" s="377" t="s">
        <v>7</v>
      </c>
      <c r="AA1809" s="377" t="s">
        <v>33</v>
      </c>
      <c r="AB1809" s="378" t="s">
        <v>34</v>
      </c>
    </row>
    <row r="1810" spans="1:28" s="352" customFormat="1" ht="18" customHeight="1" x14ac:dyDescent="0.2">
      <c r="A1810" s="2687"/>
      <c r="B1810" s="2158" t="s">
        <v>39</v>
      </c>
      <c r="C1810" s="2687"/>
      <c r="D1810" s="2158" t="s">
        <v>40</v>
      </c>
      <c r="E1810" s="368" t="s">
        <v>41</v>
      </c>
      <c r="F1810" s="2686" t="s">
        <v>42</v>
      </c>
      <c r="G1810" s="2686" t="s">
        <v>43</v>
      </c>
      <c r="H1810" s="2688" t="s">
        <v>44</v>
      </c>
      <c r="I1810" s="2158" t="s">
        <v>45</v>
      </c>
      <c r="J1810" s="379" t="s">
        <v>46</v>
      </c>
      <c r="K1810" s="2159" t="s">
        <v>47</v>
      </c>
      <c r="L1810" s="2680"/>
      <c r="M1810" s="2163" t="s">
        <v>30</v>
      </c>
      <c r="N1810" s="2163" t="s">
        <v>30</v>
      </c>
      <c r="O1810" s="382" t="s">
        <v>25</v>
      </c>
      <c r="P1810" s="383" t="s">
        <v>30</v>
      </c>
      <c r="Q1810" s="384" t="s">
        <v>48</v>
      </c>
      <c r="R1810" s="383" t="s">
        <v>49</v>
      </c>
      <c r="S1810" s="385" t="s">
        <v>30</v>
      </c>
      <c r="T1810" s="386" t="s">
        <v>50</v>
      </c>
      <c r="U1810" s="2161" t="s">
        <v>13</v>
      </c>
      <c r="V1810" s="375" t="s">
        <v>51</v>
      </c>
      <c r="W1810" s="376" t="s">
        <v>52</v>
      </c>
      <c r="X1810" s="377" t="s">
        <v>53</v>
      </c>
      <c r="Y1810" s="377" t="s">
        <v>54</v>
      </c>
      <c r="Z1810" s="377" t="s">
        <v>55</v>
      </c>
      <c r="AA1810" s="377" t="s">
        <v>56</v>
      </c>
      <c r="AB1810" s="378" t="s">
        <v>57</v>
      </c>
    </row>
    <row r="1811" spans="1:28" s="352" customFormat="1" ht="18" customHeight="1" x14ac:dyDescent="0.2">
      <c r="A1811" s="2687"/>
      <c r="B1811" s="2158" t="s">
        <v>61</v>
      </c>
      <c r="C1811" s="2687"/>
      <c r="D1811" s="2158" t="s">
        <v>62</v>
      </c>
      <c r="E1811" s="368" t="s">
        <v>63</v>
      </c>
      <c r="F1811" s="2687"/>
      <c r="G1811" s="2687"/>
      <c r="H1811" s="2689"/>
      <c r="I1811" s="2158" t="s">
        <v>64</v>
      </c>
      <c r="J1811" s="379" t="s">
        <v>59</v>
      </c>
      <c r="K1811" s="2159" t="s">
        <v>59</v>
      </c>
      <c r="L1811" s="2680"/>
      <c r="M1811" s="2163"/>
      <c r="N1811" s="2163"/>
      <c r="O1811" s="382" t="s">
        <v>41</v>
      </c>
      <c r="P1811" s="383" t="s">
        <v>65</v>
      </c>
      <c r="Q1811" s="384" t="s">
        <v>66</v>
      </c>
      <c r="R1811" s="383" t="s">
        <v>67</v>
      </c>
      <c r="S1811" s="385" t="s">
        <v>59</v>
      </c>
      <c r="T1811" s="387" t="s">
        <v>68</v>
      </c>
      <c r="U1811" s="375" t="s">
        <v>14</v>
      </c>
      <c r="V1811" s="375" t="s">
        <v>14</v>
      </c>
      <c r="W1811" s="376" t="s">
        <v>30</v>
      </c>
      <c r="X1811" s="388" t="s">
        <v>69</v>
      </c>
      <c r="Y1811" s="388" t="s">
        <v>70</v>
      </c>
      <c r="Z1811" s="377" t="s">
        <v>71</v>
      </c>
      <c r="AA1811" s="377" t="s">
        <v>72</v>
      </c>
      <c r="AB1811" s="378" t="s">
        <v>59</v>
      </c>
    </row>
    <row r="1812" spans="1:28" s="352" customFormat="1" ht="18" customHeight="1" x14ac:dyDescent="0.2">
      <c r="A1812" s="2692"/>
      <c r="B1812" s="390"/>
      <c r="C1812" s="2692"/>
      <c r="D1812" s="390"/>
      <c r="E1812" s="2160"/>
      <c r="F1812" s="390"/>
      <c r="G1812" s="390"/>
      <c r="H1812" s="391"/>
      <c r="I1812" s="2160"/>
      <c r="J1812" s="392"/>
      <c r="K1812" s="393"/>
      <c r="L1812" s="2681"/>
      <c r="M1812" s="2164"/>
      <c r="N1812" s="2164"/>
      <c r="O1812" s="2164" t="s">
        <v>63</v>
      </c>
      <c r="P1812" s="395"/>
      <c r="Q1812" s="396" t="s">
        <v>72</v>
      </c>
      <c r="R1812" s="397" t="s">
        <v>59</v>
      </c>
      <c r="S1812" s="398"/>
      <c r="T1812" s="397" t="s">
        <v>73</v>
      </c>
      <c r="U1812" s="398" t="s">
        <v>59</v>
      </c>
      <c r="V1812" s="399" t="s">
        <v>59</v>
      </c>
      <c r="W1812" s="400" t="s">
        <v>59</v>
      </c>
      <c r="X1812" s="401" t="s">
        <v>59</v>
      </c>
      <c r="Y1812" s="401" t="s">
        <v>59</v>
      </c>
      <c r="Z1812" s="401" t="s">
        <v>59</v>
      </c>
      <c r="AA1812" s="402"/>
      <c r="AB1812" s="403"/>
    </row>
    <row r="1813" spans="1:28" s="352" customFormat="1" ht="18" customHeight="1" x14ac:dyDescent="0.25">
      <c r="A1813" s="82">
        <v>1</v>
      </c>
      <c r="B1813" s="333">
        <v>23223</v>
      </c>
      <c r="C1813" s="41">
        <v>1068</v>
      </c>
      <c r="D1813" s="41" t="s">
        <v>107</v>
      </c>
      <c r="E1813" s="41">
        <v>4</v>
      </c>
      <c r="F1813" s="1615">
        <v>0</v>
      </c>
      <c r="G1813" s="1615">
        <v>1</v>
      </c>
      <c r="H1813" s="1616">
        <v>25</v>
      </c>
      <c r="I1813" s="302">
        <f>F1813*400+G1813*100+H1813</f>
        <v>125</v>
      </c>
      <c r="J1813" s="310">
        <v>3000</v>
      </c>
      <c r="K1813" s="303">
        <f>SUM(I1813*J1813)</f>
        <v>375000</v>
      </c>
      <c r="L1813" s="16"/>
      <c r="M1813" s="82"/>
      <c r="N1813" s="41"/>
      <c r="O1813" s="16">
        <v>4</v>
      </c>
      <c r="P1813" s="404"/>
      <c r="Q1813" s="14"/>
      <c r="R1813" s="302"/>
      <c r="S1813" s="302"/>
      <c r="T1813" s="41"/>
      <c r="U1813" s="302"/>
      <c r="V1813" s="302"/>
      <c r="W1813" s="302">
        <f>K1813+V1813</f>
        <v>375000</v>
      </c>
      <c r="X1813" s="302">
        <f>W1813</f>
        <v>375000</v>
      </c>
      <c r="Y1813" s="310"/>
      <c r="Z1813" s="302">
        <f>+X1813</f>
        <v>375000</v>
      </c>
      <c r="AA1813" s="405">
        <v>0.3</v>
      </c>
      <c r="AB1813" s="406">
        <f>+Z1813*AA1813/100</f>
        <v>1125</v>
      </c>
    </row>
    <row r="1814" spans="1:28" s="352" customFormat="1" ht="18" customHeight="1" x14ac:dyDescent="0.2">
      <c r="A1814" s="2166"/>
      <c r="B1814" s="61"/>
      <c r="C1814" s="2166"/>
      <c r="D1814" s="2166"/>
      <c r="E1814" s="2166"/>
      <c r="F1814" s="2166"/>
      <c r="G1814" s="2166"/>
      <c r="H1814" s="407"/>
      <c r="I1814" s="77"/>
      <c r="J1814" s="2168"/>
      <c r="K1814" s="78"/>
      <c r="L1814" s="61"/>
      <c r="M1814" s="2166"/>
      <c r="N1814" s="2166"/>
      <c r="O1814" s="61"/>
      <c r="P1814" s="177"/>
      <c r="Q1814" s="196"/>
      <c r="R1814" s="408"/>
      <c r="S1814" s="77"/>
      <c r="T1814" s="2166"/>
      <c r="U1814" s="77"/>
      <c r="V1814" s="77"/>
      <c r="W1814" s="77"/>
      <c r="X1814" s="77"/>
      <c r="Y1814" s="2168"/>
      <c r="Z1814" s="77"/>
      <c r="AA1814" s="2170"/>
      <c r="AB1814" s="410"/>
    </row>
    <row r="1815" spans="1:28" s="352" customFormat="1" ht="18" customHeight="1" x14ac:dyDescent="0.2">
      <c r="A1815" s="2166"/>
      <c r="B1815" s="61"/>
      <c r="C1815" s="2166"/>
      <c r="D1815" s="2166"/>
      <c r="E1815" s="2166"/>
      <c r="F1815" s="2166"/>
      <c r="G1815" s="2166"/>
      <c r="H1815" s="407"/>
      <c r="I1815" s="77"/>
      <c r="J1815" s="2168"/>
      <c r="K1815" s="78"/>
      <c r="L1815" s="61"/>
      <c r="M1815" s="2166"/>
      <c r="N1815" s="2166"/>
      <c r="O1815" s="61"/>
      <c r="P1815" s="177"/>
      <c r="Q1815" s="196"/>
      <c r="R1815" s="408"/>
      <c r="S1815" s="77"/>
      <c r="T1815" s="2166"/>
      <c r="U1815" s="77"/>
      <c r="V1815" s="77"/>
      <c r="W1815" s="77"/>
      <c r="X1815" s="77"/>
      <c r="Y1815" s="2168"/>
      <c r="Z1815" s="77"/>
      <c r="AA1815" s="2170"/>
      <c r="AB1815" s="410"/>
    </row>
    <row r="1816" spans="1:28" s="352" customFormat="1" ht="18" customHeight="1" x14ac:dyDescent="0.2">
      <c r="A1816" s="2166"/>
      <c r="B1816" s="61"/>
      <c r="C1816" s="2166"/>
      <c r="D1816" s="2166"/>
      <c r="E1816" s="2166"/>
      <c r="F1816" s="2166"/>
      <c r="G1816" s="2166"/>
      <c r="H1816" s="407"/>
      <c r="I1816" s="1315"/>
      <c r="J1816" s="2168"/>
      <c r="K1816" s="78"/>
      <c r="L1816" s="61"/>
      <c r="M1816" s="2166"/>
      <c r="N1816" s="2166"/>
      <c r="O1816" s="61"/>
      <c r="P1816" s="177"/>
      <c r="Q1816" s="196"/>
      <c r="R1816" s="408"/>
      <c r="S1816" s="77"/>
      <c r="T1816" s="2166"/>
      <c r="U1816" s="77"/>
      <c r="V1816" s="77"/>
      <c r="W1816" s="77"/>
      <c r="X1816" s="77"/>
      <c r="Y1816" s="2168"/>
      <c r="Z1816" s="77"/>
      <c r="AA1816" s="2170"/>
      <c r="AB1816" s="410"/>
    </row>
    <row r="1817" spans="1:28" s="352" customFormat="1" ht="18" customHeight="1" x14ac:dyDescent="0.2">
      <c r="A1817" s="2166"/>
      <c r="B1817" s="61"/>
      <c r="C1817" s="2166"/>
      <c r="D1817" s="2166"/>
      <c r="E1817" s="2166"/>
      <c r="F1817" s="2166"/>
      <c r="G1817" s="2166"/>
      <c r="H1817" s="407"/>
      <c r="I1817" s="77"/>
      <c r="J1817" s="2168"/>
      <c r="K1817" s="78"/>
      <c r="L1817" s="61"/>
      <c r="M1817" s="2166"/>
      <c r="N1817" s="2166"/>
      <c r="O1817" s="61"/>
      <c r="P1817" s="177"/>
      <c r="Q1817" s="196"/>
      <c r="R1817" s="408"/>
      <c r="S1817" s="77"/>
      <c r="T1817" s="2166"/>
      <c r="U1817" s="77"/>
      <c r="V1817" s="77"/>
      <c r="W1817" s="77"/>
      <c r="X1817" s="77"/>
      <c r="Y1817" s="2168"/>
      <c r="Z1817" s="77"/>
      <c r="AA1817" s="2170"/>
      <c r="AB1817" s="410"/>
    </row>
    <row r="1818" spans="1:28" s="352" customFormat="1" ht="18" customHeight="1" x14ac:dyDescent="0.2">
      <c r="A1818" s="2166"/>
      <c r="B1818" s="61"/>
      <c r="C1818" s="2166"/>
      <c r="D1818" s="2166"/>
      <c r="E1818" s="2166"/>
      <c r="F1818" s="2166"/>
      <c r="G1818" s="2166"/>
      <c r="H1818" s="407"/>
      <c r="I1818" s="77"/>
      <c r="J1818" s="2168"/>
      <c r="K1818" s="78"/>
      <c r="L1818" s="61"/>
      <c r="M1818" s="2166"/>
      <c r="N1818" s="2166"/>
      <c r="O1818" s="61"/>
      <c r="P1818" s="177"/>
      <c r="Q1818" s="196"/>
      <c r="R1818" s="408"/>
      <c r="S1818" s="77"/>
      <c r="T1818" s="2166"/>
      <c r="U1818" s="77"/>
      <c r="V1818" s="77"/>
      <c r="W1818" s="77"/>
      <c r="X1818" s="77"/>
      <c r="Y1818" s="2168"/>
      <c r="Z1818" s="77"/>
      <c r="AA1818" s="2170"/>
      <c r="AB1818" s="410"/>
    </row>
    <row r="1819" spans="1:28" s="352" customFormat="1" ht="18" customHeight="1" x14ac:dyDescent="0.2">
      <c r="A1819" s="88"/>
      <c r="B1819" s="75"/>
      <c r="C1819" s="88"/>
      <c r="D1819" s="88"/>
      <c r="E1819" s="2166"/>
      <c r="F1819" s="411"/>
      <c r="G1819" s="242"/>
      <c r="H1819" s="412"/>
      <c r="I1819" s="159"/>
      <c r="J1819" s="121"/>
      <c r="K1819" s="159"/>
      <c r="L1819" s="75"/>
      <c r="M1819" s="88"/>
      <c r="N1819" s="88"/>
      <c r="O1819" s="75"/>
      <c r="P1819" s="180"/>
      <c r="Q1819" s="174"/>
      <c r="R1819" s="413"/>
      <c r="S1819" s="74"/>
      <c r="T1819" s="88"/>
      <c r="U1819" s="74"/>
      <c r="V1819" s="74"/>
      <c r="W1819" s="74"/>
      <c r="X1819" s="74"/>
      <c r="Y1819" s="121"/>
      <c r="Z1819" s="74"/>
      <c r="AA1819" s="414"/>
      <c r="AB1819" s="415"/>
    </row>
    <row r="1820" spans="1:28" s="352" customFormat="1" ht="18" customHeight="1" x14ac:dyDescent="0.2">
      <c r="A1820" s="88"/>
      <c r="B1820" s="75"/>
      <c r="C1820" s="88"/>
      <c r="D1820" s="88"/>
      <c r="E1820" s="2166"/>
      <c r="F1820" s="411"/>
      <c r="G1820" s="242"/>
      <c r="H1820" s="412"/>
      <c r="I1820" s="159"/>
      <c r="J1820" s="121"/>
      <c r="K1820" s="159"/>
      <c r="L1820" s="75"/>
      <c r="M1820" s="88"/>
      <c r="N1820" s="88"/>
      <c r="O1820" s="75"/>
      <c r="P1820" s="180"/>
      <c r="Q1820" s="174"/>
      <c r="R1820" s="413"/>
      <c r="S1820" s="74"/>
      <c r="T1820" s="88"/>
      <c r="U1820" s="74"/>
      <c r="V1820" s="74"/>
      <c r="W1820" s="74"/>
      <c r="X1820" s="74"/>
      <c r="Y1820" s="121"/>
      <c r="Z1820" s="74"/>
      <c r="AA1820" s="414"/>
      <c r="AB1820" s="416"/>
    </row>
    <row r="1821" spans="1:28" s="352" customFormat="1" ht="18" customHeight="1" x14ac:dyDescent="0.2">
      <c r="A1821" s="88"/>
      <c r="B1821" s="75"/>
      <c r="C1821" s="88"/>
      <c r="D1821" s="88"/>
      <c r="E1821" s="2166"/>
      <c r="F1821" s="411"/>
      <c r="G1821" s="242"/>
      <c r="H1821" s="412"/>
      <c r="I1821" s="159"/>
      <c r="J1821" s="121"/>
      <c r="K1821" s="159"/>
      <c r="L1821" s="75"/>
      <c r="M1821" s="88"/>
      <c r="N1821" s="88"/>
      <c r="O1821" s="75"/>
      <c r="P1821" s="180"/>
      <c r="Q1821" s="174"/>
      <c r="R1821" s="413"/>
      <c r="S1821" s="74"/>
      <c r="T1821" s="88"/>
      <c r="U1821" s="74"/>
      <c r="V1821" s="74"/>
      <c r="W1821" s="74"/>
      <c r="X1821" s="74"/>
      <c r="Y1821" s="121"/>
      <c r="Z1821" s="74"/>
      <c r="AA1821" s="414"/>
      <c r="AB1821" s="415"/>
    </row>
    <row r="1822" spans="1:28" s="352" customFormat="1" ht="18" customHeight="1" x14ac:dyDescent="0.2">
      <c r="A1822" s="88"/>
      <c r="B1822" s="75"/>
      <c r="C1822" s="88"/>
      <c r="D1822" s="231"/>
      <c r="E1822" s="2166"/>
      <c r="F1822" s="411"/>
      <c r="G1822" s="242"/>
      <c r="H1822" s="412"/>
      <c r="I1822" s="159"/>
      <c r="J1822" s="121"/>
      <c r="K1822" s="159"/>
      <c r="L1822" s="75"/>
      <c r="M1822" s="88"/>
      <c r="N1822" s="88"/>
      <c r="O1822" s="75"/>
      <c r="P1822" s="180"/>
      <c r="Q1822" s="174"/>
      <c r="R1822" s="413"/>
      <c r="S1822" s="74"/>
      <c r="T1822" s="88"/>
      <c r="U1822" s="74"/>
      <c r="V1822" s="74"/>
      <c r="W1822" s="74"/>
      <c r="X1822" s="74"/>
      <c r="Y1822" s="121"/>
      <c r="Z1822" s="74"/>
      <c r="AA1822" s="417"/>
      <c r="AB1822" s="410"/>
    </row>
    <row r="1823" spans="1:28" s="352" customFormat="1" ht="18" customHeight="1" x14ac:dyDescent="0.2">
      <c r="A1823" s="88"/>
      <c r="B1823" s="75"/>
      <c r="C1823" s="88"/>
      <c r="D1823" s="2165"/>
      <c r="E1823" s="2166"/>
      <c r="F1823" s="411"/>
      <c r="G1823" s="242"/>
      <c r="H1823" s="412"/>
      <c r="I1823" s="159"/>
      <c r="J1823" s="121"/>
      <c r="K1823" s="159"/>
      <c r="L1823" s="75"/>
      <c r="M1823" s="88"/>
      <c r="N1823" s="88"/>
      <c r="O1823" s="75"/>
      <c r="P1823" s="180"/>
      <c r="Q1823" s="174"/>
      <c r="R1823" s="413"/>
      <c r="S1823" s="74"/>
      <c r="T1823" s="88"/>
      <c r="U1823" s="74"/>
      <c r="V1823" s="74"/>
      <c r="W1823" s="74"/>
      <c r="X1823" s="74"/>
      <c r="Y1823" s="121"/>
      <c r="Z1823" s="74"/>
      <c r="AA1823" s="414"/>
      <c r="AB1823" s="410"/>
    </row>
    <row r="1824" spans="1:28" s="352" customFormat="1" ht="18" customHeight="1" x14ac:dyDescent="0.2">
      <c r="A1824" s="88"/>
      <c r="B1824" s="75"/>
      <c r="C1824" s="88"/>
      <c r="D1824" s="2165"/>
      <c r="E1824" s="2166"/>
      <c r="F1824" s="411"/>
      <c r="G1824" s="242"/>
      <c r="H1824" s="412"/>
      <c r="I1824" s="159"/>
      <c r="J1824" s="121"/>
      <c r="K1824" s="159"/>
      <c r="L1824" s="75"/>
      <c r="M1824" s="88"/>
      <c r="N1824" s="88"/>
      <c r="O1824" s="75"/>
      <c r="P1824" s="180"/>
      <c r="Q1824" s="174"/>
      <c r="R1824" s="413"/>
      <c r="S1824" s="74"/>
      <c r="T1824" s="88"/>
      <c r="U1824" s="74"/>
      <c r="V1824" s="74"/>
      <c r="W1824" s="74"/>
      <c r="X1824" s="74"/>
      <c r="Y1824" s="121"/>
      <c r="Z1824" s="74"/>
      <c r="AA1824" s="417"/>
      <c r="AB1824" s="410"/>
    </row>
    <row r="1825" spans="1:28" s="352" customFormat="1" ht="18" customHeight="1" x14ac:dyDescent="0.2">
      <c r="A1825" s="88"/>
      <c r="B1825" s="75"/>
      <c r="C1825" s="88"/>
      <c r="D1825" s="2165"/>
      <c r="E1825" s="2166"/>
      <c r="F1825" s="411"/>
      <c r="G1825" s="242"/>
      <c r="H1825" s="412"/>
      <c r="I1825" s="159"/>
      <c r="J1825" s="121"/>
      <c r="K1825" s="159"/>
      <c r="L1825" s="75"/>
      <c r="M1825" s="88"/>
      <c r="N1825" s="88"/>
      <c r="O1825" s="75"/>
      <c r="P1825" s="180"/>
      <c r="Q1825" s="174"/>
      <c r="R1825" s="413"/>
      <c r="S1825" s="74"/>
      <c r="T1825" s="88"/>
      <c r="U1825" s="74"/>
      <c r="V1825" s="74"/>
      <c r="W1825" s="74"/>
      <c r="X1825" s="74"/>
      <c r="Y1825" s="121"/>
      <c r="Z1825" s="74"/>
      <c r="AA1825" s="414"/>
      <c r="AB1825" s="416"/>
    </row>
    <row r="1826" spans="1:28" s="352" customFormat="1" ht="18" customHeight="1" x14ac:dyDescent="0.2">
      <c r="A1826" s="88"/>
      <c r="B1826" s="418"/>
      <c r="C1826" s="88"/>
      <c r="D1826" s="88"/>
      <c r="E1826" s="88"/>
      <c r="F1826" s="411"/>
      <c r="G1826" s="242"/>
      <c r="H1826" s="412"/>
      <c r="I1826" s="159"/>
      <c r="J1826" s="121"/>
      <c r="K1826" s="159"/>
      <c r="L1826" s="75"/>
      <c r="M1826" s="88"/>
      <c r="N1826" s="88"/>
      <c r="O1826" s="75"/>
      <c r="P1826" s="180"/>
      <c r="Q1826" s="174"/>
      <c r="R1826" s="413"/>
      <c r="S1826" s="74"/>
      <c r="T1826" s="88"/>
      <c r="U1826" s="74"/>
      <c r="V1826" s="74"/>
      <c r="W1826" s="74"/>
      <c r="X1826" s="74"/>
      <c r="Y1826" s="121"/>
      <c r="Z1826" s="74"/>
      <c r="AA1826" s="414"/>
      <c r="AB1826" s="410"/>
    </row>
    <row r="1827" spans="1:28" s="352" customFormat="1" ht="18" customHeight="1" x14ac:dyDescent="0.2">
      <c r="A1827" s="1147"/>
      <c r="B1827" s="1989"/>
      <c r="C1827" s="1147"/>
      <c r="D1827" s="1147"/>
      <c r="E1827" s="1147"/>
      <c r="F1827" s="1147"/>
      <c r="G1827" s="1147"/>
      <c r="H1827" s="1990"/>
      <c r="I1827" s="1991"/>
      <c r="J1827" s="1868"/>
      <c r="K1827" s="1992"/>
      <c r="L1827" s="1989"/>
      <c r="M1827" s="1147"/>
      <c r="N1827" s="1147"/>
      <c r="O1827" s="1989"/>
      <c r="P1827" s="1867"/>
      <c r="Q1827" s="1993"/>
      <c r="R1827" s="1994"/>
      <c r="S1827" s="1991"/>
      <c r="T1827" s="1147"/>
      <c r="U1827" s="1991"/>
      <c r="V1827" s="1991"/>
      <c r="W1827" s="1991"/>
      <c r="X1827" s="1991"/>
      <c r="Y1827" s="1868"/>
      <c r="Z1827" s="1991"/>
      <c r="AA1827" s="1995"/>
      <c r="AB1827" s="1849">
        <f>SUM(AB1813:AB1826)</f>
        <v>1125</v>
      </c>
    </row>
    <row r="1828" spans="1:28" s="352" customFormat="1" ht="18" customHeight="1" x14ac:dyDescent="0.2">
      <c r="A1828" s="2788" t="s">
        <v>76</v>
      </c>
      <c r="B1828" s="2788"/>
      <c r="C1828" s="2779" t="s">
        <v>77</v>
      </c>
      <c r="D1828" s="2779"/>
      <c r="E1828" s="2779"/>
      <c r="F1828" s="2779"/>
      <c r="G1828" s="2779"/>
      <c r="H1828" s="2779"/>
      <c r="I1828" s="424" t="s">
        <v>78</v>
      </c>
      <c r="J1828" s="424"/>
      <c r="K1828" s="424"/>
      <c r="L1828" s="424"/>
      <c r="M1828" s="424"/>
      <c r="N1828" s="424"/>
      <c r="AB1828" s="425"/>
    </row>
    <row r="1829" spans="1:28" s="352" customFormat="1" ht="18" customHeight="1" x14ac:dyDescent="0.2">
      <c r="A1829" s="424"/>
      <c r="B1829" s="426"/>
      <c r="C1829" s="424"/>
      <c r="D1829" s="424"/>
      <c r="E1829" s="424"/>
      <c r="F1829" s="424"/>
      <c r="G1829" s="424"/>
      <c r="H1829" s="424"/>
      <c r="I1829" s="424" t="s">
        <v>79</v>
      </c>
      <c r="J1829" s="424"/>
      <c r="K1829" s="424"/>
      <c r="L1829" s="424"/>
      <c r="M1829" s="424"/>
      <c r="N1829" s="424"/>
      <c r="AB1829" s="425"/>
    </row>
    <row r="1830" spans="1:28" s="352" customFormat="1" ht="18" customHeight="1" x14ac:dyDescent="0.2">
      <c r="A1830" s="424"/>
      <c r="B1830" s="426"/>
      <c r="C1830" s="424"/>
      <c r="D1830" s="424"/>
      <c r="E1830" s="424"/>
      <c r="F1830" s="424"/>
      <c r="G1830" s="424"/>
      <c r="H1830" s="424"/>
      <c r="I1830" s="424" t="s">
        <v>80</v>
      </c>
      <c r="J1830" s="424"/>
      <c r="K1830" s="424"/>
      <c r="L1830" s="424"/>
      <c r="M1830" s="424"/>
      <c r="N1830" s="424"/>
      <c r="AB1830" s="425"/>
    </row>
    <row r="1831" spans="1:28" s="352" customFormat="1" ht="18" customHeight="1" x14ac:dyDescent="0.2">
      <c r="A1831" s="424"/>
      <c r="B1831" s="426"/>
      <c r="C1831" s="424"/>
      <c r="D1831" s="424"/>
      <c r="E1831" s="424"/>
      <c r="F1831" s="424"/>
      <c r="G1831" s="424"/>
      <c r="H1831" s="424"/>
      <c r="I1831" s="424" t="s">
        <v>81</v>
      </c>
      <c r="J1831" s="424"/>
      <c r="K1831" s="424"/>
      <c r="L1831" s="424"/>
      <c r="M1831" s="424"/>
      <c r="N1831" s="424"/>
      <c r="AB1831" s="425"/>
    </row>
    <row r="1832" spans="1:28" s="352" customFormat="1" ht="18" customHeight="1" x14ac:dyDescent="0.2">
      <c r="A1832" s="424"/>
      <c r="B1832" s="426"/>
      <c r="C1832" s="424"/>
      <c r="D1832" s="424"/>
      <c r="E1832" s="424"/>
      <c r="F1832" s="424"/>
      <c r="G1832" s="424"/>
      <c r="H1832" s="424"/>
      <c r="I1832" s="424" t="s">
        <v>88</v>
      </c>
      <c r="J1832" s="424"/>
      <c r="K1832" s="424"/>
      <c r="L1832" s="424"/>
      <c r="M1832" s="424"/>
      <c r="N1832" s="424"/>
      <c r="AB1832" s="425"/>
    </row>
    <row r="1833" spans="1:28" s="352" customFormat="1" ht="18" customHeight="1" x14ac:dyDescent="0.2">
      <c r="A1833" s="338"/>
      <c r="B1833" s="338"/>
      <c r="C1833" s="338"/>
      <c r="D1833" s="338"/>
      <c r="E1833" s="338"/>
      <c r="F1833" s="338"/>
      <c r="G1833" s="338"/>
      <c r="H1833" s="338"/>
      <c r="I1833" s="338"/>
      <c r="J1833" s="338"/>
      <c r="K1833" s="338"/>
      <c r="L1833" s="338"/>
      <c r="M1833" s="338"/>
      <c r="N1833" s="338"/>
      <c r="O1833" s="338"/>
      <c r="P1833" s="338"/>
      <c r="Q1833" s="338"/>
      <c r="R1833" s="338"/>
      <c r="S1833" s="338"/>
      <c r="T1833" s="338"/>
      <c r="U1833" s="338"/>
      <c r="V1833" s="338"/>
      <c r="W1833" s="338"/>
      <c r="X1833" s="338"/>
      <c r="Y1833" s="338"/>
      <c r="Z1833" s="338"/>
      <c r="AA1833" s="2774" t="s">
        <v>0</v>
      </c>
      <c r="AB1833" s="2774"/>
    </row>
    <row r="1834" spans="1:28" s="352" customFormat="1" ht="18" customHeight="1" x14ac:dyDescent="0.2">
      <c r="A1834" s="2703" t="s">
        <v>1</v>
      </c>
      <c r="B1834" s="2703"/>
      <c r="C1834" s="2703"/>
      <c r="D1834" s="2703"/>
      <c r="E1834" s="2703"/>
      <c r="F1834" s="2703"/>
      <c r="G1834" s="2703"/>
      <c r="H1834" s="2703"/>
      <c r="I1834" s="2703"/>
      <c r="J1834" s="2703"/>
      <c r="K1834" s="2703"/>
      <c r="L1834" s="2703"/>
      <c r="M1834" s="2703"/>
      <c r="N1834" s="2703"/>
      <c r="O1834" s="2703"/>
      <c r="P1834" s="2703"/>
      <c r="Q1834" s="2703"/>
      <c r="R1834" s="2703"/>
      <c r="S1834" s="2703"/>
      <c r="T1834" s="2703"/>
      <c r="U1834" s="2703"/>
      <c r="V1834" s="2703"/>
      <c r="W1834" s="2703"/>
      <c r="X1834" s="2703"/>
      <c r="Y1834" s="2703"/>
      <c r="Z1834" s="2703"/>
      <c r="AA1834" s="2703"/>
      <c r="AB1834" s="2703"/>
    </row>
    <row r="1835" spans="1:28" s="352" customFormat="1" ht="18" customHeight="1" x14ac:dyDescent="0.2">
      <c r="A1835" s="2789" t="s">
        <v>655</v>
      </c>
      <c r="B1835" s="2789"/>
      <c r="C1835" s="2789"/>
      <c r="D1835" s="2789"/>
      <c r="E1835" s="2789"/>
      <c r="F1835" s="2789"/>
      <c r="G1835" s="2789"/>
      <c r="H1835" s="2789"/>
      <c r="I1835" s="2789"/>
      <c r="J1835" s="2789"/>
      <c r="K1835" s="2789"/>
      <c r="L1835" s="2789"/>
      <c r="M1835" s="2789"/>
      <c r="N1835" s="2789"/>
      <c r="O1835" s="2789"/>
      <c r="P1835" s="2789"/>
      <c r="Q1835" s="2789"/>
      <c r="R1835" s="2789"/>
      <c r="S1835" s="2789"/>
      <c r="T1835" s="2789"/>
      <c r="U1835" s="2789"/>
      <c r="V1835" s="2789"/>
      <c r="W1835" s="2789"/>
      <c r="X1835" s="2789"/>
      <c r="Y1835" s="2789"/>
      <c r="Z1835" s="2789"/>
      <c r="AA1835" s="2789"/>
      <c r="AB1835" s="2789"/>
    </row>
    <row r="1836" spans="1:28" s="352" customFormat="1" ht="18" customHeight="1" x14ac:dyDescent="0.2">
      <c r="A1836" s="2686" t="s">
        <v>2</v>
      </c>
      <c r="B1836" s="360"/>
      <c r="C1836" s="2686" t="s">
        <v>3</v>
      </c>
      <c r="D1836" s="360"/>
      <c r="E1836" s="360"/>
      <c r="F1836" s="2693" t="s">
        <v>4</v>
      </c>
      <c r="G1836" s="2693"/>
      <c r="H1836" s="2693"/>
      <c r="I1836" s="2694"/>
      <c r="J1836" s="2694"/>
      <c r="K1836" s="2695"/>
      <c r="L1836" s="361"/>
      <c r="M1836" s="2679" t="s">
        <v>5</v>
      </c>
      <c r="N1836" s="2679"/>
      <c r="O1836" s="2679"/>
      <c r="P1836" s="2679"/>
      <c r="Q1836" s="2696"/>
      <c r="R1836" s="2696"/>
      <c r="S1836" s="2696"/>
      <c r="T1836" s="2696"/>
      <c r="U1836" s="2696"/>
      <c r="V1836" s="2697"/>
      <c r="W1836" s="362" t="s">
        <v>6</v>
      </c>
      <c r="X1836" s="363" t="s">
        <v>7</v>
      </c>
      <c r="Y1836" s="364"/>
      <c r="Z1836" s="364"/>
      <c r="AA1836" s="363"/>
      <c r="AB1836" s="365"/>
    </row>
    <row r="1837" spans="1:28" s="352" customFormat="1" ht="18" customHeight="1" x14ac:dyDescent="0.2">
      <c r="A1837" s="2687"/>
      <c r="B1837" s="367"/>
      <c r="C1837" s="2687"/>
      <c r="D1837" s="2158" t="s">
        <v>9</v>
      </c>
      <c r="E1837" s="368" t="s">
        <v>10</v>
      </c>
      <c r="F1837" s="2698" t="s">
        <v>11</v>
      </c>
      <c r="G1837" s="2694"/>
      <c r="H1837" s="2695"/>
      <c r="I1837" s="360"/>
      <c r="J1837" s="369" t="s">
        <v>12</v>
      </c>
      <c r="K1837" s="360"/>
      <c r="L1837" s="2679" t="s">
        <v>2</v>
      </c>
      <c r="M1837" s="2162"/>
      <c r="N1837" s="2162"/>
      <c r="O1837" s="2162"/>
      <c r="P1837" s="371"/>
      <c r="Q1837" s="372" t="s">
        <v>13</v>
      </c>
      <c r="R1837" s="373" t="s">
        <v>12</v>
      </c>
      <c r="S1837" s="2162" t="s">
        <v>6</v>
      </c>
      <c r="T1837" s="2682" t="s">
        <v>14</v>
      </c>
      <c r="U1837" s="2683"/>
      <c r="V1837" s="375" t="s">
        <v>7</v>
      </c>
      <c r="W1837" s="376" t="s">
        <v>15</v>
      </c>
      <c r="X1837" s="377" t="s">
        <v>16</v>
      </c>
      <c r="Y1837" s="377" t="s">
        <v>17</v>
      </c>
      <c r="Z1837" s="377" t="s">
        <v>18</v>
      </c>
      <c r="AA1837" s="377"/>
      <c r="AB1837" s="378" t="s">
        <v>19</v>
      </c>
    </row>
    <row r="1838" spans="1:28" s="352" customFormat="1" ht="18" customHeight="1" x14ac:dyDescent="0.2">
      <c r="A1838" s="2687"/>
      <c r="B1838" s="2158" t="s">
        <v>23</v>
      </c>
      <c r="C1838" s="2687"/>
      <c r="D1838" s="2158" t="s">
        <v>24</v>
      </c>
      <c r="E1838" s="368" t="s">
        <v>25</v>
      </c>
      <c r="F1838" s="2699"/>
      <c r="G1838" s="2700"/>
      <c r="H1838" s="2701"/>
      <c r="I1838" s="2158" t="s">
        <v>26</v>
      </c>
      <c r="J1838" s="379" t="s">
        <v>15</v>
      </c>
      <c r="K1838" s="2159" t="s">
        <v>6</v>
      </c>
      <c r="L1838" s="2680"/>
      <c r="M1838" s="2163" t="s">
        <v>27</v>
      </c>
      <c r="N1838" s="2163" t="s">
        <v>10</v>
      </c>
      <c r="O1838" s="382" t="s">
        <v>10</v>
      </c>
      <c r="P1838" s="383" t="s">
        <v>28</v>
      </c>
      <c r="Q1838" s="384" t="s">
        <v>29</v>
      </c>
      <c r="R1838" s="383" t="s">
        <v>15</v>
      </c>
      <c r="S1838" s="385" t="s">
        <v>15</v>
      </c>
      <c r="T1838" s="2684"/>
      <c r="U1838" s="2685"/>
      <c r="V1838" s="375" t="s">
        <v>30</v>
      </c>
      <c r="W1838" s="376" t="s">
        <v>31</v>
      </c>
      <c r="X1838" s="377" t="s">
        <v>30</v>
      </c>
      <c r="Y1838" s="377" t="s">
        <v>32</v>
      </c>
      <c r="Z1838" s="377" t="s">
        <v>7</v>
      </c>
      <c r="AA1838" s="377" t="s">
        <v>33</v>
      </c>
      <c r="AB1838" s="378" t="s">
        <v>34</v>
      </c>
    </row>
    <row r="1839" spans="1:28" s="352" customFormat="1" ht="18" customHeight="1" x14ac:dyDescent="0.2">
      <c r="A1839" s="2687"/>
      <c r="B1839" s="2158" t="s">
        <v>39</v>
      </c>
      <c r="C1839" s="2687"/>
      <c r="D1839" s="2158" t="s">
        <v>40</v>
      </c>
      <c r="E1839" s="368" t="s">
        <v>41</v>
      </c>
      <c r="F1839" s="2686" t="s">
        <v>42</v>
      </c>
      <c r="G1839" s="2686" t="s">
        <v>43</v>
      </c>
      <c r="H1839" s="2688" t="s">
        <v>44</v>
      </c>
      <c r="I1839" s="2158" t="s">
        <v>45</v>
      </c>
      <c r="J1839" s="379" t="s">
        <v>46</v>
      </c>
      <c r="K1839" s="2159" t="s">
        <v>47</v>
      </c>
      <c r="L1839" s="2680"/>
      <c r="M1839" s="2163" t="s">
        <v>30</v>
      </c>
      <c r="N1839" s="2163" t="s">
        <v>30</v>
      </c>
      <c r="O1839" s="382" t="s">
        <v>25</v>
      </c>
      <c r="P1839" s="383" t="s">
        <v>30</v>
      </c>
      <c r="Q1839" s="384" t="s">
        <v>48</v>
      </c>
      <c r="R1839" s="383" t="s">
        <v>49</v>
      </c>
      <c r="S1839" s="385" t="s">
        <v>30</v>
      </c>
      <c r="T1839" s="386" t="s">
        <v>50</v>
      </c>
      <c r="U1839" s="2161" t="s">
        <v>13</v>
      </c>
      <c r="V1839" s="375" t="s">
        <v>51</v>
      </c>
      <c r="W1839" s="376" t="s">
        <v>52</v>
      </c>
      <c r="X1839" s="377" t="s">
        <v>53</v>
      </c>
      <c r="Y1839" s="377" t="s">
        <v>54</v>
      </c>
      <c r="Z1839" s="377" t="s">
        <v>55</v>
      </c>
      <c r="AA1839" s="377" t="s">
        <v>56</v>
      </c>
      <c r="AB1839" s="378" t="s">
        <v>57</v>
      </c>
    </row>
    <row r="1840" spans="1:28" s="352" customFormat="1" ht="18" customHeight="1" x14ac:dyDescent="0.2">
      <c r="A1840" s="2687"/>
      <c r="B1840" s="2158" t="s">
        <v>61</v>
      </c>
      <c r="C1840" s="2687"/>
      <c r="D1840" s="2158" t="s">
        <v>62</v>
      </c>
      <c r="E1840" s="368" t="s">
        <v>63</v>
      </c>
      <c r="F1840" s="2687"/>
      <c r="G1840" s="2687"/>
      <c r="H1840" s="2689"/>
      <c r="I1840" s="2158" t="s">
        <v>64</v>
      </c>
      <c r="J1840" s="379" t="s">
        <v>59</v>
      </c>
      <c r="K1840" s="2159" t="s">
        <v>59</v>
      </c>
      <c r="L1840" s="2680"/>
      <c r="M1840" s="2163"/>
      <c r="N1840" s="2163"/>
      <c r="O1840" s="382" t="s">
        <v>41</v>
      </c>
      <c r="P1840" s="383" t="s">
        <v>65</v>
      </c>
      <c r="Q1840" s="384" t="s">
        <v>66</v>
      </c>
      <c r="R1840" s="383" t="s">
        <v>67</v>
      </c>
      <c r="S1840" s="385" t="s">
        <v>59</v>
      </c>
      <c r="T1840" s="387" t="s">
        <v>68</v>
      </c>
      <c r="U1840" s="375" t="s">
        <v>14</v>
      </c>
      <c r="V1840" s="375" t="s">
        <v>14</v>
      </c>
      <c r="W1840" s="376" t="s">
        <v>30</v>
      </c>
      <c r="X1840" s="388" t="s">
        <v>69</v>
      </c>
      <c r="Y1840" s="388" t="s">
        <v>70</v>
      </c>
      <c r="Z1840" s="377" t="s">
        <v>71</v>
      </c>
      <c r="AA1840" s="377" t="s">
        <v>72</v>
      </c>
      <c r="AB1840" s="378" t="s">
        <v>59</v>
      </c>
    </row>
    <row r="1841" spans="1:28" s="352" customFormat="1" ht="18" customHeight="1" x14ac:dyDescent="0.2">
      <c r="A1841" s="2692"/>
      <c r="B1841" s="390"/>
      <c r="C1841" s="2692"/>
      <c r="D1841" s="390"/>
      <c r="E1841" s="2160"/>
      <c r="F1841" s="390"/>
      <c r="G1841" s="390"/>
      <c r="H1841" s="391"/>
      <c r="I1841" s="2160"/>
      <c r="J1841" s="392"/>
      <c r="K1841" s="393"/>
      <c r="L1841" s="2681"/>
      <c r="M1841" s="2164"/>
      <c r="N1841" s="2164"/>
      <c r="O1841" s="2164" t="s">
        <v>63</v>
      </c>
      <c r="P1841" s="395"/>
      <c r="Q1841" s="396" t="s">
        <v>72</v>
      </c>
      <c r="R1841" s="397" t="s">
        <v>59</v>
      </c>
      <c r="S1841" s="398"/>
      <c r="T1841" s="397" t="s">
        <v>73</v>
      </c>
      <c r="U1841" s="398" t="s">
        <v>59</v>
      </c>
      <c r="V1841" s="399" t="s">
        <v>59</v>
      </c>
      <c r="W1841" s="400" t="s">
        <v>59</v>
      </c>
      <c r="X1841" s="401" t="s">
        <v>59</v>
      </c>
      <c r="Y1841" s="401" t="s">
        <v>59</v>
      </c>
      <c r="Z1841" s="401" t="s">
        <v>59</v>
      </c>
      <c r="AA1841" s="402"/>
      <c r="AB1841" s="403"/>
    </row>
    <row r="1842" spans="1:28" s="352" customFormat="1" ht="18" customHeight="1" x14ac:dyDescent="0.2">
      <c r="A1842" s="82">
        <v>1</v>
      </c>
      <c r="B1842" s="41">
        <v>27711</v>
      </c>
      <c r="C1842" s="41">
        <v>761</v>
      </c>
      <c r="D1842" s="41" t="s">
        <v>107</v>
      </c>
      <c r="E1842" s="41">
        <v>4</v>
      </c>
      <c r="F1842" s="41">
        <v>0</v>
      </c>
      <c r="G1842" s="41">
        <v>1</v>
      </c>
      <c r="H1842" s="267">
        <v>35</v>
      </c>
      <c r="I1842" s="302">
        <f>F1842*400+G1842*100+H1842</f>
        <v>135</v>
      </c>
      <c r="J1842" s="310">
        <v>3000</v>
      </c>
      <c r="K1842" s="303">
        <f>SUM(I1842*J1842)</f>
        <v>405000</v>
      </c>
      <c r="L1842" s="16"/>
      <c r="M1842" s="82"/>
      <c r="N1842" s="41"/>
      <c r="O1842" s="16"/>
      <c r="P1842" s="404"/>
      <c r="Q1842" s="14"/>
      <c r="R1842" s="302"/>
      <c r="S1842" s="302"/>
      <c r="T1842" s="41"/>
      <c r="U1842" s="302"/>
      <c r="V1842" s="302"/>
      <c r="W1842" s="302">
        <f>K1842+V1842</f>
        <v>405000</v>
      </c>
      <c r="X1842" s="302">
        <f>W1842</f>
        <v>405000</v>
      </c>
      <c r="Y1842" s="310"/>
      <c r="Z1842" s="302">
        <f>+X1842</f>
        <v>405000</v>
      </c>
      <c r="AA1842" s="405">
        <v>0.6</v>
      </c>
      <c r="AB1842" s="406">
        <f>+Z1842*AA1842/100</f>
        <v>2430</v>
      </c>
    </row>
    <row r="1843" spans="1:28" s="352" customFormat="1" ht="18" customHeight="1" x14ac:dyDescent="0.2">
      <c r="A1843" s="2166"/>
      <c r="B1843" s="61"/>
      <c r="C1843" s="2166"/>
      <c r="D1843" s="2166"/>
      <c r="E1843" s="2166"/>
      <c r="F1843" s="2166"/>
      <c r="G1843" s="2166"/>
      <c r="H1843" s="407"/>
      <c r="I1843" s="77"/>
      <c r="J1843" s="2168"/>
      <c r="K1843" s="78"/>
      <c r="L1843" s="61"/>
      <c r="M1843" s="2166"/>
      <c r="N1843" s="2166"/>
      <c r="O1843" s="61"/>
      <c r="P1843" s="177"/>
      <c r="Q1843" s="196"/>
      <c r="R1843" s="408"/>
      <c r="S1843" s="77"/>
      <c r="T1843" s="2166"/>
      <c r="U1843" s="77"/>
      <c r="V1843" s="77"/>
      <c r="W1843" s="77"/>
      <c r="X1843" s="77"/>
      <c r="Y1843" s="2168"/>
      <c r="Z1843" s="77"/>
      <c r="AA1843" s="2170"/>
      <c r="AB1843" s="410"/>
    </row>
    <row r="1844" spans="1:28" s="352" customFormat="1" ht="18" customHeight="1" x14ac:dyDescent="0.2">
      <c r="A1844" s="2166"/>
      <c r="B1844" s="61"/>
      <c r="C1844" s="2166"/>
      <c r="D1844" s="2166"/>
      <c r="E1844" s="2166"/>
      <c r="F1844" s="2166"/>
      <c r="G1844" s="2166"/>
      <c r="H1844" s="407"/>
      <c r="I1844" s="77"/>
      <c r="J1844" s="2168"/>
      <c r="K1844" s="78"/>
      <c r="L1844" s="61"/>
      <c r="M1844" s="2166"/>
      <c r="N1844" s="2166"/>
      <c r="O1844" s="61"/>
      <c r="P1844" s="177"/>
      <c r="Q1844" s="196"/>
      <c r="R1844" s="408"/>
      <c r="S1844" s="77"/>
      <c r="T1844" s="2166"/>
      <c r="U1844" s="77"/>
      <c r="V1844" s="77"/>
      <c r="W1844" s="77"/>
      <c r="X1844" s="77"/>
      <c r="Y1844" s="2168"/>
      <c r="Z1844" s="77"/>
      <c r="AA1844" s="2170"/>
      <c r="AB1844" s="410"/>
    </row>
    <row r="1845" spans="1:28" s="352" customFormat="1" ht="18" customHeight="1" x14ac:dyDescent="0.2">
      <c r="A1845" s="2166"/>
      <c r="B1845" s="61"/>
      <c r="C1845" s="2166"/>
      <c r="D1845" s="2166"/>
      <c r="E1845" s="2166"/>
      <c r="F1845" s="2166"/>
      <c r="G1845" s="2166"/>
      <c r="H1845" s="407"/>
      <c r="I1845" s="77"/>
      <c r="J1845" s="2168"/>
      <c r="K1845" s="78"/>
      <c r="L1845" s="61"/>
      <c r="M1845" s="2166"/>
      <c r="N1845" s="2166"/>
      <c r="O1845" s="61"/>
      <c r="P1845" s="177"/>
      <c r="Q1845" s="196"/>
      <c r="R1845" s="408"/>
      <c r="S1845" s="77"/>
      <c r="T1845" s="2166"/>
      <c r="U1845" s="77"/>
      <c r="V1845" s="77"/>
      <c r="W1845" s="77"/>
      <c r="X1845" s="77"/>
      <c r="Y1845" s="2168"/>
      <c r="Z1845" s="77"/>
      <c r="AA1845" s="2170"/>
      <c r="AB1845" s="410"/>
    </row>
    <row r="1846" spans="1:28" s="352" customFormat="1" ht="18" customHeight="1" x14ac:dyDescent="0.2">
      <c r="A1846" s="2166"/>
      <c r="B1846" s="61"/>
      <c r="C1846" s="2166"/>
      <c r="D1846" s="2166"/>
      <c r="E1846" s="2166"/>
      <c r="F1846" s="2166"/>
      <c r="G1846" s="2166"/>
      <c r="H1846" s="407"/>
      <c r="I1846" s="77"/>
      <c r="J1846" s="2168"/>
      <c r="K1846" s="78"/>
      <c r="L1846" s="61"/>
      <c r="M1846" s="2166"/>
      <c r="N1846" s="2166"/>
      <c r="O1846" s="61"/>
      <c r="P1846" s="177"/>
      <c r="Q1846" s="196"/>
      <c r="R1846" s="408"/>
      <c r="S1846" s="77"/>
      <c r="T1846" s="2166"/>
      <c r="U1846" s="77"/>
      <c r="V1846" s="77"/>
      <c r="W1846" s="77"/>
      <c r="X1846" s="77"/>
      <c r="Y1846" s="2168"/>
      <c r="Z1846" s="77"/>
      <c r="AA1846" s="2170"/>
      <c r="AB1846" s="410"/>
    </row>
    <row r="1847" spans="1:28" s="352" customFormat="1" ht="18" customHeight="1" x14ac:dyDescent="0.2">
      <c r="A1847" s="2166"/>
      <c r="B1847" s="61"/>
      <c r="C1847" s="2166"/>
      <c r="D1847" s="2166"/>
      <c r="E1847" s="2166"/>
      <c r="F1847" s="2166"/>
      <c r="G1847" s="2166"/>
      <c r="H1847" s="407"/>
      <c r="I1847" s="77"/>
      <c r="J1847" s="2168"/>
      <c r="K1847" s="78"/>
      <c r="L1847" s="61"/>
      <c r="M1847" s="2166"/>
      <c r="N1847" s="2166"/>
      <c r="O1847" s="61"/>
      <c r="P1847" s="177"/>
      <c r="Q1847" s="196"/>
      <c r="R1847" s="408"/>
      <c r="S1847" s="77"/>
      <c r="T1847" s="2166"/>
      <c r="U1847" s="77"/>
      <c r="V1847" s="77"/>
      <c r="W1847" s="77"/>
      <c r="X1847" s="77"/>
      <c r="Y1847" s="2168"/>
      <c r="Z1847" s="77"/>
      <c r="AA1847" s="2170"/>
      <c r="AB1847" s="410"/>
    </row>
    <row r="1848" spans="1:28" s="352" customFormat="1" ht="18" customHeight="1" x14ac:dyDescent="0.2">
      <c r="A1848" s="2166"/>
      <c r="B1848" s="61"/>
      <c r="C1848" s="2166"/>
      <c r="D1848" s="2166"/>
      <c r="E1848" s="2166"/>
      <c r="F1848" s="2166"/>
      <c r="G1848" s="2166"/>
      <c r="H1848" s="407"/>
      <c r="I1848" s="77"/>
      <c r="J1848" s="2168"/>
      <c r="K1848" s="78"/>
      <c r="L1848" s="61"/>
      <c r="M1848" s="2166"/>
      <c r="N1848" s="2166"/>
      <c r="O1848" s="61"/>
      <c r="P1848" s="177"/>
      <c r="Q1848" s="196"/>
      <c r="R1848" s="408"/>
      <c r="S1848" s="77"/>
      <c r="T1848" s="2166"/>
      <c r="U1848" s="77"/>
      <c r="V1848" s="77"/>
      <c r="W1848" s="77"/>
      <c r="X1848" s="77"/>
      <c r="Y1848" s="2168"/>
      <c r="Z1848" s="77"/>
      <c r="AA1848" s="2170"/>
      <c r="AB1848" s="410"/>
    </row>
    <row r="1849" spans="1:28" s="352" customFormat="1" ht="18" customHeight="1" x14ac:dyDescent="0.2">
      <c r="A1849" s="88"/>
      <c r="B1849" s="75"/>
      <c r="C1849" s="88"/>
      <c r="D1849" s="88"/>
      <c r="E1849" s="2166"/>
      <c r="F1849" s="411"/>
      <c r="G1849" s="242"/>
      <c r="H1849" s="412"/>
      <c r="I1849" s="159"/>
      <c r="J1849" s="121"/>
      <c r="K1849" s="159"/>
      <c r="L1849" s="75"/>
      <c r="M1849" s="88"/>
      <c r="N1849" s="88"/>
      <c r="O1849" s="75"/>
      <c r="P1849" s="180"/>
      <c r="Q1849" s="174"/>
      <c r="R1849" s="413"/>
      <c r="S1849" s="74"/>
      <c r="T1849" s="88"/>
      <c r="U1849" s="74"/>
      <c r="V1849" s="74"/>
      <c r="W1849" s="74"/>
      <c r="X1849" s="74"/>
      <c r="Y1849" s="121"/>
      <c r="Z1849" s="74"/>
      <c r="AA1849" s="414"/>
      <c r="AB1849" s="415"/>
    </row>
    <row r="1850" spans="1:28" s="352" customFormat="1" ht="18" customHeight="1" x14ac:dyDescent="0.2">
      <c r="A1850" s="88"/>
      <c r="B1850" s="75"/>
      <c r="C1850" s="88"/>
      <c r="D1850" s="231"/>
      <c r="E1850" s="2166"/>
      <c r="F1850" s="411"/>
      <c r="G1850" s="242"/>
      <c r="H1850" s="412"/>
      <c r="I1850" s="159"/>
      <c r="J1850" s="121"/>
      <c r="K1850" s="159"/>
      <c r="L1850" s="75"/>
      <c r="M1850" s="88"/>
      <c r="N1850" s="88"/>
      <c r="O1850" s="75"/>
      <c r="P1850" s="180"/>
      <c r="Q1850" s="174"/>
      <c r="R1850" s="413"/>
      <c r="S1850" s="74"/>
      <c r="T1850" s="88"/>
      <c r="U1850" s="74"/>
      <c r="V1850" s="74"/>
      <c r="W1850" s="74"/>
      <c r="X1850" s="74"/>
      <c r="Y1850" s="121"/>
      <c r="Z1850" s="74"/>
      <c r="AA1850" s="417"/>
      <c r="AB1850" s="410"/>
    </row>
    <row r="1851" spans="1:28" s="352" customFormat="1" ht="18" customHeight="1" x14ac:dyDescent="0.2">
      <c r="A1851" s="88"/>
      <c r="B1851" s="75"/>
      <c r="C1851" s="88"/>
      <c r="D1851" s="88"/>
      <c r="E1851" s="2166"/>
      <c r="F1851" s="411"/>
      <c r="G1851" s="242"/>
      <c r="H1851" s="412"/>
      <c r="I1851" s="159"/>
      <c r="J1851" s="121"/>
      <c r="K1851" s="159"/>
      <c r="L1851" s="75"/>
      <c r="M1851" s="88"/>
      <c r="N1851" s="88"/>
      <c r="O1851" s="75"/>
      <c r="P1851" s="180"/>
      <c r="Q1851" s="174"/>
      <c r="R1851" s="413"/>
      <c r="S1851" s="74"/>
      <c r="T1851" s="88"/>
      <c r="U1851" s="74"/>
      <c r="V1851" s="74"/>
      <c r="W1851" s="74"/>
      <c r="X1851" s="74"/>
      <c r="Y1851" s="121"/>
      <c r="Z1851" s="74"/>
      <c r="AA1851" s="414"/>
      <c r="AB1851" s="416"/>
    </row>
    <row r="1852" spans="1:28" s="352" customFormat="1" ht="18" customHeight="1" x14ac:dyDescent="0.2">
      <c r="A1852" s="88"/>
      <c r="B1852" s="75"/>
      <c r="C1852" s="88"/>
      <c r="D1852" s="2165"/>
      <c r="E1852" s="2166"/>
      <c r="F1852" s="411"/>
      <c r="G1852" s="242"/>
      <c r="H1852" s="412"/>
      <c r="I1852" s="159"/>
      <c r="J1852" s="121"/>
      <c r="K1852" s="159"/>
      <c r="L1852" s="75"/>
      <c r="M1852" s="88"/>
      <c r="N1852" s="88"/>
      <c r="O1852" s="75"/>
      <c r="P1852" s="180"/>
      <c r="Q1852" s="174"/>
      <c r="R1852" s="413"/>
      <c r="S1852" s="74"/>
      <c r="T1852" s="88"/>
      <c r="U1852" s="74"/>
      <c r="V1852" s="74"/>
      <c r="W1852" s="74"/>
      <c r="X1852" s="74"/>
      <c r="Y1852" s="121"/>
      <c r="Z1852" s="74"/>
      <c r="AA1852" s="606"/>
      <c r="AB1852" s="410"/>
    </row>
    <row r="1853" spans="1:28" s="352" customFormat="1" ht="18" customHeight="1" x14ac:dyDescent="0.2">
      <c r="A1853" s="88"/>
      <c r="B1853" s="75"/>
      <c r="C1853" s="88"/>
      <c r="D1853" s="2165"/>
      <c r="E1853" s="2166"/>
      <c r="F1853" s="411"/>
      <c r="G1853" s="242"/>
      <c r="H1853" s="412"/>
      <c r="I1853" s="159"/>
      <c r="J1853" s="121"/>
      <c r="K1853" s="159"/>
      <c r="L1853" s="75"/>
      <c r="M1853" s="88"/>
      <c r="N1853" s="88"/>
      <c r="O1853" s="75"/>
      <c r="P1853" s="180"/>
      <c r="Q1853" s="174"/>
      <c r="R1853" s="413"/>
      <c r="S1853" s="74"/>
      <c r="T1853" s="88"/>
      <c r="U1853" s="74"/>
      <c r="V1853" s="74"/>
      <c r="W1853" s="74"/>
      <c r="X1853" s="74"/>
      <c r="Y1853" s="121"/>
      <c r="Z1853" s="74"/>
      <c r="AA1853" s="417"/>
      <c r="AB1853" s="410"/>
    </row>
    <row r="1854" spans="1:28" s="352" customFormat="1" ht="18" customHeight="1" x14ac:dyDescent="0.2">
      <c r="A1854" s="88"/>
      <c r="B1854" s="75"/>
      <c r="C1854" s="88"/>
      <c r="D1854" s="2165"/>
      <c r="E1854" s="2166"/>
      <c r="F1854" s="411"/>
      <c r="G1854" s="242"/>
      <c r="H1854" s="412"/>
      <c r="I1854" s="159"/>
      <c r="J1854" s="121"/>
      <c r="K1854" s="159"/>
      <c r="L1854" s="75"/>
      <c r="M1854" s="88"/>
      <c r="N1854" s="88"/>
      <c r="O1854" s="75"/>
      <c r="P1854" s="180"/>
      <c r="Q1854" s="174"/>
      <c r="R1854" s="413"/>
      <c r="S1854" s="74"/>
      <c r="T1854" s="88"/>
      <c r="U1854" s="74"/>
      <c r="V1854" s="74"/>
      <c r="W1854" s="74"/>
      <c r="X1854" s="74"/>
      <c r="Y1854" s="121"/>
      <c r="Z1854" s="74"/>
      <c r="AA1854" s="414"/>
      <c r="AB1854" s="416"/>
    </row>
    <row r="1855" spans="1:28" s="352" customFormat="1" ht="18" customHeight="1" x14ac:dyDescent="0.2">
      <c r="A1855" s="88"/>
      <c r="B1855" s="418"/>
      <c r="C1855" s="88"/>
      <c r="D1855" s="88"/>
      <c r="E1855" s="88"/>
      <c r="F1855" s="411"/>
      <c r="G1855" s="242"/>
      <c r="H1855" s="412"/>
      <c r="I1855" s="159"/>
      <c r="J1855" s="121"/>
      <c r="K1855" s="159"/>
      <c r="L1855" s="75"/>
      <c r="M1855" s="88"/>
      <c r="N1855" s="88"/>
      <c r="O1855" s="75"/>
      <c r="P1855" s="180"/>
      <c r="Q1855" s="174"/>
      <c r="R1855" s="413"/>
      <c r="S1855" s="74"/>
      <c r="T1855" s="88"/>
      <c r="U1855" s="74"/>
      <c r="V1855" s="74"/>
      <c r="W1855" s="74"/>
      <c r="X1855" s="74"/>
      <c r="Y1855" s="121"/>
      <c r="Z1855" s="74"/>
      <c r="AA1855" s="414"/>
      <c r="AB1855" s="410"/>
    </row>
    <row r="1856" spans="1:28" s="352" customFormat="1" ht="18" customHeight="1" x14ac:dyDescent="0.2">
      <c r="A1856" s="1147"/>
      <c r="B1856" s="1989"/>
      <c r="C1856" s="1147"/>
      <c r="D1856" s="1147"/>
      <c r="E1856" s="1147"/>
      <c r="F1856" s="1147"/>
      <c r="G1856" s="1147"/>
      <c r="H1856" s="1990"/>
      <c r="I1856" s="1991"/>
      <c r="J1856" s="1868"/>
      <c r="K1856" s="1992"/>
      <c r="L1856" s="1989"/>
      <c r="M1856" s="1147"/>
      <c r="N1856" s="1147"/>
      <c r="O1856" s="1989"/>
      <c r="P1856" s="1867"/>
      <c r="Q1856" s="1993"/>
      <c r="R1856" s="1994"/>
      <c r="S1856" s="1991"/>
      <c r="T1856" s="1147"/>
      <c r="U1856" s="1991"/>
      <c r="V1856" s="1991"/>
      <c r="W1856" s="1991"/>
      <c r="X1856" s="1991"/>
      <c r="Y1856" s="1868"/>
      <c r="Z1856" s="1991"/>
      <c r="AA1856" s="1995"/>
      <c r="AB1856" s="1849">
        <f>SUM(AB1842:AB1855)</f>
        <v>2430</v>
      </c>
    </row>
    <row r="1857" spans="1:28" s="352" customFormat="1" ht="18" customHeight="1" x14ac:dyDescent="0.2">
      <c r="A1857" s="2788" t="s">
        <v>76</v>
      </c>
      <c r="B1857" s="2788"/>
      <c r="C1857" s="2779" t="s">
        <v>77</v>
      </c>
      <c r="D1857" s="2779"/>
      <c r="E1857" s="2779"/>
      <c r="F1857" s="2779"/>
      <c r="G1857" s="2779"/>
      <c r="H1857" s="2779"/>
      <c r="I1857" s="424" t="s">
        <v>78</v>
      </c>
      <c r="J1857" s="424"/>
      <c r="K1857" s="424"/>
      <c r="L1857" s="424"/>
      <c r="M1857" s="424"/>
      <c r="N1857" s="424"/>
      <c r="AB1857" s="425"/>
    </row>
    <row r="1858" spans="1:28" s="352" customFormat="1" ht="18" customHeight="1" x14ac:dyDescent="0.2">
      <c r="A1858" s="424"/>
      <c r="B1858" s="426"/>
      <c r="C1858" s="424"/>
      <c r="D1858" s="424"/>
      <c r="E1858" s="424"/>
      <c r="F1858" s="424"/>
      <c r="G1858" s="424"/>
      <c r="H1858" s="424"/>
      <c r="I1858" s="424" t="s">
        <v>79</v>
      </c>
      <c r="J1858" s="424"/>
      <c r="K1858" s="424"/>
      <c r="L1858" s="424"/>
      <c r="M1858" s="424"/>
      <c r="N1858" s="424"/>
      <c r="AB1858" s="425"/>
    </row>
    <row r="1859" spans="1:28" s="352" customFormat="1" ht="18" customHeight="1" x14ac:dyDescent="0.2">
      <c r="A1859" s="424"/>
      <c r="B1859" s="426"/>
      <c r="C1859" s="424"/>
      <c r="D1859" s="424"/>
      <c r="E1859" s="424"/>
      <c r="F1859" s="424"/>
      <c r="G1859" s="424"/>
      <c r="H1859" s="424"/>
      <c r="I1859" s="424" t="s">
        <v>80</v>
      </c>
      <c r="J1859" s="424"/>
      <c r="K1859" s="424"/>
      <c r="L1859" s="424"/>
      <c r="M1859" s="424"/>
      <c r="N1859" s="424"/>
      <c r="AB1859" s="425"/>
    </row>
    <row r="1860" spans="1:28" s="352" customFormat="1" ht="18" customHeight="1" x14ac:dyDescent="0.2">
      <c r="A1860" s="424"/>
      <c r="B1860" s="426"/>
      <c r="C1860" s="424"/>
      <c r="D1860" s="424"/>
      <c r="E1860" s="424"/>
      <c r="F1860" s="424"/>
      <c r="G1860" s="424"/>
      <c r="H1860" s="424"/>
      <c r="I1860" s="424" t="s">
        <v>81</v>
      </c>
      <c r="J1860" s="424"/>
      <c r="K1860" s="424"/>
      <c r="L1860" s="424"/>
      <c r="M1860" s="424"/>
      <c r="N1860" s="424"/>
      <c r="AB1860" s="425"/>
    </row>
    <row r="1861" spans="1:28" s="352" customFormat="1" ht="18" customHeight="1" x14ac:dyDescent="0.2">
      <c r="A1861" s="424"/>
      <c r="B1861" s="426"/>
      <c r="C1861" s="424"/>
      <c r="D1861" s="424"/>
      <c r="E1861" s="424"/>
      <c r="F1861" s="424"/>
      <c r="G1861" s="424"/>
      <c r="H1861" s="424"/>
      <c r="I1861" s="424" t="s">
        <v>88</v>
      </c>
      <c r="J1861" s="424"/>
      <c r="K1861" s="424"/>
      <c r="L1861" s="424"/>
      <c r="M1861" s="424"/>
      <c r="N1861" s="424"/>
      <c r="AB1861" s="425"/>
    </row>
    <row r="1862" spans="1:28" s="352" customFormat="1" ht="18" customHeight="1" x14ac:dyDescent="0.2">
      <c r="A1862" s="338"/>
      <c r="B1862" s="338"/>
      <c r="C1862" s="338"/>
      <c r="D1862" s="338"/>
      <c r="E1862" s="338"/>
      <c r="F1862" s="338"/>
      <c r="G1862" s="338"/>
      <c r="H1862" s="338"/>
      <c r="I1862" s="338"/>
      <c r="J1862" s="338"/>
      <c r="K1862" s="338"/>
      <c r="L1862" s="338"/>
      <c r="M1862" s="338"/>
      <c r="N1862" s="338"/>
      <c r="O1862" s="338"/>
      <c r="P1862" s="338"/>
      <c r="Q1862" s="338"/>
      <c r="R1862" s="338"/>
      <c r="S1862" s="338"/>
      <c r="T1862" s="338"/>
      <c r="U1862" s="338"/>
      <c r="V1862" s="338"/>
      <c r="W1862" s="338"/>
      <c r="X1862" s="338"/>
      <c r="Y1862" s="338"/>
      <c r="Z1862" s="338"/>
      <c r="AA1862" s="2774" t="s">
        <v>0</v>
      </c>
      <c r="AB1862" s="2774"/>
    </row>
    <row r="1863" spans="1:28" s="352" customFormat="1" ht="18" customHeight="1" x14ac:dyDescent="0.2">
      <c r="A1863" s="2703" t="s">
        <v>1</v>
      </c>
      <c r="B1863" s="2703"/>
      <c r="C1863" s="2703"/>
      <c r="D1863" s="2703"/>
      <c r="E1863" s="2703"/>
      <c r="F1863" s="2703"/>
      <c r="G1863" s="2703"/>
      <c r="H1863" s="2703"/>
      <c r="I1863" s="2703"/>
      <c r="J1863" s="2703"/>
      <c r="K1863" s="2703"/>
      <c r="L1863" s="2703"/>
      <c r="M1863" s="2703"/>
      <c r="N1863" s="2703"/>
      <c r="O1863" s="2703"/>
      <c r="P1863" s="2703"/>
      <c r="Q1863" s="2703"/>
      <c r="R1863" s="2703"/>
      <c r="S1863" s="2703"/>
      <c r="T1863" s="2703"/>
      <c r="U1863" s="2703"/>
      <c r="V1863" s="2703"/>
      <c r="W1863" s="2703"/>
      <c r="X1863" s="2703"/>
      <c r="Y1863" s="2703"/>
      <c r="Z1863" s="2703"/>
      <c r="AA1863" s="2703"/>
      <c r="AB1863" s="2703"/>
    </row>
    <row r="1864" spans="1:28" s="352" customFormat="1" ht="18" customHeight="1" x14ac:dyDescent="0.2">
      <c r="A1864" s="2780" t="s">
        <v>656</v>
      </c>
      <c r="B1864" s="2780"/>
      <c r="C1864" s="2780"/>
      <c r="D1864" s="2780"/>
      <c r="E1864" s="2780"/>
      <c r="F1864" s="2780"/>
      <c r="G1864" s="2780"/>
      <c r="H1864" s="2780"/>
      <c r="I1864" s="2780"/>
      <c r="J1864" s="2780"/>
      <c r="K1864" s="2780"/>
      <c r="L1864" s="2780"/>
      <c r="M1864" s="2780"/>
      <c r="N1864" s="2780"/>
      <c r="O1864" s="2780"/>
      <c r="P1864" s="2780"/>
      <c r="Q1864" s="2780"/>
      <c r="R1864" s="2780"/>
      <c r="S1864" s="2780"/>
      <c r="T1864" s="2780"/>
      <c r="U1864" s="2780"/>
      <c r="V1864" s="2780"/>
      <c r="W1864" s="2780"/>
      <c r="X1864" s="2780"/>
      <c r="Y1864" s="2780"/>
      <c r="Z1864" s="2780"/>
      <c r="AA1864" s="2780"/>
      <c r="AB1864" s="2780"/>
    </row>
    <row r="1865" spans="1:28" s="352" customFormat="1" ht="18" customHeight="1" x14ac:dyDescent="0.2">
      <c r="A1865" s="2686" t="s">
        <v>2</v>
      </c>
      <c r="B1865" s="360"/>
      <c r="C1865" s="2686" t="s">
        <v>3</v>
      </c>
      <c r="D1865" s="360"/>
      <c r="E1865" s="360"/>
      <c r="F1865" s="2693" t="s">
        <v>4</v>
      </c>
      <c r="G1865" s="2693"/>
      <c r="H1865" s="2693"/>
      <c r="I1865" s="2694"/>
      <c r="J1865" s="2694"/>
      <c r="K1865" s="2695"/>
      <c r="L1865" s="361"/>
      <c r="M1865" s="2679" t="s">
        <v>5</v>
      </c>
      <c r="N1865" s="2679"/>
      <c r="O1865" s="2679"/>
      <c r="P1865" s="2679"/>
      <c r="Q1865" s="2696"/>
      <c r="R1865" s="2696"/>
      <c r="S1865" s="2696"/>
      <c r="T1865" s="2696"/>
      <c r="U1865" s="2696"/>
      <c r="V1865" s="2697"/>
      <c r="W1865" s="362" t="s">
        <v>6</v>
      </c>
      <c r="X1865" s="363" t="s">
        <v>7</v>
      </c>
      <c r="Y1865" s="364"/>
      <c r="Z1865" s="364"/>
      <c r="AA1865" s="363"/>
      <c r="AB1865" s="365"/>
    </row>
    <row r="1866" spans="1:28" s="352" customFormat="1" ht="18" customHeight="1" x14ac:dyDescent="0.2">
      <c r="A1866" s="2687"/>
      <c r="B1866" s="367"/>
      <c r="C1866" s="2687"/>
      <c r="D1866" s="2158" t="s">
        <v>9</v>
      </c>
      <c r="E1866" s="368" t="s">
        <v>10</v>
      </c>
      <c r="F1866" s="2698" t="s">
        <v>11</v>
      </c>
      <c r="G1866" s="2694"/>
      <c r="H1866" s="2695"/>
      <c r="I1866" s="360"/>
      <c r="J1866" s="369" t="s">
        <v>12</v>
      </c>
      <c r="K1866" s="360"/>
      <c r="L1866" s="2679" t="s">
        <v>2</v>
      </c>
      <c r="M1866" s="2162"/>
      <c r="N1866" s="2162"/>
      <c r="O1866" s="2162"/>
      <c r="P1866" s="371"/>
      <c r="Q1866" s="372" t="s">
        <v>13</v>
      </c>
      <c r="R1866" s="373" t="s">
        <v>12</v>
      </c>
      <c r="S1866" s="2162" t="s">
        <v>6</v>
      </c>
      <c r="T1866" s="2682" t="s">
        <v>14</v>
      </c>
      <c r="U1866" s="2683"/>
      <c r="V1866" s="375" t="s">
        <v>7</v>
      </c>
      <c r="W1866" s="376" t="s">
        <v>15</v>
      </c>
      <c r="X1866" s="377" t="s">
        <v>16</v>
      </c>
      <c r="Y1866" s="377" t="s">
        <v>17</v>
      </c>
      <c r="Z1866" s="377" t="s">
        <v>18</v>
      </c>
      <c r="AA1866" s="377"/>
      <c r="AB1866" s="378" t="s">
        <v>19</v>
      </c>
    </row>
    <row r="1867" spans="1:28" s="352" customFormat="1" ht="18" customHeight="1" x14ac:dyDescent="0.2">
      <c r="A1867" s="2687"/>
      <c r="B1867" s="2158" t="s">
        <v>23</v>
      </c>
      <c r="C1867" s="2687"/>
      <c r="D1867" s="2158" t="s">
        <v>24</v>
      </c>
      <c r="E1867" s="368" t="s">
        <v>25</v>
      </c>
      <c r="F1867" s="2699"/>
      <c r="G1867" s="2700"/>
      <c r="H1867" s="2701"/>
      <c r="I1867" s="2158" t="s">
        <v>26</v>
      </c>
      <c r="J1867" s="379" t="s">
        <v>15</v>
      </c>
      <c r="K1867" s="2159" t="s">
        <v>6</v>
      </c>
      <c r="L1867" s="2680"/>
      <c r="M1867" s="2163" t="s">
        <v>27</v>
      </c>
      <c r="N1867" s="2163" t="s">
        <v>10</v>
      </c>
      <c r="O1867" s="382" t="s">
        <v>10</v>
      </c>
      <c r="P1867" s="383" t="s">
        <v>28</v>
      </c>
      <c r="Q1867" s="384" t="s">
        <v>29</v>
      </c>
      <c r="R1867" s="383" t="s">
        <v>15</v>
      </c>
      <c r="S1867" s="385" t="s">
        <v>15</v>
      </c>
      <c r="T1867" s="2684"/>
      <c r="U1867" s="2685"/>
      <c r="V1867" s="375" t="s">
        <v>30</v>
      </c>
      <c r="W1867" s="376" t="s">
        <v>31</v>
      </c>
      <c r="X1867" s="377" t="s">
        <v>30</v>
      </c>
      <c r="Y1867" s="377" t="s">
        <v>32</v>
      </c>
      <c r="Z1867" s="377" t="s">
        <v>7</v>
      </c>
      <c r="AA1867" s="377" t="s">
        <v>33</v>
      </c>
      <c r="AB1867" s="378" t="s">
        <v>34</v>
      </c>
    </row>
    <row r="1868" spans="1:28" s="352" customFormat="1" ht="18" customHeight="1" x14ac:dyDescent="0.2">
      <c r="A1868" s="2687"/>
      <c r="B1868" s="2158" t="s">
        <v>39</v>
      </c>
      <c r="C1868" s="2687"/>
      <c r="D1868" s="2158" t="s">
        <v>40</v>
      </c>
      <c r="E1868" s="368" t="s">
        <v>41</v>
      </c>
      <c r="F1868" s="2686" t="s">
        <v>42</v>
      </c>
      <c r="G1868" s="2686" t="s">
        <v>43</v>
      </c>
      <c r="H1868" s="2688" t="s">
        <v>44</v>
      </c>
      <c r="I1868" s="2158" t="s">
        <v>45</v>
      </c>
      <c r="J1868" s="379" t="s">
        <v>46</v>
      </c>
      <c r="K1868" s="2159" t="s">
        <v>47</v>
      </c>
      <c r="L1868" s="2680"/>
      <c r="M1868" s="2163" t="s">
        <v>30</v>
      </c>
      <c r="N1868" s="2163" t="s">
        <v>30</v>
      </c>
      <c r="O1868" s="382" t="s">
        <v>25</v>
      </c>
      <c r="P1868" s="383" t="s">
        <v>30</v>
      </c>
      <c r="Q1868" s="384" t="s">
        <v>48</v>
      </c>
      <c r="R1868" s="383" t="s">
        <v>49</v>
      </c>
      <c r="S1868" s="385" t="s">
        <v>30</v>
      </c>
      <c r="T1868" s="386" t="s">
        <v>50</v>
      </c>
      <c r="U1868" s="2161" t="s">
        <v>13</v>
      </c>
      <c r="V1868" s="375" t="s">
        <v>51</v>
      </c>
      <c r="W1868" s="376" t="s">
        <v>52</v>
      </c>
      <c r="X1868" s="377" t="s">
        <v>53</v>
      </c>
      <c r="Y1868" s="377" t="s">
        <v>54</v>
      </c>
      <c r="Z1868" s="377" t="s">
        <v>55</v>
      </c>
      <c r="AA1868" s="377" t="s">
        <v>56</v>
      </c>
      <c r="AB1868" s="378" t="s">
        <v>57</v>
      </c>
    </row>
    <row r="1869" spans="1:28" s="352" customFormat="1" ht="18" customHeight="1" x14ac:dyDescent="0.2">
      <c r="A1869" s="2687"/>
      <c r="B1869" s="2158" t="s">
        <v>61</v>
      </c>
      <c r="C1869" s="2687"/>
      <c r="D1869" s="2158" t="s">
        <v>62</v>
      </c>
      <c r="E1869" s="368" t="s">
        <v>63</v>
      </c>
      <c r="F1869" s="2687"/>
      <c r="G1869" s="2687"/>
      <c r="H1869" s="2689"/>
      <c r="I1869" s="2158" t="s">
        <v>64</v>
      </c>
      <c r="J1869" s="379" t="s">
        <v>59</v>
      </c>
      <c r="K1869" s="2159" t="s">
        <v>59</v>
      </c>
      <c r="L1869" s="2680"/>
      <c r="M1869" s="2163"/>
      <c r="N1869" s="2163"/>
      <c r="O1869" s="382" t="s">
        <v>41</v>
      </c>
      <c r="P1869" s="383" t="s">
        <v>65</v>
      </c>
      <c r="Q1869" s="384" t="s">
        <v>66</v>
      </c>
      <c r="R1869" s="383" t="s">
        <v>67</v>
      </c>
      <c r="S1869" s="385" t="s">
        <v>59</v>
      </c>
      <c r="T1869" s="387" t="s">
        <v>68</v>
      </c>
      <c r="U1869" s="375" t="s">
        <v>14</v>
      </c>
      <c r="V1869" s="375" t="s">
        <v>14</v>
      </c>
      <c r="W1869" s="376" t="s">
        <v>30</v>
      </c>
      <c r="X1869" s="388" t="s">
        <v>69</v>
      </c>
      <c r="Y1869" s="388" t="s">
        <v>70</v>
      </c>
      <c r="Z1869" s="377" t="s">
        <v>71</v>
      </c>
      <c r="AA1869" s="377" t="s">
        <v>72</v>
      </c>
      <c r="AB1869" s="378" t="s">
        <v>59</v>
      </c>
    </row>
    <row r="1870" spans="1:28" s="352" customFormat="1" ht="18" customHeight="1" x14ac:dyDescent="0.2">
      <c r="A1870" s="2692"/>
      <c r="B1870" s="390"/>
      <c r="C1870" s="2692"/>
      <c r="D1870" s="390"/>
      <c r="E1870" s="2160"/>
      <c r="F1870" s="390"/>
      <c r="G1870" s="390"/>
      <c r="H1870" s="391"/>
      <c r="I1870" s="2160"/>
      <c r="J1870" s="392"/>
      <c r="K1870" s="393"/>
      <c r="L1870" s="2681"/>
      <c r="M1870" s="2164"/>
      <c r="N1870" s="2164"/>
      <c r="O1870" s="2164" t="s">
        <v>63</v>
      </c>
      <c r="P1870" s="395"/>
      <c r="Q1870" s="396" t="s">
        <v>72</v>
      </c>
      <c r="R1870" s="397" t="s">
        <v>59</v>
      </c>
      <c r="S1870" s="398"/>
      <c r="T1870" s="397" t="s">
        <v>73</v>
      </c>
      <c r="U1870" s="398" t="s">
        <v>59</v>
      </c>
      <c r="V1870" s="399" t="s">
        <v>59</v>
      </c>
      <c r="W1870" s="400" t="s">
        <v>59</v>
      </c>
      <c r="X1870" s="401" t="s">
        <v>59</v>
      </c>
      <c r="Y1870" s="401" t="s">
        <v>59</v>
      </c>
      <c r="Z1870" s="401" t="s">
        <v>59</v>
      </c>
      <c r="AA1870" s="402"/>
      <c r="AB1870" s="403"/>
    </row>
    <row r="1871" spans="1:28" s="352" customFormat="1" ht="18" customHeight="1" x14ac:dyDescent="0.2">
      <c r="A1871" s="82">
        <v>1</v>
      </c>
      <c r="B1871" s="41">
        <v>27714</v>
      </c>
      <c r="C1871" s="41">
        <v>7</v>
      </c>
      <c r="D1871" s="41" t="s">
        <v>107</v>
      </c>
      <c r="E1871" s="41">
        <v>4</v>
      </c>
      <c r="F1871" s="41">
        <v>0</v>
      </c>
      <c r="G1871" s="41">
        <v>1</v>
      </c>
      <c r="H1871" s="267">
        <v>25</v>
      </c>
      <c r="I1871" s="302">
        <f>F1871*400+G1871*100+H1871</f>
        <v>125</v>
      </c>
      <c r="J1871" s="310">
        <v>3000</v>
      </c>
      <c r="K1871" s="311">
        <f>SUM(I1871*J1871)</f>
        <v>375000</v>
      </c>
      <c r="L1871" s="16"/>
      <c r="M1871" s="82"/>
      <c r="N1871" s="41"/>
      <c r="O1871" s="16">
        <v>4</v>
      </c>
      <c r="P1871" s="404"/>
      <c r="Q1871" s="14"/>
      <c r="R1871" s="302"/>
      <c r="S1871" s="302"/>
      <c r="T1871" s="41"/>
      <c r="U1871" s="302"/>
      <c r="V1871" s="302"/>
      <c r="W1871" s="302">
        <f>K1871+V1871</f>
        <v>375000</v>
      </c>
      <c r="X1871" s="302">
        <f>W1871</f>
        <v>375000</v>
      </c>
      <c r="Y1871" s="310"/>
      <c r="Z1871" s="310">
        <f>+X1871</f>
        <v>375000</v>
      </c>
      <c r="AA1871" s="405">
        <v>0.6</v>
      </c>
      <c r="AB1871" s="406">
        <f>+Z1871*AA1871/100</f>
        <v>2250</v>
      </c>
    </row>
    <row r="1872" spans="1:28" s="352" customFormat="1" ht="18" customHeight="1" x14ac:dyDescent="0.2">
      <c r="A1872" s="88">
        <v>2</v>
      </c>
      <c r="B1872" s="27">
        <v>27715</v>
      </c>
      <c r="C1872" s="27">
        <v>8</v>
      </c>
      <c r="D1872" s="27"/>
      <c r="E1872" s="27">
        <v>4</v>
      </c>
      <c r="F1872" s="27">
        <v>0</v>
      </c>
      <c r="G1872" s="27">
        <v>1</v>
      </c>
      <c r="H1872" s="557">
        <v>25</v>
      </c>
      <c r="I1872" s="299">
        <f t="shared" ref="I1872:I1873" si="108">F1872*400+G1872*100+H1872</f>
        <v>125</v>
      </c>
      <c r="J1872" s="305">
        <v>3000</v>
      </c>
      <c r="K1872" s="312">
        <f t="shared" ref="K1872:K1873" si="109">SUM(I1872*J1872)</f>
        <v>375000</v>
      </c>
      <c r="L1872" s="45"/>
      <c r="M1872" s="88"/>
      <c r="N1872" s="27"/>
      <c r="O1872" s="45">
        <v>4</v>
      </c>
      <c r="P1872" s="802"/>
      <c r="Q1872" s="62"/>
      <c r="R1872" s="299"/>
      <c r="S1872" s="299"/>
      <c r="T1872" s="27"/>
      <c r="U1872" s="299"/>
      <c r="V1872" s="299"/>
      <c r="W1872" s="299">
        <f t="shared" ref="W1872:W1873" si="110">K1872+V1872</f>
        <v>375000</v>
      </c>
      <c r="X1872" s="299">
        <f t="shared" ref="X1872:X1873" si="111">W1872</f>
        <v>375000</v>
      </c>
      <c r="Y1872" s="305"/>
      <c r="Z1872" s="305">
        <f t="shared" ref="Z1872:Z1873" si="112">+X1872</f>
        <v>375000</v>
      </c>
      <c r="AA1872" s="670">
        <v>0.6</v>
      </c>
      <c r="AB1872" s="410">
        <f>+Z1872*AA1872/100</f>
        <v>2250</v>
      </c>
    </row>
    <row r="1873" spans="1:28" s="352" customFormat="1" ht="18" customHeight="1" x14ac:dyDescent="0.2">
      <c r="A1873" s="2166">
        <v>3</v>
      </c>
      <c r="B1873" s="27">
        <v>27716</v>
      </c>
      <c r="C1873" s="27">
        <v>763</v>
      </c>
      <c r="D1873" s="27"/>
      <c r="E1873" s="27">
        <v>4</v>
      </c>
      <c r="F1873" s="27">
        <v>0</v>
      </c>
      <c r="G1873" s="27">
        <v>1</v>
      </c>
      <c r="H1873" s="557">
        <v>25</v>
      </c>
      <c r="I1873" s="299">
        <f t="shared" si="108"/>
        <v>125</v>
      </c>
      <c r="J1873" s="305">
        <v>3000</v>
      </c>
      <c r="K1873" s="312">
        <f t="shared" si="109"/>
        <v>375000</v>
      </c>
      <c r="L1873" s="45"/>
      <c r="M1873" s="88"/>
      <c r="N1873" s="27"/>
      <c r="O1873" s="45">
        <v>4</v>
      </c>
      <c r="P1873" s="802"/>
      <c r="Q1873" s="62"/>
      <c r="R1873" s="299"/>
      <c r="S1873" s="299"/>
      <c r="T1873" s="27"/>
      <c r="U1873" s="299"/>
      <c r="V1873" s="299"/>
      <c r="W1873" s="299">
        <f t="shared" si="110"/>
        <v>375000</v>
      </c>
      <c r="X1873" s="299">
        <f t="shared" si="111"/>
        <v>375000</v>
      </c>
      <c r="Y1873" s="305"/>
      <c r="Z1873" s="305">
        <f t="shared" si="112"/>
        <v>375000</v>
      </c>
      <c r="AA1873" s="670">
        <v>0.6</v>
      </c>
      <c r="AB1873" s="416">
        <f>+Z1873*AA1873/100</f>
        <v>2250</v>
      </c>
    </row>
    <row r="1874" spans="1:28" s="352" customFormat="1" ht="18" customHeight="1" x14ac:dyDescent="0.2">
      <c r="A1874" s="2166"/>
      <c r="B1874" s="61"/>
      <c r="C1874" s="2166"/>
      <c r="D1874" s="2166"/>
      <c r="E1874" s="2166"/>
      <c r="F1874" s="2166"/>
      <c r="G1874" s="2166"/>
      <c r="H1874" s="407"/>
      <c r="I1874" s="77"/>
      <c r="J1874" s="2168"/>
      <c r="K1874" s="78"/>
      <c r="L1874" s="61"/>
      <c r="M1874" s="2166"/>
      <c r="N1874" s="2166"/>
      <c r="O1874" s="61"/>
      <c r="P1874" s="177"/>
      <c r="Q1874" s="196"/>
      <c r="R1874" s="408"/>
      <c r="S1874" s="77"/>
      <c r="T1874" s="2166"/>
      <c r="U1874" s="77"/>
      <c r="V1874" s="77"/>
      <c r="W1874" s="77"/>
      <c r="X1874" s="77"/>
      <c r="Y1874" s="2168"/>
      <c r="Z1874" s="77"/>
      <c r="AA1874" s="2170"/>
      <c r="AB1874" s="410"/>
    </row>
    <row r="1875" spans="1:28" s="352" customFormat="1" ht="18" customHeight="1" x14ac:dyDescent="0.2">
      <c r="A1875" s="2166"/>
      <c r="B1875" s="61"/>
      <c r="C1875" s="2166"/>
      <c r="D1875" s="2166"/>
      <c r="E1875" s="2166"/>
      <c r="F1875" s="2166"/>
      <c r="G1875" s="2166"/>
      <c r="H1875" s="407"/>
      <c r="I1875" s="77"/>
      <c r="J1875" s="2168"/>
      <c r="K1875" s="78"/>
      <c r="L1875" s="61"/>
      <c r="M1875" s="2166"/>
      <c r="N1875" s="2166"/>
      <c r="O1875" s="61"/>
      <c r="P1875" s="177"/>
      <c r="Q1875" s="196"/>
      <c r="R1875" s="408"/>
      <c r="S1875" s="77"/>
      <c r="T1875" s="2166"/>
      <c r="U1875" s="77"/>
      <c r="V1875" s="77"/>
      <c r="W1875" s="77"/>
      <c r="X1875" s="77"/>
      <c r="Y1875" s="2168"/>
      <c r="Z1875" s="77"/>
      <c r="AA1875" s="2170"/>
      <c r="AB1875" s="410"/>
    </row>
    <row r="1876" spans="1:28" s="352" customFormat="1" ht="18" customHeight="1" x14ac:dyDescent="0.2">
      <c r="A1876" s="2166"/>
      <c r="B1876" s="61"/>
      <c r="C1876" s="2166"/>
      <c r="D1876" s="2166"/>
      <c r="E1876" s="2166"/>
      <c r="F1876" s="2166"/>
      <c r="G1876" s="2166"/>
      <c r="H1876" s="407"/>
      <c r="I1876" s="77"/>
      <c r="J1876" s="2168"/>
      <c r="K1876" s="78"/>
      <c r="L1876" s="61"/>
      <c r="M1876" s="2166"/>
      <c r="N1876" s="2166"/>
      <c r="O1876" s="61"/>
      <c r="P1876" s="177"/>
      <c r="Q1876" s="196"/>
      <c r="R1876" s="408"/>
      <c r="S1876" s="77"/>
      <c r="T1876" s="2166"/>
      <c r="U1876" s="77"/>
      <c r="V1876" s="77"/>
      <c r="W1876" s="77"/>
      <c r="X1876" s="77"/>
      <c r="Y1876" s="2168"/>
      <c r="Z1876" s="77"/>
      <c r="AA1876" s="2170"/>
      <c r="AB1876" s="410"/>
    </row>
    <row r="1877" spans="1:28" s="352" customFormat="1" ht="18" customHeight="1" x14ac:dyDescent="0.2">
      <c r="A1877" s="2166"/>
      <c r="B1877" s="61"/>
      <c r="C1877" s="2166"/>
      <c r="D1877" s="2166"/>
      <c r="E1877" s="2166"/>
      <c r="F1877" s="2166"/>
      <c r="G1877" s="2166"/>
      <c r="H1877" s="407"/>
      <c r="I1877" s="77"/>
      <c r="J1877" s="2168"/>
      <c r="K1877" s="78"/>
      <c r="L1877" s="61"/>
      <c r="M1877" s="2166"/>
      <c r="N1877" s="2166"/>
      <c r="O1877" s="61"/>
      <c r="P1877" s="177"/>
      <c r="Q1877" s="196"/>
      <c r="R1877" s="408"/>
      <c r="S1877" s="77"/>
      <c r="T1877" s="2166"/>
      <c r="U1877" s="77"/>
      <c r="V1877" s="77"/>
      <c r="W1877" s="77"/>
      <c r="X1877" s="77"/>
      <c r="Y1877" s="2168"/>
      <c r="Z1877" s="77"/>
      <c r="AA1877" s="2170"/>
      <c r="AB1877" s="410"/>
    </row>
    <row r="1878" spans="1:28" s="352" customFormat="1" ht="18" customHeight="1" x14ac:dyDescent="0.2">
      <c r="A1878" s="88"/>
      <c r="B1878" s="75"/>
      <c r="C1878" s="88"/>
      <c r="D1878" s="88"/>
      <c r="E1878" s="2166"/>
      <c r="F1878" s="411"/>
      <c r="G1878" s="242"/>
      <c r="H1878" s="412"/>
      <c r="I1878" s="159"/>
      <c r="J1878" s="121"/>
      <c r="K1878" s="159"/>
      <c r="L1878" s="75"/>
      <c r="M1878" s="88"/>
      <c r="N1878" s="88"/>
      <c r="O1878" s="75"/>
      <c r="P1878" s="180"/>
      <c r="Q1878" s="174"/>
      <c r="R1878" s="413"/>
      <c r="S1878" s="74"/>
      <c r="T1878" s="88"/>
      <c r="U1878" s="74"/>
      <c r="V1878" s="74"/>
      <c r="W1878" s="74"/>
      <c r="X1878" s="74"/>
      <c r="Y1878" s="121"/>
      <c r="Z1878" s="74"/>
      <c r="AA1878" s="414"/>
      <c r="AB1878" s="415"/>
    </row>
    <row r="1879" spans="1:28" s="352" customFormat="1" ht="18" customHeight="1" x14ac:dyDescent="0.2">
      <c r="A1879" s="88"/>
      <c r="B1879" s="75"/>
      <c r="C1879" s="88"/>
      <c r="D1879" s="88"/>
      <c r="E1879" s="2166"/>
      <c r="F1879" s="411"/>
      <c r="G1879" s="242"/>
      <c r="H1879" s="412"/>
      <c r="I1879" s="159"/>
      <c r="J1879" s="121"/>
      <c r="K1879" s="159"/>
      <c r="L1879" s="75"/>
      <c r="M1879" s="88"/>
      <c r="N1879" s="88"/>
      <c r="O1879" s="75"/>
      <c r="P1879" s="180"/>
      <c r="Q1879" s="174"/>
      <c r="R1879" s="413"/>
      <c r="S1879" s="74"/>
      <c r="T1879" s="88"/>
      <c r="U1879" s="74"/>
      <c r="V1879" s="74"/>
      <c r="W1879" s="74"/>
      <c r="X1879" s="74"/>
      <c r="Y1879" s="121"/>
      <c r="Z1879" s="74"/>
      <c r="AA1879" s="414"/>
      <c r="AB1879" s="416"/>
    </row>
    <row r="1880" spans="1:28" s="352" customFormat="1" ht="18" customHeight="1" x14ac:dyDescent="0.2">
      <c r="A1880" s="88"/>
      <c r="B1880" s="75"/>
      <c r="C1880" s="88"/>
      <c r="D1880" s="88"/>
      <c r="E1880" s="2166"/>
      <c r="F1880" s="411"/>
      <c r="G1880" s="242"/>
      <c r="H1880" s="412"/>
      <c r="I1880" s="159"/>
      <c r="J1880" s="121"/>
      <c r="K1880" s="159"/>
      <c r="L1880" s="75"/>
      <c r="M1880" s="88"/>
      <c r="N1880" s="88"/>
      <c r="O1880" s="75"/>
      <c r="P1880" s="180"/>
      <c r="Q1880" s="174"/>
      <c r="R1880" s="413"/>
      <c r="S1880" s="74"/>
      <c r="T1880" s="88"/>
      <c r="U1880" s="74"/>
      <c r="V1880" s="74"/>
      <c r="W1880" s="74"/>
      <c r="X1880" s="74"/>
      <c r="Y1880" s="121"/>
      <c r="Z1880" s="74"/>
      <c r="AA1880" s="414"/>
      <c r="AB1880" s="415"/>
    </row>
    <row r="1881" spans="1:28" s="352" customFormat="1" ht="18" customHeight="1" x14ac:dyDescent="0.2">
      <c r="A1881" s="88"/>
      <c r="B1881" s="75"/>
      <c r="C1881" s="88"/>
      <c r="D1881" s="2165"/>
      <c r="E1881" s="2166"/>
      <c r="F1881" s="411"/>
      <c r="G1881" s="242"/>
      <c r="H1881" s="412"/>
      <c r="I1881" s="159"/>
      <c r="J1881" s="121"/>
      <c r="K1881" s="159"/>
      <c r="L1881" s="75"/>
      <c r="M1881" s="88"/>
      <c r="N1881" s="88"/>
      <c r="O1881" s="75"/>
      <c r="P1881" s="180"/>
      <c r="Q1881" s="174"/>
      <c r="R1881" s="413"/>
      <c r="S1881" s="74"/>
      <c r="T1881" s="88"/>
      <c r="U1881" s="74"/>
      <c r="V1881" s="74"/>
      <c r="W1881" s="74"/>
      <c r="X1881" s="74"/>
      <c r="Y1881" s="121"/>
      <c r="Z1881" s="74"/>
      <c r="AA1881" s="414"/>
      <c r="AB1881" s="410"/>
    </row>
    <row r="1882" spans="1:28" s="352" customFormat="1" ht="18" customHeight="1" x14ac:dyDescent="0.2">
      <c r="A1882" s="88"/>
      <c r="B1882" s="75"/>
      <c r="C1882" s="88"/>
      <c r="D1882" s="2165"/>
      <c r="E1882" s="2166"/>
      <c r="F1882" s="411"/>
      <c r="G1882" s="242"/>
      <c r="H1882" s="412"/>
      <c r="I1882" s="159"/>
      <c r="J1882" s="121"/>
      <c r="K1882" s="159"/>
      <c r="L1882" s="75"/>
      <c r="M1882" s="88"/>
      <c r="N1882" s="88"/>
      <c r="O1882" s="75"/>
      <c r="P1882" s="180"/>
      <c r="Q1882" s="174"/>
      <c r="R1882" s="413"/>
      <c r="S1882" s="74"/>
      <c r="T1882" s="88"/>
      <c r="U1882" s="74"/>
      <c r="V1882" s="74"/>
      <c r="W1882" s="74"/>
      <c r="X1882" s="74"/>
      <c r="Y1882" s="121"/>
      <c r="Z1882" s="74"/>
      <c r="AA1882" s="417"/>
      <c r="AB1882" s="410"/>
    </row>
    <row r="1883" spans="1:28" s="352" customFormat="1" ht="18" customHeight="1" x14ac:dyDescent="0.2">
      <c r="A1883" s="88"/>
      <c r="B1883" s="75"/>
      <c r="C1883" s="88"/>
      <c r="D1883" s="2165"/>
      <c r="E1883" s="2166"/>
      <c r="F1883" s="411"/>
      <c r="G1883" s="242"/>
      <c r="H1883" s="412"/>
      <c r="I1883" s="159"/>
      <c r="J1883" s="121"/>
      <c r="K1883" s="159"/>
      <c r="L1883" s="75"/>
      <c r="M1883" s="88"/>
      <c r="N1883" s="88"/>
      <c r="O1883" s="75"/>
      <c r="P1883" s="180"/>
      <c r="Q1883" s="174"/>
      <c r="R1883" s="413"/>
      <c r="S1883" s="74"/>
      <c r="T1883" s="88"/>
      <c r="U1883" s="74"/>
      <c r="V1883" s="74"/>
      <c r="W1883" s="74"/>
      <c r="X1883" s="74"/>
      <c r="Y1883" s="121"/>
      <c r="Z1883" s="74"/>
      <c r="AA1883" s="414"/>
      <c r="AB1883" s="416"/>
    </row>
    <row r="1884" spans="1:28" s="352" customFormat="1" ht="18" customHeight="1" x14ac:dyDescent="0.2">
      <c r="A1884" s="88"/>
      <c r="B1884" s="418"/>
      <c r="C1884" s="88"/>
      <c r="D1884" s="88"/>
      <c r="E1884" s="88"/>
      <c r="F1884" s="411"/>
      <c r="G1884" s="242"/>
      <c r="H1884" s="412"/>
      <c r="I1884" s="159"/>
      <c r="J1884" s="121"/>
      <c r="K1884" s="159"/>
      <c r="L1884" s="75"/>
      <c r="M1884" s="88"/>
      <c r="N1884" s="88"/>
      <c r="O1884" s="75"/>
      <c r="P1884" s="180"/>
      <c r="Q1884" s="174"/>
      <c r="R1884" s="413"/>
      <c r="S1884" s="74"/>
      <c r="T1884" s="88"/>
      <c r="U1884" s="74"/>
      <c r="V1884" s="74"/>
      <c r="W1884" s="74"/>
      <c r="X1884" s="74"/>
      <c r="Y1884" s="121"/>
      <c r="Z1884" s="74"/>
      <c r="AA1884" s="414"/>
      <c r="AB1884" s="410"/>
    </row>
    <row r="1885" spans="1:28" s="352" customFormat="1" ht="18" customHeight="1" x14ac:dyDescent="0.2">
      <c r="A1885" s="1147"/>
      <c r="B1885" s="1989"/>
      <c r="C1885" s="1147"/>
      <c r="D1885" s="1147"/>
      <c r="E1885" s="1147"/>
      <c r="F1885" s="1147"/>
      <c r="G1885" s="1147"/>
      <c r="H1885" s="1990"/>
      <c r="I1885" s="1991"/>
      <c r="J1885" s="1868"/>
      <c r="K1885" s="1992"/>
      <c r="L1885" s="1989"/>
      <c r="M1885" s="1147"/>
      <c r="N1885" s="1147"/>
      <c r="O1885" s="1989"/>
      <c r="P1885" s="1867"/>
      <c r="Q1885" s="1993"/>
      <c r="R1885" s="1994"/>
      <c r="S1885" s="1991"/>
      <c r="T1885" s="1147"/>
      <c r="U1885" s="1991"/>
      <c r="V1885" s="1991"/>
      <c r="W1885" s="1991"/>
      <c r="X1885" s="1991"/>
      <c r="Y1885" s="1868"/>
      <c r="Z1885" s="1991"/>
      <c r="AA1885" s="1995"/>
      <c r="AB1885" s="1849">
        <f>SUM(AB1871:AB1884)</f>
        <v>6750</v>
      </c>
    </row>
    <row r="1886" spans="1:28" s="352" customFormat="1" ht="18" customHeight="1" x14ac:dyDescent="0.2">
      <c r="A1886" s="2788" t="s">
        <v>76</v>
      </c>
      <c r="B1886" s="2788"/>
      <c r="C1886" s="2779" t="s">
        <v>77</v>
      </c>
      <c r="D1886" s="2779"/>
      <c r="E1886" s="2779"/>
      <c r="F1886" s="2779"/>
      <c r="G1886" s="2779"/>
      <c r="H1886" s="2779"/>
      <c r="I1886" s="424" t="s">
        <v>78</v>
      </c>
      <c r="J1886" s="424"/>
      <c r="K1886" s="424"/>
      <c r="L1886" s="424"/>
      <c r="M1886" s="424"/>
      <c r="N1886" s="424"/>
      <c r="AB1886" s="425"/>
    </row>
    <row r="1887" spans="1:28" s="352" customFormat="1" ht="18" customHeight="1" x14ac:dyDescent="0.2">
      <c r="A1887" s="424"/>
      <c r="B1887" s="426"/>
      <c r="C1887" s="424"/>
      <c r="D1887" s="424"/>
      <c r="E1887" s="424"/>
      <c r="F1887" s="424"/>
      <c r="G1887" s="424"/>
      <c r="H1887" s="424"/>
      <c r="I1887" s="424" t="s">
        <v>79</v>
      </c>
      <c r="J1887" s="424"/>
      <c r="K1887" s="424"/>
      <c r="L1887" s="424"/>
      <c r="M1887" s="424"/>
      <c r="N1887" s="424"/>
      <c r="AB1887" s="425"/>
    </row>
    <row r="1888" spans="1:28" s="352" customFormat="1" ht="18" customHeight="1" x14ac:dyDescent="0.2">
      <c r="A1888" s="424"/>
      <c r="B1888" s="426"/>
      <c r="C1888" s="424"/>
      <c r="D1888" s="424"/>
      <c r="E1888" s="424"/>
      <c r="F1888" s="424"/>
      <c r="G1888" s="424"/>
      <c r="H1888" s="424"/>
      <c r="I1888" s="424" t="s">
        <v>80</v>
      </c>
      <c r="J1888" s="424"/>
      <c r="K1888" s="424"/>
      <c r="L1888" s="424"/>
      <c r="M1888" s="424"/>
      <c r="N1888" s="424"/>
      <c r="AB1888" s="425"/>
    </row>
    <row r="1889" spans="1:28" s="352" customFormat="1" ht="18" customHeight="1" x14ac:dyDescent="0.2">
      <c r="A1889" s="424"/>
      <c r="B1889" s="426"/>
      <c r="C1889" s="424"/>
      <c r="D1889" s="424"/>
      <c r="E1889" s="424"/>
      <c r="F1889" s="424"/>
      <c r="G1889" s="424"/>
      <c r="H1889" s="424"/>
      <c r="I1889" s="424" t="s">
        <v>81</v>
      </c>
      <c r="J1889" s="424"/>
      <c r="K1889" s="424"/>
      <c r="L1889" s="424"/>
      <c r="M1889" s="424"/>
      <c r="N1889" s="424"/>
      <c r="AB1889" s="425"/>
    </row>
    <row r="1890" spans="1:28" s="352" customFormat="1" ht="18" customHeight="1" x14ac:dyDescent="0.2">
      <c r="A1890" s="424"/>
      <c r="B1890" s="426"/>
      <c r="C1890" s="424"/>
      <c r="D1890" s="424"/>
      <c r="E1890" s="424"/>
      <c r="F1890" s="424"/>
      <c r="G1890" s="424"/>
      <c r="H1890" s="424"/>
      <c r="I1890" s="424" t="s">
        <v>88</v>
      </c>
      <c r="J1890" s="424"/>
      <c r="K1890" s="424"/>
      <c r="L1890" s="424"/>
      <c r="M1890" s="424"/>
      <c r="N1890" s="424"/>
      <c r="AB1890" s="425"/>
    </row>
    <row r="1891" spans="1:28" s="352" customFormat="1" ht="18" customHeight="1" x14ac:dyDescent="0.2">
      <c r="A1891" s="338"/>
      <c r="B1891" s="338"/>
      <c r="C1891" s="338"/>
      <c r="D1891" s="338"/>
      <c r="E1891" s="338"/>
      <c r="F1891" s="338"/>
      <c r="G1891" s="338"/>
      <c r="H1891" s="338"/>
      <c r="I1891" s="338"/>
      <c r="J1891" s="338"/>
      <c r="K1891" s="338"/>
      <c r="L1891" s="338"/>
      <c r="M1891" s="338"/>
      <c r="N1891" s="338"/>
      <c r="O1891" s="338"/>
      <c r="P1891" s="338"/>
      <c r="Q1891" s="338"/>
      <c r="R1891" s="338"/>
      <c r="S1891" s="338"/>
      <c r="T1891" s="338"/>
      <c r="U1891" s="338"/>
      <c r="V1891" s="338"/>
      <c r="W1891" s="338"/>
      <c r="X1891" s="338"/>
      <c r="Y1891" s="338"/>
      <c r="Z1891" s="338"/>
      <c r="AA1891" s="2774" t="s">
        <v>0</v>
      </c>
      <c r="AB1891" s="2774"/>
    </row>
    <row r="1892" spans="1:28" s="352" customFormat="1" ht="18" customHeight="1" x14ac:dyDescent="0.2">
      <c r="A1892" s="2703" t="s">
        <v>1</v>
      </c>
      <c r="B1892" s="2703"/>
      <c r="C1892" s="2703"/>
      <c r="D1892" s="2703"/>
      <c r="E1892" s="2703"/>
      <c r="F1892" s="2703"/>
      <c r="G1892" s="2703"/>
      <c r="H1892" s="2703"/>
      <c r="I1892" s="2703"/>
      <c r="J1892" s="2703"/>
      <c r="K1892" s="2703"/>
      <c r="L1892" s="2703"/>
      <c r="M1892" s="2703"/>
      <c r="N1892" s="2703"/>
      <c r="O1892" s="2703"/>
      <c r="P1892" s="2703"/>
      <c r="Q1892" s="2703"/>
      <c r="R1892" s="2703"/>
      <c r="S1892" s="2703"/>
      <c r="T1892" s="2703"/>
      <c r="U1892" s="2703"/>
      <c r="V1892" s="2703"/>
      <c r="W1892" s="2703"/>
      <c r="X1892" s="2703"/>
      <c r="Y1892" s="2703"/>
      <c r="Z1892" s="2703"/>
      <c r="AA1892" s="2703"/>
      <c r="AB1892" s="2703"/>
    </row>
    <row r="1893" spans="1:28" s="352" customFormat="1" ht="18" customHeight="1" x14ac:dyDescent="0.2">
      <c r="A1893" s="2780" t="s">
        <v>657</v>
      </c>
      <c r="B1893" s="2780"/>
      <c r="C1893" s="2780"/>
      <c r="D1893" s="2780"/>
      <c r="E1893" s="2780"/>
      <c r="F1893" s="2780"/>
      <c r="G1893" s="2780"/>
      <c r="H1893" s="2780"/>
      <c r="I1893" s="2780"/>
      <c r="J1893" s="2780"/>
      <c r="K1893" s="2780"/>
      <c r="L1893" s="2780"/>
      <c r="M1893" s="2780"/>
      <c r="N1893" s="2780"/>
      <c r="O1893" s="2780"/>
      <c r="P1893" s="2780"/>
      <c r="Q1893" s="2780"/>
      <c r="R1893" s="2780"/>
      <c r="S1893" s="2780"/>
      <c r="T1893" s="2780"/>
      <c r="U1893" s="2780"/>
      <c r="V1893" s="2780"/>
      <c r="W1893" s="2780"/>
      <c r="X1893" s="2780"/>
      <c r="Y1893" s="2780"/>
      <c r="Z1893" s="2780"/>
      <c r="AA1893" s="2780"/>
      <c r="AB1893" s="2780"/>
    </row>
    <row r="1894" spans="1:28" s="352" customFormat="1" ht="18" customHeight="1" x14ac:dyDescent="0.2">
      <c r="A1894" s="2686" t="s">
        <v>2</v>
      </c>
      <c r="B1894" s="360"/>
      <c r="C1894" s="2686" t="s">
        <v>3</v>
      </c>
      <c r="D1894" s="360"/>
      <c r="E1894" s="360"/>
      <c r="F1894" s="2693" t="s">
        <v>4</v>
      </c>
      <c r="G1894" s="2693"/>
      <c r="H1894" s="2693"/>
      <c r="I1894" s="2694"/>
      <c r="J1894" s="2694"/>
      <c r="K1894" s="2695"/>
      <c r="L1894" s="361"/>
      <c r="M1894" s="2679" t="s">
        <v>5</v>
      </c>
      <c r="N1894" s="2679"/>
      <c r="O1894" s="2679"/>
      <c r="P1894" s="2679"/>
      <c r="Q1894" s="2696"/>
      <c r="R1894" s="2696"/>
      <c r="S1894" s="2696"/>
      <c r="T1894" s="2696"/>
      <c r="U1894" s="2696"/>
      <c r="V1894" s="2697"/>
      <c r="W1894" s="362" t="s">
        <v>6</v>
      </c>
      <c r="X1894" s="363" t="s">
        <v>7</v>
      </c>
      <c r="Y1894" s="364"/>
      <c r="Z1894" s="364"/>
      <c r="AA1894" s="363"/>
      <c r="AB1894" s="365"/>
    </row>
    <row r="1895" spans="1:28" s="352" customFormat="1" ht="18" customHeight="1" x14ac:dyDescent="0.2">
      <c r="A1895" s="2687"/>
      <c r="B1895" s="367"/>
      <c r="C1895" s="2687"/>
      <c r="D1895" s="2158" t="s">
        <v>9</v>
      </c>
      <c r="E1895" s="368" t="s">
        <v>10</v>
      </c>
      <c r="F1895" s="2698" t="s">
        <v>11</v>
      </c>
      <c r="G1895" s="2694"/>
      <c r="H1895" s="2695"/>
      <c r="I1895" s="360"/>
      <c r="J1895" s="369" t="s">
        <v>12</v>
      </c>
      <c r="K1895" s="360"/>
      <c r="L1895" s="2679" t="s">
        <v>2</v>
      </c>
      <c r="M1895" s="2162"/>
      <c r="N1895" s="2162"/>
      <c r="O1895" s="2162"/>
      <c r="P1895" s="371"/>
      <c r="Q1895" s="372" t="s">
        <v>13</v>
      </c>
      <c r="R1895" s="373" t="s">
        <v>12</v>
      </c>
      <c r="S1895" s="2162" t="s">
        <v>6</v>
      </c>
      <c r="T1895" s="2682" t="s">
        <v>14</v>
      </c>
      <c r="U1895" s="2683"/>
      <c r="V1895" s="375" t="s">
        <v>7</v>
      </c>
      <c r="W1895" s="376" t="s">
        <v>15</v>
      </c>
      <c r="X1895" s="377" t="s">
        <v>16</v>
      </c>
      <c r="Y1895" s="377" t="s">
        <v>17</v>
      </c>
      <c r="Z1895" s="377" t="s">
        <v>18</v>
      </c>
      <c r="AA1895" s="377"/>
      <c r="AB1895" s="378" t="s">
        <v>19</v>
      </c>
    </row>
    <row r="1896" spans="1:28" s="352" customFormat="1" ht="18" customHeight="1" x14ac:dyDescent="0.2">
      <c r="A1896" s="2687"/>
      <c r="B1896" s="2158" t="s">
        <v>23</v>
      </c>
      <c r="C1896" s="2687"/>
      <c r="D1896" s="2158" t="s">
        <v>24</v>
      </c>
      <c r="E1896" s="368" t="s">
        <v>25</v>
      </c>
      <c r="F1896" s="2699"/>
      <c r="G1896" s="2700"/>
      <c r="H1896" s="2701"/>
      <c r="I1896" s="2158" t="s">
        <v>26</v>
      </c>
      <c r="J1896" s="379" t="s">
        <v>15</v>
      </c>
      <c r="K1896" s="2159" t="s">
        <v>6</v>
      </c>
      <c r="L1896" s="2680"/>
      <c r="M1896" s="2163" t="s">
        <v>27</v>
      </c>
      <c r="N1896" s="2163" t="s">
        <v>10</v>
      </c>
      <c r="O1896" s="382" t="s">
        <v>10</v>
      </c>
      <c r="P1896" s="383" t="s">
        <v>28</v>
      </c>
      <c r="Q1896" s="384" t="s">
        <v>29</v>
      </c>
      <c r="R1896" s="383" t="s">
        <v>15</v>
      </c>
      <c r="S1896" s="385" t="s">
        <v>15</v>
      </c>
      <c r="T1896" s="2684"/>
      <c r="U1896" s="2685"/>
      <c r="V1896" s="375" t="s">
        <v>30</v>
      </c>
      <c r="W1896" s="376" t="s">
        <v>31</v>
      </c>
      <c r="X1896" s="377" t="s">
        <v>30</v>
      </c>
      <c r="Y1896" s="377" t="s">
        <v>32</v>
      </c>
      <c r="Z1896" s="377" t="s">
        <v>7</v>
      </c>
      <c r="AA1896" s="377" t="s">
        <v>33</v>
      </c>
      <c r="AB1896" s="378" t="s">
        <v>34</v>
      </c>
    </row>
    <row r="1897" spans="1:28" s="352" customFormat="1" ht="18" customHeight="1" x14ac:dyDescent="0.2">
      <c r="A1897" s="2687"/>
      <c r="B1897" s="2158" t="s">
        <v>39</v>
      </c>
      <c r="C1897" s="2687"/>
      <c r="D1897" s="2158" t="s">
        <v>40</v>
      </c>
      <c r="E1897" s="368" t="s">
        <v>41</v>
      </c>
      <c r="F1897" s="2686" t="s">
        <v>42</v>
      </c>
      <c r="G1897" s="2686" t="s">
        <v>43</v>
      </c>
      <c r="H1897" s="2688" t="s">
        <v>44</v>
      </c>
      <c r="I1897" s="2158" t="s">
        <v>45</v>
      </c>
      <c r="J1897" s="379" t="s">
        <v>46</v>
      </c>
      <c r="K1897" s="2159" t="s">
        <v>47</v>
      </c>
      <c r="L1897" s="2680"/>
      <c r="M1897" s="2163" t="s">
        <v>30</v>
      </c>
      <c r="N1897" s="2163" t="s">
        <v>30</v>
      </c>
      <c r="O1897" s="382" t="s">
        <v>25</v>
      </c>
      <c r="P1897" s="383" t="s">
        <v>30</v>
      </c>
      <c r="Q1897" s="384" t="s">
        <v>48</v>
      </c>
      <c r="R1897" s="383" t="s">
        <v>49</v>
      </c>
      <c r="S1897" s="385" t="s">
        <v>30</v>
      </c>
      <c r="T1897" s="386" t="s">
        <v>50</v>
      </c>
      <c r="U1897" s="2161" t="s">
        <v>13</v>
      </c>
      <c r="V1897" s="375" t="s">
        <v>51</v>
      </c>
      <c r="W1897" s="376" t="s">
        <v>52</v>
      </c>
      <c r="X1897" s="377" t="s">
        <v>53</v>
      </c>
      <c r="Y1897" s="377" t="s">
        <v>54</v>
      </c>
      <c r="Z1897" s="377" t="s">
        <v>55</v>
      </c>
      <c r="AA1897" s="377" t="s">
        <v>56</v>
      </c>
      <c r="AB1897" s="378" t="s">
        <v>57</v>
      </c>
    </row>
    <row r="1898" spans="1:28" s="352" customFormat="1" ht="18" customHeight="1" x14ac:dyDescent="0.2">
      <c r="A1898" s="2687"/>
      <c r="B1898" s="2158" t="s">
        <v>61</v>
      </c>
      <c r="C1898" s="2687"/>
      <c r="D1898" s="2158" t="s">
        <v>62</v>
      </c>
      <c r="E1898" s="368" t="s">
        <v>63</v>
      </c>
      <c r="F1898" s="2687"/>
      <c r="G1898" s="2687"/>
      <c r="H1898" s="2689"/>
      <c r="I1898" s="2158" t="s">
        <v>64</v>
      </c>
      <c r="J1898" s="379" t="s">
        <v>59</v>
      </c>
      <c r="K1898" s="2159" t="s">
        <v>59</v>
      </c>
      <c r="L1898" s="2680"/>
      <c r="M1898" s="2163"/>
      <c r="N1898" s="2163"/>
      <c r="O1898" s="382" t="s">
        <v>41</v>
      </c>
      <c r="P1898" s="383" t="s">
        <v>65</v>
      </c>
      <c r="Q1898" s="384" t="s">
        <v>66</v>
      </c>
      <c r="R1898" s="383" t="s">
        <v>67</v>
      </c>
      <c r="S1898" s="385" t="s">
        <v>59</v>
      </c>
      <c r="T1898" s="387" t="s">
        <v>68</v>
      </c>
      <c r="U1898" s="375" t="s">
        <v>14</v>
      </c>
      <c r="V1898" s="375" t="s">
        <v>14</v>
      </c>
      <c r="W1898" s="376" t="s">
        <v>30</v>
      </c>
      <c r="X1898" s="388" t="s">
        <v>69</v>
      </c>
      <c r="Y1898" s="388" t="s">
        <v>70</v>
      </c>
      <c r="Z1898" s="377" t="s">
        <v>71</v>
      </c>
      <c r="AA1898" s="377" t="s">
        <v>72</v>
      </c>
      <c r="AB1898" s="378" t="s">
        <v>59</v>
      </c>
    </row>
    <row r="1899" spans="1:28" s="352" customFormat="1" ht="18" customHeight="1" x14ac:dyDescent="0.2">
      <c r="A1899" s="2692"/>
      <c r="B1899" s="390"/>
      <c r="C1899" s="2692"/>
      <c r="D1899" s="390"/>
      <c r="E1899" s="2160"/>
      <c r="F1899" s="390"/>
      <c r="G1899" s="390"/>
      <c r="H1899" s="391"/>
      <c r="I1899" s="2160"/>
      <c r="J1899" s="392"/>
      <c r="K1899" s="393"/>
      <c r="L1899" s="2681"/>
      <c r="M1899" s="2164"/>
      <c r="N1899" s="2164"/>
      <c r="O1899" s="2164" t="s">
        <v>63</v>
      </c>
      <c r="P1899" s="395"/>
      <c r="Q1899" s="396" t="s">
        <v>72</v>
      </c>
      <c r="R1899" s="397" t="s">
        <v>59</v>
      </c>
      <c r="S1899" s="398"/>
      <c r="T1899" s="397" t="s">
        <v>73</v>
      </c>
      <c r="U1899" s="398" t="s">
        <v>59</v>
      </c>
      <c r="V1899" s="399" t="s">
        <v>59</v>
      </c>
      <c r="W1899" s="400" t="s">
        <v>59</v>
      </c>
      <c r="X1899" s="401" t="s">
        <v>59</v>
      </c>
      <c r="Y1899" s="401" t="s">
        <v>59</v>
      </c>
      <c r="Z1899" s="401" t="s">
        <v>59</v>
      </c>
      <c r="AA1899" s="402"/>
      <c r="AB1899" s="403"/>
    </row>
    <row r="1900" spans="1:28" s="352" customFormat="1" ht="18" customHeight="1" x14ac:dyDescent="0.2">
      <c r="A1900" s="82">
        <v>1</v>
      </c>
      <c r="B1900" s="41">
        <v>41274</v>
      </c>
      <c r="C1900" s="41">
        <v>1240</v>
      </c>
      <c r="D1900" s="41" t="s">
        <v>107</v>
      </c>
      <c r="E1900" s="41">
        <v>4</v>
      </c>
      <c r="F1900" s="41">
        <v>0</v>
      </c>
      <c r="G1900" s="41">
        <v>1</v>
      </c>
      <c r="H1900" s="267">
        <v>71</v>
      </c>
      <c r="I1900" s="302">
        <f>F1900*400+G1900*100+H1900</f>
        <v>171</v>
      </c>
      <c r="J1900" s="310">
        <v>1000</v>
      </c>
      <c r="K1900" s="311">
        <f>SUM(I1900*J1900)</f>
        <v>171000</v>
      </c>
      <c r="L1900" s="16"/>
      <c r="M1900" s="82"/>
      <c r="N1900" s="41"/>
      <c r="O1900" s="16">
        <v>4</v>
      </c>
      <c r="P1900" s="404"/>
      <c r="Q1900" s="14"/>
      <c r="R1900" s="302"/>
      <c r="S1900" s="302"/>
      <c r="T1900" s="41"/>
      <c r="U1900" s="302"/>
      <c r="V1900" s="302"/>
      <c r="W1900" s="310">
        <f>K1900+V1900</f>
        <v>171000</v>
      </c>
      <c r="X1900" s="310">
        <f>W1900</f>
        <v>171000</v>
      </c>
      <c r="Y1900" s="310"/>
      <c r="Z1900" s="310">
        <f>+X1900</f>
        <v>171000</v>
      </c>
      <c r="AA1900" s="405">
        <v>0.6</v>
      </c>
      <c r="AB1900" s="406">
        <f>+Z1900*AA1900/100</f>
        <v>1026</v>
      </c>
    </row>
    <row r="1901" spans="1:28" s="352" customFormat="1" ht="18" customHeight="1" x14ac:dyDescent="0.2">
      <c r="A1901" s="88">
        <v>2</v>
      </c>
      <c r="B1901" s="27">
        <v>2144</v>
      </c>
      <c r="C1901" s="27">
        <v>234</v>
      </c>
      <c r="D1901" s="27"/>
      <c r="E1901" s="27">
        <v>1</v>
      </c>
      <c r="F1901" s="27">
        <v>4</v>
      </c>
      <c r="G1901" s="27">
        <v>0</v>
      </c>
      <c r="H1901" s="557">
        <v>90</v>
      </c>
      <c r="I1901" s="299">
        <f>F1901*400+G1901*100+H1901</f>
        <v>1690</v>
      </c>
      <c r="J1901" s="305">
        <v>280</v>
      </c>
      <c r="K1901" s="312">
        <f>SUM(I1901*J1901)</f>
        <v>473200</v>
      </c>
      <c r="L1901" s="45"/>
      <c r="M1901" s="88"/>
      <c r="N1901" s="27"/>
      <c r="O1901" s="45">
        <v>1</v>
      </c>
      <c r="P1901" s="802"/>
      <c r="Q1901" s="62"/>
      <c r="R1901" s="299"/>
      <c r="S1901" s="299"/>
      <c r="T1901" s="27"/>
      <c r="U1901" s="299"/>
      <c r="V1901" s="299"/>
      <c r="W1901" s="305">
        <f>K1901+V1901</f>
        <v>473200</v>
      </c>
      <c r="X1901" s="305">
        <f>W1901</f>
        <v>473200</v>
      </c>
      <c r="Y1901" s="305" t="s">
        <v>87</v>
      </c>
      <c r="Z1901" s="305">
        <v>0</v>
      </c>
      <c r="AA1901" s="670">
        <v>0.01</v>
      </c>
      <c r="AB1901" s="410">
        <f>+Z1901*AA1901/100</f>
        <v>0</v>
      </c>
    </row>
    <row r="1902" spans="1:28" s="352" customFormat="1" ht="18" customHeight="1" x14ac:dyDescent="0.2">
      <c r="A1902" s="2166"/>
      <c r="B1902" s="61"/>
      <c r="C1902" s="2166"/>
      <c r="D1902" s="2166"/>
      <c r="E1902" s="2166"/>
      <c r="F1902" s="2166"/>
      <c r="G1902" s="2166"/>
      <c r="H1902" s="407"/>
      <c r="I1902" s="77"/>
      <c r="J1902" s="2168"/>
      <c r="K1902" s="78"/>
      <c r="L1902" s="61"/>
      <c r="M1902" s="2166"/>
      <c r="N1902" s="2166"/>
      <c r="O1902" s="61"/>
      <c r="P1902" s="177"/>
      <c r="Q1902" s="196"/>
      <c r="R1902" s="408"/>
      <c r="S1902" s="77"/>
      <c r="T1902" s="2166"/>
      <c r="U1902" s="77"/>
      <c r="V1902" s="77"/>
      <c r="W1902" s="77"/>
      <c r="X1902" s="77"/>
      <c r="Y1902" s="2168"/>
      <c r="Z1902" s="77"/>
      <c r="AA1902" s="2170"/>
      <c r="AB1902" s="416"/>
    </row>
    <row r="1903" spans="1:28" s="352" customFormat="1" ht="18" customHeight="1" x14ac:dyDescent="0.2">
      <c r="A1903" s="2166"/>
      <c r="B1903" s="61"/>
      <c r="C1903" s="2166"/>
      <c r="D1903" s="2166"/>
      <c r="E1903" s="2166"/>
      <c r="F1903" s="2166"/>
      <c r="G1903" s="2166"/>
      <c r="H1903" s="407"/>
      <c r="I1903" s="77"/>
      <c r="J1903" s="2168"/>
      <c r="K1903" s="78"/>
      <c r="L1903" s="61"/>
      <c r="M1903" s="2166"/>
      <c r="N1903" s="2166"/>
      <c r="O1903" s="61"/>
      <c r="P1903" s="177"/>
      <c r="Q1903" s="196"/>
      <c r="R1903" s="408"/>
      <c r="S1903" s="77"/>
      <c r="T1903" s="2166"/>
      <c r="U1903" s="77"/>
      <c r="V1903" s="77"/>
      <c r="W1903" s="77"/>
      <c r="X1903" s="77"/>
      <c r="Y1903" s="2168"/>
      <c r="Z1903" s="77"/>
      <c r="AA1903" s="2170"/>
      <c r="AB1903" s="410"/>
    </row>
    <row r="1904" spans="1:28" s="352" customFormat="1" ht="18" customHeight="1" x14ac:dyDescent="0.2">
      <c r="A1904" s="2166"/>
      <c r="B1904" s="61"/>
      <c r="C1904" s="2166"/>
      <c r="D1904" s="2166"/>
      <c r="E1904" s="2166"/>
      <c r="F1904" s="2166"/>
      <c r="G1904" s="2166"/>
      <c r="H1904" s="407"/>
      <c r="I1904" s="77"/>
      <c r="J1904" s="2168"/>
      <c r="K1904" s="78"/>
      <c r="L1904" s="61"/>
      <c r="M1904" s="2166"/>
      <c r="N1904" s="2166"/>
      <c r="O1904" s="61"/>
      <c r="P1904" s="177"/>
      <c r="Q1904" s="196"/>
      <c r="R1904" s="408"/>
      <c r="S1904" s="77"/>
      <c r="T1904" s="2166"/>
      <c r="U1904" s="77"/>
      <c r="V1904" s="77"/>
      <c r="W1904" s="77"/>
      <c r="X1904" s="77"/>
      <c r="Y1904" s="2168"/>
      <c r="Z1904" s="77"/>
      <c r="AA1904" s="2170"/>
      <c r="AB1904" s="410"/>
    </row>
    <row r="1905" spans="1:28" s="352" customFormat="1" ht="18" customHeight="1" x14ac:dyDescent="0.2">
      <c r="A1905" s="2166"/>
      <c r="B1905" s="61"/>
      <c r="C1905" s="2166"/>
      <c r="D1905" s="2166"/>
      <c r="E1905" s="2166"/>
      <c r="F1905" s="2166"/>
      <c r="G1905" s="2166"/>
      <c r="H1905" s="407"/>
      <c r="I1905" s="77"/>
      <c r="J1905" s="2168"/>
      <c r="K1905" s="78"/>
      <c r="L1905" s="61"/>
      <c r="M1905" s="2166"/>
      <c r="N1905" s="2166"/>
      <c r="O1905" s="61"/>
      <c r="P1905" s="177"/>
      <c r="Q1905" s="196"/>
      <c r="R1905" s="408"/>
      <c r="S1905" s="77"/>
      <c r="T1905" s="2166"/>
      <c r="U1905" s="77"/>
      <c r="V1905" s="77"/>
      <c r="W1905" s="77"/>
      <c r="X1905" s="77"/>
      <c r="Y1905" s="2168"/>
      <c r="Z1905" s="77"/>
      <c r="AA1905" s="2170"/>
      <c r="AB1905" s="410"/>
    </row>
    <row r="1906" spans="1:28" s="352" customFormat="1" ht="18" customHeight="1" x14ac:dyDescent="0.2">
      <c r="A1906" s="2166"/>
      <c r="B1906" s="61"/>
      <c r="C1906" s="2166"/>
      <c r="D1906" s="2166"/>
      <c r="E1906" s="2166"/>
      <c r="F1906" s="2166"/>
      <c r="G1906" s="2166"/>
      <c r="H1906" s="407"/>
      <c r="I1906" s="77"/>
      <c r="J1906" s="2168"/>
      <c r="K1906" s="78"/>
      <c r="L1906" s="61"/>
      <c r="M1906" s="2166"/>
      <c r="N1906" s="2166"/>
      <c r="O1906" s="61"/>
      <c r="P1906" s="177"/>
      <c r="Q1906" s="196"/>
      <c r="R1906" s="408"/>
      <c r="S1906" s="77"/>
      <c r="T1906" s="2166"/>
      <c r="U1906" s="77"/>
      <c r="V1906" s="77"/>
      <c r="W1906" s="77"/>
      <c r="X1906" s="77"/>
      <c r="Y1906" s="2168"/>
      <c r="Z1906" s="77"/>
      <c r="AA1906" s="2170"/>
      <c r="AB1906" s="410"/>
    </row>
    <row r="1907" spans="1:28" s="352" customFormat="1" ht="18" customHeight="1" x14ac:dyDescent="0.2">
      <c r="A1907" s="88"/>
      <c r="B1907" s="75"/>
      <c r="C1907" s="88"/>
      <c r="D1907" s="88"/>
      <c r="E1907" s="2166"/>
      <c r="F1907" s="411"/>
      <c r="G1907" s="242"/>
      <c r="H1907" s="412"/>
      <c r="I1907" s="159"/>
      <c r="J1907" s="121"/>
      <c r="K1907" s="159"/>
      <c r="L1907" s="75"/>
      <c r="M1907" s="88"/>
      <c r="N1907" s="88"/>
      <c r="O1907" s="75"/>
      <c r="P1907" s="180"/>
      <c r="Q1907" s="174"/>
      <c r="R1907" s="413"/>
      <c r="S1907" s="74"/>
      <c r="T1907" s="88"/>
      <c r="U1907" s="74"/>
      <c r="V1907" s="74"/>
      <c r="W1907" s="74"/>
      <c r="X1907" s="74"/>
      <c r="Y1907" s="121"/>
      <c r="Z1907" s="74"/>
      <c r="AA1907" s="414"/>
      <c r="AB1907" s="415"/>
    </row>
    <row r="1908" spans="1:28" s="352" customFormat="1" ht="18" customHeight="1" x14ac:dyDescent="0.2">
      <c r="A1908" s="88"/>
      <c r="B1908" s="75"/>
      <c r="C1908" s="88"/>
      <c r="D1908" s="88"/>
      <c r="E1908" s="2166"/>
      <c r="F1908" s="411"/>
      <c r="G1908" s="242"/>
      <c r="H1908" s="412"/>
      <c r="I1908" s="159"/>
      <c r="J1908" s="121"/>
      <c r="K1908" s="159"/>
      <c r="L1908" s="75"/>
      <c r="M1908" s="88"/>
      <c r="N1908" s="88"/>
      <c r="O1908" s="75"/>
      <c r="P1908" s="180"/>
      <c r="Q1908" s="174"/>
      <c r="R1908" s="413"/>
      <c r="S1908" s="74"/>
      <c r="T1908" s="88"/>
      <c r="U1908" s="74"/>
      <c r="V1908" s="74"/>
      <c r="W1908" s="74"/>
      <c r="X1908" s="74"/>
      <c r="Y1908" s="121"/>
      <c r="Z1908" s="74"/>
      <c r="AA1908" s="414"/>
      <c r="AB1908" s="416"/>
    </row>
    <row r="1909" spans="1:28" s="352" customFormat="1" ht="18" customHeight="1" x14ac:dyDescent="0.2">
      <c r="A1909" s="88"/>
      <c r="B1909" s="75"/>
      <c r="C1909" s="88"/>
      <c r="D1909" s="88"/>
      <c r="E1909" s="2166"/>
      <c r="F1909" s="411"/>
      <c r="G1909" s="242"/>
      <c r="H1909" s="412"/>
      <c r="I1909" s="159"/>
      <c r="J1909" s="121"/>
      <c r="K1909" s="159"/>
      <c r="L1909" s="75"/>
      <c r="M1909" s="88"/>
      <c r="N1909" s="88"/>
      <c r="O1909" s="75"/>
      <c r="P1909" s="180"/>
      <c r="Q1909" s="174"/>
      <c r="R1909" s="413"/>
      <c r="S1909" s="74"/>
      <c r="T1909" s="88"/>
      <c r="U1909" s="74"/>
      <c r="V1909" s="74"/>
      <c r="W1909" s="74"/>
      <c r="X1909" s="74"/>
      <c r="Y1909" s="121"/>
      <c r="Z1909" s="74"/>
      <c r="AA1909" s="414"/>
      <c r="AB1909" s="415"/>
    </row>
    <row r="1910" spans="1:28" s="352" customFormat="1" ht="18" customHeight="1" x14ac:dyDescent="0.2">
      <c r="A1910" s="88"/>
      <c r="B1910" s="75"/>
      <c r="C1910" s="88"/>
      <c r="D1910" s="231"/>
      <c r="E1910" s="2166"/>
      <c r="F1910" s="411"/>
      <c r="G1910" s="242"/>
      <c r="H1910" s="412"/>
      <c r="I1910" s="159"/>
      <c r="J1910" s="121"/>
      <c r="K1910" s="159"/>
      <c r="L1910" s="75"/>
      <c r="M1910" s="88"/>
      <c r="N1910" s="88"/>
      <c r="O1910" s="75"/>
      <c r="P1910" s="180"/>
      <c r="Q1910" s="174"/>
      <c r="R1910" s="413"/>
      <c r="S1910" s="74"/>
      <c r="T1910" s="88"/>
      <c r="U1910" s="74"/>
      <c r="V1910" s="74"/>
      <c r="W1910" s="74"/>
      <c r="X1910" s="74"/>
      <c r="Y1910" s="121"/>
      <c r="Z1910" s="74"/>
      <c r="AA1910" s="417"/>
      <c r="AB1910" s="410"/>
    </row>
    <row r="1911" spans="1:28" s="352" customFormat="1" ht="18" customHeight="1" x14ac:dyDescent="0.2">
      <c r="A1911" s="88"/>
      <c r="B1911" s="75"/>
      <c r="C1911" s="88"/>
      <c r="D1911" s="2165"/>
      <c r="E1911" s="2166"/>
      <c r="F1911" s="411"/>
      <c r="G1911" s="242"/>
      <c r="H1911" s="412"/>
      <c r="I1911" s="159"/>
      <c r="J1911" s="121"/>
      <c r="K1911" s="159"/>
      <c r="L1911" s="75"/>
      <c r="M1911" s="88"/>
      <c r="N1911" s="88"/>
      <c r="O1911" s="75"/>
      <c r="P1911" s="180"/>
      <c r="Q1911" s="174"/>
      <c r="R1911" s="413"/>
      <c r="S1911" s="74"/>
      <c r="T1911" s="88"/>
      <c r="U1911" s="74"/>
      <c r="V1911" s="74"/>
      <c r="W1911" s="74"/>
      <c r="X1911" s="74"/>
      <c r="Y1911" s="121"/>
      <c r="Z1911" s="74"/>
      <c r="AA1911" s="417"/>
      <c r="AB1911" s="410"/>
    </row>
    <row r="1912" spans="1:28" s="352" customFormat="1" ht="18" customHeight="1" x14ac:dyDescent="0.2">
      <c r="A1912" s="88"/>
      <c r="B1912" s="75"/>
      <c r="C1912" s="88"/>
      <c r="D1912" s="2165"/>
      <c r="E1912" s="2166"/>
      <c r="F1912" s="411"/>
      <c r="G1912" s="242"/>
      <c r="H1912" s="412"/>
      <c r="I1912" s="159"/>
      <c r="J1912" s="121"/>
      <c r="K1912" s="159"/>
      <c r="L1912" s="75"/>
      <c r="M1912" s="88"/>
      <c r="N1912" s="88"/>
      <c r="O1912" s="75"/>
      <c r="P1912" s="180"/>
      <c r="Q1912" s="174"/>
      <c r="R1912" s="413"/>
      <c r="S1912" s="74"/>
      <c r="T1912" s="88"/>
      <c r="U1912" s="74"/>
      <c r="V1912" s="74"/>
      <c r="W1912" s="74"/>
      <c r="X1912" s="74"/>
      <c r="Y1912" s="121"/>
      <c r="Z1912" s="74"/>
      <c r="AA1912" s="414"/>
      <c r="AB1912" s="416"/>
    </row>
    <row r="1913" spans="1:28" s="352" customFormat="1" ht="18" customHeight="1" x14ac:dyDescent="0.2">
      <c r="A1913" s="88"/>
      <c r="B1913" s="418"/>
      <c r="C1913" s="88"/>
      <c r="D1913" s="88"/>
      <c r="E1913" s="88"/>
      <c r="F1913" s="411"/>
      <c r="G1913" s="242"/>
      <c r="H1913" s="412"/>
      <c r="I1913" s="159"/>
      <c r="J1913" s="121"/>
      <c r="K1913" s="159"/>
      <c r="L1913" s="75"/>
      <c r="M1913" s="88"/>
      <c r="N1913" s="88"/>
      <c r="O1913" s="75"/>
      <c r="P1913" s="180"/>
      <c r="Q1913" s="174"/>
      <c r="R1913" s="413"/>
      <c r="S1913" s="74"/>
      <c r="T1913" s="88"/>
      <c r="U1913" s="74"/>
      <c r="V1913" s="74"/>
      <c r="W1913" s="74"/>
      <c r="X1913" s="74"/>
      <c r="Y1913" s="121"/>
      <c r="Z1913" s="74"/>
      <c r="AA1913" s="414"/>
      <c r="AB1913" s="410"/>
    </row>
    <row r="1914" spans="1:28" s="352" customFormat="1" ht="18" customHeight="1" x14ac:dyDescent="0.2">
      <c r="A1914" s="1147"/>
      <c r="B1914" s="1989"/>
      <c r="C1914" s="1147"/>
      <c r="D1914" s="1147"/>
      <c r="E1914" s="1147"/>
      <c r="F1914" s="1147"/>
      <c r="G1914" s="1147"/>
      <c r="H1914" s="1990"/>
      <c r="I1914" s="1991"/>
      <c r="J1914" s="1868"/>
      <c r="K1914" s="1992"/>
      <c r="L1914" s="1989"/>
      <c r="M1914" s="1147"/>
      <c r="N1914" s="1147"/>
      <c r="O1914" s="1989"/>
      <c r="P1914" s="1867"/>
      <c r="Q1914" s="1993"/>
      <c r="R1914" s="1994"/>
      <c r="S1914" s="1991"/>
      <c r="T1914" s="1147"/>
      <c r="U1914" s="1991"/>
      <c r="V1914" s="1991"/>
      <c r="W1914" s="1991"/>
      <c r="X1914" s="1991"/>
      <c r="Y1914" s="1868"/>
      <c r="Z1914" s="1991"/>
      <c r="AA1914" s="1995"/>
      <c r="AB1914" s="1849">
        <f>SUM(AB1900:AB1913)</f>
        <v>1026</v>
      </c>
    </row>
    <row r="1915" spans="1:28" s="352" customFormat="1" ht="18" customHeight="1" x14ac:dyDescent="0.2">
      <c r="A1915" s="2788" t="s">
        <v>76</v>
      </c>
      <c r="B1915" s="2788"/>
      <c r="C1915" s="2779" t="s">
        <v>77</v>
      </c>
      <c r="D1915" s="2779"/>
      <c r="E1915" s="2779"/>
      <c r="F1915" s="2779"/>
      <c r="G1915" s="2779"/>
      <c r="H1915" s="2779"/>
      <c r="I1915" s="424" t="s">
        <v>78</v>
      </c>
      <c r="J1915" s="424"/>
      <c r="K1915" s="424"/>
      <c r="L1915" s="424"/>
      <c r="M1915" s="424"/>
      <c r="N1915" s="424"/>
      <c r="AB1915" s="425"/>
    </row>
    <row r="1916" spans="1:28" s="352" customFormat="1" ht="18" customHeight="1" x14ac:dyDescent="0.2">
      <c r="A1916" s="424"/>
      <c r="B1916" s="426"/>
      <c r="C1916" s="424"/>
      <c r="D1916" s="424"/>
      <c r="E1916" s="424"/>
      <c r="F1916" s="424"/>
      <c r="G1916" s="424"/>
      <c r="H1916" s="424"/>
      <c r="I1916" s="424" t="s">
        <v>79</v>
      </c>
      <c r="J1916" s="424"/>
      <c r="K1916" s="424"/>
      <c r="L1916" s="424"/>
      <c r="M1916" s="424"/>
      <c r="N1916" s="424"/>
      <c r="AB1916" s="425"/>
    </row>
    <row r="1917" spans="1:28" s="352" customFormat="1" ht="18" customHeight="1" x14ac:dyDescent="0.2">
      <c r="A1917" s="424"/>
      <c r="B1917" s="426"/>
      <c r="C1917" s="424"/>
      <c r="D1917" s="424"/>
      <c r="E1917" s="424"/>
      <c r="F1917" s="424"/>
      <c r="G1917" s="424"/>
      <c r="H1917" s="424"/>
      <c r="I1917" s="424" t="s">
        <v>80</v>
      </c>
      <c r="J1917" s="424"/>
      <c r="K1917" s="424"/>
      <c r="L1917" s="424"/>
      <c r="M1917" s="424"/>
      <c r="N1917" s="424"/>
      <c r="AB1917" s="425"/>
    </row>
    <row r="1918" spans="1:28" s="352" customFormat="1" ht="18" customHeight="1" x14ac:dyDescent="0.2">
      <c r="A1918" s="424"/>
      <c r="B1918" s="426"/>
      <c r="C1918" s="424"/>
      <c r="D1918" s="424"/>
      <c r="E1918" s="424"/>
      <c r="F1918" s="424"/>
      <c r="G1918" s="424"/>
      <c r="H1918" s="424"/>
      <c r="I1918" s="424" t="s">
        <v>81</v>
      </c>
      <c r="J1918" s="424"/>
      <c r="K1918" s="424"/>
      <c r="L1918" s="424"/>
      <c r="M1918" s="424"/>
      <c r="N1918" s="424"/>
      <c r="AB1918" s="425"/>
    </row>
    <row r="1919" spans="1:28" s="352" customFormat="1" ht="18" customHeight="1" x14ac:dyDescent="0.2">
      <c r="A1919" s="424"/>
      <c r="B1919" s="426"/>
      <c r="C1919" s="424"/>
      <c r="D1919" s="424"/>
      <c r="E1919" s="424"/>
      <c r="F1919" s="424"/>
      <c r="G1919" s="424"/>
      <c r="H1919" s="424"/>
      <c r="I1919" s="424" t="s">
        <v>88</v>
      </c>
      <c r="J1919" s="424"/>
      <c r="K1919" s="424"/>
      <c r="L1919" s="424"/>
      <c r="M1919" s="424"/>
      <c r="N1919" s="424"/>
      <c r="AB1919" s="425"/>
    </row>
    <row r="1920" spans="1:28" s="352" customFormat="1" ht="18" customHeight="1" x14ac:dyDescent="0.2">
      <c r="A1920" s="338"/>
      <c r="B1920" s="338"/>
      <c r="C1920" s="338"/>
      <c r="D1920" s="338"/>
      <c r="E1920" s="338"/>
      <c r="F1920" s="338"/>
      <c r="G1920" s="338"/>
      <c r="H1920" s="338"/>
      <c r="I1920" s="338"/>
      <c r="J1920" s="338"/>
      <c r="K1920" s="338"/>
      <c r="L1920" s="338"/>
      <c r="M1920" s="338"/>
      <c r="N1920" s="338"/>
      <c r="O1920" s="338"/>
      <c r="P1920" s="338"/>
      <c r="Q1920" s="338"/>
      <c r="R1920" s="338"/>
      <c r="S1920" s="338"/>
      <c r="T1920" s="338"/>
      <c r="U1920" s="338"/>
      <c r="V1920" s="338"/>
      <c r="W1920" s="338"/>
      <c r="X1920" s="338"/>
      <c r="Y1920" s="338"/>
      <c r="Z1920" s="338"/>
      <c r="AA1920" s="2774" t="s">
        <v>0</v>
      </c>
      <c r="AB1920" s="2774"/>
    </row>
    <row r="1921" spans="1:28" s="352" customFormat="1" ht="18" customHeight="1" x14ac:dyDescent="0.2">
      <c r="A1921" s="2703" t="s">
        <v>1</v>
      </c>
      <c r="B1921" s="2703"/>
      <c r="C1921" s="2703"/>
      <c r="D1921" s="2703"/>
      <c r="E1921" s="2703"/>
      <c r="F1921" s="2703"/>
      <c r="G1921" s="2703"/>
      <c r="H1921" s="2703"/>
      <c r="I1921" s="2703"/>
      <c r="J1921" s="2703"/>
      <c r="K1921" s="2703"/>
      <c r="L1921" s="2703"/>
      <c r="M1921" s="2703"/>
      <c r="N1921" s="2703"/>
      <c r="O1921" s="2703"/>
      <c r="P1921" s="2703"/>
      <c r="Q1921" s="2703"/>
      <c r="R1921" s="2703"/>
      <c r="S1921" s="2703"/>
      <c r="T1921" s="2703"/>
      <c r="U1921" s="2703"/>
      <c r="V1921" s="2703"/>
      <c r="W1921" s="2703"/>
      <c r="X1921" s="2703"/>
      <c r="Y1921" s="2703"/>
      <c r="Z1921" s="2703"/>
      <c r="AA1921" s="2703"/>
      <c r="AB1921" s="2703"/>
    </row>
    <row r="1922" spans="1:28" s="2191" customFormat="1" ht="18" customHeight="1" x14ac:dyDescent="0.2">
      <c r="A1922" s="2780" t="s">
        <v>658</v>
      </c>
      <c r="B1922" s="2780"/>
      <c r="C1922" s="2780"/>
      <c r="D1922" s="2780"/>
      <c r="E1922" s="2780"/>
      <c r="F1922" s="2780"/>
      <c r="G1922" s="2780"/>
      <c r="H1922" s="2780"/>
      <c r="I1922" s="2780"/>
      <c r="J1922" s="2780"/>
      <c r="K1922" s="2780"/>
      <c r="L1922" s="2780"/>
      <c r="M1922" s="2780"/>
      <c r="N1922" s="2780"/>
      <c r="O1922" s="2780"/>
      <c r="P1922" s="2780"/>
      <c r="Q1922" s="2780"/>
      <c r="R1922" s="2780"/>
      <c r="S1922" s="2780"/>
      <c r="T1922" s="2780"/>
      <c r="U1922" s="2780"/>
      <c r="V1922" s="2780"/>
      <c r="W1922" s="2780"/>
      <c r="X1922" s="2780"/>
      <c r="Y1922" s="2780"/>
      <c r="Z1922" s="2780"/>
      <c r="AA1922" s="2780"/>
      <c r="AB1922" s="2780"/>
    </row>
    <row r="1923" spans="1:28" s="352" customFormat="1" ht="18" customHeight="1" x14ac:dyDescent="0.2">
      <c r="A1923" s="2686" t="s">
        <v>2</v>
      </c>
      <c r="B1923" s="360"/>
      <c r="C1923" s="2686" t="s">
        <v>3</v>
      </c>
      <c r="D1923" s="360"/>
      <c r="E1923" s="360"/>
      <c r="F1923" s="2693" t="s">
        <v>4</v>
      </c>
      <c r="G1923" s="2693"/>
      <c r="H1923" s="2693"/>
      <c r="I1923" s="2694"/>
      <c r="J1923" s="2694"/>
      <c r="K1923" s="2695"/>
      <c r="L1923" s="361"/>
      <c r="M1923" s="2679" t="s">
        <v>5</v>
      </c>
      <c r="N1923" s="2679"/>
      <c r="O1923" s="2679"/>
      <c r="P1923" s="2679"/>
      <c r="Q1923" s="2696"/>
      <c r="R1923" s="2696"/>
      <c r="S1923" s="2696"/>
      <c r="T1923" s="2696"/>
      <c r="U1923" s="2696"/>
      <c r="V1923" s="2697"/>
      <c r="W1923" s="362" t="s">
        <v>6</v>
      </c>
      <c r="X1923" s="363" t="s">
        <v>7</v>
      </c>
      <c r="Y1923" s="364"/>
      <c r="Z1923" s="364"/>
      <c r="AA1923" s="363"/>
      <c r="AB1923" s="365"/>
    </row>
    <row r="1924" spans="1:28" s="352" customFormat="1" ht="18" customHeight="1" x14ac:dyDescent="0.2">
      <c r="A1924" s="2687"/>
      <c r="B1924" s="367"/>
      <c r="C1924" s="2687"/>
      <c r="D1924" s="2158" t="s">
        <v>9</v>
      </c>
      <c r="E1924" s="368" t="s">
        <v>10</v>
      </c>
      <c r="F1924" s="2698" t="s">
        <v>11</v>
      </c>
      <c r="G1924" s="2694"/>
      <c r="H1924" s="2695"/>
      <c r="I1924" s="360"/>
      <c r="J1924" s="369" t="s">
        <v>12</v>
      </c>
      <c r="K1924" s="360"/>
      <c r="L1924" s="2679" t="s">
        <v>2</v>
      </c>
      <c r="M1924" s="2162"/>
      <c r="N1924" s="2162"/>
      <c r="O1924" s="2162"/>
      <c r="P1924" s="371"/>
      <c r="Q1924" s="372" t="s">
        <v>13</v>
      </c>
      <c r="R1924" s="373" t="s">
        <v>12</v>
      </c>
      <c r="S1924" s="2162" t="s">
        <v>6</v>
      </c>
      <c r="T1924" s="2682" t="s">
        <v>14</v>
      </c>
      <c r="U1924" s="2683"/>
      <c r="V1924" s="375" t="s">
        <v>7</v>
      </c>
      <c r="W1924" s="376" t="s">
        <v>15</v>
      </c>
      <c r="X1924" s="377" t="s">
        <v>16</v>
      </c>
      <c r="Y1924" s="377" t="s">
        <v>17</v>
      </c>
      <c r="Z1924" s="377" t="s">
        <v>18</v>
      </c>
      <c r="AA1924" s="377"/>
      <c r="AB1924" s="378" t="s">
        <v>19</v>
      </c>
    </row>
    <row r="1925" spans="1:28" s="352" customFormat="1" ht="18" customHeight="1" x14ac:dyDescent="0.2">
      <c r="A1925" s="2687"/>
      <c r="B1925" s="2158" t="s">
        <v>23</v>
      </c>
      <c r="C1925" s="2687"/>
      <c r="D1925" s="2158" t="s">
        <v>24</v>
      </c>
      <c r="E1925" s="368" t="s">
        <v>25</v>
      </c>
      <c r="F1925" s="2699"/>
      <c r="G1925" s="2700"/>
      <c r="H1925" s="2701"/>
      <c r="I1925" s="2158" t="s">
        <v>26</v>
      </c>
      <c r="J1925" s="379" t="s">
        <v>15</v>
      </c>
      <c r="K1925" s="2159" t="s">
        <v>6</v>
      </c>
      <c r="L1925" s="2680"/>
      <c r="M1925" s="2163" t="s">
        <v>27</v>
      </c>
      <c r="N1925" s="2163" t="s">
        <v>10</v>
      </c>
      <c r="O1925" s="382" t="s">
        <v>10</v>
      </c>
      <c r="P1925" s="383" t="s">
        <v>28</v>
      </c>
      <c r="Q1925" s="384" t="s">
        <v>29</v>
      </c>
      <c r="R1925" s="383" t="s">
        <v>15</v>
      </c>
      <c r="S1925" s="385" t="s">
        <v>15</v>
      </c>
      <c r="T1925" s="2684"/>
      <c r="U1925" s="2685"/>
      <c r="V1925" s="375" t="s">
        <v>30</v>
      </c>
      <c r="W1925" s="376" t="s">
        <v>31</v>
      </c>
      <c r="X1925" s="377" t="s">
        <v>30</v>
      </c>
      <c r="Y1925" s="377" t="s">
        <v>32</v>
      </c>
      <c r="Z1925" s="377" t="s">
        <v>7</v>
      </c>
      <c r="AA1925" s="377" t="s">
        <v>33</v>
      </c>
      <c r="AB1925" s="378" t="s">
        <v>34</v>
      </c>
    </row>
    <row r="1926" spans="1:28" s="352" customFormat="1" ht="18" customHeight="1" x14ac:dyDescent="0.2">
      <c r="A1926" s="2687"/>
      <c r="B1926" s="2158" t="s">
        <v>39</v>
      </c>
      <c r="C1926" s="2687"/>
      <c r="D1926" s="2158" t="s">
        <v>40</v>
      </c>
      <c r="E1926" s="368" t="s">
        <v>41</v>
      </c>
      <c r="F1926" s="2686" t="s">
        <v>42</v>
      </c>
      <c r="G1926" s="2686" t="s">
        <v>43</v>
      </c>
      <c r="H1926" s="2688" t="s">
        <v>44</v>
      </c>
      <c r="I1926" s="2158" t="s">
        <v>45</v>
      </c>
      <c r="J1926" s="379" t="s">
        <v>46</v>
      </c>
      <c r="K1926" s="2159" t="s">
        <v>47</v>
      </c>
      <c r="L1926" s="2680"/>
      <c r="M1926" s="2163" t="s">
        <v>30</v>
      </c>
      <c r="N1926" s="2163" t="s">
        <v>30</v>
      </c>
      <c r="O1926" s="382" t="s">
        <v>25</v>
      </c>
      <c r="P1926" s="383" t="s">
        <v>30</v>
      </c>
      <c r="Q1926" s="384" t="s">
        <v>48</v>
      </c>
      <c r="R1926" s="383" t="s">
        <v>49</v>
      </c>
      <c r="S1926" s="385" t="s">
        <v>30</v>
      </c>
      <c r="T1926" s="386" t="s">
        <v>50</v>
      </c>
      <c r="U1926" s="2161" t="s">
        <v>13</v>
      </c>
      <c r="V1926" s="375" t="s">
        <v>51</v>
      </c>
      <c r="W1926" s="376" t="s">
        <v>52</v>
      </c>
      <c r="X1926" s="377" t="s">
        <v>53</v>
      </c>
      <c r="Y1926" s="377" t="s">
        <v>54</v>
      </c>
      <c r="Z1926" s="377" t="s">
        <v>55</v>
      </c>
      <c r="AA1926" s="377" t="s">
        <v>56</v>
      </c>
      <c r="AB1926" s="378" t="s">
        <v>57</v>
      </c>
    </row>
    <row r="1927" spans="1:28" s="352" customFormat="1" ht="18" customHeight="1" x14ac:dyDescent="0.2">
      <c r="A1927" s="2687"/>
      <c r="B1927" s="2158" t="s">
        <v>61</v>
      </c>
      <c r="C1927" s="2687"/>
      <c r="D1927" s="2158" t="s">
        <v>62</v>
      </c>
      <c r="E1927" s="368" t="s">
        <v>63</v>
      </c>
      <c r="F1927" s="2687"/>
      <c r="G1927" s="2687"/>
      <c r="H1927" s="2689"/>
      <c r="I1927" s="2158" t="s">
        <v>64</v>
      </c>
      <c r="J1927" s="379" t="s">
        <v>59</v>
      </c>
      <c r="K1927" s="2159" t="s">
        <v>59</v>
      </c>
      <c r="L1927" s="2680"/>
      <c r="M1927" s="2163"/>
      <c r="N1927" s="2163"/>
      <c r="O1927" s="382" t="s">
        <v>41</v>
      </c>
      <c r="P1927" s="383" t="s">
        <v>65</v>
      </c>
      <c r="Q1927" s="384" t="s">
        <v>66</v>
      </c>
      <c r="R1927" s="383" t="s">
        <v>67</v>
      </c>
      <c r="S1927" s="385" t="s">
        <v>59</v>
      </c>
      <c r="T1927" s="387" t="s">
        <v>68</v>
      </c>
      <c r="U1927" s="375" t="s">
        <v>14</v>
      </c>
      <c r="V1927" s="375" t="s">
        <v>14</v>
      </c>
      <c r="W1927" s="376" t="s">
        <v>30</v>
      </c>
      <c r="X1927" s="388" t="s">
        <v>69</v>
      </c>
      <c r="Y1927" s="388" t="s">
        <v>70</v>
      </c>
      <c r="Z1927" s="377" t="s">
        <v>71</v>
      </c>
      <c r="AA1927" s="377" t="s">
        <v>72</v>
      </c>
      <c r="AB1927" s="378" t="s">
        <v>59</v>
      </c>
    </row>
    <row r="1928" spans="1:28" s="352" customFormat="1" ht="18" customHeight="1" x14ac:dyDescent="0.2">
      <c r="A1928" s="2692"/>
      <c r="B1928" s="390"/>
      <c r="C1928" s="2692"/>
      <c r="D1928" s="390"/>
      <c r="E1928" s="2160"/>
      <c r="F1928" s="390"/>
      <c r="G1928" s="390"/>
      <c r="H1928" s="391"/>
      <c r="I1928" s="2160"/>
      <c r="J1928" s="392"/>
      <c r="K1928" s="393"/>
      <c r="L1928" s="2681"/>
      <c r="M1928" s="2164"/>
      <c r="N1928" s="2164"/>
      <c r="O1928" s="2164" t="s">
        <v>63</v>
      </c>
      <c r="P1928" s="395"/>
      <c r="Q1928" s="396" t="s">
        <v>72</v>
      </c>
      <c r="R1928" s="397" t="s">
        <v>59</v>
      </c>
      <c r="S1928" s="398"/>
      <c r="T1928" s="397" t="s">
        <v>73</v>
      </c>
      <c r="U1928" s="398" t="s">
        <v>59</v>
      </c>
      <c r="V1928" s="399" t="s">
        <v>59</v>
      </c>
      <c r="W1928" s="400" t="s">
        <v>59</v>
      </c>
      <c r="X1928" s="401" t="s">
        <v>59</v>
      </c>
      <c r="Y1928" s="401" t="s">
        <v>59</v>
      </c>
      <c r="Z1928" s="401" t="s">
        <v>59</v>
      </c>
      <c r="AA1928" s="402"/>
      <c r="AB1928" s="403"/>
    </row>
    <row r="1929" spans="1:28" s="352" customFormat="1" ht="18" customHeight="1" x14ac:dyDescent="0.2">
      <c r="A1929" s="82">
        <v>1</v>
      </c>
      <c r="B1929" s="41">
        <v>2203</v>
      </c>
      <c r="C1929" s="41">
        <v>95</v>
      </c>
      <c r="D1929" s="41" t="s">
        <v>107</v>
      </c>
      <c r="E1929" s="41">
        <v>3</v>
      </c>
      <c r="F1929" s="41">
        <v>5</v>
      </c>
      <c r="G1929" s="41">
        <v>0</v>
      </c>
      <c r="H1929" s="267">
        <v>0</v>
      </c>
      <c r="I1929" s="302">
        <v>2000</v>
      </c>
      <c r="J1929" s="310">
        <v>190</v>
      </c>
      <c r="K1929" s="310">
        <f>J1929*I1929</f>
        <v>380000</v>
      </c>
      <c r="L1929" s="16"/>
      <c r="M1929" s="82"/>
      <c r="N1929" s="41"/>
      <c r="O1929" s="16"/>
      <c r="P1929" s="404"/>
      <c r="Q1929" s="14"/>
      <c r="R1929" s="302"/>
      <c r="S1929" s="302"/>
      <c r="T1929" s="41"/>
      <c r="U1929" s="302"/>
      <c r="V1929" s="302"/>
      <c r="W1929" s="302">
        <f>K1929</f>
        <v>380000</v>
      </c>
      <c r="X1929" s="302">
        <f>W1929</f>
        <v>380000</v>
      </c>
      <c r="Y1929" s="310"/>
      <c r="Z1929" s="310">
        <f>X1929</f>
        <v>380000</v>
      </c>
      <c r="AA1929" s="405">
        <v>0.3</v>
      </c>
      <c r="AB1929" s="406">
        <f t="shared" ref="AB1929:AB1933" si="113">+Z1929*AA1929/100</f>
        <v>1140</v>
      </c>
    </row>
    <row r="1930" spans="1:28" s="352" customFormat="1" ht="18" customHeight="1" x14ac:dyDescent="0.2">
      <c r="A1930" s="2166"/>
      <c r="B1930" s="27"/>
      <c r="C1930" s="27"/>
      <c r="D1930" s="27"/>
      <c r="E1930" s="27">
        <v>2</v>
      </c>
      <c r="F1930" s="27">
        <v>0</v>
      </c>
      <c r="G1930" s="27">
        <v>1</v>
      </c>
      <c r="H1930" s="557">
        <v>0</v>
      </c>
      <c r="I1930" s="299">
        <v>100</v>
      </c>
      <c r="J1930" s="305">
        <v>190</v>
      </c>
      <c r="K1930" s="305">
        <f t="shared" ref="K1930:K1933" si="114">J1930*I1930</f>
        <v>19000</v>
      </c>
      <c r="L1930" s="45">
        <v>1</v>
      </c>
      <c r="M1930" s="88">
        <v>103</v>
      </c>
      <c r="N1930" s="27" t="s">
        <v>74</v>
      </c>
      <c r="O1930" s="45">
        <v>2</v>
      </c>
      <c r="P1930" s="802">
        <v>12</v>
      </c>
      <c r="Q1930" s="62" t="s">
        <v>75</v>
      </c>
      <c r="R1930" s="299">
        <v>9050</v>
      </c>
      <c r="S1930" s="299">
        <f>R1930*P1930</f>
        <v>108600</v>
      </c>
      <c r="T1930" s="27">
        <v>13</v>
      </c>
      <c r="U1930" s="299">
        <f>S1930*0.16</f>
        <v>17376</v>
      </c>
      <c r="V1930" s="299">
        <f>S1930-U1930</f>
        <v>91224</v>
      </c>
      <c r="W1930" s="299">
        <f>V1930</f>
        <v>91224</v>
      </c>
      <c r="X1930" s="299">
        <f t="shared" ref="X1930:X1933" si="115">W1930</f>
        <v>91224</v>
      </c>
      <c r="Y1930" s="305"/>
      <c r="Z1930" s="305">
        <f t="shared" ref="Z1930:Z1933" si="116">X1930</f>
        <v>91224</v>
      </c>
      <c r="AA1930" s="670">
        <v>0.02</v>
      </c>
      <c r="AB1930" s="410">
        <f t="shared" si="113"/>
        <v>18.244800000000001</v>
      </c>
    </row>
    <row r="1931" spans="1:28" s="352" customFormat="1" ht="18" customHeight="1" x14ac:dyDescent="0.2">
      <c r="A1931" s="88">
        <v>2</v>
      </c>
      <c r="B1931" s="27">
        <v>2204</v>
      </c>
      <c r="C1931" s="27">
        <v>79</v>
      </c>
      <c r="D1931" s="27" t="s">
        <v>107</v>
      </c>
      <c r="E1931" s="27">
        <v>3</v>
      </c>
      <c r="F1931" s="27">
        <v>2</v>
      </c>
      <c r="G1931" s="27">
        <v>0</v>
      </c>
      <c r="H1931" s="557">
        <v>60</v>
      </c>
      <c r="I1931" s="299">
        <v>860</v>
      </c>
      <c r="J1931" s="305">
        <v>190</v>
      </c>
      <c r="K1931" s="305">
        <f t="shared" si="114"/>
        <v>163400</v>
      </c>
      <c r="L1931" s="45"/>
      <c r="M1931" s="88"/>
      <c r="N1931" s="27"/>
      <c r="O1931" s="45"/>
      <c r="P1931" s="802"/>
      <c r="Q1931" s="62"/>
      <c r="R1931" s="299"/>
      <c r="S1931" s="299"/>
      <c r="T1931" s="27"/>
      <c r="U1931" s="299"/>
      <c r="V1931" s="299"/>
      <c r="W1931" s="299">
        <f>K1931</f>
        <v>163400</v>
      </c>
      <c r="X1931" s="299">
        <f t="shared" si="115"/>
        <v>163400</v>
      </c>
      <c r="Y1931" s="305"/>
      <c r="Z1931" s="305">
        <f t="shared" si="116"/>
        <v>163400</v>
      </c>
      <c r="AA1931" s="670">
        <v>0.3</v>
      </c>
      <c r="AB1931" s="410">
        <f t="shared" si="113"/>
        <v>490.2</v>
      </c>
    </row>
    <row r="1932" spans="1:28" s="352" customFormat="1" ht="18" customHeight="1" x14ac:dyDescent="0.25">
      <c r="A1932" s="2166"/>
      <c r="B1932" s="269"/>
      <c r="C1932" s="285"/>
      <c r="D1932" s="273"/>
      <c r="E1932" s="273">
        <v>2</v>
      </c>
      <c r="F1932" s="268">
        <v>0</v>
      </c>
      <c r="G1932" s="269">
        <v>1</v>
      </c>
      <c r="H1932" s="266">
        <v>0</v>
      </c>
      <c r="I1932" s="296">
        <v>100</v>
      </c>
      <c r="J1932" s="324">
        <v>190</v>
      </c>
      <c r="K1932" s="305">
        <f t="shared" si="114"/>
        <v>19000</v>
      </c>
      <c r="L1932" s="269">
        <v>2</v>
      </c>
      <c r="M1932" s="242">
        <v>103</v>
      </c>
      <c r="N1932" s="269" t="s">
        <v>74</v>
      </c>
      <c r="O1932" s="269">
        <v>2</v>
      </c>
      <c r="P1932" s="760">
        <v>24</v>
      </c>
      <c r="Q1932" s="285" t="s">
        <v>75</v>
      </c>
      <c r="R1932" s="321">
        <v>9050</v>
      </c>
      <c r="S1932" s="321">
        <f>R1932*P1932</f>
        <v>217200</v>
      </c>
      <c r="T1932" s="323">
        <v>25</v>
      </c>
      <c r="U1932" s="321">
        <f>S1932*0.4</f>
        <v>86880</v>
      </c>
      <c r="V1932" s="321">
        <f>S1932-U1932</f>
        <v>130320</v>
      </c>
      <c r="W1932" s="321">
        <f>V1932</f>
        <v>130320</v>
      </c>
      <c r="X1932" s="299">
        <f t="shared" si="115"/>
        <v>130320</v>
      </c>
      <c r="Y1932" s="305"/>
      <c r="Z1932" s="305">
        <f t="shared" si="116"/>
        <v>130320</v>
      </c>
      <c r="AA1932" s="708">
        <v>0.02</v>
      </c>
      <c r="AB1932" s="410">
        <f t="shared" si="113"/>
        <v>26.064</v>
      </c>
    </row>
    <row r="1933" spans="1:28" s="352" customFormat="1" ht="18" customHeight="1" x14ac:dyDescent="0.25">
      <c r="A1933" s="2166">
        <v>3</v>
      </c>
      <c r="B1933" s="269">
        <v>2205</v>
      </c>
      <c r="C1933" s="285">
        <v>94</v>
      </c>
      <c r="D1933" s="273" t="s">
        <v>107</v>
      </c>
      <c r="E1933" s="273">
        <v>3</v>
      </c>
      <c r="F1933" s="268">
        <v>3</v>
      </c>
      <c r="G1933" s="269">
        <v>2</v>
      </c>
      <c r="H1933" s="266">
        <v>76</v>
      </c>
      <c r="I1933" s="296">
        <v>1476</v>
      </c>
      <c r="J1933" s="324">
        <v>190</v>
      </c>
      <c r="K1933" s="305">
        <f t="shared" si="114"/>
        <v>280440</v>
      </c>
      <c r="L1933" s="269"/>
      <c r="M1933" s="242"/>
      <c r="N1933" s="269"/>
      <c r="O1933" s="269"/>
      <c r="P1933" s="760"/>
      <c r="Q1933" s="285"/>
      <c r="R1933" s="321"/>
      <c r="S1933" s="321"/>
      <c r="T1933" s="323"/>
      <c r="U1933" s="321"/>
      <c r="V1933" s="321"/>
      <c r="W1933" s="321">
        <f>K1933</f>
        <v>280440</v>
      </c>
      <c r="X1933" s="299">
        <f t="shared" si="115"/>
        <v>280440</v>
      </c>
      <c r="Y1933" s="305"/>
      <c r="Z1933" s="305">
        <f t="shared" si="116"/>
        <v>280440</v>
      </c>
      <c r="AA1933" s="708">
        <v>0.3</v>
      </c>
      <c r="AB1933" s="410">
        <f t="shared" si="113"/>
        <v>841.32</v>
      </c>
    </row>
    <row r="1934" spans="1:28" s="352" customFormat="1" ht="18" customHeight="1" x14ac:dyDescent="0.25">
      <c r="A1934" s="2166"/>
      <c r="B1934" s="269"/>
      <c r="C1934" s="285"/>
      <c r="D1934" s="273"/>
      <c r="E1934" s="273"/>
      <c r="F1934" s="268"/>
      <c r="G1934" s="269"/>
      <c r="H1934" s="266"/>
      <c r="I1934" s="296"/>
      <c r="J1934" s="324"/>
      <c r="K1934" s="305"/>
      <c r="L1934" s="269"/>
      <c r="M1934" s="242"/>
      <c r="N1934" s="269"/>
      <c r="O1934" s="269"/>
      <c r="P1934" s="760"/>
      <c r="Q1934" s="285"/>
      <c r="R1934" s="321"/>
      <c r="S1934" s="321"/>
      <c r="T1934" s="323"/>
      <c r="U1934" s="321"/>
      <c r="V1934" s="321"/>
      <c r="W1934" s="321"/>
      <c r="X1934" s="299"/>
      <c r="Y1934" s="305"/>
      <c r="Z1934" s="305"/>
      <c r="AA1934" s="708"/>
      <c r="AB1934" s="410"/>
    </row>
    <row r="1935" spans="1:28" s="352" customFormat="1" ht="18" customHeight="1" x14ac:dyDescent="0.2">
      <c r="A1935" s="2166"/>
      <c r="B1935" s="61"/>
      <c r="C1935" s="2166"/>
      <c r="D1935" s="2166"/>
      <c r="E1935" s="2166"/>
      <c r="F1935" s="2166"/>
      <c r="G1935" s="2166"/>
      <c r="H1935" s="407"/>
      <c r="I1935" s="77"/>
      <c r="J1935" s="2168"/>
      <c r="K1935" s="78"/>
      <c r="L1935" s="61"/>
      <c r="M1935" s="2166"/>
      <c r="N1935" s="2166"/>
      <c r="O1935" s="61"/>
      <c r="P1935" s="177"/>
      <c r="Q1935" s="196"/>
      <c r="R1935" s="408"/>
      <c r="S1935" s="77"/>
      <c r="T1935" s="2166"/>
      <c r="U1935" s="77"/>
      <c r="V1935" s="77"/>
      <c r="W1935" s="77"/>
      <c r="X1935" s="77"/>
      <c r="Y1935" s="2168"/>
      <c r="Z1935" s="77"/>
      <c r="AA1935" s="2170"/>
      <c r="AB1935" s="410"/>
    </row>
    <row r="1936" spans="1:28" s="352" customFormat="1" ht="18" customHeight="1" x14ac:dyDescent="0.2">
      <c r="A1936" s="88"/>
      <c r="B1936" s="75"/>
      <c r="C1936" s="88"/>
      <c r="D1936" s="88"/>
      <c r="E1936" s="2166"/>
      <c r="F1936" s="411"/>
      <c r="G1936" s="242"/>
      <c r="H1936" s="412"/>
      <c r="I1936" s="159"/>
      <c r="J1936" s="121"/>
      <c r="K1936" s="159"/>
      <c r="L1936" s="75"/>
      <c r="M1936" s="88"/>
      <c r="N1936" s="88"/>
      <c r="O1936" s="75"/>
      <c r="P1936" s="180"/>
      <c r="Q1936" s="174"/>
      <c r="R1936" s="413"/>
      <c r="S1936" s="74"/>
      <c r="T1936" s="88"/>
      <c r="U1936" s="74"/>
      <c r="V1936" s="74"/>
      <c r="W1936" s="74"/>
      <c r="X1936" s="74"/>
      <c r="Y1936" s="121"/>
      <c r="Z1936" s="74"/>
      <c r="AA1936" s="414"/>
      <c r="AB1936" s="415"/>
    </row>
    <row r="1937" spans="1:28" s="352" customFormat="1" ht="18" customHeight="1" x14ac:dyDescent="0.2">
      <c r="A1937" s="88"/>
      <c r="B1937" s="75"/>
      <c r="C1937" s="88"/>
      <c r="D1937" s="231"/>
      <c r="E1937" s="2166"/>
      <c r="F1937" s="411"/>
      <c r="G1937" s="242"/>
      <c r="H1937" s="412"/>
      <c r="I1937" s="159"/>
      <c r="J1937" s="121"/>
      <c r="K1937" s="159"/>
      <c r="L1937" s="75"/>
      <c r="M1937" s="88"/>
      <c r="N1937" s="88"/>
      <c r="O1937" s="75"/>
      <c r="P1937" s="180"/>
      <c r="Q1937" s="174"/>
      <c r="R1937" s="413"/>
      <c r="S1937" s="74"/>
      <c r="T1937" s="88"/>
      <c r="U1937" s="74"/>
      <c r="V1937" s="74"/>
      <c r="W1937" s="74"/>
      <c r="X1937" s="74"/>
      <c r="Y1937" s="121"/>
      <c r="Z1937" s="74"/>
      <c r="AA1937" s="417"/>
      <c r="AB1937" s="410"/>
    </row>
    <row r="1938" spans="1:28" s="352" customFormat="1" ht="18" customHeight="1" x14ac:dyDescent="0.2">
      <c r="A1938" s="88"/>
      <c r="B1938" s="75"/>
      <c r="C1938" s="88"/>
      <c r="D1938" s="88"/>
      <c r="E1938" s="2166"/>
      <c r="F1938" s="411"/>
      <c r="G1938" s="242"/>
      <c r="H1938" s="412"/>
      <c r="I1938" s="159"/>
      <c r="J1938" s="121"/>
      <c r="K1938" s="159"/>
      <c r="L1938" s="75"/>
      <c r="M1938" s="88"/>
      <c r="N1938" s="88"/>
      <c r="O1938" s="75"/>
      <c r="P1938" s="180"/>
      <c r="Q1938" s="174"/>
      <c r="R1938" s="413"/>
      <c r="S1938" s="74"/>
      <c r="T1938" s="88"/>
      <c r="U1938" s="74"/>
      <c r="V1938" s="74"/>
      <c r="W1938" s="74"/>
      <c r="X1938" s="74"/>
      <c r="Y1938" s="121"/>
      <c r="Z1938" s="74"/>
      <c r="AA1938" s="414"/>
      <c r="AB1938" s="415"/>
    </row>
    <row r="1939" spans="1:28" s="352" customFormat="1" ht="18" customHeight="1" x14ac:dyDescent="0.2">
      <c r="A1939" s="88"/>
      <c r="B1939" s="75"/>
      <c r="C1939" s="88"/>
      <c r="D1939" s="231"/>
      <c r="E1939" s="2166"/>
      <c r="F1939" s="411"/>
      <c r="G1939" s="242"/>
      <c r="H1939" s="412"/>
      <c r="I1939" s="159"/>
      <c r="J1939" s="121"/>
      <c r="K1939" s="159"/>
      <c r="L1939" s="75"/>
      <c r="M1939" s="88"/>
      <c r="N1939" s="88"/>
      <c r="O1939" s="75"/>
      <c r="P1939" s="180"/>
      <c r="Q1939" s="174"/>
      <c r="R1939" s="413"/>
      <c r="S1939" s="74"/>
      <c r="T1939" s="88"/>
      <c r="U1939" s="74"/>
      <c r="V1939" s="74"/>
      <c r="W1939" s="74"/>
      <c r="X1939" s="74"/>
      <c r="Y1939" s="121"/>
      <c r="Z1939" s="74"/>
      <c r="AA1939" s="417"/>
      <c r="AB1939" s="410"/>
    </row>
    <row r="1940" spans="1:28" s="352" customFormat="1" ht="18" customHeight="1" x14ac:dyDescent="0.2">
      <c r="A1940" s="88"/>
      <c r="B1940" s="75"/>
      <c r="C1940" s="88"/>
      <c r="D1940" s="2165"/>
      <c r="E1940" s="2166"/>
      <c r="F1940" s="411"/>
      <c r="G1940" s="242"/>
      <c r="H1940" s="412"/>
      <c r="I1940" s="159"/>
      <c r="J1940" s="121"/>
      <c r="K1940" s="159"/>
      <c r="L1940" s="75"/>
      <c r="M1940" s="88"/>
      <c r="N1940" s="88"/>
      <c r="O1940" s="75"/>
      <c r="P1940" s="180"/>
      <c r="Q1940" s="174"/>
      <c r="R1940" s="413"/>
      <c r="S1940" s="74"/>
      <c r="T1940" s="88"/>
      <c r="U1940" s="74"/>
      <c r="V1940" s="74"/>
      <c r="W1940" s="74"/>
      <c r="X1940" s="74"/>
      <c r="Y1940" s="121"/>
      <c r="Z1940" s="74"/>
      <c r="AA1940" s="414"/>
      <c r="AB1940" s="410"/>
    </row>
    <row r="1941" spans="1:28" s="352" customFormat="1" ht="18" customHeight="1" x14ac:dyDescent="0.2">
      <c r="A1941" s="88"/>
      <c r="B1941" s="75"/>
      <c r="C1941" s="88"/>
      <c r="D1941" s="2165"/>
      <c r="E1941" s="2166"/>
      <c r="F1941" s="411"/>
      <c r="G1941" s="242"/>
      <c r="H1941" s="412"/>
      <c r="I1941" s="159"/>
      <c r="J1941" s="121"/>
      <c r="K1941" s="159"/>
      <c r="L1941" s="75"/>
      <c r="M1941" s="88"/>
      <c r="N1941" s="88"/>
      <c r="O1941" s="75"/>
      <c r="P1941" s="180"/>
      <c r="Q1941" s="174"/>
      <c r="R1941" s="413"/>
      <c r="S1941" s="74"/>
      <c r="T1941" s="88"/>
      <c r="U1941" s="74"/>
      <c r="V1941" s="74"/>
      <c r="W1941" s="74"/>
      <c r="X1941" s="74"/>
      <c r="Y1941" s="121"/>
      <c r="Z1941" s="74"/>
      <c r="AA1941" s="414"/>
      <c r="AB1941" s="416"/>
    </row>
    <row r="1942" spans="1:28" s="352" customFormat="1" ht="18" customHeight="1" x14ac:dyDescent="0.2">
      <c r="A1942" s="88"/>
      <c r="B1942" s="418"/>
      <c r="C1942" s="88"/>
      <c r="D1942" s="88"/>
      <c r="E1942" s="88"/>
      <c r="F1942" s="411"/>
      <c r="G1942" s="242"/>
      <c r="H1942" s="412"/>
      <c r="I1942" s="159"/>
      <c r="J1942" s="121"/>
      <c r="K1942" s="159"/>
      <c r="L1942" s="75"/>
      <c r="M1942" s="88"/>
      <c r="N1942" s="88"/>
      <c r="O1942" s="75"/>
      <c r="P1942" s="180"/>
      <c r="Q1942" s="174"/>
      <c r="R1942" s="413"/>
      <c r="S1942" s="74"/>
      <c r="T1942" s="88"/>
      <c r="U1942" s="74"/>
      <c r="V1942" s="74"/>
      <c r="W1942" s="74"/>
      <c r="X1942" s="74"/>
      <c r="Y1942" s="121"/>
      <c r="Z1942" s="74"/>
      <c r="AA1942" s="414"/>
      <c r="AB1942" s="410"/>
    </row>
    <row r="1943" spans="1:28" s="352" customFormat="1" ht="18" customHeight="1" x14ac:dyDescent="0.2">
      <c r="A1943" s="1147"/>
      <c r="B1943" s="1989"/>
      <c r="C1943" s="1147"/>
      <c r="D1943" s="1147"/>
      <c r="E1943" s="1147"/>
      <c r="F1943" s="1147"/>
      <c r="G1943" s="1147"/>
      <c r="H1943" s="1990"/>
      <c r="I1943" s="1991"/>
      <c r="J1943" s="1868"/>
      <c r="K1943" s="1992"/>
      <c r="L1943" s="1989"/>
      <c r="M1943" s="1147"/>
      <c r="N1943" s="1147"/>
      <c r="O1943" s="1989"/>
      <c r="P1943" s="1867"/>
      <c r="Q1943" s="1993"/>
      <c r="R1943" s="1994"/>
      <c r="S1943" s="1991"/>
      <c r="T1943" s="1147"/>
      <c r="U1943" s="1991"/>
      <c r="V1943" s="1991"/>
      <c r="W1943" s="1991"/>
      <c r="X1943" s="1991"/>
      <c r="Y1943" s="1868"/>
      <c r="Z1943" s="1991"/>
      <c r="AA1943" s="1995"/>
      <c r="AB1943" s="1849">
        <f>SUM(AB1929:AB1942)</f>
        <v>2515.8288000000002</v>
      </c>
    </row>
    <row r="1944" spans="1:28" s="352" customFormat="1" ht="18" customHeight="1" x14ac:dyDescent="0.2">
      <c r="A1944" s="2788" t="s">
        <v>76</v>
      </c>
      <c r="B1944" s="2788"/>
      <c r="C1944" s="2779" t="s">
        <v>77</v>
      </c>
      <c r="D1944" s="2779"/>
      <c r="E1944" s="2779"/>
      <c r="F1944" s="2779"/>
      <c r="G1944" s="2779"/>
      <c r="H1944" s="2779"/>
      <c r="I1944" s="424" t="s">
        <v>78</v>
      </c>
      <c r="J1944" s="424"/>
      <c r="K1944" s="424"/>
      <c r="L1944" s="424"/>
      <c r="M1944" s="424"/>
      <c r="N1944" s="424"/>
      <c r="AB1944" s="425"/>
    </row>
    <row r="1945" spans="1:28" s="352" customFormat="1" ht="18" customHeight="1" x14ac:dyDescent="0.2">
      <c r="A1945" s="424"/>
      <c r="B1945" s="426"/>
      <c r="C1945" s="424"/>
      <c r="D1945" s="424"/>
      <c r="E1945" s="424"/>
      <c r="F1945" s="424"/>
      <c r="G1945" s="424"/>
      <c r="H1945" s="424"/>
      <c r="I1945" s="424" t="s">
        <v>79</v>
      </c>
      <c r="J1945" s="424"/>
      <c r="K1945" s="424"/>
      <c r="L1945" s="424"/>
      <c r="M1945" s="424"/>
      <c r="N1945" s="424"/>
      <c r="AB1945" s="425"/>
    </row>
    <row r="1946" spans="1:28" s="352" customFormat="1" ht="18" customHeight="1" x14ac:dyDescent="0.2">
      <c r="A1946" s="424"/>
      <c r="B1946" s="426"/>
      <c r="C1946" s="424"/>
      <c r="D1946" s="424"/>
      <c r="E1946" s="424"/>
      <c r="F1946" s="424"/>
      <c r="G1946" s="424"/>
      <c r="H1946" s="424"/>
      <c r="I1946" s="424" t="s">
        <v>80</v>
      </c>
      <c r="J1946" s="424"/>
      <c r="K1946" s="424"/>
      <c r="L1946" s="424"/>
      <c r="M1946" s="424"/>
      <c r="N1946" s="424"/>
      <c r="AB1946" s="425"/>
    </row>
    <row r="1947" spans="1:28" s="352" customFormat="1" ht="18" customHeight="1" x14ac:dyDescent="0.2">
      <c r="A1947" s="424"/>
      <c r="B1947" s="426"/>
      <c r="C1947" s="424"/>
      <c r="D1947" s="424"/>
      <c r="E1947" s="424"/>
      <c r="F1947" s="424"/>
      <c r="G1947" s="424"/>
      <c r="H1947" s="424"/>
      <c r="I1947" s="424" t="s">
        <v>81</v>
      </c>
      <c r="J1947" s="424"/>
      <c r="K1947" s="424"/>
      <c r="L1947" s="424"/>
      <c r="M1947" s="424"/>
      <c r="N1947" s="424"/>
      <c r="AB1947" s="425"/>
    </row>
    <row r="1948" spans="1:28" s="352" customFormat="1" ht="18" customHeight="1" x14ac:dyDescent="0.2">
      <c r="A1948" s="424"/>
      <c r="B1948" s="426"/>
      <c r="C1948" s="424"/>
      <c r="D1948" s="424"/>
      <c r="E1948" s="424"/>
      <c r="F1948" s="424"/>
      <c r="G1948" s="424"/>
      <c r="H1948" s="424"/>
      <c r="I1948" s="424" t="s">
        <v>88</v>
      </c>
      <c r="J1948" s="424"/>
      <c r="K1948" s="424"/>
      <c r="L1948" s="424"/>
      <c r="M1948" s="424"/>
      <c r="N1948" s="424"/>
      <c r="AB1948" s="425"/>
    </row>
    <row r="1949" spans="1:28" s="352" customFormat="1" ht="18" customHeight="1" x14ac:dyDescent="0.2">
      <c r="A1949" s="338"/>
      <c r="B1949" s="338"/>
      <c r="C1949" s="338"/>
      <c r="D1949" s="338"/>
      <c r="E1949" s="338"/>
      <c r="F1949" s="338"/>
      <c r="G1949" s="338"/>
      <c r="H1949" s="338"/>
      <c r="I1949" s="338"/>
      <c r="J1949" s="338"/>
      <c r="K1949" s="338"/>
      <c r="L1949" s="338"/>
      <c r="M1949" s="338"/>
      <c r="N1949" s="338"/>
      <c r="O1949" s="338"/>
      <c r="P1949" s="338"/>
      <c r="Q1949" s="338"/>
      <c r="R1949" s="338"/>
      <c r="S1949" s="338"/>
      <c r="T1949" s="338"/>
      <c r="U1949" s="338"/>
      <c r="V1949" s="338"/>
      <c r="W1949" s="338"/>
      <c r="X1949" s="338"/>
      <c r="Y1949" s="338"/>
      <c r="Z1949" s="338"/>
      <c r="AA1949" s="2774" t="s">
        <v>0</v>
      </c>
      <c r="AB1949" s="2774"/>
    </row>
    <row r="1950" spans="1:28" s="352" customFormat="1" ht="18" customHeight="1" x14ac:dyDescent="0.2">
      <c r="A1950" s="2703" t="s">
        <v>1</v>
      </c>
      <c r="B1950" s="2703"/>
      <c r="C1950" s="2703"/>
      <c r="D1950" s="2703"/>
      <c r="E1950" s="2703"/>
      <c r="F1950" s="2703"/>
      <c r="G1950" s="2703"/>
      <c r="H1950" s="2703"/>
      <c r="I1950" s="2703"/>
      <c r="J1950" s="2703"/>
      <c r="K1950" s="2703"/>
      <c r="L1950" s="2703"/>
      <c r="M1950" s="2703"/>
      <c r="N1950" s="2703"/>
      <c r="O1950" s="2703"/>
      <c r="P1950" s="2703"/>
      <c r="Q1950" s="2703"/>
      <c r="R1950" s="2703"/>
      <c r="S1950" s="2703"/>
      <c r="T1950" s="2703"/>
      <c r="U1950" s="2703"/>
      <c r="V1950" s="2703"/>
      <c r="W1950" s="2703"/>
      <c r="X1950" s="2703"/>
      <c r="Y1950" s="2703"/>
      <c r="Z1950" s="2703"/>
      <c r="AA1950" s="2703"/>
      <c r="AB1950" s="2703"/>
    </row>
    <row r="1951" spans="1:28" s="2191" customFormat="1" ht="18" customHeight="1" x14ac:dyDescent="0.2">
      <c r="A1951" s="2780" t="s">
        <v>659</v>
      </c>
      <c r="B1951" s="2780"/>
      <c r="C1951" s="2780"/>
      <c r="D1951" s="2780"/>
      <c r="E1951" s="2780"/>
      <c r="F1951" s="2780"/>
      <c r="G1951" s="2780"/>
      <c r="H1951" s="2780"/>
      <c r="I1951" s="2780"/>
      <c r="J1951" s="2780"/>
      <c r="K1951" s="2780"/>
      <c r="L1951" s="2780"/>
      <c r="M1951" s="2780"/>
      <c r="N1951" s="2780"/>
      <c r="O1951" s="2780"/>
      <c r="P1951" s="2780"/>
      <c r="Q1951" s="2780"/>
      <c r="R1951" s="2780"/>
      <c r="S1951" s="2780"/>
      <c r="T1951" s="2780"/>
      <c r="U1951" s="2780"/>
      <c r="V1951" s="2780"/>
      <c r="W1951" s="2780"/>
      <c r="X1951" s="2780"/>
      <c r="Y1951" s="2780"/>
      <c r="Z1951" s="2780"/>
      <c r="AA1951" s="2780"/>
      <c r="AB1951" s="2780"/>
    </row>
    <row r="1952" spans="1:28" s="352" customFormat="1" ht="18" customHeight="1" x14ac:dyDescent="0.2">
      <c r="A1952" s="2686" t="s">
        <v>2</v>
      </c>
      <c r="B1952" s="360"/>
      <c r="C1952" s="2686" t="s">
        <v>3</v>
      </c>
      <c r="D1952" s="360"/>
      <c r="E1952" s="360"/>
      <c r="F1952" s="2693" t="s">
        <v>4</v>
      </c>
      <c r="G1952" s="2693"/>
      <c r="H1952" s="2693"/>
      <c r="I1952" s="2694"/>
      <c r="J1952" s="2694"/>
      <c r="K1952" s="2695"/>
      <c r="L1952" s="361"/>
      <c r="M1952" s="2679" t="s">
        <v>5</v>
      </c>
      <c r="N1952" s="2679"/>
      <c r="O1952" s="2679"/>
      <c r="P1952" s="2679"/>
      <c r="Q1952" s="2696"/>
      <c r="R1952" s="2696"/>
      <c r="S1952" s="2696"/>
      <c r="T1952" s="2696"/>
      <c r="U1952" s="2696"/>
      <c r="V1952" s="2697"/>
      <c r="W1952" s="362" t="s">
        <v>6</v>
      </c>
      <c r="X1952" s="363" t="s">
        <v>7</v>
      </c>
      <c r="Y1952" s="364"/>
      <c r="Z1952" s="364"/>
      <c r="AA1952" s="363"/>
      <c r="AB1952" s="365"/>
    </row>
    <row r="1953" spans="1:28" s="352" customFormat="1" ht="18" customHeight="1" x14ac:dyDescent="0.2">
      <c r="A1953" s="2687"/>
      <c r="B1953" s="367"/>
      <c r="C1953" s="2687"/>
      <c r="D1953" s="2158" t="s">
        <v>9</v>
      </c>
      <c r="E1953" s="368" t="s">
        <v>10</v>
      </c>
      <c r="F1953" s="2698" t="s">
        <v>11</v>
      </c>
      <c r="G1953" s="2694"/>
      <c r="H1953" s="2695"/>
      <c r="I1953" s="360"/>
      <c r="J1953" s="369" t="s">
        <v>12</v>
      </c>
      <c r="K1953" s="360"/>
      <c r="L1953" s="2679" t="s">
        <v>2</v>
      </c>
      <c r="M1953" s="2162"/>
      <c r="N1953" s="2162"/>
      <c r="O1953" s="2162"/>
      <c r="P1953" s="371"/>
      <c r="Q1953" s="372" t="s">
        <v>13</v>
      </c>
      <c r="R1953" s="373" t="s">
        <v>12</v>
      </c>
      <c r="S1953" s="2162" t="s">
        <v>6</v>
      </c>
      <c r="T1953" s="2682" t="s">
        <v>14</v>
      </c>
      <c r="U1953" s="2683"/>
      <c r="V1953" s="375" t="s">
        <v>7</v>
      </c>
      <c r="W1953" s="376" t="s">
        <v>15</v>
      </c>
      <c r="X1953" s="377" t="s">
        <v>16</v>
      </c>
      <c r="Y1953" s="377" t="s">
        <v>17</v>
      </c>
      <c r="Z1953" s="377" t="s">
        <v>18</v>
      </c>
      <c r="AA1953" s="377"/>
      <c r="AB1953" s="378" t="s">
        <v>19</v>
      </c>
    </row>
    <row r="1954" spans="1:28" s="352" customFormat="1" ht="18" customHeight="1" x14ac:dyDescent="0.2">
      <c r="A1954" s="2687"/>
      <c r="B1954" s="2158" t="s">
        <v>23</v>
      </c>
      <c r="C1954" s="2687"/>
      <c r="D1954" s="2158" t="s">
        <v>24</v>
      </c>
      <c r="E1954" s="368" t="s">
        <v>25</v>
      </c>
      <c r="F1954" s="2699"/>
      <c r="G1954" s="2700"/>
      <c r="H1954" s="2701"/>
      <c r="I1954" s="2158" t="s">
        <v>26</v>
      </c>
      <c r="J1954" s="379" t="s">
        <v>15</v>
      </c>
      <c r="K1954" s="2159" t="s">
        <v>6</v>
      </c>
      <c r="L1954" s="2680"/>
      <c r="M1954" s="2163" t="s">
        <v>27</v>
      </c>
      <c r="N1954" s="2163" t="s">
        <v>10</v>
      </c>
      <c r="O1954" s="382" t="s">
        <v>10</v>
      </c>
      <c r="P1954" s="383" t="s">
        <v>28</v>
      </c>
      <c r="Q1954" s="384" t="s">
        <v>29</v>
      </c>
      <c r="R1954" s="383" t="s">
        <v>15</v>
      </c>
      <c r="S1954" s="385" t="s">
        <v>15</v>
      </c>
      <c r="T1954" s="2684"/>
      <c r="U1954" s="2685"/>
      <c r="V1954" s="375" t="s">
        <v>30</v>
      </c>
      <c r="W1954" s="376" t="s">
        <v>31</v>
      </c>
      <c r="X1954" s="377" t="s">
        <v>30</v>
      </c>
      <c r="Y1954" s="377" t="s">
        <v>32</v>
      </c>
      <c r="Z1954" s="377" t="s">
        <v>7</v>
      </c>
      <c r="AA1954" s="377" t="s">
        <v>33</v>
      </c>
      <c r="AB1954" s="378" t="s">
        <v>34</v>
      </c>
    </row>
    <row r="1955" spans="1:28" s="352" customFormat="1" ht="18" customHeight="1" x14ac:dyDescent="0.2">
      <c r="A1955" s="2687"/>
      <c r="B1955" s="2158" t="s">
        <v>39</v>
      </c>
      <c r="C1955" s="2687"/>
      <c r="D1955" s="2158" t="s">
        <v>40</v>
      </c>
      <c r="E1955" s="368" t="s">
        <v>41</v>
      </c>
      <c r="F1955" s="2686" t="s">
        <v>42</v>
      </c>
      <c r="G1955" s="2686" t="s">
        <v>43</v>
      </c>
      <c r="H1955" s="2688" t="s">
        <v>44</v>
      </c>
      <c r="I1955" s="2158" t="s">
        <v>45</v>
      </c>
      <c r="J1955" s="379" t="s">
        <v>46</v>
      </c>
      <c r="K1955" s="2159" t="s">
        <v>47</v>
      </c>
      <c r="L1955" s="2680"/>
      <c r="M1955" s="2163" t="s">
        <v>30</v>
      </c>
      <c r="N1955" s="2163" t="s">
        <v>30</v>
      </c>
      <c r="O1955" s="382" t="s">
        <v>25</v>
      </c>
      <c r="P1955" s="383" t="s">
        <v>30</v>
      </c>
      <c r="Q1955" s="384" t="s">
        <v>48</v>
      </c>
      <c r="R1955" s="383" t="s">
        <v>49</v>
      </c>
      <c r="S1955" s="385" t="s">
        <v>30</v>
      </c>
      <c r="T1955" s="386" t="s">
        <v>50</v>
      </c>
      <c r="U1955" s="2161" t="s">
        <v>13</v>
      </c>
      <c r="V1955" s="375" t="s">
        <v>51</v>
      </c>
      <c r="W1955" s="376" t="s">
        <v>52</v>
      </c>
      <c r="X1955" s="377" t="s">
        <v>53</v>
      </c>
      <c r="Y1955" s="377" t="s">
        <v>54</v>
      </c>
      <c r="Z1955" s="377" t="s">
        <v>55</v>
      </c>
      <c r="AA1955" s="377" t="s">
        <v>56</v>
      </c>
      <c r="AB1955" s="378" t="s">
        <v>57</v>
      </c>
    </row>
    <row r="1956" spans="1:28" s="352" customFormat="1" ht="18" customHeight="1" x14ac:dyDescent="0.2">
      <c r="A1956" s="2687"/>
      <c r="B1956" s="2158" t="s">
        <v>61</v>
      </c>
      <c r="C1956" s="2687"/>
      <c r="D1956" s="2158" t="s">
        <v>62</v>
      </c>
      <c r="E1956" s="368" t="s">
        <v>63</v>
      </c>
      <c r="F1956" s="2687"/>
      <c r="G1956" s="2687"/>
      <c r="H1956" s="2689"/>
      <c r="I1956" s="2158" t="s">
        <v>64</v>
      </c>
      <c r="J1956" s="379" t="s">
        <v>59</v>
      </c>
      <c r="K1956" s="2159" t="s">
        <v>59</v>
      </c>
      <c r="L1956" s="2680"/>
      <c r="M1956" s="2163"/>
      <c r="N1956" s="2163"/>
      <c r="O1956" s="382" t="s">
        <v>41</v>
      </c>
      <c r="P1956" s="383" t="s">
        <v>65</v>
      </c>
      <c r="Q1956" s="384" t="s">
        <v>66</v>
      </c>
      <c r="R1956" s="383" t="s">
        <v>67</v>
      </c>
      <c r="S1956" s="385" t="s">
        <v>59</v>
      </c>
      <c r="T1956" s="387" t="s">
        <v>68</v>
      </c>
      <c r="U1956" s="375" t="s">
        <v>14</v>
      </c>
      <c r="V1956" s="375" t="s">
        <v>14</v>
      </c>
      <c r="W1956" s="376" t="s">
        <v>30</v>
      </c>
      <c r="X1956" s="388" t="s">
        <v>69</v>
      </c>
      <c r="Y1956" s="388" t="s">
        <v>70</v>
      </c>
      <c r="Z1956" s="377" t="s">
        <v>71</v>
      </c>
      <c r="AA1956" s="377" t="s">
        <v>72</v>
      </c>
      <c r="AB1956" s="378" t="s">
        <v>59</v>
      </c>
    </row>
    <row r="1957" spans="1:28" s="352" customFormat="1" ht="18" customHeight="1" x14ac:dyDescent="0.2">
      <c r="A1957" s="2692"/>
      <c r="B1957" s="390"/>
      <c r="C1957" s="2692"/>
      <c r="D1957" s="390"/>
      <c r="E1957" s="2160"/>
      <c r="F1957" s="390"/>
      <c r="G1957" s="390"/>
      <c r="H1957" s="391"/>
      <c r="I1957" s="2160"/>
      <c r="J1957" s="392"/>
      <c r="K1957" s="393"/>
      <c r="L1957" s="2681"/>
      <c r="M1957" s="2164"/>
      <c r="N1957" s="2164"/>
      <c r="O1957" s="2164" t="s">
        <v>63</v>
      </c>
      <c r="P1957" s="395"/>
      <c r="Q1957" s="396" t="s">
        <v>72</v>
      </c>
      <c r="R1957" s="397" t="s">
        <v>59</v>
      </c>
      <c r="S1957" s="398"/>
      <c r="T1957" s="397" t="s">
        <v>73</v>
      </c>
      <c r="U1957" s="398" t="s">
        <v>59</v>
      </c>
      <c r="V1957" s="399" t="s">
        <v>59</v>
      </c>
      <c r="W1957" s="400" t="s">
        <v>59</v>
      </c>
      <c r="X1957" s="401" t="s">
        <v>59</v>
      </c>
      <c r="Y1957" s="401" t="s">
        <v>59</v>
      </c>
      <c r="Z1957" s="401" t="s">
        <v>59</v>
      </c>
      <c r="AA1957" s="402"/>
      <c r="AB1957" s="403"/>
    </row>
    <row r="1958" spans="1:28" s="352" customFormat="1" ht="18" customHeight="1" x14ac:dyDescent="0.2">
      <c r="A1958" s="82">
        <v>1</v>
      </c>
      <c r="B1958" s="41">
        <v>28873</v>
      </c>
      <c r="C1958" s="41">
        <v>20</v>
      </c>
      <c r="D1958" s="41" t="s">
        <v>107</v>
      </c>
      <c r="E1958" s="41">
        <v>4</v>
      </c>
      <c r="F1958" s="41">
        <v>0</v>
      </c>
      <c r="G1958" s="41">
        <v>0</v>
      </c>
      <c r="H1958" s="267">
        <v>70</v>
      </c>
      <c r="I1958" s="302">
        <f>F1958*400+G1958*100+H1958</f>
        <v>70</v>
      </c>
      <c r="J1958" s="310">
        <v>3000</v>
      </c>
      <c r="K1958" s="303">
        <f>SUM(I1958*J1958)</f>
        <v>210000</v>
      </c>
      <c r="L1958" s="16"/>
      <c r="M1958" s="82"/>
      <c r="N1958" s="41"/>
      <c r="O1958" s="16"/>
      <c r="P1958" s="404"/>
      <c r="Q1958" s="14"/>
      <c r="R1958" s="302"/>
      <c r="S1958" s="302"/>
      <c r="T1958" s="41"/>
      <c r="U1958" s="302"/>
      <c r="V1958" s="302"/>
      <c r="W1958" s="302">
        <f>K1958+V1958</f>
        <v>210000</v>
      </c>
      <c r="X1958" s="302">
        <f>W1958</f>
        <v>210000</v>
      </c>
      <c r="Y1958" s="310"/>
      <c r="Z1958" s="302">
        <f>+X1958</f>
        <v>210000</v>
      </c>
      <c r="AA1958" s="405">
        <v>0.6</v>
      </c>
      <c r="AB1958" s="406">
        <f>+Z1958*AA1958/100</f>
        <v>1260</v>
      </c>
    </row>
    <row r="1959" spans="1:28" s="352" customFormat="1" ht="18" customHeight="1" x14ac:dyDescent="0.2">
      <c r="A1959" s="2166"/>
      <c r="B1959" s="61"/>
      <c r="C1959" s="2166"/>
      <c r="D1959" s="2166"/>
      <c r="E1959" s="2166"/>
      <c r="F1959" s="2166"/>
      <c r="G1959" s="2166"/>
      <c r="H1959" s="407"/>
      <c r="I1959" s="74"/>
      <c r="J1959" s="121"/>
      <c r="K1959" s="159"/>
      <c r="L1959" s="88"/>
      <c r="M1959" s="239"/>
      <c r="N1959" s="88"/>
      <c r="O1959" s="75"/>
      <c r="P1959" s="180"/>
      <c r="Q1959" s="129"/>
      <c r="R1959" s="440"/>
      <c r="S1959" s="159"/>
      <c r="T1959" s="88"/>
      <c r="U1959" s="74"/>
      <c r="V1959" s="74"/>
      <c r="W1959" s="74"/>
      <c r="X1959" s="74"/>
      <c r="Y1959" s="121"/>
      <c r="Z1959" s="74"/>
      <c r="AA1959" s="414"/>
      <c r="AB1959" s="410"/>
    </row>
    <row r="1960" spans="1:28" s="352" customFormat="1" ht="18" customHeight="1" x14ac:dyDescent="0.2">
      <c r="A1960" s="88"/>
      <c r="B1960" s="75"/>
      <c r="C1960" s="88"/>
      <c r="D1960" s="88"/>
      <c r="E1960" s="88"/>
      <c r="F1960" s="88"/>
      <c r="G1960" s="88"/>
      <c r="H1960" s="495"/>
      <c r="I1960" s="74"/>
      <c r="J1960" s="121"/>
      <c r="K1960" s="159"/>
      <c r="L1960" s="75"/>
      <c r="M1960" s="88"/>
      <c r="N1960" s="88"/>
      <c r="O1960" s="75"/>
      <c r="P1960" s="180"/>
      <c r="Q1960" s="174"/>
      <c r="R1960" s="413"/>
      <c r="S1960" s="74"/>
      <c r="T1960" s="88"/>
      <c r="U1960" s="74"/>
      <c r="V1960" s="74"/>
      <c r="W1960" s="74"/>
      <c r="X1960" s="74"/>
      <c r="Y1960" s="121"/>
      <c r="Z1960" s="74"/>
      <c r="AA1960" s="414"/>
      <c r="AB1960" s="410"/>
    </row>
    <row r="1961" spans="1:28" s="352" customFormat="1" ht="18" customHeight="1" x14ac:dyDescent="0.2">
      <c r="A1961" s="2166"/>
      <c r="B1961" s="61"/>
      <c r="C1961" s="2166"/>
      <c r="D1961" s="2166"/>
      <c r="E1961" s="2166"/>
      <c r="F1961" s="2166"/>
      <c r="G1961" s="2166"/>
      <c r="H1961" s="407"/>
      <c r="I1961" s="74"/>
      <c r="J1961" s="121"/>
      <c r="K1961" s="159"/>
      <c r="L1961" s="61"/>
      <c r="M1961" s="2166"/>
      <c r="N1961" s="2166"/>
      <c r="O1961" s="61"/>
      <c r="P1961" s="177"/>
      <c r="Q1961" s="196"/>
      <c r="R1961" s="408"/>
      <c r="S1961" s="77"/>
      <c r="T1961" s="2166"/>
      <c r="U1961" s="77"/>
      <c r="V1961" s="77"/>
      <c r="W1961" s="77"/>
      <c r="X1961" s="77"/>
      <c r="Y1961" s="2168"/>
      <c r="Z1961" s="77"/>
      <c r="AA1961" s="2170"/>
      <c r="AB1961" s="410"/>
    </row>
    <row r="1962" spans="1:28" s="352" customFormat="1" ht="18" customHeight="1" x14ac:dyDescent="0.2">
      <c r="A1962" s="2166"/>
      <c r="B1962" s="61"/>
      <c r="C1962" s="2166"/>
      <c r="D1962" s="2166"/>
      <c r="E1962" s="2166"/>
      <c r="F1962" s="2166"/>
      <c r="G1962" s="2166"/>
      <c r="H1962" s="407"/>
      <c r="I1962" s="77"/>
      <c r="J1962" s="2168"/>
      <c r="K1962" s="78"/>
      <c r="L1962" s="61"/>
      <c r="M1962" s="2166"/>
      <c r="N1962" s="2166"/>
      <c r="O1962" s="61"/>
      <c r="P1962" s="177"/>
      <c r="Q1962" s="196"/>
      <c r="R1962" s="408"/>
      <c r="S1962" s="77"/>
      <c r="T1962" s="2166"/>
      <c r="U1962" s="77"/>
      <c r="V1962" s="77"/>
      <c r="W1962" s="77"/>
      <c r="X1962" s="77"/>
      <c r="Y1962" s="2168"/>
      <c r="Z1962" s="77"/>
      <c r="AA1962" s="2170"/>
      <c r="AB1962" s="410"/>
    </row>
    <row r="1963" spans="1:28" s="352" customFormat="1" ht="18" customHeight="1" x14ac:dyDescent="0.2">
      <c r="A1963" s="2166"/>
      <c r="B1963" s="61"/>
      <c r="C1963" s="2166"/>
      <c r="D1963" s="2166"/>
      <c r="E1963" s="2166"/>
      <c r="F1963" s="2166"/>
      <c r="G1963" s="2166"/>
      <c r="H1963" s="407"/>
      <c r="I1963" s="77"/>
      <c r="J1963" s="2168"/>
      <c r="K1963" s="78"/>
      <c r="L1963" s="61"/>
      <c r="M1963" s="2166"/>
      <c r="N1963" s="2166"/>
      <c r="O1963" s="61"/>
      <c r="P1963" s="177"/>
      <c r="Q1963" s="196"/>
      <c r="R1963" s="408"/>
      <c r="S1963" s="77"/>
      <c r="T1963" s="2166"/>
      <c r="U1963" s="77"/>
      <c r="V1963" s="77"/>
      <c r="W1963" s="77"/>
      <c r="X1963" s="77"/>
      <c r="Y1963" s="2168"/>
      <c r="Z1963" s="77"/>
      <c r="AA1963" s="2170"/>
      <c r="AB1963" s="410"/>
    </row>
    <row r="1964" spans="1:28" s="352" customFormat="1" ht="18" customHeight="1" x14ac:dyDescent="0.2">
      <c r="A1964" s="2166"/>
      <c r="B1964" s="61"/>
      <c r="C1964" s="2166"/>
      <c r="D1964" s="2166"/>
      <c r="E1964" s="2166"/>
      <c r="F1964" s="2166"/>
      <c r="G1964" s="2166"/>
      <c r="H1964" s="407"/>
      <c r="I1964" s="77"/>
      <c r="J1964" s="2168"/>
      <c r="K1964" s="78"/>
      <c r="L1964" s="61"/>
      <c r="M1964" s="2166"/>
      <c r="N1964" s="2166"/>
      <c r="O1964" s="61"/>
      <c r="P1964" s="177"/>
      <c r="Q1964" s="196"/>
      <c r="R1964" s="408"/>
      <c r="S1964" s="77"/>
      <c r="T1964" s="2166"/>
      <c r="U1964" s="77"/>
      <c r="V1964" s="77"/>
      <c r="W1964" s="77"/>
      <c r="X1964" s="77"/>
      <c r="Y1964" s="2168"/>
      <c r="Z1964" s="77"/>
      <c r="AA1964" s="2170"/>
      <c r="AB1964" s="410"/>
    </row>
    <row r="1965" spans="1:28" s="352" customFormat="1" ht="18" customHeight="1" x14ac:dyDescent="0.2">
      <c r="A1965" s="88"/>
      <c r="B1965" s="75"/>
      <c r="C1965" s="88"/>
      <c r="D1965" s="88"/>
      <c r="E1965" s="2166"/>
      <c r="F1965" s="411"/>
      <c r="G1965" s="242"/>
      <c r="H1965" s="412"/>
      <c r="I1965" s="159"/>
      <c r="J1965" s="121"/>
      <c r="K1965" s="159"/>
      <c r="L1965" s="75"/>
      <c r="M1965" s="88"/>
      <c r="N1965" s="88"/>
      <c r="O1965" s="75"/>
      <c r="P1965" s="180"/>
      <c r="Q1965" s="174"/>
      <c r="R1965" s="413"/>
      <c r="S1965" s="74"/>
      <c r="T1965" s="88"/>
      <c r="U1965" s="74"/>
      <c r="V1965" s="74"/>
      <c r="W1965" s="74"/>
      <c r="X1965" s="74"/>
      <c r="Y1965" s="121"/>
      <c r="Z1965" s="74"/>
      <c r="AA1965" s="414"/>
      <c r="AB1965" s="415"/>
    </row>
    <row r="1966" spans="1:28" s="352" customFormat="1" ht="18" customHeight="1" x14ac:dyDescent="0.2">
      <c r="A1966" s="88"/>
      <c r="B1966" s="75"/>
      <c r="C1966" s="88"/>
      <c r="D1966" s="231"/>
      <c r="E1966" s="2166"/>
      <c r="F1966" s="411"/>
      <c r="G1966" s="242"/>
      <c r="H1966" s="412"/>
      <c r="I1966" s="159"/>
      <c r="J1966" s="121"/>
      <c r="K1966" s="159"/>
      <c r="L1966" s="75"/>
      <c r="M1966" s="88"/>
      <c r="N1966" s="88"/>
      <c r="O1966" s="75"/>
      <c r="P1966" s="180"/>
      <c r="Q1966" s="174"/>
      <c r="R1966" s="413"/>
      <c r="S1966" s="74"/>
      <c r="T1966" s="88"/>
      <c r="U1966" s="74"/>
      <c r="V1966" s="74"/>
      <c r="W1966" s="74"/>
      <c r="X1966" s="74"/>
      <c r="Y1966" s="121"/>
      <c r="Z1966" s="74"/>
      <c r="AA1966" s="417"/>
      <c r="AB1966" s="410"/>
    </row>
    <row r="1967" spans="1:28" s="352" customFormat="1" ht="18" customHeight="1" x14ac:dyDescent="0.2">
      <c r="A1967" s="88"/>
      <c r="B1967" s="75"/>
      <c r="C1967" s="88"/>
      <c r="D1967" s="88"/>
      <c r="E1967" s="2166"/>
      <c r="F1967" s="411"/>
      <c r="G1967" s="242"/>
      <c r="H1967" s="412"/>
      <c r="I1967" s="159"/>
      <c r="J1967" s="121"/>
      <c r="K1967" s="159"/>
      <c r="L1967" s="75"/>
      <c r="M1967" s="88"/>
      <c r="N1967" s="88"/>
      <c r="O1967" s="75"/>
      <c r="P1967" s="180"/>
      <c r="Q1967" s="174"/>
      <c r="R1967" s="413"/>
      <c r="S1967" s="74"/>
      <c r="T1967" s="88"/>
      <c r="U1967" s="74"/>
      <c r="V1967" s="74"/>
      <c r="W1967" s="74"/>
      <c r="X1967" s="74"/>
      <c r="Y1967" s="121"/>
      <c r="Z1967" s="74"/>
      <c r="AA1967" s="414"/>
      <c r="AB1967" s="416"/>
    </row>
    <row r="1968" spans="1:28" s="352" customFormat="1" ht="18" customHeight="1" x14ac:dyDescent="0.2">
      <c r="A1968" s="88"/>
      <c r="B1968" s="75"/>
      <c r="C1968" s="88"/>
      <c r="D1968" s="88"/>
      <c r="E1968" s="2166"/>
      <c r="F1968" s="411"/>
      <c r="G1968" s="242"/>
      <c r="H1968" s="412"/>
      <c r="I1968" s="159"/>
      <c r="J1968" s="121"/>
      <c r="K1968" s="159"/>
      <c r="L1968" s="75"/>
      <c r="M1968" s="88"/>
      <c r="N1968" s="88"/>
      <c r="O1968" s="75"/>
      <c r="P1968" s="180"/>
      <c r="Q1968" s="174"/>
      <c r="R1968" s="413"/>
      <c r="S1968" s="74"/>
      <c r="T1968" s="88"/>
      <c r="U1968" s="74"/>
      <c r="V1968" s="74"/>
      <c r="W1968" s="74"/>
      <c r="X1968" s="74"/>
      <c r="Y1968" s="121"/>
      <c r="Z1968" s="74"/>
      <c r="AA1968" s="414"/>
      <c r="AB1968" s="415"/>
    </row>
    <row r="1969" spans="1:28" s="352" customFormat="1" ht="18" customHeight="1" x14ac:dyDescent="0.2">
      <c r="A1969" s="88"/>
      <c r="B1969" s="75"/>
      <c r="C1969" s="88"/>
      <c r="D1969" s="2165"/>
      <c r="E1969" s="2166"/>
      <c r="F1969" s="411"/>
      <c r="G1969" s="242"/>
      <c r="H1969" s="412"/>
      <c r="I1969" s="159"/>
      <c r="J1969" s="121"/>
      <c r="K1969" s="159"/>
      <c r="L1969" s="75"/>
      <c r="M1969" s="88"/>
      <c r="N1969" s="88"/>
      <c r="O1969" s="75"/>
      <c r="P1969" s="180"/>
      <c r="Q1969" s="174"/>
      <c r="R1969" s="413"/>
      <c r="S1969" s="74"/>
      <c r="T1969" s="88"/>
      <c r="U1969" s="74"/>
      <c r="V1969" s="74"/>
      <c r="W1969" s="74"/>
      <c r="X1969" s="74"/>
      <c r="Y1969" s="121"/>
      <c r="Z1969" s="74"/>
      <c r="AA1969" s="414"/>
      <c r="AB1969" s="410"/>
    </row>
    <row r="1970" spans="1:28" s="352" customFormat="1" ht="18" customHeight="1" x14ac:dyDescent="0.2">
      <c r="A1970" s="88"/>
      <c r="B1970" s="75"/>
      <c r="C1970" s="88"/>
      <c r="D1970" s="2165"/>
      <c r="E1970" s="2166"/>
      <c r="F1970" s="411"/>
      <c r="G1970" s="242"/>
      <c r="H1970" s="412"/>
      <c r="I1970" s="159"/>
      <c r="J1970" s="121"/>
      <c r="K1970" s="159"/>
      <c r="L1970" s="75"/>
      <c r="M1970" s="88"/>
      <c r="N1970" s="88"/>
      <c r="O1970" s="75"/>
      <c r="P1970" s="180"/>
      <c r="Q1970" s="174"/>
      <c r="R1970" s="413"/>
      <c r="S1970" s="74"/>
      <c r="T1970" s="88"/>
      <c r="U1970" s="74"/>
      <c r="V1970" s="74"/>
      <c r="W1970" s="74"/>
      <c r="X1970" s="74"/>
      <c r="Y1970" s="121"/>
      <c r="Z1970" s="74"/>
      <c r="AA1970" s="414"/>
      <c r="AB1970" s="416"/>
    </row>
    <row r="1971" spans="1:28" s="352" customFormat="1" ht="18" customHeight="1" x14ac:dyDescent="0.2">
      <c r="A1971" s="88"/>
      <c r="B1971" s="418"/>
      <c r="C1971" s="88"/>
      <c r="D1971" s="88"/>
      <c r="E1971" s="88"/>
      <c r="F1971" s="411"/>
      <c r="G1971" s="242"/>
      <c r="H1971" s="412"/>
      <c r="I1971" s="159"/>
      <c r="J1971" s="121"/>
      <c r="K1971" s="159"/>
      <c r="L1971" s="75"/>
      <c r="M1971" s="88"/>
      <c r="N1971" s="88"/>
      <c r="O1971" s="75"/>
      <c r="P1971" s="180"/>
      <c r="Q1971" s="174"/>
      <c r="R1971" s="413"/>
      <c r="S1971" s="74"/>
      <c r="T1971" s="88"/>
      <c r="U1971" s="74"/>
      <c r="V1971" s="74"/>
      <c r="W1971" s="74"/>
      <c r="X1971" s="74"/>
      <c r="Y1971" s="121"/>
      <c r="Z1971" s="74"/>
      <c r="AA1971" s="414"/>
      <c r="AB1971" s="410"/>
    </row>
    <row r="1972" spans="1:28" s="352" customFormat="1" ht="18" customHeight="1" x14ac:dyDescent="0.2">
      <c r="A1972" s="1147"/>
      <c r="B1972" s="1989"/>
      <c r="C1972" s="1147"/>
      <c r="D1972" s="1147"/>
      <c r="E1972" s="1147"/>
      <c r="F1972" s="1147"/>
      <c r="G1972" s="1147"/>
      <c r="H1972" s="1990"/>
      <c r="I1972" s="1991"/>
      <c r="J1972" s="1868"/>
      <c r="K1972" s="1992"/>
      <c r="L1972" s="1989"/>
      <c r="M1972" s="1147"/>
      <c r="N1972" s="1147"/>
      <c r="O1972" s="1989"/>
      <c r="P1972" s="1867"/>
      <c r="Q1972" s="1993"/>
      <c r="R1972" s="1994"/>
      <c r="S1972" s="1991"/>
      <c r="T1972" s="1147"/>
      <c r="U1972" s="1991"/>
      <c r="V1972" s="1991"/>
      <c r="W1972" s="1991"/>
      <c r="X1972" s="1991"/>
      <c r="Y1972" s="1868"/>
      <c r="Z1972" s="1991"/>
      <c r="AA1972" s="1995"/>
      <c r="AB1972" s="1849">
        <f>SUM(AB1958:AB1971)</f>
        <v>1260</v>
      </c>
    </row>
    <row r="1973" spans="1:28" s="352" customFormat="1" ht="18" customHeight="1" x14ac:dyDescent="0.2">
      <c r="A1973" s="2788" t="s">
        <v>76</v>
      </c>
      <c r="B1973" s="2788"/>
      <c r="C1973" s="2779" t="s">
        <v>77</v>
      </c>
      <c r="D1973" s="2779"/>
      <c r="E1973" s="2779"/>
      <c r="F1973" s="2779"/>
      <c r="G1973" s="2779"/>
      <c r="H1973" s="2779"/>
      <c r="I1973" s="424" t="s">
        <v>78</v>
      </c>
      <c r="J1973" s="424"/>
      <c r="K1973" s="424"/>
      <c r="L1973" s="424"/>
      <c r="M1973" s="424"/>
      <c r="N1973" s="424"/>
      <c r="AB1973" s="425"/>
    </row>
    <row r="1974" spans="1:28" s="352" customFormat="1" ht="18" customHeight="1" x14ac:dyDescent="0.2">
      <c r="A1974" s="424"/>
      <c r="B1974" s="426"/>
      <c r="C1974" s="424"/>
      <c r="D1974" s="424"/>
      <c r="E1974" s="424"/>
      <c r="F1974" s="424"/>
      <c r="G1974" s="424"/>
      <c r="H1974" s="424"/>
      <c r="I1974" s="424" t="s">
        <v>79</v>
      </c>
      <c r="J1974" s="424"/>
      <c r="K1974" s="424"/>
      <c r="L1974" s="424"/>
      <c r="M1974" s="424"/>
      <c r="N1974" s="424"/>
      <c r="AB1974" s="425"/>
    </row>
    <row r="1975" spans="1:28" s="352" customFormat="1" ht="18" customHeight="1" x14ac:dyDescent="0.2">
      <c r="A1975" s="424"/>
      <c r="B1975" s="426"/>
      <c r="C1975" s="424"/>
      <c r="D1975" s="424"/>
      <c r="E1975" s="424"/>
      <c r="F1975" s="424"/>
      <c r="G1975" s="424"/>
      <c r="H1975" s="424"/>
      <c r="I1975" s="424" t="s">
        <v>80</v>
      </c>
      <c r="J1975" s="424"/>
      <c r="K1975" s="424"/>
      <c r="L1975" s="424"/>
      <c r="M1975" s="424"/>
      <c r="N1975" s="424"/>
      <c r="AB1975" s="425"/>
    </row>
    <row r="1976" spans="1:28" s="352" customFormat="1" ht="18" customHeight="1" x14ac:dyDescent="0.2">
      <c r="A1976" s="424"/>
      <c r="B1976" s="426"/>
      <c r="C1976" s="424"/>
      <c r="D1976" s="424"/>
      <c r="E1976" s="424"/>
      <c r="F1976" s="424"/>
      <c r="G1976" s="424"/>
      <c r="H1976" s="424"/>
      <c r="I1976" s="424" t="s">
        <v>81</v>
      </c>
      <c r="J1976" s="424"/>
      <c r="K1976" s="424"/>
      <c r="L1976" s="424"/>
      <c r="M1976" s="424"/>
      <c r="N1976" s="424"/>
      <c r="AB1976" s="425"/>
    </row>
    <row r="1977" spans="1:28" s="352" customFormat="1" ht="18" customHeight="1" x14ac:dyDescent="0.2">
      <c r="A1977" s="424"/>
      <c r="B1977" s="426"/>
      <c r="C1977" s="424"/>
      <c r="D1977" s="424"/>
      <c r="E1977" s="424"/>
      <c r="F1977" s="424"/>
      <c r="G1977" s="424"/>
      <c r="H1977" s="424"/>
      <c r="I1977" s="424" t="s">
        <v>88</v>
      </c>
      <c r="J1977" s="424"/>
      <c r="K1977" s="424"/>
      <c r="L1977" s="424"/>
      <c r="M1977" s="424"/>
      <c r="N1977" s="424"/>
      <c r="AB1977" s="425"/>
    </row>
    <row r="1978" spans="1:28" s="352" customFormat="1" ht="18" customHeight="1" x14ac:dyDescent="0.2">
      <c r="A1978" s="338"/>
      <c r="B1978" s="338"/>
      <c r="C1978" s="338"/>
      <c r="D1978" s="338"/>
      <c r="E1978" s="338"/>
      <c r="F1978" s="338"/>
      <c r="G1978" s="338"/>
      <c r="H1978" s="338"/>
      <c r="I1978" s="338"/>
      <c r="J1978" s="338"/>
      <c r="K1978" s="338"/>
      <c r="L1978" s="338"/>
      <c r="M1978" s="338"/>
      <c r="N1978" s="338"/>
      <c r="O1978" s="338"/>
      <c r="P1978" s="338"/>
      <c r="Q1978" s="338"/>
      <c r="R1978" s="338"/>
      <c r="S1978" s="338"/>
      <c r="T1978" s="338"/>
      <c r="U1978" s="338"/>
      <c r="V1978" s="338"/>
      <c r="W1978" s="338"/>
      <c r="X1978" s="338"/>
      <c r="Y1978" s="338"/>
      <c r="Z1978" s="338"/>
      <c r="AA1978" s="2774" t="s">
        <v>0</v>
      </c>
      <c r="AB1978" s="2774"/>
    </row>
    <row r="1979" spans="1:28" s="352" customFormat="1" ht="18" customHeight="1" x14ac:dyDescent="0.2">
      <c r="A1979" s="2703" t="s">
        <v>1</v>
      </c>
      <c r="B1979" s="2703"/>
      <c r="C1979" s="2703"/>
      <c r="D1979" s="2703"/>
      <c r="E1979" s="2703"/>
      <c r="F1979" s="2703"/>
      <c r="G1979" s="2703"/>
      <c r="H1979" s="2703"/>
      <c r="I1979" s="2703"/>
      <c r="J1979" s="2703"/>
      <c r="K1979" s="2703"/>
      <c r="L1979" s="2703"/>
      <c r="M1979" s="2703"/>
      <c r="N1979" s="2703"/>
      <c r="O1979" s="2703"/>
      <c r="P1979" s="2703"/>
      <c r="Q1979" s="2703"/>
      <c r="R1979" s="2703"/>
      <c r="S1979" s="2703"/>
      <c r="T1979" s="2703"/>
      <c r="U1979" s="2703"/>
      <c r="V1979" s="2703"/>
      <c r="W1979" s="2703"/>
      <c r="X1979" s="2703"/>
      <c r="Y1979" s="2703"/>
      <c r="Z1979" s="2703"/>
      <c r="AA1979" s="2703"/>
      <c r="AB1979" s="2703"/>
    </row>
    <row r="1980" spans="1:28" s="2191" customFormat="1" ht="18" customHeight="1" x14ac:dyDescent="0.2">
      <c r="A1980" s="2780" t="s">
        <v>660</v>
      </c>
      <c r="B1980" s="2780"/>
      <c r="C1980" s="2780"/>
      <c r="D1980" s="2780"/>
      <c r="E1980" s="2780"/>
      <c r="F1980" s="2780"/>
      <c r="G1980" s="2780"/>
      <c r="H1980" s="2780"/>
      <c r="I1980" s="2780"/>
      <c r="J1980" s="2780"/>
      <c r="K1980" s="2780"/>
      <c r="L1980" s="2780"/>
      <c r="M1980" s="2780"/>
      <c r="N1980" s="2780"/>
      <c r="O1980" s="2780"/>
      <c r="P1980" s="2780"/>
      <c r="Q1980" s="2780"/>
      <c r="R1980" s="2780"/>
      <c r="S1980" s="2780"/>
      <c r="T1980" s="2780"/>
      <c r="U1980" s="2780"/>
      <c r="V1980" s="2780"/>
      <c r="W1980" s="2780"/>
      <c r="X1980" s="2780"/>
      <c r="Y1980" s="2780"/>
      <c r="Z1980" s="2780"/>
      <c r="AA1980" s="2780"/>
      <c r="AB1980" s="2780"/>
    </row>
    <row r="1981" spans="1:28" s="352" customFormat="1" ht="18" customHeight="1" x14ac:dyDescent="0.2">
      <c r="A1981" s="2686" t="s">
        <v>2</v>
      </c>
      <c r="B1981" s="360"/>
      <c r="C1981" s="2686" t="s">
        <v>3</v>
      </c>
      <c r="D1981" s="360"/>
      <c r="E1981" s="360"/>
      <c r="F1981" s="2693" t="s">
        <v>4</v>
      </c>
      <c r="G1981" s="2693"/>
      <c r="H1981" s="2693"/>
      <c r="I1981" s="2694"/>
      <c r="J1981" s="2694"/>
      <c r="K1981" s="2695"/>
      <c r="L1981" s="361"/>
      <c r="M1981" s="2679" t="s">
        <v>5</v>
      </c>
      <c r="N1981" s="2679"/>
      <c r="O1981" s="2679"/>
      <c r="P1981" s="2679"/>
      <c r="Q1981" s="2696"/>
      <c r="R1981" s="2696"/>
      <c r="S1981" s="2696"/>
      <c r="T1981" s="2696"/>
      <c r="U1981" s="2696"/>
      <c r="V1981" s="2697"/>
      <c r="W1981" s="362" t="s">
        <v>6</v>
      </c>
      <c r="X1981" s="363" t="s">
        <v>7</v>
      </c>
      <c r="Y1981" s="364"/>
      <c r="Z1981" s="364"/>
      <c r="AA1981" s="363"/>
      <c r="AB1981" s="365"/>
    </row>
    <row r="1982" spans="1:28" s="352" customFormat="1" ht="18" customHeight="1" x14ac:dyDescent="0.2">
      <c r="A1982" s="2687"/>
      <c r="B1982" s="367"/>
      <c r="C1982" s="2687"/>
      <c r="D1982" s="2158" t="s">
        <v>9</v>
      </c>
      <c r="E1982" s="368" t="s">
        <v>10</v>
      </c>
      <c r="F1982" s="2698" t="s">
        <v>11</v>
      </c>
      <c r="G1982" s="2694"/>
      <c r="H1982" s="2695"/>
      <c r="I1982" s="360"/>
      <c r="J1982" s="369" t="s">
        <v>12</v>
      </c>
      <c r="K1982" s="360"/>
      <c r="L1982" s="2679" t="s">
        <v>2</v>
      </c>
      <c r="M1982" s="2162"/>
      <c r="N1982" s="2162"/>
      <c r="O1982" s="2162"/>
      <c r="P1982" s="371"/>
      <c r="Q1982" s="372" t="s">
        <v>13</v>
      </c>
      <c r="R1982" s="373" t="s">
        <v>12</v>
      </c>
      <c r="S1982" s="2162" t="s">
        <v>6</v>
      </c>
      <c r="T1982" s="2682" t="s">
        <v>14</v>
      </c>
      <c r="U1982" s="2683"/>
      <c r="V1982" s="375" t="s">
        <v>7</v>
      </c>
      <c r="W1982" s="376" t="s">
        <v>15</v>
      </c>
      <c r="X1982" s="377" t="s">
        <v>16</v>
      </c>
      <c r="Y1982" s="377" t="s">
        <v>17</v>
      </c>
      <c r="Z1982" s="377" t="s">
        <v>18</v>
      </c>
      <c r="AA1982" s="377"/>
      <c r="AB1982" s="378" t="s">
        <v>19</v>
      </c>
    </row>
    <row r="1983" spans="1:28" s="352" customFormat="1" ht="18" customHeight="1" x14ac:dyDescent="0.2">
      <c r="A1983" s="2687"/>
      <c r="B1983" s="2158" t="s">
        <v>23</v>
      </c>
      <c r="C1983" s="2687"/>
      <c r="D1983" s="2158" t="s">
        <v>24</v>
      </c>
      <c r="E1983" s="368" t="s">
        <v>25</v>
      </c>
      <c r="F1983" s="2699"/>
      <c r="G1983" s="2700"/>
      <c r="H1983" s="2701"/>
      <c r="I1983" s="2158" t="s">
        <v>26</v>
      </c>
      <c r="J1983" s="379" t="s">
        <v>15</v>
      </c>
      <c r="K1983" s="2159" t="s">
        <v>6</v>
      </c>
      <c r="L1983" s="2680"/>
      <c r="M1983" s="2163" t="s">
        <v>27</v>
      </c>
      <c r="N1983" s="2163" t="s">
        <v>10</v>
      </c>
      <c r="O1983" s="382" t="s">
        <v>10</v>
      </c>
      <c r="P1983" s="383" t="s">
        <v>28</v>
      </c>
      <c r="Q1983" s="384" t="s">
        <v>29</v>
      </c>
      <c r="R1983" s="383" t="s">
        <v>15</v>
      </c>
      <c r="S1983" s="385" t="s">
        <v>15</v>
      </c>
      <c r="T1983" s="2684"/>
      <c r="U1983" s="2685"/>
      <c r="V1983" s="375" t="s">
        <v>30</v>
      </c>
      <c r="W1983" s="376" t="s">
        <v>31</v>
      </c>
      <c r="X1983" s="377" t="s">
        <v>30</v>
      </c>
      <c r="Y1983" s="377" t="s">
        <v>32</v>
      </c>
      <c r="Z1983" s="377" t="s">
        <v>7</v>
      </c>
      <c r="AA1983" s="377" t="s">
        <v>33</v>
      </c>
      <c r="AB1983" s="378" t="s">
        <v>34</v>
      </c>
    </row>
    <row r="1984" spans="1:28" s="352" customFormat="1" ht="18" customHeight="1" x14ac:dyDescent="0.2">
      <c r="A1984" s="2687"/>
      <c r="B1984" s="2158" t="s">
        <v>39</v>
      </c>
      <c r="C1984" s="2687"/>
      <c r="D1984" s="2158" t="s">
        <v>40</v>
      </c>
      <c r="E1984" s="368" t="s">
        <v>41</v>
      </c>
      <c r="F1984" s="2686" t="s">
        <v>42</v>
      </c>
      <c r="G1984" s="2686" t="s">
        <v>43</v>
      </c>
      <c r="H1984" s="2688" t="s">
        <v>44</v>
      </c>
      <c r="I1984" s="2158" t="s">
        <v>45</v>
      </c>
      <c r="J1984" s="379" t="s">
        <v>46</v>
      </c>
      <c r="K1984" s="2159" t="s">
        <v>47</v>
      </c>
      <c r="L1984" s="2680"/>
      <c r="M1984" s="2163" t="s">
        <v>30</v>
      </c>
      <c r="N1984" s="2163" t="s">
        <v>30</v>
      </c>
      <c r="O1984" s="382" t="s">
        <v>25</v>
      </c>
      <c r="P1984" s="383" t="s">
        <v>30</v>
      </c>
      <c r="Q1984" s="384" t="s">
        <v>48</v>
      </c>
      <c r="R1984" s="383" t="s">
        <v>49</v>
      </c>
      <c r="S1984" s="385" t="s">
        <v>30</v>
      </c>
      <c r="T1984" s="386" t="s">
        <v>50</v>
      </c>
      <c r="U1984" s="2161" t="s">
        <v>13</v>
      </c>
      <c r="V1984" s="375" t="s">
        <v>51</v>
      </c>
      <c r="W1984" s="376" t="s">
        <v>52</v>
      </c>
      <c r="X1984" s="377" t="s">
        <v>53</v>
      </c>
      <c r="Y1984" s="377" t="s">
        <v>54</v>
      </c>
      <c r="Z1984" s="377" t="s">
        <v>55</v>
      </c>
      <c r="AA1984" s="377" t="s">
        <v>56</v>
      </c>
      <c r="AB1984" s="378" t="s">
        <v>57</v>
      </c>
    </row>
    <row r="1985" spans="1:28" s="352" customFormat="1" ht="18" customHeight="1" x14ac:dyDescent="0.2">
      <c r="A1985" s="2687"/>
      <c r="B1985" s="2158" t="s">
        <v>61</v>
      </c>
      <c r="C1985" s="2687"/>
      <c r="D1985" s="2158" t="s">
        <v>62</v>
      </c>
      <c r="E1985" s="368" t="s">
        <v>63</v>
      </c>
      <c r="F1985" s="2687"/>
      <c r="G1985" s="2687"/>
      <c r="H1985" s="2689"/>
      <c r="I1985" s="2158" t="s">
        <v>64</v>
      </c>
      <c r="J1985" s="379" t="s">
        <v>59</v>
      </c>
      <c r="K1985" s="2159" t="s">
        <v>59</v>
      </c>
      <c r="L1985" s="2680"/>
      <c r="M1985" s="2163"/>
      <c r="N1985" s="2163"/>
      <c r="O1985" s="382" t="s">
        <v>41</v>
      </c>
      <c r="P1985" s="383" t="s">
        <v>65</v>
      </c>
      <c r="Q1985" s="384" t="s">
        <v>66</v>
      </c>
      <c r="R1985" s="383" t="s">
        <v>67</v>
      </c>
      <c r="S1985" s="385" t="s">
        <v>59</v>
      </c>
      <c r="T1985" s="387" t="s">
        <v>68</v>
      </c>
      <c r="U1985" s="375" t="s">
        <v>14</v>
      </c>
      <c r="V1985" s="375" t="s">
        <v>14</v>
      </c>
      <c r="W1985" s="376" t="s">
        <v>30</v>
      </c>
      <c r="X1985" s="388" t="s">
        <v>69</v>
      </c>
      <c r="Y1985" s="388" t="s">
        <v>70</v>
      </c>
      <c r="Z1985" s="377" t="s">
        <v>71</v>
      </c>
      <c r="AA1985" s="377" t="s">
        <v>72</v>
      </c>
      <c r="AB1985" s="378" t="s">
        <v>59</v>
      </c>
    </row>
    <row r="1986" spans="1:28" s="352" customFormat="1" ht="18" customHeight="1" x14ac:dyDescent="0.2">
      <c r="A1986" s="2692"/>
      <c r="B1986" s="390"/>
      <c r="C1986" s="2692"/>
      <c r="D1986" s="390"/>
      <c r="E1986" s="2160"/>
      <c r="F1986" s="390"/>
      <c r="G1986" s="390"/>
      <c r="H1986" s="391"/>
      <c r="I1986" s="2160"/>
      <c r="J1986" s="392"/>
      <c r="K1986" s="393"/>
      <c r="L1986" s="2681"/>
      <c r="M1986" s="2164"/>
      <c r="N1986" s="2164"/>
      <c r="O1986" s="2164" t="s">
        <v>63</v>
      </c>
      <c r="P1986" s="395"/>
      <c r="Q1986" s="396" t="s">
        <v>72</v>
      </c>
      <c r="R1986" s="397" t="s">
        <v>59</v>
      </c>
      <c r="S1986" s="398"/>
      <c r="T1986" s="397" t="s">
        <v>73</v>
      </c>
      <c r="U1986" s="398" t="s">
        <v>59</v>
      </c>
      <c r="V1986" s="399" t="s">
        <v>59</v>
      </c>
      <c r="W1986" s="400" t="s">
        <v>59</v>
      </c>
      <c r="X1986" s="401" t="s">
        <v>59</v>
      </c>
      <c r="Y1986" s="401" t="s">
        <v>59</v>
      </c>
      <c r="Z1986" s="401" t="s">
        <v>59</v>
      </c>
      <c r="AA1986" s="402"/>
      <c r="AB1986" s="403"/>
    </row>
    <row r="1987" spans="1:28" s="352" customFormat="1" ht="18" customHeight="1" x14ac:dyDescent="0.2">
      <c r="A1987" s="82">
        <v>1</v>
      </c>
      <c r="B1987" s="41">
        <v>29238</v>
      </c>
      <c r="C1987" s="41">
        <v>33</v>
      </c>
      <c r="D1987" s="41" t="s">
        <v>107</v>
      </c>
      <c r="E1987" s="41">
        <v>4</v>
      </c>
      <c r="F1987" s="41">
        <v>0</v>
      </c>
      <c r="G1987" s="41">
        <v>1</v>
      </c>
      <c r="H1987" s="267">
        <v>80</v>
      </c>
      <c r="I1987" s="302">
        <f>F1987*400+G1987*100+H1987</f>
        <v>180</v>
      </c>
      <c r="J1987" s="310">
        <v>3000</v>
      </c>
      <c r="K1987" s="303">
        <f>SUM(I1987*J1987)</f>
        <v>540000</v>
      </c>
      <c r="L1987" s="16"/>
      <c r="M1987" s="82"/>
      <c r="N1987" s="41"/>
      <c r="O1987" s="16">
        <v>4</v>
      </c>
      <c r="P1987" s="404"/>
      <c r="Q1987" s="14"/>
      <c r="R1987" s="302"/>
      <c r="S1987" s="302"/>
      <c r="T1987" s="41"/>
      <c r="U1987" s="302"/>
      <c r="V1987" s="302"/>
      <c r="W1987" s="302">
        <f>K1987+V1987</f>
        <v>540000</v>
      </c>
      <c r="X1987" s="302">
        <f>W1987</f>
        <v>540000</v>
      </c>
      <c r="Y1987" s="310"/>
      <c r="Z1987" s="302">
        <f>+X1987</f>
        <v>540000</v>
      </c>
      <c r="AA1987" s="405">
        <v>0.6</v>
      </c>
      <c r="AB1987" s="406">
        <f>+Z1987*AA1987/100</f>
        <v>3240</v>
      </c>
    </row>
    <row r="1988" spans="1:28" s="352" customFormat="1" ht="18" customHeight="1" x14ac:dyDescent="0.2">
      <c r="A1988" s="2166"/>
      <c r="B1988" s="61"/>
      <c r="C1988" s="2166"/>
      <c r="D1988" s="2166"/>
      <c r="E1988" s="2166"/>
      <c r="F1988" s="2166"/>
      <c r="G1988" s="2166"/>
      <c r="H1988" s="407"/>
      <c r="I1988" s="74"/>
      <c r="J1988" s="121"/>
      <c r="K1988" s="159"/>
      <c r="L1988" s="88"/>
      <c r="M1988" s="239"/>
      <c r="N1988" s="88"/>
      <c r="O1988" s="75"/>
      <c r="P1988" s="180"/>
      <c r="Q1988" s="129"/>
      <c r="R1988" s="440"/>
      <c r="S1988" s="159"/>
      <c r="T1988" s="88"/>
      <c r="U1988" s="74"/>
      <c r="V1988" s="74"/>
      <c r="W1988" s="74"/>
      <c r="X1988" s="74"/>
      <c r="Y1988" s="121"/>
      <c r="Z1988" s="74"/>
      <c r="AA1988" s="414"/>
      <c r="AB1988" s="410"/>
    </row>
    <row r="1989" spans="1:28" s="352" customFormat="1" ht="18" customHeight="1" x14ac:dyDescent="0.2">
      <c r="A1989" s="88"/>
      <c r="B1989" s="75"/>
      <c r="C1989" s="88"/>
      <c r="D1989" s="88"/>
      <c r="E1989" s="88"/>
      <c r="F1989" s="88"/>
      <c r="G1989" s="88"/>
      <c r="H1989" s="495"/>
      <c r="I1989" s="74"/>
      <c r="J1989" s="121"/>
      <c r="K1989" s="159"/>
      <c r="L1989" s="75"/>
      <c r="M1989" s="88"/>
      <c r="N1989" s="88"/>
      <c r="O1989" s="75"/>
      <c r="P1989" s="180"/>
      <c r="Q1989" s="174"/>
      <c r="R1989" s="413"/>
      <c r="S1989" s="74"/>
      <c r="T1989" s="88"/>
      <c r="U1989" s="74"/>
      <c r="V1989" s="74"/>
      <c r="W1989" s="74"/>
      <c r="X1989" s="74"/>
      <c r="Y1989" s="121"/>
      <c r="Z1989" s="74"/>
      <c r="AA1989" s="414"/>
      <c r="AB1989" s="410"/>
    </row>
    <row r="1990" spans="1:28" s="352" customFormat="1" ht="18" customHeight="1" x14ac:dyDescent="0.2">
      <c r="A1990" s="2166"/>
      <c r="B1990" s="61"/>
      <c r="C1990" s="2166"/>
      <c r="D1990" s="2166"/>
      <c r="E1990" s="2166"/>
      <c r="F1990" s="2166"/>
      <c r="G1990" s="2166"/>
      <c r="H1990" s="407"/>
      <c r="I1990" s="74"/>
      <c r="J1990" s="121"/>
      <c r="K1990" s="159"/>
      <c r="L1990" s="61"/>
      <c r="M1990" s="2166"/>
      <c r="N1990" s="2166"/>
      <c r="O1990" s="61"/>
      <c r="P1990" s="177"/>
      <c r="Q1990" s="196"/>
      <c r="R1990" s="408"/>
      <c r="S1990" s="77"/>
      <c r="T1990" s="2166"/>
      <c r="U1990" s="77"/>
      <c r="V1990" s="77"/>
      <c r="W1990" s="77"/>
      <c r="X1990" s="77"/>
      <c r="Y1990" s="2168"/>
      <c r="Z1990" s="77"/>
      <c r="AA1990" s="2170"/>
      <c r="AB1990" s="410"/>
    </row>
    <row r="1991" spans="1:28" s="352" customFormat="1" ht="18" customHeight="1" x14ac:dyDescent="0.2">
      <c r="A1991" s="2166"/>
      <c r="B1991" s="61"/>
      <c r="C1991" s="2166"/>
      <c r="D1991" s="2166"/>
      <c r="E1991" s="2166"/>
      <c r="F1991" s="2166"/>
      <c r="G1991" s="2166"/>
      <c r="H1991" s="407"/>
      <c r="I1991" s="77"/>
      <c r="J1991" s="2168"/>
      <c r="K1991" s="78"/>
      <c r="L1991" s="61"/>
      <c r="M1991" s="2166"/>
      <c r="N1991" s="2166"/>
      <c r="O1991" s="61"/>
      <c r="P1991" s="177"/>
      <c r="Q1991" s="196"/>
      <c r="R1991" s="408"/>
      <c r="S1991" s="77"/>
      <c r="T1991" s="2166"/>
      <c r="U1991" s="77"/>
      <c r="V1991" s="77"/>
      <c r="W1991" s="77"/>
      <c r="X1991" s="77"/>
      <c r="Y1991" s="2168"/>
      <c r="Z1991" s="77"/>
      <c r="AA1991" s="2170"/>
      <c r="AB1991" s="410"/>
    </row>
    <row r="1992" spans="1:28" s="352" customFormat="1" ht="18" customHeight="1" x14ac:dyDescent="0.2">
      <c r="A1992" s="2166"/>
      <c r="B1992" s="61"/>
      <c r="C1992" s="2166"/>
      <c r="D1992" s="2166"/>
      <c r="E1992" s="2166"/>
      <c r="F1992" s="2166"/>
      <c r="G1992" s="2166"/>
      <c r="H1992" s="407"/>
      <c r="I1992" s="77"/>
      <c r="J1992" s="2168"/>
      <c r="K1992" s="78"/>
      <c r="L1992" s="61"/>
      <c r="M1992" s="2166"/>
      <c r="N1992" s="2166"/>
      <c r="O1992" s="61"/>
      <c r="P1992" s="177"/>
      <c r="Q1992" s="196"/>
      <c r="R1992" s="408"/>
      <c r="S1992" s="77"/>
      <c r="T1992" s="2166"/>
      <c r="U1992" s="77"/>
      <c r="V1992" s="77"/>
      <c r="W1992" s="77"/>
      <c r="X1992" s="77"/>
      <c r="Y1992" s="2168"/>
      <c r="Z1992" s="77"/>
      <c r="AA1992" s="2170"/>
      <c r="AB1992" s="410"/>
    </row>
    <row r="1993" spans="1:28" s="352" customFormat="1" ht="18" customHeight="1" x14ac:dyDescent="0.2">
      <c r="A1993" s="2166"/>
      <c r="B1993" s="61"/>
      <c r="C1993" s="2166"/>
      <c r="D1993" s="2166"/>
      <c r="E1993" s="2166"/>
      <c r="F1993" s="2166"/>
      <c r="G1993" s="2166"/>
      <c r="H1993" s="407"/>
      <c r="I1993" s="77"/>
      <c r="J1993" s="2168"/>
      <c r="K1993" s="78"/>
      <c r="L1993" s="61"/>
      <c r="M1993" s="2166"/>
      <c r="N1993" s="2166"/>
      <c r="O1993" s="61"/>
      <c r="P1993" s="177"/>
      <c r="Q1993" s="196"/>
      <c r="R1993" s="408"/>
      <c r="S1993" s="77"/>
      <c r="T1993" s="2166"/>
      <c r="U1993" s="77"/>
      <c r="V1993" s="77"/>
      <c r="W1993" s="77"/>
      <c r="X1993" s="77"/>
      <c r="Y1993" s="2168"/>
      <c r="Z1993" s="77"/>
      <c r="AA1993" s="2170"/>
      <c r="AB1993" s="410"/>
    </row>
    <row r="1994" spans="1:28" s="352" customFormat="1" ht="18" customHeight="1" x14ac:dyDescent="0.2">
      <c r="A1994" s="88"/>
      <c r="B1994" s="75"/>
      <c r="C1994" s="88"/>
      <c r="D1994" s="88"/>
      <c r="E1994" s="2166"/>
      <c r="F1994" s="411"/>
      <c r="G1994" s="242"/>
      <c r="H1994" s="412"/>
      <c r="I1994" s="159"/>
      <c r="J1994" s="121"/>
      <c r="K1994" s="159"/>
      <c r="L1994" s="75"/>
      <c r="M1994" s="88"/>
      <c r="N1994" s="88"/>
      <c r="O1994" s="75"/>
      <c r="P1994" s="180"/>
      <c r="Q1994" s="174"/>
      <c r="R1994" s="413"/>
      <c r="S1994" s="74"/>
      <c r="T1994" s="88"/>
      <c r="U1994" s="74"/>
      <c r="V1994" s="74"/>
      <c r="W1994" s="74"/>
      <c r="X1994" s="74"/>
      <c r="Y1994" s="121"/>
      <c r="Z1994" s="74"/>
      <c r="AA1994" s="414"/>
      <c r="AB1994" s="415"/>
    </row>
    <row r="1995" spans="1:28" s="352" customFormat="1" ht="18" customHeight="1" x14ac:dyDescent="0.2">
      <c r="A1995" s="88"/>
      <c r="B1995" s="75"/>
      <c r="C1995" s="88"/>
      <c r="D1995" s="88"/>
      <c r="E1995" s="2166"/>
      <c r="F1995" s="411"/>
      <c r="G1995" s="242"/>
      <c r="H1995" s="412"/>
      <c r="I1995" s="159"/>
      <c r="J1995" s="121"/>
      <c r="K1995" s="159"/>
      <c r="L1995" s="75"/>
      <c r="M1995" s="88"/>
      <c r="N1995" s="88"/>
      <c r="O1995" s="75"/>
      <c r="P1995" s="180"/>
      <c r="Q1995" s="174"/>
      <c r="R1995" s="413"/>
      <c r="S1995" s="74"/>
      <c r="T1995" s="88"/>
      <c r="U1995" s="74"/>
      <c r="V1995" s="74"/>
      <c r="W1995" s="74"/>
      <c r="X1995" s="74"/>
      <c r="Y1995" s="121"/>
      <c r="Z1995" s="74"/>
      <c r="AA1995" s="606"/>
      <c r="AB1995" s="415"/>
    </row>
    <row r="1996" spans="1:28" s="352" customFormat="1" ht="18" customHeight="1" x14ac:dyDescent="0.2">
      <c r="A1996" s="88"/>
      <c r="B1996" s="75"/>
      <c r="C1996" s="88"/>
      <c r="D1996" s="88"/>
      <c r="E1996" s="2166"/>
      <c r="F1996" s="411"/>
      <c r="G1996" s="242"/>
      <c r="H1996" s="412"/>
      <c r="I1996" s="159"/>
      <c r="J1996" s="121"/>
      <c r="K1996" s="159"/>
      <c r="L1996" s="75"/>
      <c r="M1996" s="88"/>
      <c r="N1996" s="88"/>
      <c r="O1996" s="75"/>
      <c r="P1996" s="180"/>
      <c r="Q1996" s="174"/>
      <c r="R1996" s="413"/>
      <c r="S1996" s="74"/>
      <c r="T1996" s="88"/>
      <c r="U1996" s="74"/>
      <c r="V1996" s="74"/>
      <c r="W1996" s="74"/>
      <c r="X1996" s="74"/>
      <c r="Y1996" s="121"/>
      <c r="Z1996" s="74"/>
      <c r="AA1996" s="606"/>
      <c r="AB1996" s="415"/>
    </row>
    <row r="1997" spans="1:28" s="352" customFormat="1" ht="18" customHeight="1" x14ac:dyDescent="0.2">
      <c r="A1997" s="88"/>
      <c r="B1997" s="75"/>
      <c r="C1997" s="88"/>
      <c r="D1997" s="231"/>
      <c r="E1997" s="2166"/>
      <c r="F1997" s="411"/>
      <c r="G1997" s="242"/>
      <c r="H1997" s="412"/>
      <c r="I1997" s="159"/>
      <c r="J1997" s="121"/>
      <c r="K1997" s="159"/>
      <c r="L1997" s="75"/>
      <c r="M1997" s="88"/>
      <c r="N1997" s="88"/>
      <c r="O1997" s="75"/>
      <c r="P1997" s="180"/>
      <c r="Q1997" s="174"/>
      <c r="R1997" s="413"/>
      <c r="S1997" s="74"/>
      <c r="T1997" s="88"/>
      <c r="U1997" s="74"/>
      <c r="V1997" s="74"/>
      <c r="W1997" s="74"/>
      <c r="X1997" s="74"/>
      <c r="Y1997" s="121"/>
      <c r="Z1997" s="74"/>
      <c r="AA1997" s="417"/>
      <c r="AB1997" s="410"/>
    </row>
    <row r="1998" spans="1:28" s="352" customFormat="1" ht="18" customHeight="1" x14ac:dyDescent="0.2">
      <c r="A1998" s="88"/>
      <c r="B1998" s="75"/>
      <c r="C1998" s="88"/>
      <c r="D1998" s="2165"/>
      <c r="E1998" s="2166"/>
      <c r="F1998" s="411"/>
      <c r="G1998" s="242"/>
      <c r="H1998" s="412"/>
      <c r="I1998" s="159"/>
      <c r="J1998" s="121"/>
      <c r="K1998" s="159"/>
      <c r="L1998" s="75"/>
      <c r="M1998" s="88"/>
      <c r="N1998" s="88"/>
      <c r="O1998" s="75"/>
      <c r="P1998" s="180"/>
      <c r="Q1998" s="174"/>
      <c r="R1998" s="413"/>
      <c r="S1998" s="74"/>
      <c r="T1998" s="88"/>
      <c r="U1998" s="74"/>
      <c r="V1998" s="74"/>
      <c r="W1998" s="74"/>
      <c r="X1998" s="74"/>
      <c r="Y1998" s="121"/>
      <c r="Z1998" s="74"/>
      <c r="AA1998" s="414"/>
      <c r="AB1998" s="410"/>
    </row>
    <row r="1999" spans="1:28" s="352" customFormat="1" ht="18" customHeight="1" x14ac:dyDescent="0.2">
      <c r="A1999" s="88"/>
      <c r="B1999" s="75"/>
      <c r="C1999" s="88"/>
      <c r="D1999" s="2165"/>
      <c r="E1999" s="2166"/>
      <c r="F1999" s="411"/>
      <c r="G1999" s="242"/>
      <c r="H1999" s="412"/>
      <c r="I1999" s="159"/>
      <c r="J1999" s="121"/>
      <c r="K1999" s="159"/>
      <c r="L1999" s="75"/>
      <c r="M1999" s="88"/>
      <c r="N1999" s="88"/>
      <c r="O1999" s="75"/>
      <c r="P1999" s="180"/>
      <c r="Q1999" s="174"/>
      <c r="R1999" s="413"/>
      <c r="S1999" s="74"/>
      <c r="T1999" s="88"/>
      <c r="U1999" s="74"/>
      <c r="V1999" s="74"/>
      <c r="W1999" s="74"/>
      <c r="X1999" s="74"/>
      <c r="Y1999" s="121"/>
      <c r="Z1999" s="74"/>
      <c r="AA1999" s="414"/>
      <c r="AB1999" s="416"/>
    </row>
    <row r="2000" spans="1:28" s="352" customFormat="1" ht="18" customHeight="1" x14ac:dyDescent="0.2">
      <c r="A2000" s="88"/>
      <c r="B2000" s="418"/>
      <c r="C2000" s="88"/>
      <c r="D2000" s="88"/>
      <c r="E2000" s="88"/>
      <c r="F2000" s="411"/>
      <c r="G2000" s="242"/>
      <c r="H2000" s="412"/>
      <c r="I2000" s="159"/>
      <c r="J2000" s="121"/>
      <c r="K2000" s="159"/>
      <c r="L2000" s="75"/>
      <c r="M2000" s="88"/>
      <c r="N2000" s="88"/>
      <c r="O2000" s="75"/>
      <c r="P2000" s="180"/>
      <c r="Q2000" s="174"/>
      <c r="R2000" s="413"/>
      <c r="S2000" s="74"/>
      <c r="T2000" s="88"/>
      <c r="U2000" s="74"/>
      <c r="V2000" s="74"/>
      <c r="W2000" s="74"/>
      <c r="X2000" s="74"/>
      <c r="Y2000" s="121"/>
      <c r="Z2000" s="74"/>
      <c r="AA2000" s="414"/>
      <c r="AB2000" s="410"/>
    </row>
    <row r="2001" spans="1:28" s="352" customFormat="1" ht="18" customHeight="1" x14ac:dyDescent="0.2">
      <c r="A2001" s="1147"/>
      <c r="B2001" s="1989"/>
      <c r="C2001" s="1147"/>
      <c r="D2001" s="1147"/>
      <c r="E2001" s="1147"/>
      <c r="F2001" s="1147"/>
      <c r="G2001" s="1147"/>
      <c r="H2001" s="1990"/>
      <c r="I2001" s="1991"/>
      <c r="J2001" s="1868"/>
      <c r="K2001" s="1992"/>
      <c r="L2001" s="1989"/>
      <c r="M2001" s="1147"/>
      <c r="N2001" s="1147"/>
      <c r="O2001" s="1989"/>
      <c r="P2001" s="1867"/>
      <c r="Q2001" s="1993"/>
      <c r="R2001" s="1994"/>
      <c r="S2001" s="1991"/>
      <c r="T2001" s="1147"/>
      <c r="U2001" s="1991"/>
      <c r="V2001" s="1991"/>
      <c r="W2001" s="1991"/>
      <c r="X2001" s="1991"/>
      <c r="Y2001" s="1868"/>
      <c r="Z2001" s="1991"/>
      <c r="AA2001" s="1995"/>
      <c r="AB2001" s="1849">
        <f>SUM(AB1987:AB2000)</f>
        <v>3240</v>
      </c>
    </row>
    <row r="2002" spans="1:28" s="352" customFormat="1" ht="18" customHeight="1" x14ac:dyDescent="0.2">
      <c r="A2002" s="2788" t="s">
        <v>76</v>
      </c>
      <c r="B2002" s="2788"/>
      <c r="C2002" s="2779" t="s">
        <v>77</v>
      </c>
      <c r="D2002" s="2779"/>
      <c r="E2002" s="2779"/>
      <c r="F2002" s="2779"/>
      <c r="G2002" s="2779"/>
      <c r="H2002" s="2779"/>
      <c r="I2002" s="424" t="s">
        <v>78</v>
      </c>
      <c r="J2002" s="424"/>
      <c r="K2002" s="424"/>
      <c r="L2002" s="424"/>
      <c r="M2002" s="424"/>
      <c r="N2002" s="424"/>
      <c r="AB2002" s="425"/>
    </row>
    <row r="2003" spans="1:28" s="352" customFormat="1" ht="18" customHeight="1" x14ac:dyDescent="0.2">
      <c r="A2003" s="424"/>
      <c r="B2003" s="426"/>
      <c r="C2003" s="424"/>
      <c r="D2003" s="424"/>
      <c r="E2003" s="424"/>
      <c r="F2003" s="424"/>
      <c r="G2003" s="424"/>
      <c r="H2003" s="424"/>
      <c r="I2003" s="424" t="s">
        <v>79</v>
      </c>
      <c r="J2003" s="424"/>
      <c r="K2003" s="424"/>
      <c r="L2003" s="424"/>
      <c r="M2003" s="424"/>
      <c r="N2003" s="424"/>
      <c r="AB2003" s="425"/>
    </row>
    <row r="2004" spans="1:28" s="352" customFormat="1" ht="18" customHeight="1" x14ac:dyDescent="0.2">
      <c r="A2004" s="424"/>
      <c r="B2004" s="426"/>
      <c r="C2004" s="424"/>
      <c r="D2004" s="424"/>
      <c r="E2004" s="424"/>
      <c r="F2004" s="424"/>
      <c r="G2004" s="424"/>
      <c r="H2004" s="424"/>
      <c r="I2004" s="424" t="s">
        <v>80</v>
      </c>
      <c r="J2004" s="424"/>
      <c r="K2004" s="424"/>
      <c r="L2004" s="424"/>
      <c r="M2004" s="424"/>
      <c r="N2004" s="424"/>
      <c r="AB2004" s="425"/>
    </row>
    <row r="2005" spans="1:28" s="352" customFormat="1" ht="18" customHeight="1" x14ac:dyDescent="0.2">
      <c r="A2005" s="424"/>
      <c r="B2005" s="426"/>
      <c r="C2005" s="424"/>
      <c r="D2005" s="424"/>
      <c r="E2005" s="424"/>
      <c r="F2005" s="424"/>
      <c r="G2005" s="424"/>
      <c r="H2005" s="424"/>
      <c r="I2005" s="424" t="s">
        <v>81</v>
      </c>
      <c r="J2005" s="424"/>
      <c r="K2005" s="424"/>
      <c r="L2005" s="424"/>
      <c r="M2005" s="424"/>
      <c r="N2005" s="424"/>
      <c r="AB2005" s="425"/>
    </row>
    <row r="2006" spans="1:28" s="352" customFormat="1" ht="18" customHeight="1" x14ac:dyDescent="0.2">
      <c r="A2006" s="424"/>
      <c r="B2006" s="426"/>
      <c r="C2006" s="424"/>
      <c r="D2006" s="424"/>
      <c r="E2006" s="424"/>
      <c r="F2006" s="424"/>
      <c r="G2006" s="424"/>
      <c r="H2006" s="424"/>
      <c r="I2006" s="424" t="s">
        <v>88</v>
      </c>
      <c r="J2006" s="424"/>
      <c r="K2006" s="424"/>
      <c r="L2006" s="424"/>
      <c r="M2006" s="424"/>
      <c r="N2006" s="424"/>
      <c r="AB2006" s="425"/>
    </row>
    <row r="2007" spans="1:28" s="352" customFormat="1" ht="18" customHeight="1" x14ac:dyDescent="0.2">
      <c r="A2007" s="338"/>
      <c r="B2007" s="338"/>
      <c r="C2007" s="338"/>
      <c r="D2007" s="338"/>
      <c r="E2007" s="338"/>
      <c r="F2007" s="338"/>
      <c r="G2007" s="338"/>
      <c r="H2007" s="338"/>
      <c r="I2007" s="338"/>
      <c r="J2007" s="338"/>
      <c r="K2007" s="338"/>
      <c r="L2007" s="338"/>
      <c r="M2007" s="338"/>
      <c r="N2007" s="338"/>
      <c r="O2007" s="338"/>
      <c r="P2007" s="338"/>
      <c r="Q2007" s="338"/>
      <c r="R2007" s="338"/>
      <c r="S2007" s="338"/>
      <c r="T2007" s="338"/>
      <c r="U2007" s="338"/>
      <c r="V2007" s="338"/>
      <c r="W2007" s="338"/>
      <c r="X2007" s="338"/>
      <c r="Y2007" s="338"/>
      <c r="Z2007" s="338"/>
      <c r="AA2007" s="2774" t="s">
        <v>0</v>
      </c>
      <c r="AB2007" s="2774"/>
    </row>
    <row r="2008" spans="1:28" s="352" customFormat="1" ht="18" customHeight="1" x14ac:dyDescent="0.2">
      <c r="A2008" s="2703" t="s">
        <v>1</v>
      </c>
      <c r="B2008" s="2703"/>
      <c r="C2008" s="2703"/>
      <c r="D2008" s="2703"/>
      <c r="E2008" s="2703"/>
      <c r="F2008" s="2703"/>
      <c r="G2008" s="2703"/>
      <c r="H2008" s="2703"/>
      <c r="I2008" s="2703"/>
      <c r="J2008" s="2703"/>
      <c r="K2008" s="2703"/>
      <c r="L2008" s="2703"/>
      <c r="M2008" s="2703"/>
      <c r="N2008" s="2703"/>
      <c r="O2008" s="2703"/>
      <c r="P2008" s="2703"/>
      <c r="Q2008" s="2703"/>
      <c r="R2008" s="2703"/>
      <c r="S2008" s="2703"/>
      <c r="T2008" s="2703"/>
      <c r="U2008" s="2703"/>
      <c r="V2008" s="2703"/>
      <c r="W2008" s="2703"/>
      <c r="X2008" s="2703"/>
      <c r="Y2008" s="2703"/>
      <c r="Z2008" s="2703"/>
      <c r="AA2008" s="2703"/>
      <c r="AB2008" s="2703"/>
    </row>
    <row r="2009" spans="1:28" s="352" customFormat="1" ht="18" customHeight="1" x14ac:dyDescent="0.2">
      <c r="A2009" s="2780" t="s">
        <v>661</v>
      </c>
      <c r="B2009" s="2780"/>
      <c r="C2009" s="2780"/>
      <c r="D2009" s="2780"/>
      <c r="E2009" s="2780"/>
      <c r="F2009" s="2780"/>
      <c r="G2009" s="2780"/>
      <c r="H2009" s="2780"/>
      <c r="I2009" s="2780"/>
      <c r="J2009" s="2780"/>
      <c r="K2009" s="2780"/>
      <c r="L2009" s="2780"/>
      <c r="M2009" s="2780"/>
      <c r="N2009" s="2780"/>
      <c r="O2009" s="2780"/>
      <c r="P2009" s="2780"/>
      <c r="Q2009" s="2780"/>
      <c r="R2009" s="2780"/>
      <c r="S2009" s="2780"/>
      <c r="T2009" s="2780"/>
      <c r="U2009" s="2780"/>
      <c r="V2009" s="2780"/>
      <c r="W2009" s="2780"/>
      <c r="X2009" s="2780"/>
      <c r="Y2009" s="2780"/>
      <c r="Z2009" s="2780"/>
      <c r="AA2009" s="2780"/>
      <c r="AB2009" s="2780"/>
    </row>
    <row r="2010" spans="1:28" s="352" customFormat="1" ht="18" customHeight="1" x14ac:dyDescent="0.2">
      <c r="A2010" s="2686" t="s">
        <v>2</v>
      </c>
      <c r="B2010" s="360"/>
      <c r="C2010" s="2686" t="s">
        <v>3</v>
      </c>
      <c r="D2010" s="360"/>
      <c r="E2010" s="360"/>
      <c r="F2010" s="2693" t="s">
        <v>4</v>
      </c>
      <c r="G2010" s="2693"/>
      <c r="H2010" s="2693"/>
      <c r="I2010" s="2694"/>
      <c r="J2010" s="2694"/>
      <c r="K2010" s="2695"/>
      <c r="L2010" s="361"/>
      <c r="M2010" s="2679" t="s">
        <v>5</v>
      </c>
      <c r="N2010" s="2679"/>
      <c r="O2010" s="2679"/>
      <c r="P2010" s="2679"/>
      <c r="Q2010" s="2696"/>
      <c r="R2010" s="2696"/>
      <c r="S2010" s="2696"/>
      <c r="T2010" s="2696"/>
      <c r="U2010" s="2696"/>
      <c r="V2010" s="2697"/>
      <c r="W2010" s="362" t="s">
        <v>6</v>
      </c>
      <c r="X2010" s="363" t="s">
        <v>7</v>
      </c>
      <c r="Y2010" s="364"/>
      <c r="Z2010" s="364"/>
      <c r="AA2010" s="363"/>
      <c r="AB2010" s="365"/>
    </row>
    <row r="2011" spans="1:28" s="352" customFormat="1" ht="18" customHeight="1" x14ac:dyDescent="0.2">
      <c r="A2011" s="2687"/>
      <c r="B2011" s="367"/>
      <c r="C2011" s="2687"/>
      <c r="D2011" s="2158" t="s">
        <v>9</v>
      </c>
      <c r="E2011" s="368" t="s">
        <v>10</v>
      </c>
      <c r="F2011" s="2698" t="s">
        <v>11</v>
      </c>
      <c r="G2011" s="2694"/>
      <c r="H2011" s="2695"/>
      <c r="I2011" s="360"/>
      <c r="J2011" s="369" t="s">
        <v>12</v>
      </c>
      <c r="K2011" s="360"/>
      <c r="L2011" s="2679" t="s">
        <v>2</v>
      </c>
      <c r="M2011" s="2162"/>
      <c r="N2011" s="2162"/>
      <c r="O2011" s="2162"/>
      <c r="P2011" s="371"/>
      <c r="Q2011" s="372" t="s">
        <v>13</v>
      </c>
      <c r="R2011" s="373" t="s">
        <v>12</v>
      </c>
      <c r="S2011" s="2162" t="s">
        <v>6</v>
      </c>
      <c r="T2011" s="2682" t="s">
        <v>14</v>
      </c>
      <c r="U2011" s="2683"/>
      <c r="V2011" s="375" t="s">
        <v>7</v>
      </c>
      <c r="W2011" s="376" t="s">
        <v>15</v>
      </c>
      <c r="X2011" s="377" t="s">
        <v>16</v>
      </c>
      <c r="Y2011" s="377" t="s">
        <v>17</v>
      </c>
      <c r="Z2011" s="377" t="s">
        <v>18</v>
      </c>
      <c r="AA2011" s="377"/>
      <c r="AB2011" s="378" t="s">
        <v>19</v>
      </c>
    </row>
    <row r="2012" spans="1:28" s="352" customFormat="1" ht="18" customHeight="1" x14ac:dyDescent="0.2">
      <c r="A2012" s="2687"/>
      <c r="B2012" s="2158" t="s">
        <v>23</v>
      </c>
      <c r="C2012" s="2687"/>
      <c r="D2012" s="2158" t="s">
        <v>24</v>
      </c>
      <c r="E2012" s="368" t="s">
        <v>25</v>
      </c>
      <c r="F2012" s="2699"/>
      <c r="G2012" s="2700"/>
      <c r="H2012" s="2701"/>
      <c r="I2012" s="2158" t="s">
        <v>26</v>
      </c>
      <c r="J2012" s="379" t="s">
        <v>15</v>
      </c>
      <c r="K2012" s="2159" t="s">
        <v>6</v>
      </c>
      <c r="L2012" s="2680"/>
      <c r="M2012" s="2163" t="s">
        <v>27</v>
      </c>
      <c r="N2012" s="2163" t="s">
        <v>10</v>
      </c>
      <c r="O2012" s="382" t="s">
        <v>10</v>
      </c>
      <c r="P2012" s="383" t="s">
        <v>28</v>
      </c>
      <c r="Q2012" s="384" t="s">
        <v>29</v>
      </c>
      <c r="R2012" s="383" t="s">
        <v>15</v>
      </c>
      <c r="S2012" s="385" t="s">
        <v>15</v>
      </c>
      <c r="T2012" s="2684"/>
      <c r="U2012" s="2685"/>
      <c r="V2012" s="375" t="s">
        <v>30</v>
      </c>
      <c r="W2012" s="376" t="s">
        <v>31</v>
      </c>
      <c r="X2012" s="377" t="s">
        <v>30</v>
      </c>
      <c r="Y2012" s="377" t="s">
        <v>32</v>
      </c>
      <c r="Z2012" s="377" t="s">
        <v>7</v>
      </c>
      <c r="AA2012" s="377" t="s">
        <v>33</v>
      </c>
      <c r="AB2012" s="378" t="s">
        <v>34</v>
      </c>
    </row>
    <row r="2013" spans="1:28" s="352" customFormat="1" ht="18" customHeight="1" x14ac:dyDescent="0.2">
      <c r="A2013" s="2687"/>
      <c r="B2013" s="2158" t="s">
        <v>39</v>
      </c>
      <c r="C2013" s="2687"/>
      <c r="D2013" s="2158" t="s">
        <v>40</v>
      </c>
      <c r="E2013" s="368" t="s">
        <v>41</v>
      </c>
      <c r="F2013" s="2686" t="s">
        <v>42</v>
      </c>
      <c r="G2013" s="2686" t="s">
        <v>43</v>
      </c>
      <c r="H2013" s="2688" t="s">
        <v>44</v>
      </c>
      <c r="I2013" s="2158" t="s">
        <v>45</v>
      </c>
      <c r="J2013" s="379" t="s">
        <v>46</v>
      </c>
      <c r="K2013" s="2159" t="s">
        <v>47</v>
      </c>
      <c r="L2013" s="2680"/>
      <c r="M2013" s="2163" t="s">
        <v>30</v>
      </c>
      <c r="N2013" s="2163" t="s">
        <v>30</v>
      </c>
      <c r="O2013" s="382" t="s">
        <v>25</v>
      </c>
      <c r="P2013" s="383" t="s">
        <v>30</v>
      </c>
      <c r="Q2013" s="384" t="s">
        <v>48</v>
      </c>
      <c r="R2013" s="383" t="s">
        <v>49</v>
      </c>
      <c r="S2013" s="385" t="s">
        <v>30</v>
      </c>
      <c r="T2013" s="386" t="s">
        <v>50</v>
      </c>
      <c r="U2013" s="2161" t="s">
        <v>13</v>
      </c>
      <c r="V2013" s="375" t="s">
        <v>51</v>
      </c>
      <c r="W2013" s="376" t="s">
        <v>52</v>
      </c>
      <c r="X2013" s="377" t="s">
        <v>53</v>
      </c>
      <c r="Y2013" s="377" t="s">
        <v>54</v>
      </c>
      <c r="Z2013" s="377" t="s">
        <v>55</v>
      </c>
      <c r="AA2013" s="377" t="s">
        <v>56</v>
      </c>
      <c r="AB2013" s="378" t="s">
        <v>57</v>
      </c>
    </row>
    <row r="2014" spans="1:28" s="352" customFormat="1" ht="18" customHeight="1" x14ac:dyDescent="0.2">
      <c r="A2014" s="2687"/>
      <c r="B2014" s="2158" t="s">
        <v>61</v>
      </c>
      <c r="C2014" s="2687"/>
      <c r="D2014" s="2158" t="s">
        <v>62</v>
      </c>
      <c r="E2014" s="368" t="s">
        <v>63</v>
      </c>
      <c r="F2014" s="2687"/>
      <c r="G2014" s="2687"/>
      <c r="H2014" s="2689"/>
      <c r="I2014" s="2158" t="s">
        <v>64</v>
      </c>
      <c r="J2014" s="379" t="s">
        <v>59</v>
      </c>
      <c r="K2014" s="2159" t="s">
        <v>59</v>
      </c>
      <c r="L2014" s="2680"/>
      <c r="M2014" s="2163"/>
      <c r="N2014" s="2163"/>
      <c r="O2014" s="382" t="s">
        <v>41</v>
      </c>
      <c r="P2014" s="383" t="s">
        <v>65</v>
      </c>
      <c r="Q2014" s="384" t="s">
        <v>66</v>
      </c>
      <c r="R2014" s="383" t="s">
        <v>67</v>
      </c>
      <c r="S2014" s="385" t="s">
        <v>59</v>
      </c>
      <c r="T2014" s="387" t="s">
        <v>68</v>
      </c>
      <c r="U2014" s="375" t="s">
        <v>14</v>
      </c>
      <c r="V2014" s="375" t="s">
        <v>14</v>
      </c>
      <c r="W2014" s="376" t="s">
        <v>30</v>
      </c>
      <c r="X2014" s="388" t="s">
        <v>69</v>
      </c>
      <c r="Y2014" s="388" t="s">
        <v>70</v>
      </c>
      <c r="Z2014" s="377" t="s">
        <v>71</v>
      </c>
      <c r="AA2014" s="377" t="s">
        <v>72</v>
      </c>
      <c r="AB2014" s="378" t="s">
        <v>59</v>
      </c>
    </row>
    <row r="2015" spans="1:28" s="352" customFormat="1" ht="18" customHeight="1" x14ac:dyDescent="0.2">
      <c r="A2015" s="2692"/>
      <c r="B2015" s="390"/>
      <c r="C2015" s="2692"/>
      <c r="D2015" s="390"/>
      <c r="E2015" s="2160"/>
      <c r="F2015" s="390"/>
      <c r="G2015" s="390"/>
      <c r="H2015" s="391"/>
      <c r="I2015" s="2160"/>
      <c r="J2015" s="392"/>
      <c r="K2015" s="393"/>
      <c r="L2015" s="2681"/>
      <c r="M2015" s="2164"/>
      <c r="N2015" s="2164"/>
      <c r="O2015" s="2164" t="s">
        <v>63</v>
      </c>
      <c r="P2015" s="395"/>
      <c r="Q2015" s="396" t="s">
        <v>72</v>
      </c>
      <c r="R2015" s="397" t="s">
        <v>59</v>
      </c>
      <c r="S2015" s="398"/>
      <c r="T2015" s="397" t="s">
        <v>73</v>
      </c>
      <c r="U2015" s="398" t="s">
        <v>59</v>
      </c>
      <c r="V2015" s="399" t="s">
        <v>59</v>
      </c>
      <c r="W2015" s="400" t="s">
        <v>59</v>
      </c>
      <c r="X2015" s="401" t="s">
        <v>59</v>
      </c>
      <c r="Y2015" s="401" t="s">
        <v>59</v>
      </c>
      <c r="Z2015" s="401" t="s">
        <v>59</v>
      </c>
      <c r="AA2015" s="402"/>
      <c r="AB2015" s="403"/>
    </row>
    <row r="2016" spans="1:28" s="352" customFormat="1" ht="18" customHeight="1" x14ac:dyDescent="0.2">
      <c r="A2016" s="82">
        <v>1</v>
      </c>
      <c r="B2016" s="41">
        <v>28874</v>
      </c>
      <c r="C2016" s="41">
        <v>78</v>
      </c>
      <c r="D2016" s="41" t="s">
        <v>107</v>
      </c>
      <c r="E2016" s="41">
        <v>4</v>
      </c>
      <c r="F2016" s="41">
        <v>0</v>
      </c>
      <c r="G2016" s="41">
        <v>0</v>
      </c>
      <c r="H2016" s="267">
        <v>65</v>
      </c>
      <c r="I2016" s="302">
        <f>F2016*400+G2016*100+H2016</f>
        <v>65</v>
      </c>
      <c r="J2016" s="310">
        <v>3000</v>
      </c>
      <c r="K2016" s="303">
        <f>SUM(I2016*J2016)</f>
        <v>195000</v>
      </c>
      <c r="L2016" s="16"/>
      <c r="M2016" s="82"/>
      <c r="N2016" s="41"/>
      <c r="O2016" s="16">
        <v>4</v>
      </c>
      <c r="P2016" s="404"/>
      <c r="Q2016" s="14"/>
      <c r="R2016" s="302"/>
      <c r="S2016" s="302"/>
      <c r="T2016" s="41"/>
      <c r="U2016" s="302"/>
      <c r="V2016" s="302"/>
      <c r="W2016" s="302">
        <f>K2016+V2016</f>
        <v>195000</v>
      </c>
      <c r="X2016" s="302">
        <f>W2016</f>
        <v>195000</v>
      </c>
      <c r="Y2016" s="310"/>
      <c r="Z2016" s="302">
        <f>+X2016</f>
        <v>195000</v>
      </c>
      <c r="AA2016" s="405">
        <v>0.6</v>
      </c>
      <c r="AB2016" s="406">
        <f>+Z2016*AA2016/100</f>
        <v>1170</v>
      </c>
    </row>
    <row r="2017" spans="1:28" s="352" customFormat="1" ht="18" customHeight="1" x14ac:dyDescent="0.2">
      <c r="A2017" s="2166"/>
      <c r="B2017" s="61"/>
      <c r="C2017" s="2166"/>
      <c r="D2017" s="2166"/>
      <c r="E2017" s="2166"/>
      <c r="F2017" s="2166"/>
      <c r="G2017" s="2166"/>
      <c r="H2017" s="407"/>
      <c r="I2017" s="74"/>
      <c r="J2017" s="121"/>
      <c r="K2017" s="159"/>
      <c r="L2017" s="88"/>
      <c r="M2017" s="239"/>
      <c r="N2017" s="88"/>
      <c r="O2017" s="75"/>
      <c r="P2017" s="180"/>
      <c r="Q2017" s="129"/>
      <c r="R2017" s="440"/>
      <c r="S2017" s="159"/>
      <c r="T2017" s="88"/>
      <c r="U2017" s="74"/>
      <c r="V2017" s="74"/>
      <c r="W2017" s="74"/>
      <c r="X2017" s="74"/>
      <c r="Y2017" s="121"/>
      <c r="Z2017" s="74"/>
      <c r="AA2017" s="414"/>
      <c r="AB2017" s="410"/>
    </row>
    <row r="2018" spans="1:28" s="352" customFormat="1" ht="18" customHeight="1" x14ac:dyDescent="0.2">
      <c r="A2018" s="88"/>
      <c r="B2018" s="75"/>
      <c r="C2018" s="88"/>
      <c r="D2018" s="88"/>
      <c r="E2018" s="88"/>
      <c r="F2018" s="88"/>
      <c r="G2018" s="88"/>
      <c r="H2018" s="495"/>
      <c r="I2018" s="74"/>
      <c r="J2018" s="121"/>
      <c r="K2018" s="159"/>
      <c r="L2018" s="75"/>
      <c r="M2018" s="88"/>
      <c r="N2018" s="88"/>
      <c r="O2018" s="75"/>
      <c r="P2018" s="180"/>
      <c r="Q2018" s="174"/>
      <c r="R2018" s="413"/>
      <c r="S2018" s="74"/>
      <c r="T2018" s="88"/>
      <c r="U2018" s="74"/>
      <c r="V2018" s="74"/>
      <c r="W2018" s="74"/>
      <c r="X2018" s="74"/>
      <c r="Y2018" s="121"/>
      <c r="Z2018" s="74"/>
      <c r="AA2018" s="414"/>
      <c r="AB2018" s="410"/>
    </row>
    <row r="2019" spans="1:28" s="352" customFormat="1" ht="18" customHeight="1" x14ac:dyDescent="0.2">
      <c r="A2019" s="2166"/>
      <c r="B2019" s="61"/>
      <c r="C2019" s="2166"/>
      <c r="D2019" s="2166"/>
      <c r="E2019" s="2166"/>
      <c r="F2019" s="2166"/>
      <c r="G2019" s="2166"/>
      <c r="H2019" s="407"/>
      <c r="I2019" s="74"/>
      <c r="J2019" s="121"/>
      <c r="K2019" s="159"/>
      <c r="L2019" s="61"/>
      <c r="M2019" s="2166"/>
      <c r="N2019" s="2166"/>
      <c r="O2019" s="61"/>
      <c r="P2019" s="177"/>
      <c r="Q2019" s="196"/>
      <c r="R2019" s="408"/>
      <c r="S2019" s="77"/>
      <c r="T2019" s="2166"/>
      <c r="U2019" s="77"/>
      <c r="V2019" s="77"/>
      <c r="W2019" s="77"/>
      <c r="X2019" s="77"/>
      <c r="Y2019" s="2168"/>
      <c r="Z2019" s="77"/>
      <c r="AA2019" s="2170"/>
      <c r="AB2019" s="410"/>
    </row>
    <row r="2020" spans="1:28" s="352" customFormat="1" ht="18" customHeight="1" x14ac:dyDescent="0.2">
      <c r="A2020" s="2166"/>
      <c r="B2020" s="61"/>
      <c r="C2020" s="2166"/>
      <c r="D2020" s="2166"/>
      <c r="E2020" s="2166"/>
      <c r="F2020" s="2166"/>
      <c r="G2020" s="2166"/>
      <c r="H2020" s="407"/>
      <c r="I2020" s="77"/>
      <c r="J2020" s="2168"/>
      <c r="K2020" s="78"/>
      <c r="L2020" s="61"/>
      <c r="M2020" s="2166"/>
      <c r="N2020" s="2166"/>
      <c r="O2020" s="61"/>
      <c r="P2020" s="177"/>
      <c r="Q2020" s="196"/>
      <c r="R2020" s="408"/>
      <c r="S2020" s="77"/>
      <c r="T2020" s="2166"/>
      <c r="U2020" s="77"/>
      <c r="V2020" s="77"/>
      <c r="W2020" s="77"/>
      <c r="X2020" s="77"/>
      <c r="Y2020" s="2168"/>
      <c r="Z2020" s="77"/>
      <c r="AA2020" s="2170"/>
      <c r="AB2020" s="410"/>
    </row>
    <row r="2021" spans="1:28" s="352" customFormat="1" ht="18" customHeight="1" x14ac:dyDescent="0.2">
      <c r="A2021" s="2166"/>
      <c r="B2021" s="61"/>
      <c r="C2021" s="2166"/>
      <c r="D2021" s="2166"/>
      <c r="E2021" s="2166"/>
      <c r="F2021" s="2166"/>
      <c r="G2021" s="2166"/>
      <c r="H2021" s="407"/>
      <c r="I2021" s="77"/>
      <c r="J2021" s="2168"/>
      <c r="K2021" s="78"/>
      <c r="L2021" s="61"/>
      <c r="M2021" s="2166"/>
      <c r="N2021" s="2166"/>
      <c r="O2021" s="61"/>
      <c r="P2021" s="177"/>
      <c r="Q2021" s="196"/>
      <c r="R2021" s="408"/>
      <c r="S2021" s="77"/>
      <c r="T2021" s="2166"/>
      <c r="U2021" s="77"/>
      <c r="V2021" s="77"/>
      <c r="W2021" s="77"/>
      <c r="X2021" s="77"/>
      <c r="Y2021" s="2168"/>
      <c r="Z2021" s="77"/>
      <c r="AA2021" s="2170"/>
      <c r="AB2021" s="410"/>
    </row>
    <row r="2022" spans="1:28" s="352" customFormat="1" ht="18" customHeight="1" x14ac:dyDescent="0.2">
      <c r="A2022" s="2166"/>
      <c r="B2022" s="61"/>
      <c r="C2022" s="2166"/>
      <c r="D2022" s="2166"/>
      <c r="E2022" s="2166"/>
      <c r="F2022" s="2166"/>
      <c r="G2022" s="2166"/>
      <c r="H2022" s="407"/>
      <c r="I2022" s="77"/>
      <c r="J2022" s="2168"/>
      <c r="K2022" s="78"/>
      <c r="L2022" s="61"/>
      <c r="M2022" s="2166"/>
      <c r="N2022" s="2166"/>
      <c r="O2022" s="61"/>
      <c r="P2022" s="177"/>
      <c r="Q2022" s="196"/>
      <c r="R2022" s="408"/>
      <c r="S2022" s="77"/>
      <c r="T2022" s="2166"/>
      <c r="U2022" s="77"/>
      <c r="V2022" s="77"/>
      <c r="W2022" s="77"/>
      <c r="X2022" s="77"/>
      <c r="Y2022" s="2168"/>
      <c r="Z2022" s="77"/>
      <c r="AA2022" s="2170"/>
      <c r="AB2022" s="410"/>
    </row>
    <row r="2023" spans="1:28" s="352" customFormat="1" ht="18" customHeight="1" x14ac:dyDescent="0.2">
      <c r="A2023" s="88"/>
      <c r="B2023" s="75"/>
      <c r="C2023" s="88"/>
      <c r="D2023" s="88"/>
      <c r="E2023" s="2166"/>
      <c r="F2023" s="411"/>
      <c r="G2023" s="242"/>
      <c r="H2023" s="412"/>
      <c r="I2023" s="159"/>
      <c r="J2023" s="121"/>
      <c r="K2023" s="159"/>
      <c r="L2023" s="75"/>
      <c r="M2023" s="88"/>
      <c r="N2023" s="88"/>
      <c r="O2023" s="75"/>
      <c r="P2023" s="180"/>
      <c r="Q2023" s="174"/>
      <c r="R2023" s="413"/>
      <c r="S2023" s="74"/>
      <c r="T2023" s="88"/>
      <c r="U2023" s="74"/>
      <c r="V2023" s="74"/>
      <c r="W2023" s="74"/>
      <c r="X2023" s="74"/>
      <c r="Y2023" s="121"/>
      <c r="Z2023" s="74"/>
      <c r="AA2023" s="414"/>
      <c r="AB2023" s="415"/>
    </row>
    <row r="2024" spans="1:28" s="352" customFormat="1" ht="18" customHeight="1" x14ac:dyDescent="0.2">
      <c r="A2024" s="88"/>
      <c r="B2024" s="75"/>
      <c r="C2024" s="88"/>
      <c r="D2024" s="231"/>
      <c r="E2024" s="2166"/>
      <c r="F2024" s="411"/>
      <c r="G2024" s="242"/>
      <c r="H2024" s="412"/>
      <c r="I2024" s="159"/>
      <c r="J2024" s="121"/>
      <c r="K2024" s="159"/>
      <c r="L2024" s="75"/>
      <c r="M2024" s="88"/>
      <c r="N2024" s="88"/>
      <c r="O2024" s="75"/>
      <c r="P2024" s="180"/>
      <c r="Q2024" s="174"/>
      <c r="R2024" s="413"/>
      <c r="S2024" s="74"/>
      <c r="T2024" s="88"/>
      <c r="U2024" s="74"/>
      <c r="V2024" s="74"/>
      <c r="W2024" s="74"/>
      <c r="X2024" s="74"/>
      <c r="Y2024" s="121"/>
      <c r="Z2024" s="74"/>
      <c r="AA2024" s="417"/>
      <c r="AB2024" s="410"/>
    </row>
    <row r="2025" spans="1:28" s="352" customFormat="1" ht="18" customHeight="1" x14ac:dyDescent="0.2">
      <c r="A2025" s="88"/>
      <c r="B2025" s="75"/>
      <c r="C2025" s="88"/>
      <c r="D2025" s="88"/>
      <c r="E2025" s="2166"/>
      <c r="F2025" s="411"/>
      <c r="G2025" s="242"/>
      <c r="H2025" s="412"/>
      <c r="I2025" s="159"/>
      <c r="J2025" s="121"/>
      <c r="K2025" s="159"/>
      <c r="L2025" s="75"/>
      <c r="M2025" s="88"/>
      <c r="N2025" s="88"/>
      <c r="O2025" s="75"/>
      <c r="P2025" s="180"/>
      <c r="Q2025" s="174"/>
      <c r="R2025" s="413"/>
      <c r="S2025" s="74"/>
      <c r="T2025" s="88"/>
      <c r="U2025" s="74"/>
      <c r="V2025" s="74"/>
      <c r="W2025" s="74"/>
      <c r="X2025" s="74"/>
      <c r="Y2025" s="121"/>
      <c r="Z2025" s="74"/>
      <c r="AA2025" s="414"/>
      <c r="AB2025" s="416"/>
    </row>
    <row r="2026" spans="1:28" s="352" customFormat="1" ht="18" customHeight="1" x14ac:dyDescent="0.2">
      <c r="A2026" s="88"/>
      <c r="B2026" s="75"/>
      <c r="C2026" s="88"/>
      <c r="D2026" s="88"/>
      <c r="E2026" s="2166"/>
      <c r="F2026" s="411"/>
      <c r="G2026" s="242"/>
      <c r="H2026" s="412"/>
      <c r="I2026" s="159"/>
      <c r="J2026" s="121"/>
      <c r="K2026" s="159"/>
      <c r="L2026" s="75"/>
      <c r="M2026" s="88"/>
      <c r="N2026" s="88"/>
      <c r="O2026" s="75"/>
      <c r="P2026" s="180"/>
      <c r="Q2026" s="174"/>
      <c r="R2026" s="413"/>
      <c r="S2026" s="74"/>
      <c r="T2026" s="88"/>
      <c r="U2026" s="74"/>
      <c r="V2026" s="74"/>
      <c r="W2026" s="74"/>
      <c r="X2026" s="74"/>
      <c r="Y2026" s="121"/>
      <c r="Z2026" s="74"/>
      <c r="AA2026" s="414"/>
      <c r="AB2026" s="415"/>
    </row>
    <row r="2027" spans="1:28" s="352" customFormat="1" ht="18" customHeight="1" x14ac:dyDescent="0.2">
      <c r="A2027" s="88"/>
      <c r="B2027" s="75"/>
      <c r="C2027" s="88"/>
      <c r="D2027" s="2165"/>
      <c r="E2027" s="2166"/>
      <c r="F2027" s="411"/>
      <c r="G2027" s="242"/>
      <c r="H2027" s="412"/>
      <c r="I2027" s="159"/>
      <c r="J2027" s="121"/>
      <c r="K2027" s="159"/>
      <c r="L2027" s="75"/>
      <c r="M2027" s="88"/>
      <c r="N2027" s="88"/>
      <c r="O2027" s="75"/>
      <c r="P2027" s="180"/>
      <c r="Q2027" s="174"/>
      <c r="R2027" s="413"/>
      <c r="S2027" s="74"/>
      <c r="T2027" s="88"/>
      <c r="U2027" s="74"/>
      <c r="V2027" s="74"/>
      <c r="W2027" s="74"/>
      <c r="X2027" s="74"/>
      <c r="Y2027" s="121"/>
      <c r="Z2027" s="74"/>
      <c r="AA2027" s="414"/>
      <c r="AB2027" s="410"/>
    </row>
    <row r="2028" spans="1:28" s="352" customFormat="1" ht="18" customHeight="1" x14ac:dyDescent="0.2">
      <c r="A2028" s="88"/>
      <c r="B2028" s="75"/>
      <c r="C2028" s="88"/>
      <c r="D2028" s="2165"/>
      <c r="E2028" s="2166"/>
      <c r="F2028" s="411"/>
      <c r="G2028" s="242"/>
      <c r="H2028" s="412"/>
      <c r="I2028" s="159"/>
      <c r="J2028" s="121"/>
      <c r="K2028" s="159"/>
      <c r="L2028" s="75"/>
      <c r="M2028" s="88"/>
      <c r="N2028" s="88"/>
      <c r="O2028" s="75"/>
      <c r="P2028" s="180"/>
      <c r="Q2028" s="174"/>
      <c r="R2028" s="413"/>
      <c r="S2028" s="74"/>
      <c r="T2028" s="88"/>
      <c r="U2028" s="74"/>
      <c r="V2028" s="74"/>
      <c r="W2028" s="74"/>
      <c r="X2028" s="74"/>
      <c r="Y2028" s="121"/>
      <c r="Z2028" s="74"/>
      <c r="AA2028" s="414"/>
      <c r="AB2028" s="416"/>
    </row>
    <row r="2029" spans="1:28" s="352" customFormat="1" ht="18" customHeight="1" x14ac:dyDescent="0.2">
      <c r="A2029" s="88"/>
      <c r="B2029" s="418"/>
      <c r="C2029" s="88"/>
      <c r="D2029" s="88"/>
      <c r="E2029" s="88"/>
      <c r="F2029" s="411"/>
      <c r="G2029" s="242"/>
      <c r="H2029" s="412"/>
      <c r="I2029" s="159"/>
      <c r="J2029" s="121"/>
      <c r="K2029" s="159"/>
      <c r="L2029" s="75"/>
      <c r="M2029" s="88"/>
      <c r="N2029" s="88"/>
      <c r="O2029" s="75"/>
      <c r="P2029" s="180"/>
      <c r="Q2029" s="174"/>
      <c r="R2029" s="413"/>
      <c r="S2029" s="74"/>
      <c r="T2029" s="88"/>
      <c r="U2029" s="74"/>
      <c r="V2029" s="74"/>
      <c r="W2029" s="74"/>
      <c r="X2029" s="74"/>
      <c r="Y2029" s="121"/>
      <c r="Z2029" s="74"/>
      <c r="AA2029" s="414"/>
      <c r="AB2029" s="410"/>
    </row>
    <row r="2030" spans="1:28" s="352" customFormat="1" ht="18" customHeight="1" x14ac:dyDescent="0.2">
      <c r="A2030" s="1147"/>
      <c r="B2030" s="1989"/>
      <c r="C2030" s="1147"/>
      <c r="D2030" s="1147"/>
      <c r="E2030" s="1147"/>
      <c r="F2030" s="1147"/>
      <c r="G2030" s="1147"/>
      <c r="H2030" s="1990"/>
      <c r="I2030" s="1991"/>
      <c r="J2030" s="1868"/>
      <c r="K2030" s="1992"/>
      <c r="L2030" s="1989"/>
      <c r="M2030" s="1147"/>
      <c r="N2030" s="1147"/>
      <c r="O2030" s="1989"/>
      <c r="P2030" s="1867"/>
      <c r="Q2030" s="1993"/>
      <c r="R2030" s="1994"/>
      <c r="S2030" s="1991"/>
      <c r="T2030" s="1147"/>
      <c r="U2030" s="1991"/>
      <c r="V2030" s="1991"/>
      <c r="W2030" s="1991"/>
      <c r="X2030" s="1991"/>
      <c r="Y2030" s="1868"/>
      <c r="Z2030" s="1991"/>
      <c r="AA2030" s="1995"/>
      <c r="AB2030" s="1849">
        <f>SUM(AB2016:AB2029)</f>
        <v>1170</v>
      </c>
    </row>
    <row r="2031" spans="1:28" s="352" customFormat="1" ht="18" customHeight="1" x14ac:dyDescent="0.2">
      <c r="A2031" s="2788" t="s">
        <v>76</v>
      </c>
      <c r="B2031" s="2788"/>
      <c r="C2031" s="2779" t="s">
        <v>77</v>
      </c>
      <c r="D2031" s="2779"/>
      <c r="E2031" s="2779"/>
      <c r="F2031" s="2779"/>
      <c r="G2031" s="2779"/>
      <c r="H2031" s="2779"/>
      <c r="I2031" s="424" t="s">
        <v>78</v>
      </c>
      <c r="J2031" s="424"/>
      <c r="K2031" s="424"/>
      <c r="L2031" s="424"/>
      <c r="M2031" s="424"/>
      <c r="N2031" s="424"/>
      <c r="AB2031" s="425"/>
    </row>
    <row r="2032" spans="1:28" s="352" customFormat="1" ht="18" customHeight="1" x14ac:dyDescent="0.2">
      <c r="A2032" s="424"/>
      <c r="B2032" s="426"/>
      <c r="C2032" s="424"/>
      <c r="D2032" s="424"/>
      <c r="E2032" s="424"/>
      <c r="F2032" s="424"/>
      <c r="G2032" s="424"/>
      <c r="H2032" s="424"/>
      <c r="I2032" s="424" t="s">
        <v>79</v>
      </c>
      <c r="J2032" s="424"/>
      <c r="K2032" s="424"/>
      <c r="L2032" s="424"/>
      <c r="M2032" s="424"/>
      <c r="N2032" s="424"/>
      <c r="AB2032" s="425"/>
    </row>
    <row r="2033" spans="1:28" s="352" customFormat="1" ht="18" customHeight="1" x14ac:dyDescent="0.2">
      <c r="A2033" s="424"/>
      <c r="B2033" s="426"/>
      <c r="C2033" s="424"/>
      <c r="D2033" s="424"/>
      <c r="E2033" s="424"/>
      <c r="F2033" s="424"/>
      <c r="G2033" s="424"/>
      <c r="H2033" s="424"/>
      <c r="I2033" s="424" t="s">
        <v>80</v>
      </c>
      <c r="J2033" s="424"/>
      <c r="K2033" s="424"/>
      <c r="L2033" s="424"/>
      <c r="M2033" s="424"/>
      <c r="N2033" s="424"/>
      <c r="AB2033" s="425"/>
    </row>
    <row r="2034" spans="1:28" s="352" customFormat="1" ht="18" customHeight="1" x14ac:dyDescent="0.2">
      <c r="A2034" s="424"/>
      <c r="B2034" s="426"/>
      <c r="C2034" s="424"/>
      <c r="D2034" s="424"/>
      <c r="E2034" s="424"/>
      <c r="F2034" s="424"/>
      <c r="G2034" s="424"/>
      <c r="H2034" s="424"/>
      <c r="I2034" s="424" t="s">
        <v>81</v>
      </c>
      <c r="J2034" s="424"/>
      <c r="K2034" s="424"/>
      <c r="L2034" s="424"/>
      <c r="M2034" s="424"/>
      <c r="N2034" s="424"/>
      <c r="AB2034" s="425"/>
    </row>
    <row r="2035" spans="1:28" s="352" customFormat="1" ht="18" customHeight="1" x14ac:dyDescent="0.2">
      <c r="A2035" s="424"/>
      <c r="B2035" s="426"/>
      <c r="C2035" s="424"/>
      <c r="D2035" s="424"/>
      <c r="E2035" s="424"/>
      <c r="F2035" s="424"/>
      <c r="G2035" s="424"/>
      <c r="H2035" s="424"/>
      <c r="I2035" s="424" t="s">
        <v>88</v>
      </c>
      <c r="J2035" s="424"/>
      <c r="K2035" s="424"/>
      <c r="L2035" s="424"/>
      <c r="M2035" s="424"/>
      <c r="N2035" s="424"/>
      <c r="AB2035" s="425"/>
    </row>
    <row r="2036" spans="1:28" s="352" customFormat="1" ht="18" customHeight="1" x14ac:dyDescent="0.2">
      <c r="A2036" s="338"/>
      <c r="B2036" s="338"/>
      <c r="C2036" s="338"/>
      <c r="D2036" s="338"/>
      <c r="E2036" s="338"/>
      <c r="F2036" s="338"/>
      <c r="G2036" s="338"/>
      <c r="H2036" s="338"/>
      <c r="I2036" s="338"/>
      <c r="J2036" s="338"/>
      <c r="K2036" s="338"/>
      <c r="L2036" s="338"/>
      <c r="M2036" s="338"/>
      <c r="N2036" s="338"/>
      <c r="O2036" s="338"/>
      <c r="P2036" s="338"/>
      <c r="Q2036" s="338"/>
      <c r="R2036" s="338"/>
      <c r="S2036" s="338"/>
      <c r="T2036" s="338"/>
      <c r="U2036" s="338"/>
      <c r="V2036" s="338"/>
      <c r="W2036" s="338"/>
      <c r="X2036" s="338"/>
      <c r="Y2036" s="338"/>
      <c r="Z2036" s="338"/>
      <c r="AA2036" s="2774" t="s">
        <v>0</v>
      </c>
      <c r="AB2036" s="2774"/>
    </row>
    <row r="2037" spans="1:28" s="352" customFormat="1" ht="18" customHeight="1" x14ac:dyDescent="0.2">
      <c r="A2037" s="2703" t="s">
        <v>1</v>
      </c>
      <c r="B2037" s="2703"/>
      <c r="C2037" s="2703"/>
      <c r="D2037" s="2703"/>
      <c r="E2037" s="2703"/>
      <c r="F2037" s="2703"/>
      <c r="G2037" s="2703"/>
      <c r="H2037" s="2703"/>
      <c r="I2037" s="2703"/>
      <c r="J2037" s="2703"/>
      <c r="K2037" s="2703"/>
      <c r="L2037" s="2703"/>
      <c r="M2037" s="2703"/>
      <c r="N2037" s="2703"/>
      <c r="O2037" s="2703"/>
      <c r="P2037" s="2703"/>
      <c r="Q2037" s="2703"/>
      <c r="R2037" s="2703"/>
      <c r="S2037" s="2703"/>
      <c r="T2037" s="2703"/>
      <c r="U2037" s="2703"/>
      <c r="V2037" s="2703"/>
      <c r="W2037" s="2703"/>
      <c r="X2037" s="2703"/>
      <c r="Y2037" s="2703"/>
      <c r="Z2037" s="2703"/>
      <c r="AA2037" s="2703"/>
      <c r="AB2037" s="2703"/>
    </row>
    <row r="2038" spans="1:28" s="352" customFormat="1" ht="18" customHeight="1" x14ac:dyDescent="0.2">
      <c r="A2038" s="2780" t="s">
        <v>662</v>
      </c>
      <c r="B2038" s="2780"/>
      <c r="C2038" s="2780"/>
      <c r="D2038" s="2780"/>
      <c r="E2038" s="2780"/>
      <c r="F2038" s="2780"/>
      <c r="G2038" s="2780"/>
      <c r="H2038" s="2780"/>
      <c r="I2038" s="2780"/>
      <c r="J2038" s="2780"/>
      <c r="K2038" s="2780"/>
      <c r="L2038" s="2780"/>
      <c r="M2038" s="2780"/>
      <c r="N2038" s="2780"/>
      <c r="O2038" s="2780"/>
      <c r="P2038" s="2780"/>
      <c r="Q2038" s="2780"/>
      <c r="R2038" s="2780"/>
      <c r="S2038" s="2780"/>
      <c r="T2038" s="2780"/>
      <c r="U2038" s="2780"/>
      <c r="V2038" s="2780"/>
      <c r="W2038" s="2780"/>
      <c r="X2038" s="2780"/>
      <c r="Y2038" s="2780"/>
      <c r="Z2038" s="2780"/>
      <c r="AA2038" s="2780"/>
      <c r="AB2038" s="2780"/>
    </row>
    <row r="2039" spans="1:28" s="352" customFormat="1" ht="18" customHeight="1" x14ac:dyDescent="0.2">
      <c r="A2039" s="2686" t="s">
        <v>2</v>
      </c>
      <c r="B2039" s="360"/>
      <c r="C2039" s="2686" t="s">
        <v>3</v>
      </c>
      <c r="D2039" s="360"/>
      <c r="E2039" s="360"/>
      <c r="F2039" s="2693" t="s">
        <v>4</v>
      </c>
      <c r="G2039" s="2693"/>
      <c r="H2039" s="2693"/>
      <c r="I2039" s="2694"/>
      <c r="J2039" s="2694"/>
      <c r="K2039" s="2695"/>
      <c r="L2039" s="361"/>
      <c r="M2039" s="2679" t="s">
        <v>5</v>
      </c>
      <c r="N2039" s="2679"/>
      <c r="O2039" s="2679"/>
      <c r="P2039" s="2679"/>
      <c r="Q2039" s="2696"/>
      <c r="R2039" s="2696"/>
      <c r="S2039" s="2696"/>
      <c r="T2039" s="2696"/>
      <c r="U2039" s="2696"/>
      <c r="V2039" s="2697"/>
      <c r="W2039" s="362" t="s">
        <v>6</v>
      </c>
      <c r="X2039" s="363" t="s">
        <v>7</v>
      </c>
      <c r="Y2039" s="364"/>
      <c r="Z2039" s="364"/>
      <c r="AA2039" s="363"/>
      <c r="AB2039" s="365"/>
    </row>
    <row r="2040" spans="1:28" s="352" customFormat="1" ht="18" customHeight="1" x14ac:dyDescent="0.2">
      <c r="A2040" s="2687"/>
      <c r="B2040" s="367"/>
      <c r="C2040" s="2687"/>
      <c r="D2040" s="2158" t="s">
        <v>9</v>
      </c>
      <c r="E2040" s="368" t="s">
        <v>10</v>
      </c>
      <c r="F2040" s="2698" t="s">
        <v>11</v>
      </c>
      <c r="G2040" s="2694"/>
      <c r="H2040" s="2695"/>
      <c r="I2040" s="360"/>
      <c r="J2040" s="369" t="s">
        <v>12</v>
      </c>
      <c r="K2040" s="360"/>
      <c r="L2040" s="2679" t="s">
        <v>2</v>
      </c>
      <c r="M2040" s="2162"/>
      <c r="N2040" s="2162"/>
      <c r="O2040" s="2162"/>
      <c r="P2040" s="371"/>
      <c r="Q2040" s="372" t="s">
        <v>13</v>
      </c>
      <c r="R2040" s="373" t="s">
        <v>12</v>
      </c>
      <c r="S2040" s="2162" t="s">
        <v>6</v>
      </c>
      <c r="T2040" s="2682" t="s">
        <v>14</v>
      </c>
      <c r="U2040" s="2683"/>
      <c r="V2040" s="375" t="s">
        <v>7</v>
      </c>
      <c r="W2040" s="376" t="s">
        <v>15</v>
      </c>
      <c r="X2040" s="377" t="s">
        <v>16</v>
      </c>
      <c r="Y2040" s="377" t="s">
        <v>17</v>
      </c>
      <c r="Z2040" s="377" t="s">
        <v>18</v>
      </c>
      <c r="AA2040" s="377"/>
      <c r="AB2040" s="378" t="s">
        <v>19</v>
      </c>
    </row>
    <row r="2041" spans="1:28" s="352" customFormat="1" ht="18" customHeight="1" x14ac:dyDescent="0.2">
      <c r="A2041" s="2687"/>
      <c r="B2041" s="2158" t="s">
        <v>23</v>
      </c>
      <c r="C2041" s="2687"/>
      <c r="D2041" s="2158" t="s">
        <v>24</v>
      </c>
      <c r="E2041" s="368" t="s">
        <v>25</v>
      </c>
      <c r="F2041" s="2699"/>
      <c r="G2041" s="2700"/>
      <c r="H2041" s="2701"/>
      <c r="I2041" s="2158" t="s">
        <v>26</v>
      </c>
      <c r="J2041" s="379" t="s">
        <v>15</v>
      </c>
      <c r="K2041" s="2159" t="s">
        <v>6</v>
      </c>
      <c r="L2041" s="2680"/>
      <c r="M2041" s="2163" t="s">
        <v>27</v>
      </c>
      <c r="N2041" s="2163" t="s">
        <v>10</v>
      </c>
      <c r="O2041" s="382" t="s">
        <v>10</v>
      </c>
      <c r="P2041" s="383" t="s">
        <v>28</v>
      </c>
      <c r="Q2041" s="384" t="s">
        <v>29</v>
      </c>
      <c r="R2041" s="383" t="s">
        <v>15</v>
      </c>
      <c r="S2041" s="385" t="s">
        <v>15</v>
      </c>
      <c r="T2041" s="2684"/>
      <c r="U2041" s="2685"/>
      <c r="V2041" s="375" t="s">
        <v>30</v>
      </c>
      <c r="W2041" s="376" t="s">
        <v>31</v>
      </c>
      <c r="X2041" s="377" t="s">
        <v>30</v>
      </c>
      <c r="Y2041" s="377" t="s">
        <v>32</v>
      </c>
      <c r="Z2041" s="377" t="s">
        <v>7</v>
      </c>
      <c r="AA2041" s="377" t="s">
        <v>33</v>
      </c>
      <c r="AB2041" s="378" t="s">
        <v>34</v>
      </c>
    </row>
    <row r="2042" spans="1:28" s="352" customFormat="1" ht="18" customHeight="1" x14ac:dyDescent="0.2">
      <c r="A2042" s="2687"/>
      <c r="B2042" s="2158" t="s">
        <v>39</v>
      </c>
      <c r="C2042" s="2687"/>
      <c r="D2042" s="2158" t="s">
        <v>40</v>
      </c>
      <c r="E2042" s="368" t="s">
        <v>41</v>
      </c>
      <c r="F2042" s="2686" t="s">
        <v>42</v>
      </c>
      <c r="G2042" s="2686" t="s">
        <v>43</v>
      </c>
      <c r="H2042" s="2688" t="s">
        <v>44</v>
      </c>
      <c r="I2042" s="2158" t="s">
        <v>45</v>
      </c>
      <c r="J2042" s="379" t="s">
        <v>46</v>
      </c>
      <c r="K2042" s="2159" t="s">
        <v>47</v>
      </c>
      <c r="L2042" s="2680"/>
      <c r="M2042" s="2163" t="s">
        <v>30</v>
      </c>
      <c r="N2042" s="2163" t="s">
        <v>30</v>
      </c>
      <c r="O2042" s="382" t="s">
        <v>25</v>
      </c>
      <c r="P2042" s="383" t="s">
        <v>30</v>
      </c>
      <c r="Q2042" s="384" t="s">
        <v>48</v>
      </c>
      <c r="R2042" s="383" t="s">
        <v>49</v>
      </c>
      <c r="S2042" s="385" t="s">
        <v>30</v>
      </c>
      <c r="T2042" s="386" t="s">
        <v>50</v>
      </c>
      <c r="U2042" s="2161" t="s">
        <v>13</v>
      </c>
      <c r="V2042" s="375" t="s">
        <v>51</v>
      </c>
      <c r="W2042" s="376" t="s">
        <v>52</v>
      </c>
      <c r="X2042" s="377" t="s">
        <v>53</v>
      </c>
      <c r="Y2042" s="377" t="s">
        <v>54</v>
      </c>
      <c r="Z2042" s="377" t="s">
        <v>55</v>
      </c>
      <c r="AA2042" s="377" t="s">
        <v>56</v>
      </c>
      <c r="AB2042" s="378" t="s">
        <v>57</v>
      </c>
    </row>
    <row r="2043" spans="1:28" s="352" customFormat="1" ht="18" customHeight="1" x14ac:dyDescent="0.2">
      <c r="A2043" s="2687"/>
      <c r="B2043" s="2158" t="s">
        <v>61</v>
      </c>
      <c r="C2043" s="2687"/>
      <c r="D2043" s="2158" t="s">
        <v>62</v>
      </c>
      <c r="E2043" s="368" t="s">
        <v>63</v>
      </c>
      <c r="F2043" s="2687"/>
      <c r="G2043" s="2687"/>
      <c r="H2043" s="2689"/>
      <c r="I2043" s="2158" t="s">
        <v>64</v>
      </c>
      <c r="J2043" s="379" t="s">
        <v>59</v>
      </c>
      <c r="K2043" s="2159" t="s">
        <v>59</v>
      </c>
      <c r="L2043" s="2680"/>
      <c r="M2043" s="2163"/>
      <c r="N2043" s="2163"/>
      <c r="O2043" s="382" t="s">
        <v>41</v>
      </c>
      <c r="P2043" s="383" t="s">
        <v>65</v>
      </c>
      <c r="Q2043" s="384" t="s">
        <v>66</v>
      </c>
      <c r="R2043" s="383" t="s">
        <v>67</v>
      </c>
      <c r="S2043" s="385" t="s">
        <v>59</v>
      </c>
      <c r="T2043" s="387" t="s">
        <v>68</v>
      </c>
      <c r="U2043" s="375" t="s">
        <v>14</v>
      </c>
      <c r="V2043" s="375" t="s">
        <v>14</v>
      </c>
      <c r="W2043" s="376" t="s">
        <v>30</v>
      </c>
      <c r="X2043" s="388" t="s">
        <v>69</v>
      </c>
      <c r="Y2043" s="388" t="s">
        <v>70</v>
      </c>
      <c r="Z2043" s="377" t="s">
        <v>71</v>
      </c>
      <c r="AA2043" s="377" t="s">
        <v>72</v>
      </c>
      <c r="AB2043" s="378" t="s">
        <v>59</v>
      </c>
    </row>
    <row r="2044" spans="1:28" s="352" customFormat="1" ht="18" customHeight="1" x14ac:dyDescent="0.2">
      <c r="A2044" s="2692"/>
      <c r="B2044" s="390"/>
      <c r="C2044" s="2692"/>
      <c r="D2044" s="390"/>
      <c r="E2044" s="2160"/>
      <c r="F2044" s="390"/>
      <c r="G2044" s="390"/>
      <c r="H2044" s="391"/>
      <c r="I2044" s="2160"/>
      <c r="J2044" s="392"/>
      <c r="K2044" s="393"/>
      <c r="L2044" s="2681"/>
      <c r="M2044" s="2164"/>
      <c r="N2044" s="2164"/>
      <c r="O2044" s="2164" t="s">
        <v>63</v>
      </c>
      <c r="P2044" s="395"/>
      <c r="Q2044" s="396" t="s">
        <v>72</v>
      </c>
      <c r="R2044" s="397" t="s">
        <v>59</v>
      </c>
      <c r="S2044" s="398"/>
      <c r="T2044" s="397" t="s">
        <v>73</v>
      </c>
      <c r="U2044" s="398" t="s">
        <v>59</v>
      </c>
      <c r="V2044" s="399" t="s">
        <v>59</v>
      </c>
      <c r="W2044" s="400" t="s">
        <v>59</v>
      </c>
      <c r="X2044" s="401" t="s">
        <v>59</v>
      </c>
      <c r="Y2044" s="401" t="s">
        <v>59</v>
      </c>
      <c r="Z2044" s="401" t="s">
        <v>59</v>
      </c>
      <c r="AA2044" s="402"/>
      <c r="AB2044" s="403"/>
    </row>
    <row r="2045" spans="1:28" s="352" customFormat="1" ht="18" customHeight="1" x14ac:dyDescent="0.25">
      <c r="A2045" s="82">
        <v>1</v>
      </c>
      <c r="B2045" s="53">
        <v>30266</v>
      </c>
      <c r="C2045" s="82">
        <v>130</v>
      </c>
      <c r="D2045" s="41" t="s">
        <v>107</v>
      </c>
      <c r="E2045" s="41">
        <v>4</v>
      </c>
      <c r="F2045" s="41">
        <v>0</v>
      </c>
      <c r="G2045" s="41">
        <v>1</v>
      </c>
      <c r="H2045" s="267">
        <v>1</v>
      </c>
      <c r="I2045" s="302">
        <f>F2045*400+G2045*100+H2045</f>
        <v>101</v>
      </c>
      <c r="J2045" s="310">
        <v>3000</v>
      </c>
      <c r="K2045" s="310">
        <f>SUM(I2045*J2045)</f>
        <v>303000</v>
      </c>
      <c r="L2045" s="480"/>
      <c r="M2045" s="481"/>
      <c r="N2045" s="480"/>
      <c r="O2045" s="480"/>
      <c r="P2045" s="482"/>
      <c r="Q2045" s="483"/>
      <c r="R2045" s="484"/>
      <c r="S2045" s="485"/>
      <c r="T2045" s="483"/>
      <c r="U2045" s="485"/>
      <c r="V2045" s="486"/>
      <c r="W2045" s="302">
        <f>K2045</f>
        <v>303000</v>
      </c>
      <c r="X2045" s="310">
        <f>W2045</f>
        <v>303000</v>
      </c>
      <c r="Y2045" s="310"/>
      <c r="Z2045" s="302">
        <f>+X2045</f>
        <v>303000</v>
      </c>
      <c r="AA2045" s="405">
        <v>0.6</v>
      </c>
      <c r="AB2045" s="406">
        <f>+Z2045*AA2045/100</f>
        <v>1818</v>
      </c>
    </row>
    <row r="2046" spans="1:28" s="352" customFormat="1" ht="18" customHeight="1" x14ac:dyDescent="0.25">
      <c r="A2046" s="2166">
        <v>2</v>
      </c>
      <c r="B2046" s="61">
        <v>30284</v>
      </c>
      <c r="C2046" s="2166">
        <v>147</v>
      </c>
      <c r="D2046" s="15" t="s">
        <v>84</v>
      </c>
      <c r="E2046" s="15">
        <v>4</v>
      </c>
      <c r="F2046" s="15">
        <v>0</v>
      </c>
      <c r="G2046" s="15">
        <v>0</v>
      </c>
      <c r="H2046" s="284">
        <v>22</v>
      </c>
      <c r="I2046" s="296">
        <f>F2046*400+G2046*100+H2046</f>
        <v>22</v>
      </c>
      <c r="J2046" s="306">
        <v>3000</v>
      </c>
      <c r="K2046" s="306">
        <f>SUM(I2046*J2046)</f>
        <v>66000</v>
      </c>
      <c r="L2046" s="487"/>
      <c r="M2046" s="488"/>
      <c r="N2046" s="487"/>
      <c r="O2046" s="487"/>
      <c r="P2046" s="489"/>
      <c r="Q2046" s="490"/>
      <c r="R2046" s="491"/>
      <c r="S2046" s="492"/>
      <c r="T2046" s="490"/>
      <c r="U2046" s="492"/>
      <c r="V2046" s="493"/>
      <c r="W2046" s="296">
        <f>K2046</f>
        <v>66000</v>
      </c>
      <c r="X2046" s="306">
        <f>W2046</f>
        <v>66000</v>
      </c>
      <c r="Y2046" s="306"/>
      <c r="Z2046" s="296">
        <f>+X2046</f>
        <v>66000</v>
      </c>
      <c r="AA2046" s="494">
        <v>0.6</v>
      </c>
      <c r="AB2046" s="410">
        <f>+Z2046*AA2046/100</f>
        <v>396</v>
      </c>
    </row>
    <row r="2047" spans="1:28" s="352" customFormat="1" ht="18" customHeight="1" x14ac:dyDescent="0.2">
      <c r="A2047" s="88"/>
      <c r="B2047" s="75"/>
      <c r="C2047" s="88"/>
      <c r="D2047" s="88"/>
      <c r="E2047" s="88"/>
      <c r="F2047" s="88"/>
      <c r="G2047" s="88"/>
      <c r="H2047" s="495"/>
      <c r="I2047" s="77"/>
      <c r="J2047" s="2168"/>
      <c r="K2047" s="2168"/>
      <c r="L2047" s="61"/>
      <c r="M2047" s="2166"/>
      <c r="N2047" s="2166"/>
      <c r="O2047" s="61"/>
      <c r="P2047" s="177"/>
      <c r="Q2047" s="196"/>
      <c r="R2047" s="408"/>
      <c r="S2047" s="77"/>
      <c r="T2047" s="2166"/>
      <c r="U2047" s="77"/>
      <c r="V2047" s="77"/>
      <c r="W2047" s="77"/>
      <c r="X2047" s="2168"/>
      <c r="Y2047" s="2168"/>
      <c r="Z2047" s="77"/>
      <c r="AA2047" s="2170"/>
      <c r="AB2047" s="466"/>
    </row>
    <row r="2048" spans="1:28" s="352" customFormat="1" ht="18" customHeight="1" x14ac:dyDescent="0.2">
      <c r="A2048" s="88"/>
      <c r="B2048" s="75"/>
      <c r="C2048" s="88"/>
      <c r="D2048" s="88"/>
      <c r="E2048" s="88"/>
      <c r="F2048" s="88"/>
      <c r="G2048" s="88"/>
      <c r="H2048" s="495"/>
      <c r="I2048" s="77"/>
      <c r="J2048" s="2168"/>
      <c r="K2048" s="2168"/>
      <c r="L2048" s="61"/>
      <c r="M2048" s="2166"/>
      <c r="N2048" s="2166"/>
      <c r="O2048" s="61"/>
      <c r="P2048" s="177"/>
      <c r="Q2048" s="196"/>
      <c r="R2048" s="408"/>
      <c r="S2048" s="77"/>
      <c r="T2048" s="2166"/>
      <c r="U2048" s="77"/>
      <c r="V2048" s="77"/>
      <c r="W2048" s="77"/>
      <c r="X2048" s="2168"/>
      <c r="Y2048" s="2168"/>
      <c r="Z2048" s="77"/>
      <c r="AA2048" s="2170"/>
      <c r="AB2048" s="466"/>
    </row>
    <row r="2049" spans="1:28" s="352" customFormat="1" ht="18" customHeight="1" x14ac:dyDescent="0.2">
      <c r="A2049" s="2166"/>
      <c r="B2049" s="61"/>
      <c r="C2049" s="2166"/>
      <c r="D2049" s="2166"/>
      <c r="E2049" s="2166"/>
      <c r="F2049" s="2166"/>
      <c r="G2049" s="2166"/>
      <c r="H2049" s="407"/>
      <c r="I2049" s="77"/>
      <c r="J2049" s="2168"/>
      <c r="K2049" s="78"/>
      <c r="L2049" s="61"/>
      <c r="M2049" s="2166"/>
      <c r="N2049" s="2166"/>
      <c r="O2049" s="61"/>
      <c r="P2049" s="177"/>
      <c r="Q2049" s="196"/>
      <c r="R2049" s="408"/>
      <c r="S2049" s="77"/>
      <c r="T2049" s="2166"/>
      <c r="U2049" s="77"/>
      <c r="V2049" s="77"/>
      <c r="W2049" s="77"/>
      <c r="X2049" s="77"/>
      <c r="Y2049" s="2168"/>
      <c r="Z2049" s="77"/>
      <c r="AA2049" s="2170"/>
      <c r="AB2049" s="410"/>
    </row>
    <row r="2050" spans="1:28" s="352" customFormat="1" ht="18" customHeight="1" x14ac:dyDescent="0.2">
      <c r="A2050" s="2166"/>
      <c r="B2050" s="61"/>
      <c r="C2050" s="2166"/>
      <c r="D2050" s="2166"/>
      <c r="E2050" s="2166"/>
      <c r="F2050" s="2166"/>
      <c r="G2050" s="2166"/>
      <c r="H2050" s="407"/>
      <c r="I2050" s="77"/>
      <c r="J2050" s="2168"/>
      <c r="K2050" s="78"/>
      <c r="L2050" s="61"/>
      <c r="M2050" s="2166"/>
      <c r="N2050" s="2166"/>
      <c r="O2050" s="61"/>
      <c r="P2050" s="177"/>
      <c r="Q2050" s="196"/>
      <c r="R2050" s="408"/>
      <c r="S2050" s="77"/>
      <c r="T2050" s="2166"/>
      <c r="U2050" s="77"/>
      <c r="V2050" s="77"/>
      <c r="W2050" s="77"/>
      <c r="X2050" s="77"/>
      <c r="Y2050" s="2168"/>
      <c r="Z2050" s="77"/>
      <c r="AA2050" s="2170"/>
      <c r="AB2050" s="410"/>
    </row>
    <row r="2051" spans="1:28" s="352" customFormat="1" ht="18" customHeight="1" x14ac:dyDescent="0.2">
      <c r="A2051" s="2166"/>
      <c r="B2051" s="61"/>
      <c r="C2051" s="2166"/>
      <c r="D2051" s="2166"/>
      <c r="E2051" s="2166"/>
      <c r="F2051" s="2166"/>
      <c r="G2051" s="2166"/>
      <c r="H2051" s="407"/>
      <c r="I2051" s="77"/>
      <c r="J2051" s="2168"/>
      <c r="K2051" s="78"/>
      <c r="L2051" s="61"/>
      <c r="M2051" s="2166"/>
      <c r="N2051" s="2166"/>
      <c r="O2051" s="61"/>
      <c r="P2051" s="177"/>
      <c r="Q2051" s="196"/>
      <c r="R2051" s="408"/>
      <c r="S2051" s="77"/>
      <c r="T2051" s="2166"/>
      <c r="U2051" s="77"/>
      <c r="V2051" s="77"/>
      <c r="W2051" s="77"/>
      <c r="X2051" s="77"/>
      <c r="Y2051" s="2168"/>
      <c r="Z2051" s="77"/>
      <c r="AA2051" s="2170"/>
      <c r="AB2051" s="410"/>
    </row>
    <row r="2052" spans="1:28" s="352" customFormat="1" ht="18" customHeight="1" x14ac:dyDescent="0.2">
      <c r="A2052" s="88"/>
      <c r="B2052" s="75"/>
      <c r="C2052" s="88"/>
      <c r="D2052" s="88"/>
      <c r="E2052" s="2166"/>
      <c r="F2052" s="411"/>
      <c r="G2052" s="242"/>
      <c r="H2052" s="412"/>
      <c r="I2052" s="159"/>
      <c r="J2052" s="121"/>
      <c r="K2052" s="159"/>
      <c r="L2052" s="75"/>
      <c r="M2052" s="88"/>
      <c r="N2052" s="88"/>
      <c r="O2052" s="75"/>
      <c r="P2052" s="180"/>
      <c r="Q2052" s="174"/>
      <c r="R2052" s="413"/>
      <c r="S2052" s="74"/>
      <c r="T2052" s="88"/>
      <c r="U2052" s="74"/>
      <c r="V2052" s="74"/>
      <c r="W2052" s="74"/>
      <c r="X2052" s="74"/>
      <c r="Y2052" s="121"/>
      <c r="Z2052" s="74"/>
      <c r="AA2052" s="414"/>
      <c r="AB2052" s="415"/>
    </row>
    <row r="2053" spans="1:28" s="352" customFormat="1" ht="18" customHeight="1" x14ac:dyDescent="0.2">
      <c r="A2053" s="88"/>
      <c r="B2053" s="75"/>
      <c r="C2053" s="88"/>
      <c r="D2053" s="231"/>
      <c r="E2053" s="2166"/>
      <c r="F2053" s="411"/>
      <c r="G2053" s="242"/>
      <c r="H2053" s="412"/>
      <c r="I2053" s="159"/>
      <c r="J2053" s="121"/>
      <c r="K2053" s="159"/>
      <c r="L2053" s="75"/>
      <c r="M2053" s="88"/>
      <c r="N2053" s="88"/>
      <c r="O2053" s="75"/>
      <c r="P2053" s="180"/>
      <c r="Q2053" s="174"/>
      <c r="R2053" s="413"/>
      <c r="S2053" s="74"/>
      <c r="T2053" s="88"/>
      <c r="U2053" s="74"/>
      <c r="V2053" s="74"/>
      <c r="W2053" s="74"/>
      <c r="X2053" s="74"/>
      <c r="Y2053" s="121"/>
      <c r="Z2053" s="74"/>
      <c r="AA2053" s="417"/>
      <c r="AB2053" s="410"/>
    </row>
    <row r="2054" spans="1:28" s="352" customFormat="1" ht="18" customHeight="1" x14ac:dyDescent="0.2">
      <c r="A2054" s="88"/>
      <c r="B2054" s="75"/>
      <c r="C2054" s="88"/>
      <c r="D2054" s="88"/>
      <c r="E2054" s="2166"/>
      <c r="F2054" s="411"/>
      <c r="G2054" s="242"/>
      <c r="H2054" s="412"/>
      <c r="I2054" s="159"/>
      <c r="J2054" s="121"/>
      <c r="K2054" s="159"/>
      <c r="L2054" s="75"/>
      <c r="M2054" s="88"/>
      <c r="N2054" s="88"/>
      <c r="O2054" s="75"/>
      <c r="P2054" s="180"/>
      <c r="Q2054" s="174"/>
      <c r="R2054" s="413"/>
      <c r="S2054" s="74"/>
      <c r="T2054" s="88"/>
      <c r="U2054" s="74"/>
      <c r="V2054" s="74"/>
      <c r="W2054" s="74"/>
      <c r="X2054" s="74"/>
      <c r="Y2054" s="121"/>
      <c r="Z2054" s="74"/>
      <c r="AA2054" s="414"/>
      <c r="AB2054" s="416"/>
    </row>
    <row r="2055" spans="1:28" s="352" customFormat="1" ht="18" customHeight="1" x14ac:dyDescent="0.2">
      <c r="A2055" s="88"/>
      <c r="B2055" s="75"/>
      <c r="C2055" s="88"/>
      <c r="D2055" s="231"/>
      <c r="E2055" s="2166"/>
      <c r="F2055" s="411"/>
      <c r="G2055" s="242"/>
      <c r="H2055" s="412"/>
      <c r="I2055" s="159"/>
      <c r="J2055" s="121"/>
      <c r="K2055" s="159"/>
      <c r="L2055" s="75"/>
      <c r="M2055" s="88"/>
      <c r="N2055" s="88"/>
      <c r="O2055" s="75"/>
      <c r="P2055" s="180"/>
      <c r="Q2055" s="174"/>
      <c r="R2055" s="413"/>
      <c r="S2055" s="74"/>
      <c r="T2055" s="88"/>
      <c r="U2055" s="74"/>
      <c r="V2055" s="74"/>
      <c r="W2055" s="74"/>
      <c r="X2055" s="74"/>
      <c r="Y2055" s="121"/>
      <c r="Z2055" s="74"/>
      <c r="AA2055" s="417"/>
      <c r="AB2055" s="410"/>
    </row>
    <row r="2056" spans="1:28" s="352" customFormat="1" ht="18" customHeight="1" x14ac:dyDescent="0.2">
      <c r="A2056" s="88"/>
      <c r="B2056" s="75"/>
      <c r="C2056" s="88"/>
      <c r="D2056" s="2165"/>
      <c r="E2056" s="2166"/>
      <c r="F2056" s="411"/>
      <c r="G2056" s="242"/>
      <c r="H2056" s="412"/>
      <c r="I2056" s="159"/>
      <c r="J2056" s="121"/>
      <c r="K2056" s="159"/>
      <c r="L2056" s="75"/>
      <c r="M2056" s="88"/>
      <c r="N2056" s="88"/>
      <c r="O2056" s="75"/>
      <c r="P2056" s="180"/>
      <c r="Q2056" s="174"/>
      <c r="R2056" s="413"/>
      <c r="S2056" s="74"/>
      <c r="T2056" s="88"/>
      <c r="U2056" s="74"/>
      <c r="V2056" s="74"/>
      <c r="W2056" s="74"/>
      <c r="X2056" s="74"/>
      <c r="Y2056" s="121"/>
      <c r="Z2056" s="74"/>
      <c r="AA2056" s="414"/>
      <c r="AB2056" s="410"/>
    </row>
    <row r="2057" spans="1:28" s="352" customFormat="1" ht="18" customHeight="1" x14ac:dyDescent="0.2">
      <c r="A2057" s="88"/>
      <c r="B2057" s="75"/>
      <c r="C2057" s="88"/>
      <c r="D2057" s="2165"/>
      <c r="E2057" s="2166"/>
      <c r="F2057" s="411"/>
      <c r="G2057" s="242"/>
      <c r="H2057" s="412"/>
      <c r="I2057" s="159"/>
      <c r="J2057" s="121"/>
      <c r="K2057" s="159"/>
      <c r="L2057" s="75"/>
      <c r="M2057" s="88"/>
      <c r="N2057" s="88"/>
      <c r="O2057" s="75"/>
      <c r="P2057" s="180"/>
      <c r="Q2057" s="174"/>
      <c r="R2057" s="413"/>
      <c r="S2057" s="74"/>
      <c r="T2057" s="88"/>
      <c r="U2057" s="74"/>
      <c r="V2057" s="74"/>
      <c r="W2057" s="74"/>
      <c r="X2057" s="74"/>
      <c r="Y2057" s="121"/>
      <c r="Z2057" s="74"/>
      <c r="AA2057" s="414"/>
      <c r="AB2057" s="416"/>
    </row>
    <row r="2058" spans="1:28" s="352" customFormat="1" ht="18" customHeight="1" x14ac:dyDescent="0.2">
      <c r="A2058" s="88"/>
      <c r="B2058" s="418"/>
      <c r="C2058" s="88"/>
      <c r="D2058" s="88"/>
      <c r="E2058" s="88"/>
      <c r="F2058" s="411"/>
      <c r="G2058" s="242"/>
      <c r="H2058" s="412"/>
      <c r="I2058" s="159"/>
      <c r="J2058" s="121"/>
      <c r="K2058" s="159"/>
      <c r="L2058" s="75"/>
      <c r="M2058" s="88"/>
      <c r="N2058" s="88"/>
      <c r="O2058" s="75"/>
      <c r="P2058" s="180"/>
      <c r="Q2058" s="174"/>
      <c r="R2058" s="413"/>
      <c r="S2058" s="74"/>
      <c r="T2058" s="88"/>
      <c r="U2058" s="74"/>
      <c r="V2058" s="74"/>
      <c r="W2058" s="74"/>
      <c r="X2058" s="74"/>
      <c r="Y2058" s="121"/>
      <c r="Z2058" s="74"/>
      <c r="AA2058" s="414"/>
      <c r="AB2058" s="410"/>
    </row>
    <row r="2059" spans="1:28" s="352" customFormat="1" ht="18" customHeight="1" x14ac:dyDescent="0.2">
      <c r="A2059" s="1147"/>
      <c r="B2059" s="1989"/>
      <c r="C2059" s="1147"/>
      <c r="D2059" s="1147"/>
      <c r="E2059" s="1147"/>
      <c r="F2059" s="1147"/>
      <c r="G2059" s="1147"/>
      <c r="H2059" s="1990"/>
      <c r="I2059" s="1991"/>
      <c r="J2059" s="1868"/>
      <c r="K2059" s="1992"/>
      <c r="L2059" s="1989"/>
      <c r="M2059" s="1147"/>
      <c r="N2059" s="1147"/>
      <c r="O2059" s="1989"/>
      <c r="P2059" s="1867"/>
      <c r="Q2059" s="1993"/>
      <c r="R2059" s="1994"/>
      <c r="S2059" s="1991"/>
      <c r="T2059" s="1147"/>
      <c r="U2059" s="1991"/>
      <c r="V2059" s="1991"/>
      <c r="W2059" s="1991"/>
      <c r="X2059" s="1991"/>
      <c r="Y2059" s="1868"/>
      <c r="Z2059" s="1991"/>
      <c r="AA2059" s="1995"/>
      <c r="AB2059" s="1849">
        <f>SUM(AB2045:AB2058)</f>
        <v>2214</v>
      </c>
    </row>
    <row r="2060" spans="1:28" s="352" customFormat="1" ht="18" customHeight="1" x14ac:dyDescent="0.2">
      <c r="A2060" s="2788" t="s">
        <v>76</v>
      </c>
      <c r="B2060" s="2788"/>
      <c r="C2060" s="2779" t="s">
        <v>77</v>
      </c>
      <c r="D2060" s="2779"/>
      <c r="E2060" s="2779"/>
      <c r="F2060" s="2779"/>
      <c r="G2060" s="2779"/>
      <c r="H2060" s="2779"/>
      <c r="I2060" s="424" t="s">
        <v>78</v>
      </c>
      <c r="J2060" s="424"/>
      <c r="K2060" s="424"/>
      <c r="L2060" s="424"/>
      <c r="M2060" s="424"/>
      <c r="N2060" s="424"/>
      <c r="AB2060" s="425"/>
    </row>
    <row r="2061" spans="1:28" s="352" customFormat="1" ht="18" customHeight="1" x14ac:dyDescent="0.2">
      <c r="A2061" s="424"/>
      <c r="B2061" s="426"/>
      <c r="C2061" s="424"/>
      <c r="D2061" s="424"/>
      <c r="E2061" s="424"/>
      <c r="F2061" s="424"/>
      <c r="G2061" s="424"/>
      <c r="H2061" s="424"/>
      <c r="I2061" s="424" t="s">
        <v>79</v>
      </c>
      <c r="J2061" s="424"/>
      <c r="K2061" s="424"/>
      <c r="L2061" s="424"/>
      <c r="M2061" s="424"/>
      <c r="N2061" s="424"/>
      <c r="AB2061" s="425"/>
    </row>
    <row r="2062" spans="1:28" s="352" customFormat="1" ht="18" customHeight="1" x14ac:dyDescent="0.2">
      <c r="A2062" s="424"/>
      <c r="B2062" s="426"/>
      <c r="C2062" s="424"/>
      <c r="D2062" s="424"/>
      <c r="E2062" s="424"/>
      <c r="F2062" s="424"/>
      <c r="G2062" s="424"/>
      <c r="H2062" s="424"/>
      <c r="I2062" s="424" t="s">
        <v>80</v>
      </c>
      <c r="J2062" s="424"/>
      <c r="K2062" s="424"/>
      <c r="L2062" s="424"/>
      <c r="M2062" s="424"/>
      <c r="N2062" s="424"/>
      <c r="AB2062" s="425"/>
    </row>
    <row r="2063" spans="1:28" s="352" customFormat="1" ht="18" customHeight="1" x14ac:dyDescent="0.2">
      <c r="A2063" s="424"/>
      <c r="B2063" s="426"/>
      <c r="C2063" s="424"/>
      <c r="D2063" s="424"/>
      <c r="E2063" s="424"/>
      <c r="F2063" s="424"/>
      <c r="G2063" s="424"/>
      <c r="H2063" s="424"/>
      <c r="I2063" s="424" t="s">
        <v>81</v>
      </c>
      <c r="J2063" s="424"/>
      <c r="K2063" s="424"/>
      <c r="L2063" s="424"/>
      <c r="M2063" s="424"/>
      <c r="N2063" s="424"/>
      <c r="AB2063" s="425"/>
    </row>
    <row r="2064" spans="1:28" s="352" customFormat="1" ht="18" customHeight="1" x14ac:dyDescent="0.2">
      <c r="A2064" s="424"/>
      <c r="B2064" s="426"/>
      <c r="C2064" s="424"/>
      <c r="D2064" s="424"/>
      <c r="E2064" s="424"/>
      <c r="F2064" s="424"/>
      <c r="G2064" s="424"/>
      <c r="H2064" s="424"/>
      <c r="I2064" s="424" t="s">
        <v>88</v>
      </c>
      <c r="J2064" s="424"/>
      <c r="K2064" s="424"/>
      <c r="L2064" s="424"/>
      <c r="M2064" s="424"/>
      <c r="N2064" s="424"/>
      <c r="AB2064" s="425"/>
    </row>
    <row r="2065" spans="1:28" s="352" customFormat="1" ht="18" customHeight="1" x14ac:dyDescent="0.2">
      <c r="A2065" s="338"/>
      <c r="B2065" s="338"/>
      <c r="C2065" s="338"/>
      <c r="D2065" s="338"/>
      <c r="E2065" s="338"/>
      <c r="F2065" s="338"/>
      <c r="G2065" s="338"/>
      <c r="H2065" s="338"/>
      <c r="I2065" s="338"/>
      <c r="J2065" s="338"/>
      <c r="K2065" s="338"/>
      <c r="L2065" s="338"/>
      <c r="M2065" s="338"/>
      <c r="N2065" s="338"/>
      <c r="O2065" s="338"/>
      <c r="P2065" s="338"/>
      <c r="Q2065" s="338"/>
      <c r="R2065" s="338"/>
      <c r="S2065" s="338"/>
      <c r="T2065" s="338"/>
      <c r="U2065" s="338"/>
      <c r="V2065" s="338"/>
      <c r="W2065" s="338"/>
      <c r="X2065" s="338"/>
      <c r="Y2065" s="338"/>
      <c r="Z2065" s="338"/>
      <c r="AA2065" s="2774" t="s">
        <v>0</v>
      </c>
      <c r="AB2065" s="2774"/>
    </row>
    <row r="2066" spans="1:28" s="352" customFormat="1" ht="18" customHeight="1" x14ac:dyDescent="0.2">
      <c r="A2066" s="2703" t="s">
        <v>1</v>
      </c>
      <c r="B2066" s="2703"/>
      <c r="C2066" s="2703"/>
      <c r="D2066" s="2703"/>
      <c r="E2066" s="2703"/>
      <c r="F2066" s="2703"/>
      <c r="G2066" s="2703"/>
      <c r="H2066" s="2703"/>
      <c r="I2066" s="2703"/>
      <c r="J2066" s="2703"/>
      <c r="K2066" s="2703"/>
      <c r="L2066" s="2703"/>
      <c r="M2066" s="2703"/>
      <c r="N2066" s="2703"/>
      <c r="O2066" s="2703"/>
      <c r="P2066" s="2703"/>
      <c r="Q2066" s="2703"/>
      <c r="R2066" s="2703"/>
      <c r="S2066" s="2703"/>
      <c r="T2066" s="2703"/>
      <c r="U2066" s="2703"/>
      <c r="V2066" s="2703"/>
      <c r="W2066" s="2703"/>
      <c r="X2066" s="2703"/>
      <c r="Y2066" s="2703"/>
      <c r="Z2066" s="2703"/>
      <c r="AA2066" s="2703"/>
      <c r="AB2066" s="2703"/>
    </row>
    <row r="2067" spans="1:28" s="352" customFormat="1" ht="18" customHeight="1" x14ac:dyDescent="0.2">
      <c r="A2067" s="2780" t="s">
        <v>663</v>
      </c>
      <c r="B2067" s="2780"/>
      <c r="C2067" s="2780"/>
      <c r="D2067" s="2780"/>
      <c r="E2067" s="2780"/>
      <c r="F2067" s="2780"/>
      <c r="G2067" s="2780"/>
      <c r="H2067" s="2780"/>
      <c r="I2067" s="2780"/>
      <c r="J2067" s="2780"/>
      <c r="K2067" s="2780"/>
      <c r="L2067" s="2780"/>
      <c r="M2067" s="2780"/>
      <c r="N2067" s="2780"/>
      <c r="O2067" s="2780"/>
      <c r="P2067" s="2780"/>
      <c r="Q2067" s="2780"/>
      <c r="R2067" s="2780"/>
      <c r="S2067" s="2780"/>
      <c r="T2067" s="2780"/>
      <c r="U2067" s="2780"/>
      <c r="V2067" s="2780"/>
      <c r="W2067" s="2780"/>
      <c r="X2067" s="2780"/>
      <c r="Y2067" s="2780"/>
      <c r="Z2067" s="2780"/>
      <c r="AA2067" s="2780"/>
      <c r="AB2067" s="2780"/>
    </row>
    <row r="2068" spans="1:28" s="352" customFormat="1" ht="18" customHeight="1" x14ac:dyDescent="0.2">
      <c r="A2068" s="2686" t="s">
        <v>2</v>
      </c>
      <c r="B2068" s="360"/>
      <c r="C2068" s="2686" t="s">
        <v>3</v>
      </c>
      <c r="D2068" s="360"/>
      <c r="E2068" s="360"/>
      <c r="F2068" s="2693" t="s">
        <v>4</v>
      </c>
      <c r="G2068" s="2693"/>
      <c r="H2068" s="2693"/>
      <c r="I2068" s="2694"/>
      <c r="J2068" s="2694"/>
      <c r="K2068" s="2695"/>
      <c r="L2068" s="361"/>
      <c r="M2068" s="2679" t="s">
        <v>5</v>
      </c>
      <c r="N2068" s="2679"/>
      <c r="O2068" s="2679"/>
      <c r="P2068" s="2679"/>
      <c r="Q2068" s="2696"/>
      <c r="R2068" s="2696"/>
      <c r="S2068" s="2696"/>
      <c r="T2068" s="2696"/>
      <c r="U2068" s="2696"/>
      <c r="V2068" s="2697"/>
      <c r="W2068" s="362" t="s">
        <v>6</v>
      </c>
      <c r="X2068" s="363" t="s">
        <v>7</v>
      </c>
      <c r="Y2068" s="364"/>
      <c r="Z2068" s="364"/>
      <c r="AA2068" s="363"/>
      <c r="AB2068" s="365"/>
    </row>
    <row r="2069" spans="1:28" s="352" customFormat="1" ht="18" customHeight="1" x14ac:dyDescent="0.2">
      <c r="A2069" s="2687"/>
      <c r="B2069" s="367"/>
      <c r="C2069" s="2687"/>
      <c r="D2069" s="2158" t="s">
        <v>9</v>
      </c>
      <c r="E2069" s="368" t="s">
        <v>10</v>
      </c>
      <c r="F2069" s="2698" t="s">
        <v>11</v>
      </c>
      <c r="G2069" s="2694"/>
      <c r="H2069" s="2695"/>
      <c r="I2069" s="360"/>
      <c r="J2069" s="369" t="s">
        <v>12</v>
      </c>
      <c r="K2069" s="360"/>
      <c r="L2069" s="2679" t="s">
        <v>2</v>
      </c>
      <c r="M2069" s="2162"/>
      <c r="N2069" s="2162"/>
      <c r="O2069" s="2162"/>
      <c r="P2069" s="371"/>
      <c r="Q2069" s="372" t="s">
        <v>13</v>
      </c>
      <c r="R2069" s="373" t="s">
        <v>12</v>
      </c>
      <c r="S2069" s="2162" t="s">
        <v>6</v>
      </c>
      <c r="T2069" s="2682" t="s">
        <v>14</v>
      </c>
      <c r="U2069" s="2683"/>
      <c r="V2069" s="375" t="s">
        <v>7</v>
      </c>
      <c r="W2069" s="376" t="s">
        <v>15</v>
      </c>
      <c r="X2069" s="377" t="s">
        <v>16</v>
      </c>
      <c r="Y2069" s="377" t="s">
        <v>17</v>
      </c>
      <c r="Z2069" s="377" t="s">
        <v>18</v>
      </c>
      <c r="AA2069" s="377"/>
      <c r="AB2069" s="378" t="s">
        <v>19</v>
      </c>
    </row>
    <row r="2070" spans="1:28" s="352" customFormat="1" ht="18" customHeight="1" x14ac:dyDescent="0.2">
      <c r="A2070" s="2687"/>
      <c r="B2070" s="2158" t="s">
        <v>23</v>
      </c>
      <c r="C2070" s="2687"/>
      <c r="D2070" s="2158" t="s">
        <v>24</v>
      </c>
      <c r="E2070" s="368" t="s">
        <v>25</v>
      </c>
      <c r="F2070" s="2699"/>
      <c r="G2070" s="2700"/>
      <c r="H2070" s="2701"/>
      <c r="I2070" s="2158" t="s">
        <v>26</v>
      </c>
      <c r="J2070" s="379" t="s">
        <v>15</v>
      </c>
      <c r="K2070" s="2159" t="s">
        <v>6</v>
      </c>
      <c r="L2070" s="2680"/>
      <c r="M2070" s="2163" t="s">
        <v>27</v>
      </c>
      <c r="N2070" s="2163" t="s">
        <v>10</v>
      </c>
      <c r="O2070" s="382" t="s">
        <v>10</v>
      </c>
      <c r="P2070" s="383" t="s">
        <v>28</v>
      </c>
      <c r="Q2070" s="384" t="s">
        <v>29</v>
      </c>
      <c r="R2070" s="383" t="s">
        <v>15</v>
      </c>
      <c r="S2070" s="385" t="s">
        <v>15</v>
      </c>
      <c r="T2070" s="2684"/>
      <c r="U2070" s="2685"/>
      <c r="V2070" s="375" t="s">
        <v>30</v>
      </c>
      <c r="W2070" s="376" t="s">
        <v>31</v>
      </c>
      <c r="X2070" s="377" t="s">
        <v>30</v>
      </c>
      <c r="Y2070" s="377" t="s">
        <v>32</v>
      </c>
      <c r="Z2070" s="377" t="s">
        <v>7</v>
      </c>
      <c r="AA2070" s="377" t="s">
        <v>33</v>
      </c>
      <c r="AB2070" s="378" t="s">
        <v>34</v>
      </c>
    </row>
    <row r="2071" spans="1:28" s="352" customFormat="1" ht="18" customHeight="1" x14ac:dyDescent="0.2">
      <c r="A2071" s="2687"/>
      <c r="B2071" s="2158" t="s">
        <v>39</v>
      </c>
      <c r="C2071" s="2687"/>
      <c r="D2071" s="2158" t="s">
        <v>40</v>
      </c>
      <c r="E2071" s="368" t="s">
        <v>41</v>
      </c>
      <c r="F2071" s="2686" t="s">
        <v>42</v>
      </c>
      <c r="G2071" s="2686" t="s">
        <v>43</v>
      </c>
      <c r="H2071" s="2688" t="s">
        <v>44</v>
      </c>
      <c r="I2071" s="2158" t="s">
        <v>45</v>
      </c>
      <c r="J2071" s="379" t="s">
        <v>46</v>
      </c>
      <c r="K2071" s="2159" t="s">
        <v>47</v>
      </c>
      <c r="L2071" s="2680"/>
      <c r="M2071" s="2163" t="s">
        <v>30</v>
      </c>
      <c r="N2071" s="2163" t="s">
        <v>30</v>
      </c>
      <c r="O2071" s="382" t="s">
        <v>25</v>
      </c>
      <c r="P2071" s="383" t="s">
        <v>30</v>
      </c>
      <c r="Q2071" s="384" t="s">
        <v>48</v>
      </c>
      <c r="R2071" s="383" t="s">
        <v>49</v>
      </c>
      <c r="S2071" s="385" t="s">
        <v>30</v>
      </c>
      <c r="T2071" s="386" t="s">
        <v>50</v>
      </c>
      <c r="U2071" s="2161" t="s">
        <v>13</v>
      </c>
      <c r="V2071" s="375" t="s">
        <v>51</v>
      </c>
      <c r="W2071" s="376" t="s">
        <v>52</v>
      </c>
      <c r="X2071" s="377" t="s">
        <v>53</v>
      </c>
      <c r="Y2071" s="377" t="s">
        <v>54</v>
      </c>
      <c r="Z2071" s="377" t="s">
        <v>55</v>
      </c>
      <c r="AA2071" s="377" t="s">
        <v>56</v>
      </c>
      <c r="AB2071" s="378" t="s">
        <v>57</v>
      </c>
    </row>
    <row r="2072" spans="1:28" s="352" customFormat="1" ht="18" customHeight="1" x14ac:dyDescent="0.2">
      <c r="A2072" s="2687"/>
      <c r="B2072" s="2158" t="s">
        <v>61</v>
      </c>
      <c r="C2072" s="2687"/>
      <c r="D2072" s="2158" t="s">
        <v>62</v>
      </c>
      <c r="E2072" s="368" t="s">
        <v>63</v>
      </c>
      <c r="F2072" s="2687"/>
      <c r="G2072" s="2687"/>
      <c r="H2072" s="2689"/>
      <c r="I2072" s="2158" t="s">
        <v>64</v>
      </c>
      <c r="J2072" s="379" t="s">
        <v>59</v>
      </c>
      <c r="K2072" s="2159" t="s">
        <v>59</v>
      </c>
      <c r="L2072" s="2680"/>
      <c r="M2072" s="2163"/>
      <c r="N2072" s="2163"/>
      <c r="O2072" s="382" t="s">
        <v>41</v>
      </c>
      <c r="P2072" s="383" t="s">
        <v>65</v>
      </c>
      <c r="Q2072" s="384" t="s">
        <v>66</v>
      </c>
      <c r="R2072" s="383" t="s">
        <v>67</v>
      </c>
      <c r="S2072" s="385" t="s">
        <v>59</v>
      </c>
      <c r="T2072" s="387" t="s">
        <v>68</v>
      </c>
      <c r="U2072" s="375" t="s">
        <v>14</v>
      </c>
      <c r="V2072" s="375" t="s">
        <v>14</v>
      </c>
      <c r="W2072" s="376" t="s">
        <v>30</v>
      </c>
      <c r="X2072" s="388" t="s">
        <v>69</v>
      </c>
      <c r="Y2072" s="388" t="s">
        <v>70</v>
      </c>
      <c r="Z2072" s="377" t="s">
        <v>71</v>
      </c>
      <c r="AA2072" s="377" t="s">
        <v>72</v>
      </c>
      <c r="AB2072" s="378" t="s">
        <v>59</v>
      </c>
    </row>
    <row r="2073" spans="1:28" s="352" customFormat="1" ht="18" customHeight="1" x14ac:dyDescent="0.2">
      <c r="A2073" s="2692"/>
      <c r="B2073" s="390"/>
      <c r="C2073" s="2692"/>
      <c r="D2073" s="390"/>
      <c r="E2073" s="2160"/>
      <c r="F2073" s="390"/>
      <c r="G2073" s="390"/>
      <c r="H2073" s="391"/>
      <c r="I2073" s="2160"/>
      <c r="J2073" s="392"/>
      <c r="K2073" s="393"/>
      <c r="L2073" s="2681"/>
      <c r="M2073" s="2164"/>
      <c r="N2073" s="2164"/>
      <c r="O2073" s="2164" t="s">
        <v>63</v>
      </c>
      <c r="P2073" s="395"/>
      <c r="Q2073" s="396" t="s">
        <v>72</v>
      </c>
      <c r="R2073" s="397" t="s">
        <v>59</v>
      </c>
      <c r="S2073" s="398"/>
      <c r="T2073" s="397" t="s">
        <v>73</v>
      </c>
      <c r="U2073" s="398" t="s">
        <v>59</v>
      </c>
      <c r="V2073" s="399" t="s">
        <v>59</v>
      </c>
      <c r="W2073" s="400" t="s">
        <v>59</v>
      </c>
      <c r="X2073" s="401" t="s">
        <v>59</v>
      </c>
      <c r="Y2073" s="401" t="s">
        <v>59</v>
      </c>
      <c r="Z2073" s="401" t="s">
        <v>59</v>
      </c>
      <c r="AA2073" s="402"/>
      <c r="AB2073" s="403"/>
    </row>
    <row r="2074" spans="1:28" s="352" customFormat="1" ht="18" customHeight="1" x14ac:dyDescent="0.2">
      <c r="A2074" s="82">
        <v>1</v>
      </c>
      <c r="B2074" s="53">
        <v>30305</v>
      </c>
      <c r="C2074" s="82">
        <v>151</v>
      </c>
      <c r="D2074" s="82" t="s">
        <v>107</v>
      </c>
      <c r="E2074" s="82">
        <v>4</v>
      </c>
      <c r="F2074" s="82">
        <v>0</v>
      </c>
      <c r="G2074" s="82">
        <v>0</v>
      </c>
      <c r="H2074" s="463">
        <v>76</v>
      </c>
      <c r="I2074" s="70">
        <f>F2074*400+G2074*100+H2074</f>
        <v>76</v>
      </c>
      <c r="J2074" s="123">
        <v>3000</v>
      </c>
      <c r="K2074" s="123">
        <f>SUM(I2074*J2074)</f>
        <v>228000</v>
      </c>
      <c r="L2074" s="481"/>
      <c r="M2074" s="481"/>
      <c r="N2074" s="481"/>
      <c r="O2074" s="481"/>
      <c r="P2074" s="905"/>
      <c r="Q2074" s="905"/>
      <c r="R2074" s="906"/>
      <c r="S2074" s="906"/>
      <c r="T2074" s="905"/>
      <c r="U2074" s="906"/>
      <c r="V2074" s="907"/>
      <c r="W2074" s="70">
        <f>K2074</f>
        <v>228000</v>
      </c>
      <c r="X2074" s="123">
        <f>W2074</f>
        <v>228000</v>
      </c>
      <c r="Y2074" s="123"/>
      <c r="Z2074" s="70">
        <f>+X2074</f>
        <v>228000</v>
      </c>
      <c r="AA2074" s="464">
        <v>0.6</v>
      </c>
      <c r="AB2074" s="406">
        <f>+Z2074*AA2074/100</f>
        <v>1368</v>
      </c>
    </row>
    <row r="2075" spans="1:28" s="352" customFormat="1" ht="18" customHeight="1" x14ac:dyDescent="0.2">
      <c r="A2075" s="2166"/>
      <c r="B2075" s="61"/>
      <c r="C2075" s="2166"/>
      <c r="D2075" s="2166"/>
      <c r="E2075" s="2166"/>
      <c r="F2075" s="2166"/>
      <c r="G2075" s="2166"/>
      <c r="H2075" s="407"/>
      <c r="I2075" s="77"/>
      <c r="J2075" s="2168"/>
      <c r="K2075" s="2168"/>
      <c r="L2075" s="488"/>
      <c r="M2075" s="488"/>
      <c r="N2075" s="488"/>
      <c r="O2075" s="488"/>
      <c r="P2075" s="819"/>
      <c r="Q2075" s="819"/>
      <c r="R2075" s="820"/>
      <c r="S2075" s="820"/>
      <c r="T2075" s="819"/>
      <c r="U2075" s="820"/>
      <c r="V2075" s="821"/>
      <c r="W2075" s="77"/>
      <c r="X2075" s="2168"/>
      <c r="Y2075" s="2168"/>
      <c r="Z2075" s="77"/>
      <c r="AA2075" s="2170"/>
      <c r="AB2075" s="410"/>
    </row>
    <row r="2076" spans="1:28" s="352" customFormat="1" ht="18" customHeight="1" x14ac:dyDescent="0.2">
      <c r="A2076" s="88"/>
      <c r="B2076" s="75"/>
      <c r="C2076" s="88"/>
      <c r="D2076" s="88"/>
      <c r="E2076" s="88"/>
      <c r="F2076" s="88"/>
      <c r="G2076" s="88"/>
      <c r="H2076" s="495"/>
      <c r="I2076" s="77"/>
      <c r="J2076" s="2168"/>
      <c r="K2076" s="2168"/>
      <c r="L2076" s="61"/>
      <c r="M2076" s="2166"/>
      <c r="N2076" s="2166"/>
      <c r="O2076" s="61"/>
      <c r="P2076" s="177"/>
      <c r="Q2076" s="196"/>
      <c r="R2076" s="408"/>
      <c r="S2076" s="77"/>
      <c r="T2076" s="2166"/>
      <c r="U2076" s="77"/>
      <c r="V2076" s="77"/>
      <c r="W2076" s="77"/>
      <c r="X2076" s="2168"/>
      <c r="Y2076" s="2168"/>
      <c r="Z2076" s="77"/>
      <c r="AA2076" s="2170"/>
      <c r="AB2076" s="466"/>
    </row>
    <row r="2077" spans="1:28" s="352" customFormat="1" ht="18" customHeight="1" x14ac:dyDescent="0.2">
      <c r="A2077" s="88"/>
      <c r="B2077" s="75"/>
      <c r="C2077" s="88"/>
      <c r="D2077" s="88"/>
      <c r="E2077" s="88"/>
      <c r="F2077" s="88"/>
      <c r="G2077" s="88"/>
      <c r="H2077" s="495"/>
      <c r="I2077" s="77"/>
      <c r="J2077" s="2168"/>
      <c r="K2077" s="2168"/>
      <c r="L2077" s="61"/>
      <c r="M2077" s="2166"/>
      <c r="N2077" s="2166"/>
      <c r="O2077" s="61"/>
      <c r="P2077" s="177"/>
      <c r="Q2077" s="196"/>
      <c r="R2077" s="408"/>
      <c r="S2077" s="77"/>
      <c r="T2077" s="2166"/>
      <c r="U2077" s="77"/>
      <c r="V2077" s="77"/>
      <c r="W2077" s="77"/>
      <c r="X2077" s="2168"/>
      <c r="Y2077" s="2168"/>
      <c r="Z2077" s="77"/>
      <c r="AA2077" s="2170"/>
      <c r="AB2077" s="466"/>
    </row>
    <row r="2078" spans="1:28" s="352" customFormat="1" ht="18" customHeight="1" x14ac:dyDescent="0.2">
      <c r="A2078" s="2166"/>
      <c r="B2078" s="61"/>
      <c r="C2078" s="2166"/>
      <c r="D2078" s="2166"/>
      <c r="E2078" s="2166"/>
      <c r="F2078" s="2166"/>
      <c r="G2078" s="2166"/>
      <c r="H2078" s="407"/>
      <c r="I2078" s="77"/>
      <c r="J2078" s="2168"/>
      <c r="K2078" s="78"/>
      <c r="L2078" s="61"/>
      <c r="M2078" s="2166"/>
      <c r="N2078" s="2166"/>
      <c r="O2078" s="61"/>
      <c r="P2078" s="177"/>
      <c r="Q2078" s="196"/>
      <c r="R2078" s="408"/>
      <c r="S2078" s="77"/>
      <c r="T2078" s="2166"/>
      <c r="U2078" s="77"/>
      <c r="V2078" s="77"/>
      <c r="W2078" s="77"/>
      <c r="X2078" s="77"/>
      <c r="Y2078" s="2168"/>
      <c r="Z2078" s="77"/>
      <c r="AA2078" s="2170"/>
      <c r="AB2078" s="410"/>
    </row>
    <row r="2079" spans="1:28" s="352" customFormat="1" ht="18" customHeight="1" x14ac:dyDescent="0.2">
      <c r="A2079" s="2166"/>
      <c r="B2079" s="61"/>
      <c r="C2079" s="2166"/>
      <c r="D2079" s="2166"/>
      <c r="E2079" s="2166"/>
      <c r="F2079" s="2166"/>
      <c r="G2079" s="2166"/>
      <c r="H2079" s="407"/>
      <c r="I2079" s="77"/>
      <c r="J2079" s="2168"/>
      <c r="K2079" s="78"/>
      <c r="L2079" s="61"/>
      <c r="M2079" s="2166"/>
      <c r="N2079" s="2166"/>
      <c r="O2079" s="61"/>
      <c r="P2079" s="177"/>
      <c r="Q2079" s="196"/>
      <c r="R2079" s="408"/>
      <c r="S2079" s="77"/>
      <c r="T2079" s="2166"/>
      <c r="U2079" s="77"/>
      <c r="V2079" s="77"/>
      <c r="W2079" s="77"/>
      <c r="X2079" s="77"/>
      <c r="Y2079" s="2168"/>
      <c r="Z2079" s="77"/>
      <c r="AA2079" s="2170"/>
      <c r="AB2079" s="410"/>
    </row>
    <row r="2080" spans="1:28" s="352" customFormat="1" ht="18" customHeight="1" x14ac:dyDescent="0.2">
      <c r="A2080" s="2166"/>
      <c r="B2080" s="61"/>
      <c r="C2080" s="2166"/>
      <c r="D2080" s="2166"/>
      <c r="E2080" s="2166"/>
      <c r="F2080" s="2166"/>
      <c r="G2080" s="2166"/>
      <c r="H2080" s="407"/>
      <c r="I2080" s="77"/>
      <c r="J2080" s="2168"/>
      <c r="K2080" s="78"/>
      <c r="L2080" s="61"/>
      <c r="M2080" s="2166"/>
      <c r="N2080" s="2166"/>
      <c r="O2080" s="61"/>
      <c r="P2080" s="177"/>
      <c r="Q2080" s="196"/>
      <c r="R2080" s="408"/>
      <c r="S2080" s="77"/>
      <c r="T2080" s="2166"/>
      <c r="U2080" s="77"/>
      <c r="V2080" s="77"/>
      <c r="W2080" s="77"/>
      <c r="X2080" s="77"/>
      <c r="Y2080" s="2168"/>
      <c r="Z2080" s="77"/>
      <c r="AA2080" s="2170"/>
      <c r="AB2080" s="410"/>
    </row>
    <row r="2081" spans="1:28" s="352" customFormat="1" ht="18" customHeight="1" x14ac:dyDescent="0.2">
      <c r="A2081" s="88"/>
      <c r="B2081" s="75"/>
      <c r="C2081" s="88"/>
      <c r="D2081" s="88"/>
      <c r="E2081" s="2166"/>
      <c r="F2081" s="411"/>
      <c r="G2081" s="242"/>
      <c r="H2081" s="412"/>
      <c r="I2081" s="159"/>
      <c r="J2081" s="121"/>
      <c r="K2081" s="159"/>
      <c r="L2081" s="75"/>
      <c r="M2081" s="88"/>
      <c r="N2081" s="88"/>
      <c r="O2081" s="75"/>
      <c r="P2081" s="180"/>
      <c r="Q2081" s="174"/>
      <c r="R2081" s="413"/>
      <c r="S2081" s="74"/>
      <c r="T2081" s="88"/>
      <c r="U2081" s="74"/>
      <c r="V2081" s="74"/>
      <c r="W2081" s="74"/>
      <c r="X2081" s="74"/>
      <c r="Y2081" s="121"/>
      <c r="Z2081" s="74"/>
      <c r="AA2081" s="414"/>
      <c r="AB2081" s="415"/>
    </row>
    <row r="2082" spans="1:28" s="352" customFormat="1" ht="18" customHeight="1" x14ac:dyDescent="0.2">
      <c r="A2082" s="88"/>
      <c r="B2082" s="75"/>
      <c r="C2082" s="88"/>
      <c r="D2082" s="88"/>
      <c r="E2082" s="2166"/>
      <c r="F2082" s="411"/>
      <c r="G2082" s="242"/>
      <c r="H2082" s="412"/>
      <c r="I2082" s="159"/>
      <c r="J2082" s="121"/>
      <c r="K2082" s="159"/>
      <c r="L2082" s="75"/>
      <c r="M2082" s="88"/>
      <c r="N2082" s="88"/>
      <c r="O2082" s="75"/>
      <c r="P2082" s="180"/>
      <c r="Q2082" s="174"/>
      <c r="R2082" s="413"/>
      <c r="S2082" s="74"/>
      <c r="T2082" s="88"/>
      <c r="U2082" s="74"/>
      <c r="V2082" s="74"/>
      <c r="W2082" s="74"/>
      <c r="X2082" s="74"/>
      <c r="Y2082" s="121"/>
      <c r="Z2082" s="74"/>
      <c r="AA2082" s="414"/>
      <c r="AB2082" s="416"/>
    </row>
    <row r="2083" spans="1:28" s="352" customFormat="1" ht="18" customHeight="1" x14ac:dyDescent="0.2">
      <c r="A2083" s="88"/>
      <c r="B2083" s="75"/>
      <c r="C2083" s="88"/>
      <c r="D2083" s="88"/>
      <c r="E2083" s="2166"/>
      <c r="F2083" s="411"/>
      <c r="G2083" s="242"/>
      <c r="H2083" s="412"/>
      <c r="I2083" s="159"/>
      <c r="J2083" s="121"/>
      <c r="K2083" s="159"/>
      <c r="L2083" s="75"/>
      <c r="M2083" s="88"/>
      <c r="N2083" s="88"/>
      <c r="O2083" s="75"/>
      <c r="P2083" s="180"/>
      <c r="Q2083" s="174"/>
      <c r="R2083" s="413"/>
      <c r="S2083" s="74"/>
      <c r="T2083" s="88"/>
      <c r="U2083" s="74"/>
      <c r="V2083" s="74"/>
      <c r="W2083" s="74"/>
      <c r="X2083" s="74"/>
      <c r="Y2083" s="121"/>
      <c r="Z2083" s="74"/>
      <c r="AA2083" s="414"/>
      <c r="AB2083" s="415"/>
    </row>
    <row r="2084" spans="1:28" s="352" customFormat="1" ht="18" customHeight="1" x14ac:dyDescent="0.2">
      <c r="A2084" s="88"/>
      <c r="B2084" s="75"/>
      <c r="C2084" s="88"/>
      <c r="D2084" s="231"/>
      <c r="E2084" s="2166"/>
      <c r="F2084" s="411"/>
      <c r="G2084" s="242"/>
      <c r="H2084" s="412"/>
      <c r="I2084" s="159"/>
      <c r="J2084" s="121"/>
      <c r="K2084" s="159"/>
      <c r="L2084" s="75"/>
      <c r="M2084" s="88"/>
      <c r="N2084" s="88"/>
      <c r="O2084" s="75"/>
      <c r="P2084" s="180"/>
      <c r="Q2084" s="174"/>
      <c r="R2084" s="413"/>
      <c r="S2084" s="74"/>
      <c r="T2084" s="88"/>
      <c r="U2084" s="74"/>
      <c r="V2084" s="74"/>
      <c r="W2084" s="74"/>
      <c r="X2084" s="74"/>
      <c r="Y2084" s="121"/>
      <c r="Z2084" s="74"/>
      <c r="AA2084" s="417"/>
      <c r="AB2084" s="410"/>
    </row>
    <row r="2085" spans="1:28" s="352" customFormat="1" ht="18" customHeight="1" x14ac:dyDescent="0.2">
      <c r="A2085" s="88"/>
      <c r="B2085" s="75"/>
      <c r="C2085" s="88"/>
      <c r="D2085" s="2165"/>
      <c r="E2085" s="2166"/>
      <c r="F2085" s="411"/>
      <c r="G2085" s="242"/>
      <c r="H2085" s="412"/>
      <c r="I2085" s="159"/>
      <c r="J2085" s="121"/>
      <c r="K2085" s="159"/>
      <c r="L2085" s="75"/>
      <c r="M2085" s="88"/>
      <c r="N2085" s="88"/>
      <c r="O2085" s="75"/>
      <c r="P2085" s="180"/>
      <c r="Q2085" s="174"/>
      <c r="R2085" s="413"/>
      <c r="S2085" s="74"/>
      <c r="T2085" s="88"/>
      <c r="U2085" s="74"/>
      <c r="V2085" s="74"/>
      <c r="W2085" s="74"/>
      <c r="X2085" s="74"/>
      <c r="Y2085" s="121"/>
      <c r="Z2085" s="74"/>
      <c r="AA2085" s="417"/>
      <c r="AB2085" s="410"/>
    </row>
    <row r="2086" spans="1:28" s="352" customFormat="1" ht="18" customHeight="1" x14ac:dyDescent="0.2">
      <c r="A2086" s="88"/>
      <c r="B2086" s="75"/>
      <c r="C2086" s="88"/>
      <c r="D2086" s="2165"/>
      <c r="E2086" s="2166"/>
      <c r="F2086" s="411"/>
      <c r="G2086" s="242"/>
      <c r="H2086" s="412"/>
      <c r="I2086" s="159"/>
      <c r="J2086" s="121"/>
      <c r="K2086" s="159"/>
      <c r="L2086" s="75"/>
      <c r="M2086" s="88"/>
      <c r="N2086" s="88"/>
      <c r="O2086" s="75"/>
      <c r="P2086" s="180"/>
      <c r="Q2086" s="174"/>
      <c r="R2086" s="413"/>
      <c r="S2086" s="74"/>
      <c r="T2086" s="88"/>
      <c r="U2086" s="74"/>
      <c r="V2086" s="74"/>
      <c r="W2086" s="74"/>
      <c r="X2086" s="74"/>
      <c r="Y2086" s="121"/>
      <c r="Z2086" s="74"/>
      <c r="AA2086" s="414"/>
      <c r="AB2086" s="416"/>
    </row>
    <row r="2087" spans="1:28" s="352" customFormat="1" ht="18" customHeight="1" x14ac:dyDescent="0.2">
      <c r="A2087" s="88"/>
      <c r="B2087" s="418"/>
      <c r="C2087" s="88"/>
      <c r="D2087" s="88"/>
      <c r="E2087" s="88"/>
      <c r="F2087" s="411"/>
      <c r="G2087" s="242"/>
      <c r="H2087" s="412"/>
      <c r="I2087" s="159"/>
      <c r="J2087" s="121"/>
      <c r="K2087" s="159"/>
      <c r="L2087" s="75"/>
      <c r="M2087" s="88"/>
      <c r="N2087" s="88"/>
      <c r="O2087" s="75"/>
      <c r="P2087" s="180"/>
      <c r="Q2087" s="174"/>
      <c r="R2087" s="413"/>
      <c r="S2087" s="74"/>
      <c r="T2087" s="88"/>
      <c r="U2087" s="74"/>
      <c r="V2087" s="74"/>
      <c r="W2087" s="74"/>
      <c r="X2087" s="74"/>
      <c r="Y2087" s="121"/>
      <c r="Z2087" s="74"/>
      <c r="AA2087" s="414"/>
      <c r="AB2087" s="410"/>
    </row>
    <row r="2088" spans="1:28" s="352" customFormat="1" ht="18" customHeight="1" x14ac:dyDescent="0.2">
      <c r="A2088" s="1147"/>
      <c r="B2088" s="1989"/>
      <c r="C2088" s="1147"/>
      <c r="D2088" s="1147"/>
      <c r="E2088" s="1147"/>
      <c r="F2088" s="1147"/>
      <c r="G2088" s="1147"/>
      <c r="H2088" s="1990"/>
      <c r="I2088" s="1991"/>
      <c r="J2088" s="1868"/>
      <c r="K2088" s="1992"/>
      <c r="L2088" s="1989"/>
      <c r="M2088" s="1147"/>
      <c r="N2088" s="1147"/>
      <c r="O2088" s="1989"/>
      <c r="P2088" s="1867"/>
      <c r="Q2088" s="1993"/>
      <c r="R2088" s="1994"/>
      <c r="S2088" s="1991"/>
      <c r="T2088" s="1147"/>
      <c r="U2088" s="1991"/>
      <c r="V2088" s="1991"/>
      <c r="W2088" s="1991"/>
      <c r="X2088" s="1991"/>
      <c r="Y2088" s="1868"/>
      <c r="Z2088" s="1991"/>
      <c r="AA2088" s="1995"/>
      <c r="AB2088" s="1849">
        <f>SUM(AB2074:AB2087)</f>
        <v>1368</v>
      </c>
    </row>
    <row r="2089" spans="1:28" s="352" customFormat="1" ht="18" customHeight="1" x14ac:dyDescent="0.2">
      <c r="A2089" s="2788" t="s">
        <v>76</v>
      </c>
      <c r="B2089" s="2788"/>
      <c r="C2089" s="2779" t="s">
        <v>77</v>
      </c>
      <c r="D2089" s="2779"/>
      <c r="E2089" s="2779"/>
      <c r="F2089" s="2779"/>
      <c r="G2089" s="2779"/>
      <c r="H2089" s="2779"/>
      <c r="I2089" s="424" t="s">
        <v>78</v>
      </c>
      <c r="J2089" s="424"/>
      <c r="K2089" s="424"/>
      <c r="L2089" s="424"/>
      <c r="M2089" s="424"/>
      <c r="N2089" s="424"/>
      <c r="AB2089" s="425"/>
    </row>
    <row r="2090" spans="1:28" s="352" customFormat="1" ht="18" customHeight="1" x14ac:dyDescent="0.2">
      <c r="A2090" s="424"/>
      <c r="B2090" s="426"/>
      <c r="C2090" s="424"/>
      <c r="D2090" s="424"/>
      <c r="E2090" s="424"/>
      <c r="F2090" s="424"/>
      <c r="G2090" s="424"/>
      <c r="H2090" s="424"/>
      <c r="I2090" s="424" t="s">
        <v>79</v>
      </c>
      <c r="J2090" s="424"/>
      <c r="K2090" s="424"/>
      <c r="L2090" s="424"/>
      <c r="M2090" s="424"/>
      <c r="N2090" s="424"/>
      <c r="AB2090" s="425"/>
    </row>
    <row r="2091" spans="1:28" s="352" customFormat="1" ht="18" customHeight="1" x14ac:dyDescent="0.2">
      <c r="A2091" s="424"/>
      <c r="B2091" s="426"/>
      <c r="C2091" s="424"/>
      <c r="D2091" s="424"/>
      <c r="E2091" s="424"/>
      <c r="F2091" s="424"/>
      <c r="G2091" s="424"/>
      <c r="H2091" s="424"/>
      <c r="I2091" s="424" t="s">
        <v>80</v>
      </c>
      <c r="J2091" s="424"/>
      <c r="K2091" s="424"/>
      <c r="L2091" s="424"/>
      <c r="M2091" s="424"/>
      <c r="N2091" s="424"/>
      <c r="AB2091" s="425"/>
    </row>
    <row r="2092" spans="1:28" s="352" customFormat="1" ht="18" customHeight="1" x14ac:dyDescent="0.2">
      <c r="A2092" s="424"/>
      <c r="B2092" s="426"/>
      <c r="C2092" s="424"/>
      <c r="D2092" s="424"/>
      <c r="E2092" s="424"/>
      <c r="F2092" s="424"/>
      <c r="G2092" s="424"/>
      <c r="H2092" s="424"/>
      <c r="I2092" s="424" t="s">
        <v>81</v>
      </c>
      <c r="J2092" s="424"/>
      <c r="K2092" s="424"/>
      <c r="L2092" s="424"/>
      <c r="M2092" s="424"/>
      <c r="N2092" s="424"/>
      <c r="AB2092" s="425"/>
    </row>
    <row r="2093" spans="1:28" s="352" customFormat="1" ht="18" customHeight="1" x14ac:dyDescent="0.2">
      <c r="A2093" s="424"/>
      <c r="B2093" s="426"/>
      <c r="C2093" s="424"/>
      <c r="D2093" s="424"/>
      <c r="E2093" s="424"/>
      <c r="F2093" s="424"/>
      <c r="G2093" s="424"/>
      <c r="H2093" s="424"/>
      <c r="I2093" s="424" t="s">
        <v>88</v>
      </c>
      <c r="J2093" s="424"/>
      <c r="K2093" s="424"/>
      <c r="L2093" s="424"/>
      <c r="M2093" s="424"/>
      <c r="N2093" s="424"/>
      <c r="AB2093" s="425"/>
    </row>
    <row r="2094" spans="1:28" s="352" customFormat="1" ht="18" customHeight="1" x14ac:dyDescent="0.2">
      <c r="A2094" s="338"/>
      <c r="B2094" s="338"/>
      <c r="C2094" s="338"/>
      <c r="D2094" s="338"/>
      <c r="E2094" s="338"/>
      <c r="F2094" s="338"/>
      <c r="G2094" s="338"/>
      <c r="H2094" s="338"/>
      <c r="I2094" s="338"/>
      <c r="J2094" s="338"/>
      <c r="K2094" s="338"/>
      <c r="L2094" s="338"/>
      <c r="M2094" s="338"/>
      <c r="N2094" s="338"/>
      <c r="O2094" s="338"/>
      <c r="P2094" s="338"/>
      <c r="Q2094" s="338"/>
      <c r="R2094" s="338"/>
      <c r="S2094" s="338"/>
      <c r="T2094" s="338"/>
      <c r="U2094" s="338"/>
      <c r="V2094" s="338"/>
      <c r="W2094" s="338"/>
      <c r="X2094" s="338"/>
      <c r="Y2094" s="338"/>
      <c r="Z2094" s="338"/>
      <c r="AA2094" s="2774" t="s">
        <v>0</v>
      </c>
      <c r="AB2094" s="2774"/>
    </row>
    <row r="2095" spans="1:28" s="352" customFormat="1" ht="18" customHeight="1" x14ac:dyDescent="0.2">
      <c r="A2095" s="2703" t="s">
        <v>1</v>
      </c>
      <c r="B2095" s="2703"/>
      <c r="C2095" s="2703"/>
      <c r="D2095" s="2703"/>
      <c r="E2095" s="2703"/>
      <c r="F2095" s="2703"/>
      <c r="G2095" s="2703"/>
      <c r="H2095" s="2703"/>
      <c r="I2095" s="2703"/>
      <c r="J2095" s="2703"/>
      <c r="K2095" s="2703"/>
      <c r="L2095" s="2703"/>
      <c r="M2095" s="2703"/>
      <c r="N2095" s="2703"/>
      <c r="O2095" s="2703"/>
      <c r="P2095" s="2703"/>
      <c r="Q2095" s="2703"/>
      <c r="R2095" s="2703"/>
      <c r="S2095" s="2703"/>
      <c r="T2095" s="2703"/>
      <c r="U2095" s="2703"/>
      <c r="V2095" s="2703"/>
      <c r="W2095" s="2703"/>
      <c r="X2095" s="2703"/>
      <c r="Y2095" s="2703"/>
      <c r="Z2095" s="2703"/>
      <c r="AA2095" s="2703"/>
      <c r="AB2095" s="2703"/>
    </row>
    <row r="2096" spans="1:28" s="352" customFormat="1" ht="18" customHeight="1" x14ac:dyDescent="0.2">
      <c r="A2096" s="2780" t="s">
        <v>664</v>
      </c>
      <c r="B2096" s="2780"/>
      <c r="C2096" s="2780"/>
      <c r="D2096" s="2780"/>
      <c r="E2096" s="2780"/>
      <c r="F2096" s="2780"/>
      <c r="G2096" s="2780"/>
      <c r="H2096" s="2780"/>
      <c r="I2096" s="2780"/>
      <c r="J2096" s="2780"/>
      <c r="K2096" s="2780"/>
      <c r="L2096" s="2780"/>
      <c r="M2096" s="2780"/>
      <c r="N2096" s="2780"/>
      <c r="O2096" s="2780"/>
      <c r="P2096" s="2780"/>
      <c r="Q2096" s="2780"/>
      <c r="R2096" s="2780"/>
      <c r="S2096" s="2780"/>
      <c r="T2096" s="2780"/>
      <c r="U2096" s="2780"/>
      <c r="V2096" s="2780"/>
      <c r="W2096" s="2780"/>
      <c r="X2096" s="2780"/>
      <c r="Y2096" s="2780"/>
      <c r="Z2096" s="2780"/>
      <c r="AA2096" s="2780"/>
      <c r="AB2096" s="2780"/>
    </row>
    <row r="2097" spans="1:28" s="352" customFormat="1" ht="18" customHeight="1" x14ac:dyDescent="0.2">
      <c r="A2097" s="2686" t="s">
        <v>2</v>
      </c>
      <c r="B2097" s="360"/>
      <c r="C2097" s="2686" t="s">
        <v>3</v>
      </c>
      <c r="D2097" s="360"/>
      <c r="E2097" s="360"/>
      <c r="F2097" s="2693" t="s">
        <v>4</v>
      </c>
      <c r="G2097" s="2693"/>
      <c r="H2097" s="2693"/>
      <c r="I2097" s="2694"/>
      <c r="J2097" s="2694"/>
      <c r="K2097" s="2695"/>
      <c r="L2097" s="361"/>
      <c r="M2097" s="2679" t="s">
        <v>5</v>
      </c>
      <c r="N2097" s="2679"/>
      <c r="O2097" s="2679"/>
      <c r="P2097" s="2679"/>
      <c r="Q2097" s="2696"/>
      <c r="R2097" s="2696"/>
      <c r="S2097" s="2696"/>
      <c r="T2097" s="2696"/>
      <c r="U2097" s="2696"/>
      <c r="V2097" s="2697"/>
      <c r="W2097" s="362" t="s">
        <v>6</v>
      </c>
      <c r="X2097" s="363" t="s">
        <v>7</v>
      </c>
      <c r="Y2097" s="364"/>
      <c r="Z2097" s="364"/>
      <c r="AA2097" s="363"/>
      <c r="AB2097" s="365"/>
    </row>
    <row r="2098" spans="1:28" s="352" customFormat="1" ht="18" customHeight="1" x14ac:dyDescent="0.2">
      <c r="A2098" s="2687"/>
      <c r="B2098" s="367"/>
      <c r="C2098" s="2687"/>
      <c r="D2098" s="2158" t="s">
        <v>9</v>
      </c>
      <c r="E2098" s="368" t="s">
        <v>10</v>
      </c>
      <c r="F2098" s="2698" t="s">
        <v>11</v>
      </c>
      <c r="G2098" s="2694"/>
      <c r="H2098" s="2695"/>
      <c r="I2098" s="360"/>
      <c r="J2098" s="369" t="s">
        <v>12</v>
      </c>
      <c r="K2098" s="360"/>
      <c r="L2098" s="2679" t="s">
        <v>2</v>
      </c>
      <c r="M2098" s="2162"/>
      <c r="N2098" s="2162"/>
      <c r="O2098" s="2162"/>
      <c r="P2098" s="371"/>
      <c r="Q2098" s="372" t="s">
        <v>13</v>
      </c>
      <c r="R2098" s="373" t="s">
        <v>12</v>
      </c>
      <c r="S2098" s="2162" t="s">
        <v>6</v>
      </c>
      <c r="T2098" s="2682" t="s">
        <v>14</v>
      </c>
      <c r="U2098" s="2683"/>
      <c r="V2098" s="375" t="s">
        <v>7</v>
      </c>
      <c r="W2098" s="376" t="s">
        <v>15</v>
      </c>
      <c r="X2098" s="377" t="s">
        <v>16</v>
      </c>
      <c r="Y2098" s="377" t="s">
        <v>17</v>
      </c>
      <c r="Z2098" s="377" t="s">
        <v>18</v>
      </c>
      <c r="AA2098" s="377"/>
      <c r="AB2098" s="378" t="s">
        <v>19</v>
      </c>
    </row>
    <row r="2099" spans="1:28" s="352" customFormat="1" ht="18" customHeight="1" x14ac:dyDescent="0.2">
      <c r="A2099" s="2687"/>
      <c r="B2099" s="2158" t="s">
        <v>23</v>
      </c>
      <c r="C2099" s="2687"/>
      <c r="D2099" s="2158" t="s">
        <v>24</v>
      </c>
      <c r="E2099" s="368" t="s">
        <v>25</v>
      </c>
      <c r="F2099" s="2699"/>
      <c r="G2099" s="2700"/>
      <c r="H2099" s="2701"/>
      <c r="I2099" s="2158" t="s">
        <v>26</v>
      </c>
      <c r="J2099" s="379" t="s">
        <v>15</v>
      </c>
      <c r="K2099" s="2159" t="s">
        <v>6</v>
      </c>
      <c r="L2099" s="2680"/>
      <c r="M2099" s="2163" t="s">
        <v>27</v>
      </c>
      <c r="N2099" s="2163" t="s">
        <v>10</v>
      </c>
      <c r="O2099" s="382" t="s">
        <v>10</v>
      </c>
      <c r="P2099" s="383" t="s">
        <v>28</v>
      </c>
      <c r="Q2099" s="384" t="s">
        <v>29</v>
      </c>
      <c r="R2099" s="383" t="s">
        <v>15</v>
      </c>
      <c r="S2099" s="385" t="s">
        <v>15</v>
      </c>
      <c r="T2099" s="2684"/>
      <c r="U2099" s="2685"/>
      <c r="V2099" s="375" t="s">
        <v>30</v>
      </c>
      <c r="W2099" s="376" t="s">
        <v>31</v>
      </c>
      <c r="X2099" s="377" t="s">
        <v>30</v>
      </c>
      <c r="Y2099" s="377" t="s">
        <v>32</v>
      </c>
      <c r="Z2099" s="377" t="s">
        <v>7</v>
      </c>
      <c r="AA2099" s="377" t="s">
        <v>33</v>
      </c>
      <c r="AB2099" s="378" t="s">
        <v>34</v>
      </c>
    </row>
    <row r="2100" spans="1:28" s="352" customFormat="1" ht="18" customHeight="1" x14ac:dyDescent="0.2">
      <c r="A2100" s="2687"/>
      <c r="B2100" s="2158" t="s">
        <v>39</v>
      </c>
      <c r="C2100" s="2687"/>
      <c r="D2100" s="2158" t="s">
        <v>40</v>
      </c>
      <c r="E2100" s="368" t="s">
        <v>41</v>
      </c>
      <c r="F2100" s="2686" t="s">
        <v>42</v>
      </c>
      <c r="G2100" s="2686" t="s">
        <v>43</v>
      </c>
      <c r="H2100" s="2688" t="s">
        <v>44</v>
      </c>
      <c r="I2100" s="2158" t="s">
        <v>45</v>
      </c>
      <c r="J2100" s="379" t="s">
        <v>46</v>
      </c>
      <c r="K2100" s="2159" t="s">
        <v>47</v>
      </c>
      <c r="L2100" s="2680"/>
      <c r="M2100" s="2163" t="s">
        <v>30</v>
      </c>
      <c r="N2100" s="2163" t="s">
        <v>30</v>
      </c>
      <c r="O2100" s="382" t="s">
        <v>25</v>
      </c>
      <c r="P2100" s="383" t="s">
        <v>30</v>
      </c>
      <c r="Q2100" s="384" t="s">
        <v>48</v>
      </c>
      <c r="R2100" s="383" t="s">
        <v>49</v>
      </c>
      <c r="S2100" s="385" t="s">
        <v>30</v>
      </c>
      <c r="T2100" s="386" t="s">
        <v>50</v>
      </c>
      <c r="U2100" s="2161" t="s">
        <v>13</v>
      </c>
      <c r="V2100" s="375" t="s">
        <v>51</v>
      </c>
      <c r="W2100" s="376" t="s">
        <v>52</v>
      </c>
      <c r="X2100" s="377" t="s">
        <v>53</v>
      </c>
      <c r="Y2100" s="377" t="s">
        <v>54</v>
      </c>
      <c r="Z2100" s="377" t="s">
        <v>55</v>
      </c>
      <c r="AA2100" s="377" t="s">
        <v>56</v>
      </c>
      <c r="AB2100" s="378" t="s">
        <v>57</v>
      </c>
    </row>
    <row r="2101" spans="1:28" s="352" customFormat="1" ht="18" customHeight="1" x14ac:dyDescent="0.2">
      <c r="A2101" s="2687"/>
      <c r="B2101" s="2158" t="s">
        <v>61</v>
      </c>
      <c r="C2101" s="2687"/>
      <c r="D2101" s="2158" t="s">
        <v>62</v>
      </c>
      <c r="E2101" s="368" t="s">
        <v>63</v>
      </c>
      <c r="F2101" s="2687"/>
      <c r="G2101" s="2687"/>
      <c r="H2101" s="2689"/>
      <c r="I2101" s="2158" t="s">
        <v>64</v>
      </c>
      <c r="J2101" s="379" t="s">
        <v>59</v>
      </c>
      <c r="K2101" s="2159" t="s">
        <v>59</v>
      </c>
      <c r="L2101" s="2680"/>
      <c r="M2101" s="2163"/>
      <c r="N2101" s="2163"/>
      <c r="O2101" s="382" t="s">
        <v>41</v>
      </c>
      <c r="P2101" s="383" t="s">
        <v>65</v>
      </c>
      <c r="Q2101" s="384" t="s">
        <v>66</v>
      </c>
      <c r="R2101" s="383" t="s">
        <v>67</v>
      </c>
      <c r="S2101" s="385" t="s">
        <v>59</v>
      </c>
      <c r="T2101" s="387" t="s">
        <v>68</v>
      </c>
      <c r="U2101" s="375" t="s">
        <v>14</v>
      </c>
      <c r="V2101" s="375" t="s">
        <v>14</v>
      </c>
      <c r="W2101" s="376" t="s">
        <v>30</v>
      </c>
      <c r="X2101" s="388" t="s">
        <v>69</v>
      </c>
      <c r="Y2101" s="388" t="s">
        <v>70</v>
      </c>
      <c r="Z2101" s="377" t="s">
        <v>71</v>
      </c>
      <c r="AA2101" s="377" t="s">
        <v>72</v>
      </c>
      <c r="AB2101" s="378" t="s">
        <v>59</v>
      </c>
    </row>
    <row r="2102" spans="1:28" s="352" customFormat="1" ht="18" customHeight="1" x14ac:dyDescent="0.2">
      <c r="A2102" s="2692"/>
      <c r="B2102" s="390"/>
      <c r="C2102" s="2692"/>
      <c r="D2102" s="390"/>
      <c r="E2102" s="2160"/>
      <c r="F2102" s="390"/>
      <c r="G2102" s="390"/>
      <c r="H2102" s="391"/>
      <c r="I2102" s="2160"/>
      <c r="J2102" s="392"/>
      <c r="K2102" s="393"/>
      <c r="L2102" s="2681"/>
      <c r="M2102" s="2164"/>
      <c r="N2102" s="2164"/>
      <c r="O2102" s="2164" t="s">
        <v>63</v>
      </c>
      <c r="P2102" s="395"/>
      <c r="Q2102" s="396" t="s">
        <v>72</v>
      </c>
      <c r="R2102" s="397" t="s">
        <v>59</v>
      </c>
      <c r="S2102" s="398"/>
      <c r="T2102" s="397" t="s">
        <v>73</v>
      </c>
      <c r="U2102" s="398" t="s">
        <v>59</v>
      </c>
      <c r="V2102" s="399" t="s">
        <v>59</v>
      </c>
      <c r="W2102" s="400" t="s">
        <v>59</v>
      </c>
      <c r="X2102" s="401" t="s">
        <v>59</v>
      </c>
      <c r="Y2102" s="401" t="s">
        <v>59</v>
      </c>
      <c r="Z2102" s="401" t="s">
        <v>59</v>
      </c>
      <c r="AA2102" s="402"/>
      <c r="AB2102" s="403"/>
    </row>
    <row r="2103" spans="1:28" s="352" customFormat="1" ht="18" customHeight="1" x14ac:dyDescent="0.2">
      <c r="A2103" s="82">
        <v>1</v>
      </c>
      <c r="B2103" s="41">
        <v>31869</v>
      </c>
      <c r="C2103" s="41">
        <v>953</v>
      </c>
      <c r="D2103" s="41" t="s">
        <v>107</v>
      </c>
      <c r="E2103" s="41">
        <v>4</v>
      </c>
      <c r="F2103" s="41">
        <v>0</v>
      </c>
      <c r="G2103" s="41">
        <v>0</v>
      </c>
      <c r="H2103" s="267">
        <v>98</v>
      </c>
      <c r="I2103" s="302">
        <f>F2103*400+G2103*100+H2103</f>
        <v>98</v>
      </c>
      <c r="J2103" s="310">
        <v>1300</v>
      </c>
      <c r="K2103" s="311">
        <f>SUM(I2103*J2103)</f>
        <v>127400</v>
      </c>
      <c r="L2103" s="16"/>
      <c r="M2103" s="82"/>
      <c r="N2103" s="41"/>
      <c r="O2103" s="16">
        <v>4</v>
      </c>
      <c r="P2103" s="404"/>
      <c r="Q2103" s="14"/>
      <c r="R2103" s="302"/>
      <c r="S2103" s="302"/>
      <c r="T2103" s="41"/>
      <c r="U2103" s="302"/>
      <c r="V2103" s="302"/>
      <c r="W2103" s="302">
        <f>K2103+V2103</f>
        <v>127400</v>
      </c>
      <c r="X2103" s="302">
        <f>W2103</f>
        <v>127400</v>
      </c>
      <c r="Y2103" s="310"/>
      <c r="Z2103" s="310">
        <f>+X2103</f>
        <v>127400</v>
      </c>
      <c r="AA2103" s="405">
        <v>0.6</v>
      </c>
      <c r="AB2103" s="465">
        <f>+Z2103*AA2103/100</f>
        <v>764.4</v>
      </c>
    </row>
    <row r="2104" spans="1:28" s="352" customFormat="1" ht="18" customHeight="1" x14ac:dyDescent="0.2">
      <c r="A2104" s="2166">
        <v>2</v>
      </c>
      <c r="B2104" s="15">
        <v>31868</v>
      </c>
      <c r="C2104" s="15">
        <v>952</v>
      </c>
      <c r="D2104" s="15"/>
      <c r="E2104" s="15"/>
      <c r="F2104" s="15">
        <v>0</v>
      </c>
      <c r="G2104" s="15">
        <v>0</v>
      </c>
      <c r="H2104" s="284">
        <v>98</v>
      </c>
      <c r="I2104" s="299">
        <f>F2104*400+G2104*100+H2104</f>
        <v>98</v>
      </c>
      <c r="J2104" s="305">
        <v>1000</v>
      </c>
      <c r="K2104" s="312">
        <f>SUM(I2104*J2104)</f>
        <v>98000</v>
      </c>
      <c r="L2104" s="50"/>
      <c r="M2104" s="2166"/>
      <c r="N2104" s="15"/>
      <c r="O2104" s="50">
        <v>4</v>
      </c>
      <c r="P2104" s="673"/>
      <c r="Q2104" s="76"/>
      <c r="R2104" s="296"/>
      <c r="S2104" s="296"/>
      <c r="T2104" s="15"/>
      <c r="U2104" s="296"/>
      <c r="V2104" s="296"/>
      <c r="W2104" s="299">
        <f>K2104+V2104</f>
        <v>98000</v>
      </c>
      <c r="X2104" s="299">
        <f>W2104</f>
        <v>98000</v>
      </c>
      <c r="Y2104" s="305"/>
      <c r="Z2104" s="305">
        <f>+X2104</f>
        <v>98000</v>
      </c>
      <c r="AA2104" s="494">
        <v>0.6</v>
      </c>
      <c r="AB2104" s="416">
        <f>+Z2104*AA2104/100</f>
        <v>588</v>
      </c>
    </row>
    <row r="2105" spans="1:28" s="352" customFormat="1" ht="18" customHeight="1" x14ac:dyDescent="0.2">
      <c r="A2105" s="88"/>
      <c r="B2105" s="75"/>
      <c r="C2105" s="88"/>
      <c r="D2105" s="88"/>
      <c r="E2105" s="88"/>
      <c r="F2105" s="88"/>
      <c r="G2105" s="88"/>
      <c r="H2105" s="495"/>
      <c r="I2105" s="77"/>
      <c r="J2105" s="2168"/>
      <c r="K2105" s="2168"/>
      <c r="L2105" s="61"/>
      <c r="M2105" s="2166"/>
      <c r="N2105" s="2166"/>
      <c r="O2105" s="61"/>
      <c r="P2105" s="177"/>
      <c r="Q2105" s="196"/>
      <c r="R2105" s="408"/>
      <c r="S2105" s="77"/>
      <c r="T2105" s="2166"/>
      <c r="U2105" s="77"/>
      <c r="V2105" s="77"/>
      <c r="W2105" s="77"/>
      <c r="X2105" s="2168"/>
      <c r="Y2105" s="2168"/>
      <c r="Z2105" s="77"/>
      <c r="AA2105" s="2170"/>
      <c r="AB2105" s="466"/>
    </row>
    <row r="2106" spans="1:28" s="352" customFormat="1" ht="18" customHeight="1" x14ac:dyDescent="0.2">
      <c r="A2106" s="88"/>
      <c r="B2106" s="75"/>
      <c r="C2106" s="88"/>
      <c r="D2106" s="88"/>
      <c r="E2106" s="88"/>
      <c r="F2106" s="88"/>
      <c r="G2106" s="88"/>
      <c r="H2106" s="495"/>
      <c r="I2106" s="77"/>
      <c r="J2106" s="2168"/>
      <c r="K2106" s="2168"/>
      <c r="L2106" s="61"/>
      <c r="M2106" s="2166"/>
      <c r="N2106" s="2166"/>
      <c r="O2106" s="61"/>
      <c r="P2106" s="177"/>
      <c r="Q2106" s="196"/>
      <c r="R2106" s="408"/>
      <c r="S2106" s="77"/>
      <c r="T2106" s="2166"/>
      <c r="U2106" s="77"/>
      <c r="V2106" s="77"/>
      <c r="W2106" s="77"/>
      <c r="X2106" s="2168"/>
      <c r="Y2106" s="2168"/>
      <c r="Z2106" s="77"/>
      <c r="AA2106" s="2170"/>
      <c r="AB2106" s="466"/>
    </row>
    <row r="2107" spans="1:28" s="352" customFormat="1" ht="18" customHeight="1" x14ac:dyDescent="0.2">
      <c r="A2107" s="2166"/>
      <c r="B2107" s="61"/>
      <c r="C2107" s="2166"/>
      <c r="D2107" s="2166"/>
      <c r="E2107" s="2166"/>
      <c r="F2107" s="2166"/>
      <c r="G2107" s="2166"/>
      <c r="H2107" s="407"/>
      <c r="I2107" s="77"/>
      <c r="J2107" s="2168"/>
      <c r="K2107" s="78"/>
      <c r="L2107" s="61"/>
      <c r="M2107" s="2166"/>
      <c r="N2107" s="2166"/>
      <c r="O2107" s="61"/>
      <c r="P2107" s="177"/>
      <c r="Q2107" s="196"/>
      <c r="R2107" s="408"/>
      <c r="S2107" s="77"/>
      <c r="T2107" s="2166"/>
      <c r="U2107" s="77"/>
      <c r="V2107" s="77"/>
      <c r="W2107" s="77"/>
      <c r="X2107" s="77"/>
      <c r="Y2107" s="2168"/>
      <c r="Z2107" s="77"/>
      <c r="AA2107" s="2170"/>
      <c r="AB2107" s="410"/>
    </row>
    <row r="2108" spans="1:28" s="352" customFormat="1" ht="18" customHeight="1" x14ac:dyDescent="0.2">
      <c r="A2108" s="2166"/>
      <c r="B2108" s="61"/>
      <c r="C2108" s="2166"/>
      <c r="D2108" s="2166"/>
      <c r="E2108" s="2166"/>
      <c r="F2108" s="2166"/>
      <c r="G2108" s="2166"/>
      <c r="H2108" s="407"/>
      <c r="I2108" s="77"/>
      <c r="J2108" s="2168"/>
      <c r="K2108" s="78"/>
      <c r="L2108" s="61"/>
      <c r="M2108" s="2166"/>
      <c r="N2108" s="2166"/>
      <c r="O2108" s="61"/>
      <c r="P2108" s="177"/>
      <c r="Q2108" s="196"/>
      <c r="R2108" s="408"/>
      <c r="S2108" s="77"/>
      <c r="T2108" s="2166"/>
      <c r="U2108" s="77"/>
      <c r="V2108" s="77"/>
      <c r="W2108" s="77"/>
      <c r="X2108" s="77"/>
      <c r="Y2108" s="2168"/>
      <c r="Z2108" s="77"/>
      <c r="AA2108" s="2170"/>
      <c r="AB2108" s="410"/>
    </row>
    <row r="2109" spans="1:28" s="352" customFormat="1" ht="18" customHeight="1" x14ac:dyDescent="0.2">
      <c r="A2109" s="2166"/>
      <c r="B2109" s="61"/>
      <c r="C2109" s="2166"/>
      <c r="D2109" s="2166"/>
      <c r="E2109" s="2166"/>
      <c r="F2109" s="2166"/>
      <c r="G2109" s="2166"/>
      <c r="H2109" s="407"/>
      <c r="I2109" s="77"/>
      <c r="J2109" s="2168"/>
      <c r="K2109" s="78"/>
      <c r="L2109" s="61"/>
      <c r="M2109" s="2166"/>
      <c r="N2109" s="2166"/>
      <c r="O2109" s="61"/>
      <c r="P2109" s="177"/>
      <c r="Q2109" s="196"/>
      <c r="R2109" s="408"/>
      <c r="S2109" s="77"/>
      <c r="T2109" s="2166"/>
      <c r="U2109" s="77"/>
      <c r="V2109" s="77"/>
      <c r="W2109" s="77"/>
      <c r="X2109" s="77"/>
      <c r="Y2109" s="2168"/>
      <c r="Z2109" s="77"/>
      <c r="AA2109" s="2170"/>
      <c r="AB2109" s="410"/>
    </row>
    <row r="2110" spans="1:28" s="352" customFormat="1" ht="18" customHeight="1" x14ac:dyDescent="0.2">
      <c r="A2110" s="88"/>
      <c r="B2110" s="75"/>
      <c r="C2110" s="88"/>
      <c r="D2110" s="88"/>
      <c r="E2110" s="2166"/>
      <c r="F2110" s="411"/>
      <c r="G2110" s="242"/>
      <c r="H2110" s="412"/>
      <c r="I2110" s="159"/>
      <c r="J2110" s="121"/>
      <c r="K2110" s="159"/>
      <c r="L2110" s="75"/>
      <c r="M2110" s="88"/>
      <c r="N2110" s="88"/>
      <c r="O2110" s="75"/>
      <c r="P2110" s="180"/>
      <c r="Q2110" s="174"/>
      <c r="R2110" s="413"/>
      <c r="S2110" s="74"/>
      <c r="T2110" s="88"/>
      <c r="U2110" s="74"/>
      <c r="V2110" s="74"/>
      <c r="W2110" s="74"/>
      <c r="X2110" s="74"/>
      <c r="Y2110" s="121"/>
      <c r="Z2110" s="74"/>
      <c r="AA2110" s="414"/>
      <c r="AB2110" s="415"/>
    </row>
    <row r="2111" spans="1:28" s="352" customFormat="1" ht="18" customHeight="1" x14ac:dyDescent="0.2">
      <c r="A2111" s="88"/>
      <c r="B2111" s="75"/>
      <c r="C2111" s="88"/>
      <c r="D2111" s="88"/>
      <c r="E2111" s="2166"/>
      <c r="F2111" s="411"/>
      <c r="G2111" s="242"/>
      <c r="H2111" s="412"/>
      <c r="I2111" s="159"/>
      <c r="J2111" s="121"/>
      <c r="K2111" s="159"/>
      <c r="L2111" s="75"/>
      <c r="M2111" s="88"/>
      <c r="N2111" s="88"/>
      <c r="O2111" s="75"/>
      <c r="P2111" s="180"/>
      <c r="Q2111" s="174"/>
      <c r="R2111" s="413"/>
      <c r="S2111" s="74"/>
      <c r="T2111" s="88"/>
      <c r="U2111" s="74"/>
      <c r="V2111" s="74"/>
      <c r="W2111" s="74"/>
      <c r="X2111" s="74"/>
      <c r="Y2111" s="121"/>
      <c r="Z2111" s="74"/>
      <c r="AA2111" s="414"/>
      <c r="AB2111" s="416"/>
    </row>
    <row r="2112" spans="1:28" s="352" customFormat="1" ht="18" customHeight="1" x14ac:dyDescent="0.2">
      <c r="A2112" s="88"/>
      <c r="B2112" s="75"/>
      <c r="C2112" s="88"/>
      <c r="D2112" s="88"/>
      <c r="E2112" s="2166"/>
      <c r="F2112" s="411"/>
      <c r="G2112" s="242"/>
      <c r="H2112" s="412"/>
      <c r="I2112" s="159"/>
      <c r="J2112" s="121"/>
      <c r="K2112" s="159"/>
      <c r="L2112" s="75"/>
      <c r="M2112" s="88"/>
      <c r="N2112" s="88"/>
      <c r="O2112" s="75"/>
      <c r="P2112" s="180"/>
      <c r="Q2112" s="174"/>
      <c r="R2112" s="413"/>
      <c r="S2112" s="74"/>
      <c r="T2112" s="88"/>
      <c r="U2112" s="74"/>
      <c r="V2112" s="74"/>
      <c r="W2112" s="74"/>
      <c r="X2112" s="74"/>
      <c r="Y2112" s="121"/>
      <c r="Z2112" s="74"/>
      <c r="AA2112" s="414"/>
      <c r="AB2112" s="415"/>
    </row>
    <row r="2113" spans="1:28" s="352" customFormat="1" ht="18" customHeight="1" x14ac:dyDescent="0.2">
      <c r="A2113" s="88"/>
      <c r="B2113" s="75"/>
      <c r="C2113" s="88"/>
      <c r="D2113" s="231"/>
      <c r="E2113" s="2166"/>
      <c r="F2113" s="411"/>
      <c r="G2113" s="242"/>
      <c r="H2113" s="412"/>
      <c r="I2113" s="159"/>
      <c r="J2113" s="121"/>
      <c r="K2113" s="159"/>
      <c r="L2113" s="75"/>
      <c r="M2113" s="88"/>
      <c r="N2113" s="88"/>
      <c r="O2113" s="75"/>
      <c r="P2113" s="180"/>
      <c r="Q2113" s="174"/>
      <c r="R2113" s="413"/>
      <c r="S2113" s="74"/>
      <c r="T2113" s="88"/>
      <c r="U2113" s="74"/>
      <c r="V2113" s="74"/>
      <c r="W2113" s="74"/>
      <c r="X2113" s="74"/>
      <c r="Y2113" s="121"/>
      <c r="Z2113" s="74"/>
      <c r="AA2113" s="417"/>
      <c r="AB2113" s="410"/>
    </row>
    <row r="2114" spans="1:28" s="352" customFormat="1" ht="18" customHeight="1" x14ac:dyDescent="0.2">
      <c r="A2114" s="88"/>
      <c r="B2114" s="75"/>
      <c r="C2114" s="88"/>
      <c r="D2114" s="2165"/>
      <c r="E2114" s="2166"/>
      <c r="F2114" s="411"/>
      <c r="G2114" s="242"/>
      <c r="H2114" s="412"/>
      <c r="I2114" s="159"/>
      <c r="J2114" s="121"/>
      <c r="K2114" s="159"/>
      <c r="L2114" s="75"/>
      <c r="M2114" s="88"/>
      <c r="N2114" s="88"/>
      <c r="O2114" s="75"/>
      <c r="P2114" s="180"/>
      <c r="Q2114" s="174"/>
      <c r="R2114" s="413"/>
      <c r="S2114" s="74"/>
      <c r="T2114" s="88"/>
      <c r="U2114" s="74"/>
      <c r="V2114" s="74"/>
      <c r="W2114" s="74"/>
      <c r="X2114" s="74"/>
      <c r="Y2114" s="121"/>
      <c r="Z2114" s="74"/>
      <c r="AA2114" s="417"/>
      <c r="AB2114" s="410"/>
    </row>
    <row r="2115" spans="1:28" s="352" customFormat="1" ht="18" customHeight="1" x14ac:dyDescent="0.2">
      <c r="A2115" s="88"/>
      <c r="B2115" s="75"/>
      <c r="C2115" s="88"/>
      <c r="D2115" s="2165"/>
      <c r="E2115" s="2166"/>
      <c r="F2115" s="411"/>
      <c r="G2115" s="242"/>
      <c r="H2115" s="412"/>
      <c r="I2115" s="159"/>
      <c r="J2115" s="121"/>
      <c r="K2115" s="159"/>
      <c r="L2115" s="75"/>
      <c r="M2115" s="88"/>
      <c r="N2115" s="88"/>
      <c r="O2115" s="75"/>
      <c r="P2115" s="180"/>
      <c r="Q2115" s="174"/>
      <c r="R2115" s="413"/>
      <c r="S2115" s="74"/>
      <c r="T2115" s="88"/>
      <c r="U2115" s="74"/>
      <c r="V2115" s="74"/>
      <c r="W2115" s="74"/>
      <c r="X2115" s="74"/>
      <c r="Y2115" s="121"/>
      <c r="Z2115" s="74"/>
      <c r="AA2115" s="414"/>
      <c r="AB2115" s="416"/>
    </row>
    <row r="2116" spans="1:28" s="352" customFormat="1" ht="18" customHeight="1" x14ac:dyDescent="0.2">
      <c r="A2116" s="88"/>
      <c r="B2116" s="418"/>
      <c r="C2116" s="88"/>
      <c r="D2116" s="88"/>
      <c r="E2116" s="88"/>
      <c r="F2116" s="411"/>
      <c r="G2116" s="242"/>
      <c r="H2116" s="412"/>
      <c r="I2116" s="159"/>
      <c r="J2116" s="121"/>
      <c r="K2116" s="159"/>
      <c r="L2116" s="75"/>
      <c r="M2116" s="88"/>
      <c r="N2116" s="88"/>
      <c r="O2116" s="75"/>
      <c r="P2116" s="180"/>
      <c r="Q2116" s="174"/>
      <c r="R2116" s="413"/>
      <c r="S2116" s="74"/>
      <c r="T2116" s="88"/>
      <c r="U2116" s="74"/>
      <c r="V2116" s="74"/>
      <c r="W2116" s="74"/>
      <c r="X2116" s="74"/>
      <c r="Y2116" s="121"/>
      <c r="Z2116" s="74"/>
      <c r="AA2116" s="414"/>
      <c r="AB2116" s="410"/>
    </row>
    <row r="2117" spans="1:28" s="352" customFormat="1" ht="18" customHeight="1" x14ac:dyDescent="0.2">
      <c r="A2117" s="1147"/>
      <c r="B2117" s="1989"/>
      <c r="C2117" s="1147"/>
      <c r="D2117" s="1147"/>
      <c r="E2117" s="1147"/>
      <c r="F2117" s="1147"/>
      <c r="G2117" s="1147"/>
      <c r="H2117" s="1990"/>
      <c r="I2117" s="1991"/>
      <c r="J2117" s="1868"/>
      <c r="K2117" s="1992"/>
      <c r="L2117" s="1989"/>
      <c r="M2117" s="1147"/>
      <c r="N2117" s="1147"/>
      <c r="O2117" s="1989"/>
      <c r="P2117" s="1867"/>
      <c r="Q2117" s="1993"/>
      <c r="R2117" s="1994"/>
      <c r="S2117" s="1991"/>
      <c r="T2117" s="1147"/>
      <c r="U2117" s="1991"/>
      <c r="V2117" s="1991"/>
      <c r="W2117" s="1991"/>
      <c r="X2117" s="1991"/>
      <c r="Y2117" s="1868"/>
      <c r="Z2117" s="1991"/>
      <c r="AA2117" s="1995"/>
      <c r="AB2117" s="1849">
        <f>SUM(AB2103:AB2116)</f>
        <v>1352.4</v>
      </c>
    </row>
    <row r="2118" spans="1:28" s="352" customFormat="1" ht="18" customHeight="1" x14ac:dyDescent="0.2">
      <c r="A2118" s="2788" t="s">
        <v>76</v>
      </c>
      <c r="B2118" s="2788"/>
      <c r="C2118" s="2779" t="s">
        <v>77</v>
      </c>
      <c r="D2118" s="2779"/>
      <c r="E2118" s="2779"/>
      <c r="F2118" s="2779"/>
      <c r="G2118" s="2779"/>
      <c r="H2118" s="2779"/>
      <c r="I2118" s="424" t="s">
        <v>78</v>
      </c>
      <c r="J2118" s="424"/>
      <c r="K2118" s="424"/>
      <c r="L2118" s="424"/>
      <c r="M2118" s="424"/>
      <c r="N2118" s="424"/>
      <c r="AB2118" s="425"/>
    </row>
    <row r="2119" spans="1:28" s="352" customFormat="1" ht="18" customHeight="1" x14ac:dyDescent="0.2">
      <c r="A2119" s="424"/>
      <c r="B2119" s="426"/>
      <c r="C2119" s="424"/>
      <c r="D2119" s="424"/>
      <c r="E2119" s="424"/>
      <c r="F2119" s="424"/>
      <c r="G2119" s="424"/>
      <c r="H2119" s="424"/>
      <c r="I2119" s="424" t="s">
        <v>79</v>
      </c>
      <c r="J2119" s="424"/>
      <c r="K2119" s="424"/>
      <c r="L2119" s="424"/>
      <c r="M2119" s="424"/>
      <c r="N2119" s="424"/>
      <c r="AB2119" s="425"/>
    </row>
    <row r="2120" spans="1:28" s="352" customFormat="1" ht="18" customHeight="1" x14ac:dyDescent="0.2">
      <c r="A2120" s="424"/>
      <c r="B2120" s="426"/>
      <c r="C2120" s="424"/>
      <c r="D2120" s="424"/>
      <c r="E2120" s="424"/>
      <c r="F2120" s="424"/>
      <c r="G2120" s="424"/>
      <c r="H2120" s="424"/>
      <c r="I2120" s="424" t="s">
        <v>80</v>
      </c>
      <c r="J2120" s="424"/>
      <c r="K2120" s="424"/>
      <c r="L2120" s="424"/>
      <c r="M2120" s="424"/>
      <c r="N2120" s="424"/>
      <c r="AB2120" s="425"/>
    </row>
    <row r="2121" spans="1:28" s="352" customFormat="1" ht="18" customHeight="1" x14ac:dyDescent="0.2">
      <c r="A2121" s="424"/>
      <c r="B2121" s="426"/>
      <c r="C2121" s="424"/>
      <c r="D2121" s="424"/>
      <c r="E2121" s="424"/>
      <c r="F2121" s="424"/>
      <c r="G2121" s="424"/>
      <c r="H2121" s="424"/>
      <c r="I2121" s="424" t="s">
        <v>81</v>
      </c>
      <c r="J2121" s="424"/>
      <c r="K2121" s="424"/>
      <c r="L2121" s="424"/>
      <c r="M2121" s="424"/>
      <c r="N2121" s="424"/>
      <c r="AB2121" s="425"/>
    </row>
    <row r="2122" spans="1:28" s="352" customFormat="1" ht="18" customHeight="1" x14ac:dyDescent="0.2">
      <c r="A2122" s="424"/>
      <c r="B2122" s="426"/>
      <c r="C2122" s="424"/>
      <c r="D2122" s="424"/>
      <c r="E2122" s="424"/>
      <c r="F2122" s="424"/>
      <c r="G2122" s="424"/>
      <c r="H2122" s="424"/>
      <c r="I2122" s="424" t="s">
        <v>88</v>
      </c>
      <c r="J2122" s="424"/>
      <c r="K2122" s="424"/>
      <c r="L2122" s="424"/>
      <c r="M2122" s="424"/>
      <c r="N2122" s="424"/>
      <c r="AB2122" s="425"/>
    </row>
    <row r="2123" spans="1:28" s="352" customFormat="1" ht="18" customHeight="1" x14ac:dyDescent="0.2">
      <c r="A2123" s="338"/>
      <c r="B2123" s="338"/>
      <c r="C2123" s="338"/>
      <c r="D2123" s="338"/>
      <c r="E2123" s="338"/>
      <c r="F2123" s="338"/>
      <c r="G2123" s="338"/>
      <c r="H2123" s="338"/>
      <c r="I2123" s="338"/>
      <c r="J2123" s="338"/>
      <c r="K2123" s="338"/>
      <c r="L2123" s="338"/>
      <c r="M2123" s="338"/>
      <c r="N2123" s="338"/>
      <c r="O2123" s="338"/>
      <c r="P2123" s="338"/>
      <c r="Q2123" s="338"/>
      <c r="R2123" s="338"/>
      <c r="S2123" s="338"/>
      <c r="T2123" s="338"/>
      <c r="U2123" s="338"/>
      <c r="V2123" s="338"/>
      <c r="W2123" s="338"/>
      <c r="X2123" s="338"/>
      <c r="Y2123" s="338"/>
      <c r="Z2123" s="338"/>
      <c r="AA2123" s="2774" t="s">
        <v>0</v>
      </c>
      <c r="AB2123" s="2774"/>
    </row>
    <row r="2124" spans="1:28" s="352" customFormat="1" ht="18" customHeight="1" x14ac:dyDescent="0.2">
      <c r="A2124" s="2703" t="s">
        <v>1</v>
      </c>
      <c r="B2124" s="2703"/>
      <c r="C2124" s="2703"/>
      <c r="D2124" s="2703"/>
      <c r="E2124" s="2703"/>
      <c r="F2124" s="2703"/>
      <c r="G2124" s="2703"/>
      <c r="H2124" s="2703"/>
      <c r="I2124" s="2703"/>
      <c r="J2124" s="2703"/>
      <c r="K2124" s="2703"/>
      <c r="L2124" s="2703"/>
      <c r="M2124" s="2703"/>
      <c r="N2124" s="2703"/>
      <c r="O2124" s="2703"/>
      <c r="P2124" s="2703"/>
      <c r="Q2124" s="2703"/>
      <c r="R2124" s="2703"/>
      <c r="S2124" s="2703"/>
      <c r="T2124" s="2703"/>
      <c r="U2124" s="2703"/>
      <c r="V2124" s="2703"/>
      <c r="W2124" s="2703"/>
      <c r="X2124" s="2703"/>
      <c r="Y2124" s="2703"/>
      <c r="Z2124" s="2703"/>
      <c r="AA2124" s="2703"/>
      <c r="AB2124" s="2703"/>
    </row>
    <row r="2125" spans="1:28" s="352" customFormat="1" ht="18" customHeight="1" x14ac:dyDescent="0.2">
      <c r="A2125" s="2780" t="s">
        <v>490</v>
      </c>
      <c r="B2125" s="2780"/>
      <c r="C2125" s="2780"/>
      <c r="D2125" s="2780"/>
      <c r="E2125" s="2780"/>
      <c r="F2125" s="2780"/>
      <c r="G2125" s="2780"/>
      <c r="H2125" s="2780"/>
      <c r="I2125" s="2780"/>
      <c r="J2125" s="2780"/>
      <c r="K2125" s="2780"/>
      <c r="L2125" s="2780"/>
      <c r="M2125" s="2780"/>
      <c r="N2125" s="2780"/>
      <c r="O2125" s="2780"/>
      <c r="P2125" s="2780"/>
      <c r="Q2125" s="2780"/>
      <c r="R2125" s="2780"/>
      <c r="S2125" s="2780"/>
      <c r="T2125" s="2780"/>
      <c r="U2125" s="2780"/>
      <c r="V2125" s="2780"/>
      <c r="W2125" s="2780"/>
      <c r="X2125" s="2780"/>
      <c r="Y2125" s="2780"/>
      <c r="Z2125" s="2780"/>
      <c r="AA2125" s="2780"/>
      <c r="AB2125" s="2780"/>
    </row>
    <row r="2126" spans="1:28" s="352" customFormat="1" ht="18" customHeight="1" x14ac:dyDescent="0.2">
      <c r="A2126" s="2686" t="s">
        <v>2</v>
      </c>
      <c r="B2126" s="360"/>
      <c r="C2126" s="2686" t="s">
        <v>3</v>
      </c>
      <c r="D2126" s="360"/>
      <c r="E2126" s="360"/>
      <c r="F2126" s="2693" t="s">
        <v>4</v>
      </c>
      <c r="G2126" s="2693"/>
      <c r="H2126" s="2693"/>
      <c r="I2126" s="2694"/>
      <c r="J2126" s="2694"/>
      <c r="K2126" s="2695"/>
      <c r="L2126" s="361"/>
      <c r="M2126" s="2679" t="s">
        <v>5</v>
      </c>
      <c r="N2126" s="2679"/>
      <c r="O2126" s="2679"/>
      <c r="P2126" s="2679"/>
      <c r="Q2126" s="2696"/>
      <c r="R2126" s="2696"/>
      <c r="S2126" s="2696"/>
      <c r="T2126" s="2696"/>
      <c r="U2126" s="2696"/>
      <c r="V2126" s="2697"/>
      <c r="W2126" s="362" t="s">
        <v>6</v>
      </c>
      <c r="X2126" s="363" t="s">
        <v>7</v>
      </c>
      <c r="Y2126" s="364"/>
      <c r="Z2126" s="364"/>
      <c r="AA2126" s="363"/>
      <c r="AB2126" s="365"/>
    </row>
    <row r="2127" spans="1:28" s="352" customFormat="1" ht="18" customHeight="1" x14ac:dyDescent="0.2">
      <c r="A2127" s="2687"/>
      <c r="B2127" s="367"/>
      <c r="C2127" s="2687"/>
      <c r="D2127" s="2158" t="s">
        <v>9</v>
      </c>
      <c r="E2127" s="368" t="s">
        <v>10</v>
      </c>
      <c r="F2127" s="2698" t="s">
        <v>11</v>
      </c>
      <c r="G2127" s="2694"/>
      <c r="H2127" s="2695"/>
      <c r="I2127" s="360"/>
      <c r="J2127" s="369" t="s">
        <v>12</v>
      </c>
      <c r="K2127" s="360"/>
      <c r="L2127" s="2679" t="s">
        <v>2</v>
      </c>
      <c r="M2127" s="2162"/>
      <c r="N2127" s="2162"/>
      <c r="O2127" s="2162"/>
      <c r="P2127" s="371"/>
      <c r="Q2127" s="372" t="s">
        <v>13</v>
      </c>
      <c r="R2127" s="373" t="s">
        <v>12</v>
      </c>
      <c r="S2127" s="2162" t="s">
        <v>6</v>
      </c>
      <c r="T2127" s="2682" t="s">
        <v>14</v>
      </c>
      <c r="U2127" s="2683"/>
      <c r="V2127" s="375" t="s">
        <v>7</v>
      </c>
      <c r="W2127" s="376" t="s">
        <v>15</v>
      </c>
      <c r="X2127" s="377" t="s">
        <v>16</v>
      </c>
      <c r="Y2127" s="377" t="s">
        <v>17</v>
      </c>
      <c r="Z2127" s="377" t="s">
        <v>18</v>
      </c>
      <c r="AA2127" s="377"/>
      <c r="AB2127" s="378" t="s">
        <v>19</v>
      </c>
    </row>
    <row r="2128" spans="1:28" s="352" customFormat="1" ht="18" customHeight="1" x14ac:dyDescent="0.2">
      <c r="A2128" s="2687"/>
      <c r="B2128" s="2158" t="s">
        <v>23</v>
      </c>
      <c r="C2128" s="2687"/>
      <c r="D2128" s="2158" t="s">
        <v>24</v>
      </c>
      <c r="E2128" s="368" t="s">
        <v>25</v>
      </c>
      <c r="F2128" s="2699"/>
      <c r="G2128" s="2700"/>
      <c r="H2128" s="2701"/>
      <c r="I2128" s="2158" t="s">
        <v>26</v>
      </c>
      <c r="J2128" s="379" t="s">
        <v>15</v>
      </c>
      <c r="K2128" s="2159" t="s">
        <v>6</v>
      </c>
      <c r="L2128" s="2680"/>
      <c r="M2128" s="2163" t="s">
        <v>27</v>
      </c>
      <c r="N2128" s="2163" t="s">
        <v>10</v>
      </c>
      <c r="O2128" s="382" t="s">
        <v>10</v>
      </c>
      <c r="P2128" s="383" t="s">
        <v>28</v>
      </c>
      <c r="Q2128" s="384" t="s">
        <v>29</v>
      </c>
      <c r="R2128" s="383" t="s">
        <v>15</v>
      </c>
      <c r="S2128" s="385" t="s">
        <v>15</v>
      </c>
      <c r="T2128" s="2684"/>
      <c r="U2128" s="2685"/>
      <c r="V2128" s="375" t="s">
        <v>30</v>
      </c>
      <c r="W2128" s="376" t="s">
        <v>31</v>
      </c>
      <c r="X2128" s="377" t="s">
        <v>30</v>
      </c>
      <c r="Y2128" s="377" t="s">
        <v>32</v>
      </c>
      <c r="Z2128" s="377" t="s">
        <v>7</v>
      </c>
      <c r="AA2128" s="377" t="s">
        <v>33</v>
      </c>
      <c r="AB2128" s="378" t="s">
        <v>34</v>
      </c>
    </row>
    <row r="2129" spans="1:28" s="352" customFormat="1" ht="18" customHeight="1" x14ac:dyDescent="0.2">
      <c r="A2129" s="2687"/>
      <c r="B2129" s="2158" t="s">
        <v>39</v>
      </c>
      <c r="C2129" s="2687"/>
      <c r="D2129" s="2158" t="s">
        <v>40</v>
      </c>
      <c r="E2129" s="368" t="s">
        <v>41</v>
      </c>
      <c r="F2129" s="2686" t="s">
        <v>42</v>
      </c>
      <c r="G2129" s="2686" t="s">
        <v>43</v>
      </c>
      <c r="H2129" s="2688" t="s">
        <v>44</v>
      </c>
      <c r="I2129" s="2158" t="s">
        <v>45</v>
      </c>
      <c r="J2129" s="379" t="s">
        <v>46</v>
      </c>
      <c r="K2129" s="2159" t="s">
        <v>47</v>
      </c>
      <c r="L2129" s="2680"/>
      <c r="M2129" s="2163" t="s">
        <v>30</v>
      </c>
      <c r="N2129" s="2163" t="s">
        <v>30</v>
      </c>
      <c r="O2129" s="382" t="s">
        <v>25</v>
      </c>
      <c r="P2129" s="383" t="s">
        <v>30</v>
      </c>
      <c r="Q2129" s="384" t="s">
        <v>48</v>
      </c>
      <c r="R2129" s="383" t="s">
        <v>49</v>
      </c>
      <c r="S2129" s="385" t="s">
        <v>30</v>
      </c>
      <c r="T2129" s="386" t="s">
        <v>50</v>
      </c>
      <c r="U2129" s="2161" t="s">
        <v>13</v>
      </c>
      <c r="V2129" s="375" t="s">
        <v>51</v>
      </c>
      <c r="W2129" s="376" t="s">
        <v>52</v>
      </c>
      <c r="X2129" s="377" t="s">
        <v>53</v>
      </c>
      <c r="Y2129" s="377" t="s">
        <v>54</v>
      </c>
      <c r="Z2129" s="377" t="s">
        <v>55</v>
      </c>
      <c r="AA2129" s="377" t="s">
        <v>56</v>
      </c>
      <c r="AB2129" s="378" t="s">
        <v>57</v>
      </c>
    </row>
    <row r="2130" spans="1:28" s="352" customFormat="1" ht="18" customHeight="1" x14ac:dyDescent="0.2">
      <c r="A2130" s="2687"/>
      <c r="B2130" s="2158" t="s">
        <v>61</v>
      </c>
      <c r="C2130" s="2687"/>
      <c r="D2130" s="2158" t="s">
        <v>62</v>
      </c>
      <c r="E2130" s="368" t="s">
        <v>63</v>
      </c>
      <c r="F2130" s="2687"/>
      <c r="G2130" s="2687"/>
      <c r="H2130" s="2689"/>
      <c r="I2130" s="2158" t="s">
        <v>64</v>
      </c>
      <c r="J2130" s="379" t="s">
        <v>59</v>
      </c>
      <c r="K2130" s="2159" t="s">
        <v>59</v>
      </c>
      <c r="L2130" s="2680"/>
      <c r="M2130" s="2163"/>
      <c r="N2130" s="2163"/>
      <c r="O2130" s="382" t="s">
        <v>41</v>
      </c>
      <c r="P2130" s="383" t="s">
        <v>65</v>
      </c>
      <c r="Q2130" s="384" t="s">
        <v>66</v>
      </c>
      <c r="R2130" s="383" t="s">
        <v>67</v>
      </c>
      <c r="S2130" s="385" t="s">
        <v>59</v>
      </c>
      <c r="T2130" s="387" t="s">
        <v>68</v>
      </c>
      <c r="U2130" s="375" t="s">
        <v>14</v>
      </c>
      <c r="V2130" s="375" t="s">
        <v>14</v>
      </c>
      <c r="W2130" s="376" t="s">
        <v>30</v>
      </c>
      <c r="X2130" s="388" t="s">
        <v>69</v>
      </c>
      <c r="Y2130" s="388" t="s">
        <v>70</v>
      </c>
      <c r="Z2130" s="377" t="s">
        <v>71</v>
      </c>
      <c r="AA2130" s="377" t="s">
        <v>72</v>
      </c>
      <c r="AB2130" s="378" t="s">
        <v>59</v>
      </c>
    </row>
    <row r="2131" spans="1:28" s="352" customFormat="1" ht="18" customHeight="1" x14ac:dyDescent="0.2">
      <c r="A2131" s="2692"/>
      <c r="B2131" s="390"/>
      <c r="C2131" s="2692"/>
      <c r="D2131" s="390"/>
      <c r="E2131" s="2160"/>
      <c r="F2131" s="390"/>
      <c r="G2131" s="390"/>
      <c r="H2131" s="391"/>
      <c r="I2131" s="2160"/>
      <c r="J2131" s="392"/>
      <c r="K2131" s="393"/>
      <c r="L2131" s="2681"/>
      <c r="M2131" s="2164"/>
      <c r="N2131" s="2164"/>
      <c r="O2131" s="2164" t="s">
        <v>63</v>
      </c>
      <c r="P2131" s="395"/>
      <c r="Q2131" s="396" t="s">
        <v>72</v>
      </c>
      <c r="R2131" s="397" t="s">
        <v>59</v>
      </c>
      <c r="S2131" s="398"/>
      <c r="T2131" s="397" t="s">
        <v>73</v>
      </c>
      <c r="U2131" s="398" t="s">
        <v>59</v>
      </c>
      <c r="V2131" s="399" t="s">
        <v>59</v>
      </c>
      <c r="W2131" s="400" t="s">
        <v>59</v>
      </c>
      <c r="X2131" s="401" t="s">
        <v>59</v>
      </c>
      <c r="Y2131" s="401" t="s">
        <v>59</v>
      </c>
      <c r="Z2131" s="401" t="s">
        <v>59</v>
      </c>
      <c r="AA2131" s="402"/>
      <c r="AB2131" s="403"/>
    </row>
    <row r="2132" spans="1:28" s="352" customFormat="1" ht="18" customHeight="1" x14ac:dyDescent="0.2">
      <c r="A2132" s="82">
        <v>1</v>
      </c>
      <c r="B2132" s="41">
        <v>62334</v>
      </c>
      <c r="C2132" s="41">
        <v>1772</v>
      </c>
      <c r="D2132" s="41" t="s">
        <v>107</v>
      </c>
      <c r="E2132" s="41">
        <v>4</v>
      </c>
      <c r="F2132" s="41">
        <v>0</v>
      </c>
      <c r="G2132" s="41">
        <v>0</v>
      </c>
      <c r="H2132" s="267">
        <v>85</v>
      </c>
      <c r="I2132" s="302">
        <f>F2132*400+G2132*100+H2132</f>
        <v>85</v>
      </c>
      <c r="J2132" s="310">
        <v>1000</v>
      </c>
      <c r="K2132" s="311">
        <f>SUM(I2132*J2132)</f>
        <v>85000</v>
      </c>
      <c r="L2132" s="16"/>
      <c r="M2132" s="82"/>
      <c r="N2132" s="41"/>
      <c r="O2132" s="16"/>
      <c r="P2132" s="404"/>
      <c r="Q2132" s="14"/>
      <c r="R2132" s="302"/>
      <c r="S2132" s="302"/>
      <c r="T2132" s="41"/>
      <c r="U2132" s="302"/>
      <c r="V2132" s="302"/>
      <c r="W2132" s="302">
        <f>K2132+V2132</f>
        <v>85000</v>
      </c>
      <c r="X2132" s="302">
        <f>W2132</f>
        <v>85000</v>
      </c>
      <c r="Y2132" s="310"/>
      <c r="Z2132" s="310">
        <f>+X2132</f>
        <v>85000</v>
      </c>
      <c r="AA2132" s="405">
        <v>0.6</v>
      </c>
      <c r="AB2132" s="465">
        <f>+Z2132*AA2132/100</f>
        <v>510</v>
      </c>
    </row>
    <row r="2133" spans="1:28" s="352" customFormat="1" ht="18" customHeight="1" x14ac:dyDescent="0.2">
      <c r="A2133" s="2166">
        <v>2</v>
      </c>
      <c r="B2133" s="15">
        <v>62844</v>
      </c>
      <c r="C2133" s="15">
        <v>1806</v>
      </c>
      <c r="D2133" s="15"/>
      <c r="E2133" s="15"/>
      <c r="F2133" s="15">
        <v>0</v>
      </c>
      <c r="G2133" s="15">
        <v>2</v>
      </c>
      <c r="H2133" s="284">
        <v>0</v>
      </c>
      <c r="I2133" s="299">
        <f>F2133*400+G2133*100+H2133</f>
        <v>200</v>
      </c>
      <c r="J2133" s="305">
        <v>280</v>
      </c>
      <c r="K2133" s="312">
        <f>SUM(I2133*J2133)</f>
        <v>56000</v>
      </c>
      <c r="L2133" s="50"/>
      <c r="M2133" s="2166"/>
      <c r="N2133" s="15"/>
      <c r="O2133" s="50"/>
      <c r="P2133" s="673"/>
      <c r="Q2133" s="76"/>
      <c r="R2133" s="296"/>
      <c r="S2133" s="296"/>
      <c r="T2133" s="15"/>
      <c r="U2133" s="296"/>
      <c r="V2133" s="296"/>
      <c r="W2133" s="299">
        <f>K2133+V2133</f>
        <v>56000</v>
      </c>
      <c r="X2133" s="299">
        <f>W2133</f>
        <v>56000</v>
      </c>
      <c r="Y2133" s="305"/>
      <c r="Z2133" s="305">
        <f>+X2133</f>
        <v>56000</v>
      </c>
      <c r="AA2133" s="494">
        <v>0.6</v>
      </c>
      <c r="AB2133" s="466">
        <f>+Z2133*AA2133/100</f>
        <v>336</v>
      </c>
    </row>
    <row r="2134" spans="1:28" s="352" customFormat="1" ht="18" customHeight="1" x14ac:dyDescent="0.2">
      <c r="A2134" s="88"/>
      <c r="B2134" s="75"/>
      <c r="C2134" s="88"/>
      <c r="D2134" s="88"/>
      <c r="E2134" s="88"/>
      <c r="F2134" s="88"/>
      <c r="G2134" s="88"/>
      <c r="H2134" s="495"/>
      <c r="I2134" s="77"/>
      <c r="J2134" s="2168"/>
      <c r="K2134" s="2168"/>
      <c r="L2134" s="61"/>
      <c r="M2134" s="2166"/>
      <c r="N2134" s="2166"/>
      <c r="O2134" s="61"/>
      <c r="P2134" s="177"/>
      <c r="Q2134" s="196"/>
      <c r="R2134" s="408"/>
      <c r="S2134" s="77"/>
      <c r="T2134" s="2166"/>
      <c r="U2134" s="77"/>
      <c r="V2134" s="77"/>
      <c r="W2134" s="77"/>
      <c r="X2134" s="2168"/>
      <c r="Y2134" s="2168"/>
      <c r="Z2134" s="77"/>
      <c r="AA2134" s="2170"/>
      <c r="AB2134" s="466"/>
    </row>
    <row r="2135" spans="1:28" s="352" customFormat="1" ht="18" customHeight="1" x14ac:dyDescent="0.2">
      <c r="A2135" s="88"/>
      <c r="B2135" s="75"/>
      <c r="C2135" s="88"/>
      <c r="D2135" s="88"/>
      <c r="E2135" s="88"/>
      <c r="F2135" s="88"/>
      <c r="G2135" s="88"/>
      <c r="H2135" s="495"/>
      <c r="I2135" s="77"/>
      <c r="J2135" s="2168"/>
      <c r="K2135" s="2168"/>
      <c r="L2135" s="61"/>
      <c r="M2135" s="2166"/>
      <c r="N2135" s="2166"/>
      <c r="O2135" s="61"/>
      <c r="P2135" s="177"/>
      <c r="Q2135" s="196"/>
      <c r="R2135" s="408"/>
      <c r="S2135" s="77"/>
      <c r="T2135" s="2166"/>
      <c r="U2135" s="77"/>
      <c r="V2135" s="77"/>
      <c r="W2135" s="77"/>
      <c r="X2135" s="2168"/>
      <c r="Y2135" s="2168"/>
      <c r="Z2135" s="77"/>
      <c r="AA2135" s="2170"/>
      <c r="AB2135" s="466"/>
    </row>
    <row r="2136" spans="1:28" s="352" customFormat="1" ht="18" customHeight="1" x14ac:dyDescent="0.2">
      <c r="A2136" s="2166"/>
      <c r="B2136" s="61"/>
      <c r="C2136" s="2166"/>
      <c r="D2136" s="2166"/>
      <c r="E2136" s="2166"/>
      <c r="F2136" s="2166"/>
      <c r="G2136" s="2166"/>
      <c r="H2136" s="407"/>
      <c r="I2136" s="77"/>
      <c r="J2136" s="2168"/>
      <c r="K2136" s="78"/>
      <c r="L2136" s="61"/>
      <c r="M2136" s="2166"/>
      <c r="N2136" s="2166"/>
      <c r="O2136" s="61"/>
      <c r="P2136" s="177"/>
      <c r="Q2136" s="196"/>
      <c r="R2136" s="408"/>
      <c r="S2136" s="77"/>
      <c r="T2136" s="2166"/>
      <c r="U2136" s="77"/>
      <c r="V2136" s="77"/>
      <c r="W2136" s="77"/>
      <c r="X2136" s="77"/>
      <c r="Y2136" s="2168"/>
      <c r="Z2136" s="77"/>
      <c r="AA2136" s="2170"/>
      <c r="AB2136" s="410"/>
    </row>
    <row r="2137" spans="1:28" s="352" customFormat="1" ht="18" customHeight="1" x14ac:dyDescent="0.2">
      <c r="A2137" s="2166"/>
      <c r="B2137" s="61"/>
      <c r="C2137" s="2166"/>
      <c r="D2137" s="2166"/>
      <c r="E2137" s="2166"/>
      <c r="F2137" s="2166"/>
      <c r="G2137" s="2166"/>
      <c r="H2137" s="407"/>
      <c r="I2137" s="77"/>
      <c r="J2137" s="2168"/>
      <c r="K2137" s="78"/>
      <c r="L2137" s="61"/>
      <c r="M2137" s="2166"/>
      <c r="N2137" s="2166"/>
      <c r="O2137" s="61"/>
      <c r="P2137" s="177"/>
      <c r="Q2137" s="196"/>
      <c r="R2137" s="408"/>
      <c r="S2137" s="77"/>
      <c r="T2137" s="2166"/>
      <c r="U2137" s="77"/>
      <c r="V2137" s="77"/>
      <c r="W2137" s="77"/>
      <c r="X2137" s="77"/>
      <c r="Y2137" s="2168"/>
      <c r="Z2137" s="77"/>
      <c r="AA2137" s="2170"/>
      <c r="AB2137" s="410"/>
    </row>
    <row r="2138" spans="1:28" s="352" customFormat="1" ht="18" customHeight="1" x14ac:dyDescent="0.2">
      <c r="A2138" s="2166"/>
      <c r="B2138" s="61"/>
      <c r="C2138" s="2166"/>
      <c r="D2138" s="2166"/>
      <c r="E2138" s="2166"/>
      <c r="F2138" s="2166"/>
      <c r="G2138" s="2166"/>
      <c r="H2138" s="407"/>
      <c r="I2138" s="77"/>
      <c r="J2138" s="2168"/>
      <c r="K2138" s="78"/>
      <c r="L2138" s="61"/>
      <c r="M2138" s="2166"/>
      <c r="N2138" s="2166"/>
      <c r="O2138" s="61"/>
      <c r="P2138" s="177"/>
      <c r="Q2138" s="196"/>
      <c r="R2138" s="408"/>
      <c r="S2138" s="77"/>
      <c r="T2138" s="2166"/>
      <c r="U2138" s="77"/>
      <c r="V2138" s="77"/>
      <c r="W2138" s="77"/>
      <c r="X2138" s="77"/>
      <c r="Y2138" s="2168"/>
      <c r="Z2138" s="77"/>
      <c r="AA2138" s="2170"/>
      <c r="AB2138" s="410"/>
    </row>
    <row r="2139" spans="1:28" s="352" customFormat="1" ht="18" customHeight="1" x14ac:dyDescent="0.2">
      <c r="A2139" s="88"/>
      <c r="B2139" s="75"/>
      <c r="C2139" s="88"/>
      <c r="D2139" s="88"/>
      <c r="E2139" s="2166"/>
      <c r="F2139" s="411"/>
      <c r="G2139" s="242"/>
      <c r="H2139" s="412"/>
      <c r="I2139" s="159"/>
      <c r="J2139" s="121"/>
      <c r="K2139" s="159"/>
      <c r="L2139" s="75"/>
      <c r="M2139" s="88"/>
      <c r="N2139" s="88"/>
      <c r="O2139" s="75"/>
      <c r="P2139" s="180"/>
      <c r="Q2139" s="174"/>
      <c r="R2139" s="413"/>
      <c r="S2139" s="74"/>
      <c r="T2139" s="88"/>
      <c r="U2139" s="74"/>
      <c r="V2139" s="74"/>
      <c r="W2139" s="74"/>
      <c r="X2139" s="74"/>
      <c r="Y2139" s="121"/>
      <c r="Z2139" s="74"/>
      <c r="AA2139" s="414"/>
      <c r="AB2139" s="415"/>
    </row>
    <row r="2140" spans="1:28" s="352" customFormat="1" ht="18" customHeight="1" x14ac:dyDescent="0.2">
      <c r="A2140" s="88"/>
      <c r="B2140" s="75"/>
      <c r="C2140" s="88"/>
      <c r="D2140" s="231"/>
      <c r="E2140" s="2166"/>
      <c r="F2140" s="411"/>
      <c r="G2140" s="242"/>
      <c r="H2140" s="412"/>
      <c r="I2140" s="159"/>
      <c r="J2140" s="121"/>
      <c r="K2140" s="159"/>
      <c r="L2140" s="75"/>
      <c r="M2140" s="88"/>
      <c r="N2140" s="88"/>
      <c r="O2140" s="75"/>
      <c r="P2140" s="180"/>
      <c r="Q2140" s="174"/>
      <c r="R2140" s="413"/>
      <c r="S2140" s="74"/>
      <c r="T2140" s="88"/>
      <c r="U2140" s="74"/>
      <c r="V2140" s="74"/>
      <c r="W2140" s="74"/>
      <c r="X2140" s="74"/>
      <c r="Y2140" s="121"/>
      <c r="Z2140" s="74"/>
      <c r="AA2140" s="417"/>
      <c r="AB2140" s="410"/>
    </row>
    <row r="2141" spans="1:28" s="352" customFormat="1" ht="18" customHeight="1" x14ac:dyDescent="0.2">
      <c r="A2141" s="88"/>
      <c r="B2141" s="75"/>
      <c r="C2141" s="88"/>
      <c r="D2141" s="88"/>
      <c r="E2141" s="2166"/>
      <c r="F2141" s="411"/>
      <c r="G2141" s="242"/>
      <c r="H2141" s="412"/>
      <c r="I2141" s="159"/>
      <c r="J2141" s="121"/>
      <c r="K2141" s="159"/>
      <c r="L2141" s="75"/>
      <c r="M2141" s="88"/>
      <c r="N2141" s="88"/>
      <c r="O2141" s="75"/>
      <c r="P2141" s="180"/>
      <c r="Q2141" s="174"/>
      <c r="R2141" s="413"/>
      <c r="S2141" s="74"/>
      <c r="T2141" s="88"/>
      <c r="U2141" s="74"/>
      <c r="V2141" s="74"/>
      <c r="W2141" s="74"/>
      <c r="X2141" s="74"/>
      <c r="Y2141" s="121"/>
      <c r="Z2141" s="74"/>
      <c r="AA2141" s="414"/>
      <c r="AB2141" s="416"/>
    </row>
    <row r="2142" spans="1:28" s="352" customFormat="1" ht="18" customHeight="1" x14ac:dyDescent="0.2">
      <c r="A2142" s="88"/>
      <c r="B2142" s="75"/>
      <c r="C2142" s="88"/>
      <c r="D2142" s="231"/>
      <c r="E2142" s="2166"/>
      <c r="F2142" s="411"/>
      <c r="G2142" s="242"/>
      <c r="H2142" s="412"/>
      <c r="I2142" s="159"/>
      <c r="J2142" s="121"/>
      <c r="K2142" s="159"/>
      <c r="L2142" s="75"/>
      <c r="M2142" s="88"/>
      <c r="N2142" s="88"/>
      <c r="O2142" s="75"/>
      <c r="P2142" s="180"/>
      <c r="Q2142" s="174"/>
      <c r="R2142" s="413"/>
      <c r="S2142" s="74"/>
      <c r="T2142" s="88"/>
      <c r="U2142" s="74"/>
      <c r="V2142" s="74"/>
      <c r="W2142" s="74"/>
      <c r="X2142" s="74"/>
      <c r="Y2142" s="121"/>
      <c r="Z2142" s="74"/>
      <c r="AA2142" s="417"/>
      <c r="AB2142" s="410"/>
    </row>
    <row r="2143" spans="1:28" s="352" customFormat="1" ht="18" customHeight="1" x14ac:dyDescent="0.2">
      <c r="A2143" s="88"/>
      <c r="B2143" s="75"/>
      <c r="C2143" s="88"/>
      <c r="D2143" s="2165"/>
      <c r="E2143" s="2166"/>
      <c r="F2143" s="411"/>
      <c r="G2143" s="242"/>
      <c r="H2143" s="412"/>
      <c r="I2143" s="159"/>
      <c r="J2143" s="121"/>
      <c r="K2143" s="159"/>
      <c r="L2143" s="75"/>
      <c r="M2143" s="88"/>
      <c r="N2143" s="88"/>
      <c r="O2143" s="75"/>
      <c r="P2143" s="180"/>
      <c r="Q2143" s="174"/>
      <c r="R2143" s="413"/>
      <c r="S2143" s="74"/>
      <c r="T2143" s="88"/>
      <c r="U2143" s="74"/>
      <c r="V2143" s="74"/>
      <c r="W2143" s="74"/>
      <c r="X2143" s="74"/>
      <c r="Y2143" s="121"/>
      <c r="Z2143" s="74"/>
      <c r="AA2143" s="417"/>
      <c r="AB2143" s="410"/>
    </row>
    <row r="2144" spans="1:28" s="352" customFormat="1" ht="18" customHeight="1" x14ac:dyDescent="0.2">
      <c r="A2144" s="88"/>
      <c r="B2144" s="75"/>
      <c r="C2144" s="88"/>
      <c r="D2144" s="2165"/>
      <c r="E2144" s="2166"/>
      <c r="F2144" s="411"/>
      <c r="G2144" s="242"/>
      <c r="H2144" s="412"/>
      <c r="I2144" s="159"/>
      <c r="J2144" s="121"/>
      <c r="K2144" s="159"/>
      <c r="L2144" s="75"/>
      <c r="M2144" s="88"/>
      <c r="N2144" s="88"/>
      <c r="O2144" s="75"/>
      <c r="P2144" s="180"/>
      <c r="Q2144" s="174"/>
      <c r="R2144" s="413"/>
      <c r="S2144" s="74"/>
      <c r="T2144" s="88"/>
      <c r="U2144" s="74"/>
      <c r="V2144" s="74"/>
      <c r="W2144" s="74"/>
      <c r="X2144" s="74"/>
      <c r="Y2144" s="121"/>
      <c r="Z2144" s="74"/>
      <c r="AA2144" s="414"/>
      <c r="AB2144" s="416"/>
    </row>
    <row r="2145" spans="1:28" s="352" customFormat="1" ht="18" customHeight="1" x14ac:dyDescent="0.2">
      <c r="A2145" s="88"/>
      <c r="B2145" s="418"/>
      <c r="C2145" s="88"/>
      <c r="D2145" s="88"/>
      <c r="E2145" s="88"/>
      <c r="F2145" s="411"/>
      <c r="G2145" s="242"/>
      <c r="H2145" s="412"/>
      <c r="I2145" s="159"/>
      <c r="J2145" s="121"/>
      <c r="K2145" s="159"/>
      <c r="L2145" s="75"/>
      <c r="M2145" s="88"/>
      <c r="N2145" s="88"/>
      <c r="O2145" s="75"/>
      <c r="P2145" s="180"/>
      <c r="Q2145" s="174"/>
      <c r="R2145" s="413"/>
      <c r="S2145" s="74"/>
      <c r="T2145" s="88"/>
      <c r="U2145" s="74"/>
      <c r="V2145" s="74"/>
      <c r="W2145" s="74"/>
      <c r="X2145" s="74"/>
      <c r="Y2145" s="121"/>
      <c r="Z2145" s="74"/>
      <c r="AA2145" s="414"/>
      <c r="AB2145" s="410"/>
    </row>
    <row r="2146" spans="1:28" s="352" customFormat="1" ht="18" customHeight="1" x14ac:dyDescent="0.2">
      <c r="A2146" s="1147"/>
      <c r="B2146" s="1989"/>
      <c r="C2146" s="1147"/>
      <c r="D2146" s="1147"/>
      <c r="E2146" s="1147"/>
      <c r="F2146" s="1147"/>
      <c r="G2146" s="1147"/>
      <c r="H2146" s="1990"/>
      <c r="I2146" s="1991"/>
      <c r="J2146" s="1868"/>
      <c r="K2146" s="1992"/>
      <c r="L2146" s="1989"/>
      <c r="M2146" s="1147"/>
      <c r="N2146" s="1147"/>
      <c r="O2146" s="1989"/>
      <c r="P2146" s="1867"/>
      <c r="Q2146" s="1993"/>
      <c r="R2146" s="1994"/>
      <c r="S2146" s="1991"/>
      <c r="T2146" s="1147"/>
      <c r="U2146" s="1991"/>
      <c r="V2146" s="1991"/>
      <c r="W2146" s="1991"/>
      <c r="X2146" s="1991"/>
      <c r="Y2146" s="1868"/>
      <c r="Z2146" s="1991"/>
      <c r="AA2146" s="1995"/>
      <c r="AB2146" s="1849">
        <f>SUM(AB2132:AB2145)</f>
        <v>846</v>
      </c>
    </row>
    <row r="2147" spans="1:28" s="352" customFormat="1" ht="18" customHeight="1" x14ac:dyDescent="0.2">
      <c r="A2147" s="2788" t="s">
        <v>76</v>
      </c>
      <c r="B2147" s="2788"/>
      <c r="C2147" s="2779" t="s">
        <v>77</v>
      </c>
      <c r="D2147" s="2779"/>
      <c r="E2147" s="2779"/>
      <c r="F2147" s="2779"/>
      <c r="G2147" s="2779"/>
      <c r="H2147" s="2779"/>
      <c r="I2147" s="424" t="s">
        <v>78</v>
      </c>
      <c r="J2147" s="424"/>
      <c r="K2147" s="424"/>
      <c r="L2147" s="424"/>
      <c r="M2147" s="424"/>
      <c r="N2147" s="424"/>
      <c r="AB2147" s="425"/>
    </row>
    <row r="2148" spans="1:28" s="352" customFormat="1" ht="18" customHeight="1" x14ac:dyDescent="0.2">
      <c r="A2148" s="424"/>
      <c r="B2148" s="426"/>
      <c r="C2148" s="424"/>
      <c r="D2148" s="424"/>
      <c r="E2148" s="424"/>
      <c r="F2148" s="424"/>
      <c r="G2148" s="424"/>
      <c r="H2148" s="424"/>
      <c r="I2148" s="424" t="s">
        <v>79</v>
      </c>
      <c r="J2148" s="424"/>
      <c r="K2148" s="424"/>
      <c r="L2148" s="424"/>
      <c r="M2148" s="424"/>
      <c r="N2148" s="424"/>
      <c r="AB2148" s="425"/>
    </row>
    <row r="2149" spans="1:28" s="352" customFormat="1" ht="18" customHeight="1" x14ac:dyDescent="0.2">
      <c r="A2149" s="424"/>
      <c r="B2149" s="426"/>
      <c r="C2149" s="424"/>
      <c r="D2149" s="424"/>
      <c r="E2149" s="424"/>
      <c r="F2149" s="424"/>
      <c r="G2149" s="424"/>
      <c r="H2149" s="424"/>
      <c r="I2149" s="424" t="s">
        <v>80</v>
      </c>
      <c r="J2149" s="424"/>
      <c r="K2149" s="424"/>
      <c r="L2149" s="424"/>
      <c r="M2149" s="424"/>
      <c r="N2149" s="424"/>
      <c r="AB2149" s="425"/>
    </row>
    <row r="2150" spans="1:28" s="352" customFormat="1" ht="18" customHeight="1" x14ac:dyDescent="0.2">
      <c r="A2150" s="424"/>
      <c r="B2150" s="426"/>
      <c r="C2150" s="424"/>
      <c r="D2150" s="424"/>
      <c r="E2150" s="424"/>
      <c r="F2150" s="424"/>
      <c r="G2150" s="424"/>
      <c r="H2150" s="424"/>
      <c r="I2150" s="424" t="s">
        <v>81</v>
      </c>
      <c r="J2150" s="424"/>
      <c r="K2150" s="424"/>
      <c r="L2150" s="424"/>
      <c r="M2150" s="424"/>
      <c r="N2150" s="424"/>
      <c r="AB2150" s="425"/>
    </row>
    <row r="2151" spans="1:28" s="352" customFormat="1" ht="18" customHeight="1" x14ac:dyDescent="0.2">
      <c r="A2151" s="424"/>
      <c r="B2151" s="426"/>
      <c r="C2151" s="424"/>
      <c r="D2151" s="424"/>
      <c r="E2151" s="424"/>
      <c r="F2151" s="424"/>
      <c r="G2151" s="424"/>
      <c r="H2151" s="424"/>
      <c r="I2151" s="424" t="s">
        <v>88</v>
      </c>
      <c r="J2151" s="424"/>
      <c r="K2151" s="424"/>
      <c r="L2151" s="424"/>
      <c r="M2151" s="424"/>
      <c r="N2151" s="424"/>
      <c r="AB2151" s="425"/>
    </row>
    <row r="2152" spans="1:28" s="352" customFormat="1" ht="18" customHeight="1" x14ac:dyDescent="0.2">
      <c r="A2152" s="338"/>
      <c r="B2152" s="338"/>
      <c r="C2152" s="338"/>
      <c r="D2152" s="338"/>
      <c r="E2152" s="338"/>
      <c r="F2152" s="338"/>
      <c r="G2152" s="338"/>
      <c r="H2152" s="338"/>
      <c r="I2152" s="338"/>
      <c r="J2152" s="338"/>
      <c r="K2152" s="338"/>
      <c r="L2152" s="338"/>
      <c r="M2152" s="338"/>
      <c r="N2152" s="338"/>
      <c r="O2152" s="338"/>
      <c r="P2152" s="338"/>
      <c r="Q2152" s="338"/>
      <c r="R2152" s="338"/>
      <c r="S2152" s="338"/>
      <c r="T2152" s="338"/>
      <c r="U2152" s="338"/>
      <c r="V2152" s="338"/>
      <c r="W2152" s="338"/>
      <c r="X2152" s="338"/>
      <c r="Y2152" s="338"/>
      <c r="Z2152" s="338"/>
      <c r="AA2152" s="2774" t="s">
        <v>0</v>
      </c>
      <c r="AB2152" s="2774"/>
    </row>
    <row r="2153" spans="1:28" s="352" customFormat="1" ht="18" customHeight="1" x14ac:dyDescent="0.2">
      <c r="A2153" s="2703" t="s">
        <v>1</v>
      </c>
      <c r="B2153" s="2703"/>
      <c r="C2153" s="2703"/>
      <c r="D2153" s="2703"/>
      <c r="E2153" s="2703"/>
      <c r="F2153" s="2703"/>
      <c r="G2153" s="2703"/>
      <c r="H2153" s="2703"/>
      <c r="I2153" s="2703"/>
      <c r="J2153" s="2703"/>
      <c r="K2153" s="2703"/>
      <c r="L2153" s="2703"/>
      <c r="M2153" s="2703"/>
      <c r="N2153" s="2703"/>
      <c r="O2153" s="2703"/>
      <c r="P2153" s="2703"/>
      <c r="Q2153" s="2703"/>
      <c r="R2153" s="2703"/>
      <c r="S2153" s="2703"/>
      <c r="T2153" s="2703"/>
      <c r="U2153" s="2703"/>
      <c r="V2153" s="2703"/>
      <c r="W2153" s="2703"/>
      <c r="X2153" s="2703"/>
      <c r="Y2153" s="2703"/>
      <c r="Z2153" s="2703"/>
      <c r="AA2153" s="2703"/>
      <c r="AB2153" s="2703"/>
    </row>
    <row r="2154" spans="1:28" s="352" customFormat="1" ht="18" customHeight="1" x14ac:dyDescent="0.2">
      <c r="A2154" s="2780" t="s">
        <v>665</v>
      </c>
      <c r="B2154" s="2780"/>
      <c r="C2154" s="2780"/>
      <c r="D2154" s="2780"/>
      <c r="E2154" s="2780"/>
      <c r="F2154" s="2780"/>
      <c r="G2154" s="2780"/>
      <c r="H2154" s="2780"/>
      <c r="I2154" s="2780"/>
      <c r="J2154" s="2780"/>
      <c r="K2154" s="2780"/>
      <c r="L2154" s="2780"/>
      <c r="M2154" s="2780"/>
      <c r="N2154" s="2780"/>
      <c r="O2154" s="2780"/>
      <c r="P2154" s="2780"/>
      <c r="Q2154" s="2780"/>
      <c r="R2154" s="2780"/>
      <c r="S2154" s="2780"/>
      <c r="T2154" s="2780"/>
      <c r="U2154" s="2780"/>
      <c r="V2154" s="2780"/>
      <c r="W2154" s="2780"/>
      <c r="X2154" s="2780"/>
      <c r="Y2154" s="2780"/>
      <c r="Z2154" s="2780"/>
      <c r="AA2154" s="2780"/>
      <c r="AB2154" s="2780"/>
    </row>
    <row r="2155" spans="1:28" s="352" customFormat="1" ht="18" customHeight="1" x14ac:dyDescent="0.2">
      <c r="A2155" s="2686" t="s">
        <v>2</v>
      </c>
      <c r="B2155" s="360"/>
      <c r="C2155" s="2686" t="s">
        <v>3</v>
      </c>
      <c r="D2155" s="360"/>
      <c r="E2155" s="360"/>
      <c r="F2155" s="2693" t="s">
        <v>4</v>
      </c>
      <c r="G2155" s="2693"/>
      <c r="H2155" s="2693"/>
      <c r="I2155" s="2694"/>
      <c r="J2155" s="2694"/>
      <c r="K2155" s="2695"/>
      <c r="L2155" s="361"/>
      <c r="M2155" s="2679" t="s">
        <v>5</v>
      </c>
      <c r="N2155" s="2679"/>
      <c r="O2155" s="2679"/>
      <c r="P2155" s="2679"/>
      <c r="Q2155" s="2696"/>
      <c r="R2155" s="2696"/>
      <c r="S2155" s="2696"/>
      <c r="T2155" s="2696"/>
      <c r="U2155" s="2696"/>
      <c r="V2155" s="2697"/>
      <c r="W2155" s="362" t="s">
        <v>6</v>
      </c>
      <c r="X2155" s="363" t="s">
        <v>7</v>
      </c>
      <c r="Y2155" s="364"/>
      <c r="Z2155" s="364"/>
      <c r="AA2155" s="363"/>
      <c r="AB2155" s="365"/>
    </row>
    <row r="2156" spans="1:28" s="352" customFormat="1" ht="18" customHeight="1" x14ac:dyDescent="0.2">
      <c r="A2156" s="2687"/>
      <c r="B2156" s="367"/>
      <c r="C2156" s="2687"/>
      <c r="D2156" s="2158" t="s">
        <v>9</v>
      </c>
      <c r="E2156" s="368" t="s">
        <v>10</v>
      </c>
      <c r="F2156" s="2698" t="s">
        <v>11</v>
      </c>
      <c r="G2156" s="2694"/>
      <c r="H2156" s="2695"/>
      <c r="I2156" s="360"/>
      <c r="J2156" s="369" t="s">
        <v>12</v>
      </c>
      <c r="K2156" s="360"/>
      <c r="L2156" s="2679" t="s">
        <v>2</v>
      </c>
      <c r="M2156" s="2162"/>
      <c r="N2156" s="2162"/>
      <c r="O2156" s="2162"/>
      <c r="P2156" s="371"/>
      <c r="Q2156" s="372" t="s">
        <v>13</v>
      </c>
      <c r="R2156" s="373" t="s">
        <v>12</v>
      </c>
      <c r="S2156" s="2162" t="s">
        <v>6</v>
      </c>
      <c r="T2156" s="2682" t="s">
        <v>14</v>
      </c>
      <c r="U2156" s="2683"/>
      <c r="V2156" s="375" t="s">
        <v>7</v>
      </c>
      <c r="W2156" s="376" t="s">
        <v>15</v>
      </c>
      <c r="X2156" s="377" t="s">
        <v>16</v>
      </c>
      <c r="Y2156" s="377" t="s">
        <v>17</v>
      </c>
      <c r="Z2156" s="377" t="s">
        <v>18</v>
      </c>
      <c r="AA2156" s="377"/>
      <c r="AB2156" s="378" t="s">
        <v>19</v>
      </c>
    </row>
    <row r="2157" spans="1:28" s="352" customFormat="1" ht="18" customHeight="1" x14ac:dyDescent="0.2">
      <c r="A2157" s="2687"/>
      <c r="B2157" s="2158" t="s">
        <v>23</v>
      </c>
      <c r="C2157" s="2687"/>
      <c r="D2157" s="2158" t="s">
        <v>24</v>
      </c>
      <c r="E2157" s="368" t="s">
        <v>25</v>
      </c>
      <c r="F2157" s="2699"/>
      <c r="G2157" s="2700"/>
      <c r="H2157" s="2701"/>
      <c r="I2157" s="2158" t="s">
        <v>26</v>
      </c>
      <c r="J2157" s="379" t="s">
        <v>15</v>
      </c>
      <c r="K2157" s="2159" t="s">
        <v>6</v>
      </c>
      <c r="L2157" s="2680"/>
      <c r="M2157" s="2163" t="s">
        <v>27</v>
      </c>
      <c r="N2157" s="2163" t="s">
        <v>10</v>
      </c>
      <c r="O2157" s="382" t="s">
        <v>10</v>
      </c>
      <c r="P2157" s="383" t="s">
        <v>28</v>
      </c>
      <c r="Q2157" s="384" t="s">
        <v>29</v>
      </c>
      <c r="R2157" s="383" t="s">
        <v>15</v>
      </c>
      <c r="S2157" s="385" t="s">
        <v>15</v>
      </c>
      <c r="T2157" s="2684"/>
      <c r="U2157" s="2685"/>
      <c r="V2157" s="375" t="s">
        <v>30</v>
      </c>
      <c r="W2157" s="376" t="s">
        <v>31</v>
      </c>
      <c r="X2157" s="377" t="s">
        <v>30</v>
      </c>
      <c r="Y2157" s="377" t="s">
        <v>32</v>
      </c>
      <c r="Z2157" s="377" t="s">
        <v>7</v>
      </c>
      <c r="AA2157" s="377" t="s">
        <v>33</v>
      </c>
      <c r="AB2157" s="378" t="s">
        <v>34</v>
      </c>
    </row>
    <row r="2158" spans="1:28" s="352" customFormat="1" ht="18" customHeight="1" x14ac:dyDescent="0.2">
      <c r="A2158" s="2687"/>
      <c r="B2158" s="2158" t="s">
        <v>39</v>
      </c>
      <c r="C2158" s="2687"/>
      <c r="D2158" s="2158" t="s">
        <v>40</v>
      </c>
      <c r="E2158" s="368" t="s">
        <v>41</v>
      </c>
      <c r="F2158" s="2686" t="s">
        <v>42</v>
      </c>
      <c r="G2158" s="2686" t="s">
        <v>43</v>
      </c>
      <c r="H2158" s="2688" t="s">
        <v>44</v>
      </c>
      <c r="I2158" s="2158" t="s">
        <v>45</v>
      </c>
      <c r="J2158" s="379" t="s">
        <v>46</v>
      </c>
      <c r="K2158" s="2159" t="s">
        <v>47</v>
      </c>
      <c r="L2158" s="2680"/>
      <c r="M2158" s="2163" t="s">
        <v>30</v>
      </c>
      <c r="N2158" s="2163" t="s">
        <v>30</v>
      </c>
      <c r="O2158" s="382" t="s">
        <v>25</v>
      </c>
      <c r="P2158" s="383" t="s">
        <v>30</v>
      </c>
      <c r="Q2158" s="384" t="s">
        <v>48</v>
      </c>
      <c r="R2158" s="383" t="s">
        <v>49</v>
      </c>
      <c r="S2158" s="385" t="s">
        <v>30</v>
      </c>
      <c r="T2158" s="386" t="s">
        <v>50</v>
      </c>
      <c r="U2158" s="2161" t="s">
        <v>13</v>
      </c>
      <c r="V2158" s="375" t="s">
        <v>51</v>
      </c>
      <c r="W2158" s="376" t="s">
        <v>52</v>
      </c>
      <c r="X2158" s="377" t="s">
        <v>53</v>
      </c>
      <c r="Y2158" s="377" t="s">
        <v>54</v>
      </c>
      <c r="Z2158" s="377" t="s">
        <v>55</v>
      </c>
      <c r="AA2158" s="377" t="s">
        <v>56</v>
      </c>
      <c r="AB2158" s="378" t="s">
        <v>57</v>
      </c>
    </row>
    <row r="2159" spans="1:28" s="352" customFormat="1" ht="18" customHeight="1" x14ac:dyDescent="0.2">
      <c r="A2159" s="2687"/>
      <c r="B2159" s="2158" t="s">
        <v>61</v>
      </c>
      <c r="C2159" s="2687"/>
      <c r="D2159" s="2158" t="s">
        <v>62</v>
      </c>
      <c r="E2159" s="368" t="s">
        <v>63</v>
      </c>
      <c r="F2159" s="2687"/>
      <c r="G2159" s="2687"/>
      <c r="H2159" s="2689"/>
      <c r="I2159" s="2158" t="s">
        <v>64</v>
      </c>
      <c r="J2159" s="379" t="s">
        <v>59</v>
      </c>
      <c r="K2159" s="2159" t="s">
        <v>59</v>
      </c>
      <c r="L2159" s="2680"/>
      <c r="M2159" s="2163"/>
      <c r="N2159" s="2163"/>
      <c r="O2159" s="382" t="s">
        <v>41</v>
      </c>
      <c r="P2159" s="383" t="s">
        <v>65</v>
      </c>
      <c r="Q2159" s="384" t="s">
        <v>66</v>
      </c>
      <c r="R2159" s="383" t="s">
        <v>67</v>
      </c>
      <c r="S2159" s="385" t="s">
        <v>59</v>
      </c>
      <c r="T2159" s="387" t="s">
        <v>68</v>
      </c>
      <c r="U2159" s="375" t="s">
        <v>14</v>
      </c>
      <c r="V2159" s="375" t="s">
        <v>14</v>
      </c>
      <c r="W2159" s="376" t="s">
        <v>30</v>
      </c>
      <c r="X2159" s="388" t="s">
        <v>69</v>
      </c>
      <c r="Y2159" s="388" t="s">
        <v>70</v>
      </c>
      <c r="Z2159" s="377" t="s">
        <v>71</v>
      </c>
      <c r="AA2159" s="377" t="s">
        <v>72</v>
      </c>
      <c r="AB2159" s="378" t="s">
        <v>59</v>
      </c>
    </row>
    <row r="2160" spans="1:28" s="352" customFormat="1" ht="18" customHeight="1" x14ac:dyDescent="0.2">
      <c r="A2160" s="2692"/>
      <c r="B2160" s="390"/>
      <c r="C2160" s="2692"/>
      <c r="D2160" s="390"/>
      <c r="E2160" s="2160"/>
      <c r="F2160" s="390"/>
      <c r="G2160" s="390"/>
      <c r="H2160" s="391"/>
      <c r="I2160" s="2160"/>
      <c r="J2160" s="392"/>
      <c r="K2160" s="393"/>
      <c r="L2160" s="2681"/>
      <c r="M2160" s="2164"/>
      <c r="N2160" s="2164"/>
      <c r="O2160" s="2164" t="s">
        <v>63</v>
      </c>
      <c r="P2160" s="395"/>
      <c r="Q2160" s="396" t="s">
        <v>72</v>
      </c>
      <c r="R2160" s="397" t="s">
        <v>59</v>
      </c>
      <c r="S2160" s="398"/>
      <c r="T2160" s="397" t="s">
        <v>73</v>
      </c>
      <c r="U2160" s="398" t="s">
        <v>59</v>
      </c>
      <c r="V2160" s="399" t="s">
        <v>59</v>
      </c>
      <c r="W2160" s="400" t="s">
        <v>59</v>
      </c>
      <c r="X2160" s="401" t="s">
        <v>59</v>
      </c>
      <c r="Y2160" s="401" t="s">
        <v>59</v>
      </c>
      <c r="Z2160" s="401" t="s">
        <v>59</v>
      </c>
      <c r="AA2160" s="402"/>
      <c r="AB2160" s="403"/>
    </row>
    <row r="2161" spans="1:28" s="352" customFormat="1" ht="18" customHeight="1" x14ac:dyDescent="0.2">
      <c r="A2161" s="82">
        <v>1</v>
      </c>
      <c r="B2161" s="53">
        <v>45174</v>
      </c>
      <c r="C2161" s="82">
        <v>1772</v>
      </c>
      <c r="D2161" s="82" t="s">
        <v>107</v>
      </c>
      <c r="E2161" s="82">
        <v>4</v>
      </c>
      <c r="F2161" s="82">
        <v>0</v>
      </c>
      <c r="G2161" s="82">
        <v>2</v>
      </c>
      <c r="H2161" s="463">
        <v>0</v>
      </c>
      <c r="I2161" s="70">
        <f>F2161*400+G2161*100+H2161</f>
        <v>200</v>
      </c>
      <c r="J2161" s="123">
        <v>1000</v>
      </c>
      <c r="K2161" s="123">
        <f>SUM(I2161*J2161)</f>
        <v>200000</v>
      </c>
      <c r="L2161" s="481"/>
      <c r="M2161" s="481"/>
      <c r="N2161" s="481"/>
      <c r="O2161" s="481"/>
      <c r="P2161" s="905"/>
      <c r="Q2161" s="905"/>
      <c r="R2161" s="906"/>
      <c r="S2161" s="906"/>
      <c r="T2161" s="905"/>
      <c r="U2161" s="906"/>
      <c r="V2161" s="907"/>
      <c r="W2161" s="70">
        <f>K2161</f>
        <v>200000</v>
      </c>
      <c r="X2161" s="123">
        <f>W2161</f>
        <v>200000</v>
      </c>
      <c r="Y2161" s="123"/>
      <c r="Z2161" s="70">
        <f>+X2161</f>
        <v>200000</v>
      </c>
      <c r="AA2161" s="464">
        <v>0.6</v>
      </c>
      <c r="AB2161" s="465">
        <f>+Z2161*AA2161/100</f>
        <v>1200</v>
      </c>
    </row>
    <row r="2162" spans="1:28" s="352" customFormat="1" ht="18" customHeight="1" x14ac:dyDescent="0.2">
      <c r="A2162" s="2166"/>
      <c r="B2162" s="61"/>
      <c r="C2162" s="2166"/>
      <c r="D2162" s="2166"/>
      <c r="E2162" s="2166"/>
      <c r="F2162" s="2166"/>
      <c r="G2162" s="2166"/>
      <c r="H2162" s="407"/>
      <c r="I2162" s="77"/>
      <c r="J2162" s="2168"/>
      <c r="K2162" s="2168"/>
      <c r="L2162" s="488"/>
      <c r="M2162" s="488"/>
      <c r="N2162" s="488"/>
      <c r="O2162" s="488"/>
      <c r="P2162" s="819"/>
      <c r="Q2162" s="819"/>
      <c r="R2162" s="820"/>
      <c r="S2162" s="820"/>
      <c r="T2162" s="819"/>
      <c r="U2162" s="820"/>
      <c r="V2162" s="821"/>
      <c r="W2162" s="77"/>
      <c r="X2162" s="2168"/>
      <c r="Y2162" s="2168"/>
      <c r="Z2162" s="77"/>
      <c r="AA2162" s="2170"/>
      <c r="AB2162" s="466"/>
    </row>
    <row r="2163" spans="1:28" s="352" customFormat="1" ht="18" customHeight="1" x14ac:dyDescent="0.2">
      <c r="A2163" s="88"/>
      <c r="B2163" s="75"/>
      <c r="C2163" s="88"/>
      <c r="D2163" s="88"/>
      <c r="E2163" s="88"/>
      <c r="F2163" s="88"/>
      <c r="G2163" s="88"/>
      <c r="H2163" s="495"/>
      <c r="I2163" s="77"/>
      <c r="J2163" s="2168"/>
      <c r="K2163" s="2168"/>
      <c r="L2163" s="61"/>
      <c r="M2163" s="2166"/>
      <c r="N2163" s="2166"/>
      <c r="O2163" s="61"/>
      <c r="P2163" s="177"/>
      <c r="Q2163" s="196"/>
      <c r="R2163" s="408"/>
      <c r="S2163" s="77"/>
      <c r="T2163" s="2166"/>
      <c r="U2163" s="77"/>
      <c r="V2163" s="77"/>
      <c r="W2163" s="77"/>
      <c r="X2163" s="2168"/>
      <c r="Y2163" s="2168"/>
      <c r="Z2163" s="77"/>
      <c r="AA2163" s="2170"/>
      <c r="AB2163" s="466"/>
    </row>
    <row r="2164" spans="1:28" s="352" customFormat="1" ht="18" customHeight="1" x14ac:dyDescent="0.2">
      <c r="A2164" s="88"/>
      <c r="B2164" s="75"/>
      <c r="C2164" s="88"/>
      <c r="D2164" s="88"/>
      <c r="E2164" s="88"/>
      <c r="F2164" s="88"/>
      <c r="G2164" s="88"/>
      <c r="H2164" s="495"/>
      <c r="I2164" s="77"/>
      <c r="J2164" s="2168"/>
      <c r="K2164" s="2168"/>
      <c r="L2164" s="61"/>
      <c r="M2164" s="2166"/>
      <c r="N2164" s="2166"/>
      <c r="O2164" s="61"/>
      <c r="P2164" s="177"/>
      <c r="Q2164" s="196"/>
      <c r="R2164" s="408"/>
      <c r="S2164" s="77"/>
      <c r="T2164" s="2166"/>
      <c r="U2164" s="77"/>
      <c r="V2164" s="77"/>
      <c r="W2164" s="77"/>
      <c r="X2164" s="2168"/>
      <c r="Y2164" s="2168"/>
      <c r="Z2164" s="77"/>
      <c r="AA2164" s="2170"/>
      <c r="AB2164" s="466"/>
    </row>
    <row r="2165" spans="1:28" s="352" customFormat="1" ht="18" customHeight="1" x14ac:dyDescent="0.2">
      <c r="A2165" s="2166"/>
      <c r="B2165" s="61"/>
      <c r="C2165" s="2166"/>
      <c r="D2165" s="2166"/>
      <c r="E2165" s="2166"/>
      <c r="F2165" s="2166"/>
      <c r="G2165" s="2166"/>
      <c r="H2165" s="407"/>
      <c r="I2165" s="77"/>
      <c r="J2165" s="2168"/>
      <c r="K2165" s="78"/>
      <c r="L2165" s="61"/>
      <c r="M2165" s="2166"/>
      <c r="N2165" s="2166"/>
      <c r="O2165" s="61"/>
      <c r="P2165" s="177"/>
      <c r="Q2165" s="196"/>
      <c r="R2165" s="408"/>
      <c r="S2165" s="77"/>
      <c r="T2165" s="2166"/>
      <c r="U2165" s="77"/>
      <c r="V2165" s="77"/>
      <c r="W2165" s="77"/>
      <c r="X2165" s="77"/>
      <c r="Y2165" s="2168"/>
      <c r="Z2165" s="77"/>
      <c r="AA2165" s="2170"/>
      <c r="AB2165" s="410"/>
    </row>
    <row r="2166" spans="1:28" s="352" customFormat="1" ht="18" customHeight="1" x14ac:dyDescent="0.2">
      <c r="A2166" s="2166"/>
      <c r="B2166" s="61"/>
      <c r="C2166" s="2166"/>
      <c r="D2166" s="2166"/>
      <c r="E2166" s="2166"/>
      <c r="F2166" s="2166"/>
      <c r="G2166" s="2166"/>
      <c r="H2166" s="407"/>
      <c r="I2166" s="77"/>
      <c r="J2166" s="2168"/>
      <c r="K2166" s="78"/>
      <c r="L2166" s="61"/>
      <c r="M2166" s="2166"/>
      <c r="N2166" s="2166"/>
      <c r="O2166" s="61"/>
      <c r="P2166" s="177"/>
      <c r="Q2166" s="196"/>
      <c r="R2166" s="408"/>
      <c r="S2166" s="77"/>
      <c r="T2166" s="2166"/>
      <c r="U2166" s="77"/>
      <c r="V2166" s="77"/>
      <c r="W2166" s="77"/>
      <c r="X2166" s="77"/>
      <c r="Y2166" s="2168"/>
      <c r="Z2166" s="77"/>
      <c r="AA2166" s="2170"/>
      <c r="AB2166" s="410"/>
    </row>
    <row r="2167" spans="1:28" s="352" customFormat="1" ht="18" customHeight="1" x14ac:dyDescent="0.2">
      <c r="A2167" s="2166"/>
      <c r="B2167" s="61"/>
      <c r="C2167" s="2166"/>
      <c r="D2167" s="2166"/>
      <c r="E2167" s="2166"/>
      <c r="F2167" s="2166"/>
      <c r="G2167" s="2166"/>
      <c r="H2167" s="407"/>
      <c r="I2167" s="77"/>
      <c r="J2167" s="2168"/>
      <c r="K2167" s="78"/>
      <c r="L2167" s="61"/>
      <c r="M2167" s="2166"/>
      <c r="N2167" s="2166"/>
      <c r="O2167" s="61"/>
      <c r="P2167" s="177"/>
      <c r="Q2167" s="196"/>
      <c r="R2167" s="408"/>
      <c r="S2167" s="77"/>
      <c r="T2167" s="2166"/>
      <c r="U2167" s="77"/>
      <c r="V2167" s="77"/>
      <c r="W2167" s="77"/>
      <c r="X2167" s="77"/>
      <c r="Y2167" s="2168"/>
      <c r="Z2167" s="77"/>
      <c r="AA2167" s="2170"/>
      <c r="AB2167" s="410"/>
    </row>
    <row r="2168" spans="1:28" s="352" customFormat="1" ht="18" customHeight="1" x14ac:dyDescent="0.2">
      <c r="A2168" s="2166"/>
      <c r="B2168" s="61"/>
      <c r="C2168" s="2166"/>
      <c r="D2168" s="2166"/>
      <c r="E2168" s="2166"/>
      <c r="F2168" s="467"/>
      <c r="G2168" s="61"/>
      <c r="H2168" s="407"/>
      <c r="I2168" s="78"/>
      <c r="J2168" s="2168"/>
      <c r="K2168" s="78"/>
      <c r="L2168" s="61"/>
      <c r="M2168" s="2166"/>
      <c r="N2168" s="2166"/>
      <c r="O2168" s="61"/>
      <c r="P2168" s="177"/>
      <c r="Q2168" s="196"/>
      <c r="R2168" s="408"/>
      <c r="S2168" s="77"/>
      <c r="T2168" s="2166"/>
      <c r="U2168" s="77"/>
      <c r="V2168" s="77"/>
      <c r="W2168" s="77"/>
      <c r="X2168" s="77"/>
      <c r="Y2168" s="2168"/>
      <c r="Z2168" s="77"/>
      <c r="AA2168" s="2170"/>
      <c r="AB2168" s="415"/>
    </row>
    <row r="2169" spans="1:28" s="352" customFormat="1" ht="18" customHeight="1" x14ac:dyDescent="0.2">
      <c r="A2169" s="2166"/>
      <c r="B2169" s="61"/>
      <c r="C2169" s="2166"/>
      <c r="D2169" s="2166"/>
      <c r="E2169" s="2166"/>
      <c r="F2169" s="467"/>
      <c r="G2169" s="61"/>
      <c r="H2169" s="407"/>
      <c r="I2169" s="78"/>
      <c r="J2169" s="2168"/>
      <c r="K2169" s="78"/>
      <c r="L2169" s="61"/>
      <c r="M2169" s="2166"/>
      <c r="N2169" s="2166"/>
      <c r="O2169" s="61"/>
      <c r="P2169" s="177"/>
      <c r="Q2169" s="196"/>
      <c r="R2169" s="408"/>
      <c r="S2169" s="77"/>
      <c r="T2169" s="2166"/>
      <c r="U2169" s="77"/>
      <c r="V2169" s="77"/>
      <c r="W2169" s="77"/>
      <c r="X2169" s="77"/>
      <c r="Y2169" s="2168"/>
      <c r="Z2169" s="77"/>
      <c r="AA2169" s="2170"/>
      <c r="AB2169" s="415"/>
    </row>
    <row r="2170" spans="1:28" s="352" customFormat="1" ht="18" customHeight="1" x14ac:dyDescent="0.2">
      <c r="A2170" s="88"/>
      <c r="B2170" s="75"/>
      <c r="C2170" s="88"/>
      <c r="D2170" s="88"/>
      <c r="E2170" s="2166"/>
      <c r="F2170" s="411"/>
      <c r="G2170" s="242"/>
      <c r="H2170" s="412"/>
      <c r="I2170" s="159"/>
      <c r="J2170" s="121"/>
      <c r="K2170" s="159"/>
      <c r="L2170" s="75"/>
      <c r="M2170" s="88"/>
      <c r="N2170" s="88"/>
      <c r="O2170" s="75"/>
      <c r="P2170" s="180"/>
      <c r="Q2170" s="174"/>
      <c r="R2170" s="413"/>
      <c r="S2170" s="74"/>
      <c r="T2170" s="88"/>
      <c r="U2170" s="74"/>
      <c r="V2170" s="74"/>
      <c r="W2170" s="74"/>
      <c r="X2170" s="74"/>
      <c r="Y2170" s="121"/>
      <c r="Z2170" s="74"/>
      <c r="AA2170" s="414"/>
      <c r="AB2170" s="415"/>
    </row>
    <row r="2171" spans="1:28" s="352" customFormat="1" ht="18" customHeight="1" x14ac:dyDescent="0.2">
      <c r="A2171" s="88"/>
      <c r="B2171" s="75"/>
      <c r="C2171" s="88"/>
      <c r="D2171" s="231"/>
      <c r="E2171" s="2166"/>
      <c r="F2171" s="411"/>
      <c r="G2171" s="242"/>
      <c r="H2171" s="412"/>
      <c r="I2171" s="159"/>
      <c r="J2171" s="121"/>
      <c r="K2171" s="159"/>
      <c r="L2171" s="75"/>
      <c r="M2171" s="88"/>
      <c r="N2171" s="88"/>
      <c r="O2171" s="75"/>
      <c r="P2171" s="180"/>
      <c r="Q2171" s="174"/>
      <c r="R2171" s="413"/>
      <c r="S2171" s="74"/>
      <c r="T2171" s="88"/>
      <c r="U2171" s="74"/>
      <c r="V2171" s="74"/>
      <c r="W2171" s="74"/>
      <c r="X2171" s="74"/>
      <c r="Y2171" s="121"/>
      <c r="Z2171" s="74"/>
      <c r="AA2171" s="417"/>
      <c r="AB2171" s="410"/>
    </row>
    <row r="2172" spans="1:28" s="352" customFormat="1" ht="18" customHeight="1" x14ac:dyDescent="0.2">
      <c r="A2172" s="88"/>
      <c r="B2172" s="75"/>
      <c r="C2172" s="88"/>
      <c r="D2172" s="2165"/>
      <c r="E2172" s="2166"/>
      <c r="F2172" s="411"/>
      <c r="G2172" s="242"/>
      <c r="H2172" s="412"/>
      <c r="I2172" s="159"/>
      <c r="J2172" s="121"/>
      <c r="K2172" s="159"/>
      <c r="L2172" s="75"/>
      <c r="M2172" s="88"/>
      <c r="N2172" s="88"/>
      <c r="O2172" s="75"/>
      <c r="P2172" s="180"/>
      <c r="Q2172" s="174"/>
      <c r="R2172" s="413"/>
      <c r="S2172" s="74"/>
      <c r="T2172" s="88"/>
      <c r="U2172" s="74"/>
      <c r="V2172" s="74"/>
      <c r="W2172" s="74"/>
      <c r="X2172" s="74"/>
      <c r="Y2172" s="121"/>
      <c r="Z2172" s="74"/>
      <c r="AA2172" s="417"/>
      <c r="AB2172" s="410"/>
    </row>
    <row r="2173" spans="1:28" s="352" customFormat="1" ht="18" customHeight="1" x14ac:dyDescent="0.2">
      <c r="A2173" s="88"/>
      <c r="B2173" s="75"/>
      <c r="C2173" s="88"/>
      <c r="D2173" s="2165"/>
      <c r="E2173" s="2166"/>
      <c r="F2173" s="411"/>
      <c r="G2173" s="242"/>
      <c r="H2173" s="412"/>
      <c r="I2173" s="159"/>
      <c r="J2173" s="121"/>
      <c r="K2173" s="159"/>
      <c r="L2173" s="75"/>
      <c r="M2173" s="88"/>
      <c r="N2173" s="88"/>
      <c r="O2173" s="75"/>
      <c r="P2173" s="180"/>
      <c r="Q2173" s="174"/>
      <c r="R2173" s="413"/>
      <c r="S2173" s="74"/>
      <c r="T2173" s="88"/>
      <c r="U2173" s="74"/>
      <c r="V2173" s="74"/>
      <c r="W2173" s="74"/>
      <c r="X2173" s="74"/>
      <c r="Y2173" s="121"/>
      <c r="Z2173" s="74"/>
      <c r="AA2173" s="414"/>
      <c r="AB2173" s="416"/>
    </row>
    <row r="2174" spans="1:28" s="352" customFormat="1" ht="18" customHeight="1" x14ac:dyDescent="0.2">
      <c r="A2174" s="88"/>
      <c r="B2174" s="418"/>
      <c r="C2174" s="88"/>
      <c r="D2174" s="88"/>
      <c r="E2174" s="88"/>
      <c r="F2174" s="411"/>
      <c r="G2174" s="242"/>
      <c r="H2174" s="412"/>
      <c r="I2174" s="159"/>
      <c r="J2174" s="121"/>
      <c r="K2174" s="159"/>
      <c r="L2174" s="75"/>
      <c r="M2174" s="88"/>
      <c r="N2174" s="88"/>
      <c r="O2174" s="75"/>
      <c r="P2174" s="180"/>
      <c r="Q2174" s="174"/>
      <c r="R2174" s="413"/>
      <c r="S2174" s="74"/>
      <c r="T2174" s="88"/>
      <c r="U2174" s="74"/>
      <c r="V2174" s="74"/>
      <c r="W2174" s="74"/>
      <c r="X2174" s="74"/>
      <c r="Y2174" s="121"/>
      <c r="Z2174" s="74"/>
      <c r="AA2174" s="414"/>
      <c r="AB2174" s="410"/>
    </row>
    <row r="2175" spans="1:28" s="352" customFormat="1" ht="18" customHeight="1" x14ac:dyDescent="0.2">
      <c r="A2175" s="1147"/>
      <c r="B2175" s="1989"/>
      <c r="C2175" s="1147"/>
      <c r="D2175" s="1147"/>
      <c r="E2175" s="1147"/>
      <c r="F2175" s="1147"/>
      <c r="G2175" s="1147"/>
      <c r="H2175" s="1990"/>
      <c r="I2175" s="1991"/>
      <c r="J2175" s="1868"/>
      <c r="K2175" s="1992"/>
      <c r="L2175" s="1989"/>
      <c r="M2175" s="1147"/>
      <c r="N2175" s="1147"/>
      <c r="O2175" s="1989"/>
      <c r="P2175" s="1867"/>
      <c r="Q2175" s="1993"/>
      <c r="R2175" s="1994"/>
      <c r="S2175" s="1991"/>
      <c r="T2175" s="1147"/>
      <c r="U2175" s="1991"/>
      <c r="V2175" s="1991"/>
      <c r="W2175" s="1991"/>
      <c r="X2175" s="1991"/>
      <c r="Y2175" s="1868"/>
      <c r="Z2175" s="1991"/>
      <c r="AA2175" s="1995"/>
      <c r="AB2175" s="1849">
        <f>SUM(AB2161:AB2174)</f>
        <v>1200</v>
      </c>
    </row>
    <row r="2176" spans="1:28" s="352" customFormat="1" ht="18" customHeight="1" x14ac:dyDescent="0.2">
      <c r="A2176" s="2788" t="s">
        <v>76</v>
      </c>
      <c r="B2176" s="2788"/>
      <c r="C2176" s="2779" t="s">
        <v>77</v>
      </c>
      <c r="D2176" s="2779"/>
      <c r="E2176" s="2779"/>
      <c r="F2176" s="2779"/>
      <c r="G2176" s="2779"/>
      <c r="H2176" s="2779"/>
      <c r="I2176" s="424" t="s">
        <v>78</v>
      </c>
      <c r="J2176" s="424"/>
      <c r="K2176" s="424"/>
      <c r="L2176" s="424"/>
      <c r="M2176" s="424"/>
      <c r="N2176" s="424"/>
      <c r="AB2176" s="425"/>
    </row>
    <row r="2177" spans="1:28" s="352" customFormat="1" ht="18" customHeight="1" x14ac:dyDescent="0.2">
      <c r="A2177" s="424"/>
      <c r="B2177" s="426"/>
      <c r="C2177" s="424"/>
      <c r="D2177" s="424"/>
      <c r="E2177" s="424"/>
      <c r="F2177" s="424"/>
      <c r="G2177" s="424"/>
      <c r="H2177" s="424"/>
      <c r="I2177" s="424" t="s">
        <v>79</v>
      </c>
      <c r="J2177" s="424"/>
      <c r="K2177" s="424"/>
      <c r="L2177" s="424"/>
      <c r="M2177" s="424"/>
      <c r="N2177" s="424"/>
      <c r="AB2177" s="425"/>
    </row>
    <row r="2178" spans="1:28" s="352" customFormat="1" ht="18" customHeight="1" x14ac:dyDescent="0.2">
      <c r="A2178" s="424"/>
      <c r="B2178" s="426"/>
      <c r="C2178" s="424"/>
      <c r="D2178" s="424"/>
      <c r="E2178" s="424"/>
      <c r="F2178" s="424"/>
      <c r="G2178" s="424"/>
      <c r="H2178" s="424"/>
      <c r="I2178" s="424" t="s">
        <v>80</v>
      </c>
      <c r="J2178" s="424"/>
      <c r="K2178" s="424"/>
      <c r="L2178" s="424"/>
      <c r="M2178" s="424"/>
      <c r="N2178" s="424"/>
      <c r="AB2178" s="425"/>
    </row>
    <row r="2179" spans="1:28" s="352" customFormat="1" ht="18" customHeight="1" x14ac:dyDescent="0.2">
      <c r="A2179" s="424"/>
      <c r="B2179" s="426"/>
      <c r="C2179" s="424"/>
      <c r="D2179" s="424"/>
      <c r="E2179" s="424"/>
      <c r="F2179" s="424"/>
      <c r="G2179" s="424"/>
      <c r="H2179" s="424"/>
      <c r="I2179" s="424" t="s">
        <v>81</v>
      </c>
      <c r="J2179" s="424"/>
      <c r="K2179" s="424"/>
      <c r="L2179" s="424"/>
      <c r="M2179" s="424"/>
      <c r="N2179" s="424"/>
      <c r="AB2179" s="425"/>
    </row>
    <row r="2180" spans="1:28" s="352" customFormat="1" ht="18" customHeight="1" x14ac:dyDescent="0.2">
      <c r="A2180" s="424"/>
      <c r="B2180" s="426"/>
      <c r="C2180" s="424"/>
      <c r="D2180" s="424"/>
      <c r="E2180" s="424"/>
      <c r="F2180" s="424"/>
      <c r="G2180" s="424"/>
      <c r="H2180" s="424"/>
      <c r="I2180" s="424" t="s">
        <v>88</v>
      </c>
      <c r="J2180" s="424"/>
      <c r="K2180" s="424"/>
      <c r="L2180" s="424"/>
      <c r="M2180" s="424"/>
      <c r="N2180" s="424"/>
      <c r="AB2180" s="425"/>
    </row>
    <row r="2181" spans="1:28" s="352" customFormat="1" ht="18" customHeight="1" x14ac:dyDescent="0.2">
      <c r="A2181" s="338"/>
      <c r="B2181" s="338"/>
      <c r="C2181" s="338"/>
      <c r="D2181" s="338"/>
      <c r="E2181" s="338"/>
      <c r="F2181" s="338"/>
      <c r="G2181" s="338"/>
      <c r="H2181" s="338"/>
      <c r="I2181" s="338"/>
      <c r="J2181" s="338"/>
      <c r="K2181" s="338"/>
      <c r="L2181" s="338"/>
      <c r="M2181" s="338"/>
      <c r="N2181" s="338"/>
      <c r="O2181" s="338"/>
      <c r="P2181" s="338"/>
      <c r="Q2181" s="338"/>
      <c r="R2181" s="338"/>
      <c r="S2181" s="338"/>
      <c r="T2181" s="338"/>
      <c r="U2181" s="338"/>
      <c r="V2181" s="338"/>
      <c r="W2181" s="338"/>
      <c r="X2181" s="338"/>
      <c r="Y2181" s="338"/>
      <c r="Z2181" s="338"/>
      <c r="AA2181" s="2774" t="s">
        <v>0</v>
      </c>
      <c r="AB2181" s="2774"/>
    </row>
    <row r="2182" spans="1:28" s="352" customFormat="1" ht="18" customHeight="1" x14ac:dyDescent="0.2">
      <c r="A2182" s="2703" t="s">
        <v>1</v>
      </c>
      <c r="B2182" s="2703"/>
      <c r="C2182" s="2703"/>
      <c r="D2182" s="2703"/>
      <c r="E2182" s="2703"/>
      <c r="F2182" s="2703"/>
      <c r="G2182" s="2703"/>
      <c r="H2182" s="2703"/>
      <c r="I2182" s="2703"/>
      <c r="J2182" s="2703"/>
      <c r="K2182" s="2703"/>
      <c r="L2182" s="2703"/>
      <c r="M2182" s="2703"/>
      <c r="N2182" s="2703"/>
      <c r="O2182" s="2703"/>
      <c r="P2182" s="2703"/>
      <c r="Q2182" s="2703"/>
      <c r="R2182" s="2703"/>
      <c r="S2182" s="2703"/>
      <c r="T2182" s="2703"/>
      <c r="U2182" s="2703"/>
      <c r="V2182" s="2703"/>
      <c r="W2182" s="2703"/>
      <c r="X2182" s="2703"/>
      <c r="Y2182" s="2703"/>
      <c r="Z2182" s="2703"/>
      <c r="AA2182" s="2703"/>
      <c r="AB2182" s="2703"/>
    </row>
    <row r="2183" spans="1:28" s="352" customFormat="1" ht="18" customHeight="1" x14ac:dyDescent="0.2">
      <c r="A2183" s="2780" t="s">
        <v>666</v>
      </c>
      <c r="B2183" s="2780"/>
      <c r="C2183" s="2780"/>
      <c r="D2183" s="2780"/>
      <c r="E2183" s="2780"/>
      <c r="F2183" s="2780"/>
      <c r="G2183" s="2780"/>
      <c r="H2183" s="2780"/>
      <c r="I2183" s="2780"/>
      <c r="J2183" s="2780"/>
      <c r="K2183" s="2780"/>
      <c r="L2183" s="2780"/>
      <c r="M2183" s="2780"/>
      <c r="N2183" s="2780"/>
      <c r="O2183" s="2780"/>
      <c r="P2183" s="2780"/>
      <c r="Q2183" s="2780"/>
      <c r="R2183" s="2780"/>
      <c r="S2183" s="2780"/>
      <c r="T2183" s="2780"/>
      <c r="U2183" s="2780"/>
      <c r="V2183" s="2780"/>
      <c r="W2183" s="2780"/>
      <c r="X2183" s="2780"/>
      <c r="Y2183" s="2780"/>
      <c r="Z2183" s="2780"/>
      <c r="AA2183" s="2780"/>
      <c r="AB2183" s="2780"/>
    </row>
    <row r="2184" spans="1:28" s="352" customFormat="1" ht="18" customHeight="1" x14ac:dyDescent="0.2">
      <c r="A2184" s="2686" t="s">
        <v>2</v>
      </c>
      <c r="B2184" s="360"/>
      <c r="C2184" s="2686" t="s">
        <v>3</v>
      </c>
      <c r="D2184" s="360"/>
      <c r="E2184" s="360"/>
      <c r="F2184" s="2693" t="s">
        <v>4</v>
      </c>
      <c r="G2184" s="2693"/>
      <c r="H2184" s="2693"/>
      <c r="I2184" s="2694"/>
      <c r="J2184" s="2694"/>
      <c r="K2184" s="2695"/>
      <c r="L2184" s="361"/>
      <c r="M2184" s="2679" t="s">
        <v>5</v>
      </c>
      <c r="N2184" s="2679"/>
      <c r="O2184" s="2679"/>
      <c r="P2184" s="2679"/>
      <c r="Q2184" s="2696"/>
      <c r="R2184" s="2696"/>
      <c r="S2184" s="2696"/>
      <c r="T2184" s="2696"/>
      <c r="U2184" s="2696"/>
      <c r="V2184" s="2697"/>
      <c r="W2184" s="362" t="s">
        <v>6</v>
      </c>
      <c r="X2184" s="363" t="s">
        <v>7</v>
      </c>
      <c r="Y2184" s="364"/>
      <c r="Z2184" s="364"/>
      <c r="AA2184" s="363"/>
      <c r="AB2184" s="365"/>
    </row>
    <row r="2185" spans="1:28" s="352" customFormat="1" ht="18" customHeight="1" x14ac:dyDescent="0.2">
      <c r="A2185" s="2687"/>
      <c r="B2185" s="367"/>
      <c r="C2185" s="2687"/>
      <c r="D2185" s="2158" t="s">
        <v>9</v>
      </c>
      <c r="E2185" s="368" t="s">
        <v>10</v>
      </c>
      <c r="F2185" s="2698" t="s">
        <v>11</v>
      </c>
      <c r="G2185" s="2694"/>
      <c r="H2185" s="2695"/>
      <c r="I2185" s="360"/>
      <c r="J2185" s="369" t="s">
        <v>12</v>
      </c>
      <c r="K2185" s="360"/>
      <c r="L2185" s="2679" t="s">
        <v>2</v>
      </c>
      <c r="M2185" s="2162"/>
      <c r="N2185" s="2162"/>
      <c r="O2185" s="2162"/>
      <c r="P2185" s="371"/>
      <c r="Q2185" s="372" t="s">
        <v>13</v>
      </c>
      <c r="R2185" s="373" t="s">
        <v>12</v>
      </c>
      <c r="S2185" s="2162" t="s">
        <v>6</v>
      </c>
      <c r="T2185" s="2682" t="s">
        <v>14</v>
      </c>
      <c r="U2185" s="2683"/>
      <c r="V2185" s="375" t="s">
        <v>7</v>
      </c>
      <c r="W2185" s="376" t="s">
        <v>15</v>
      </c>
      <c r="X2185" s="377" t="s">
        <v>16</v>
      </c>
      <c r="Y2185" s="377" t="s">
        <v>17</v>
      </c>
      <c r="Z2185" s="377" t="s">
        <v>18</v>
      </c>
      <c r="AA2185" s="377"/>
      <c r="AB2185" s="378" t="s">
        <v>19</v>
      </c>
    </row>
    <row r="2186" spans="1:28" s="352" customFormat="1" ht="18" customHeight="1" x14ac:dyDescent="0.2">
      <c r="A2186" s="2687"/>
      <c r="B2186" s="2158" t="s">
        <v>23</v>
      </c>
      <c r="C2186" s="2687"/>
      <c r="D2186" s="2158" t="s">
        <v>24</v>
      </c>
      <c r="E2186" s="368" t="s">
        <v>25</v>
      </c>
      <c r="F2186" s="2699"/>
      <c r="G2186" s="2700"/>
      <c r="H2186" s="2701"/>
      <c r="I2186" s="2158" t="s">
        <v>26</v>
      </c>
      <c r="J2186" s="379" t="s">
        <v>15</v>
      </c>
      <c r="K2186" s="2159" t="s">
        <v>6</v>
      </c>
      <c r="L2186" s="2680"/>
      <c r="M2186" s="2163" t="s">
        <v>27</v>
      </c>
      <c r="N2186" s="2163" t="s">
        <v>10</v>
      </c>
      <c r="O2186" s="382" t="s">
        <v>10</v>
      </c>
      <c r="P2186" s="383" t="s">
        <v>28</v>
      </c>
      <c r="Q2186" s="384" t="s">
        <v>29</v>
      </c>
      <c r="R2186" s="383" t="s">
        <v>15</v>
      </c>
      <c r="S2186" s="385" t="s">
        <v>15</v>
      </c>
      <c r="T2186" s="2684"/>
      <c r="U2186" s="2685"/>
      <c r="V2186" s="375" t="s">
        <v>30</v>
      </c>
      <c r="W2186" s="376" t="s">
        <v>31</v>
      </c>
      <c r="X2186" s="377" t="s">
        <v>30</v>
      </c>
      <c r="Y2186" s="377" t="s">
        <v>32</v>
      </c>
      <c r="Z2186" s="377" t="s">
        <v>7</v>
      </c>
      <c r="AA2186" s="377" t="s">
        <v>33</v>
      </c>
      <c r="AB2186" s="378" t="s">
        <v>34</v>
      </c>
    </row>
    <row r="2187" spans="1:28" s="352" customFormat="1" ht="18" customHeight="1" x14ac:dyDescent="0.2">
      <c r="A2187" s="2687"/>
      <c r="B2187" s="2158" t="s">
        <v>39</v>
      </c>
      <c r="C2187" s="2687"/>
      <c r="D2187" s="2158" t="s">
        <v>40</v>
      </c>
      <c r="E2187" s="368" t="s">
        <v>41</v>
      </c>
      <c r="F2187" s="2686" t="s">
        <v>42</v>
      </c>
      <c r="G2187" s="2686" t="s">
        <v>43</v>
      </c>
      <c r="H2187" s="2688" t="s">
        <v>44</v>
      </c>
      <c r="I2187" s="2158" t="s">
        <v>45</v>
      </c>
      <c r="J2187" s="379" t="s">
        <v>46</v>
      </c>
      <c r="K2187" s="2159" t="s">
        <v>47</v>
      </c>
      <c r="L2187" s="2680"/>
      <c r="M2187" s="2163" t="s">
        <v>30</v>
      </c>
      <c r="N2187" s="2163" t="s">
        <v>30</v>
      </c>
      <c r="O2187" s="382" t="s">
        <v>25</v>
      </c>
      <c r="P2187" s="383" t="s">
        <v>30</v>
      </c>
      <c r="Q2187" s="384" t="s">
        <v>48</v>
      </c>
      <c r="R2187" s="383" t="s">
        <v>49</v>
      </c>
      <c r="S2187" s="385" t="s">
        <v>30</v>
      </c>
      <c r="T2187" s="386" t="s">
        <v>50</v>
      </c>
      <c r="U2187" s="2161" t="s">
        <v>13</v>
      </c>
      <c r="V2187" s="375" t="s">
        <v>51</v>
      </c>
      <c r="W2187" s="376" t="s">
        <v>52</v>
      </c>
      <c r="X2187" s="377" t="s">
        <v>53</v>
      </c>
      <c r="Y2187" s="377" t="s">
        <v>54</v>
      </c>
      <c r="Z2187" s="377" t="s">
        <v>55</v>
      </c>
      <c r="AA2187" s="377" t="s">
        <v>56</v>
      </c>
      <c r="AB2187" s="378" t="s">
        <v>57</v>
      </c>
    </row>
    <row r="2188" spans="1:28" s="352" customFormat="1" ht="18" customHeight="1" x14ac:dyDescent="0.2">
      <c r="A2188" s="2687"/>
      <c r="B2188" s="2158" t="s">
        <v>61</v>
      </c>
      <c r="C2188" s="2687"/>
      <c r="D2188" s="2158" t="s">
        <v>62</v>
      </c>
      <c r="E2188" s="368" t="s">
        <v>63</v>
      </c>
      <c r="F2188" s="2687"/>
      <c r="G2188" s="2687"/>
      <c r="H2188" s="2689"/>
      <c r="I2188" s="2158" t="s">
        <v>64</v>
      </c>
      <c r="J2188" s="379" t="s">
        <v>59</v>
      </c>
      <c r="K2188" s="2159" t="s">
        <v>59</v>
      </c>
      <c r="L2188" s="2680"/>
      <c r="M2188" s="2163"/>
      <c r="N2188" s="2163"/>
      <c r="O2188" s="382" t="s">
        <v>41</v>
      </c>
      <c r="P2188" s="383" t="s">
        <v>65</v>
      </c>
      <c r="Q2188" s="384" t="s">
        <v>66</v>
      </c>
      <c r="R2188" s="383" t="s">
        <v>67</v>
      </c>
      <c r="S2188" s="385" t="s">
        <v>59</v>
      </c>
      <c r="T2188" s="387" t="s">
        <v>68</v>
      </c>
      <c r="U2188" s="375" t="s">
        <v>14</v>
      </c>
      <c r="V2188" s="375" t="s">
        <v>14</v>
      </c>
      <c r="W2188" s="376" t="s">
        <v>30</v>
      </c>
      <c r="X2188" s="388" t="s">
        <v>69</v>
      </c>
      <c r="Y2188" s="388" t="s">
        <v>70</v>
      </c>
      <c r="Z2188" s="377" t="s">
        <v>71</v>
      </c>
      <c r="AA2188" s="377" t="s">
        <v>72</v>
      </c>
      <c r="AB2188" s="378" t="s">
        <v>59</v>
      </c>
    </row>
    <row r="2189" spans="1:28" s="352" customFormat="1" ht="18" customHeight="1" x14ac:dyDescent="0.2">
      <c r="A2189" s="2692"/>
      <c r="B2189" s="390"/>
      <c r="C2189" s="2692"/>
      <c r="D2189" s="390"/>
      <c r="E2189" s="2160"/>
      <c r="F2189" s="390"/>
      <c r="G2189" s="390"/>
      <c r="H2189" s="391"/>
      <c r="I2189" s="2160"/>
      <c r="J2189" s="392"/>
      <c r="K2189" s="393"/>
      <c r="L2189" s="2681"/>
      <c r="M2189" s="2164"/>
      <c r="N2189" s="2164"/>
      <c r="O2189" s="2164" t="s">
        <v>63</v>
      </c>
      <c r="P2189" s="395"/>
      <c r="Q2189" s="396" t="s">
        <v>72</v>
      </c>
      <c r="R2189" s="397" t="s">
        <v>59</v>
      </c>
      <c r="S2189" s="398"/>
      <c r="T2189" s="397" t="s">
        <v>73</v>
      </c>
      <c r="U2189" s="398" t="s">
        <v>59</v>
      </c>
      <c r="V2189" s="399" t="s">
        <v>59</v>
      </c>
      <c r="W2189" s="400" t="s">
        <v>59</v>
      </c>
      <c r="X2189" s="401" t="s">
        <v>59</v>
      </c>
      <c r="Y2189" s="401" t="s">
        <v>59</v>
      </c>
      <c r="Z2189" s="401" t="s">
        <v>59</v>
      </c>
      <c r="AA2189" s="402"/>
      <c r="AB2189" s="403"/>
    </row>
    <row r="2190" spans="1:28" s="352" customFormat="1" ht="18" customHeight="1" x14ac:dyDescent="0.25">
      <c r="A2190" s="82">
        <v>1</v>
      </c>
      <c r="B2190" s="53">
        <v>45173</v>
      </c>
      <c r="C2190" s="82">
        <v>1358</v>
      </c>
      <c r="D2190" s="41" t="s">
        <v>107</v>
      </c>
      <c r="E2190" s="41">
        <v>4</v>
      </c>
      <c r="F2190" s="41">
        <v>0</v>
      </c>
      <c r="G2190" s="41">
        <v>2</v>
      </c>
      <c r="H2190" s="267">
        <v>0</v>
      </c>
      <c r="I2190" s="302">
        <f>F2190*400+G2190*100+H2190</f>
        <v>200</v>
      </c>
      <c r="J2190" s="310">
        <v>1000</v>
      </c>
      <c r="K2190" s="310">
        <f>SUM(I2190*J2190)</f>
        <v>200000</v>
      </c>
      <c r="L2190" s="480"/>
      <c r="M2190" s="481"/>
      <c r="N2190" s="480"/>
      <c r="O2190" s="480"/>
      <c r="P2190" s="482"/>
      <c r="Q2190" s="483"/>
      <c r="R2190" s="484"/>
      <c r="S2190" s="485"/>
      <c r="T2190" s="483"/>
      <c r="U2190" s="485"/>
      <c r="V2190" s="486"/>
      <c r="W2190" s="302">
        <f>K2190</f>
        <v>200000</v>
      </c>
      <c r="X2190" s="310">
        <f>W2190</f>
        <v>200000</v>
      </c>
      <c r="Y2190" s="310"/>
      <c r="Z2190" s="302">
        <f>+X2190</f>
        <v>200000</v>
      </c>
      <c r="AA2190" s="405">
        <v>0.6</v>
      </c>
      <c r="AB2190" s="465">
        <f>+Z2190*AA2190/100</f>
        <v>1200</v>
      </c>
    </row>
    <row r="2191" spans="1:28" s="352" customFormat="1" ht="18" customHeight="1" x14ac:dyDescent="0.2">
      <c r="A2191" s="2166"/>
      <c r="B2191" s="61"/>
      <c r="C2191" s="2166"/>
      <c r="D2191" s="2166"/>
      <c r="E2191" s="2166"/>
      <c r="F2191" s="2166"/>
      <c r="G2191" s="2166"/>
      <c r="H2191" s="407"/>
      <c r="I2191" s="77"/>
      <c r="J2191" s="2168"/>
      <c r="K2191" s="2168"/>
      <c r="L2191" s="488"/>
      <c r="M2191" s="488"/>
      <c r="N2191" s="488"/>
      <c r="O2191" s="488"/>
      <c r="P2191" s="819"/>
      <c r="Q2191" s="819"/>
      <c r="R2191" s="820"/>
      <c r="S2191" s="820"/>
      <c r="T2191" s="819"/>
      <c r="U2191" s="820"/>
      <c r="V2191" s="821"/>
      <c r="W2191" s="77"/>
      <c r="X2191" s="2168"/>
      <c r="Y2191" s="2168"/>
      <c r="Z2191" s="77"/>
      <c r="AA2191" s="2170"/>
      <c r="AB2191" s="466"/>
    </row>
    <row r="2192" spans="1:28" s="352" customFormat="1" ht="18" customHeight="1" x14ac:dyDescent="0.2">
      <c r="A2192" s="88"/>
      <c r="B2192" s="75"/>
      <c r="C2192" s="88"/>
      <c r="D2192" s="88"/>
      <c r="E2192" s="88"/>
      <c r="F2192" s="88"/>
      <c r="G2192" s="88"/>
      <c r="H2192" s="495"/>
      <c r="I2192" s="77"/>
      <c r="J2192" s="2168"/>
      <c r="K2192" s="2168"/>
      <c r="L2192" s="61"/>
      <c r="M2192" s="2166"/>
      <c r="N2192" s="2166"/>
      <c r="O2192" s="61"/>
      <c r="P2192" s="177"/>
      <c r="Q2192" s="196"/>
      <c r="R2192" s="408"/>
      <c r="S2192" s="77"/>
      <c r="T2192" s="2166"/>
      <c r="U2192" s="77"/>
      <c r="V2192" s="77"/>
      <c r="W2192" s="77"/>
      <c r="X2192" s="2168"/>
      <c r="Y2192" s="2168"/>
      <c r="Z2192" s="77"/>
      <c r="AA2192" s="2170"/>
      <c r="AB2192" s="466"/>
    </row>
    <row r="2193" spans="1:28" s="352" customFormat="1" ht="18" customHeight="1" x14ac:dyDescent="0.2">
      <c r="A2193" s="88"/>
      <c r="B2193" s="75"/>
      <c r="C2193" s="88"/>
      <c r="D2193" s="88"/>
      <c r="E2193" s="88"/>
      <c r="F2193" s="88"/>
      <c r="G2193" s="88"/>
      <c r="H2193" s="495"/>
      <c r="I2193" s="77"/>
      <c r="J2193" s="2168"/>
      <c r="K2193" s="2168"/>
      <c r="L2193" s="61"/>
      <c r="M2193" s="2166"/>
      <c r="N2193" s="2166"/>
      <c r="O2193" s="61"/>
      <c r="P2193" s="177"/>
      <c r="Q2193" s="196"/>
      <c r="R2193" s="408"/>
      <c r="S2193" s="77"/>
      <c r="T2193" s="2166"/>
      <c r="U2193" s="77"/>
      <c r="V2193" s="77"/>
      <c r="W2193" s="77"/>
      <c r="X2193" s="2168"/>
      <c r="Y2193" s="2168"/>
      <c r="Z2193" s="77"/>
      <c r="AA2193" s="2170"/>
      <c r="AB2193" s="466"/>
    </row>
    <row r="2194" spans="1:28" s="352" customFormat="1" ht="18" customHeight="1" x14ac:dyDescent="0.2">
      <c r="A2194" s="2166"/>
      <c r="B2194" s="61"/>
      <c r="C2194" s="2166"/>
      <c r="D2194" s="2166"/>
      <c r="E2194" s="2166"/>
      <c r="F2194" s="2166"/>
      <c r="G2194" s="2166"/>
      <c r="H2194" s="407"/>
      <c r="I2194" s="77"/>
      <c r="J2194" s="2168"/>
      <c r="K2194" s="78"/>
      <c r="L2194" s="61"/>
      <c r="M2194" s="2166"/>
      <c r="N2194" s="2166"/>
      <c r="O2194" s="61"/>
      <c r="P2194" s="177"/>
      <c r="Q2194" s="196"/>
      <c r="R2194" s="408"/>
      <c r="S2194" s="77"/>
      <c r="T2194" s="2166"/>
      <c r="U2194" s="77"/>
      <c r="V2194" s="77"/>
      <c r="W2194" s="77"/>
      <c r="X2194" s="77"/>
      <c r="Y2194" s="2168"/>
      <c r="Z2194" s="77"/>
      <c r="AA2194" s="2170"/>
      <c r="AB2194" s="410"/>
    </row>
    <row r="2195" spans="1:28" s="352" customFormat="1" ht="18" customHeight="1" x14ac:dyDescent="0.2">
      <c r="A2195" s="2166"/>
      <c r="B2195" s="61"/>
      <c r="C2195" s="2166"/>
      <c r="D2195" s="2166"/>
      <c r="E2195" s="2166"/>
      <c r="F2195" s="2166"/>
      <c r="G2195" s="2166"/>
      <c r="H2195" s="407"/>
      <c r="I2195" s="77"/>
      <c r="J2195" s="2168"/>
      <c r="K2195" s="78"/>
      <c r="L2195" s="61"/>
      <c r="M2195" s="2166"/>
      <c r="N2195" s="2166"/>
      <c r="O2195" s="61"/>
      <c r="P2195" s="177"/>
      <c r="Q2195" s="196"/>
      <c r="R2195" s="408"/>
      <c r="S2195" s="77"/>
      <c r="T2195" s="2166"/>
      <c r="U2195" s="77"/>
      <c r="V2195" s="77"/>
      <c r="W2195" s="77"/>
      <c r="X2195" s="77"/>
      <c r="Y2195" s="2168"/>
      <c r="Z2195" s="77"/>
      <c r="AA2195" s="2170"/>
      <c r="AB2195" s="410"/>
    </row>
    <row r="2196" spans="1:28" s="352" customFormat="1" ht="18" customHeight="1" x14ac:dyDescent="0.2">
      <c r="A2196" s="2166"/>
      <c r="B2196" s="61"/>
      <c r="C2196" s="2166"/>
      <c r="D2196" s="2166"/>
      <c r="E2196" s="2166"/>
      <c r="F2196" s="2166"/>
      <c r="G2196" s="2166"/>
      <c r="H2196" s="407"/>
      <c r="I2196" s="77"/>
      <c r="J2196" s="2168"/>
      <c r="K2196" s="78"/>
      <c r="L2196" s="61"/>
      <c r="M2196" s="2166"/>
      <c r="N2196" s="2166"/>
      <c r="O2196" s="61"/>
      <c r="P2196" s="177"/>
      <c r="Q2196" s="196"/>
      <c r="R2196" s="408"/>
      <c r="S2196" s="77"/>
      <c r="T2196" s="2166"/>
      <c r="U2196" s="77"/>
      <c r="V2196" s="77"/>
      <c r="W2196" s="77"/>
      <c r="X2196" s="77"/>
      <c r="Y2196" s="2168"/>
      <c r="Z2196" s="77"/>
      <c r="AA2196" s="2170"/>
      <c r="AB2196" s="410"/>
    </row>
    <row r="2197" spans="1:28" s="352" customFormat="1" ht="18" customHeight="1" x14ac:dyDescent="0.2">
      <c r="A2197" s="88"/>
      <c r="B2197" s="75"/>
      <c r="C2197" s="88"/>
      <c r="D2197" s="88"/>
      <c r="E2197" s="2166"/>
      <c r="F2197" s="411"/>
      <c r="G2197" s="242"/>
      <c r="H2197" s="412"/>
      <c r="I2197" s="159"/>
      <c r="J2197" s="121"/>
      <c r="K2197" s="159"/>
      <c r="L2197" s="75"/>
      <c r="M2197" s="88"/>
      <c r="N2197" s="88"/>
      <c r="O2197" s="75"/>
      <c r="P2197" s="180"/>
      <c r="Q2197" s="174"/>
      <c r="R2197" s="413"/>
      <c r="S2197" s="74"/>
      <c r="T2197" s="88"/>
      <c r="U2197" s="74"/>
      <c r="V2197" s="74"/>
      <c r="W2197" s="74"/>
      <c r="X2197" s="74"/>
      <c r="Y2197" s="121"/>
      <c r="Z2197" s="74"/>
      <c r="AA2197" s="414"/>
      <c r="AB2197" s="416"/>
    </row>
    <row r="2198" spans="1:28" s="352" customFormat="1" ht="18" customHeight="1" x14ac:dyDescent="0.2">
      <c r="A2198" s="88"/>
      <c r="B2198" s="75"/>
      <c r="C2198" s="88"/>
      <c r="D2198" s="88"/>
      <c r="E2198" s="2166"/>
      <c r="F2198" s="411"/>
      <c r="G2198" s="242"/>
      <c r="H2198" s="412"/>
      <c r="I2198" s="159"/>
      <c r="J2198" s="121"/>
      <c r="K2198" s="159"/>
      <c r="L2198" s="75"/>
      <c r="M2198" s="88"/>
      <c r="N2198" s="88"/>
      <c r="O2198" s="75"/>
      <c r="P2198" s="180"/>
      <c r="Q2198" s="174"/>
      <c r="R2198" s="413"/>
      <c r="S2198" s="74"/>
      <c r="T2198" s="88"/>
      <c r="U2198" s="74"/>
      <c r="V2198" s="74"/>
      <c r="W2198" s="74"/>
      <c r="X2198" s="74"/>
      <c r="Y2198" s="121"/>
      <c r="Z2198" s="74"/>
      <c r="AA2198" s="414"/>
      <c r="AB2198" s="416"/>
    </row>
    <row r="2199" spans="1:28" s="352" customFormat="1" ht="18" customHeight="1" x14ac:dyDescent="0.2">
      <c r="A2199" s="88"/>
      <c r="B2199" s="75"/>
      <c r="C2199" s="88"/>
      <c r="D2199" s="88"/>
      <c r="E2199" s="2166"/>
      <c r="F2199" s="411"/>
      <c r="G2199" s="242"/>
      <c r="H2199" s="412"/>
      <c r="I2199" s="159"/>
      <c r="J2199" s="121"/>
      <c r="K2199" s="159"/>
      <c r="L2199" s="75"/>
      <c r="M2199" s="88"/>
      <c r="N2199" s="88"/>
      <c r="O2199" s="75"/>
      <c r="P2199" s="180"/>
      <c r="Q2199" s="174"/>
      <c r="R2199" s="413"/>
      <c r="S2199" s="74"/>
      <c r="T2199" s="88"/>
      <c r="U2199" s="74"/>
      <c r="V2199" s="74"/>
      <c r="W2199" s="74"/>
      <c r="X2199" s="74"/>
      <c r="Y2199" s="121"/>
      <c r="Z2199" s="74"/>
      <c r="AA2199" s="414"/>
      <c r="AB2199" s="415"/>
    </row>
    <row r="2200" spans="1:28" s="352" customFormat="1" ht="18" customHeight="1" x14ac:dyDescent="0.2">
      <c r="A2200" s="88"/>
      <c r="B2200" s="75"/>
      <c r="C2200" s="88"/>
      <c r="D2200" s="231"/>
      <c r="E2200" s="2166"/>
      <c r="F2200" s="411"/>
      <c r="G2200" s="242"/>
      <c r="H2200" s="412"/>
      <c r="I2200" s="159"/>
      <c r="J2200" s="121"/>
      <c r="K2200" s="159"/>
      <c r="L2200" s="75"/>
      <c r="M2200" s="88"/>
      <c r="N2200" s="88"/>
      <c r="O2200" s="75"/>
      <c r="P2200" s="180"/>
      <c r="Q2200" s="174"/>
      <c r="R2200" s="413"/>
      <c r="S2200" s="74"/>
      <c r="T2200" s="88"/>
      <c r="U2200" s="74"/>
      <c r="V2200" s="74"/>
      <c r="W2200" s="74"/>
      <c r="X2200" s="74"/>
      <c r="Y2200" s="121"/>
      <c r="Z2200" s="74"/>
      <c r="AA2200" s="417"/>
      <c r="AB2200" s="410"/>
    </row>
    <row r="2201" spans="1:28" s="352" customFormat="1" ht="18" customHeight="1" x14ac:dyDescent="0.2">
      <c r="A2201" s="88"/>
      <c r="B2201" s="75"/>
      <c r="C2201" s="88"/>
      <c r="D2201" s="2165"/>
      <c r="E2201" s="2166"/>
      <c r="F2201" s="411"/>
      <c r="G2201" s="242"/>
      <c r="H2201" s="412"/>
      <c r="I2201" s="159"/>
      <c r="J2201" s="121"/>
      <c r="K2201" s="159"/>
      <c r="L2201" s="75"/>
      <c r="M2201" s="88"/>
      <c r="N2201" s="88"/>
      <c r="O2201" s="75"/>
      <c r="P2201" s="180"/>
      <c r="Q2201" s="174"/>
      <c r="R2201" s="413"/>
      <c r="S2201" s="74"/>
      <c r="T2201" s="88"/>
      <c r="U2201" s="74"/>
      <c r="V2201" s="74"/>
      <c r="W2201" s="74"/>
      <c r="X2201" s="74"/>
      <c r="Y2201" s="121"/>
      <c r="Z2201" s="74"/>
      <c r="AA2201" s="417"/>
      <c r="AB2201" s="410"/>
    </row>
    <row r="2202" spans="1:28" s="352" customFormat="1" ht="18" customHeight="1" x14ac:dyDescent="0.2">
      <c r="A2202" s="88"/>
      <c r="B2202" s="75"/>
      <c r="C2202" s="88"/>
      <c r="D2202" s="2165"/>
      <c r="E2202" s="2166"/>
      <c r="F2202" s="411"/>
      <c r="G2202" s="242"/>
      <c r="H2202" s="412"/>
      <c r="I2202" s="159"/>
      <c r="J2202" s="121"/>
      <c r="K2202" s="159"/>
      <c r="L2202" s="75"/>
      <c r="M2202" s="88"/>
      <c r="N2202" s="88"/>
      <c r="O2202" s="75"/>
      <c r="P2202" s="180"/>
      <c r="Q2202" s="174"/>
      <c r="R2202" s="413"/>
      <c r="S2202" s="74"/>
      <c r="T2202" s="88"/>
      <c r="U2202" s="74"/>
      <c r="V2202" s="74"/>
      <c r="W2202" s="74"/>
      <c r="X2202" s="74"/>
      <c r="Y2202" s="121"/>
      <c r="Z2202" s="74"/>
      <c r="AA2202" s="414"/>
      <c r="AB2202" s="416"/>
    </row>
    <row r="2203" spans="1:28" s="352" customFormat="1" ht="18" customHeight="1" x14ac:dyDescent="0.2">
      <c r="A2203" s="88"/>
      <c r="B2203" s="418"/>
      <c r="C2203" s="88"/>
      <c r="D2203" s="88"/>
      <c r="E2203" s="88"/>
      <c r="F2203" s="411"/>
      <c r="G2203" s="242"/>
      <c r="H2203" s="412"/>
      <c r="I2203" s="159"/>
      <c r="J2203" s="121"/>
      <c r="K2203" s="159"/>
      <c r="L2203" s="75"/>
      <c r="M2203" s="88"/>
      <c r="N2203" s="88"/>
      <c r="O2203" s="75"/>
      <c r="P2203" s="180"/>
      <c r="Q2203" s="174"/>
      <c r="R2203" s="413"/>
      <c r="S2203" s="74"/>
      <c r="T2203" s="88"/>
      <c r="U2203" s="74"/>
      <c r="V2203" s="74"/>
      <c r="W2203" s="74"/>
      <c r="X2203" s="74"/>
      <c r="Y2203" s="121"/>
      <c r="Z2203" s="74"/>
      <c r="AA2203" s="414"/>
      <c r="AB2203" s="410"/>
    </row>
    <row r="2204" spans="1:28" s="352" customFormat="1" ht="18" customHeight="1" x14ac:dyDescent="0.2">
      <c r="A2204" s="1147"/>
      <c r="B2204" s="1989"/>
      <c r="C2204" s="1147"/>
      <c r="D2204" s="1147"/>
      <c r="E2204" s="1147"/>
      <c r="F2204" s="1147"/>
      <c r="G2204" s="1147"/>
      <c r="H2204" s="1990"/>
      <c r="I2204" s="1991"/>
      <c r="J2204" s="1868"/>
      <c r="K2204" s="1992"/>
      <c r="L2204" s="1989"/>
      <c r="M2204" s="1147"/>
      <c r="N2204" s="1147"/>
      <c r="O2204" s="1989"/>
      <c r="P2204" s="1867"/>
      <c r="Q2204" s="1993"/>
      <c r="R2204" s="1994"/>
      <c r="S2204" s="1991"/>
      <c r="T2204" s="1147"/>
      <c r="U2204" s="1991"/>
      <c r="V2204" s="1991"/>
      <c r="W2204" s="1991"/>
      <c r="X2204" s="1991"/>
      <c r="Y2204" s="1868"/>
      <c r="Z2204" s="1991"/>
      <c r="AA2204" s="1995"/>
      <c r="AB2204" s="1849">
        <f>SUM(AB2190:AB2203)</f>
        <v>1200</v>
      </c>
    </row>
    <row r="2205" spans="1:28" s="352" customFormat="1" ht="18" customHeight="1" x14ac:dyDescent="0.2">
      <c r="A2205" s="2788" t="s">
        <v>76</v>
      </c>
      <c r="B2205" s="2788"/>
      <c r="C2205" s="2779" t="s">
        <v>77</v>
      </c>
      <c r="D2205" s="2779"/>
      <c r="E2205" s="2779"/>
      <c r="F2205" s="2779"/>
      <c r="G2205" s="2779"/>
      <c r="H2205" s="2779"/>
      <c r="I2205" s="424" t="s">
        <v>78</v>
      </c>
      <c r="J2205" s="424"/>
      <c r="K2205" s="424"/>
      <c r="L2205" s="424"/>
      <c r="M2205" s="424"/>
      <c r="N2205" s="424"/>
      <c r="AB2205" s="425"/>
    </row>
    <row r="2206" spans="1:28" s="352" customFormat="1" ht="18" customHeight="1" x14ac:dyDescent="0.2">
      <c r="A2206" s="424"/>
      <c r="B2206" s="426"/>
      <c r="C2206" s="424"/>
      <c r="D2206" s="424"/>
      <c r="E2206" s="424"/>
      <c r="F2206" s="424"/>
      <c r="G2206" s="424"/>
      <c r="H2206" s="424"/>
      <c r="I2206" s="424" t="s">
        <v>79</v>
      </c>
      <c r="J2206" s="424"/>
      <c r="K2206" s="424"/>
      <c r="L2206" s="424"/>
      <c r="M2206" s="424"/>
      <c r="N2206" s="424"/>
      <c r="AB2206" s="425"/>
    </row>
    <row r="2207" spans="1:28" s="352" customFormat="1" ht="18" customHeight="1" x14ac:dyDescent="0.2">
      <c r="A2207" s="424"/>
      <c r="B2207" s="426"/>
      <c r="C2207" s="424"/>
      <c r="D2207" s="424"/>
      <c r="E2207" s="424"/>
      <c r="F2207" s="424"/>
      <c r="G2207" s="424"/>
      <c r="H2207" s="424"/>
      <c r="I2207" s="424" t="s">
        <v>80</v>
      </c>
      <c r="J2207" s="424"/>
      <c r="K2207" s="424"/>
      <c r="L2207" s="424"/>
      <c r="M2207" s="424"/>
      <c r="N2207" s="424"/>
      <c r="AB2207" s="425"/>
    </row>
    <row r="2208" spans="1:28" s="352" customFormat="1" ht="18" customHeight="1" x14ac:dyDescent="0.2">
      <c r="A2208" s="424"/>
      <c r="B2208" s="426"/>
      <c r="C2208" s="424"/>
      <c r="D2208" s="424"/>
      <c r="E2208" s="424"/>
      <c r="F2208" s="424"/>
      <c r="G2208" s="424"/>
      <c r="H2208" s="424"/>
      <c r="I2208" s="424" t="s">
        <v>81</v>
      </c>
      <c r="J2208" s="424"/>
      <c r="K2208" s="424"/>
      <c r="L2208" s="424"/>
      <c r="M2208" s="424"/>
      <c r="N2208" s="424"/>
      <c r="AB2208" s="425"/>
    </row>
    <row r="2209" spans="1:28" s="352" customFormat="1" ht="18" customHeight="1" x14ac:dyDescent="0.2">
      <c r="A2209" s="424"/>
      <c r="B2209" s="426"/>
      <c r="C2209" s="424"/>
      <c r="D2209" s="424"/>
      <c r="E2209" s="424"/>
      <c r="F2209" s="424"/>
      <c r="G2209" s="424"/>
      <c r="H2209" s="424"/>
      <c r="I2209" s="424" t="s">
        <v>88</v>
      </c>
      <c r="J2209" s="424"/>
      <c r="K2209" s="424"/>
      <c r="L2209" s="424"/>
      <c r="M2209" s="424"/>
      <c r="N2209" s="424"/>
      <c r="AB2209" s="425"/>
    </row>
    <row r="2210" spans="1:28" s="352" customFormat="1" ht="18" customHeight="1" x14ac:dyDescent="0.2">
      <c r="A2210" s="338"/>
      <c r="B2210" s="338"/>
      <c r="C2210" s="338"/>
      <c r="D2210" s="338"/>
      <c r="E2210" s="338"/>
      <c r="F2210" s="338"/>
      <c r="G2210" s="338"/>
      <c r="H2210" s="338"/>
      <c r="I2210" s="338"/>
      <c r="J2210" s="338"/>
      <c r="K2210" s="338"/>
      <c r="L2210" s="338"/>
      <c r="M2210" s="338"/>
      <c r="N2210" s="338"/>
      <c r="O2210" s="338"/>
      <c r="P2210" s="338"/>
      <c r="Q2210" s="338"/>
      <c r="R2210" s="338"/>
      <c r="S2210" s="338"/>
      <c r="T2210" s="338"/>
      <c r="U2210" s="338"/>
      <c r="V2210" s="338"/>
      <c r="W2210" s="338"/>
      <c r="X2210" s="338"/>
      <c r="Y2210" s="338"/>
      <c r="Z2210" s="338"/>
      <c r="AA2210" s="2774" t="s">
        <v>0</v>
      </c>
      <c r="AB2210" s="2774"/>
    </row>
    <row r="2211" spans="1:28" s="352" customFormat="1" ht="18" customHeight="1" x14ac:dyDescent="0.2">
      <c r="A2211" s="2703" t="s">
        <v>1</v>
      </c>
      <c r="B2211" s="2703"/>
      <c r="C2211" s="2703"/>
      <c r="D2211" s="2703"/>
      <c r="E2211" s="2703"/>
      <c r="F2211" s="2703"/>
      <c r="G2211" s="2703"/>
      <c r="H2211" s="2703"/>
      <c r="I2211" s="2703"/>
      <c r="J2211" s="2703"/>
      <c r="K2211" s="2703"/>
      <c r="L2211" s="2703"/>
      <c r="M2211" s="2703"/>
      <c r="N2211" s="2703"/>
      <c r="O2211" s="2703"/>
      <c r="P2211" s="2703"/>
      <c r="Q2211" s="2703"/>
      <c r="R2211" s="2703"/>
      <c r="S2211" s="2703"/>
      <c r="T2211" s="2703"/>
      <c r="U2211" s="2703"/>
      <c r="V2211" s="2703"/>
      <c r="W2211" s="2703"/>
      <c r="X2211" s="2703"/>
      <c r="Y2211" s="2703"/>
      <c r="Z2211" s="2703"/>
      <c r="AA2211" s="2703"/>
      <c r="AB2211" s="2703"/>
    </row>
    <row r="2212" spans="1:28" s="352" customFormat="1" ht="18" customHeight="1" x14ac:dyDescent="0.2">
      <c r="A2212" s="2780" t="s">
        <v>667</v>
      </c>
      <c r="B2212" s="2780"/>
      <c r="C2212" s="2780"/>
      <c r="D2212" s="2780"/>
      <c r="E2212" s="2780"/>
      <c r="F2212" s="2780"/>
      <c r="G2212" s="2780"/>
      <c r="H2212" s="2780"/>
      <c r="I2212" s="2780"/>
      <c r="J2212" s="2780"/>
      <c r="K2212" s="2780"/>
      <c r="L2212" s="2780"/>
      <c r="M2212" s="2780"/>
      <c r="N2212" s="2780"/>
      <c r="O2212" s="2780"/>
      <c r="P2212" s="2780"/>
      <c r="Q2212" s="2780"/>
      <c r="R2212" s="2780"/>
      <c r="S2212" s="2780"/>
      <c r="T2212" s="2780"/>
      <c r="U2212" s="2780"/>
      <c r="V2212" s="2780"/>
      <c r="W2212" s="2780"/>
      <c r="X2212" s="2780"/>
      <c r="Y2212" s="2780"/>
      <c r="Z2212" s="2780"/>
      <c r="AA2212" s="2780"/>
      <c r="AB2212" s="2780"/>
    </row>
    <row r="2213" spans="1:28" s="352" customFormat="1" ht="18" customHeight="1" x14ac:dyDescent="0.2">
      <c r="A2213" s="2686" t="s">
        <v>2</v>
      </c>
      <c r="B2213" s="360"/>
      <c r="C2213" s="2686" t="s">
        <v>3</v>
      </c>
      <c r="D2213" s="360"/>
      <c r="E2213" s="360"/>
      <c r="F2213" s="2693" t="s">
        <v>4</v>
      </c>
      <c r="G2213" s="2693"/>
      <c r="H2213" s="2693"/>
      <c r="I2213" s="2694"/>
      <c r="J2213" s="2694"/>
      <c r="K2213" s="2695"/>
      <c r="L2213" s="361"/>
      <c r="M2213" s="2679" t="s">
        <v>5</v>
      </c>
      <c r="N2213" s="2679"/>
      <c r="O2213" s="2679"/>
      <c r="P2213" s="2679"/>
      <c r="Q2213" s="2696"/>
      <c r="R2213" s="2696"/>
      <c r="S2213" s="2696"/>
      <c r="T2213" s="2696"/>
      <c r="U2213" s="2696"/>
      <c r="V2213" s="2697"/>
      <c r="W2213" s="362" t="s">
        <v>6</v>
      </c>
      <c r="X2213" s="363" t="s">
        <v>7</v>
      </c>
      <c r="Y2213" s="364"/>
      <c r="Z2213" s="364"/>
      <c r="AA2213" s="363"/>
      <c r="AB2213" s="365"/>
    </row>
    <row r="2214" spans="1:28" s="352" customFormat="1" ht="18" customHeight="1" x14ac:dyDescent="0.2">
      <c r="A2214" s="2687"/>
      <c r="B2214" s="367"/>
      <c r="C2214" s="2687"/>
      <c r="D2214" s="2158" t="s">
        <v>9</v>
      </c>
      <c r="E2214" s="368" t="s">
        <v>10</v>
      </c>
      <c r="F2214" s="2698" t="s">
        <v>11</v>
      </c>
      <c r="G2214" s="2694"/>
      <c r="H2214" s="2695"/>
      <c r="I2214" s="360"/>
      <c r="J2214" s="369" t="s">
        <v>12</v>
      </c>
      <c r="K2214" s="360"/>
      <c r="L2214" s="2679" t="s">
        <v>2</v>
      </c>
      <c r="M2214" s="2162"/>
      <c r="N2214" s="2162"/>
      <c r="O2214" s="2162"/>
      <c r="P2214" s="371"/>
      <c r="Q2214" s="372" t="s">
        <v>13</v>
      </c>
      <c r="R2214" s="373" t="s">
        <v>12</v>
      </c>
      <c r="S2214" s="2162" t="s">
        <v>6</v>
      </c>
      <c r="T2214" s="2682" t="s">
        <v>14</v>
      </c>
      <c r="U2214" s="2683"/>
      <c r="V2214" s="375" t="s">
        <v>7</v>
      </c>
      <c r="W2214" s="376" t="s">
        <v>15</v>
      </c>
      <c r="X2214" s="377" t="s">
        <v>16</v>
      </c>
      <c r="Y2214" s="377" t="s">
        <v>17</v>
      </c>
      <c r="Z2214" s="377" t="s">
        <v>18</v>
      </c>
      <c r="AA2214" s="377"/>
      <c r="AB2214" s="378" t="s">
        <v>19</v>
      </c>
    </row>
    <row r="2215" spans="1:28" s="352" customFormat="1" ht="18" customHeight="1" x14ac:dyDescent="0.2">
      <c r="A2215" s="2687"/>
      <c r="B2215" s="2158" t="s">
        <v>23</v>
      </c>
      <c r="C2215" s="2687"/>
      <c r="D2215" s="2158" t="s">
        <v>24</v>
      </c>
      <c r="E2215" s="368" t="s">
        <v>25</v>
      </c>
      <c r="F2215" s="2699"/>
      <c r="G2215" s="2700"/>
      <c r="H2215" s="2701"/>
      <c r="I2215" s="2158" t="s">
        <v>26</v>
      </c>
      <c r="J2215" s="379" t="s">
        <v>15</v>
      </c>
      <c r="K2215" s="2159" t="s">
        <v>6</v>
      </c>
      <c r="L2215" s="2680"/>
      <c r="M2215" s="2163" t="s">
        <v>27</v>
      </c>
      <c r="N2215" s="2163" t="s">
        <v>10</v>
      </c>
      <c r="O2215" s="382" t="s">
        <v>10</v>
      </c>
      <c r="P2215" s="383" t="s">
        <v>28</v>
      </c>
      <c r="Q2215" s="384" t="s">
        <v>29</v>
      </c>
      <c r="R2215" s="383" t="s">
        <v>15</v>
      </c>
      <c r="S2215" s="385" t="s">
        <v>15</v>
      </c>
      <c r="T2215" s="2684"/>
      <c r="U2215" s="2685"/>
      <c r="V2215" s="375" t="s">
        <v>30</v>
      </c>
      <c r="W2215" s="376" t="s">
        <v>31</v>
      </c>
      <c r="X2215" s="377" t="s">
        <v>30</v>
      </c>
      <c r="Y2215" s="377" t="s">
        <v>32</v>
      </c>
      <c r="Z2215" s="377" t="s">
        <v>7</v>
      </c>
      <c r="AA2215" s="377" t="s">
        <v>33</v>
      </c>
      <c r="AB2215" s="378" t="s">
        <v>34</v>
      </c>
    </row>
    <row r="2216" spans="1:28" s="352" customFormat="1" ht="18" customHeight="1" x14ac:dyDescent="0.2">
      <c r="A2216" s="2687"/>
      <c r="B2216" s="2158" t="s">
        <v>39</v>
      </c>
      <c r="C2216" s="2687"/>
      <c r="D2216" s="2158" t="s">
        <v>40</v>
      </c>
      <c r="E2216" s="368" t="s">
        <v>41</v>
      </c>
      <c r="F2216" s="2686" t="s">
        <v>42</v>
      </c>
      <c r="G2216" s="2686" t="s">
        <v>43</v>
      </c>
      <c r="H2216" s="2688" t="s">
        <v>44</v>
      </c>
      <c r="I2216" s="2158" t="s">
        <v>45</v>
      </c>
      <c r="J2216" s="379" t="s">
        <v>46</v>
      </c>
      <c r="K2216" s="2159" t="s">
        <v>47</v>
      </c>
      <c r="L2216" s="2680"/>
      <c r="M2216" s="2163" t="s">
        <v>30</v>
      </c>
      <c r="N2216" s="2163" t="s">
        <v>30</v>
      </c>
      <c r="O2216" s="382" t="s">
        <v>25</v>
      </c>
      <c r="P2216" s="383" t="s">
        <v>30</v>
      </c>
      <c r="Q2216" s="384" t="s">
        <v>48</v>
      </c>
      <c r="R2216" s="383" t="s">
        <v>49</v>
      </c>
      <c r="S2216" s="385" t="s">
        <v>30</v>
      </c>
      <c r="T2216" s="386" t="s">
        <v>50</v>
      </c>
      <c r="U2216" s="2161" t="s">
        <v>13</v>
      </c>
      <c r="V2216" s="375" t="s">
        <v>51</v>
      </c>
      <c r="W2216" s="376" t="s">
        <v>52</v>
      </c>
      <c r="X2216" s="377" t="s">
        <v>53</v>
      </c>
      <c r="Y2216" s="377" t="s">
        <v>54</v>
      </c>
      <c r="Z2216" s="377" t="s">
        <v>55</v>
      </c>
      <c r="AA2216" s="377" t="s">
        <v>56</v>
      </c>
      <c r="AB2216" s="378" t="s">
        <v>57</v>
      </c>
    </row>
    <row r="2217" spans="1:28" s="352" customFormat="1" ht="18" customHeight="1" x14ac:dyDescent="0.2">
      <c r="A2217" s="2687"/>
      <c r="B2217" s="2158" t="s">
        <v>61</v>
      </c>
      <c r="C2217" s="2687"/>
      <c r="D2217" s="2158" t="s">
        <v>62</v>
      </c>
      <c r="E2217" s="368" t="s">
        <v>63</v>
      </c>
      <c r="F2217" s="2687"/>
      <c r="G2217" s="2687"/>
      <c r="H2217" s="2689"/>
      <c r="I2217" s="2158" t="s">
        <v>64</v>
      </c>
      <c r="J2217" s="379" t="s">
        <v>59</v>
      </c>
      <c r="K2217" s="2159" t="s">
        <v>59</v>
      </c>
      <c r="L2217" s="2680"/>
      <c r="M2217" s="2163"/>
      <c r="N2217" s="2163"/>
      <c r="O2217" s="382" t="s">
        <v>41</v>
      </c>
      <c r="P2217" s="383" t="s">
        <v>65</v>
      </c>
      <c r="Q2217" s="384" t="s">
        <v>66</v>
      </c>
      <c r="R2217" s="383" t="s">
        <v>67</v>
      </c>
      <c r="S2217" s="385" t="s">
        <v>59</v>
      </c>
      <c r="T2217" s="387" t="s">
        <v>68</v>
      </c>
      <c r="U2217" s="375" t="s">
        <v>14</v>
      </c>
      <c r="V2217" s="375" t="s">
        <v>14</v>
      </c>
      <c r="W2217" s="376" t="s">
        <v>30</v>
      </c>
      <c r="X2217" s="388" t="s">
        <v>69</v>
      </c>
      <c r="Y2217" s="388" t="s">
        <v>70</v>
      </c>
      <c r="Z2217" s="377" t="s">
        <v>71</v>
      </c>
      <c r="AA2217" s="377" t="s">
        <v>72</v>
      </c>
      <c r="AB2217" s="378" t="s">
        <v>59</v>
      </c>
    </row>
    <row r="2218" spans="1:28" s="352" customFormat="1" ht="18" customHeight="1" x14ac:dyDescent="0.2">
      <c r="A2218" s="2692"/>
      <c r="B2218" s="390"/>
      <c r="C2218" s="2692"/>
      <c r="D2218" s="390"/>
      <c r="E2218" s="2160"/>
      <c r="F2218" s="390"/>
      <c r="G2218" s="390"/>
      <c r="H2218" s="391"/>
      <c r="I2218" s="2160"/>
      <c r="J2218" s="392"/>
      <c r="K2218" s="393"/>
      <c r="L2218" s="2681"/>
      <c r="M2218" s="2164"/>
      <c r="N2218" s="2164"/>
      <c r="O2218" s="2164" t="s">
        <v>63</v>
      </c>
      <c r="P2218" s="395"/>
      <c r="Q2218" s="396" t="s">
        <v>72</v>
      </c>
      <c r="R2218" s="397" t="s">
        <v>59</v>
      </c>
      <c r="S2218" s="398"/>
      <c r="T2218" s="397" t="s">
        <v>73</v>
      </c>
      <c r="U2218" s="398" t="s">
        <v>59</v>
      </c>
      <c r="V2218" s="399" t="s">
        <v>59</v>
      </c>
      <c r="W2218" s="400" t="s">
        <v>59</v>
      </c>
      <c r="X2218" s="401" t="s">
        <v>59</v>
      </c>
      <c r="Y2218" s="401" t="s">
        <v>59</v>
      </c>
      <c r="Z2218" s="401" t="s">
        <v>59</v>
      </c>
      <c r="AA2218" s="402"/>
      <c r="AB2218" s="403"/>
    </row>
    <row r="2219" spans="1:28" s="352" customFormat="1" ht="18" customHeight="1" x14ac:dyDescent="0.25">
      <c r="A2219" s="82">
        <v>1</v>
      </c>
      <c r="B2219" s="53">
        <v>23128</v>
      </c>
      <c r="C2219" s="82">
        <v>984</v>
      </c>
      <c r="D2219" s="41" t="s">
        <v>107</v>
      </c>
      <c r="E2219" s="41">
        <v>4</v>
      </c>
      <c r="F2219" s="41">
        <v>0</v>
      </c>
      <c r="G2219" s="41">
        <v>1</v>
      </c>
      <c r="H2219" s="267">
        <v>0</v>
      </c>
      <c r="I2219" s="302">
        <f>F2219*400+G2219*100+H2219</f>
        <v>100</v>
      </c>
      <c r="J2219" s="310">
        <v>3000</v>
      </c>
      <c r="K2219" s="310">
        <f>SUM(I2219*J2219)</f>
        <v>300000</v>
      </c>
      <c r="L2219" s="480"/>
      <c r="M2219" s="481"/>
      <c r="N2219" s="480"/>
      <c r="O2219" s="480"/>
      <c r="P2219" s="482"/>
      <c r="Q2219" s="483"/>
      <c r="R2219" s="484"/>
      <c r="S2219" s="485"/>
      <c r="T2219" s="483"/>
      <c r="U2219" s="485"/>
      <c r="V2219" s="486"/>
      <c r="W2219" s="302">
        <f>K2219</f>
        <v>300000</v>
      </c>
      <c r="X2219" s="310">
        <f>W2219</f>
        <v>300000</v>
      </c>
      <c r="Y2219" s="310"/>
      <c r="Z2219" s="302">
        <f>+X2219</f>
        <v>300000</v>
      </c>
      <c r="AA2219" s="405">
        <v>0.6</v>
      </c>
      <c r="AB2219" s="406">
        <f>+Z2219*AA2219/100</f>
        <v>1800</v>
      </c>
    </row>
    <row r="2220" spans="1:28" s="352" customFormat="1" ht="18" customHeight="1" x14ac:dyDescent="0.2">
      <c r="A2220" s="88"/>
      <c r="B2220" s="75"/>
      <c r="C2220" s="88"/>
      <c r="D2220" s="88"/>
      <c r="E2220" s="88"/>
      <c r="F2220" s="88"/>
      <c r="G2220" s="88"/>
      <c r="H2220" s="495"/>
      <c r="I2220" s="74"/>
      <c r="J2220" s="121"/>
      <c r="K2220" s="121"/>
      <c r="L2220" s="61"/>
      <c r="M2220" s="2166"/>
      <c r="N2220" s="2166"/>
      <c r="O2220" s="61"/>
      <c r="P2220" s="177"/>
      <c r="Q2220" s="196"/>
      <c r="R2220" s="408"/>
      <c r="S2220" s="77"/>
      <c r="T2220" s="2166"/>
      <c r="U2220" s="77"/>
      <c r="V2220" s="77"/>
      <c r="W2220" s="74"/>
      <c r="X2220" s="121"/>
      <c r="Y2220" s="121"/>
      <c r="Z2220" s="74"/>
      <c r="AA2220" s="414"/>
      <c r="AB2220" s="410"/>
    </row>
    <row r="2221" spans="1:28" s="352" customFormat="1" ht="18" customHeight="1" x14ac:dyDescent="0.2">
      <c r="A2221" s="88"/>
      <c r="B2221" s="75"/>
      <c r="C2221" s="88"/>
      <c r="D2221" s="88"/>
      <c r="E2221" s="88"/>
      <c r="F2221" s="88"/>
      <c r="G2221" s="88"/>
      <c r="H2221" s="495"/>
      <c r="I2221" s="77"/>
      <c r="J2221" s="2168"/>
      <c r="K2221" s="2168"/>
      <c r="L2221" s="61"/>
      <c r="M2221" s="2166"/>
      <c r="N2221" s="2166"/>
      <c r="O2221" s="61"/>
      <c r="P2221" s="177"/>
      <c r="Q2221" s="196"/>
      <c r="R2221" s="408"/>
      <c r="S2221" s="77"/>
      <c r="T2221" s="2166"/>
      <c r="U2221" s="77"/>
      <c r="V2221" s="77"/>
      <c r="W2221" s="77"/>
      <c r="X2221" s="2168"/>
      <c r="Y2221" s="2168"/>
      <c r="Z2221" s="77"/>
      <c r="AA2221" s="2170"/>
      <c r="AB2221" s="466"/>
    </row>
    <row r="2222" spans="1:28" s="352" customFormat="1" ht="18" customHeight="1" x14ac:dyDescent="0.2">
      <c r="A2222" s="88"/>
      <c r="B2222" s="75"/>
      <c r="C2222" s="88"/>
      <c r="D2222" s="88"/>
      <c r="E2222" s="88"/>
      <c r="F2222" s="88"/>
      <c r="G2222" s="88"/>
      <c r="H2222" s="495"/>
      <c r="I2222" s="77"/>
      <c r="J2222" s="2168"/>
      <c r="K2222" s="2168"/>
      <c r="L2222" s="61"/>
      <c r="M2222" s="2166"/>
      <c r="N2222" s="2166"/>
      <c r="O2222" s="61"/>
      <c r="P2222" s="177"/>
      <c r="Q2222" s="196"/>
      <c r="R2222" s="408"/>
      <c r="S2222" s="77"/>
      <c r="T2222" s="2166"/>
      <c r="U2222" s="77"/>
      <c r="V2222" s="77"/>
      <c r="W2222" s="77"/>
      <c r="X2222" s="2168"/>
      <c r="Y2222" s="2168"/>
      <c r="Z2222" s="77"/>
      <c r="AA2222" s="2170"/>
      <c r="AB2222" s="466"/>
    </row>
    <row r="2223" spans="1:28" s="352" customFormat="1" ht="18" customHeight="1" x14ac:dyDescent="0.2">
      <c r="A2223" s="2166"/>
      <c r="B2223" s="61"/>
      <c r="C2223" s="2166"/>
      <c r="D2223" s="2166"/>
      <c r="E2223" s="2166"/>
      <c r="F2223" s="2166"/>
      <c r="G2223" s="2166"/>
      <c r="H2223" s="407"/>
      <c r="I2223" s="77"/>
      <c r="J2223" s="2168"/>
      <c r="K2223" s="78"/>
      <c r="L2223" s="61"/>
      <c r="M2223" s="2166"/>
      <c r="N2223" s="2166"/>
      <c r="O2223" s="61"/>
      <c r="P2223" s="177"/>
      <c r="Q2223" s="196"/>
      <c r="R2223" s="408"/>
      <c r="S2223" s="77"/>
      <c r="T2223" s="2166"/>
      <c r="U2223" s="77"/>
      <c r="V2223" s="77"/>
      <c r="W2223" s="77"/>
      <c r="X2223" s="77"/>
      <c r="Y2223" s="2168"/>
      <c r="Z2223" s="77"/>
      <c r="AA2223" s="2170"/>
      <c r="AB2223" s="410"/>
    </row>
    <row r="2224" spans="1:28" s="352" customFormat="1" ht="18" customHeight="1" x14ac:dyDescent="0.2">
      <c r="A2224" s="2166"/>
      <c r="B2224" s="61"/>
      <c r="C2224" s="2166"/>
      <c r="D2224" s="2166"/>
      <c r="E2224" s="2166"/>
      <c r="F2224" s="2166"/>
      <c r="G2224" s="2166"/>
      <c r="H2224" s="407"/>
      <c r="I2224" s="77"/>
      <c r="J2224" s="2168"/>
      <c r="K2224" s="78"/>
      <c r="L2224" s="61"/>
      <c r="M2224" s="2166"/>
      <c r="N2224" s="2166"/>
      <c r="O2224" s="61"/>
      <c r="P2224" s="177"/>
      <c r="Q2224" s="196"/>
      <c r="R2224" s="408"/>
      <c r="S2224" s="77"/>
      <c r="T2224" s="2166"/>
      <c r="U2224" s="77"/>
      <c r="V2224" s="77"/>
      <c r="W2224" s="77"/>
      <c r="X2224" s="77"/>
      <c r="Y2224" s="2168"/>
      <c r="Z2224" s="77"/>
      <c r="AA2224" s="2170"/>
      <c r="AB2224" s="410"/>
    </row>
    <row r="2225" spans="1:28" s="352" customFormat="1" ht="18" customHeight="1" x14ac:dyDescent="0.2">
      <c r="A2225" s="2166"/>
      <c r="B2225" s="61"/>
      <c r="C2225" s="2166"/>
      <c r="D2225" s="2166"/>
      <c r="E2225" s="2166"/>
      <c r="F2225" s="2166"/>
      <c r="G2225" s="2166"/>
      <c r="H2225" s="407"/>
      <c r="I2225" s="77"/>
      <c r="J2225" s="2168"/>
      <c r="K2225" s="78"/>
      <c r="L2225" s="61"/>
      <c r="M2225" s="2166"/>
      <c r="N2225" s="2166"/>
      <c r="O2225" s="61"/>
      <c r="P2225" s="177"/>
      <c r="Q2225" s="196"/>
      <c r="R2225" s="408"/>
      <c r="S2225" s="77"/>
      <c r="T2225" s="2166"/>
      <c r="U2225" s="77"/>
      <c r="V2225" s="77"/>
      <c r="W2225" s="77"/>
      <c r="X2225" s="77"/>
      <c r="Y2225" s="2168"/>
      <c r="Z2225" s="77"/>
      <c r="AA2225" s="2170"/>
      <c r="AB2225" s="410"/>
    </row>
    <row r="2226" spans="1:28" s="352" customFormat="1" ht="18" customHeight="1" x14ac:dyDescent="0.2">
      <c r="A2226" s="88"/>
      <c r="B2226" s="75"/>
      <c r="C2226" s="88"/>
      <c r="D2226" s="88"/>
      <c r="E2226" s="2166"/>
      <c r="F2226" s="411"/>
      <c r="G2226" s="242"/>
      <c r="H2226" s="412"/>
      <c r="I2226" s="159"/>
      <c r="J2226" s="121"/>
      <c r="K2226" s="159"/>
      <c r="L2226" s="75"/>
      <c r="M2226" s="88"/>
      <c r="N2226" s="88"/>
      <c r="O2226" s="75"/>
      <c r="P2226" s="180"/>
      <c r="Q2226" s="174"/>
      <c r="R2226" s="413"/>
      <c r="S2226" s="74"/>
      <c r="T2226" s="88"/>
      <c r="U2226" s="74"/>
      <c r="V2226" s="74"/>
      <c r="W2226" s="74"/>
      <c r="X2226" s="74"/>
      <c r="Y2226" s="121"/>
      <c r="Z2226" s="74"/>
      <c r="AA2226" s="414"/>
      <c r="AB2226" s="415"/>
    </row>
    <row r="2227" spans="1:28" s="352" customFormat="1" ht="18" customHeight="1" x14ac:dyDescent="0.2">
      <c r="A2227" s="88"/>
      <c r="B2227" s="75"/>
      <c r="C2227" s="88"/>
      <c r="D2227" s="231"/>
      <c r="E2227" s="2166"/>
      <c r="F2227" s="411"/>
      <c r="G2227" s="242"/>
      <c r="H2227" s="412"/>
      <c r="I2227" s="159"/>
      <c r="J2227" s="121"/>
      <c r="K2227" s="159"/>
      <c r="L2227" s="75"/>
      <c r="M2227" s="88"/>
      <c r="N2227" s="88"/>
      <c r="O2227" s="75"/>
      <c r="P2227" s="180"/>
      <c r="Q2227" s="174"/>
      <c r="R2227" s="413"/>
      <c r="S2227" s="74"/>
      <c r="T2227" s="88"/>
      <c r="U2227" s="74"/>
      <c r="V2227" s="74"/>
      <c r="W2227" s="74"/>
      <c r="X2227" s="74"/>
      <c r="Y2227" s="121"/>
      <c r="Z2227" s="74"/>
      <c r="AA2227" s="606"/>
      <c r="AB2227" s="415"/>
    </row>
    <row r="2228" spans="1:28" s="352" customFormat="1" ht="18" customHeight="1" x14ac:dyDescent="0.2">
      <c r="A2228" s="88"/>
      <c r="B2228" s="75"/>
      <c r="C2228" s="88"/>
      <c r="D2228" s="231"/>
      <c r="E2228" s="2166"/>
      <c r="F2228" s="411"/>
      <c r="G2228" s="242"/>
      <c r="H2228" s="412"/>
      <c r="I2228" s="159"/>
      <c r="J2228" s="121"/>
      <c r="K2228" s="159"/>
      <c r="L2228" s="75"/>
      <c r="M2228" s="88"/>
      <c r="N2228" s="88"/>
      <c r="O2228" s="75"/>
      <c r="P2228" s="180"/>
      <c r="Q2228" s="174"/>
      <c r="R2228" s="413"/>
      <c r="S2228" s="74"/>
      <c r="T2228" s="88"/>
      <c r="U2228" s="74"/>
      <c r="V2228" s="74"/>
      <c r="W2228" s="74"/>
      <c r="X2228" s="74"/>
      <c r="Y2228" s="121"/>
      <c r="Z2228" s="74"/>
      <c r="AA2228" s="417"/>
      <c r="AB2228" s="410"/>
    </row>
    <row r="2229" spans="1:28" s="352" customFormat="1" ht="18" customHeight="1" x14ac:dyDescent="0.2">
      <c r="A2229" s="88"/>
      <c r="B2229" s="75"/>
      <c r="C2229" s="88"/>
      <c r="D2229" s="88"/>
      <c r="E2229" s="2166"/>
      <c r="F2229" s="411"/>
      <c r="G2229" s="242"/>
      <c r="H2229" s="412"/>
      <c r="I2229" s="159"/>
      <c r="J2229" s="121"/>
      <c r="K2229" s="159"/>
      <c r="L2229" s="75"/>
      <c r="M2229" s="88"/>
      <c r="N2229" s="88"/>
      <c r="O2229" s="75"/>
      <c r="P2229" s="180"/>
      <c r="Q2229" s="174"/>
      <c r="R2229" s="413"/>
      <c r="S2229" s="74"/>
      <c r="T2229" s="88"/>
      <c r="U2229" s="74"/>
      <c r="V2229" s="74"/>
      <c r="W2229" s="74"/>
      <c r="X2229" s="74"/>
      <c r="Y2229" s="121"/>
      <c r="Z2229" s="74"/>
      <c r="AA2229" s="414"/>
      <c r="AB2229" s="416"/>
    </row>
    <row r="2230" spans="1:28" s="352" customFormat="1" ht="18" customHeight="1" x14ac:dyDescent="0.2">
      <c r="A2230" s="88"/>
      <c r="B2230" s="75"/>
      <c r="C2230" s="88"/>
      <c r="D2230" s="2165"/>
      <c r="E2230" s="2166"/>
      <c r="F2230" s="411"/>
      <c r="G2230" s="242"/>
      <c r="H2230" s="412"/>
      <c r="I2230" s="159"/>
      <c r="J2230" s="121"/>
      <c r="K2230" s="159"/>
      <c r="L2230" s="75"/>
      <c r="M2230" s="88"/>
      <c r="N2230" s="88"/>
      <c r="O2230" s="75"/>
      <c r="P2230" s="180"/>
      <c r="Q2230" s="174"/>
      <c r="R2230" s="413"/>
      <c r="S2230" s="74"/>
      <c r="T2230" s="88"/>
      <c r="U2230" s="74"/>
      <c r="V2230" s="74"/>
      <c r="W2230" s="74"/>
      <c r="X2230" s="74"/>
      <c r="Y2230" s="121"/>
      <c r="Z2230" s="74"/>
      <c r="AA2230" s="414"/>
      <c r="AB2230" s="410"/>
    </row>
    <row r="2231" spans="1:28" s="352" customFormat="1" ht="18" customHeight="1" x14ac:dyDescent="0.2">
      <c r="A2231" s="88"/>
      <c r="B2231" s="75"/>
      <c r="C2231" s="88"/>
      <c r="D2231" s="2165"/>
      <c r="E2231" s="2166"/>
      <c r="F2231" s="411"/>
      <c r="G2231" s="242"/>
      <c r="H2231" s="412"/>
      <c r="I2231" s="159"/>
      <c r="J2231" s="121"/>
      <c r="K2231" s="159"/>
      <c r="L2231" s="75"/>
      <c r="M2231" s="88"/>
      <c r="N2231" s="88"/>
      <c r="O2231" s="75"/>
      <c r="P2231" s="180"/>
      <c r="Q2231" s="174"/>
      <c r="R2231" s="413"/>
      <c r="S2231" s="74"/>
      <c r="T2231" s="88"/>
      <c r="U2231" s="74"/>
      <c r="V2231" s="74"/>
      <c r="W2231" s="74"/>
      <c r="X2231" s="74"/>
      <c r="Y2231" s="121"/>
      <c r="Z2231" s="74"/>
      <c r="AA2231" s="414"/>
      <c r="AB2231" s="416"/>
    </row>
    <row r="2232" spans="1:28" s="352" customFormat="1" ht="18" customHeight="1" x14ac:dyDescent="0.2">
      <c r="A2232" s="88"/>
      <c r="B2232" s="418"/>
      <c r="C2232" s="88"/>
      <c r="D2232" s="88"/>
      <c r="E2232" s="88"/>
      <c r="F2232" s="411"/>
      <c r="G2232" s="242"/>
      <c r="H2232" s="412"/>
      <c r="I2232" s="159"/>
      <c r="J2232" s="121"/>
      <c r="K2232" s="159"/>
      <c r="L2232" s="75"/>
      <c r="M2232" s="88"/>
      <c r="N2232" s="88"/>
      <c r="O2232" s="75"/>
      <c r="P2232" s="180"/>
      <c r="Q2232" s="174"/>
      <c r="R2232" s="413"/>
      <c r="S2232" s="74"/>
      <c r="T2232" s="88"/>
      <c r="U2232" s="74"/>
      <c r="V2232" s="74"/>
      <c r="W2232" s="74"/>
      <c r="X2232" s="74"/>
      <c r="Y2232" s="121"/>
      <c r="Z2232" s="74"/>
      <c r="AA2232" s="414"/>
      <c r="AB2232" s="410"/>
    </row>
    <row r="2233" spans="1:28" s="352" customFormat="1" ht="18" customHeight="1" x14ac:dyDescent="0.2">
      <c r="A2233" s="1147"/>
      <c r="B2233" s="1989"/>
      <c r="C2233" s="1147"/>
      <c r="D2233" s="1147"/>
      <c r="E2233" s="1147"/>
      <c r="F2233" s="1147"/>
      <c r="G2233" s="1147"/>
      <c r="H2233" s="1990"/>
      <c r="I2233" s="1991"/>
      <c r="J2233" s="1868"/>
      <c r="K2233" s="1992"/>
      <c r="L2233" s="1989"/>
      <c r="M2233" s="1147"/>
      <c r="N2233" s="1147"/>
      <c r="O2233" s="1989"/>
      <c r="P2233" s="1867"/>
      <c r="Q2233" s="1993"/>
      <c r="R2233" s="1994"/>
      <c r="S2233" s="1991"/>
      <c r="T2233" s="1147"/>
      <c r="U2233" s="1991"/>
      <c r="V2233" s="1991"/>
      <c r="W2233" s="1991"/>
      <c r="X2233" s="1991"/>
      <c r="Y2233" s="1868"/>
      <c r="Z2233" s="1991"/>
      <c r="AA2233" s="1995"/>
      <c r="AB2233" s="1849">
        <f>SUM(AB2219:AB2232)</f>
        <v>1800</v>
      </c>
    </row>
    <row r="2234" spans="1:28" s="352" customFormat="1" ht="18" customHeight="1" x14ac:dyDescent="0.2">
      <c r="A2234" s="2788" t="s">
        <v>76</v>
      </c>
      <c r="B2234" s="2788"/>
      <c r="C2234" s="2779" t="s">
        <v>77</v>
      </c>
      <c r="D2234" s="2779"/>
      <c r="E2234" s="2779"/>
      <c r="F2234" s="2779"/>
      <c r="G2234" s="2779"/>
      <c r="H2234" s="2779"/>
      <c r="I2234" s="424" t="s">
        <v>78</v>
      </c>
      <c r="J2234" s="424"/>
      <c r="K2234" s="424"/>
      <c r="L2234" s="424"/>
      <c r="M2234" s="424"/>
      <c r="N2234" s="424"/>
      <c r="AB2234" s="425"/>
    </row>
    <row r="2235" spans="1:28" s="352" customFormat="1" ht="18" customHeight="1" x14ac:dyDescent="0.2">
      <c r="A2235" s="424"/>
      <c r="B2235" s="426"/>
      <c r="C2235" s="424"/>
      <c r="D2235" s="424"/>
      <c r="E2235" s="424"/>
      <c r="F2235" s="424"/>
      <c r="G2235" s="424"/>
      <c r="H2235" s="424"/>
      <c r="I2235" s="424" t="s">
        <v>79</v>
      </c>
      <c r="J2235" s="424"/>
      <c r="K2235" s="424"/>
      <c r="L2235" s="424"/>
      <c r="M2235" s="424"/>
      <c r="N2235" s="424"/>
      <c r="AB2235" s="425"/>
    </row>
    <row r="2236" spans="1:28" s="352" customFormat="1" ht="18" customHeight="1" x14ac:dyDescent="0.2">
      <c r="A2236" s="424"/>
      <c r="B2236" s="426"/>
      <c r="C2236" s="424"/>
      <c r="D2236" s="424"/>
      <c r="E2236" s="424"/>
      <c r="F2236" s="424"/>
      <c r="G2236" s="424"/>
      <c r="H2236" s="424"/>
      <c r="I2236" s="424" t="s">
        <v>80</v>
      </c>
      <c r="J2236" s="424"/>
      <c r="K2236" s="424"/>
      <c r="L2236" s="424"/>
      <c r="M2236" s="424"/>
      <c r="N2236" s="424"/>
      <c r="AB2236" s="425"/>
    </row>
    <row r="2237" spans="1:28" s="352" customFormat="1" ht="18" customHeight="1" x14ac:dyDescent="0.2">
      <c r="A2237" s="424"/>
      <c r="B2237" s="426"/>
      <c r="C2237" s="424"/>
      <c r="D2237" s="424"/>
      <c r="E2237" s="424"/>
      <c r="F2237" s="424"/>
      <c r="G2237" s="424"/>
      <c r="H2237" s="424"/>
      <c r="I2237" s="424" t="s">
        <v>81</v>
      </c>
      <c r="J2237" s="424"/>
      <c r="K2237" s="424"/>
      <c r="L2237" s="424"/>
      <c r="M2237" s="424"/>
      <c r="N2237" s="424"/>
      <c r="AB2237" s="425"/>
    </row>
    <row r="2238" spans="1:28" s="352" customFormat="1" ht="18" customHeight="1" x14ac:dyDescent="0.2">
      <c r="A2238" s="424"/>
      <c r="B2238" s="426"/>
      <c r="C2238" s="424"/>
      <c r="D2238" s="424"/>
      <c r="E2238" s="424"/>
      <c r="F2238" s="424"/>
      <c r="G2238" s="424"/>
      <c r="H2238" s="424"/>
      <c r="I2238" s="424" t="s">
        <v>88</v>
      </c>
      <c r="J2238" s="424"/>
      <c r="K2238" s="424"/>
      <c r="L2238" s="424"/>
      <c r="M2238" s="424"/>
      <c r="N2238" s="424"/>
      <c r="AB2238" s="425"/>
    </row>
    <row r="2239" spans="1:28" s="352" customFormat="1" ht="18" customHeight="1" x14ac:dyDescent="0.2">
      <c r="A2239" s="338"/>
      <c r="B2239" s="338"/>
      <c r="C2239" s="338"/>
      <c r="D2239" s="338"/>
      <c r="E2239" s="338"/>
      <c r="F2239" s="338"/>
      <c r="G2239" s="338"/>
      <c r="H2239" s="338"/>
      <c r="I2239" s="338"/>
      <c r="J2239" s="338"/>
      <c r="K2239" s="338"/>
      <c r="L2239" s="338"/>
      <c r="M2239" s="338"/>
      <c r="N2239" s="338"/>
      <c r="O2239" s="338"/>
      <c r="P2239" s="338"/>
      <c r="Q2239" s="338"/>
      <c r="R2239" s="338"/>
      <c r="S2239" s="338"/>
      <c r="T2239" s="338"/>
      <c r="U2239" s="338"/>
      <c r="V2239" s="338"/>
      <c r="W2239" s="338"/>
      <c r="X2239" s="338"/>
      <c r="Y2239" s="338"/>
      <c r="Z2239" s="338"/>
      <c r="AA2239" s="2774" t="s">
        <v>0</v>
      </c>
      <c r="AB2239" s="2774"/>
    </row>
    <row r="2240" spans="1:28" s="352" customFormat="1" ht="18" customHeight="1" x14ac:dyDescent="0.2">
      <c r="A2240" s="2703" t="s">
        <v>1</v>
      </c>
      <c r="B2240" s="2703"/>
      <c r="C2240" s="2703"/>
      <c r="D2240" s="2703"/>
      <c r="E2240" s="2703"/>
      <c r="F2240" s="2703"/>
      <c r="G2240" s="2703"/>
      <c r="H2240" s="2703"/>
      <c r="I2240" s="2703"/>
      <c r="J2240" s="2703"/>
      <c r="K2240" s="2703"/>
      <c r="L2240" s="2703"/>
      <c r="M2240" s="2703"/>
      <c r="N2240" s="2703"/>
      <c r="O2240" s="2703"/>
      <c r="P2240" s="2703"/>
      <c r="Q2240" s="2703"/>
      <c r="R2240" s="2703"/>
      <c r="S2240" s="2703"/>
      <c r="T2240" s="2703"/>
      <c r="U2240" s="2703"/>
      <c r="V2240" s="2703"/>
      <c r="W2240" s="2703"/>
      <c r="X2240" s="2703"/>
      <c r="Y2240" s="2703"/>
      <c r="Z2240" s="2703"/>
      <c r="AA2240" s="2703"/>
      <c r="AB2240" s="2703"/>
    </row>
    <row r="2241" spans="1:28" s="352" customFormat="1" ht="18" customHeight="1" x14ac:dyDescent="0.2">
      <c r="A2241" s="2780" t="s">
        <v>668</v>
      </c>
      <c r="B2241" s="2780"/>
      <c r="C2241" s="2780"/>
      <c r="D2241" s="2780"/>
      <c r="E2241" s="2780"/>
      <c r="F2241" s="2780"/>
      <c r="G2241" s="2780"/>
      <c r="H2241" s="2780"/>
      <c r="I2241" s="2780"/>
      <c r="J2241" s="2780"/>
      <c r="K2241" s="2780"/>
      <c r="L2241" s="2780"/>
      <c r="M2241" s="2780"/>
      <c r="N2241" s="2780"/>
      <c r="O2241" s="2780"/>
      <c r="P2241" s="2780"/>
      <c r="Q2241" s="2780"/>
      <c r="R2241" s="2780"/>
      <c r="S2241" s="2780"/>
      <c r="T2241" s="2780"/>
      <c r="U2241" s="2780"/>
      <c r="V2241" s="2780"/>
      <c r="W2241" s="2780"/>
      <c r="X2241" s="2780"/>
      <c r="Y2241" s="2780"/>
      <c r="Z2241" s="2780"/>
      <c r="AA2241" s="2780"/>
      <c r="AB2241" s="2780"/>
    </row>
    <row r="2242" spans="1:28" s="352" customFormat="1" ht="18" customHeight="1" x14ac:dyDescent="0.2">
      <c r="A2242" s="2686" t="s">
        <v>2</v>
      </c>
      <c r="B2242" s="360"/>
      <c r="C2242" s="2686" t="s">
        <v>3</v>
      </c>
      <c r="D2242" s="360"/>
      <c r="E2242" s="360"/>
      <c r="F2242" s="2693" t="s">
        <v>4</v>
      </c>
      <c r="G2242" s="2693"/>
      <c r="H2242" s="2693"/>
      <c r="I2242" s="2694"/>
      <c r="J2242" s="2694"/>
      <c r="K2242" s="2695"/>
      <c r="L2242" s="361"/>
      <c r="M2242" s="2679" t="s">
        <v>5</v>
      </c>
      <c r="N2242" s="2679"/>
      <c r="O2242" s="2679"/>
      <c r="P2242" s="2679"/>
      <c r="Q2242" s="2696"/>
      <c r="R2242" s="2696"/>
      <c r="S2242" s="2696"/>
      <c r="T2242" s="2696"/>
      <c r="U2242" s="2696"/>
      <c r="V2242" s="2697"/>
      <c r="W2242" s="362" t="s">
        <v>6</v>
      </c>
      <c r="X2242" s="363" t="s">
        <v>7</v>
      </c>
      <c r="Y2242" s="364"/>
      <c r="Z2242" s="364"/>
      <c r="AA2242" s="363"/>
      <c r="AB2242" s="365"/>
    </row>
    <row r="2243" spans="1:28" s="352" customFormat="1" ht="18" customHeight="1" x14ac:dyDescent="0.2">
      <c r="A2243" s="2687"/>
      <c r="B2243" s="367"/>
      <c r="C2243" s="2687"/>
      <c r="D2243" s="2158" t="s">
        <v>9</v>
      </c>
      <c r="E2243" s="368" t="s">
        <v>10</v>
      </c>
      <c r="F2243" s="2698" t="s">
        <v>11</v>
      </c>
      <c r="G2243" s="2694"/>
      <c r="H2243" s="2695"/>
      <c r="I2243" s="360"/>
      <c r="J2243" s="369" t="s">
        <v>12</v>
      </c>
      <c r="K2243" s="360"/>
      <c r="L2243" s="2679" t="s">
        <v>2</v>
      </c>
      <c r="M2243" s="2162"/>
      <c r="N2243" s="2162"/>
      <c r="O2243" s="2162"/>
      <c r="P2243" s="371"/>
      <c r="Q2243" s="372" t="s">
        <v>13</v>
      </c>
      <c r="R2243" s="373" t="s">
        <v>12</v>
      </c>
      <c r="S2243" s="2162" t="s">
        <v>6</v>
      </c>
      <c r="T2243" s="2682" t="s">
        <v>14</v>
      </c>
      <c r="U2243" s="2683"/>
      <c r="V2243" s="375" t="s">
        <v>7</v>
      </c>
      <c r="W2243" s="376" t="s">
        <v>15</v>
      </c>
      <c r="X2243" s="377" t="s">
        <v>16</v>
      </c>
      <c r="Y2243" s="377" t="s">
        <v>17</v>
      </c>
      <c r="Z2243" s="377" t="s">
        <v>18</v>
      </c>
      <c r="AA2243" s="377"/>
      <c r="AB2243" s="378" t="s">
        <v>19</v>
      </c>
    </row>
    <row r="2244" spans="1:28" s="352" customFormat="1" ht="18" customHeight="1" x14ac:dyDescent="0.2">
      <c r="A2244" s="2687"/>
      <c r="B2244" s="2158" t="s">
        <v>23</v>
      </c>
      <c r="C2244" s="2687"/>
      <c r="D2244" s="2158" t="s">
        <v>24</v>
      </c>
      <c r="E2244" s="368" t="s">
        <v>25</v>
      </c>
      <c r="F2244" s="2699"/>
      <c r="G2244" s="2700"/>
      <c r="H2244" s="2701"/>
      <c r="I2244" s="2158" t="s">
        <v>26</v>
      </c>
      <c r="J2244" s="379" t="s">
        <v>15</v>
      </c>
      <c r="K2244" s="2159" t="s">
        <v>6</v>
      </c>
      <c r="L2244" s="2680"/>
      <c r="M2244" s="2163" t="s">
        <v>27</v>
      </c>
      <c r="N2244" s="2163" t="s">
        <v>10</v>
      </c>
      <c r="O2244" s="382" t="s">
        <v>10</v>
      </c>
      <c r="P2244" s="383" t="s">
        <v>28</v>
      </c>
      <c r="Q2244" s="384" t="s">
        <v>29</v>
      </c>
      <c r="R2244" s="383" t="s">
        <v>15</v>
      </c>
      <c r="S2244" s="385" t="s">
        <v>15</v>
      </c>
      <c r="T2244" s="2684"/>
      <c r="U2244" s="2685"/>
      <c r="V2244" s="375" t="s">
        <v>30</v>
      </c>
      <c r="W2244" s="376" t="s">
        <v>31</v>
      </c>
      <c r="X2244" s="377" t="s">
        <v>30</v>
      </c>
      <c r="Y2244" s="377" t="s">
        <v>32</v>
      </c>
      <c r="Z2244" s="377" t="s">
        <v>7</v>
      </c>
      <c r="AA2244" s="377" t="s">
        <v>33</v>
      </c>
      <c r="AB2244" s="378" t="s">
        <v>34</v>
      </c>
    </row>
    <row r="2245" spans="1:28" s="352" customFormat="1" ht="18" customHeight="1" x14ac:dyDescent="0.2">
      <c r="A2245" s="2687"/>
      <c r="B2245" s="2158" t="s">
        <v>39</v>
      </c>
      <c r="C2245" s="2687"/>
      <c r="D2245" s="2158" t="s">
        <v>40</v>
      </c>
      <c r="E2245" s="368" t="s">
        <v>41</v>
      </c>
      <c r="F2245" s="2686" t="s">
        <v>42</v>
      </c>
      <c r="G2245" s="2686" t="s">
        <v>43</v>
      </c>
      <c r="H2245" s="2688" t="s">
        <v>44</v>
      </c>
      <c r="I2245" s="2158" t="s">
        <v>45</v>
      </c>
      <c r="J2245" s="379" t="s">
        <v>46</v>
      </c>
      <c r="K2245" s="2159" t="s">
        <v>47</v>
      </c>
      <c r="L2245" s="2680"/>
      <c r="M2245" s="2163" t="s">
        <v>30</v>
      </c>
      <c r="N2245" s="2163" t="s">
        <v>30</v>
      </c>
      <c r="O2245" s="382" t="s">
        <v>25</v>
      </c>
      <c r="P2245" s="383" t="s">
        <v>30</v>
      </c>
      <c r="Q2245" s="384" t="s">
        <v>48</v>
      </c>
      <c r="R2245" s="383" t="s">
        <v>49</v>
      </c>
      <c r="S2245" s="385" t="s">
        <v>30</v>
      </c>
      <c r="T2245" s="386" t="s">
        <v>50</v>
      </c>
      <c r="U2245" s="2161" t="s">
        <v>13</v>
      </c>
      <c r="V2245" s="375" t="s">
        <v>51</v>
      </c>
      <c r="W2245" s="376" t="s">
        <v>52</v>
      </c>
      <c r="X2245" s="377" t="s">
        <v>53</v>
      </c>
      <c r="Y2245" s="377" t="s">
        <v>54</v>
      </c>
      <c r="Z2245" s="377" t="s">
        <v>55</v>
      </c>
      <c r="AA2245" s="377" t="s">
        <v>56</v>
      </c>
      <c r="AB2245" s="378" t="s">
        <v>57</v>
      </c>
    </row>
    <row r="2246" spans="1:28" s="352" customFormat="1" ht="18" customHeight="1" x14ac:dyDescent="0.2">
      <c r="A2246" s="2687"/>
      <c r="B2246" s="2158" t="s">
        <v>61</v>
      </c>
      <c r="C2246" s="2687"/>
      <c r="D2246" s="2158" t="s">
        <v>62</v>
      </c>
      <c r="E2246" s="368" t="s">
        <v>63</v>
      </c>
      <c r="F2246" s="2687"/>
      <c r="G2246" s="2687"/>
      <c r="H2246" s="2689"/>
      <c r="I2246" s="2158" t="s">
        <v>64</v>
      </c>
      <c r="J2246" s="379" t="s">
        <v>59</v>
      </c>
      <c r="K2246" s="2159" t="s">
        <v>59</v>
      </c>
      <c r="L2246" s="2680"/>
      <c r="M2246" s="2163"/>
      <c r="N2246" s="2163"/>
      <c r="O2246" s="382" t="s">
        <v>41</v>
      </c>
      <c r="P2246" s="383" t="s">
        <v>65</v>
      </c>
      <c r="Q2246" s="384" t="s">
        <v>66</v>
      </c>
      <c r="R2246" s="383" t="s">
        <v>67</v>
      </c>
      <c r="S2246" s="385" t="s">
        <v>59</v>
      </c>
      <c r="T2246" s="387" t="s">
        <v>68</v>
      </c>
      <c r="U2246" s="375" t="s">
        <v>14</v>
      </c>
      <c r="V2246" s="375" t="s">
        <v>14</v>
      </c>
      <c r="W2246" s="376" t="s">
        <v>30</v>
      </c>
      <c r="X2246" s="388" t="s">
        <v>69</v>
      </c>
      <c r="Y2246" s="388" t="s">
        <v>70</v>
      </c>
      <c r="Z2246" s="377" t="s">
        <v>71</v>
      </c>
      <c r="AA2246" s="377" t="s">
        <v>72</v>
      </c>
      <c r="AB2246" s="378" t="s">
        <v>59</v>
      </c>
    </row>
    <row r="2247" spans="1:28" s="352" customFormat="1" ht="18" customHeight="1" x14ac:dyDescent="0.2">
      <c r="A2247" s="2692"/>
      <c r="B2247" s="390"/>
      <c r="C2247" s="2692"/>
      <c r="D2247" s="390"/>
      <c r="E2247" s="2160"/>
      <c r="F2247" s="390"/>
      <c r="G2247" s="390"/>
      <c r="H2247" s="391"/>
      <c r="I2247" s="2160"/>
      <c r="J2247" s="392"/>
      <c r="K2247" s="393"/>
      <c r="L2247" s="2681"/>
      <c r="M2247" s="2164"/>
      <c r="N2247" s="2164"/>
      <c r="O2247" s="2164" t="s">
        <v>63</v>
      </c>
      <c r="P2247" s="395"/>
      <c r="Q2247" s="396" t="s">
        <v>72</v>
      </c>
      <c r="R2247" s="397" t="s">
        <v>59</v>
      </c>
      <c r="S2247" s="398"/>
      <c r="T2247" s="397" t="s">
        <v>73</v>
      </c>
      <c r="U2247" s="398" t="s">
        <v>59</v>
      </c>
      <c r="V2247" s="399" t="s">
        <v>59</v>
      </c>
      <c r="W2247" s="400" t="s">
        <v>59</v>
      </c>
      <c r="X2247" s="401" t="s">
        <v>59</v>
      </c>
      <c r="Y2247" s="401" t="s">
        <v>59</v>
      </c>
      <c r="Z2247" s="401" t="s">
        <v>59</v>
      </c>
      <c r="AA2247" s="402"/>
      <c r="AB2247" s="403"/>
    </row>
    <row r="2248" spans="1:28" s="352" customFormat="1" ht="18" customHeight="1" x14ac:dyDescent="0.2">
      <c r="A2248" s="82">
        <v>1</v>
      </c>
      <c r="B2248" s="53">
        <v>23129</v>
      </c>
      <c r="C2248" s="82">
        <v>985</v>
      </c>
      <c r="D2248" s="82" t="s">
        <v>107</v>
      </c>
      <c r="E2248" s="82">
        <v>4</v>
      </c>
      <c r="F2248" s="82">
        <v>0</v>
      </c>
      <c r="G2248" s="82">
        <v>1</v>
      </c>
      <c r="H2248" s="463">
        <v>0</v>
      </c>
      <c r="I2248" s="70">
        <f>F2248*400+G2248*100+H2248</f>
        <v>100</v>
      </c>
      <c r="J2248" s="123">
        <v>3000</v>
      </c>
      <c r="K2248" s="123">
        <f>SUM(I2248*J2248)</f>
        <v>300000</v>
      </c>
      <c r="L2248" s="481"/>
      <c r="M2248" s="481"/>
      <c r="N2248" s="481"/>
      <c r="O2248" s="481"/>
      <c r="P2248" s="905"/>
      <c r="Q2248" s="905"/>
      <c r="R2248" s="906"/>
      <c r="S2248" s="906"/>
      <c r="T2248" s="905"/>
      <c r="U2248" s="906"/>
      <c r="V2248" s="907"/>
      <c r="W2248" s="70">
        <f>K2248</f>
        <v>300000</v>
      </c>
      <c r="X2248" s="123">
        <f>W2248</f>
        <v>300000</v>
      </c>
      <c r="Y2248" s="123"/>
      <c r="Z2248" s="70">
        <f>+X2248</f>
        <v>300000</v>
      </c>
      <c r="AA2248" s="464">
        <v>0.6</v>
      </c>
      <c r="AB2248" s="406">
        <f>+Z2248*AA2248/100</f>
        <v>1800</v>
      </c>
    </row>
    <row r="2249" spans="1:28" s="352" customFormat="1" ht="18" customHeight="1" x14ac:dyDescent="0.2">
      <c r="A2249" s="88"/>
      <c r="B2249" s="75"/>
      <c r="C2249" s="88"/>
      <c r="D2249" s="88"/>
      <c r="E2249" s="88"/>
      <c r="F2249" s="88"/>
      <c r="G2249" s="88"/>
      <c r="H2249" s="495"/>
      <c r="I2249" s="74"/>
      <c r="J2249" s="121"/>
      <c r="K2249" s="121"/>
      <c r="L2249" s="61"/>
      <c r="M2249" s="2166"/>
      <c r="N2249" s="2166"/>
      <c r="O2249" s="61"/>
      <c r="P2249" s="177"/>
      <c r="Q2249" s="196"/>
      <c r="R2249" s="408"/>
      <c r="S2249" s="77"/>
      <c r="T2249" s="2166"/>
      <c r="U2249" s="77"/>
      <c r="V2249" s="77"/>
      <c r="W2249" s="74"/>
      <c r="X2249" s="121"/>
      <c r="Y2249" s="121"/>
      <c r="Z2249" s="74"/>
      <c r="AA2249" s="414"/>
      <c r="AB2249" s="410"/>
    </row>
    <row r="2250" spans="1:28" s="352" customFormat="1" ht="18" customHeight="1" x14ac:dyDescent="0.2">
      <c r="A2250" s="88"/>
      <c r="B2250" s="75"/>
      <c r="C2250" s="88"/>
      <c r="D2250" s="88"/>
      <c r="E2250" s="88"/>
      <c r="F2250" s="88"/>
      <c r="G2250" s="88"/>
      <c r="H2250" s="495"/>
      <c r="I2250" s="77"/>
      <c r="J2250" s="2168"/>
      <c r="K2250" s="2168"/>
      <c r="L2250" s="61"/>
      <c r="M2250" s="2166"/>
      <c r="N2250" s="2166"/>
      <c r="O2250" s="61"/>
      <c r="P2250" s="177"/>
      <c r="Q2250" s="196"/>
      <c r="R2250" s="408"/>
      <c r="S2250" s="77"/>
      <c r="T2250" s="2166"/>
      <c r="U2250" s="77"/>
      <c r="V2250" s="77"/>
      <c r="W2250" s="77"/>
      <c r="X2250" s="2168"/>
      <c r="Y2250" s="2168"/>
      <c r="Z2250" s="77"/>
      <c r="AA2250" s="2170"/>
      <c r="AB2250" s="466"/>
    </row>
    <row r="2251" spans="1:28" s="352" customFormat="1" ht="18" customHeight="1" x14ac:dyDescent="0.2">
      <c r="A2251" s="88"/>
      <c r="B2251" s="75"/>
      <c r="C2251" s="88"/>
      <c r="D2251" s="88"/>
      <c r="E2251" s="88"/>
      <c r="F2251" s="88"/>
      <c r="G2251" s="88"/>
      <c r="H2251" s="495"/>
      <c r="I2251" s="77"/>
      <c r="J2251" s="2168"/>
      <c r="K2251" s="2168"/>
      <c r="L2251" s="61"/>
      <c r="M2251" s="2166"/>
      <c r="N2251" s="2166"/>
      <c r="O2251" s="61"/>
      <c r="P2251" s="177"/>
      <c r="Q2251" s="196"/>
      <c r="R2251" s="408"/>
      <c r="S2251" s="77"/>
      <c r="T2251" s="2166"/>
      <c r="U2251" s="77"/>
      <c r="V2251" s="77"/>
      <c r="W2251" s="77"/>
      <c r="X2251" s="2168"/>
      <c r="Y2251" s="2168"/>
      <c r="Z2251" s="77"/>
      <c r="AA2251" s="2170"/>
      <c r="AB2251" s="466"/>
    </row>
    <row r="2252" spans="1:28" s="352" customFormat="1" ht="18" customHeight="1" x14ac:dyDescent="0.2">
      <c r="A2252" s="2166"/>
      <c r="B2252" s="61"/>
      <c r="C2252" s="2166"/>
      <c r="D2252" s="2166"/>
      <c r="E2252" s="2166"/>
      <c r="F2252" s="2166"/>
      <c r="G2252" s="2166"/>
      <c r="H2252" s="407"/>
      <c r="I2252" s="77"/>
      <c r="J2252" s="2168"/>
      <c r="K2252" s="78"/>
      <c r="L2252" s="61"/>
      <c r="M2252" s="2166"/>
      <c r="N2252" s="2166"/>
      <c r="O2252" s="61"/>
      <c r="P2252" s="177"/>
      <c r="Q2252" s="196"/>
      <c r="R2252" s="408"/>
      <c r="S2252" s="77"/>
      <c r="T2252" s="2166"/>
      <c r="U2252" s="77"/>
      <c r="V2252" s="77"/>
      <c r="W2252" s="77"/>
      <c r="X2252" s="77"/>
      <c r="Y2252" s="2168"/>
      <c r="Z2252" s="77"/>
      <c r="AA2252" s="2170"/>
      <c r="AB2252" s="410"/>
    </row>
    <row r="2253" spans="1:28" s="352" customFormat="1" ht="18" customHeight="1" x14ac:dyDescent="0.2">
      <c r="A2253" s="2166"/>
      <c r="B2253" s="61"/>
      <c r="C2253" s="2166"/>
      <c r="D2253" s="2166"/>
      <c r="E2253" s="2166"/>
      <c r="F2253" s="2166"/>
      <c r="G2253" s="2166"/>
      <c r="H2253" s="407"/>
      <c r="I2253" s="77"/>
      <c r="J2253" s="2168"/>
      <c r="K2253" s="78"/>
      <c r="L2253" s="61"/>
      <c r="M2253" s="2166"/>
      <c r="N2253" s="2166"/>
      <c r="O2253" s="61"/>
      <c r="P2253" s="177"/>
      <c r="Q2253" s="196"/>
      <c r="R2253" s="408"/>
      <c r="S2253" s="77"/>
      <c r="T2253" s="2166"/>
      <c r="U2253" s="77"/>
      <c r="V2253" s="77"/>
      <c r="W2253" s="77"/>
      <c r="X2253" s="77"/>
      <c r="Y2253" s="2168"/>
      <c r="Z2253" s="77"/>
      <c r="AA2253" s="2170"/>
      <c r="AB2253" s="410"/>
    </row>
    <row r="2254" spans="1:28" s="352" customFormat="1" ht="18" customHeight="1" x14ac:dyDescent="0.2">
      <c r="A2254" s="2166"/>
      <c r="B2254" s="61"/>
      <c r="C2254" s="2166"/>
      <c r="D2254" s="2166"/>
      <c r="E2254" s="2166"/>
      <c r="F2254" s="2166"/>
      <c r="G2254" s="2166"/>
      <c r="H2254" s="407"/>
      <c r="I2254" s="77"/>
      <c r="J2254" s="2168"/>
      <c r="K2254" s="78"/>
      <c r="L2254" s="61"/>
      <c r="M2254" s="2166"/>
      <c r="N2254" s="2166"/>
      <c r="O2254" s="61"/>
      <c r="P2254" s="177"/>
      <c r="Q2254" s="196"/>
      <c r="R2254" s="408"/>
      <c r="S2254" s="77"/>
      <c r="T2254" s="2166"/>
      <c r="U2254" s="77"/>
      <c r="V2254" s="77"/>
      <c r="W2254" s="77"/>
      <c r="X2254" s="77"/>
      <c r="Y2254" s="2168"/>
      <c r="Z2254" s="77"/>
      <c r="AA2254" s="2170"/>
      <c r="AB2254" s="410"/>
    </row>
    <row r="2255" spans="1:28" s="352" customFormat="1" ht="18" customHeight="1" x14ac:dyDescent="0.2">
      <c r="A2255" s="88"/>
      <c r="B2255" s="75"/>
      <c r="C2255" s="88"/>
      <c r="D2255" s="88"/>
      <c r="E2255" s="2166"/>
      <c r="F2255" s="411"/>
      <c r="G2255" s="242"/>
      <c r="H2255" s="412"/>
      <c r="I2255" s="159"/>
      <c r="J2255" s="121"/>
      <c r="K2255" s="159"/>
      <c r="L2255" s="75"/>
      <c r="M2255" s="88"/>
      <c r="N2255" s="88"/>
      <c r="O2255" s="75"/>
      <c r="P2255" s="180"/>
      <c r="Q2255" s="174"/>
      <c r="R2255" s="413"/>
      <c r="S2255" s="74"/>
      <c r="T2255" s="88"/>
      <c r="U2255" s="74"/>
      <c r="V2255" s="74"/>
      <c r="W2255" s="74"/>
      <c r="X2255" s="74"/>
      <c r="Y2255" s="121"/>
      <c r="Z2255" s="74"/>
      <c r="AA2255" s="414"/>
      <c r="AB2255" s="415"/>
    </row>
    <row r="2256" spans="1:28" s="352" customFormat="1" ht="18" customHeight="1" x14ac:dyDescent="0.2">
      <c r="A2256" s="88"/>
      <c r="B2256" s="75"/>
      <c r="C2256" s="88"/>
      <c r="D2256" s="88"/>
      <c r="E2256" s="2166"/>
      <c r="F2256" s="411"/>
      <c r="G2256" s="242"/>
      <c r="H2256" s="412"/>
      <c r="I2256" s="159"/>
      <c r="J2256" s="121"/>
      <c r="K2256" s="159"/>
      <c r="L2256" s="75"/>
      <c r="M2256" s="88"/>
      <c r="N2256" s="88"/>
      <c r="O2256" s="75"/>
      <c r="P2256" s="180"/>
      <c r="Q2256" s="174"/>
      <c r="R2256" s="413"/>
      <c r="S2256" s="74"/>
      <c r="T2256" s="88"/>
      <c r="U2256" s="74"/>
      <c r="V2256" s="74"/>
      <c r="W2256" s="74"/>
      <c r="X2256" s="74"/>
      <c r="Y2256" s="121"/>
      <c r="Z2256" s="74"/>
      <c r="AA2256" s="606"/>
      <c r="AB2256" s="415"/>
    </row>
    <row r="2257" spans="1:28" s="352" customFormat="1" ht="18" customHeight="1" x14ac:dyDescent="0.2">
      <c r="A2257" s="88"/>
      <c r="B2257" s="75"/>
      <c r="C2257" s="88"/>
      <c r="D2257" s="88"/>
      <c r="E2257" s="2166"/>
      <c r="F2257" s="411"/>
      <c r="G2257" s="242"/>
      <c r="H2257" s="412"/>
      <c r="I2257" s="159"/>
      <c r="J2257" s="121"/>
      <c r="K2257" s="159"/>
      <c r="L2257" s="75"/>
      <c r="M2257" s="88"/>
      <c r="N2257" s="88"/>
      <c r="O2257" s="75"/>
      <c r="P2257" s="180"/>
      <c r="Q2257" s="174"/>
      <c r="R2257" s="413"/>
      <c r="S2257" s="74"/>
      <c r="T2257" s="88"/>
      <c r="U2257" s="74"/>
      <c r="V2257" s="74"/>
      <c r="W2257" s="74"/>
      <c r="X2257" s="74"/>
      <c r="Y2257" s="121"/>
      <c r="Z2257" s="74"/>
      <c r="AA2257" s="417"/>
      <c r="AB2257" s="410"/>
    </row>
    <row r="2258" spans="1:28" s="352" customFormat="1" ht="18" customHeight="1" x14ac:dyDescent="0.2">
      <c r="A2258" s="88"/>
      <c r="B2258" s="75"/>
      <c r="C2258" s="88"/>
      <c r="D2258" s="88"/>
      <c r="E2258" s="2166"/>
      <c r="F2258" s="411"/>
      <c r="G2258" s="242"/>
      <c r="H2258" s="412"/>
      <c r="I2258" s="159"/>
      <c r="J2258" s="121"/>
      <c r="K2258" s="159"/>
      <c r="L2258" s="75"/>
      <c r="M2258" s="88"/>
      <c r="N2258" s="88"/>
      <c r="O2258" s="75"/>
      <c r="P2258" s="180"/>
      <c r="Q2258" s="174"/>
      <c r="R2258" s="413"/>
      <c r="S2258" s="74"/>
      <c r="T2258" s="88"/>
      <c r="U2258" s="74"/>
      <c r="V2258" s="74"/>
      <c r="W2258" s="74"/>
      <c r="X2258" s="74"/>
      <c r="Y2258" s="121"/>
      <c r="Z2258" s="74"/>
      <c r="AA2258" s="606"/>
      <c r="AB2258" s="410"/>
    </row>
    <row r="2259" spans="1:28" s="352" customFormat="1" ht="18" customHeight="1" x14ac:dyDescent="0.2">
      <c r="A2259" s="88"/>
      <c r="B2259" s="75"/>
      <c r="C2259" s="88"/>
      <c r="D2259" s="2165"/>
      <c r="E2259" s="2166"/>
      <c r="F2259" s="411"/>
      <c r="G2259" s="242"/>
      <c r="H2259" s="412"/>
      <c r="I2259" s="159"/>
      <c r="J2259" s="121"/>
      <c r="K2259" s="159"/>
      <c r="L2259" s="75"/>
      <c r="M2259" s="88"/>
      <c r="N2259" s="88"/>
      <c r="O2259" s="75"/>
      <c r="P2259" s="180"/>
      <c r="Q2259" s="174"/>
      <c r="R2259" s="413"/>
      <c r="S2259" s="74"/>
      <c r="T2259" s="88"/>
      <c r="U2259" s="74"/>
      <c r="V2259" s="74"/>
      <c r="W2259" s="74"/>
      <c r="X2259" s="74"/>
      <c r="Y2259" s="121"/>
      <c r="Z2259" s="74"/>
      <c r="AA2259" s="417"/>
      <c r="AB2259" s="410"/>
    </row>
    <row r="2260" spans="1:28" s="352" customFormat="1" ht="18" customHeight="1" x14ac:dyDescent="0.2">
      <c r="A2260" s="88"/>
      <c r="B2260" s="75"/>
      <c r="C2260" s="88"/>
      <c r="D2260" s="2165"/>
      <c r="E2260" s="2166"/>
      <c r="F2260" s="411"/>
      <c r="G2260" s="242"/>
      <c r="H2260" s="412"/>
      <c r="I2260" s="159"/>
      <c r="J2260" s="121"/>
      <c r="K2260" s="159"/>
      <c r="L2260" s="75"/>
      <c r="M2260" s="88"/>
      <c r="N2260" s="88"/>
      <c r="O2260" s="75"/>
      <c r="P2260" s="180"/>
      <c r="Q2260" s="174"/>
      <c r="R2260" s="413"/>
      <c r="S2260" s="74"/>
      <c r="T2260" s="88"/>
      <c r="U2260" s="74"/>
      <c r="V2260" s="74"/>
      <c r="W2260" s="74"/>
      <c r="X2260" s="74"/>
      <c r="Y2260" s="121"/>
      <c r="Z2260" s="74"/>
      <c r="AA2260" s="414"/>
      <c r="AB2260" s="416"/>
    </row>
    <row r="2261" spans="1:28" s="352" customFormat="1" ht="18" customHeight="1" x14ac:dyDescent="0.2">
      <c r="A2261" s="88"/>
      <c r="B2261" s="418"/>
      <c r="C2261" s="88"/>
      <c r="D2261" s="88"/>
      <c r="E2261" s="88"/>
      <c r="F2261" s="411"/>
      <c r="G2261" s="242"/>
      <c r="H2261" s="412"/>
      <c r="I2261" s="159"/>
      <c r="J2261" s="121"/>
      <c r="K2261" s="159"/>
      <c r="L2261" s="75"/>
      <c r="M2261" s="88"/>
      <c r="N2261" s="88"/>
      <c r="O2261" s="75"/>
      <c r="P2261" s="180"/>
      <c r="Q2261" s="174"/>
      <c r="R2261" s="413"/>
      <c r="S2261" s="74"/>
      <c r="T2261" s="88"/>
      <c r="U2261" s="74"/>
      <c r="V2261" s="74"/>
      <c r="W2261" s="74"/>
      <c r="X2261" s="74"/>
      <c r="Y2261" s="121"/>
      <c r="Z2261" s="74"/>
      <c r="AA2261" s="414"/>
      <c r="AB2261" s="410"/>
    </row>
    <row r="2262" spans="1:28" s="352" customFormat="1" ht="18" customHeight="1" x14ac:dyDescent="0.2">
      <c r="A2262" s="1147"/>
      <c r="B2262" s="1989"/>
      <c r="C2262" s="1147"/>
      <c r="D2262" s="1147"/>
      <c r="E2262" s="1147"/>
      <c r="F2262" s="1147"/>
      <c r="G2262" s="1147"/>
      <c r="H2262" s="1990"/>
      <c r="I2262" s="1991"/>
      <c r="J2262" s="1868"/>
      <c r="K2262" s="1992"/>
      <c r="L2262" s="1989"/>
      <c r="M2262" s="1147"/>
      <c r="N2262" s="1147"/>
      <c r="O2262" s="1989"/>
      <c r="P2262" s="1867"/>
      <c r="Q2262" s="1993"/>
      <c r="R2262" s="1994"/>
      <c r="S2262" s="1991"/>
      <c r="T2262" s="1147"/>
      <c r="U2262" s="1991"/>
      <c r="V2262" s="1991"/>
      <c r="W2262" s="1991"/>
      <c r="X2262" s="1991"/>
      <c r="Y2262" s="1868"/>
      <c r="Z2262" s="1991"/>
      <c r="AA2262" s="1995"/>
      <c r="AB2262" s="1849">
        <f>SUM(AB2248:AB2261)</f>
        <v>1800</v>
      </c>
    </row>
    <row r="2263" spans="1:28" s="352" customFormat="1" ht="18" customHeight="1" x14ac:dyDescent="0.2">
      <c r="A2263" s="2788" t="s">
        <v>76</v>
      </c>
      <c r="B2263" s="2788"/>
      <c r="C2263" s="2779" t="s">
        <v>77</v>
      </c>
      <c r="D2263" s="2779"/>
      <c r="E2263" s="2779"/>
      <c r="F2263" s="2779"/>
      <c r="G2263" s="2779"/>
      <c r="H2263" s="2779"/>
      <c r="I2263" s="424" t="s">
        <v>78</v>
      </c>
      <c r="J2263" s="424"/>
      <c r="K2263" s="424"/>
      <c r="L2263" s="424"/>
      <c r="M2263" s="424"/>
      <c r="N2263" s="424"/>
      <c r="AB2263" s="425"/>
    </row>
    <row r="2264" spans="1:28" s="352" customFormat="1" ht="18" customHeight="1" x14ac:dyDescent="0.2">
      <c r="A2264" s="424"/>
      <c r="B2264" s="426"/>
      <c r="C2264" s="424"/>
      <c r="D2264" s="424"/>
      <c r="E2264" s="424"/>
      <c r="F2264" s="424"/>
      <c r="G2264" s="424"/>
      <c r="H2264" s="424"/>
      <c r="I2264" s="424" t="s">
        <v>79</v>
      </c>
      <c r="J2264" s="424"/>
      <c r="K2264" s="424"/>
      <c r="L2264" s="424"/>
      <c r="M2264" s="424"/>
      <c r="N2264" s="424"/>
      <c r="AB2264" s="425"/>
    </row>
    <row r="2265" spans="1:28" s="352" customFormat="1" ht="18" customHeight="1" x14ac:dyDescent="0.2">
      <c r="A2265" s="424"/>
      <c r="B2265" s="426"/>
      <c r="C2265" s="424"/>
      <c r="D2265" s="424"/>
      <c r="E2265" s="424"/>
      <c r="F2265" s="424"/>
      <c r="G2265" s="424"/>
      <c r="H2265" s="424"/>
      <c r="I2265" s="424" t="s">
        <v>80</v>
      </c>
      <c r="J2265" s="424"/>
      <c r="K2265" s="424"/>
      <c r="L2265" s="424"/>
      <c r="M2265" s="424"/>
      <c r="N2265" s="424"/>
      <c r="AB2265" s="425"/>
    </row>
    <row r="2266" spans="1:28" s="352" customFormat="1" ht="18" customHeight="1" x14ac:dyDescent="0.2">
      <c r="A2266" s="424"/>
      <c r="B2266" s="426"/>
      <c r="C2266" s="424"/>
      <c r="D2266" s="424"/>
      <c r="E2266" s="424"/>
      <c r="F2266" s="424"/>
      <c r="G2266" s="424"/>
      <c r="H2266" s="424"/>
      <c r="I2266" s="424" t="s">
        <v>81</v>
      </c>
      <c r="J2266" s="424"/>
      <c r="K2266" s="424"/>
      <c r="L2266" s="424"/>
      <c r="M2266" s="424"/>
      <c r="N2266" s="424"/>
      <c r="AB2266" s="425"/>
    </row>
    <row r="2267" spans="1:28" s="352" customFormat="1" ht="18" customHeight="1" x14ac:dyDescent="0.2">
      <c r="A2267" s="424"/>
      <c r="B2267" s="426"/>
      <c r="C2267" s="424"/>
      <c r="D2267" s="424"/>
      <c r="E2267" s="424"/>
      <c r="F2267" s="424"/>
      <c r="G2267" s="424"/>
      <c r="H2267" s="424"/>
      <c r="I2267" s="424" t="s">
        <v>88</v>
      </c>
      <c r="J2267" s="424"/>
      <c r="K2267" s="424"/>
      <c r="L2267" s="424"/>
      <c r="M2267" s="424"/>
      <c r="N2267" s="424"/>
      <c r="AB2267" s="425"/>
    </row>
    <row r="2268" spans="1:28" s="352" customFormat="1" ht="18" customHeight="1" x14ac:dyDescent="0.2">
      <c r="A2268" s="338"/>
      <c r="B2268" s="338"/>
      <c r="C2268" s="338"/>
      <c r="D2268" s="338"/>
      <c r="E2268" s="338"/>
      <c r="F2268" s="338"/>
      <c r="G2268" s="338"/>
      <c r="H2268" s="338"/>
      <c r="I2268" s="338"/>
      <c r="J2268" s="338"/>
      <c r="K2268" s="338"/>
      <c r="L2268" s="338"/>
      <c r="M2268" s="338"/>
      <c r="N2268" s="338"/>
      <c r="O2268" s="338"/>
      <c r="P2268" s="338"/>
      <c r="Q2268" s="338"/>
      <c r="R2268" s="338"/>
      <c r="S2268" s="338"/>
      <c r="T2268" s="338"/>
      <c r="U2268" s="338"/>
      <c r="V2268" s="338"/>
      <c r="W2268" s="338"/>
      <c r="X2268" s="338"/>
      <c r="Y2268" s="338"/>
      <c r="Z2268" s="338"/>
      <c r="AA2268" s="2774" t="s">
        <v>0</v>
      </c>
      <c r="AB2268" s="2774"/>
    </row>
    <row r="2269" spans="1:28" s="352" customFormat="1" ht="18" customHeight="1" x14ac:dyDescent="0.2">
      <c r="A2269" s="2703" t="s">
        <v>1</v>
      </c>
      <c r="B2269" s="2703"/>
      <c r="C2269" s="2703"/>
      <c r="D2269" s="2703"/>
      <c r="E2269" s="2703"/>
      <c r="F2269" s="2703"/>
      <c r="G2269" s="2703"/>
      <c r="H2269" s="2703"/>
      <c r="I2269" s="2703"/>
      <c r="J2269" s="2703"/>
      <c r="K2269" s="2703"/>
      <c r="L2269" s="2703"/>
      <c r="M2269" s="2703"/>
      <c r="N2269" s="2703"/>
      <c r="O2269" s="2703"/>
      <c r="P2269" s="2703"/>
      <c r="Q2269" s="2703"/>
      <c r="R2269" s="2703"/>
      <c r="S2269" s="2703"/>
      <c r="T2269" s="2703"/>
      <c r="U2269" s="2703"/>
      <c r="V2269" s="2703"/>
      <c r="W2269" s="2703"/>
      <c r="X2269" s="2703"/>
      <c r="Y2269" s="2703"/>
      <c r="Z2269" s="2703"/>
      <c r="AA2269" s="2703"/>
      <c r="AB2269" s="2703"/>
    </row>
    <row r="2270" spans="1:28" s="352" customFormat="1" ht="18" customHeight="1" x14ac:dyDescent="0.2">
      <c r="A2270" s="2780" t="s">
        <v>669</v>
      </c>
      <c r="B2270" s="2780"/>
      <c r="C2270" s="2780"/>
      <c r="D2270" s="2780"/>
      <c r="E2270" s="2780"/>
      <c r="F2270" s="2780"/>
      <c r="G2270" s="2780"/>
      <c r="H2270" s="2780"/>
      <c r="I2270" s="2780"/>
      <c r="J2270" s="2780"/>
      <c r="K2270" s="2780"/>
      <c r="L2270" s="2780"/>
      <c r="M2270" s="2780"/>
      <c r="N2270" s="2780"/>
      <c r="O2270" s="2780"/>
      <c r="P2270" s="2780"/>
      <c r="Q2270" s="2780"/>
      <c r="R2270" s="2780"/>
      <c r="S2270" s="2780"/>
      <c r="T2270" s="2780"/>
      <c r="U2270" s="2780"/>
      <c r="V2270" s="2780"/>
      <c r="W2270" s="2780"/>
      <c r="X2270" s="2780"/>
      <c r="Y2270" s="2780"/>
      <c r="Z2270" s="2780"/>
      <c r="AA2270" s="2780"/>
      <c r="AB2270" s="2780"/>
    </row>
    <row r="2271" spans="1:28" s="352" customFormat="1" ht="18" customHeight="1" x14ac:dyDescent="0.2">
      <c r="A2271" s="2686" t="s">
        <v>2</v>
      </c>
      <c r="B2271" s="360"/>
      <c r="C2271" s="2686" t="s">
        <v>3</v>
      </c>
      <c r="D2271" s="360"/>
      <c r="E2271" s="360"/>
      <c r="F2271" s="2693" t="s">
        <v>4</v>
      </c>
      <c r="G2271" s="2693"/>
      <c r="H2271" s="2693"/>
      <c r="I2271" s="2694"/>
      <c r="J2271" s="2694"/>
      <c r="K2271" s="2695"/>
      <c r="L2271" s="361"/>
      <c r="M2271" s="2679" t="s">
        <v>5</v>
      </c>
      <c r="N2271" s="2679"/>
      <c r="O2271" s="2679"/>
      <c r="P2271" s="2679"/>
      <c r="Q2271" s="2696"/>
      <c r="R2271" s="2696"/>
      <c r="S2271" s="2696"/>
      <c r="T2271" s="2696"/>
      <c r="U2271" s="2696"/>
      <c r="V2271" s="2697"/>
      <c r="W2271" s="362" t="s">
        <v>6</v>
      </c>
      <c r="X2271" s="363" t="s">
        <v>7</v>
      </c>
      <c r="Y2271" s="364"/>
      <c r="Z2271" s="364"/>
      <c r="AA2271" s="363"/>
      <c r="AB2271" s="365"/>
    </row>
    <row r="2272" spans="1:28" s="352" customFormat="1" ht="18" customHeight="1" x14ac:dyDescent="0.2">
      <c r="A2272" s="2687"/>
      <c r="B2272" s="367"/>
      <c r="C2272" s="2687"/>
      <c r="D2272" s="2158" t="s">
        <v>9</v>
      </c>
      <c r="E2272" s="368" t="s">
        <v>10</v>
      </c>
      <c r="F2272" s="2698" t="s">
        <v>11</v>
      </c>
      <c r="G2272" s="2694"/>
      <c r="H2272" s="2695"/>
      <c r="I2272" s="360"/>
      <c r="J2272" s="369" t="s">
        <v>12</v>
      </c>
      <c r="K2272" s="360"/>
      <c r="L2272" s="2679" t="s">
        <v>2</v>
      </c>
      <c r="M2272" s="2162"/>
      <c r="N2272" s="2162"/>
      <c r="O2272" s="2162"/>
      <c r="P2272" s="371"/>
      <c r="Q2272" s="372" t="s">
        <v>13</v>
      </c>
      <c r="R2272" s="373" t="s">
        <v>12</v>
      </c>
      <c r="S2272" s="2162" t="s">
        <v>6</v>
      </c>
      <c r="T2272" s="2682" t="s">
        <v>14</v>
      </c>
      <c r="U2272" s="2683"/>
      <c r="V2272" s="375" t="s">
        <v>7</v>
      </c>
      <c r="W2272" s="376" t="s">
        <v>15</v>
      </c>
      <c r="X2272" s="377" t="s">
        <v>16</v>
      </c>
      <c r="Y2272" s="377" t="s">
        <v>17</v>
      </c>
      <c r="Z2272" s="377" t="s">
        <v>18</v>
      </c>
      <c r="AA2272" s="377"/>
      <c r="AB2272" s="378" t="s">
        <v>19</v>
      </c>
    </row>
    <row r="2273" spans="1:28" s="352" customFormat="1" ht="18" customHeight="1" x14ac:dyDescent="0.2">
      <c r="A2273" s="2687"/>
      <c r="B2273" s="2158" t="s">
        <v>23</v>
      </c>
      <c r="C2273" s="2687"/>
      <c r="D2273" s="2158" t="s">
        <v>24</v>
      </c>
      <c r="E2273" s="368" t="s">
        <v>25</v>
      </c>
      <c r="F2273" s="2699"/>
      <c r="G2273" s="2700"/>
      <c r="H2273" s="2701"/>
      <c r="I2273" s="2158" t="s">
        <v>26</v>
      </c>
      <c r="J2273" s="379" t="s">
        <v>15</v>
      </c>
      <c r="K2273" s="2159" t="s">
        <v>6</v>
      </c>
      <c r="L2273" s="2680"/>
      <c r="M2273" s="2163" t="s">
        <v>27</v>
      </c>
      <c r="N2273" s="2163" t="s">
        <v>10</v>
      </c>
      <c r="O2273" s="382" t="s">
        <v>10</v>
      </c>
      <c r="P2273" s="383" t="s">
        <v>28</v>
      </c>
      <c r="Q2273" s="384" t="s">
        <v>29</v>
      </c>
      <c r="R2273" s="383" t="s">
        <v>15</v>
      </c>
      <c r="S2273" s="385" t="s">
        <v>15</v>
      </c>
      <c r="T2273" s="2684"/>
      <c r="U2273" s="2685"/>
      <c r="V2273" s="375" t="s">
        <v>30</v>
      </c>
      <c r="W2273" s="376" t="s">
        <v>31</v>
      </c>
      <c r="X2273" s="377" t="s">
        <v>30</v>
      </c>
      <c r="Y2273" s="377" t="s">
        <v>32</v>
      </c>
      <c r="Z2273" s="377" t="s">
        <v>7</v>
      </c>
      <c r="AA2273" s="377" t="s">
        <v>33</v>
      </c>
      <c r="AB2273" s="378" t="s">
        <v>34</v>
      </c>
    </row>
    <row r="2274" spans="1:28" s="352" customFormat="1" ht="18" customHeight="1" x14ac:dyDescent="0.2">
      <c r="A2274" s="2687"/>
      <c r="B2274" s="2158" t="s">
        <v>39</v>
      </c>
      <c r="C2274" s="2687"/>
      <c r="D2274" s="2158" t="s">
        <v>40</v>
      </c>
      <c r="E2274" s="368" t="s">
        <v>41</v>
      </c>
      <c r="F2274" s="2686" t="s">
        <v>42</v>
      </c>
      <c r="G2274" s="2686" t="s">
        <v>43</v>
      </c>
      <c r="H2274" s="2688" t="s">
        <v>44</v>
      </c>
      <c r="I2274" s="2158" t="s">
        <v>45</v>
      </c>
      <c r="J2274" s="379" t="s">
        <v>46</v>
      </c>
      <c r="K2274" s="2159" t="s">
        <v>47</v>
      </c>
      <c r="L2274" s="2680"/>
      <c r="M2274" s="2163" t="s">
        <v>30</v>
      </c>
      <c r="N2274" s="2163" t="s">
        <v>30</v>
      </c>
      <c r="O2274" s="382" t="s">
        <v>25</v>
      </c>
      <c r="P2274" s="383" t="s">
        <v>30</v>
      </c>
      <c r="Q2274" s="384" t="s">
        <v>48</v>
      </c>
      <c r="R2274" s="383" t="s">
        <v>49</v>
      </c>
      <c r="S2274" s="385" t="s">
        <v>30</v>
      </c>
      <c r="T2274" s="386" t="s">
        <v>50</v>
      </c>
      <c r="U2274" s="2161" t="s">
        <v>13</v>
      </c>
      <c r="V2274" s="375" t="s">
        <v>51</v>
      </c>
      <c r="W2274" s="376" t="s">
        <v>52</v>
      </c>
      <c r="X2274" s="377" t="s">
        <v>53</v>
      </c>
      <c r="Y2274" s="377" t="s">
        <v>54</v>
      </c>
      <c r="Z2274" s="377" t="s">
        <v>55</v>
      </c>
      <c r="AA2274" s="377" t="s">
        <v>56</v>
      </c>
      <c r="AB2274" s="378" t="s">
        <v>57</v>
      </c>
    </row>
    <row r="2275" spans="1:28" s="352" customFormat="1" ht="18" customHeight="1" x14ac:dyDescent="0.2">
      <c r="A2275" s="2687"/>
      <c r="B2275" s="2158" t="s">
        <v>61</v>
      </c>
      <c r="C2275" s="2687"/>
      <c r="D2275" s="2158" t="s">
        <v>62</v>
      </c>
      <c r="E2275" s="368" t="s">
        <v>63</v>
      </c>
      <c r="F2275" s="2687"/>
      <c r="G2275" s="2687"/>
      <c r="H2275" s="2689"/>
      <c r="I2275" s="2158" t="s">
        <v>64</v>
      </c>
      <c r="J2275" s="379" t="s">
        <v>59</v>
      </c>
      <c r="K2275" s="2159" t="s">
        <v>59</v>
      </c>
      <c r="L2275" s="2680"/>
      <c r="M2275" s="2163"/>
      <c r="N2275" s="2163"/>
      <c r="O2275" s="382" t="s">
        <v>41</v>
      </c>
      <c r="P2275" s="383" t="s">
        <v>65</v>
      </c>
      <c r="Q2275" s="384" t="s">
        <v>66</v>
      </c>
      <c r="R2275" s="383" t="s">
        <v>67</v>
      </c>
      <c r="S2275" s="385" t="s">
        <v>59</v>
      </c>
      <c r="T2275" s="387" t="s">
        <v>68</v>
      </c>
      <c r="U2275" s="375" t="s">
        <v>14</v>
      </c>
      <c r="V2275" s="375" t="s">
        <v>14</v>
      </c>
      <c r="W2275" s="376" t="s">
        <v>30</v>
      </c>
      <c r="X2275" s="388" t="s">
        <v>69</v>
      </c>
      <c r="Y2275" s="388" t="s">
        <v>70</v>
      </c>
      <c r="Z2275" s="377" t="s">
        <v>71</v>
      </c>
      <c r="AA2275" s="377" t="s">
        <v>72</v>
      </c>
      <c r="AB2275" s="378" t="s">
        <v>59</v>
      </c>
    </row>
    <row r="2276" spans="1:28" s="352" customFormat="1" ht="18" customHeight="1" x14ac:dyDescent="0.2">
      <c r="A2276" s="2692"/>
      <c r="B2276" s="390"/>
      <c r="C2276" s="2692"/>
      <c r="D2276" s="390"/>
      <c r="E2276" s="2160"/>
      <c r="F2276" s="390"/>
      <c r="G2276" s="390"/>
      <c r="H2276" s="391"/>
      <c r="I2276" s="2160"/>
      <c r="J2276" s="392"/>
      <c r="K2276" s="393"/>
      <c r="L2276" s="2681"/>
      <c r="M2276" s="2164"/>
      <c r="N2276" s="2164"/>
      <c r="O2276" s="2164" t="s">
        <v>63</v>
      </c>
      <c r="P2276" s="395"/>
      <c r="Q2276" s="396" t="s">
        <v>72</v>
      </c>
      <c r="R2276" s="397" t="s">
        <v>59</v>
      </c>
      <c r="S2276" s="398"/>
      <c r="T2276" s="397" t="s">
        <v>73</v>
      </c>
      <c r="U2276" s="398" t="s">
        <v>59</v>
      </c>
      <c r="V2276" s="399" t="s">
        <v>59</v>
      </c>
      <c r="W2276" s="400" t="s">
        <v>59</v>
      </c>
      <c r="X2276" s="401" t="s">
        <v>59</v>
      </c>
      <c r="Y2276" s="401" t="s">
        <v>59</v>
      </c>
      <c r="Z2276" s="401" t="s">
        <v>59</v>
      </c>
      <c r="AA2276" s="402"/>
      <c r="AB2276" s="403"/>
    </row>
    <row r="2277" spans="1:28" s="352" customFormat="1" ht="18" customHeight="1" x14ac:dyDescent="0.25">
      <c r="A2277" s="82">
        <v>1</v>
      </c>
      <c r="B2277" s="53">
        <v>23139</v>
      </c>
      <c r="C2277" s="82">
        <v>995</v>
      </c>
      <c r="D2277" s="41" t="s">
        <v>84</v>
      </c>
      <c r="E2277" s="41">
        <v>4</v>
      </c>
      <c r="F2277" s="41">
        <v>0</v>
      </c>
      <c r="G2277" s="41">
        <v>1</v>
      </c>
      <c r="H2277" s="267">
        <v>0</v>
      </c>
      <c r="I2277" s="302">
        <f>F2277*400+G2277*100+H2277</f>
        <v>100</v>
      </c>
      <c r="J2277" s="310">
        <v>3000</v>
      </c>
      <c r="K2277" s="310">
        <f>SUM(I2277*J2277)</f>
        <v>300000</v>
      </c>
      <c r="L2277" s="480"/>
      <c r="M2277" s="481"/>
      <c r="N2277" s="480"/>
      <c r="O2277" s="480"/>
      <c r="P2277" s="482"/>
      <c r="Q2277" s="483"/>
      <c r="R2277" s="484"/>
      <c r="S2277" s="485"/>
      <c r="T2277" s="483"/>
      <c r="U2277" s="485"/>
      <c r="V2277" s="486"/>
      <c r="W2277" s="302">
        <f>K2277</f>
        <v>300000</v>
      </c>
      <c r="X2277" s="310">
        <f>W2277</f>
        <v>300000</v>
      </c>
      <c r="Y2277" s="310"/>
      <c r="Z2277" s="302">
        <f>+X2277</f>
        <v>300000</v>
      </c>
      <c r="AA2277" s="405">
        <v>0.6</v>
      </c>
      <c r="AB2277" s="465">
        <f>+Z2277*AA2277/100</f>
        <v>1800</v>
      </c>
    </row>
    <row r="2278" spans="1:28" s="352" customFormat="1" ht="18" customHeight="1" x14ac:dyDescent="0.25">
      <c r="A2278" s="88">
        <v>2</v>
      </c>
      <c r="B2278" s="75">
        <v>23130</v>
      </c>
      <c r="C2278" s="88">
        <v>986</v>
      </c>
      <c r="D2278" s="27" t="s">
        <v>129</v>
      </c>
      <c r="E2278" s="27">
        <v>4</v>
      </c>
      <c r="F2278" s="27">
        <v>0</v>
      </c>
      <c r="G2278" s="27">
        <v>1</v>
      </c>
      <c r="H2278" s="557">
        <v>0</v>
      </c>
      <c r="I2278" s="299">
        <f t="shared" ref="I2278:I2279" si="117">F2278*400+G2278*100+H2278</f>
        <v>100</v>
      </c>
      <c r="J2278" s="305">
        <v>3000</v>
      </c>
      <c r="K2278" s="305">
        <f t="shared" ref="K2278:K2279" si="118">SUM(I2278*J2278)</f>
        <v>300000</v>
      </c>
      <c r="L2278" s="932"/>
      <c r="M2278" s="815"/>
      <c r="N2278" s="932"/>
      <c r="O2278" s="932"/>
      <c r="P2278" s="933"/>
      <c r="Q2278" s="934"/>
      <c r="R2278" s="935"/>
      <c r="S2278" s="936"/>
      <c r="T2278" s="934"/>
      <c r="U2278" s="936"/>
      <c r="V2278" s="937"/>
      <c r="W2278" s="299">
        <f t="shared" ref="W2278:W2279" si="119">K2278</f>
        <v>300000</v>
      </c>
      <c r="X2278" s="305">
        <f t="shared" ref="X2278:X2279" si="120">W2278</f>
        <v>300000</v>
      </c>
      <c r="Y2278" s="305"/>
      <c r="Z2278" s="299">
        <f t="shared" ref="Z2278:Z2279" si="121">+X2278</f>
        <v>300000</v>
      </c>
      <c r="AA2278" s="670">
        <v>0.6</v>
      </c>
      <c r="AB2278" s="410">
        <f>+Z2278*AA2278/100</f>
        <v>1800</v>
      </c>
    </row>
    <row r="2279" spans="1:28" s="352" customFormat="1" ht="18" customHeight="1" x14ac:dyDescent="0.25">
      <c r="A2279" s="2166">
        <v>3</v>
      </c>
      <c r="B2279" s="61">
        <v>23140</v>
      </c>
      <c r="C2279" s="2166">
        <v>996</v>
      </c>
      <c r="D2279" s="15" t="s">
        <v>107</v>
      </c>
      <c r="E2279" s="15">
        <v>4</v>
      </c>
      <c r="F2279" s="15">
        <v>0</v>
      </c>
      <c r="G2279" s="15">
        <v>1</v>
      </c>
      <c r="H2279" s="284">
        <v>15</v>
      </c>
      <c r="I2279" s="296">
        <f t="shared" si="117"/>
        <v>115</v>
      </c>
      <c r="J2279" s="306">
        <v>3000</v>
      </c>
      <c r="K2279" s="306">
        <f t="shared" si="118"/>
        <v>345000</v>
      </c>
      <c r="L2279" s="487"/>
      <c r="M2279" s="488"/>
      <c r="N2279" s="487"/>
      <c r="O2279" s="487"/>
      <c r="P2279" s="489"/>
      <c r="Q2279" s="490"/>
      <c r="R2279" s="491"/>
      <c r="S2279" s="492"/>
      <c r="T2279" s="490"/>
      <c r="U2279" s="492"/>
      <c r="V2279" s="493"/>
      <c r="W2279" s="296">
        <f t="shared" si="119"/>
        <v>345000</v>
      </c>
      <c r="X2279" s="306">
        <f t="shared" si="120"/>
        <v>345000</v>
      </c>
      <c r="Y2279" s="306"/>
      <c r="Z2279" s="296">
        <f t="shared" si="121"/>
        <v>345000</v>
      </c>
      <c r="AA2279" s="494">
        <v>0.6</v>
      </c>
      <c r="AB2279" s="416">
        <f>+Z2279*AA2279/100</f>
        <v>2070</v>
      </c>
    </row>
    <row r="2280" spans="1:28" s="352" customFormat="1" ht="18" customHeight="1" x14ac:dyDescent="0.2">
      <c r="A2280" s="88"/>
      <c r="B2280" s="75"/>
      <c r="C2280" s="88"/>
      <c r="D2280" s="88"/>
      <c r="E2280" s="88"/>
      <c r="F2280" s="88"/>
      <c r="G2280" s="88"/>
      <c r="H2280" s="495"/>
      <c r="I2280" s="77"/>
      <c r="J2280" s="2168"/>
      <c r="K2280" s="2168"/>
      <c r="L2280" s="61"/>
      <c r="M2280" s="2166"/>
      <c r="N2280" s="2166"/>
      <c r="O2280" s="61"/>
      <c r="P2280" s="177"/>
      <c r="Q2280" s="196"/>
      <c r="R2280" s="408"/>
      <c r="S2280" s="77"/>
      <c r="T2280" s="2166"/>
      <c r="U2280" s="77"/>
      <c r="V2280" s="77"/>
      <c r="W2280" s="77"/>
      <c r="X2280" s="2168"/>
      <c r="Y2280" s="2168"/>
      <c r="Z2280" s="77"/>
      <c r="AA2280" s="2170"/>
      <c r="AB2280" s="466"/>
    </row>
    <row r="2281" spans="1:28" s="352" customFormat="1" ht="18" customHeight="1" x14ac:dyDescent="0.2">
      <c r="A2281" s="2166"/>
      <c r="B2281" s="61"/>
      <c r="C2281" s="2166"/>
      <c r="D2281" s="2166"/>
      <c r="E2281" s="2166"/>
      <c r="F2281" s="2166"/>
      <c r="G2281" s="2166"/>
      <c r="H2281" s="407"/>
      <c r="I2281" s="77"/>
      <c r="J2281" s="2168"/>
      <c r="K2281" s="78"/>
      <c r="L2281" s="61"/>
      <c r="M2281" s="2166"/>
      <c r="N2281" s="2166"/>
      <c r="O2281" s="61"/>
      <c r="P2281" s="177"/>
      <c r="Q2281" s="196"/>
      <c r="R2281" s="408"/>
      <c r="S2281" s="77"/>
      <c r="T2281" s="2166"/>
      <c r="U2281" s="77"/>
      <c r="V2281" s="77"/>
      <c r="W2281" s="77"/>
      <c r="X2281" s="77"/>
      <c r="Y2281" s="2168"/>
      <c r="Z2281" s="77"/>
      <c r="AA2281" s="2170"/>
      <c r="AB2281" s="410"/>
    </row>
    <row r="2282" spans="1:28" s="352" customFormat="1" ht="18" customHeight="1" x14ac:dyDescent="0.2">
      <c r="A2282" s="2166"/>
      <c r="B2282" s="61"/>
      <c r="C2282" s="2166"/>
      <c r="D2282" s="2166"/>
      <c r="E2282" s="2166"/>
      <c r="F2282" s="2166"/>
      <c r="G2282" s="2166"/>
      <c r="H2282" s="407"/>
      <c r="I2282" s="77"/>
      <c r="J2282" s="2168"/>
      <c r="K2282" s="78"/>
      <c r="L2282" s="61"/>
      <c r="M2282" s="2166"/>
      <c r="N2282" s="2166"/>
      <c r="O2282" s="61"/>
      <c r="P2282" s="177"/>
      <c r="Q2282" s="196"/>
      <c r="R2282" s="408"/>
      <c r="S2282" s="77"/>
      <c r="T2282" s="2166"/>
      <c r="U2282" s="77"/>
      <c r="V2282" s="77"/>
      <c r="W2282" s="77"/>
      <c r="X2282" s="77"/>
      <c r="Y2282" s="2168"/>
      <c r="Z2282" s="77"/>
      <c r="AA2282" s="2170"/>
      <c r="AB2282" s="410"/>
    </row>
    <row r="2283" spans="1:28" s="352" customFormat="1" ht="18" customHeight="1" x14ac:dyDescent="0.2">
      <c r="A2283" s="2166"/>
      <c r="B2283" s="61"/>
      <c r="C2283" s="2166"/>
      <c r="D2283" s="2166"/>
      <c r="E2283" s="2166"/>
      <c r="F2283" s="2166"/>
      <c r="G2283" s="2166"/>
      <c r="H2283" s="407"/>
      <c r="I2283" s="77"/>
      <c r="J2283" s="2168"/>
      <c r="K2283" s="78"/>
      <c r="L2283" s="61"/>
      <c r="M2283" s="2166"/>
      <c r="N2283" s="2166"/>
      <c r="O2283" s="61"/>
      <c r="P2283" s="177"/>
      <c r="Q2283" s="196"/>
      <c r="R2283" s="408"/>
      <c r="S2283" s="77"/>
      <c r="T2283" s="2166"/>
      <c r="U2283" s="77"/>
      <c r="V2283" s="77"/>
      <c r="W2283" s="77"/>
      <c r="X2283" s="77"/>
      <c r="Y2283" s="2168"/>
      <c r="Z2283" s="77"/>
      <c r="AA2283" s="2170"/>
      <c r="AB2283" s="410"/>
    </row>
    <row r="2284" spans="1:28" s="352" customFormat="1" ht="18" customHeight="1" x14ac:dyDescent="0.2">
      <c r="A2284" s="88"/>
      <c r="B2284" s="75"/>
      <c r="C2284" s="88"/>
      <c r="D2284" s="88"/>
      <c r="E2284" s="2166"/>
      <c r="F2284" s="411"/>
      <c r="G2284" s="242"/>
      <c r="H2284" s="412"/>
      <c r="I2284" s="159"/>
      <c r="J2284" s="121"/>
      <c r="K2284" s="159"/>
      <c r="L2284" s="75"/>
      <c r="M2284" s="88"/>
      <c r="N2284" s="88"/>
      <c r="O2284" s="75"/>
      <c r="P2284" s="180"/>
      <c r="Q2284" s="174"/>
      <c r="R2284" s="413"/>
      <c r="S2284" s="74"/>
      <c r="T2284" s="88"/>
      <c r="U2284" s="74"/>
      <c r="V2284" s="74"/>
      <c r="W2284" s="74"/>
      <c r="X2284" s="74"/>
      <c r="Y2284" s="121"/>
      <c r="Z2284" s="74"/>
      <c r="AA2284" s="414"/>
      <c r="AB2284" s="415"/>
    </row>
    <row r="2285" spans="1:28" s="352" customFormat="1" ht="18" customHeight="1" x14ac:dyDescent="0.2">
      <c r="A2285" s="88"/>
      <c r="B2285" s="75"/>
      <c r="C2285" s="88"/>
      <c r="D2285" s="231"/>
      <c r="E2285" s="2166"/>
      <c r="F2285" s="411"/>
      <c r="G2285" s="242"/>
      <c r="H2285" s="412"/>
      <c r="I2285" s="159"/>
      <c r="J2285" s="121"/>
      <c r="K2285" s="159"/>
      <c r="L2285" s="75"/>
      <c r="M2285" s="88"/>
      <c r="N2285" s="88"/>
      <c r="O2285" s="75"/>
      <c r="P2285" s="180"/>
      <c r="Q2285" s="174"/>
      <c r="R2285" s="413"/>
      <c r="S2285" s="74"/>
      <c r="T2285" s="88"/>
      <c r="U2285" s="74"/>
      <c r="V2285" s="74"/>
      <c r="W2285" s="74"/>
      <c r="X2285" s="74"/>
      <c r="Y2285" s="121"/>
      <c r="Z2285" s="74"/>
      <c r="AA2285" s="417"/>
      <c r="AB2285" s="410"/>
    </row>
    <row r="2286" spans="1:28" s="352" customFormat="1" ht="18" customHeight="1" x14ac:dyDescent="0.2">
      <c r="A2286" s="88"/>
      <c r="B2286" s="75"/>
      <c r="C2286" s="88"/>
      <c r="D2286" s="88"/>
      <c r="E2286" s="2166"/>
      <c r="F2286" s="411"/>
      <c r="G2286" s="242"/>
      <c r="H2286" s="412"/>
      <c r="I2286" s="159"/>
      <c r="J2286" s="121"/>
      <c r="K2286" s="159"/>
      <c r="L2286" s="75"/>
      <c r="M2286" s="88"/>
      <c r="N2286" s="88"/>
      <c r="O2286" s="75"/>
      <c r="P2286" s="180"/>
      <c r="Q2286" s="174"/>
      <c r="R2286" s="413"/>
      <c r="S2286" s="74"/>
      <c r="T2286" s="88"/>
      <c r="U2286" s="74"/>
      <c r="V2286" s="74"/>
      <c r="W2286" s="74"/>
      <c r="X2286" s="74"/>
      <c r="Y2286" s="121"/>
      <c r="Z2286" s="74"/>
      <c r="AA2286" s="414"/>
      <c r="AB2286" s="416"/>
    </row>
    <row r="2287" spans="1:28" s="352" customFormat="1" ht="18" customHeight="1" x14ac:dyDescent="0.2">
      <c r="A2287" s="88"/>
      <c r="B2287" s="75"/>
      <c r="C2287" s="88"/>
      <c r="D2287" s="88"/>
      <c r="E2287" s="2166"/>
      <c r="F2287" s="411"/>
      <c r="G2287" s="242"/>
      <c r="H2287" s="412"/>
      <c r="I2287" s="159"/>
      <c r="J2287" s="121"/>
      <c r="K2287" s="159"/>
      <c r="L2287" s="75"/>
      <c r="M2287" s="88"/>
      <c r="N2287" s="88"/>
      <c r="O2287" s="75"/>
      <c r="P2287" s="180"/>
      <c r="Q2287" s="174"/>
      <c r="R2287" s="413"/>
      <c r="S2287" s="74"/>
      <c r="T2287" s="88"/>
      <c r="U2287" s="74"/>
      <c r="V2287" s="74"/>
      <c r="W2287" s="74"/>
      <c r="X2287" s="74"/>
      <c r="Y2287" s="121"/>
      <c r="Z2287" s="74"/>
      <c r="AA2287" s="414"/>
      <c r="AB2287" s="415"/>
    </row>
    <row r="2288" spans="1:28" s="352" customFormat="1" ht="18" customHeight="1" x14ac:dyDescent="0.2">
      <c r="A2288" s="88"/>
      <c r="B2288" s="75"/>
      <c r="C2288" s="88"/>
      <c r="D2288" s="2165"/>
      <c r="E2288" s="2166"/>
      <c r="F2288" s="411"/>
      <c r="G2288" s="242"/>
      <c r="H2288" s="412"/>
      <c r="I2288" s="159"/>
      <c r="J2288" s="121"/>
      <c r="K2288" s="159"/>
      <c r="L2288" s="75"/>
      <c r="M2288" s="88"/>
      <c r="N2288" s="88"/>
      <c r="O2288" s="75"/>
      <c r="P2288" s="180"/>
      <c r="Q2288" s="174"/>
      <c r="R2288" s="413"/>
      <c r="S2288" s="74"/>
      <c r="T2288" s="88"/>
      <c r="U2288" s="74"/>
      <c r="V2288" s="74"/>
      <c r="W2288" s="74"/>
      <c r="X2288" s="74"/>
      <c r="Y2288" s="121"/>
      <c r="Z2288" s="74"/>
      <c r="AA2288" s="417"/>
      <c r="AB2288" s="410"/>
    </row>
    <row r="2289" spans="1:28" s="352" customFormat="1" ht="18" customHeight="1" x14ac:dyDescent="0.2">
      <c r="A2289" s="88"/>
      <c r="B2289" s="75"/>
      <c r="C2289" s="88"/>
      <c r="D2289" s="2165"/>
      <c r="E2289" s="2166"/>
      <c r="F2289" s="411"/>
      <c r="G2289" s="242"/>
      <c r="H2289" s="412"/>
      <c r="I2289" s="159"/>
      <c r="J2289" s="121"/>
      <c r="K2289" s="159"/>
      <c r="L2289" s="75"/>
      <c r="M2289" s="88"/>
      <c r="N2289" s="88"/>
      <c r="O2289" s="75"/>
      <c r="P2289" s="180"/>
      <c r="Q2289" s="174"/>
      <c r="R2289" s="413"/>
      <c r="S2289" s="74"/>
      <c r="T2289" s="88"/>
      <c r="U2289" s="74"/>
      <c r="V2289" s="74"/>
      <c r="W2289" s="74"/>
      <c r="X2289" s="74"/>
      <c r="Y2289" s="121"/>
      <c r="Z2289" s="74"/>
      <c r="AA2289" s="414"/>
      <c r="AB2289" s="416"/>
    </row>
    <row r="2290" spans="1:28" s="352" customFormat="1" ht="18" customHeight="1" x14ac:dyDescent="0.2">
      <c r="A2290" s="88"/>
      <c r="B2290" s="418"/>
      <c r="C2290" s="88"/>
      <c r="D2290" s="88"/>
      <c r="E2290" s="88"/>
      <c r="F2290" s="411"/>
      <c r="G2290" s="242"/>
      <c r="H2290" s="412"/>
      <c r="I2290" s="159"/>
      <c r="J2290" s="121"/>
      <c r="K2290" s="159"/>
      <c r="L2290" s="75"/>
      <c r="M2290" s="88"/>
      <c r="N2290" s="88"/>
      <c r="O2290" s="75"/>
      <c r="P2290" s="180"/>
      <c r="Q2290" s="174"/>
      <c r="R2290" s="413"/>
      <c r="S2290" s="74"/>
      <c r="T2290" s="88"/>
      <c r="U2290" s="74"/>
      <c r="V2290" s="74"/>
      <c r="W2290" s="74"/>
      <c r="X2290" s="74"/>
      <c r="Y2290" s="121"/>
      <c r="Z2290" s="74"/>
      <c r="AA2290" s="414"/>
      <c r="AB2290" s="410"/>
    </row>
    <row r="2291" spans="1:28" s="352" customFormat="1" ht="18" customHeight="1" x14ac:dyDescent="0.2">
      <c r="A2291" s="1147"/>
      <c r="B2291" s="1989"/>
      <c r="C2291" s="1147"/>
      <c r="D2291" s="1147"/>
      <c r="E2291" s="1147"/>
      <c r="F2291" s="1147"/>
      <c r="G2291" s="1147"/>
      <c r="H2291" s="1990"/>
      <c r="I2291" s="1991"/>
      <c r="J2291" s="1868"/>
      <c r="K2291" s="1992"/>
      <c r="L2291" s="1989"/>
      <c r="M2291" s="1147"/>
      <c r="N2291" s="1147"/>
      <c r="O2291" s="1989"/>
      <c r="P2291" s="1867"/>
      <c r="Q2291" s="1993"/>
      <c r="R2291" s="1994"/>
      <c r="S2291" s="1991"/>
      <c r="T2291" s="1147"/>
      <c r="U2291" s="1991"/>
      <c r="V2291" s="1991"/>
      <c r="W2291" s="1991"/>
      <c r="X2291" s="1991"/>
      <c r="Y2291" s="1868"/>
      <c r="Z2291" s="1991"/>
      <c r="AA2291" s="1995"/>
      <c r="AB2291" s="1849">
        <f>SUM(AB2277:AB2290)</f>
        <v>5670</v>
      </c>
    </row>
    <row r="2292" spans="1:28" s="352" customFormat="1" ht="18" customHeight="1" x14ac:dyDescent="0.2">
      <c r="A2292" s="2790" t="s">
        <v>76</v>
      </c>
      <c r="B2292" s="2790"/>
      <c r="C2292" s="2779" t="s">
        <v>77</v>
      </c>
      <c r="D2292" s="2779"/>
      <c r="E2292" s="2779"/>
      <c r="F2292" s="2779"/>
      <c r="G2292" s="2779"/>
      <c r="H2292" s="2779"/>
      <c r="I2292" s="424" t="s">
        <v>78</v>
      </c>
      <c r="J2292" s="424"/>
      <c r="K2292" s="424"/>
      <c r="L2292" s="424"/>
      <c r="M2292" s="424"/>
      <c r="N2292" s="424"/>
      <c r="AB2292" s="425"/>
    </row>
    <row r="2293" spans="1:28" s="352" customFormat="1" ht="18" customHeight="1" x14ac:dyDescent="0.2">
      <c r="A2293" s="424"/>
      <c r="B2293" s="426"/>
      <c r="C2293" s="424"/>
      <c r="D2293" s="424"/>
      <c r="E2293" s="424"/>
      <c r="F2293" s="424"/>
      <c r="G2293" s="424"/>
      <c r="H2293" s="424"/>
      <c r="I2293" s="424" t="s">
        <v>79</v>
      </c>
      <c r="J2293" s="424"/>
      <c r="K2293" s="424"/>
      <c r="L2293" s="424"/>
      <c r="M2293" s="424"/>
      <c r="N2293" s="424"/>
      <c r="AB2293" s="425"/>
    </row>
    <row r="2294" spans="1:28" s="352" customFormat="1" ht="18" customHeight="1" x14ac:dyDescent="0.2">
      <c r="A2294" s="424"/>
      <c r="B2294" s="426"/>
      <c r="C2294" s="424"/>
      <c r="D2294" s="424"/>
      <c r="E2294" s="424"/>
      <c r="F2294" s="424"/>
      <c r="G2294" s="424"/>
      <c r="H2294" s="424"/>
      <c r="I2294" s="424" t="s">
        <v>80</v>
      </c>
      <c r="J2294" s="424"/>
      <c r="K2294" s="424"/>
      <c r="L2294" s="424"/>
      <c r="M2294" s="424"/>
      <c r="N2294" s="424"/>
      <c r="AB2294" s="425"/>
    </row>
    <row r="2295" spans="1:28" s="352" customFormat="1" ht="18" customHeight="1" x14ac:dyDescent="0.2">
      <c r="A2295" s="424"/>
      <c r="B2295" s="426"/>
      <c r="C2295" s="424"/>
      <c r="D2295" s="424"/>
      <c r="E2295" s="424"/>
      <c r="F2295" s="424"/>
      <c r="G2295" s="424"/>
      <c r="H2295" s="424"/>
      <c r="I2295" s="424" t="s">
        <v>81</v>
      </c>
      <c r="J2295" s="424"/>
      <c r="K2295" s="424"/>
      <c r="L2295" s="424"/>
      <c r="M2295" s="424"/>
      <c r="N2295" s="424"/>
      <c r="AB2295" s="425"/>
    </row>
    <row r="2296" spans="1:28" s="352" customFormat="1" ht="18" customHeight="1" x14ac:dyDescent="0.2">
      <c r="A2296" s="424"/>
      <c r="B2296" s="426"/>
      <c r="C2296" s="424"/>
      <c r="D2296" s="424"/>
      <c r="E2296" s="424"/>
      <c r="F2296" s="424"/>
      <c r="G2296" s="424"/>
      <c r="H2296" s="424"/>
      <c r="I2296" s="424" t="s">
        <v>88</v>
      </c>
      <c r="J2296" s="424"/>
      <c r="K2296" s="424"/>
      <c r="L2296" s="424"/>
      <c r="M2296" s="424"/>
      <c r="N2296" s="424"/>
      <c r="AB2296" s="425"/>
    </row>
    <row r="2297" spans="1:28" s="352" customFormat="1" ht="18" customHeight="1" x14ac:dyDescent="0.2">
      <c r="A2297" s="338"/>
      <c r="B2297" s="338"/>
      <c r="C2297" s="338"/>
      <c r="D2297" s="338"/>
      <c r="E2297" s="338"/>
      <c r="F2297" s="338"/>
      <c r="G2297" s="338"/>
      <c r="H2297" s="338"/>
      <c r="I2297" s="338"/>
      <c r="J2297" s="338"/>
      <c r="K2297" s="338"/>
      <c r="L2297" s="338"/>
      <c r="M2297" s="338"/>
      <c r="N2297" s="338"/>
      <c r="O2297" s="338"/>
      <c r="P2297" s="338"/>
      <c r="Q2297" s="338"/>
      <c r="R2297" s="338"/>
      <c r="S2297" s="338"/>
      <c r="T2297" s="338"/>
      <c r="U2297" s="338"/>
      <c r="V2297" s="338"/>
      <c r="W2297" s="338"/>
      <c r="X2297" s="338"/>
      <c r="Y2297" s="338"/>
      <c r="Z2297" s="338"/>
      <c r="AA2297" s="2774" t="s">
        <v>0</v>
      </c>
      <c r="AB2297" s="2774"/>
    </row>
    <row r="2298" spans="1:28" s="352" customFormat="1" ht="18" customHeight="1" x14ac:dyDescent="0.2">
      <c r="A2298" s="2703" t="s">
        <v>1</v>
      </c>
      <c r="B2298" s="2703"/>
      <c r="C2298" s="2703"/>
      <c r="D2298" s="2703"/>
      <c r="E2298" s="2703"/>
      <c r="F2298" s="2703"/>
      <c r="G2298" s="2703"/>
      <c r="H2298" s="2703"/>
      <c r="I2298" s="2703"/>
      <c r="J2298" s="2703"/>
      <c r="K2298" s="2703"/>
      <c r="L2298" s="2703"/>
      <c r="M2298" s="2703"/>
      <c r="N2298" s="2703"/>
      <c r="O2298" s="2703"/>
      <c r="P2298" s="2703"/>
      <c r="Q2298" s="2703"/>
      <c r="R2298" s="2703"/>
      <c r="S2298" s="2703"/>
      <c r="T2298" s="2703"/>
      <c r="U2298" s="2703"/>
      <c r="V2298" s="2703"/>
      <c r="W2298" s="2703"/>
      <c r="X2298" s="2703"/>
      <c r="Y2298" s="2703"/>
      <c r="Z2298" s="2703"/>
      <c r="AA2298" s="2703"/>
      <c r="AB2298" s="2703"/>
    </row>
    <row r="2299" spans="1:28" s="352" customFormat="1" ht="18" customHeight="1" x14ac:dyDescent="0.2">
      <c r="A2299" s="2780" t="s">
        <v>670</v>
      </c>
      <c r="B2299" s="2780"/>
      <c r="C2299" s="2780"/>
      <c r="D2299" s="2780"/>
      <c r="E2299" s="2780"/>
      <c r="F2299" s="2780"/>
      <c r="G2299" s="2780"/>
      <c r="H2299" s="2780"/>
      <c r="I2299" s="2780"/>
      <c r="J2299" s="2780"/>
      <c r="K2299" s="2780"/>
      <c r="L2299" s="2780"/>
      <c r="M2299" s="2780"/>
      <c r="N2299" s="2780"/>
      <c r="O2299" s="2780"/>
      <c r="P2299" s="2780"/>
      <c r="Q2299" s="2780"/>
      <c r="R2299" s="2780"/>
      <c r="S2299" s="2780"/>
      <c r="T2299" s="2780"/>
      <c r="U2299" s="2780"/>
      <c r="V2299" s="2780"/>
      <c r="W2299" s="2780"/>
      <c r="X2299" s="2780"/>
      <c r="Y2299" s="2780"/>
      <c r="Z2299" s="2780"/>
      <c r="AA2299" s="2780"/>
      <c r="AB2299" s="2780"/>
    </row>
    <row r="2300" spans="1:28" s="352" customFormat="1" ht="18" customHeight="1" x14ac:dyDescent="0.2">
      <c r="A2300" s="2686" t="s">
        <v>2</v>
      </c>
      <c r="B2300" s="360"/>
      <c r="C2300" s="2686" t="s">
        <v>3</v>
      </c>
      <c r="D2300" s="360"/>
      <c r="E2300" s="360"/>
      <c r="F2300" s="2693" t="s">
        <v>4</v>
      </c>
      <c r="G2300" s="2693"/>
      <c r="H2300" s="2693"/>
      <c r="I2300" s="2694"/>
      <c r="J2300" s="2694"/>
      <c r="K2300" s="2695"/>
      <c r="L2300" s="361"/>
      <c r="M2300" s="2679" t="s">
        <v>5</v>
      </c>
      <c r="N2300" s="2679"/>
      <c r="O2300" s="2679"/>
      <c r="P2300" s="2679"/>
      <c r="Q2300" s="2696"/>
      <c r="R2300" s="2696"/>
      <c r="S2300" s="2696"/>
      <c r="T2300" s="2696"/>
      <c r="U2300" s="2696"/>
      <c r="V2300" s="2697"/>
      <c r="W2300" s="362" t="s">
        <v>6</v>
      </c>
      <c r="X2300" s="363" t="s">
        <v>7</v>
      </c>
      <c r="Y2300" s="364"/>
      <c r="Z2300" s="364"/>
      <c r="AA2300" s="363"/>
      <c r="AB2300" s="365"/>
    </row>
    <row r="2301" spans="1:28" s="352" customFormat="1" ht="18" customHeight="1" x14ac:dyDescent="0.2">
      <c r="A2301" s="2687"/>
      <c r="B2301" s="367"/>
      <c r="C2301" s="2687"/>
      <c r="D2301" s="2158" t="s">
        <v>9</v>
      </c>
      <c r="E2301" s="368" t="s">
        <v>10</v>
      </c>
      <c r="F2301" s="2698" t="s">
        <v>11</v>
      </c>
      <c r="G2301" s="2694"/>
      <c r="H2301" s="2695"/>
      <c r="I2301" s="360"/>
      <c r="J2301" s="369" t="s">
        <v>12</v>
      </c>
      <c r="K2301" s="360"/>
      <c r="L2301" s="2679" t="s">
        <v>2</v>
      </c>
      <c r="M2301" s="2162"/>
      <c r="N2301" s="2162"/>
      <c r="O2301" s="2162"/>
      <c r="P2301" s="371"/>
      <c r="Q2301" s="372" t="s">
        <v>13</v>
      </c>
      <c r="R2301" s="373" t="s">
        <v>12</v>
      </c>
      <c r="S2301" s="2162" t="s">
        <v>6</v>
      </c>
      <c r="T2301" s="2682" t="s">
        <v>14</v>
      </c>
      <c r="U2301" s="2683"/>
      <c r="V2301" s="375" t="s">
        <v>7</v>
      </c>
      <c r="W2301" s="376" t="s">
        <v>15</v>
      </c>
      <c r="X2301" s="377" t="s">
        <v>16</v>
      </c>
      <c r="Y2301" s="377" t="s">
        <v>17</v>
      </c>
      <c r="Z2301" s="377" t="s">
        <v>18</v>
      </c>
      <c r="AA2301" s="377"/>
      <c r="AB2301" s="378" t="s">
        <v>19</v>
      </c>
    </row>
    <row r="2302" spans="1:28" s="352" customFormat="1" ht="18" customHeight="1" x14ac:dyDescent="0.2">
      <c r="A2302" s="2687"/>
      <c r="B2302" s="2158" t="s">
        <v>23</v>
      </c>
      <c r="C2302" s="2687"/>
      <c r="D2302" s="2158" t="s">
        <v>24</v>
      </c>
      <c r="E2302" s="368" t="s">
        <v>25</v>
      </c>
      <c r="F2302" s="2699"/>
      <c r="G2302" s="2700"/>
      <c r="H2302" s="2701"/>
      <c r="I2302" s="2158" t="s">
        <v>26</v>
      </c>
      <c r="J2302" s="379" t="s">
        <v>15</v>
      </c>
      <c r="K2302" s="2159" t="s">
        <v>6</v>
      </c>
      <c r="L2302" s="2680"/>
      <c r="M2302" s="2163" t="s">
        <v>27</v>
      </c>
      <c r="N2302" s="2163" t="s">
        <v>10</v>
      </c>
      <c r="O2302" s="382" t="s">
        <v>10</v>
      </c>
      <c r="P2302" s="383" t="s">
        <v>28</v>
      </c>
      <c r="Q2302" s="384" t="s">
        <v>29</v>
      </c>
      <c r="R2302" s="383" t="s">
        <v>15</v>
      </c>
      <c r="S2302" s="385" t="s">
        <v>15</v>
      </c>
      <c r="T2302" s="2684"/>
      <c r="U2302" s="2685"/>
      <c r="V2302" s="375" t="s">
        <v>30</v>
      </c>
      <c r="W2302" s="376" t="s">
        <v>31</v>
      </c>
      <c r="X2302" s="377" t="s">
        <v>30</v>
      </c>
      <c r="Y2302" s="377" t="s">
        <v>32</v>
      </c>
      <c r="Z2302" s="377" t="s">
        <v>7</v>
      </c>
      <c r="AA2302" s="377" t="s">
        <v>33</v>
      </c>
      <c r="AB2302" s="378" t="s">
        <v>34</v>
      </c>
    </row>
    <row r="2303" spans="1:28" s="352" customFormat="1" ht="18" customHeight="1" x14ac:dyDescent="0.2">
      <c r="A2303" s="2687"/>
      <c r="B2303" s="2158" t="s">
        <v>39</v>
      </c>
      <c r="C2303" s="2687"/>
      <c r="D2303" s="2158" t="s">
        <v>40</v>
      </c>
      <c r="E2303" s="368" t="s">
        <v>41</v>
      </c>
      <c r="F2303" s="2686" t="s">
        <v>42</v>
      </c>
      <c r="G2303" s="2686" t="s">
        <v>43</v>
      </c>
      <c r="H2303" s="2688" t="s">
        <v>44</v>
      </c>
      <c r="I2303" s="2158" t="s">
        <v>45</v>
      </c>
      <c r="J2303" s="379" t="s">
        <v>46</v>
      </c>
      <c r="K2303" s="2159" t="s">
        <v>47</v>
      </c>
      <c r="L2303" s="2680"/>
      <c r="M2303" s="2163" t="s">
        <v>30</v>
      </c>
      <c r="N2303" s="2163" t="s">
        <v>30</v>
      </c>
      <c r="O2303" s="382" t="s">
        <v>25</v>
      </c>
      <c r="P2303" s="383" t="s">
        <v>30</v>
      </c>
      <c r="Q2303" s="384" t="s">
        <v>48</v>
      </c>
      <c r="R2303" s="383" t="s">
        <v>49</v>
      </c>
      <c r="S2303" s="385" t="s">
        <v>30</v>
      </c>
      <c r="T2303" s="386" t="s">
        <v>50</v>
      </c>
      <c r="U2303" s="2161" t="s">
        <v>13</v>
      </c>
      <c r="V2303" s="375" t="s">
        <v>51</v>
      </c>
      <c r="W2303" s="376" t="s">
        <v>52</v>
      </c>
      <c r="X2303" s="377" t="s">
        <v>53</v>
      </c>
      <c r="Y2303" s="377" t="s">
        <v>54</v>
      </c>
      <c r="Z2303" s="377" t="s">
        <v>55</v>
      </c>
      <c r="AA2303" s="377" t="s">
        <v>56</v>
      </c>
      <c r="AB2303" s="378" t="s">
        <v>57</v>
      </c>
    </row>
    <row r="2304" spans="1:28" s="352" customFormat="1" ht="18" customHeight="1" x14ac:dyDescent="0.2">
      <c r="A2304" s="2687"/>
      <c r="B2304" s="2158" t="s">
        <v>61</v>
      </c>
      <c r="C2304" s="2687"/>
      <c r="D2304" s="2158" t="s">
        <v>62</v>
      </c>
      <c r="E2304" s="368" t="s">
        <v>63</v>
      </c>
      <c r="F2304" s="2687"/>
      <c r="G2304" s="2687"/>
      <c r="H2304" s="2689"/>
      <c r="I2304" s="2158" t="s">
        <v>64</v>
      </c>
      <c r="J2304" s="379" t="s">
        <v>59</v>
      </c>
      <c r="K2304" s="2159" t="s">
        <v>59</v>
      </c>
      <c r="L2304" s="2680"/>
      <c r="M2304" s="2163"/>
      <c r="N2304" s="2163"/>
      <c r="O2304" s="382" t="s">
        <v>41</v>
      </c>
      <c r="P2304" s="383" t="s">
        <v>65</v>
      </c>
      <c r="Q2304" s="384" t="s">
        <v>66</v>
      </c>
      <c r="R2304" s="383" t="s">
        <v>67</v>
      </c>
      <c r="S2304" s="385" t="s">
        <v>59</v>
      </c>
      <c r="T2304" s="387" t="s">
        <v>68</v>
      </c>
      <c r="U2304" s="375" t="s">
        <v>14</v>
      </c>
      <c r="V2304" s="375" t="s">
        <v>14</v>
      </c>
      <c r="W2304" s="376" t="s">
        <v>30</v>
      </c>
      <c r="X2304" s="388" t="s">
        <v>69</v>
      </c>
      <c r="Y2304" s="388" t="s">
        <v>70</v>
      </c>
      <c r="Z2304" s="377" t="s">
        <v>71</v>
      </c>
      <c r="AA2304" s="377" t="s">
        <v>72</v>
      </c>
      <c r="AB2304" s="378" t="s">
        <v>59</v>
      </c>
    </row>
    <row r="2305" spans="1:28" s="352" customFormat="1" ht="18" customHeight="1" x14ac:dyDescent="0.2">
      <c r="A2305" s="2692"/>
      <c r="B2305" s="390"/>
      <c r="C2305" s="2692"/>
      <c r="D2305" s="390"/>
      <c r="E2305" s="2160"/>
      <c r="F2305" s="390"/>
      <c r="G2305" s="390"/>
      <c r="H2305" s="391"/>
      <c r="I2305" s="2160"/>
      <c r="J2305" s="392"/>
      <c r="K2305" s="393"/>
      <c r="L2305" s="2681"/>
      <c r="M2305" s="2164"/>
      <c r="N2305" s="2164"/>
      <c r="O2305" s="2164" t="s">
        <v>63</v>
      </c>
      <c r="P2305" s="395"/>
      <c r="Q2305" s="396" t="s">
        <v>72</v>
      </c>
      <c r="R2305" s="397" t="s">
        <v>59</v>
      </c>
      <c r="S2305" s="398"/>
      <c r="T2305" s="397" t="s">
        <v>73</v>
      </c>
      <c r="U2305" s="398" t="s">
        <v>59</v>
      </c>
      <c r="V2305" s="399" t="s">
        <v>59</v>
      </c>
      <c r="W2305" s="400" t="s">
        <v>59</v>
      </c>
      <c r="X2305" s="401" t="s">
        <v>59</v>
      </c>
      <c r="Y2305" s="401" t="s">
        <v>59</v>
      </c>
      <c r="Z2305" s="401" t="s">
        <v>59</v>
      </c>
      <c r="AA2305" s="402"/>
      <c r="AB2305" s="403"/>
    </row>
    <row r="2306" spans="1:28" s="352" customFormat="1" ht="18" customHeight="1" x14ac:dyDescent="0.25">
      <c r="A2306" s="82">
        <v>1</v>
      </c>
      <c r="B2306" s="53">
        <v>23203</v>
      </c>
      <c r="C2306" s="82">
        <v>1061</v>
      </c>
      <c r="D2306" s="41" t="s">
        <v>84</v>
      </c>
      <c r="E2306" s="41">
        <v>4</v>
      </c>
      <c r="F2306" s="41">
        <v>0</v>
      </c>
      <c r="G2306" s="41">
        <v>1</v>
      </c>
      <c r="H2306" s="267">
        <v>0</v>
      </c>
      <c r="I2306" s="302">
        <f>F2306*400+G2306*100+H2306</f>
        <v>100</v>
      </c>
      <c r="J2306" s="310">
        <v>3000</v>
      </c>
      <c r="K2306" s="310">
        <f>SUM(I2306*J2306)</f>
        <v>300000</v>
      </c>
      <c r="L2306" s="480"/>
      <c r="M2306" s="481"/>
      <c r="N2306" s="480"/>
      <c r="O2306" s="480"/>
      <c r="P2306" s="482"/>
      <c r="Q2306" s="483"/>
      <c r="R2306" s="484"/>
      <c r="S2306" s="485"/>
      <c r="T2306" s="483"/>
      <c r="U2306" s="485"/>
      <c r="V2306" s="486"/>
      <c r="W2306" s="302">
        <f>K2306</f>
        <v>300000</v>
      </c>
      <c r="X2306" s="310">
        <f>W2306</f>
        <v>300000</v>
      </c>
      <c r="Y2306" s="310"/>
      <c r="Z2306" s="302">
        <f>+X2306</f>
        <v>300000</v>
      </c>
      <c r="AA2306" s="405">
        <v>0.6</v>
      </c>
      <c r="AB2306" s="465">
        <f>+Z2306*AA2306/100</f>
        <v>1800</v>
      </c>
    </row>
    <row r="2307" spans="1:28" s="352" customFormat="1" ht="18" customHeight="1" x14ac:dyDescent="0.2">
      <c r="A2307" s="88"/>
      <c r="B2307" s="75"/>
      <c r="C2307" s="88"/>
      <c r="D2307" s="88"/>
      <c r="E2307" s="88"/>
      <c r="F2307" s="88"/>
      <c r="G2307" s="88"/>
      <c r="H2307" s="495"/>
      <c r="I2307" s="74"/>
      <c r="J2307" s="121"/>
      <c r="K2307" s="121"/>
      <c r="L2307" s="815"/>
      <c r="M2307" s="815"/>
      <c r="N2307" s="815"/>
      <c r="O2307" s="815"/>
      <c r="P2307" s="816"/>
      <c r="Q2307" s="816"/>
      <c r="R2307" s="817"/>
      <c r="S2307" s="817"/>
      <c r="T2307" s="816"/>
      <c r="U2307" s="817"/>
      <c r="V2307" s="818"/>
      <c r="W2307" s="74"/>
      <c r="X2307" s="121"/>
      <c r="Y2307" s="121"/>
      <c r="Z2307" s="74"/>
      <c r="AA2307" s="414"/>
      <c r="AB2307" s="410"/>
    </row>
    <row r="2308" spans="1:28" s="352" customFormat="1" ht="18" customHeight="1" x14ac:dyDescent="0.2">
      <c r="A2308" s="2166"/>
      <c r="B2308" s="61"/>
      <c r="C2308" s="2166"/>
      <c r="D2308" s="2166"/>
      <c r="E2308" s="2166"/>
      <c r="F2308" s="2166"/>
      <c r="G2308" s="2166"/>
      <c r="H2308" s="407"/>
      <c r="I2308" s="77"/>
      <c r="J2308" s="2168"/>
      <c r="K2308" s="2168"/>
      <c r="L2308" s="488"/>
      <c r="M2308" s="488"/>
      <c r="N2308" s="488"/>
      <c r="O2308" s="488"/>
      <c r="P2308" s="819"/>
      <c r="Q2308" s="819"/>
      <c r="R2308" s="820"/>
      <c r="S2308" s="820"/>
      <c r="T2308" s="819"/>
      <c r="U2308" s="820"/>
      <c r="V2308" s="821"/>
      <c r="W2308" s="77"/>
      <c r="X2308" s="2168"/>
      <c r="Y2308" s="2168"/>
      <c r="Z2308" s="77"/>
      <c r="AA2308" s="2170"/>
      <c r="AB2308" s="416"/>
    </row>
    <row r="2309" spans="1:28" s="352" customFormat="1" ht="18" customHeight="1" x14ac:dyDescent="0.2">
      <c r="A2309" s="88"/>
      <c r="B2309" s="75"/>
      <c r="C2309" s="88"/>
      <c r="D2309" s="88"/>
      <c r="E2309" s="88"/>
      <c r="F2309" s="88"/>
      <c r="G2309" s="88"/>
      <c r="H2309" s="495"/>
      <c r="I2309" s="77"/>
      <c r="J2309" s="2168"/>
      <c r="K2309" s="2168"/>
      <c r="L2309" s="61"/>
      <c r="M2309" s="2166"/>
      <c r="N2309" s="2166"/>
      <c r="O2309" s="61"/>
      <c r="P2309" s="177"/>
      <c r="Q2309" s="196"/>
      <c r="R2309" s="408"/>
      <c r="S2309" s="77"/>
      <c r="T2309" s="2166"/>
      <c r="U2309" s="77"/>
      <c r="V2309" s="77"/>
      <c r="W2309" s="77"/>
      <c r="X2309" s="2168"/>
      <c r="Y2309" s="2168"/>
      <c r="Z2309" s="77"/>
      <c r="AA2309" s="2170"/>
      <c r="AB2309" s="466"/>
    </row>
    <row r="2310" spans="1:28" s="352" customFormat="1" ht="18" customHeight="1" x14ac:dyDescent="0.2">
      <c r="A2310" s="2166"/>
      <c r="B2310" s="61"/>
      <c r="C2310" s="2166"/>
      <c r="D2310" s="2166"/>
      <c r="E2310" s="2166"/>
      <c r="F2310" s="2166"/>
      <c r="G2310" s="2166"/>
      <c r="H2310" s="407"/>
      <c r="I2310" s="77"/>
      <c r="J2310" s="2168"/>
      <c r="K2310" s="78"/>
      <c r="L2310" s="61"/>
      <c r="M2310" s="2166"/>
      <c r="N2310" s="2166"/>
      <c r="O2310" s="61"/>
      <c r="P2310" s="177"/>
      <c r="Q2310" s="196"/>
      <c r="R2310" s="408"/>
      <c r="S2310" s="77"/>
      <c r="T2310" s="2166"/>
      <c r="U2310" s="77"/>
      <c r="V2310" s="77"/>
      <c r="W2310" s="77"/>
      <c r="X2310" s="77"/>
      <c r="Y2310" s="2168"/>
      <c r="Z2310" s="77"/>
      <c r="AA2310" s="2170"/>
      <c r="AB2310" s="410"/>
    </row>
    <row r="2311" spans="1:28" s="352" customFormat="1" ht="18" customHeight="1" x14ac:dyDescent="0.2">
      <c r="A2311" s="2166"/>
      <c r="B2311" s="61"/>
      <c r="C2311" s="2166"/>
      <c r="D2311" s="2166"/>
      <c r="E2311" s="2166"/>
      <c r="F2311" s="2166"/>
      <c r="G2311" s="2166"/>
      <c r="H2311" s="407"/>
      <c r="I2311" s="77"/>
      <c r="J2311" s="2168"/>
      <c r="K2311" s="78"/>
      <c r="L2311" s="61"/>
      <c r="M2311" s="2166"/>
      <c r="N2311" s="2166"/>
      <c r="O2311" s="61"/>
      <c r="P2311" s="177"/>
      <c r="Q2311" s="196"/>
      <c r="R2311" s="408"/>
      <c r="S2311" s="77"/>
      <c r="T2311" s="2166"/>
      <c r="U2311" s="77"/>
      <c r="V2311" s="77"/>
      <c r="W2311" s="77"/>
      <c r="X2311" s="77"/>
      <c r="Y2311" s="2168"/>
      <c r="Z2311" s="77"/>
      <c r="AA2311" s="2170"/>
      <c r="AB2311" s="410"/>
    </row>
    <row r="2312" spans="1:28" s="352" customFormat="1" ht="18" customHeight="1" x14ac:dyDescent="0.2">
      <c r="A2312" s="2166"/>
      <c r="B2312" s="61"/>
      <c r="C2312" s="2166"/>
      <c r="D2312" s="2166"/>
      <c r="E2312" s="2166"/>
      <c r="F2312" s="2166"/>
      <c r="G2312" s="2166"/>
      <c r="H2312" s="407"/>
      <c r="I2312" s="77"/>
      <c r="J2312" s="2168"/>
      <c r="K2312" s="78"/>
      <c r="L2312" s="61"/>
      <c r="M2312" s="2166"/>
      <c r="N2312" s="2166"/>
      <c r="O2312" s="61"/>
      <c r="P2312" s="177"/>
      <c r="Q2312" s="196"/>
      <c r="R2312" s="408"/>
      <c r="S2312" s="77"/>
      <c r="T2312" s="2166"/>
      <c r="U2312" s="77"/>
      <c r="V2312" s="77"/>
      <c r="W2312" s="77"/>
      <c r="X2312" s="77"/>
      <c r="Y2312" s="2168"/>
      <c r="Z2312" s="77"/>
      <c r="AA2312" s="2170"/>
      <c r="AB2312" s="410"/>
    </row>
    <row r="2313" spans="1:28" s="352" customFormat="1" ht="18" customHeight="1" x14ac:dyDescent="0.2">
      <c r="A2313" s="88"/>
      <c r="B2313" s="75"/>
      <c r="C2313" s="88"/>
      <c r="D2313" s="231"/>
      <c r="E2313" s="2166"/>
      <c r="F2313" s="411"/>
      <c r="G2313" s="242"/>
      <c r="H2313" s="412"/>
      <c r="I2313" s="159"/>
      <c r="J2313" s="121"/>
      <c r="K2313" s="159"/>
      <c r="L2313" s="75"/>
      <c r="M2313" s="88"/>
      <c r="N2313" s="88"/>
      <c r="O2313" s="75"/>
      <c r="P2313" s="180"/>
      <c r="Q2313" s="174"/>
      <c r="R2313" s="413"/>
      <c r="S2313" s="74"/>
      <c r="T2313" s="88"/>
      <c r="U2313" s="74"/>
      <c r="V2313" s="74"/>
      <c r="W2313" s="74"/>
      <c r="X2313" s="74"/>
      <c r="Y2313" s="121"/>
      <c r="Z2313" s="74"/>
      <c r="AA2313" s="417"/>
      <c r="AB2313" s="410"/>
    </row>
    <row r="2314" spans="1:28" s="352" customFormat="1" ht="18" customHeight="1" x14ac:dyDescent="0.2">
      <c r="A2314" s="88"/>
      <c r="B2314" s="75"/>
      <c r="C2314" s="88"/>
      <c r="D2314" s="88"/>
      <c r="E2314" s="2166"/>
      <c r="F2314" s="411"/>
      <c r="G2314" s="242"/>
      <c r="H2314" s="412"/>
      <c r="I2314" s="159"/>
      <c r="J2314" s="121"/>
      <c r="K2314" s="159"/>
      <c r="L2314" s="75"/>
      <c r="M2314" s="88"/>
      <c r="N2314" s="88"/>
      <c r="O2314" s="75"/>
      <c r="P2314" s="180"/>
      <c r="Q2314" s="174"/>
      <c r="R2314" s="413"/>
      <c r="S2314" s="74"/>
      <c r="T2314" s="88"/>
      <c r="U2314" s="74"/>
      <c r="V2314" s="74"/>
      <c r="W2314" s="74"/>
      <c r="X2314" s="74"/>
      <c r="Y2314" s="121"/>
      <c r="Z2314" s="74"/>
      <c r="AA2314" s="414"/>
      <c r="AB2314" s="416"/>
    </row>
    <row r="2315" spans="1:28" s="352" customFormat="1" ht="18" customHeight="1" x14ac:dyDescent="0.2">
      <c r="A2315" s="88"/>
      <c r="B2315" s="75"/>
      <c r="C2315" s="88"/>
      <c r="D2315" s="231"/>
      <c r="E2315" s="2166"/>
      <c r="F2315" s="411"/>
      <c r="G2315" s="242"/>
      <c r="H2315" s="412"/>
      <c r="I2315" s="159"/>
      <c r="J2315" s="121"/>
      <c r="K2315" s="159"/>
      <c r="L2315" s="75"/>
      <c r="M2315" s="88"/>
      <c r="N2315" s="88"/>
      <c r="O2315" s="75"/>
      <c r="P2315" s="180"/>
      <c r="Q2315" s="174"/>
      <c r="R2315" s="413"/>
      <c r="S2315" s="74"/>
      <c r="T2315" s="88"/>
      <c r="U2315" s="74"/>
      <c r="V2315" s="74"/>
      <c r="W2315" s="74"/>
      <c r="X2315" s="74"/>
      <c r="Y2315" s="121"/>
      <c r="Z2315" s="74"/>
      <c r="AA2315" s="417"/>
      <c r="AB2315" s="410"/>
    </row>
    <row r="2316" spans="1:28" s="352" customFormat="1" ht="18" customHeight="1" x14ac:dyDescent="0.2">
      <c r="A2316" s="88"/>
      <c r="B2316" s="75"/>
      <c r="C2316" s="88"/>
      <c r="D2316" s="2165"/>
      <c r="E2316" s="2166"/>
      <c r="F2316" s="411"/>
      <c r="G2316" s="242"/>
      <c r="H2316" s="412"/>
      <c r="I2316" s="159"/>
      <c r="J2316" s="121"/>
      <c r="K2316" s="159"/>
      <c r="L2316" s="75"/>
      <c r="M2316" s="88"/>
      <c r="N2316" s="88"/>
      <c r="O2316" s="75"/>
      <c r="P2316" s="180"/>
      <c r="Q2316" s="174"/>
      <c r="R2316" s="413"/>
      <c r="S2316" s="74"/>
      <c r="T2316" s="88"/>
      <c r="U2316" s="74"/>
      <c r="V2316" s="74"/>
      <c r="W2316" s="74"/>
      <c r="X2316" s="74"/>
      <c r="Y2316" s="121"/>
      <c r="Z2316" s="74"/>
      <c r="AA2316" s="414"/>
      <c r="AB2316" s="410"/>
    </row>
    <row r="2317" spans="1:28" s="352" customFormat="1" ht="18" customHeight="1" x14ac:dyDescent="0.2">
      <c r="A2317" s="88"/>
      <c r="B2317" s="75"/>
      <c r="C2317" s="88"/>
      <c r="D2317" s="2165"/>
      <c r="E2317" s="2166"/>
      <c r="F2317" s="411"/>
      <c r="G2317" s="242"/>
      <c r="H2317" s="412"/>
      <c r="I2317" s="159"/>
      <c r="J2317" s="121"/>
      <c r="K2317" s="159"/>
      <c r="L2317" s="75"/>
      <c r="M2317" s="88"/>
      <c r="N2317" s="88"/>
      <c r="O2317" s="75"/>
      <c r="P2317" s="180"/>
      <c r="Q2317" s="174"/>
      <c r="R2317" s="413"/>
      <c r="S2317" s="74"/>
      <c r="T2317" s="88"/>
      <c r="U2317" s="74"/>
      <c r="V2317" s="74"/>
      <c r="W2317" s="74"/>
      <c r="X2317" s="74"/>
      <c r="Y2317" s="121"/>
      <c r="Z2317" s="74"/>
      <c r="AA2317" s="417"/>
      <c r="AB2317" s="410"/>
    </row>
    <row r="2318" spans="1:28" s="352" customFormat="1" ht="18" customHeight="1" x14ac:dyDescent="0.2">
      <c r="A2318" s="88"/>
      <c r="B2318" s="75"/>
      <c r="C2318" s="88"/>
      <c r="D2318" s="2165"/>
      <c r="E2318" s="2166"/>
      <c r="F2318" s="411"/>
      <c r="G2318" s="242"/>
      <c r="H2318" s="412"/>
      <c r="I2318" s="159"/>
      <c r="J2318" s="121"/>
      <c r="K2318" s="159"/>
      <c r="L2318" s="75"/>
      <c r="M2318" s="88"/>
      <c r="N2318" s="88"/>
      <c r="O2318" s="75"/>
      <c r="P2318" s="180"/>
      <c r="Q2318" s="174"/>
      <c r="R2318" s="413"/>
      <c r="S2318" s="74"/>
      <c r="T2318" s="88"/>
      <c r="U2318" s="74"/>
      <c r="V2318" s="74"/>
      <c r="W2318" s="74"/>
      <c r="X2318" s="74"/>
      <c r="Y2318" s="121"/>
      <c r="Z2318" s="74"/>
      <c r="AA2318" s="414"/>
      <c r="AB2318" s="416"/>
    </row>
    <row r="2319" spans="1:28" s="352" customFormat="1" ht="18" customHeight="1" x14ac:dyDescent="0.2">
      <c r="A2319" s="88"/>
      <c r="B2319" s="418"/>
      <c r="C2319" s="88"/>
      <c r="D2319" s="88"/>
      <c r="E2319" s="88"/>
      <c r="F2319" s="411"/>
      <c r="G2319" s="242"/>
      <c r="H2319" s="412"/>
      <c r="I2319" s="159"/>
      <c r="J2319" s="121"/>
      <c r="K2319" s="159"/>
      <c r="L2319" s="75"/>
      <c r="M2319" s="88"/>
      <c r="N2319" s="88"/>
      <c r="O2319" s="75"/>
      <c r="P2319" s="180"/>
      <c r="Q2319" s="174"/>
      <c r="R2319" s="413"/>
      <c r="S2319" s="74"/>
      <c r="T2319" s="88"/>
      <c r="U2319" s="74"/>
      <c r="V2319" s="74"/>
      <c r="W2319" s="74"/>
      <c r="X2319" s="74"/>
      <c r="Y2319" s="121"/>
      <c r="Z2319" s="74"/>
      <c r="AA2319" s="414"/>
      <c r="AB2319" s="410"/>
    </row>
    <row r="2320" spans="1:28" s="352" customFormat="1" ht="18" customHeight="1" x14ac:dyDescent="0.2">
      <c r="A2320" s="1147"/>
      <c r="B2320" s="1989"/>
      <c r="C2320" s="1147"/>
      <c r="D2320" s="1147"/>
      <c r="E2320" s="1147"/>
      <c r="F2320" s="1147"/>
      <c r="G2320" s="1147"/>
      <c r="H2320" s="1990"/>
      <c r="I2320" s="1991"/>
      <c r="J2320" s="1868"/>
      <c r="K2320" s="1992"/>
      <c r="L2320" s="1989"/>
      <c r="M2320" s="1147"/>
      <c r="N2320" s="1147"/>
      <c r="O2320" s="1989"/>
      <c r="P2320" s="1867"/>
      <c r="Q2320" s="1993"/>
      <c r="R2320" s="1994"/>
      <c r="S2320" s="1991"/>
      <c r="T2320" s="1147"/>
      <c r="U2320" s="1991"/>
      <c r="V2320" s="1991"/>
      <c r="W2320" s="1991"/>
      <c r="X2320" s="1991"/>
      <c r="Y2320" s="1868"/>
      <c r="Z2320" s="1991"/>
      <c r="AA2320" s="1995"/>
      <c r="AB2320" s="1849">
        <f>SUM(AB2306:AB2319)</f>
        <v>1800</v>
      </c>
    </row>
    <row r="2321" spans="1:28" s="352" customFormat="1" ht="18" customHeight="1" x14ac:dyDescent="0.2">
      <c r="A2321" s="2788" t="s">
        <v>76</v>
      </c>
      <c r="B2321" s="2788"/>
      <c r="C2321" s="2779" t="s">
        <v>77</v>
      </c>
      <c r="D2321" s="2779"/>
      <c r="E2321" s="2779"/>
      <c r="F2321" s="2779"/>
      <c r="G2321" s="2779"/>
      <c r="H2321" s="2779"/>
      <c r="I2321" s="424" t="s">
        <v>78</v>
      </c>
      <c r="J2321" s="424"/>
      <c r="K2321" s="424"/>
      <c r="L2321" s="424"/>
      <c r="M2321" s="424"/>
      <c r="N2321" s="424"/>
      <c r="AB2321" s="425"/>
    </row>
    <row r="2322" spans="1:28" s="352" customFormat="1" ht="18" customHeight="1" x14ac:dyDescent="0.2">
      <c r="A2322" s="424"/>
      <c r="B2322" s="426"/>
      <c r="C2322" s="424"/>
      <c r="D2322" s="424"/>
      <c r="E2322" s="424"/>
      <c r="F2322" s="424"/>
      <c r="G2322" s="424"/>
      <c r="H2322" s="424"/>
      <c r="I2322" s="424" t="s">
        <v>79</v>
      </c>
      <c r="J2322" s="424"/>
      <c r="K2322" s="424"/>
      <c r="L2322" s="424"/>
      <c r="M2322" s="424"/>
      <c r="N2322" s="424"/>
      <c r="AB2322" s="425"/>
    </row>
    <row r="2323" spans="1:28" s="352" customFormat="1" ht="18" customHeight="1" x14ac:dyDescent="0.2">
      <c r="A2323" s="424"/>
      <c r="B2323" s="426"/>
      <c r="C2323" s="424"/>
      <c r="D2323" s="424"/>
      <c r="E2323" s="424"/>
      <c r="F2323" s="424"/>
      <c r="G2323" s="424"/>
      <c r="H2323" s="424"/>
      <c r="I2323" s="424" t="s">
        <v>80</v>
      </c>
      <c r="J2323" s="424"/>
      <c r="K2323" s="424"/>
      <c r="L2323" s="424"/>
      <c r="M2323" s="424"/>
      <c r="N2323" s="424"/>
      <c r="AB2323" s="425"/>
    </row>
    <row r="2324" spans="1:28" s="352" customFormat="1" ht="18" customHeight="1" x14ac:dyDescent="0.2">
      <c r="A2324" s="424"/>
      <c r="B2324" s="426"/>
      <c r="C2324" s="424"/>
      <c r="D2324" s="424"/>
      <c r="E2324" s="424"/>
      <c r="F2324" s="424"/>
      <c r="G2324" s="424"/>
      <c r="H2324" s="424"/>
      <c r="I2324" s="424" t="s">
        <v>81</v>
      </c>
      <c r="J2324" s="424"/>
      <c r="K2324" s="424"/>
      <c r="L2324" s="424"/>
      <c r="M2324" s="424"/>
      <c r="N2324" s="424"/>
      <c r="AB2324" s="425"/>
    </row>
    <row r="2325" spans="1:28" s="352" customFormat="1" ht="18" customHeight="1" x14ac:dyDescent="0.2">
      <c r="A2325" s="424"/>
      <c r="B2325" s="426"/>
      <c r="C2325" s="424"/>
      <c r="D2325" s="424"/>
      <c r="E2325" s="424"/>
      <c r="F2325" s="424"/>
      <c r="G2325" s="424"/>
      <c r="H2325" s="424"/>
      <c r="I2325" s="424" t="s">
        <v>88</v>
      </c>
      <c r="J2325" s="424"/>
      <c r="K2325" s="424"/>
      <c r="L2325" s="424"/>
      <c r="M2325" s="424"/>
      <c r="N2325" s="424"/>
      <c r="AB2325" s="425"/>
    </row>
    <row r="2326" spans="1:28" s="352" customFormat="1" ht="18" customHeight="1" x14ac:dyDescent="0.2">
      <c r="A2326" s="338"/>
      <c r="B2326" s="338"/>
      <c r="C2326" s="338"/>
      <c r="D2326" s="338"/>
      <c r="E2326" s="338"/>
      <c r="F2326" s="338"/>
      <c r="G2326" s="338"/>
      <c r="H2326" s="338"/>
      <c r="I2326" s="338"/>
      <c r="J2326" s="338"/>
      <c r="K2326" s="338"/>
      <c r="L2326" s="338"/>
      <c r="M2326" s="338"/>
      <c r="N2326" s="338"/>
      <c r="O2326" s="338"/>
      <c r="P2326" s="338"/>
      <c r="Q2326" s="338"/>
      <c r="R2326" s="338"/>
      <c r="S2326" s="338"/>
      <c r="T2326" s="338"/>
      <c r="U2326" s="338"/>
      <c r="V2326" s="338"/>
      <c r="W2326" s="338"/>
      <c r="X2326" s="338"/>
      <c r="Y2326" s="338"/>
      <c r="Z2326" s="338"/>
      <c r="AA2326" s="2774" t="s">
        <v>0</v>
      </c>
      <c r="AB2326" s="2774"/>
    </row>
    <row r="2327" spans="1:28" s="352" customFormat="1" ht="18" customHeight="1" x14ac:dyDescent="0.2">
      <c r="A2327" s="2703" t="s">
        <v>1</v>
      </c>
      <c r="B2327" s="2703"/>
      <c r="C2327" s="2703"/>
      <c r="D2327" s="2703"/>
      <c r="E2327" s="2703"/>
      <c r="F2327" s="2703"/>
      <c r="G2327" s="2703"/>
      <c r="H2327" s="2703"/>
      <c r="I2327" s="2703"/>
      <c r="J2327" s="2703"/>
      <c r="K2327" s="2703"/>
      <c r="L2327" s="2703"/>
      <c r="M2327" s="2703"/>
      <c r="N2327" s="2703"/>
      <c r="O2327" s="2703"/>
      <c r="P2327" s="2703"/>
      <c r="Q2327" s="2703"/>
      <c r="R2327" s="2703"/>
      <c r="S2327" s="2703"/>
      <c r="T2327" s="2703"/>
      <c r="U2327" s="2703"/>
      <c r="V2327" s="2703"/>
      <c r="W2327" s="2703"/>
      <c r="X2327" s="2703"/>
      <c r="Y2327" s="2703"/>
      <c r="Z2327" s="2703"/>
      <c r="AA2327" s="2703"/>
      <c r="AB2327" s="2703"/>
    </row>
    <row r="2328" spans="1:28" s="2191" customFormat="1" ht="18" customHeight="1" x14ac:dyDescent="0.2">
      <c r="A2328" s="2780" t="s">
        <v>671</v>
      </c>
      <c r="B2328" s="2780"/>
      <c r="C2328" s="2780"/>
      <c r="D2328" s="2780"/>
      <c r="E2328" s="2780"/>
      <c r="F2328" s="2780"/>
      <c r="G2328" s="2780"/>
      <c r="H2328" s="2780"/>
      <c r="I2328" s="2780"/>
      <c r="J2328" s="2780"/>
      <c r="K2328" s="2780"/>
      <c r="L2328" s="2780"/>
      <c r="M2328" s="2780"/>
      <c r="N2328" s="2780"/>
      <c r="O2328" s="2780"/>
      <c r="P2328" s="2780"/>
      <c r="Q2328" s="2780"/>
      <c r="R2328" s="2780"/>
      <c r="S2328" s="2780"/>
      <c r="T2328" s="2780"/>
      <c r="U2328" s="2780"/>
      <c r="V2328" s="2780"/>
      <c r="W2328" s="2780"/>
      <c r="X2328" s="2780"/>
      <c r="Y2328" s="2780"/>
      <c r="Z2328" s="2780"/>
      <c r="AA2328" s="2780"/>
      <c r="AB2328" s="2780"/>
    </row>
    <row r="2329" spans="1:28" s="352" customFormat="1" ht="18" customHeight="1" x14ac:dyDescent="0.2">
      <c r="A2329" s="2686" t="s">
        <v>2</v>
      </c>
      <c r="B2329" s="360"/>
      <c r="C2329" s="2686" t="s">
        <v>3</v>
      </c>
      <c r="D2329" s="360"/>
      <c r="E2329" s="360"/>
      <c r="F2329" s="2693" t="s">
        <v>4</v>
      </c>
      <c r="G2329" s="2693"/>
      <c r="H2329" s="2693"/>
      <c r="I2329" s="2694"/>
      <c r="J2329" s="2694"/>
      <c r="K2329" s="2695"/>
      <c r="L2329" s="361"/>
      <c r="M2329" s="2679" t="s">
        <v>5</v>
      </c>
      <c r="N2329" s="2679"/>
      <c r="O2329" s="2679"/>
      <c r="P2329" s="2679"/>
      <c r="Q2329" s="2696"/>
      <c r="R2329" s="2696"/>
      <c r="S2329" s="2696"/>
      <c r="T2329" s="2696"/>
      <c r="U2329" s="2696"/>
      <c r="V2329" s="2697"/>
      <c r="W2329" s="362" t="s">
        <v>6</v>
      </c>
      <c r="X2329" s="363" t="s">
        <v>7</v>
      </c>
      <c r="Y2329" s="364"/>
      <c r="Z2329" s="364"/>
      <c r="AA2329" s="363"/>
      <c r="AB2329" s="365"/>
    </row>
    <row r="2330" spans="1:28" s="352" customFormat="1" ht="18" customHeight="1" x14ac:dyDescent="0.2">
      <c r="A2330" s="2687"/>
      <c r="B2330" s="367"/>
      <c r="C2330" s="2687"/>
      <c r="D2330" s="2158" t="s">
        <v>9</v>
      </c>
      <c r="E2330" s="368" t="s">
        <v>10</v>
      </c>
      <c r="F2330" s="2698" t="s">
        <v>11</v>
      </c>
      <c r="G2330" s="2694"/>
      <c r="H2330" s="2695"/>
      <c r="I2330" s="360"/>
      <c r="J2330" s="369" t="s">
        <v>12</v>
      </c>
      <c r="K2330" s="360"/>
      <c r="L2330" s="2679" t="s">
        <v>2</v>
      </c>
      <c r="M2330" s="2162"/>
      <c r="N2330" s="2162"/>
      <c r="O2330" s="2162"/>
      <c r="P2330" s="371"/>
      <c r="Q2330" s="372" t="s">
        <v>13</v>
      </c>
      <c r="R2330" s="373" t="s">
        <v>12</v>
      </c>
      <c r="S2330" s="2162" t="s">
        <v>6</v>
      </c>
      <c r="T2330" s="2682" t="s">
        <v>14</v>
      </c>
      <c r="U2330" s="2683"/>
      <c r="V2330" s="375" t="s">
        <v>7</v>
      </c>
      <c r="W2330" s="376" t="s">
        <v>15</v>
      </c>
      <c r="X2330" s="377" t="s">
        <v>16</v>
      </c>
      <c r="Y2330" s="377" t="s">
        <v>17</v>
      </c>
      <c r="Z2330" s="377" t="s">
        <v>18</v>
      </c>
      <c r="AA2330" s="377"/>
      <c r="AB2330" s="378" t="s">
        <v>19</v>
      </c>
    </row>
    <row r="2331" spans="1:28" s="352" customFormat="1" ht="18" customHeight="1" x14ac:dyDescent="0.2">
      <c r="A2331" s="2687"/>
      <c r="B2331" s="2158" t="s">
        <v>23</v>
      </c>
      <c r="C2331" s="2687"/>
      <c r="D2331" s="2158" t="s">
        <v>24</v>
      </c>
      <c r="E2331" s="368" t="s">
        <v>25</v>
      </c>
      <c r="F2331" s="2699"/>
      <c r="G2331" s="2700"/>
      <c r="H2331" s="2701"/>
      <c r="I2331" s="2158" t="s">
        <v>26</v>
      </c>
      <c r="J2331" s="379" t="s">
        <v>15</v>
      </c>
      <c r="K2331" s="2159" t="s">
        <v>6</v>
      </c>
      <c r="L2331" s="2680"/>
      <c r="M2331" s="2163" t="s">
        <v>27</v>
      </c>
      <c r="N2331" s="2163" t="s">
        <v>10</v>
      </c>
      <c r="O2331" s="382" t="s">
        <v>10</v>
      </c>
      <c r="P2331" s="383" t="s">
        <v>28</v>
      </c>
      <c r="Q2331" s="384" t="s">
        <v>29</v>
      </c>
      <c r="R2331" s="383" t="s">
        <v>15</v>
      </c>
      <c r="S2331" s="385" t="s">
        <v>15</v>
      </c>
      <c r="T2331" s="2684"/>
      <c r="U2331" s="2685"/>
      <c r="V2331" s="375" t="s">
        <v>30</v>
      </c>
      <c r="W2331" s="376" t="s">
        <v>31</v>
      </c>
      <c r="X2331" s="377" t="s">
        <v>30</v>
      </c>
      <c r="Y2331" s="377" t="s">
        <v>32</v>
      </c>
      <c r="Z2331" s="377" t="s">
        <v>7</v>
      </c>
      <c r="AA2331" s="377" t="s">
        <v>33</v>
      </c>
      <c r="AB2331" s="378" t="s">
        <v>34</v>
      </c>
    </row>
    <row r="2332" spans="1:28" s="352" customFormat="1" ht="18" customHeight="1" x14ac:dyDescent="0.2">
      <c r="A2332" s="2687"/>
      <c r="B2332" s="2158" t="s">
        <v>39</v>
      </c>
      <c r="C2332" s="2687"/>
      <c r="D2332" s="2158" t="s">
        <v>40</v>
      </c>
      <c r="E2332" s="368" t="s">
        <v>41</v>
      </c>
      <c r="F2332" s="2686" t="s">
        <v>42</v>
      </c>
      <c r="G2332" s="2686" t="s">
        <v>43</v>
      </c>
      <c r="H2332" s="2688" t="s">
        <v>44</v>
      </c>
      <c r="I2332" s="2158" t="s">
        <v>45</v>
      </c>
      <c r="J2332" s="379" t="s">
        <v>46</v>
      </c>
      <c r="K2332" s="2159" t="s">
        <v>47</v>
      </c>
      <c r="L2332" s="2680"/>
      <c r="M2332" s="2163" t="s">
        <v>30</v>
      </c>
      <c r="N2332" s="2163" t="s">
        <v>30</v>
      </c>
      <c r="O2332" s="382" t="s">
        <v>25</v>
      </c>
      <c r="P2332" s="383" t="s">
        <v>30</v>
      </c>
      <c r="Q2332" s="384" t="s">
        <v>48</v>
      </c>
      <c r="R2332" s="383" t="s">
        <v>49</v>
      </c>
      <c r="S2332" s="385" t="s">
        <v>30</v>
      </c>
      <c r="T2332" s="386" t="s">
        <v>50</v>
      </c>
      <c r="U2332" s="2161" t="s">
        <v>13</v>
      </c>
      <c r="V2332" s="375" t="s">
        <v>51</v>
      </c>
      <c r="W2332" s="376" t="s">
        <v>52</v>
      </c>
      <c r="X2332" s="377" t="s">
        <v>53</v>
      </c>
      <c r="Y2332" s="377" t="s">
        <v>54</v>
      </c>
      <c r="Z2332" s="377" t="s">
        <v>55</v>
      </c>
      <c r="AA2332" s="377" t="s">
        <v>56</v>
      </c>
      <c r="AB2332" s="378" t="s">
        <v>57</v>
      </c>
    </row>
    <row r="2333" spans="1:28" s="352" customFormat="1" ht="18" customHeight="1" x14ac:dyDescent="0.2">
      <c r="A2333" s="2687"/>
      <c r="B2333" s="2158" t="s">
        <v>61</v>
      </c>
      <c r="C2333" s="2687"/>
      <c r="D2333" s="2158" t="s">
        <v>62</v>
      </c>
      <c r="E2333" s="368" t="s">
        <v>63</v>
      </c>
      <c r="F2333" s="2687"/>
      <c r="G2333" s="2687"/>
      <c r="H2333" s="2689"/>
      <c r="I2333" s="2158" t="s">
        <v>64</v>
      </c>
      <c r="J2333" s="379" t="s">
        <v>59</v>
      </c>
      <c r="K2333" s="2159" t="s">
        <v>59</v>
      </c>
      <c r="L2333" s="2680"/>
      <c r="M2333" s="2163"/>
      <c r="N2333" s="2163"/>
      <c r="O2333" s="382" t="s">
        <v>41</v>
      </c>
      <c r="P2333" s="383" t="s">
        <v>65</v>
      </c>
      <c r="Q2333" s="384" t="s">
        <v>66</v>
      </c>
      <c r="R2333" s="383" t="s">
        <v>67</v>
      </c>
      <c r="S2333" s="385" t="s">
        <v>59</v>
      </c>
      <c r="T2333" s="387" t="s">
        <v>68</v>
      </c>
      <c r="U2333" s="375" t="s">
        <v>14</v>
      </c>
      <c r="V2333" s="375" t="s">
        <v>14</v>
      </c>
      <c r="W2333" s="376" t="s">
        <v>30</v>
      </c>
      <c r="X2333" s="388" t="s">
        <v>69</v>
      </c>
      <c r="Y2333" s="388" t="s">
        <v>70</v>
      </c>
      <c r="Z2333" s="377" t="s">
        <v>71</v>
      </c>
      <c r="AA2333" s="377" t="s">
        <v>72</v>
      </c>
      <c r="AB2333" s="378" t="s">
        <v>59</v>
      </c>
    </row>
    <row r="2334" spans="1:28" s="352" customFormat="1" ht="18" customHeight="1" x14ac:dyDescent="0.2">
      <c r="A2334" s="2692"/>
      <c r="B2334" s="390"/>
      <c r="C2334" s="2692"/>
      <c r="D2334" s="390"/>
      <c r="E2334" s="2160"/>
      <c r="F2334" s="390"/>
      <c r="G2334" s="390"/>
      <c r="H2334" s="391"/>
      <c r="I2334" s="2160"/>
      <c r="J2334" s="392"/>
      <c r="K2334" s="393"/>
      <c r="L2334" s="2681"/>
      <c r="M2334" s="2164"/>
      <c r="N2334" s="2164"/>
      <c r="O2334" s="2164" t="s">
        <v>63</v>
      </c>
      <c r="P2334" s="395"/>
      <c r="Q2334" s="396" t="s">
        <v>72</v>
      </c>
      <c r="R2334" s="397" t="s">
        <v>59</v>
      </c>
      <c r="S2334" s="398"/>
      <c r="T2334" s="397" t="s">
        <v>73</v>
      </c>
      <c r="U2334" s="398" t="s">
        <v>59</v>
      </c>
      <c r="V2334" s="399" t="s">
        <v>59</v>
      </c>
      <c r="W2334" s="400" t="s">
        <v>59</v>
      </c>
      <c r="X2334" s="401" t="s">
        <v>59</v>
      </c>
      <c r="Y2334" s="401" t="s">
        <v>59</v>
      </c>
      <c r="Z2334" s="401" t="s">
        <v>59</v>
      </c>
      <c r="AA2334" s="402"/>
      <c r="AB2334" s="403"/>
    </row>
    <row r="2335" spans="1:28" s="352" customFormat="1" ht="18" customHeight="1" x14ac:dyDescent="0.25">
      <c r="A2335" s="2169">
        <v>1</v>
      </c>
      <c r="B2335" s="53">
        <v>23220</v>
      </c>
      <c r="C2335" s="82">
        <v>1065</v>
      </c>
      <c r="D2335" s="41" t="s">
        <v>84</v>
      </c>
      <c r="E2335" s="41">
        <v>4</v>
      </c>
      <c r="F2335" s="41">
        <v>0</v>
      </c>
      <c r="G2335" s="41">
        <v>0</v>
      </c>
      <c r="H2335" s="267">
        <v>78</v>
      </c>
      <c r="I2335" s="302">
        <f>F2335*400+G2335*100+H2335</f>
        <v>78</v>
      </c>
      <c r="J2335" s="310">
        <v>3000</v>
      </c>
      <c r="K2335" s="310">
        <f>SUM(I2335*J2335)</f>
        <v>234000</v>
      </c>
      <c r="L2335" s="480"/>
      <c r="M2335" s="481"/>
      <c r="N2335" s="480"/>
      <c r="O2335" s="480"/>
      <c r="P2335" s="482"/>
      <c r="Q2335" s="483"/>
      <c r="R2335" s="484"/>
      <c r="S2335" s="485"/>
      <c r="T2335" s="483"/>
      <c r="U2335" s="485"/>
      <c r="V2335" s="486"/>
      <c r="W2335" s="302">
        <f>K2335</f>
        <v>234000</v>
      </c>
      <c r="X2335" s="310">
        <f>W2335</f>
        <v>234000</v>
      </c>
      <c r="Y2335" s="310"/>
      <c r="Z2335" s="302">
        <f>+X2335</f>
        <v>234000</v>
      </c>
      <c r="AA2335" s="405">
        <v>0.6</v>
      </c>
      <c r="AB2335" s="406">
        <f>+Z2335*AA2335/100</f>
        <v>1404</v>
      </c>
    </row>
    <row r="2336" spans="1:28" s="352" customFormat="1" ht="18" customHeight="1" x14ac:dyDescent="0.25">
      <c r="A2336" s="88">
        <v>2</v>
      </c>
      <c r="B2336" s="61">
        <v>23202</v>
      </c>
      <c r="C2336" s="2166">
        <v>1060</v>
      </c>
      <c r="D2336" s="15" t="s">
        <v>84</v>
      </c>
      <c r="E2336" s="15">
        <v>4</v>
      </c>
      <c r="F2336" s="15">
        <v>0</v>
      </c>
      <c r="G2336" s="15">
        <v>0</v>
      </c>
      <c r="H2336" s="284">
        <v>22</v>
      </c>
      <c r="I2336" s="296">
        <f>F2336*400+G2336*100+H2336</f>
        <v>22</v>
      </c>
      <c r="J2336" s="306">
        <v>3000</v>
      </c>
      <c r="K2336" s="306">
        <f>SUM(I2336*J2336)</f>
        <v>66000</v>
      </c>
      <c r="L2336" s="487"/>
      <c r="M2336" s="488"/>
      <c r="N2336" s="487"/>
      <c r="O2336" s="487"/>
      <c r="P2336" s="489"/>
      <c r="Q2336" s="490"/>
      <c r="R2336" s="491"/>
      <c r="S2336" s="492"/>
      <c r="T2336" s="490"/>
      <c r="U2336" s="492"/>
      <c r="V2336" s="493"/>
      <c r="W2336" s="296">
        <f>K2336</f>
        <v>66000</v>
      </c>
      <c r="X2336" s="306">
        <f>W2336</f>
        <v>66000</v>
      </c>
      <c r="Y2336" s="306"/>
      <c r="Z2336" s="296">
        <f>+X2336</f>
        <v>66000</v>
      </c>
      <c r="AA2336" s="494">
        <v>0.6</v>
      </c>
      <c r="AB2336" s="410">
        <f>+Z2336*AA2336/100</f>
        <v>396</v>
      </c>
    </row>
    <row r="2337" spans="1:28" s="352" customFormat="1" ht="18" customHeight="1" x14ac:dyDescent="0.2">
      <c r="A2337" s="2166"/>
      <c r="B2337" s="61"/>
      <c r="C2337" s="2166"/>
      <c r="D2337" s="2166"/>
      <c r="E2337" s="2166"/>
      <c r="F2337" s="2166"/>
      <c r="G2337" s="2166"/>
      <c r="H2337" s="407"/>
      <c r="I2337" s="77"/>
      <c r="J2337" s="2168"/>
      <c r="K2337" s="2168"/>
      <c r="L2337" s="488"/>
      <c r="M2337" s="488"/>
      <c r="N2337" s="488"/>
      <c r="O2337" s="488"/>
      <c r="P2337" s="819"/>
      <c r="Q2337" s="819"/>
      <c r="R2337" s="820"/>
      <c r="S2337" s="820"/>
      <c r="T2337" s="819"/>
      <c r="U2337" s="820"/>
      <c r="V2337" s="821"/>
      <c r="W2337" s="77"/>
      <c r="X2337" s="2168"/>
      <c r="Y2337" s="2168"/>
      <c r="Z2337" s="77"/>
      <c r="AA2337" s="2170"/>
      <c r="AB2337" s="410"/>
    </row>
    <row r="2338" spans="1:28" s="352" customFormat="1" ht="18" customHeight="1" x14ac:dyDescent="0.2">
      <c r="A2338" s="88"/>
      <c r="B2338" s="75"/>
      <c r="C2338" s="88"/>
      <c r="D2338" s="88"/>
      <c r="E2338" s="88"/>
      <c r="F2338" s="88"/>
      <c r="G2338" s="88"/>
      <c r="H2338" s="495"/>
      <c r="I2338" s="77"/>
      <c r="J2338" s="2168"/>
      <c r="K2338" s="2168"/>
      <c r="L2338" s="61"/>
      <c r="M2338" s="2166"/>
      <c r="N2338" s="2166"/>
      <c r="O2338" s="61"/>
      <c r="P2338" s="177"/>
      <c r="Q2338" s="196"/>
      <c r="R2338" s="408"/>
      <c r="S2338" s="77"/>
      <c r="T2338" s="2166"/>
      <c r="U2338" s="77"/>
      <c r="V2338" s="77"/>
      <c r="W2338" s="77"/>
      <c r="X2338" s="2168"/>
      <c r="Y2338" s="2168"/>
      <c r="Z2338" s="77"/>
      <c r="AA2338" s="2170"/>
      <c r="AB2338" s="466"/>
    </row>
    <row r="2339" spans="1:28" s="352" customFormat="1" ht="18" customHeight="1" x14ac:dyDescent="0.2">
      <c r="A2339" s="2166"/>
      <c r="B2339" s="61"/>
      <c r="C2339" s="2166"/>
      <c r="D2339" s="2166"/>
      <c r="E2339" s="2166"/>
      <c r="F2339" s="2166"/>
      <c r="G2339" s="2166"/>
      <c r="H2339" s="407"/>
      <c r="I2339" s="77"/>
      <c r="J2339" s="2168"/>
      <c r="K2339" s="78"/>
      <c r="L2339" s="61"/>
      <c r="M2339" s="2166"/>
      <c r="N2339" s="2166"/>
      <c r="O2339" s="61"/>
      <c r="P2339" s="177"/>
      <c r="Q2339" s="196"/>
      <c r="R2339" s="408"/>
      <c r="S2339" s="77"/>
      <c r="T2339" s="2166"/>
      <c r="U2339" s="77"/>
      <c r="V2339" s="77"/>
      <c r="W2339" s="77"/>
      <c r="X2339" s="77"/>
      <c r="Y2339" s="2168"/>
      <c r="Z2339" s="77"/>
      <c r="AA2339" s="2170"/>
      <c r="AB2339" s="410"/>
    </row>
    <row r="2340" spans="1:28" s="352" customFormat="1" ht="18" customHeight="1" x14ac:dyDescent="0.2">
      <c r="A2340" s="2166"/>
      <c r="B2340" s="61"/>
      <c r="C2340" s="2166"/>
      <c r="D2340" s="2166"/>
      <c r="E2340" s="2166"/>
      <c r="F2340" s="2166"/>
      <c r="G2340" s="2166"/>
      <c r="H2340" s="407"/>
      <c r="I2340" s="77"/>
      <c r="J2340" s="2168"/>
      <c r="K2340" s="78"/>
      <c r="L2340" s="61"/>
      <c r="M2340" s="2166"/>
      <c r="N2340" s="2166"/>
      <c r="O2340" s="61"/>
      <c r="P2340" s="177"/>
      <c r="Q2340" s="196"/>
      <c r="R2340" s="408"/>
      <c r="S2340" s="77"/>
      <c r="T2340" s="2166"/>
      <c r="U2340" s="77"/>
      <c r="V2340" s="77"/>
      <c r="W2340" s="77"/>
      <c r="X2340" s="77"/>
      <c r="Y2340" s="2168"/>
      <c r="Z2340" s="77"/>
      <c r="AA2340" s="2170"/>
      <c r="AB2340" s="410"/>
    </row>
    <row r="2341" spans="1:28" s="352" customFormat="1" ht="18" customHeight="1" x14ac:dyDescent="0.2">
      <c r="A2341" s="2166"/>
      <c r="B2341" s="61"/>
      <c r="C2341" s="2166"/>
      <c r="D2341" s="2166"/>
      <c r="E2341" s="2166"/>
      <c r="F2341" s="2166"/>
      <c r="G2341" s="2166"/>
      <c r="H2341" s="407"/>
      <c r="I2341" s="77"/>
      <c r="J2341" s="2168"/>
      <c r="K2341" s="78"/>
      <c r="L2341" s="61"/>
      <c r="M2341" s="2166"/>
      <c r="N2341" s="2166"/>
      <c r="O2341" s="61"/>
      <c r="P2341" s="177"/>
      <c r="Q2341" s="196"/>
      <c r="R2341" s="408"/>
      <c r="S2341" s="77"/>
      <c r="T2341" s="2166"/>
      <c r="U2341" s="77"/>
      <c r="V2341" s="77"/>
      <c r="W2341" s="77"/>
      <c r="X2341" s="77"/>
      <c r="Y2341" s="2168"/>
      <c r="Z2341" s="77"/>
      <c r="AA2341" s="2170"/>
      <c r="AB2341" s="410"/>
    </row>
    <row r="2342" spans="1:28" s="352" customFormat="1" ht="18" customHeight="1" x14ac:dyDescent="0.2">
      <c r="A2342" s="88"/>
      <c r="B2342" s="75"/>
      <c r="C2342" s="88"/>
      <c r="D2342" s="88"/>
      <c r="E2342" s="2166"/>
      <c r="F2342" s="411"/>
      <c r="G2342" s="242"/>
      <c r="H2342" s="412"/>
      <c r="I2342" s="159"/>
      <c r="J2342" s="121"/>
      <c r="K2342" s="159"/>
      <c r="L2342" s="75"/>
      <c r="M2342" s="88"/>
      <c r="N2342" s="88"/>
      <c r="O2342" s="75"/>
      <c r="P2342" s="180"/>
      <c r="Q2342" s="174"/>
      <c r="R2342" s="413"/>
      <c r="S2342" s="74"/>
      <c r="T2342" s="88"/>
      <c r="U2342" s="74"/>
      <c r="V2342" s="74"/>
      <c r="W2342" s="74"/>
      <c r="X2342" s="74"/>
      <c r="Y2342" s="121"/>
      <c r="Z2342" s="74"/>
      <c r="AA2342" s="414"/>
      <c r="AB2342" s="415"/>
    </row>
    <row r="2343" spans="1:28" s="352" customFormat="1" ht="18" customHeight="1" x14ac:dyDescent="0.2">
      <c r="A2343" s="88"/>
      <c r="B2343" s="75"/>
      <c r="C2343" s="88"/>
      <c r="D2343" s="231"/>
      <c r="E2343" s="2166"/>
      <c r="F2343" s="411"/>
      <c r="G2343" s="242"/>
      <c r="H2343" s="412"/>
      <c r="I2343" s="159"/>
      <c r="J2343" s="121"/>
      <c r="K2343" s="159"/>
      <c r="L2343" s="75"/>
      <c r="M2343" s="88"/>
      <c r="N2343" s="88"/>
      <c r="O2343" s="75"/>
      <c r="P2343" s="180"/>
      <c r="Q2343" s="174"/>
      <c r="R2343" s="413"/>
      <c r="S2343" s="74"/>
      <c r="T2343" s="88"/>
      <c r="U2343" s="74"/>
      <c r="V2343" s="74"/>
      <c r="W2343" s="74"/>
      <c r="X2343" s="74"/>
      <c r="Y2343" s="121"/>
      <c r="Z2343" s="74"/>
      <c r="AA2343" s="417"/>
      <c r="AB2343" s="410"/>
    </row>
    <row r="2344" spans="1:28" s="352" customFormat="1" ht="18" customHeight="1" x14ac:dyDescent="0.2">
      <c r="A2344" s="88"/>
      <c r="B2344" s="75"/>
      <c r="C2344" s="88"/>
      <c r="D2344" s="88"/>
      <c r="E2344" s="2166"/>
      <c r="F2344" s="411"/>
      <c r="G2344" s="242"/>
      <c r="H2344" s="412"/>
      <c r="I2344" s="159"/>
      <c r="J2344" s="121"/>
      <c r="K2344" s="159"/>
      <c r="L2344" s="75"/>
      <c r="M2344" s="88"/>
      <c r="N2344" s="88"/>
      <c r="O2344" s="75"/>
      <c r="P2344" s="180"/>
      <c r="Q2344" s="174"/>
      <c r="R2344" s="413"/>
      <c r="S2344" s="74"/>
      <c r="T2344" s="88"/>
      <c r="U2344" s="74"/>
      <c r="V2344" s="74"/>
      <c r="W2344" s="74"/>
      <c r="X2344" s="74"/>
      <c r="Y2344" s="121"/>
      <c r="Z2344" s="74"/>
      <c r="AA2344" s="414"/>
      <c r="AB2344" s="416"/>
    </row>
    <row r="2345" spans="1:28" s="352" customFormat="1" ht="18" customHeight="1" x14ac:dyDescent="0.2">
      <c r="A2345" s="88"/>
      <c r="B2345" s="75"/>
      <c r="C2345" s="88"/>
      <c r="D2345" s="88"/>
      <c r="E2345" s="2166"/>
      <c r="F2345" s="411"/>
      <c r="G2345" s="242"/>
      <c r="H2345" s="412"/>
      <c r="I2345" s="159"/>
      <c r="J2345" s="121"/>
      <c r="K2345" s="159"/>
      <c r="L2345" s="75"/>
      <c r="M2345" s="88"/>
      <c r="N2345" s="88"/>
      <c r="O2345" s="75"/>
      <c r="P2345" s="180"/>
      <c r="Q2345" s="174"/>
      <c r="R2345" s="413"/>
      <c r="S2345" s="74"/>
      <c r="T2345" s="88"/>
      <c r="U2345" s="74"/>
      <c r="V2345" s="74"/>
      <c r="W2345" s="74"/>
      <c r="X2345" s="74"/>
      <c r="Y2345" s="121"/>
      <c r="Z2345" s="74"/>
      <c r="AA2345" s="414"/>
      <c r="AB2345" s="415"/>
    </row>
    <row r="2346" spans="1:28" s="352" customFormat="1" ht="18" customHeight="1" x14ac:dyDescent="0.2">
      <c r="A2346" s="88"/>
      <c r="B2346" s="75"/>
      <c r="C2346" s="88"/>
      <c r="D2346" s="2165"/>
      <c r="E2346" s="2166"/>
      <c r="F2346" s="411"/>
      <c r="G2346" s="242"/>
      <c r="H2346" s="412"/>
      <c r="I2346" s="159"/>
      <c r="J2346" s="121"/>
      <c r="K2346" s="159"/>
      <c r="L2346" s="75"/>
      <c r="M2346" s="88"/>
      <c r="N2346" s="88"/>
      <c r="O2346" s="75"/>
      <c r="P2346" s="180"/>
      <c r="Q2346" s="174"/>
      <c r="R2346" s="413"/>
      <c r="S2346" s="74"/>
      <c r="T2346" s="88"/>
      <c r="U2346" s="74"/>
      <c r="V2346" s="74"/>
      <c r="W2346" s="74"/>
      <c r="X2346" s="74"/>
      <c r="Y2346" s="121"/>
      <c r="Z2346" s="74"/>
      <c r="AA2346" s="417"/>
      <c r="AB2346" s="410"/>
    </row>
    <row r="2347" spans="1:28" s="352" customFormat="1" ht="18" customHeight="1" x14ac:dyDescent="0.2">
      <c r="A2347" s="88"/>
      <c r="B2347" s="75"/>
      <c r="C2347" s="88"/>
      <c r="D2347" s="2165"/>
      <c r="E2347" s="2166"/>
      <c r="F2347" s="411"/>
      <c r="G2347" s="242"/>
      <c r="H2347" s="412"/>
      <c r="I2347" s="159"/>
      <c r="J2347" s="121"/>
      <c r="K2347" s="159"/>
      <c r="L2347" s="75"/>
      <c r="M2347" s="88"/>
      <c r="N2347" s="88"/>
      <c r="O2347" s="75"/>
      <c r="P2347" s="180"/>
      <c r="Q2347" s="174"/>
      <c r="R2347" s="413"/>
      <c r="S2347" s="74"/>
      <c r="T2347" s="88"/>
      <c r="U2347" s="74"/>
      <c r="V2347" s="74"/>
      <c r="W2347" s="74"/>
      <c r="X2347" s="74"/>
      <c r="Y2347" s="121"/>
      <c r="Z2347" s="74"/>
      <c r="AA2347" s="414"/>
      <c r="AB2347" s="416"/>
    </row>
    <row r="2348" spans="1:28" s="352" customFormat="1" ht="18" customHeight="1" x14ac:dyDescent="0.2">
      <c r="A2348" s="88"/>
      <c r="B2348" s="418"/>
      <c r="C2348" s="88"/>
      <c r="D2348" s="88"/>
      <c r="E2348" s="88"/>
      <c r="F2348" s="411"/>
      <c r="G2348" s="242"/>
      <c r="H2348" s="412"/>
      <c r="I2348" s="159"/>
      <c r="J2348" s="121"/>
      <c r="K2348" s="159"/>
      <c r="L2348" s="75"/>
      <c r="M2348" s="88"/>
      <c r="N2348" s="88"/>
      <c r="O2348" s="75"/>
      <c r="P2348" s="180"/>
      <c r="Q2348" s="174"/>
      <c r="R2348" s="413"/>
      <c r="S2348" s="74"/>
      <c r="T2348" s="88"/>
      <c r="U2348" s="74"/>
      <c r="V2348" s="74"/>
      <c r="W2348" s="74"/>
      <c r="X2348" s="74"/>
      <c r="Y2348" s="121"/>
      <c r="Z2348" s="74"/>
      <c r="AA2348" s="414"/>
      <c r="AB2348" s="410"/>
    </row>
    <row r="2349" spans="1:28" s="352" customFormat="1" ht="18" customHeight="1" x14ac:dyDescent="0.2">
      <c r="A2349" s="1147"/>
      <c r="B2349" s="1989"/>
      <c r="C2349" s="1147"/>
      <c r="D2349" s="1147"/>
      <c r="E2349" s="1147"/>
      <c r="F2349" s="1147"/>
      <c r="G2349" s="1147"/>
      <c r="H2349" s="1990"/>
      <c r="I2349" s="1991"/>
      <c r="J2349" s="1868"/>
      <c r="K2349" s="1992"/>
      <c r="L2349" s="1989"/>
      <c r="M2349" s="1147"/>
      <c r="N2349" s="1147"/>
      <c r="O2349" s="1989"/>
      <c r="P2349" s="1867"/>
      <c r="Q2349" s="1993"/>
      <c r="R2349" s="1994"/>
      <c r="S2349" s="1991"/>
      <c r="T2349" s="1147"/>
      <c r="U2349" s="1991"/>
      <c r="V2349" s="1991"/>
      <c r="W2349" s="1991"/>
      <c r="X2349" s="1991"/>
      <c r="Y2349" s="1868"/>
      <c r="Z2349" s="1991"/>
      <c r="AA2349" s="1995"/>
      <c r="AB2349" s="1849">
        <f>SUM(AB2335:AB2348)</f>
        <v>1800</v>
      </c>
    </row>
    <row r="2350" spans="1:28" s="352" customFormat="1" ht="18" customHeight="1" x14ac:dyDescent="0.2">
      <c r="A2350" s="2788" t="s">
        <v>76</v>
      </c>
      <c r="B2350" s="2788"/>
      <c r="C2350" s="2779" t="s">
        <v>77</v>
      </c>
      <c r="D2350" s="2779"/>
      <c r="E2350" s="2779"/>
      <c r="F2350" s="2779"/>
      <c r="G2350" s="2779"/>
      <c r="H2350" s="2779"/>
      <c r="I2350" s="424" t="s">
        <v>78</v>
      </c>
      <c r="J2350" s="424"/>
      <c r="K2350" s="424"/>
      <c r="L2350" s="424"/>
      <c r="M2350" s="424"/>
      <c r="N2350" s="424"/>
      <c r="AB2350" s="425"/>
    </row>
    <row r="2351" spans="1:28" s="352" customFormat="1" ht="18" customHeight="1" x14ac:dyDescent="0.2">
      <c r="A2351" s="424"/>
      <c r="B2351" s="426"/>
      <c r="C2351" s="424"/>
      <c r="D2351" s="424"/>
      <c r="E2351" s="424"/>
      <c r="F2351" s="424"/>
      <c r="G2351" s="424"/>
      <c r="H2351" s="424"/>
      <c r="I2351" s="424" t="s">
        <v>79</v>
      </c>
      <c r="J2351" s="424"/>
      <c r="K2351" s="424"/>
      <c r="L2351" s="424"/>
      <c r="M2351" s="424"/>
      <c r="N2351" s="424"/>
      <c r="AB2351" s="425"/>
    </row>
    <row r="2352" spans="1:28" s="352" customFormat="1" ht="18" customHeight="1" x14ac:dyDescent="0.2">
      <c r="A2352" s="424"/>
      <c r="B2352" s="426"/>
      <c r="C2352" s="424"/>
      <c r="D2352" s="424"/>
      <c r="E2352" s="424"/>
      <c r="F2352" s="424"/>
      <c r="G2352" s="424"/>
      <c r="H2352" s="424"/>
      <c r="I2352" s="424" t="s">
        <v>80</v>
      </c>
      <c r="J2352" s="424"/>
      <c r="K2352" s="424"/>
      <c r="L2352" s="424"/>
      <c r="M2352" s="424"/>
      <c r="N2352" s="424"/>
      <c r="AB2352" s="425"/>
    </row>
    <row r="2353" spans="1:28" s="352" customFormat="1" ht="18" customHeight="1" x14ac:dyDescent="0.2">
      <c r="A2353" s="424"/>
      <c r="B2353" s="426"/>
      <c r="C2353" s="424"/>
      <c r="D2353" s="424"/>
      <c r="E2353" s="424"/>
      <c r="F2353" s="424"/>
      <c r="G2353" s="424"/>
      <c r="H2353" s="424"/>
      <c r="I2353" s="424" t="s">
        <v>81</v>
      </c>
      <c r="J2353" s="424"/>
      <c r="K2353" s="424"/>
      <c r="L2353" s="424"/>
      <c r="M2353" s="424"/>
      <c r="N2353" s="424"/>
      <c r="AB2353" s="425"/>
    </row>
    <row r="2354" spans="1:28" s="352" customFormat="1" ht="18" customHeight="1" x14ac:dyDescent="0.2">
      <c r="A2354" s="424"/>
      <c r="B2354" s="426"/>
      <c r="C2354" s="424"/>
      <c r="D2354" s="424"/>
      <c r="E2354" s="424"/>
      <c r="F2354" s="424"/>
      <c r="G2354" s="424"/>
      <c r="H2354" s="424"/>
      <c r="I2354" s="424" t="s">
        <v>88</v>
      </c>
      <c r="J2354" s="424"/>
      <c r="K2354" s="424"/>
      <c r="L2354" s="424"/>
      <c r="M2354" s="424"/>
      <c r="N2354" s="424"/>
      <c r="AB2354" s="425"/>
    </row>
    <row r="2355" spans="1:28" s="352" customFormat="1" ht="18" customHeight="1" x14ac:dyDescent="0.2">
      <c r="A2355" s="338"/>
      <c r="B2355" s="338"/>
      <c r="C2355" s="338"/>
      <c r="D2355" s="338"/>
      <c r="E2355" s="338"/>
      <c r="F2355" s="338"/>
      <c r="G2355" s="338"/>
      <c r="H2355" s="338"/>
      <c r="I2355" s="338"/>
      <c r="J2355" s="338"/>
      <c r="K2355" s="338"/>
      <c r="L2355" s="338"/>
      <c r="M2355" s="338"/>
      <c r="N2355" s="338"/>
      <c r="O2355" s="338"/>
      <c r="P2355" s="338"/>
      <c r="Q2355" s="338"/>
      <c r="R2355" s="338"/>
      <c r="S2355" s="338"/>
      <c r="T2355" s="338"/>
      <c r="U2355" s="338"/>
      <c r="V2355" s="338"/>
      <c r="W2355" s="338"/>
      <c r="X2355" s="338"/>
      <c r="Y2355" s="338"/>
      <c r="Z2355" s="338"/>
      <c r="AA2355" s="2774" t="s">
        <v>0</v>
      </c>
      <c r="AB2355" s="2774"/>
    </row>
    <row r="2356" spans="1:28" s="352" customFormat="1" ht="18" customHeight="1" x14ac:dyDescent="0.2">
      <c r="A2356" s="2703" t="s">
        <v>1</v>
      </c>
      <c r="B2356" s="2703"/>
      <c r="C2356" s="2703"/>
      <c r="D2356" s="2703"/>
      <c r="E2356" s="2703"/>
      <c r="F2356" s="2703"/>
      <c r="G2356" s="2703"/>
      <c r="H2356" s="2703"/>
      <c r="I2356" s="2703"/>
      <c r="J2356" s="2703"/>
      <c r="K2356" s="2703"/>
      <c r="L2356" s="2703"/>
      <c r="M2356" s="2703"/>
      <c r="N2356" s="2703"/>
      <c r="O2356" s="2703"/>
      <c r="P2356" s="2703"/>
      <c r="Q2356" s="2703"/>
      <c r="R2356" s="2703"/>
      <c r="S2356" s="2703"/>
      <c r="T2356" s="2703"/>
      <c r="U2356" s="2703"/>
      <c r="V2356" s="2703"/>
      <c r="W2356" s="2703"/>
      <c r="X2356" s="2703"/>
      <c r="Y2356" s="2703"/>
      <c r="Z2356" s="2703"/>
      <c r="AA2356" s="2703"/>
      <c r="AB2356" s="2703"/>
    </row>
    <row r="2357" spans="1:28" s="352" customFormat="1" ht="18" customHeight="1" x14ac:dyDescent="0.2">
      <c r="A2357" s="2780" t="s">
        <v>672</v>
      </c>
      <c r="B2357" s="2780"/>
      <c r="C2357" s="2780"/>
      <c r="D2357" s="2780"/>
      <c r="E2357" s="2780"/>
      <c r="F2357" s="2780"/>
      <c r="G2357" s="2780"/>
      <c r="H2357" s="2780"/>
      <c r="I2357" s="2780"/>
      <c r="J2357" s="2780"/>
      <c r="K2357" s="2780"/>
      <c r="L2357" s="2780"/>
      <c r="M2357" s="2780"/>
      <c r="N2357" s="2780"/>
      <c r="O2357" s="2780"/>
      <c r="P2357" s="2780"/>
      <c r="Q2357" s="2780"/>
      <c r="R2357" s="2780"/>
      <c r="S2357" s="2780"/>
      <c r="T2357" s="2780"/>
      <c r="U2357" s="2780"/>
      <c r="V2357" s="2780"/>
      <c r="W2357" s="2780"/>
      <c r="X2357" s="2780"/>
      <c r="Y2357" s="2780"/>
      <c r="Z2357" s="2780"/>
      <c r="AA2357" s="2780"/>
      <c r="AB2357" s="2780"/>
    </row>
    <row r="2358" spans="1:28" s="352" customFormat="1" ht="18" customHeight="1" x14ac:dyDescent="0.2">
      <c r="A2358" s="2686" t="s">
        <v>2</v>
      </c>
      <c r="B2358" s="360"/>
      <c r="C2358" s="2686" t="s">
        <v>3</v>
      </c>
      <c r="D2358" s="360"/>
      <c r="E2358" s="360"/>
      <c r="F2358" s="2693" t="s">
        <v>4</v>
      </c>
      <c r="G2358" s="2693"/>
      <c r="H2358" s="2693"/>
      <c r="I2358" s="2694"/>
      <c r="J2358" s="2694"/>
      <c r="K2358" s="2695"/>
      <c r="L2358" s="361"/>
      <c r="M2358" s="2679" t="s">
        <v>5</v>
      </c>
      <c r="N2358" s="2679"/>
      <c r="O2358" s="2679"/>
      <c r="P2358" s="2679"/>
      <c r="Q2358" s="2696"/>
      <c r="R2358" s="2696"/>
      <c r="S2358" s="2696"/>
      <c r="T2358" s="2696"/>
      <c r="U2358" s="2696"/>
      <c r="V2358" s="2697"/>
      <c r="W2358" s="362" t="s">
        <v>6</v>
      </c>
      <c r="X2358" s="363" t="s">
        <v>7</v>
      </c>
      <c r="Y2358" s="364"/>
      <c r="Z2358" s="364"/>
      <c r="AA2358" s="363"/>
      <c r="AB2358" s="365"/>
    </row>
    <row r="2359" spans="1:28" s="352" customFormat="1" ht="18" customHeight="1" x14ac:dyDescent="0.2">
      <c r="A2359" s="2687"/>
      <c r="B2359" s="367"/>
      <c r="C2359" s="2687"/>
      <c r="D2359" s="2158" t="s">
        <v>9</v>
      </c>
      <c r="E2359" s="368" t="s">
        <v>10</v>
      </c>
      <c r="F2359" s="2698" t="s">
        <v>11</v>
      </c>
      <c r="G2359" s="2694"/>
      <c r="H2359" s="2695"/>
      <c r="I2359" s="360"/>
      <c r="J2359" s="369" t="s">
        <v>12</v>
      </c>
      <c r="K2359" s="360"/>
      <c r="L2359" s="2679" t="s">
        <v>2</v>
      </c>
      <c r="M2359" s="2162"/>
      <c r="N2359" s="2162"/>
      <c r="O2359" s="2162"/>
      <c r="P2359" s="371"/>
      <c r="Q2359" s="372" t="s">
        <v>13</v>
      </c>
      <c r="R2359" s="373" t="s">
        <v>12</v>
      </c>
      <c r="S2359" s="2162" t="s">
        <v>6</v>
      </c>
      <c r="T2359" s="2682" t="s">
        <v>14</v>
      </c>
      <c r="U2359" s="2683"/>
      <c r="V2359" s="375" t="s">
        <v>7</v>
      </c>
      <c r="W2359" s="376" t="s">
        <v>15</v>
      </c>
      <c r="X2359" s="377" t="s">
        <v>16</v>
      </c>
      <c r="Y2359" s="377" t="s">
        <v>17</v>
      </c>
      <c r="Z2359" s="377" t="s">
        <v>18</v>
      </c>
      <c r="AA2359" s="377"/>
      <c r="AB2359" s="378" t="s">
        <v>19</v>
      </c>
    </row>
    <row r="2360" spans="1:28" s="352" customFormat="1" ht="18" customHeight="1" x14ac:dyDescent="0.2">
      <c r="A2360" s="2687"/>
      <c r="B2360" s="2158" t="s">
        <v>23</v>
      </c>
      <c r="C2360" s="2687"/>
      <c r="D2360" s="2158" t="s">
        <v>24</v>
      </c>
      <c r="E2360" s="368" t="s">
        <v>25</v>
      </c>
      <c r="F2360" s="2699"/>
      <c r="G2360" s="2700"/>
      <c r="H2360" s="2701"/>
      <c r="I2360" s="2158" t="s">
        <v>26</v>
      </c>
      <c r="J2360" s="379" t="s">
        <v>15</v>
      </c>
      <c r="K2360" s="2159" t="s">
        <v>6</v>
      </c>
      <c r="L2360" s="2680"/>
      <c r="M2360" s="2163" t="s">
        <v>27</v>
      </c>
      <c r="N2360" s="2163" t="s">
        <v>10</v>
      </c>
      <c r="O2360" s="382" t="s">
        <v>10</v>
      </c>
      <c r="P2360" s="383" t="s">
        <v>28</v>
      </c>
      <c r="Q2360" s="384" t="s">
        <v>29</v>
      </c>
      <c r="R2360" s="383" t="s">
        <v>15</v>
      </c>
      <c r="S2360" s="385" t="s">
        <v>15</v>
      </c>
      <c r="T2360" s="2684"/>
      <c r="U2360" s="2685"/>
      <c r="V2360" s="375" t="s">
        <v>30</v>
      </c>
      <c r="W2360" s="376" t="s">
        <v>31</v>
      </c>
      <c r="X2360" s="377" t="s">
        <v>30</v>
      </c>
      <c r="Y2360" s="377" t="s">
        <v>32</v>
      </c>
      <c r="Z2360" s="377" t="s">
        <v>7</v>
      </c>
      <c r="AA2360" s="377" t="s">
        <v>33</v>
      </c>
      <c r="AB2360" s="378" t="s">
        <v>34</v>
      </c>
    </row>
    <row r="2361" spans="1:28" s="352" customFormat="1" ht="18" customHeight="1" x14ac:dyDescent="0.2">
      <c r="A2361" s="2687"/>
      <c r="B2361" s="2158" t="s">
        <v>39</v>
      </c>
      <c r="C2361" s="2687"/>
      <c r="D2361" s="2158" t="s">
        <v>40</v>
      </c>
      <c r="E2361" s="368" t="s">
        <v>41</v>
      </c>
      <c r="F2361" s="2686" t="s">
        <v>42</v>
      </c>
      <c r="G2361" s="2686" t="s">
        <v>43</v>
      </c>
      <c r="H2361" s="2688" t="s">
        <v>44</v>
      </c>
      <c r="I2361" s="2158" t="s">
        <v>45</v>
      </c>
      <c r="J2361" s="379" t="s">
        <v>46</v>
      </c>
      <c r="K2361" s="2159" t="s">
        <v>47</v>
      </c>
      <c r="L2361" s="2680"/>
      <c r="M2361" s="2163" t="s">
        <v>30</v>
      </c>
      <c r="N2361" s="2163" t="s">
        <v>30</v>
      </c>
      <c r="O2361" s="382" t="s">
        <v>25</v>
      </c>
      <c r="P2361" s="383" t="s">
        <v>30</v>
      </c>
      <c r="Q2361" s="384" t="s">
        <v>48</v>
      </c>
      <c r="R2361" s="383" t="s">
        <v>49</v>
      </c>
      <c r="S2361" s="385" t="s">
        <v>30</v>
      </c>
      <c r="T2361" s="386" t="s">
        <v>50</v>
      </c>
      <c r="U2361" s="2161" t="s">
        <v>13</v>
      </c>
      <c r="V2361" s="375" t="s">
        <v>51</v>
      </c>
      <c r="W2361" s="376" t="s">
        <v>52</v>
      </c>
      <c r="X2361" s="377" t="s">
        <v>53</v>
      </c>
      <c r="Y2361" s="377" t="s">
        <v>54</v>
      </c>
      <c r="Z2361" s="377" t="s">
        <v>55</v>
      </c>
      <c r="AA2361" s="377" t="s">
        <v>56</v>
      </c>
      <c r="AB2361" s="378" t="s">
        <v>57</v>
      </c>
    </row>
    <row r="2362" spans="1:28" s="352" customFormat="1" ht="18" customHeight="1" x14ac:dyDescent="0.2">
      <c r="A2362" s="2687"/>
      <c r="B2362" s="2158" t="s">
        <v>61</v>
      </c>
      <c r="C2362" s="2687"/>
      <c r="D2362" s="2158" t="s">
        <v>62</v>
      </c>
      <c r="E2362" s="368" t="s">
        <v>63</v>
      </c>
      <c r="F2362" s="2687"/>
      <c r="G2362" s="2687"/>
      <c r="H2362" s="2689"/>
      <c r="I2362" s="2158" t="s">
        <v>64</v>
      </c>
      <c r="J2362" s="379" t="s">
        <v>59</v>
      </c>
      <c r="K2362" s="2159" t="s">
        <v>59</v>
      </c>
      <c r="L2362" s="2680"/>
      <c r="M2362" s="2163"/>
      <c r="N2362" s="2163"/>
      <c r="O2362" s="382" t="s">
        <v>41</v>
      </c>
      <c r="P2362" s="383" t="s">
        <v>65</v>
      </c>
      <c r="Q2362" s="384" t="s">
        <v>66</v>
      </c>
      <c r="R2362" s="383" t="s">
        <v>67</v>
      </c>
      <c r="S2362" s="385" t="s">
        <v>59</v>
      </c>
      <c r="T2362" s="387" t="s">
        <v>68</v>
      </c>
      <c r="U2362" s="375" t="s">
        <v>14</v>
      </c>
      <c r="V2362" s="375" t="s">
        <v>14</v>
      </c>
      <c r="W2362" s="376" t="s">
        <v>30</v>
      </c>
      <c r="X2362" s="388" t="s">
        <v>69</v>
      </c>
      <c r="Y2362" s="388" t="s">
        <v>70</v>
      </c>
      <c r="Z2362" s="377" t="s">
        <v>71</v>
      </c>
      <c r="AA2362" s="377" t="s">
        <v>72</v>
      </c>
      <c r="AB2362" s="378" t="s">
        <v>59</v>
      </c>
    </row>
    <row r="2363" spans="1:28" s="352" customFormat="1" ht="18" customHeight="1" x14ac:dyDescent="0.2">
      <c r="A2363" s="2692"/>
      <c r="B2363" s="390"/>
      <c r="C2363" s="2692"/>
      <c r="D2363" s="390"/>
      <c r="E2363" s="2160"/>
      <c r="F2363" s="390"/>
      <c r="G2363" s="390"/>
      <c r="H2363" s="391"/>
      <c r="I2363" s="2160"/>
      <c r="J2363" s="392"/>
      <c r="K2363" s="393"/>
      <c r="L2363" s="2681"/>
      <c r="M2363" s="2164"/>
      <c r="N2363" s="2164"/>
      <c r="O2363" s="2164" t="s">
        <v>63</v>
      </c>
      <c r="P2363" s="395"/>
      <c r="Q2363" s="396" t="s">
        <v>72</v>
      </c>
      <c r="R2363" s="397" t="s">
        <v>59</v>
      </c>
      <c r="S2363" s="398"/>
      <c r="T2363" s="397" t="s">
        <v>73</v>
      </c>
      <c r="U2363" s="398" t="s">
        <v>59</v>
      </c>
      <c r="V2363" s="399" t="s">
        <v>59</v>
      </c>
      <c r="W2363" s="400" t="s">
        <v>59</v>
      </c>
      <c r="X2363" s="401" t="s">
        <v>59</v>
      </c>
      <c r="Y2363" s="401" t="s">
        <v>59</v>
      </c>
      <c r="Z2363" s="401" t="s">
        <v>59</v>
      </c>
      <c r="AA2363" s="402"/>
      <c r="AB2363" s="403"/>
    </row>
    <row r="2364" spans="1:28" s="352" customFormat="1" ht="18" customHeight="1" x14ac:dyDescent="0.25">
      <c r="A2364" s="2169">
        <v>1</v>
      </c>
      <c r="B2364" s="53">
        <v>27708</v>
      </c>
      <c r="C2364" s="82">
        <v>3</v>
      </c>
      <c r="D2364" s="41" t="s">
        <v>84</v>
      </c>
      <c r="E2364" s="41">
        <v>4</v>
      </c>
      <c r="F2364" s="41">
        <v>0</v>
      </c>
      <c r="G2364" s="41">
        <v>1</v>
      </c>
      <c r="H2364" s="267">
        <v>55</v>
      </c>
      <c r="I2364" s="302">
        <f>F2364*400+G2364*100+H2364</f>
        <v>155</v>
      </c>
      <c r="J2364" s="310">
        <v>3000</v>
      </c>
      <c r="K2364" s="310">
        <f>SUM(I2364*J2364)</f>
        <v>465000</v>
      </c>
      <c r="L2364" s="480"/>
      <c r="M2364" s="481"/>
      <c r="N2364" s="480"/>
      <c r="O2364" s="480"/>
      <c r="P2364" s="482"/>
      <c r="Q2364" s="483"/>
      <c r="R2364" s="484"/>
      <c r="S2364" s="485"/>
      <c r="T2364" s="483"/>
      <c r="U2364" s="485"/>
      <c r="V2364" s="486"/>
      <c r="W2364" s="302">
        <f>K2364</f>
        <v>465000</v>
      </c>
      <c r="X2364" s="310">
        <f>W2364</f>
        <v>465000</v>
      </c>
      <c r="Y2364" s="310"/>
      <c r="Z2364" s="302">
        <f>+X2364</f>
        <v>465000</v>
      </c>
      <c r="AA2364" s="405">
        <v>0.6</v>
      </c>
      <c r="AB2364" s="406">
        <f>+Z2364*AA2364/100</f>
        <v>2790</v>
      </c>
    </row>
    <row r="2365" spans="1:28" s="352" customFormat="1" ht="18" customHeight="1" x14ac:dyDescent="0.2">
      <c r="A2365" s="88"/>
      <c r="B2365" s="61"/>
      <c r="C2365" s="2166"/>
      <c r="D2365" s="2166"/>
      <c r="E2365" s="2166"/>
      <c r="F2365" s="2166"/>
      <c r="G2365" s="2166"/>
      <c r="H2365" s="407"/>
      <c r="I2365" s="77"/>
      <c r="J2365" s="2168"/>
      <c r="K2365" s="2168"/>
      <c r="L2365" s="488"/>
      <c r="M2365" s="488"/>
      <c r="N2365" s="488"/>
      <c r="O2365" s="488"/>
      <c r="P2365" s="819"/>
      <c r="Q2365" s="819"/>
      <c r="R2365" s="820"/>
      <c r="S2365" s="820"/>
      <c r="T2365" s="819"/>
      <c r="U2365" s="820"/>
      <c r="V2365" s="821"/>
      <c r="W2365" s="77"/>
      <c r="X2365" s="2168"/>
      <c r="Y2365" s="2168"/>
      <c r="Z2365" s="77"/>
      <c r="AA2365" s="2170"/>
      <c r="AB2365" s="410"/>
    </row>
    <row r="2366" spans="1:28" s="352" customFormat="1" ht="18" customHeight="1" x14ac:dyDescent="0.2">
      <c r="A2366" s="2166"/>
      <c r="B2366" s="61"/>
      <c r="C2366" s="2166"/>
      <c r="D2366" s="2166"/>
      <c r="E2366" s="2166"/>
      <c r="F2366" s="2166"/>
      <c r="G2366" s="2166"/>
      <c r="H2366" s="407"/>
      <c r="I2366" s="77"/>
      <c r="J2366" s="2168"/>
      <c r="K2366" s="2168"/>
      <c r="L2366" s="488"/>
      <c r="M2366" s="488"/>
      <c r="N2366" s="488"/>
      <c r="O2366" s="488"/>
      <c r="P2366" s="819"/>
      <c r="Q2366" s="819"/>
      <c r="R2366" s="820"/>
      <c r="S2366" s="820"/>
      <c r="T2366" s="819"/>
      <c r="U2366" s="820"/>
      <c r="V2366" s="821"/>
      <c r="W2366" s="77"/>
      <c r="X2366" s="2168"/>
      <c r="Y2366" s="2168"/>
      <c r="Z2366" s="77"/>
      <c r="AA2366" s="2170"/>
      <c r="AB2366" s="410"/>
    </row>
    <row r="2367" spans="1:28" s="352" customFormat="1" ht="18" customHeight="1" x14ac:dyDescent="0.2">
      <c r="A2367" s="88"/>
      <c r="B2367" s="75"/>
      <c r="C2367" s="88"/>
      <c r="D2367" s="88"/>
      <c r="E2367" s="88"/>
      <c r="F2367" s="88"/>
      <c r="G2367" s="88"/>
      <c r="H2367" s="495"/>
      <c r="I2367" s="77"/>
      <c r="J2367" s="2168"/>
      <c r="K2367" s="2168"/>
      <c r="L2367" s="61"/>
      <c r="M2367" s="2166"/>
      <c r="N2367" s="2166"/>
      <c r="O2367" s="61"/>
      <c r="P2367" s="177"/>
      <c r="Q2367" s="196"/>
      <c r="R2367" s="408"/>
      <c r="S2367" s="77"/>
      <c r="T2367" s="2166"/>
      <c r="U2367" s="77"/>
      <c r="V2367" s="77"/>
      <c r="W2367" s="77"/>
      <c r="X2367" s="2168"/>
      <c r="Y2367" s="2168"/>
      <c r="Z2367" s="77"/>
      <c r="AA2367" s="2170"/>
      <c r="AB2367" s="466"/>
    </row>
    <row r="2368" spans="1:28" s="352" customFormat="1" ht="18" customHeight="1" x14ac:dyDescent="0.2">
      <c r="A2368" s="2166"/>
      <c r="B2368" s="61"/>
      <c r="C2368" s="2166"/>
      <c r="D2368" s="2166"/>
      <c r="E2368" s="2166"/>
      <c r="F2368" s="2166"/>
      <c r="G2368" s="2166"/>
      <c r="H2368" s="407"/>
      <c r="I2368" s="77"/>
      <c r="J2368" s="2168"/>
      <c r="K2368" s="78"/>
      <c r="L2368" s="61"/>
      <c r="M2368" s="2166"/>
      <c r="N2368" s="2166"/>
      <c r="O2368" s="61"/>
      <c r="P2368" s="177"/>
      <c r="Q2368" s="196"/>
      <c r="R2368" s="408"/>
      <c r="S2368" s="77"/>
      <c r="T2368" s="2166"/>
      <c r="U2368" s="77"/>
      <c r="V2368" s="77"/>
      <c r="W2368" s="77"/>
      <c r="X2368" s="77"/>
      <c r="Y2368" s="2168"/>
      <c r="Z2368" s="77"/>
      <c r="AA2368" s="2170"/>
      <c r="AB2368" s="410"/>
    </row>
    <row r="2369" spans="1:28" s="352" customFormat="1" ht="18" customHeight="1" x14ac:dyDescent="0.2">
      <c r="A2369" s="2166"/>
      <c r="B2369" s="61"/>
      <c r="C2369" s="2166"/>
      <c r="D2369" s="2166"/>
      <c r="E2369" s="2166"/>
      <c r="F2369" s="2166"/>
      <c r="G2369" s="2166"/>
      <c r="H2369" s="407"/>
      <c r="I2369" s="77"/>
      <c r="J2369" s="2168"/>
      <c r="K2369" s="78"/>
      <c r="L2369" s="61"/>
      <c r="M2369" s="2166"/>
      <c r="N2369" s="2166"/>
      <c r="O2369" s="61"/>
      <c r="P2369" s="177"/>
      <c r="Q2369" s="196"/>
      <c r="R2369" s="408"/>
      <c r="S2369" s="77"/>
      <c r="T2369" s="2166"/>
      <c r="U2369" s="77"/>
      <c r="V2369" s="77"/>
      <c r="W2369" s="77"/>
      <c r="X2369" s="77"/>
      <c r="Y2369" s="2168"/>
      <c r="Z2369" s="77"/>
      <c r="AA2369" s="2170"/>
      <c r="AB2369" s="410"/>
    </row>
    <row r="2370" spans="1:28" s="352" customFormat="1" ht="18" customHeight="1" x14ac:dyDescent="0.2">
      <c r="A2370" s="2166"/>
      <c r="B2370" s="61"/>
      <c r="C2370" s="2166"/>
      <c r="D2370" s="2166"/>
      <c r="E2370" s="2166"/>
      <c r="F2370" s="2166"/>
      <c r="G2370" s="2166"/>
      <c r="H2370" s="407"/>
      <c r="I2370" s="77"/>
      <c r="J2370" s="2168"/>
      <c r="K2370" s="78"/>
      <c r="L2370" s="61"/>
      <c r="M2370" s="2166"/>
      <c r="N2370" s="2166"/>
      <c r="O2370" s="61"/>
      <c r="P2370" s="177"/>
      <c r="Q2370" s="196"/>
      <c r="R2370" s="408"/>
      <c r="S2370" s="77"/>
      <c r="T2370" s="2166"/>
      <c r="U2370" s="77"/>
      <c r="V2370" s="77"/>
      <c r="W2370" s="77"/>
      <c r="X2370" s="77"/>
      <c r="Y2370" s="2168"/>
      <c r="Z2370" s="77"/>
      <c r="AA2370" s="2170"/>
      <c r="AB2370" s="410"/>
    </row>
    <row r="2371" spans="1:28" s="352" customFormat="1" ht="18" customHeight="1" x14ac:dyDescent="0.2">
      <c r="A2371" s="88"/>
      <c r="B2371" s="75"/>
      <c r="C2371" s="88"/>
      <c r="D2371" s="88"/>
      <c r="E2371" s="2166"/>
      <c r="F2371" s="411"/>
      <c r="G2371" s="242"/>
      <c r="H2371" s="412"/>
      <c r="I2371" s="159"/>
      <c r="J2371" s="121"/>
      <c r="K2371" s="159"/>
      <c r="L2371" s="75"/>
      <c r="M2371" s="88"/>
      <c r="N2371" s="88"/>
      <c r="O2371" s="75"/>
      <c r="P2371" s="180"/>
      <c r="Q2371" s="174"/>
      <c r="R2371" s="413"/>
      <c r="S2371" s="74"/>
      <c r="T2371" s="88"/>
      <c r="U2371" s="74"/>
      <c r="V2371" s="74"/>
      <c r="W2371" s="74"/>
      <c r="X2371" s="74"/>
      <c r="Y2371" s="121"/>
      <c r="Z2371" s="74"/>
      <c r="AA2371" s="414"/>
      <c r="AB2371" s="415"/>
    </row>
    <row r="2372" spans="1:28" s="352" customFormat="1" ht="18" customHeight="1" x14ac:dyDescent="0.2">
      <c r="A2372" s="88"/>
      <c r="B2372" s="75"/>
      <c r="C2372" s="88"/>
      <c r="D2372" s="231"/>
      <c r="E2372" s="2166"/>
      <c r="F2372" s="411"/>
      <c r="G2372" s="242"/>
      <c r="H2372" s="412"/>
      <c r="I2372" s="159"/>
      <c r="J2372" s="121"/>
      <c r="K2372" s="159"/>
      <c r="L2372" s="75"/>
      <c r="M2372" s="88"/>
      <c r="N2372" s="88"/>
      <c r="O2372" s="75"/>
      <c r="P2372" s="180"/>
      <c r="Q2372" s="174"/>
      <c r="R2372" s="413"/>
      <c r="S2372" s="74"/>
      <c r="T2372" s="88"/>
      <c r="U2372" s="74"/>
      <c r="V2372" s="74"/>
      <c r="W2372" s="74"/>
      <c r="X2372" s="74"/>
      <c r="Y2372" s="121"/>
      <c r="Z2372" s="74"/>
      <c r="AA2372" s="417"/>
      <c r="AB2372" s="410"/>
    </row>
    <row r="2373" spans="1:28" s="352" customFormat="1" ht="18" customHeight="1" x14ac:dyDescent="0.2">
      <c r="A2373" s="88"/>
      <c r="B2373" s="75"/>
      <c r="C2373" s="88"/>
      <c r="D2373" s="88"/>
      <c r="E2373" s="2166"/>
      <c r="F2373" s="411"/>
      <c r="G2373" s="242"/>
      <c r="H2373" s="412"/>
      <c r="I2373" s="159"/>
      <c r="J2373" s="121"/>
      <c r="K2373" s="159"/>
      <c r="L2373" s="75"/>
      <c r="M2373" s="88"/>
      <c r="N2373" s="88"/>
      <c r="O2373" s="75"/>
      <c r="P2373" s="180"/>
      <c r="Q2373" s="174"/>
      <c r="R2373" s="413"/>
      <c r="S2373" s="74"/>
      <c r="T2373" s="88"/>
      <c r="U2373" s="74"/>
      <c r="V2373" s="74"/>
      <c r="W2373" s="74"/>
      <c r="X2373" s="74"/>
      <c r="Y2373" s="121"/>
      <c r="Z2373" s="74"/>
      <c r="AA2373" s="414"/>
      <c r="AB2373" s="415"/>
    </row>
    <row r="2374" spans="1:28" s="352" customFormat="1" ht="18" customHeight="1" x14ac:dyDescent="0.2">
      <c r="A2374" s="88"/>
      <c r="B2374" s="75"/>
      <c r="C2374" s="88"/>
      <c r="D2374" s="231"/>
      <c r="E2374" s="2166"/>
      <c r="F2374" s="411"/>
      <c r="G2374" s="242"/>
      <c r="H2374" s="412"/>
      <c r="I2374" s="159"/>
      <c r="J2374" s="121"/>
      <c r="K2374" s="159"/>
      <c r="L2374" s="75"/>
      <c r="M2374" s="88"/>
      <c r="N2374" s="88"/>
      <c r="O2374" s="75"/>
      <c r="P2374" s="180"/>
      <c r="Q2374" s="174"/>
      <c r="R2374" s="413"/>
      <c r="S2374" s="74"/>
      <c r="T2374" s="88"/>
      <c r="U2374" s="74"/>
      <c r="V2374" s="74"/>
      <c r="W2374" s="74"/>
      <c r="X2374" s="74"/>
      <c r="Y2374" s="121"/>
      <c r="Z2374" s="74"/>
      <c r="AA2374" s="417"/>
      <c r="AB2374" s="410"/>
    </row>
    <row r="2375" spans="1:28" s="352" customFormat="1" ht="18" customHeight="1" x14ac:dyDescent="0.2">
      <c r="A2375" s="88"/>
      <c r="B2375" s="75"/>
      <c r="C2375" s="88"/>
      <c r="D2375" s="2165"/>
      <c r="E2375" s="2166"/>
      <c r="F2375" s="411"/>
      <c r="G2375" s="242"/>
      <c r="H2375" s="412"/>
      <c r="I2375" s="159"/>
      <c r="J2375" s="121"/>
      <c r="K2375" s="159"/>
      <c r="L2375" s="75"/>
      <c r="M2375" s="88"/>
      <c r="N2375" s="88"/>
      <c r="O2375" s="75"/>
      <c r="P2375" s="180"/>
      <c r="Q2375" s="174"/>
      <c r="R2375" s="413"/>
      <c r="S2375" s="74"/>
      <c r="T2375" s="88"/>
      <c r="U2375" s="74"/>
      <c r="V2375" s="74"/>
      <c r="W2375" s="74"/>
      <c r="X2375" s="74"/>
      <c r="Y2375" s="121"/>
      <c r="Z2375" s="74"/>
      <c r="AA2375" s="417"/>
      <c r="AB2375" s="410"/>
    </row>
    <row r="2376" spans="1:28" s="352" customFormat="1" ht="18" customHeight="1" x14ac:dyDescent="0.2">
      <c r="A2376" s="88"/>
      <c r="B2376" s="75"/>
      <c r="C2376" s="88"/>
      <c r="D2376" s="2165"/>
      <c r="E2376" s="2166"/>
      <c r="F2376" s="411"/>
      <c r="G2376" s="242"/>
      <c r="H2376" s="412"/>
      <c r="I2376" s="159"/>
      <c r="J2376" s="121"/>
      <c r="K2376" s="159"/>
      <c r="L2376" s="75"/>
      <c r="M2376" s="88"/>
      <c r="N2376" s="88"/>
      <c r="O2376" s="75"/>
      <c r="P2376" s="180"/>
      <c r="Q2376" s="174"/>
      <c r="R2376" s="413"/>
      <c r="S2376" s="74"/>
      <c r="T2376" s="88"/>
      <c r="U2376" s="74"/>
      <c r="V2376" s="74"/>
      <c r="W2376" s="74"/>
      <c r="X2376" s="74"/>
      <c r="Y2376" s="121"/>
      <c r="Z2376" s="74"/>
      <c r="AA2376" s="414"/>
      <c r="AB2376" s="416"/>
    </row>
    <row r="2377" spans="1:28" s="352" customFormat="1" ht="18" customHeight="1" x14ac:dyDescent="0.2">
      <c r="A2377" s="88"/>
      <c r="B2377" s="418"/>
      <c r="C2377" s="88"/>
      <c r="D2377" s="88"/>
      <c r="E2377" s="88"/>
      <c r="F2377" s="411"/>
      <c r="G2377" s="242"/>
      <c r="H2377" s="412"/>
      <c r="I2377" s="159"/>
      <c r="J2377" s="121"/>
      <c r="K2377" s="159"/>
      <c r="L2377" s="75"/>
      <c r="M2377" s="88"/>
      <c r="N2377" s="88"/>
      <c r="O2377" s="75"/>
      <c r="P2377" s="180"/>
      <c r="Q2377" s="174"/>
      <c r="R2377" s="413"/>
      <c r="S2377" s="74"/>
      <c r="T2377" s="88"/>
      <c r="U2377" s="74"/>
      <c r="V2377" s="74"/>
      <c r="W2377" s="74"/>
      <c r="X2377" s="74"/>
      <c r="Y2377" s="121"/>
      <c r="Z2377" s="74"/>
      <c r="AA2377" s="414"/>
      <c r="AB2377" s="410"/>
    </row>
    <row r="2378" spans="1:28" s="2205" customFormat="1" ht="18" customHeight="1" x14ac:dyDescent="0.2">
      <c r="A2378" s="1148"/>
      <c r="B2378" s="2239"/>
      <c r="C2378" s="1148"/>
      <c r="D2378" s="1148"/>
      <c r="E2378" s="1148"/>
      <c r="F2378" s="1148"/>
      <c r="G2378" s="1148"/>
      <c r="H2378" s="2238"/>
      <c r="I2378" s="2248"/>
      <c r="J2378" s="2249"/>
      <c r="K2378" s="2250"/>
      <c r="L2378" s="2239"/>
      <c r="M2378" s="1148"/>
      <c r="N2378" s="1148"/>
      <c r="O2378" s="2239"/>
      <c r="P2378" s="2251"/>
      <c r="Q2378" s="2240"/>
      <c r="R2378" s="2252"/>
      <c r="S2378" s="2248"/>
      <c r="T2378" s="1148"/>
      <c r="U2378" s="2248"/>
      <c r="V2378" s="2248"/>
      <c r="W2378" s="2248"/>
      <c r="X2378" s="2248"/>
      <c r="Y2378" s="2249"/>
      <c r="Z2378" s="2248"/>
      <c r="AA2378" s="2253"/>
      <c r="AB2378" s="2254">
        <f>SUM(AB2364:AB2377)</f>
        <v>2790</v>
      </c>
    </row>
    <row r="2379" spans="1:28" s="352" customFormat="1" ht="18" customHeight="1" x14ac:dyDescent="0.2">
      <c r="A2379" s="2788" t="s">
        <v>76</v>
      </c>
      <c r="B2379" s="2788"/>
      <c r="C2379" s="2779" t="s">
        <v>77</v>
      </c>
      <c r="D2379" s="2779"/>
      <c r="E2379" s="2779"/>
      <c r="F2379" s="2779"/>
      <c r="G2379" s="2779"/>
      <c r="H2379" s="2779"/>
      <c r="I2379" s="424" t="s">
        <v>78</v>
      </c>
      <c r="J2379" s="424"/>
      <c r="K2379" s="424"/>
      <c r="L2379" s="424"/>
      <c r="M2379" s="424"/>
      <c r="N2379" s="424"/>
      <c r="AB2379" s="425"/>
    </row>
    <row r="2380" spans="1:28" s="352" customFormat="1" ht="18" customHeight="1" x14ac:dyDescent="0.2">
      <c r="A2380" s="424"/>
      <c r="B2380" s="426"/>
      <c r="C2380" s="424"/>
      <c r="D2380" s="424"/>
      <c r="E2380" s="424"/>
      <c r="F2380" s="424"/>
      <c r="G2380" s="424"/>
      <c r="H2380" s="424"/>
      <c r="I2380" s="424" t="s">
        <v>79</v>
      </c>
      <c r="J2380" s="424"/>
      <c r="K2380" s="424"/>
      <c r="L2380" s="424"/>
      <c r="M2380" s="424"/>
      <c r="N2380" s="424"/>
      <c r="AB2380" s="425"/>
    </row>
    <row r="2381" spans="1:28" s="352" customFormat="1" ht="18" customHeight="1" x14ac:dyDescent="0.2">
      <c r="A2381" s="424"/>
      <c r="B2381" s="426"/>
      <c r="C2381" s="424"/>
      <c r="D2381" s="424"/>
      <c r="E2381" s="424"/>
      <c r="F2381" s="424"/>
      <c r="G2381" s="424"/>
      <c r="H2381" s="424"/>
      <c r="I2381" s="424" t="s">
        <v>80</v>
      </c>
      <c r="J2381" s="424"/>
      <c r="K2381" s="424"/>
      <c r="L2381" s="424"/>
      <c r="M2381" s="424"/>
      <c r="N2381" s="424"/>
      <c r="AB2381" s="425"/>
    </row>
    <row r="2382" spans="1:28" s="352" customFormat="1" ht="18" customHeight="1" x14ac:dyDescent="0.2">
      <c r="A2382" s="424"/>
      <c r="B2382" s="426"/>
      <c r="C2382" s="424"/>
      <c r="D2382" s="424"/>
      <c r="E2382" s="424"/>
      <c r="F2382" s="424"/>
      <c r="G2382" s="424"/>
      <c r="H2382" s="424"/>
      <c r="I2382" s="424" t="s">
        <v>81</v>
      </c>
      <c r="J2382" s="424"/>
      <c r="K2382" s="424"/>
      <c r="L2382" s="424"/>
      <c r="M2382" s="424"/>
      <c r="N2382" s="424"/>
      <c r="AB2382" s="425"/>
    </row>
    <row r="2383" spans="1:28" s="352" customFormat="1" ht="18" customHeight="1" x14ac:dyDescent="0.2">
      <c r="A2383" s="424"/>
      <c r="B2383" s="426"/>
      <c r="C2383" s="424"/>
      <c r="D2383" s="424"/>
      <c r="E2383" s="424"/>
      <c r="F2383" s="424"/>
      <c r="G2383" s="424"/>
      <c r="H2383" s="424"/>
      <c r="I2383" s="424" t="s">
        <v>88</v>
      </c>
      <c r="J2383" s="424"/>
      <c r="K2383" s="424"/>
      <c r="L2383" s="424"/>
      <c r="M2383" s="424"/>
      <c r="N2383" s="424"/>
      <c r="AB2383" s="425"/>
    </row>
    <row r="2384" spans="1:28" s="343" customFormat="1" ht="18" customHeight="1" x14ac:dyDescent="0.2">
      <c r="A2384" s="338"/>
      <c r="B2384" s="338"/>
      <c r="C2384" s="338"/>
      <c r="D2384" s="338"/>
      <c r="E2384" s="338"/>
      <c r="F2384" s="338"/>
      <c r="G2384" s="338"/>
      <c r="H2384" s="338"/>
      <c r="I2384" s="338"/>
      <c r="J2384" s="338"/>
      <c r="K2384" s="338"/>
      <c r="L2384" s="338"/>
      <c r="M2384" s="338"/>
      <c r="N2384" s="338"/>
      <c r="O2384" s="338"/>
      <c r="P2384" s="338"/>
      <c r="Q2384" s="338"/>
      <c r="R2384" s="338"/>
      <c r="S2384" s="338"/>
      <c r="T2384" s="338"/>
      <c r="U2384" s="338"/>
      <c r="V2384" s="338"/>
      <c r="W2384" s="338"/>
      <c r="X2384" s="338"/>
      <c r="Y2384" s="338"/>
      <c r="Z2384" s="338"/>
      <c r="AA2384" s="2774" t="s">
        <v>0</v>
      </c>
      <c r="AB2384" s="2774"/>
    </row>
    <row r="2385" spans="1:28" s="343" customFormat="1" ht="18" customHeight="1" x14ac:dyDescent="0.2">
      <c r="A2385" s="2702" t="s">
        <v>1</v>
      </c>
      <c r="B2385" s="2702"/>
      <c r="C2385" s="2702"/>
      <c r="D2385" s="2702"/>
      <c r="E2385" s="2702"/>
      <c r="F2385" s="2702"/>
      <c r="G2385" s="2702"/>
      <c r="H2385" s="2702"/>
      <c r="I2385" s="2702"/>
      <c r="J2385" s="2702"/>
      <c r="K2385" s="2702"/>
      <c r="L2385" s="2702"/>
      <c r="M2385" s="2702"/>
      <c r="N2385" s="2702"/>
      <c r="O2385" s="2702"/>
      <c r="P2385" s="2702"/>
      <c r="Q2385" s="2702"/>
      <c r="R2385" s="2702"/>
      <c r="S2385" s="2702"/>
      <c r="T2385" s="2702"/>
      <c r="U2385" s="2702"/>
      <c r="V2385" s="2702"/>
      <c r="W2385" s="2702"/>
      <c r="X2385" s="2702"/>
      <c r="Y2385" s="2702"/>
      <c r="Z2385" s="2702"/>
      <c r="AA2385" s="2702"/>
      <c r="AB2385" s="2702"/>
    </row>
    <row r="2386" spans="1:28" s="2255" customFormat="1" ht="18" customHeight="1" x14ac:dyDescent="0.2">
      <c r="A2386" s="2775" t="s">
        <v>673</v>
      </c>
      <c r="B2386" s="2775"/>
      <c r="C2386" s="2775"/>
      <c r="D2386" s="2775"/>
      <c r="E2386" s="2775"/>
      <c r="F2386" s="2775"/>
      <c r="G2386" s="2775"/>
      <c r="H2386" s="2775"/>
      <c r="I2386" s="2775"/>
      <c r="J2386" s="2775"/>
      <c r="K2386" s="2775"/>
      <c r="L2386" s="2775"/>
      <c r="M2386" s="2775"/>
      <c r="N2386" s="2775"/>
      <c r="O2386" s="2775"/>
      <c r="P2386" s="2775"/>
      <c r="Q2386" s="2775"/>
      <c r="R2386" s="2775"/>
      <c r="S2386" s="2775"/>
      <c r="T2386" s="2775"/>
      <c r="U2386" s="2775"/>
      <c r="V2386" s="2775"/>
      <c r="W2386" s="2775"/>
      <c r="X2386" s="2775"/>
      <c r="Y2386" s="2775"/>
      <c r="Z2386" s="2775"/>
      <c r="AA2386" s="2775"/>
      <c r="AB2386" s="2775"/>
    </row>
    <row r="2387" spans="1:28" s="343" customFormat="1" ht="18" customHeight="1" x14ac:dyDescent="0.2">
      <c r="A2387" s="2686" t="s">
        <v>2</v>
      </c>
      <c r="B2387" s="360"/>
      <c r="C2387" s="2686" t="s">
        <v>3</v>
      </c>
      <c r="D2387" s="360"/>
      <c r="E2387" s="360"/>
      <c r="F2387" s="2693" t="s">
        <v>4</v>
      </c>
      <c r="G2387" s="2693"/>
      <c r="H2387" s="2693"/>
      <c r="I2387" s="2694"/>
      <c r="J2387" s="2694"/>
      <c r="K2387" s="2695"/>
      <c r="L2387" s="361"/>
      <c r="M2387" s="2679" t="s">
        <v>5</v>
      </c>
      <c r="N2387" s="2679"/>
      <c r="O2387" s="2679"/>
      <c r="P2387" s="2679"/>
      <c r="Q2387" s="2696"/>
      <c r="R2387" s="2696"/>
      <c r="S2387" s="2696"/>
      <c r="T2387" s="2696"/>
      <c r="U2387" s="2696"/>
      <c r="V2387" s="2697"/>
      <c r="W2387" s="362" t="s">
        <v>6</v>
      </c>
      <c r="X2387" s="363" t="s">
        <v>7</v>
      </c>
      <c r="Y2387" s="364"/>
      <c r="Z2387" s="364"/>
      <c r="AA2387" s="363"/>
      <c r="AB2387" s="365"/>
    </row>
    <row r="2388" spans="1:28" s="343" customFormat="1" ht="18" customHeight="1" x14ac:dyDescent="0.2">
      <c r="A2388" s="2687"/>
      <c r="B2388" s="367"/>
      <c r="C2388" s="2687"/>
      <c r="D2388" s="2158" t="s">
        <v>9</v>
      </c>
      <c r="E2388" s="368" t="s">
        <v>10</v>
      </c>
      <c r="F2388" s="2698" t="s">
        <v>11</v>
      </c>
      <c r="G2388" s="2694"/>
      <c r="H2388" s="2695"/>
      <c r="I2388" s="360"/>
      <c r="J2388" s="369" t="s">
        <v>12</v>
      </c>
      <c r="K2388" s="360"/>
      <c r="L2388" s="2679" t="s">
        <v>2</v>
      </c>
      <c r="M2388" s="2162"/>
      <c r="N2388" s="2162"/>
      <c r="O2388" s="2162"/>
      <c r="P2388" s="371"/>
      <c r="Q2388" s="372" t="s">
        <v>13</v>
      </c>
      <c r="R2388" s="373" t="s">
        <v>12</v>
      </c>
      <c r="S2388" s="2162" t="s">
        <v>6</v>
      </c>
      <c r="T2388" s="2682" t="s">
        <v>14</v>
      </c>
      <c r="U2388" s="2683"/>
      <c r="V2388" s="375" t="s">
        <v>7</v>
      </c>
      <c r="W2388" s="376" t="s">
        <v>15</v>
      </c>
      <c r="X2388" s="377" t="s">
        <v>16</v>
      </c>
      <c r="Y2388" s="377" t="s">
        <v>17</v>
      </c>
      <c r="Z2388" s="377" t="s">
        <v>18</v>
      </c>
      <c r="AA2388" s="377"/>
      <c r="AB2388" s="378" t="s">
        <v>19</v>
      </c>
    </row>
    <row r="2389" spans="1:28" s="343" customFormat="1" ht="18" customHeight="1" x14ac:dyDescent="0.2">
      <c r="A2389" s="2687"/>
      <c r="B2389" s="2158" t="s">
        <v>23</v>
      </c>
      <c r="C2389" s="2687"/>
      <c r="D2389" s="2158" t="s">
        <v>24</v>
      </c>
      <c r="E2389" s="368" t="s">
        <v>25</v>
      </c>
      <c r="F2389" s="2699"/>
      <c r="G2389" s="2700"/>
      <c r="H2389" s="2701"/>
      <c r="I2389" s="2158" t="s">
        <v>26</v>
      </c>
      <c r="J2389" s="379" t="s">
        <v>15</v>
      </c>
      <c r="K2389" s="2159" t="s">
        <v>6</v>
      </c>
      <c r="L2389" s="2680"/>
      <c r="M2389" s="2163" t="s">
        <v>27</v>
      </c>
      <c r="N2389" s="2163" t="s">
        <v>10</v>
      </c>
      <c r="O2389" s="382" t="s">
        <v>10</v>
      </c>
      <c r="P2389" s="383" t="s">
        <v>28</v>
      </c>
      <c r="Q2389" s="384" t="s">
        <v>29</v>
      </c>
      <c r="R2389" s="383" t="s">
        <v>15</v>
      </c>
      <c r="S2389" s="385" t="s">
        <v>15</v>
      </c>
      <c r="T2389" s="2684"/>
      <c r="U2389" s="2685"/>
      <c r="V2389" s="375" t="s">
        <v>30</v>
      </c>
      <c r="W2389" s="376" t="s">
        <v>31</v>
      </c>
      <c r="X2389" s="377" t="s">
        <v>30</v>
      </c>
      <c r="Y2389" s="377" t="s">
        <v>32</v>
      </c>
      <c r="Z2389" s="377" t="s">
        <v>7</v>
      </c>
      <c r="AA2389" s="377" t="s">
        <v>33</v>
      </c>
      <c r="AB2389" s="378" t="s">
        <v>34</v>
      </c>
    </row>
    <row r="2390" spans="1:28" s="343" customFormat="1" ht="18" customHeight="1" x14ac:dyDescent="0.2">
      <c r="A2390" s="2687"/>
      <c r="B2390" s="2158" t="s">
        <v>39</v>
      </c>
      <c r="C2390" s="2687"/>
      <c r="D2390" s="2158" t="s">
        <v>40</v>
      </c>
      <c r="E2390" s="368" t="s">
        <v>41</v>
      </c>
      <c r="F2390" s="2686" t="s">
        <v>42</v>
      </c>
      <c r="G2390" s="2686" t="s">
        <v>43</v>
      </c>
      <c r="H2390" s="2688" t="s">
        <v>44</v>
      </c>
      <c r="I2390" s="2158" t="s">
        <v>45</v>
      </c>
      <c r="J2390" s="379" t="s">
        <v>46</v>
      </c>
      <c r="K2390" s="2159" t="s">
        <v>47</v>
      </c>
      <c r="L2390" s="2680"/>
      <c r="M2390" s="2163" t="s">
        <v>30</v>
      </c>
      <c r="N2390" s="2163" t="s">
        <v>30</v>
      </c>
      <c r="O2390" s="382" t="s">
        <v>25</v>
      </c>
      <c r="P2390" s="383" t="s">
        <v>30</v>
      </c>
      <c r="Q2390" s="384" t="s">
        <v>48</v>
      </c>
      <c r="R2390" s="383" t="s">
        <v>49</v>
      </c>
      <c r="S2390" s="385" t="s">
        <v>30</v>
      </c>
      <c r="T2390" s="386" t="s">
        <v>50</v>
      </c>
      <c r="U2390" s="2161" t="s">
        <v>13</v>
      </c>
      <c r="V2390" s="375" t="s">
        <v>51</v>
      </c>
      <c r="W2390" s="376" t="s">
        <v>52</v>
      </c>
      <c r="X2390" s="377" t="s">
        <v>53</v>
      </c>
      <c r="Y2390" s="377" t="s">
        <v>54</v>
      </c>
      <c r="Z2390" s="377" t="s">
        <v>55</v>
      </c>
      <c r="AA2390" s="377" t="s">
        <v>56</v>
      </c>
      <c r="AB2390" s="378" t="s">
        <v>57</v>
      </c>
    </row>
    <row r="2391" spans="1:28" s="343" customFormat="1" ht="18" customHeight="1" x14ac:dyDescent="0.2">
      <c r="A2391" s="2687"/>
      <c r="B2391" s="2158" t="s">
        <v>61</v>
      </c>
      <c r="C2391" s="2687"/>
      <c r="D2391" s="2158" t="s">
        <v>62</v>
      </c>
      <c r="E2391" s="368" t="s">
        <v>63</v>
      </c>
      <c r="F2391" s="2687"/>
      <c r="G2391" s="2687"/>
      <c r="H2391" s="2689"/>
      <c r="I2391" s="2158" t="s">
        <v>64</v>
      </c>
      <c r="J2391" s="379" t="s">
        <v>59</v>
      </c>
      <c r="K2391" s="2159" t="s">
        <v>59</v>
      </c>
      <c r="L2391" s="2680"/>
      <c r="M2391" s="2163"/>
      <c r="N2391" s="2163"/>
      <c r="O2391" s="382" t="s">
        <v>41</v>
      </c>
      <c r="P2391" s="383" t="s">
        <v>65</v>
      </c>
      <c r="Q2391" s="384" t="s">
        <v>66</v>
      </c>
      <c r="R2391" s="383" t="s">
        <v>67</v>
      </c>
      <c r="S2391" s="385" t="s">
        <v>59</v>
      </c>
      <c r="T2391" s="387" t="s">
        <v>68</v>
      </c>
      <c r="U2391" s="375" t="s">
        <v>14</v>
      </c>
      <c r="V2391" s="375" t="s">
        <v>14</v>
      </c>
      <c r="W2391" s="376" t="s">
        <v>30</v>
      </c>
      <c r="X2391" s="388" t="s">
        <v>69</v>
      </c>
      <c r="Y2391" s="388" t="s">
        <v>70</v>
      </c>
      <c r="Z2391" s="377" t="s">
        <v>71</v>
      </c>
      <c r="AA2391" s="377" t="s">
        <v>72</v>
      </c>
      <c r="AB2391" s="378" t="s">
        <v>59</v>
      </c>
    </row>
    <row r="2392" spans="1:28" s="343" customFormat="1" ht="18" customHeight="1" x14ac:dyDescent="0.2">
      <c r="A2392" s="2692"/>
      <c r="B2392" s="390"/>
      <c r="C2392" s="2692"/>
      <c r="D2392" s="390"/>
      <c r="E2392" s="2160"/>
      <c r="F2392" s="390"/>
      <c r="G2392" s="390"/>
      <c r="H2392" s="391"/>
      <c r="I2392" s="2160"/>
      <c r="J2392" s="392"/>
      <c r="K2392" s="393"/>
      <c r="L2392" s="2681"/>
      <c r="M2392" s="2164"/>
      <c r="N2392" s="2164"/>
      <c r="O2392" s="2164" t="s">
        <v>63</v>
      </c>
      <c r="P2392" s="395"/>
      <c r="Q2392" s="2307" t="s">
        <v>72</v>
      </c>
      <c r="R2392" s="397" t="s">
        <v>59</v>
      </c>
      <c r="S2392" s="398"/>
      <c r="T2392" s="397" t="s">
        <v>73</v>
      </c>
      <c r="U2392" s="398" t="s">
        <v>59</v>
      </c>
      <c r="V2392" s="399" t="s">
        <v>59</v>
      </c>
      <c r="W2392" s="400" t="s">
        <v>59</v>
      </c>
      <c r="X2392" s="401" t="s">
        <v>59</v>
      </c>
      <c r="Y2392" s="401" t="s">
        <v>59</v>
      </c>
      <c r="Z2392" s="401" t="s">
        <v>59</v>
      </c>
      <c r="AA2392" s="402"/>
      <c r="AB2392" s="403"/>
    </row>
    <row r="2393" spans="1:28" s="343" customFormat="1" ht="18" customHeight="1" x14ac:dyDescent="0.25">
      <c r="A2393" s="358">
        <v>1</v>
      </c>
      <c r="B2393" s="53">
        <v>4479</v>
      </c>
      <c r="C2393" s="82">
        <v>702</v>
      </c>
      <c r="D2393" s="41" t="s">
        <v>84</v>
      </c>
      <c r="E2393" s="41">
        <v>4</v>
      </c>
      <c r="F2393" s="41">
        <v>0</v>
      </c>
      <c r="G2393" s="41">
        <v>3</v>
      </c>
      <c r="H2393" s="267">
        <v>84</v>
      </c>
      <c r="I2393" s="310">
        <f>F2393*400+G2393*100+H2393</f>
        <v>384</v>
      </c>
      <c r="J2393" s="310">
        <v>3450</v>
      </c>
      <c r="K2393" s="310">
        <f>SUM(I2393*J2393)</f>
        <v>1324800</v>
      </c>
      <c r="L2393" s="814"/>
      <c r="M2393" s="921"/>
      <c r="N2393" s="814"/>
      <c r="O2393" s="814">
        <v>1</v>
      </c>
      <c r="P2393" s="922"/>
      <c r="Q2393" s="2308"/>
      <c r="R2393" s="923"/>
      <c r="S2393" s="923"/>
      <c r="T2393" s="924"/>
      <c r="U2393" s="923"/>
      <c r="V2393" s="925"/>
      <c r="W2393" s="302">
        <f>K2393</f>
        <v>1324800</v>
      </c>
      <c r="X2393" s="310">
        <f>W2393</f>
        <v>1324800</v>
      </c>
      <c r="Y2393" s="310" t="s">
        <v>87</v>
      </c>
      <c r="Z2393" s="302">
        <v>0</v>
      </c>
      <c r="AA2393" s="405">
        <v>0.01</v>
      </c>
      <c r="AB2393" s="857">
        <f>+Z2393*AA2393/100</f>
        <v>0</v>
      </c>
    </row>
    <row r="2394" spans="1:28" s="343" customFormat="1" ht="18" customHeight="1" x14ac:dyDescent="0.2">
      <c r="A2394" s="867"/>
      <c r="B2394" s="61"/>
      <c r="C2394" s="2166"/>
      <c r="D2394" s="15"/>
      <c r="E2394" s="15"/>
      <c r="F2394" s="15"/>
      <c r="G2394" s="15"/>
      <c r="H2394" s="284">
        <v>21</v>
      </c>
      <c r="I2394" s="305">
        <f>F2394*400+G2394*100+H2394</f>
        <v>21</v>
      </c>
      <c r="J2394" s="305">
        <v>3451</v>
      </c>
      <c r="K2394" s="305">
        <f>SUM(I2394*J2394)</f>
        <v>72471</v>
      </c>
      <c r="L2394" s="15">
        <v>1</v>
      </c>
      <c r="M2394" s="2166">
        <v>106</v>
      </c>
      <c r="N2394" s="15" t="s">
        <v>96</v>
      </c>
      <c r="O2394" s="15">
        <v>2</v>
      </c>
      <c r="P2394" s="758">
        <v>168</v>
      </c>
      <c r="Q2394" s="2309">
        <v>100</v>
      </c>
      <c r="R2394" s="926">
        <v>7950</v>
      </c>
      <c r="S2394" s="926">
        <f>P2394*R2394</f>
        <v>1335600</v>
      </c>
      <c r="T2394" s="306">
        <v>20</v>
      </c>
      <c r="U2394" s="926">
        <f>S2394*0.75</f>
        <v>1001700</v>
      </c>
      <c r="V2394" s="927">
        <f>S2394-U2394</f>
        <v>333900</v>
      </c>
      <c r="W2394" s="296">
        <f>V2394+K2394</f>
        <v>406371</v>
      </c>
      <c r="X2394" s="306">
        <f>W2394</f>
        <v>406371</v>
      </c>
      <c r="Y2394" s="306"/>
      <c r="Z2394" s="296">
        <f>X2394</f>
        <v>406371</v>
      </c>
      <c r="AA2394" s="494">
        <v>0.02</v>
      </c>
      <c r="AB2394" s="688">
        <f>+Z2394*AA2394/100</f>
        <v>81.274200000000008</v>
      </c>
    </row>
    <row r="2395" spans="1:28" s="343" customFormat="1" ht="18" customHeight="1" x14ac:dyDescent="0.2">
      <c r="A2395" s="177">
        <v>2</v>
      </c>
      <c r="B2395" s="61">
        <v>4502</v>
      </c>
      <c r="C2395" s="2166">
        <v>703</v>
      </c>
      <c r="D2395" s="15" t="s">
        <v>84</v>
      </c>
      <c r="E2395" s="15">
        <v>4</v>
      </c>
      <c r="F2395" s="15">
        <v>1</v>
      </c>
      <c r="G2395" s="15">
        <v>1</v>
      </c>
      <c r="H2395" s="284">
        <v>94</v>
      </c>
      <c r="I2395" s="296">
        <f>F2395*400+G2395*100+H2395</f>
        <v>594</v>
      </c>
      <c r="J2395" s="306">
        <v>3950</v>
      </c>
      <c r="K2395" s="306">
        <f>J2395*I2395</f>
        <v>2346300</v>
      </c>
      <c r="L2395" s="15"/>
      <c r="M2395" s="2166"/>
      <c r="N2395" s="15"/>
      <c r="O2395" s="15">
        <v>1</v>
      </c>
      <c r="P2395" s="758"/>
      <c r="Q2395" s="2309"/>
      <c r="R2395" s="926"/>
      <c r="S2395" s="926">
        <f t="shared" ref="S2395:S2396" si="122">P2395*R2395</f>
        <v>0</v>
      </c>
      <c r="T2395" s="306"/>
      <c r="U2395" s="926">
        <f t="shared" ref="U2395" si="123">S2395*0.7</f>
        <v>0</v>
      </c>
      <c r="V2395" s="927">
        <f t="shared" ref="V2395:V2396" si="124">S2395-U2395</f>
        <v>0</v>
      </c>
      <c r="W2395" s="296">
        <f t="shared" ref="W2395:W2396" si="125">V2395+K2395</f>
        <v>2346300</v>
      </c>
      <c r="X2395" s="306">
        <f t="shared" ref="X2395:X2396" si="126">W2395</f>
        <v>2346300</v>
      </c>
      <c r="Y2395" s="306" t="s">
        <v>87</v>
      </c>
      <c r="Z2395" s="296">
        <v>0</v>
      </c>
      <c r="AA2395" s="494">
        <v>0.01</v>
      </c>
      <c r="AB2395" s="688">
        <f t="shared" ref="AB2395:AB2396" si="127">+Z2395*AA2395/100</f>
        <v>0</v>
      </c>
    </row>
    <row r="2396" spans="1:28" s="343" customFormat="1" ht="18" customHeight="1" x14ac:dyDescent="0.2">
      <c r="A2396" s="180"/>
      <c r="B2396" s="75"/>
      <c r="C2396" s="88"/>
      <c r="D2396" s="27"/>
      <c r="E2396" s="27"/>
      <c r="F2396" s="27"/>
      <c r="G2396" s="27"/>
      <c r="H2396" s="284">
        <v>54</v>
      </c>
      <c r="I2396" s="296">
        <f>F2396*400+G2396*100+H2396</f>
        <v>54</v>
      </c>
      <c r="J2396" s="306">
        <v>3950</v>
      </c>
      <c r="K2396" s="306">
        <f>J2396*I2396</f>
        <v>213300</v>
      </c>
      <c r="L2396" s="50">
        <v>2</v>
      </c>
      <c r="M2396" s="2166">
        <v>521</v>
      </c>
      <c r="N2396" s="15" t="s">
        <v>74</v>
      </c>
      <c r="O2396" s="50">
        <v>3</v>
      </c>
      <c r="P2396" s="673">
        <v>216</v>
      </c>
      <c r="Q2396" s="2310" t="s">
        <v>75</v>
      </c>
      <c r="R2396" s="296">
        <v>5650</v>
      </c>
      <c r="S2396" s="926">
        <f t="shared" si="122"/>
        <v>1220400</v>
      </c>
      <c r="T2396" s="306">
        <v>4</v>
      </c>
      <c r="U2396" s="926">
        <f>S2396*0.04</f>
        <v>48816</v>
      </c>
      <c r="V2396" s="927">
        <f t="shared" si="124"/>
        <v>1171584</v>
      </c>
      <c r="W2396" s="296">
        <f t="shared" si="125"/>
        <v>1384884</v>
      </c>
      <c r="X2396" s="306">
        <f t="shared" si="126"/>
        <v>1384884</v>
      </c>
      <c r="Y2396" s="306"/>
      <c r="Z2396" s="296">
        <f t="shared" ref="Z2396" si="128">X2396</f>
        <v>1384884</v>
      </c>
      <c r="AA2396" s="494">
        <v>0.3</v>
      </c>
      <c r="AB2396" s="688">
        <f t="shared" si="127"/>
        <v>4154.652</v>
      </c>
    </row>
    <row r="2397" spans="1:28" s="343" customFormat="1" ht="18" customHeight="1" x14ac:dyDescent="0.2">
      <c r="A2397" s="177"/>
      <c r="B2397" s="271"/>
      <c r="C2397" s="177"/>
      <c r="D2397" s="177"/>
      <c r="E2397" s="177"/>
      <c r="F2397" s="177"/>
      <c r="G2397" s="177"/>
      <c r="H2397" s="683"/>
      <c r="I2397" s="243"/>
      <c r="J2397" s="275"/>
      <c r="K2397" s="279"/>
      <c r="L2397" s="271"/>
      <c r="M2397" s="177"/>
      <c r="N2397" s="177"/>
      <c r="O2397" s="271"/>
      <c r="P2397" s="177"/>
      <c r="Q2397" s="2311"/>
      <c r="R2397" s="685"/>
      <c r="S2397" s="243"/>
      <c r="T2397" s="177"/>
      <c r="U2397" s="243"/>
      <c r="V2397" s="243"/>
      <c r="W2397" s="243"/>
      <c r="X2397" s="243"/>
      <c r="Y2397" s="275"/>
      <c r="Z2397" s="243"/>
      <c r="AA2397" s="686"/>
      <c r="AB2397" s="688"/>
    </row>
    <row r="2398" spans="1:28" s="343" customFormat="1" ht="18" customHeight="1" x14ac:dyDescent="0.2">
      <c r="A2398" s="177"/>
      <c r="B2398" s="271"/>
      <c r="C2398" s="177"/>
      <c r="D2398" s="177"/>
      <c r="E2398" s="177"/>
      <c r="F2398" s="177"/>
      <c r="G2398" s="177"/>
      <c r="H2398" s="683"/>
      <c r="I2398" s="243"/>
      <c r="J2398" s="275"/>
      <c r="K2398" s="279"/>
      <c r="L2398" s="271"/>
      <c r="M2398" s="177"/>
      <c r="N2398" s="177"/>
      <c r="O2398" s="271"/>
      <c r="P2398" s="177"/>
      <c r="Q2398" s="684"/>
      <c r="R2398" s="685"/>
      <c r="S2398" s="243"/>
      <c r="T2398" s="177"/>
      <c r="U2398" s="243"/>
      <c r="V2398" s="243"/>
      <c r="W2398" s="243"/>
      <c r="X2398" s="243"/>
      <c r="Y2398" s="275"/>
      <c r="Z2398" s="243"/>
      <c r="AA2398" s="686"/>
      <c r="AB2398" s="688"/>
    </row>
    <row r="2399" spans="1:28" s="343" customFormat="1" ht="18" customHeight="1" x14ac:dyDescent="0.2">
      <c r="A2399" s="177"/>
      <c r="B2399" s="271"/>
      <c r="C2399" s="177"/>
      <c r="D2399" s="177"/>
      <c r="E2399" s="177"/>
      <c r="F2399" s="177"/>
      <c r="G2399" s="177"/>
      <c r="H2399" s="683"/>
      <c r="I2399" s="243"/>
      <c r="J2399" s="275"/>
      <c r="K2399" s="279"/>
      <c r="L2399" s="271"/>
      <c r="M2399" s="177"/>
      <c r="N2399" s="177"/>
      <c r="O2399" s="271"/>
      <c r="P2399" s="177"/>
      <c r="Q2399" s="684"/>
      <c r="R2399" s="685"/>
      <c r="S2399" s="243"/>
      <c r="T2399" s="177"/>
      <c r="U2399" s="243"/>
      <c r="V2399" s="243"/>
      <c r="W2399" s="243"/>
      <c r="X2399" s="243"/>
      <c r="Y2399" s="275"/>
      <c r="Z2399" s="243"/>
      <c r="AA2399" s="686"/>
      <c r="AB2399" s="688"/>
    </row>
    <row r="2400" spans="1:28" s="343" customFormat="1" ht="18" customHeight="1" x14ac:dyDescent="0.2">
      <c r="A2400" s="180"/>
      <c r="B2400" s="281"/>
      <c r="C2400" s="180"/>
      <c r="D2400" s="180"/>
      <c r="E2400" s="177"/>
      <c r="F2400" s="928"/>
      <c r="G2400" s="689"/>
      <c r="H2400" s="929"/>
      <c r="I2400" s="314"/>
      <c r="J2400" s="280"/>
      <c r="K2400" s="314"/>
      <c r="L2400" s="281"/>
      <c r="M2400" s="180"/>
      <c r="N2400" s="180"/>
      <c r="O2400" s="281"/>
      <c r="P2400" s="180"/>
      <c r="Q2400" s="691"/>
      <c r="R2400" s="692"/>
      <c r="S2400" s="295"/>
      <c r="T2400" s="180"/>
      <c r="U2400" s="295"/>
      <c r="V2400" s="295"/>
      <c r="W2400" s="295"/>
      <c r="X2400" s="295"/>
      <c r="Y2400" s="280"/>
      <c r="Z2400" s="295"/>
      <c r="AA2400" s="693"/>
      <c r="AB2400" s="859"/>
    </row>
    <row r="2401" spans="1:28" s="343" customFormat="1" ht="18" customHeight="1" x14ac:dyDescent="0.2">
      <c r="A2401" s="180"/>
      <c r="B2401" s="281"/>
      <c r="C2401" s="180"/>
      <c r="D2401" s="867"/>
      <c r="E2401" s="177"/>
      <c r="F2401" s="928"/>
      <c r="G2401" s="689"/>
      <c r="H2401" s="929"/>
      <c r="I2401" s="314"/>
      <c r="J2401" s="280"/>
      <c r="K2401" s="314"/>
      <c r="L2401" s="281"/>
      <c r="M2401" s="180"/>
      <c r="N2401" s="180"/>
      <c r="O2401" s="281"/>
      <c r="P2401" s="180"/>
      <c r="Q2401" s="691"/>
      <c r="R2401" s="692"/>
      <c r="S2401" s="295"/>
      <c r="T2401" s="180"/>
      <c r="U2401" s="295"/>
      <c r="V2401" s="295"/>
      <c r="W2401" s="295"/>
      <c r="X2401" s="295"/>
      <c r="Y2401" s="280"/>
      <c r="Z2401" s="295"/>
      <c r="AA2401" s="930"/>
      <c r="AB2401" s="688"/>
    </row>
    <row r="2402" spans="1:28" s="343" customFormat="1" ht="18" customHeight="1" x14ac:dyDescent="0.2">
      <c r="A2402" s="180"/>
      <c r="B2402" s="281"/>
      <c r="C2402" s="180"/>
      <c r="D2402" s="180"/>
      <c r="E2402" s="177"/>
      <c r="F2402" s="928"/>
      <c r="G2402" s="689"/>
      <c r="H2402" s="929"/>
      <c r="I2402" s="314"/>
      <c r="J2402" s="280"/>
      <c r="K2402" s="314"/>
      <c r="L2402" s="281"/>
      <c r="M2402" s="180"/>
      <c r="N2402" s="180"/>
      <c r="O2402" s="281"/>
      <c r="P2402" s="180"/>
      <c r="Q2402" s="691"/>
      <c r="R2402" s="692"/>
      <c r="S2402" s="295"/>
      <c r="T2402" s="180"/>
      <c r="U2402" s="295"/>
      <c r="V2402" s="295"/>
      <c r="W2402" s="295"/>
      <c r="X2402" s="295"/>
      <c r="Y2402" s="280"/>
      <c r="Z2402" s="295"/>
      <c r="AA2402" s="693"/>
      <c r="AB2402" s="687"/>
    </row>
    <row r="2403" spans="1:28" s="343" customFormat="1" ht="18" customHeight="1" x14ac:dyDescent="0.2">
      <c r="A2403" s="180"/>
      <c r="B2403" s="281"/>
      <c r="C2403" s="180"/>
      <c r="D2403" s="931"/>
      <c r="E2403" s="177"/>
      <c r="F2403" s="928"/>
      <c r="G2403" s="689"/>
      <c r="H2403" s="929"/>
      <c r="I2403" s="314"/>
      <c r="J2403" s="280"/>
      <c r="K2403" s="314"/>
      <c r="L2403" s="281"/>
      <c r="M2403" s="180"/>
      <c r="N2403" s="180"/>
      <c r="O2403" s="281"/>
      <c r="P2403" s="180"/>
      <c r="Q2403" s="691"/>
      <c r="R2403" s="692"/>
      <c r="S2403" s="295"/>
      <c r="T2403" s="180"/>
      <c r="U2403" s="295"/>
      <c r="V2403" s="295"/>
      <c r="W2403" s="295"/>
      <c r="X2403" s="295"/>
      <c r="Y2403" s="280"/>
      <c r="Z2403" s="295"/>
      <c r="AA2403" s="693"/>
      <c r="AB2403" s="688"/>
    </row>
    <row r="2404" spans="1:28" s="343" customFormat="1" ht="18" customHeight="1" x14ac:dyDescent="0.2">
      <c r="A2404" s="180"/>
      <c r="B2404" s="281"/>
      <c r="C2404" s="180"/>
      <c r="D2404" s="931"/>
      <c r="E2404" s="177"/>
      <c r="F2404" s="928"/>
      <c r="G2404" s="689"/>
      <c r="H2404" s="929"/>
      <c r="I2404" s="314"/>
      <c r="J2404" s="280"/>
      <c r="K2404" s="314"/>
      <c r="L2404" s="281"/>
      <c r="M2404" s="180"/>
      <c r="N2404" s="180"/>
      <c r="O2404" s="281"/>
      <c r="P2404" s="180"/>
      <c r="Q2404" s="691"/>
      <c r="R2404" s="692"/>
      <c r="S2404" s="295"/>
      <c r="T2404" s="180"/>
      <c r="U2404" s="295"/>
      <c r="V2404" s="295"/>
      <c r="W2404" s="295"/>
      <c r="X2404" s="295"/>
      <c r="Y2404" s="280"/>
      <c r="Z2404" s="295"/>
      <c r="AA2404" s="930"/>
      <c r="AB2404" s="688"/>
    </row>
    <row r="2405" spans="1:28" s="343" customFormat="1" ht="18" customHeight="1" x14ac:dyDescent="0.2">
      <c r="A2405" s="180"/>
      <c r="B2405" s="281"/>
      <c r="C2405" s="180"/>
      <c r="D2405" s="931"/>
      <c r="E2405" s="177"/>
      <c r="F2405" s="928"/>
      <c r="G2405" s="689"/>
      <c r="H2405" s="929"/>
      <c r="I2405" s="314"/>
      <c r="J2405" s="280"/>
      <c r="K2405" s="314"/>
      <c r="L2405" s="281"/>
      <c r="M2405" s="180"/>
      <c r="N2405" s="180"/>
      <c r="O2405" s="281"/>
      <c r="P2405" s="180"/>
      <c r="Q2405" s="691"/>
      <c r="R2405" s="692"/>
      <c r="S2405" s="295"/>
      <c r="T2405" s="180"/>
      <c r="U2405" s="295"/>
      <c r="V2405" s="295"/>
      <c r="W2405" s="295"/>
      <c r="X2405" s="295"/>
      <c r="Y2405" s="280"/>
      <c r="Z2405" s="295"/>
      <c r="AA2405" s="693"/>
      <c r="AB2405" s="687"/>
    </row>
    <row r="2406" spans="1:28" s="343" customFormat="1" ht="18" customHeight="1" x14ac:dyDescent="0.2">
      <c r="A2406" s="180"/>
      <c r="B2406" s="860"/>
      <c r="C2406" s="180"/>
      <c r="D2406" s="180"/>
      <c r="E2406" s="180"/>
      <c r="F2406" s="928"/>
      <c r="G2406" s="689"/>
      <c r="H2406" s="929"/>
      <c r="I2406" s="314"/>
      <c r="J2406" s="280"/>
      <c r="K2406" s="314"/>
      <c r="L2406" s="281"/>
      <c r="M2406" s="180"/>
      <c r="N2406" s="180"/>
      <c r="O2406" s="281"/>
      <c r="P2406" s="180"/>
      <c r="Q2406" s="691"/>
      <c r="R2406" s="692"/>
      <c r="S2406" s="295"/>
      <c r="T2406" s="180"/>
      <c r="U2406" s="295"/>
      <c r="V2406" s="295"/>
      <c r="W2406" s="295"/>
      <c r="X2406" s="295"/>
      <c r="Y2406" s="280"/>
      <c r="Z2406" s="295"/>
      <c r="AA2406" s="693"/>
      <c r="AB2406" s="688"/>
    </row>
    <row r="2407" spans="1:28" s="343" customFormat="1" ht="18" customHeight="1" x14ac:dyDescent="0.2">
      <c r="A2407" s="1867"/>
      <c r="B2407" s="2256"/>
      <c r="C2407" s="1867"/>
      <c r="D2407" s="1867"/>
      <c r="E2407" s="1867"/>
      <c r="F2407" s="1867"/>
      <c r="G2407" s="1867"/>
      <c r="H2407" s="2257"/>
      <c r="I2407" s="2258"/>
      <c r="J2407" s="2259"/>
      <c r="K2407" s="2260"/>
      <c r="L2407" s="2256"/>
      <c r="M2407" s="1867"/>
      <c r="N2407" s="1867"/>
      <c r="O2407" s="2256"/>
      <c r="P2407" s="1867"/>
      <c r="Q2407" s="2261"/>
      <c r="R2407" s="2262"/>
      <c r="S2407" s="2258"/>
      <c r="T2407" s="1867"/>
      <c r="U2407" s="2258"/>
      <c r="V2407" s="2258"/>
      <c r="W2407" s="2258"/>
      <c r="X2407" s="2258"/>
      <c r="Y2407" s="2259"/>
      <c r="Z2407" s="2258"/>
      <c r="AA2407" s="2263"/>
      <c r="AB2407" s="2264">
        <f>SUM(AB2393:AB2406)</f>
        <v>4235.9261999999999</v>
      </c>
    </row>
    <row r="2408" spans="1:28" s="343" customFormat="1" ht="18" customHeight="1" x14ac:dyDescent="0.2">
      <c r="A2408" s="2791" t="s">
        <v>76</v>
      </c>
      <c r="B2408" s="2791"/>
      <c r="C2408" s="2782" t="s">
        <v>77</v>
      </c>
      <c r="D2408" s="2782"/>
      <c r="E2408" s="2782"/>
      <c r="F2408" s="2782"/>
      <c r="G2408" s="2782"/>
      <c r="H2408" s="2782"/>
      <c r="I2408" s="697" t="s">
        <v>78</v>
      </c>
      <c r="J2408" s="697"/>
      <c r="K2408" s="697"/>
      <c r="L2408" s="697"/>
      <c r="M2408" s="697"/>
      <c r="N2408" s="697"/>
      <c r="AB2408" s="698"/>
    </row>
    <row r="2409" spans="1:28" s="343" customFormat="1" ht="18" customHeight="1" x14ac:dyDescent="0.2">
      <c r="A2409" s="697"/>
      <c r="B2409" s="699"/>
      <c r="C2409" s="697"/>
      <c r="D2409" s="697"/>
      <c r="E2409" s="697"/>
      <c r="F2409" s="697"/>
      <c r="G2409" s="697"/>
      <c r="H2409" s="697"/>
      <c r="I2409" s="697" t="s">
        <v>79</v>
      </c>
      <c r="J2409" s="697"/>
      <c r="K2409" s="697"/>
      <c r="L2409" s="697"/>
      <c r="M2409" s="697"/>
      <c r="N2409" s="697"/>
      <c r="AB2409" s="698"/>
    </row>
    <row r="2410" spans="1:28" s="343" customFormat="1" ht="18" customHeight="1" x14ac:dyDescent="0.2">
      <c r="A2410" s="697"/>
      <c r="B2410" s="699"/>
      <c r="C2410" s="697"/>
      <c r="D2410" s="697"/>
      <c r="E2410" s="697"/>
      <c r="F2410" s="697"/>
      <c r="G2410" s="697"/>
      <c r="H2410" s="697"/>
      <c r="I2410" s="697" t="s">
        <v>80</v>
      </c>
      <c r="J2410" s="697"/>
      <c r="K2410" s="697"/>
      <c r="L2410" s="697"/>
      <c r="M2410" s="697"/>
      <c r="N2410" s="697"/>
      <c r="AB2410" s="698"/>
    </row>
    <row r="2411" spans="1:28" s="343" customFormat="1" ht="18" customHeight="1" x14ac:dyDescent="0.2">
      <c r="A2411" s="697"/>
      <c r="B2411" s="699"/>
      <c r="C2411" s="697"/>
      <c r="D2411" s="697"/>
      <c r="E2411" s="697"/>
      <c r="F2411" s="697"/>
      <c r="G2411" s="697"/>
      <c r="H2411" s="697"/>
      <c r="I2411" s="697" t="s">
        <v>81</v>
      </c>
      <c r="J2411" s="697"/>
      <c r="K2411" s="697"/>
      <c r="L2411" s="697"/>
      <c r="M2411" s="697"/>
      <c r="N2411" s="697"/>
      <c r="AB2411" s="698"/>
    </row>
    <row r="2412" spans="1:28" s="343" customFormat="1" ht="18" customHeight="1" x14ac:dyDescent="0.2">
      <c r="A2412" s="697"/>
      <c r="B2412" s="699"/>
      <c r="C2412" s="697"/>
      <c r="D2412" s="697"/>
      <c r="E2412" s="697"/>
      <c r="F2412" s="697"/>
      <c r="G2412" s="697"/>
      <c r="H2412" s="697"/>
      <c r="I2412" s="697" t="s">
        <v>88</v>
      </c>
      <c r="J2412" s="697"/>
      <c r="K2412" s="697"/>
      <c r="L2412" s="697"/>
      <c r="M2412" s="697"/>
      <c r="N2412" s="697"/>
      <c r="AB2412" s="698"/>
    </row>
    <row r="2413" spans="1:28" s="352" customFormat="1" ht="18" customHeight="1" x14ac:dyDescent="0.2">
      <c r="A2413" s="338"/>
      <c r="B2413" s="338"/>
      <c r="C2413" s="338"/>
      <c r="D2413" s="338"/>
      <c r="E2413" s="338"/>
      <c r="F2413" s="338"/>
      <c r="G2413" s="338"/>
      <c r="H2413" s="338"/>
      <c r="I2413" s="338"/>
      <c r="J2413" s="338"/>
      <c r="K2413" s="338"/>
      <c r="L2413" s="338"/>
      <c r="M2413" s="338"/>
      <c r="N2413" s="338"/>
      <c r="O2413" s="338"/>
      <c r="P2413" s="338"/>
      <c r="Q2413" s="338"/>
      <c r="R2413" s="338"/>
      <c r="S2413" s="338"/>
      <c r="T2413" s="338"/>
      <c r="U2413" s="338"/>
      <c r="V2413" s="338"/>
      <c r="W2413" s="338"/>
      <c r="X2413" s="338"/>
      <c r="Y2413" s="338"/>
      <c r="Z2413" s="338"/>
      <c r="AA2413" s="2774" t="s">
        <v>0</v>
      </c>
      <c r="AB2413" s="2774"/>
    </row>
    <row r="2414" spans="1:28" s="352" customFormat="1" ht="18" customHeight="1" x14ac:dyDescent="0.2">
      <c r="A2414" s="2703" t="s">
        <v>1</v>
      </c>
      <c r="B2414" s="2703"/>
      <c r="C2414" s="2703"/>
      <c r="D2414" s="2703"/>
      <c r="E2414" s="2703"/>
      <c r="F2414" s="2703"/>
      <c r="G2414" s="2703"/>
      <c r="H2414" s="2703"/>
      <c r="I2414" s="2703"/>
      <c r="J2414" s="2703"/>
      <c r="K2414" s="2703"/>
      <c r="L2414" s="2703"/>
      <c r="M2414" s="2703"/>
      <c r="N2414" s="2703"/>
      <c r="O2414" s="2703"/>
      <c r="P2414" s="2703"/>
      <c r="Q2414" s="2703"/>
      <c r="R2414" s="2703"/>
      <c r="S2414" s="2703"/>
      <c r="T2414" s="2703"/>
      <c r="U2414" s="2703"/>
      <c r="V2414" s="2703"/>
      <c r="W2414" s="2703"/>
      <c r="X2414" s="2703"/>
      <c r="Y2414" s="2703"/>
      <c r="Z2414" s="2703"/>
      <c r="AA2414" s="2703"/>
      <c r="AB2414" s="2703"/>
    </row>
    <row r="2415" spans="1:28" s="352" customFormat="1" ht="18" customHeight="1" x14ac:dyDescent="0.2">
      <c r="A2415" s="2780" t="s">
        <v>378</v>
      </c>
      <c r="B2415" s="2780"/>
      <c r="C2415" s="2780"/>
      <c r="D2415" s="2780"/>
      <c r="E2415" s="2780"/>
      <c r="F2415" s="2780"/>
      <c r="G2415" s="2780"/>
      <c r="H2415" s="2780"/>
      <c r="I2415" s="2780"/>
      <c r="J2415" s="2780"/>
      <c r="K2415" s="2780"/>
      <c r="L2415" s="2780"/>
      <c r="M2415" s="2780"/>
      <c r="N2415" s="2780"/>
      <c r="O2415" s="2780"/>
      <c r="P2415" s="2780"/>
      <c r="Q2415" s="2780"/>
      <c r="R2415" s="2780"/>
      <c r="S2415" s="2780"/>
      <c r="T2415" s="2780"/>
      <c r="U2415" s="2780"/>
      <c r="V2415" s="2780"/>
      <c r="W2415" s="2780"/>
      <c r="X2415" s="2780"/>
      <c r="Y2415" s="2780"/>
      <c r="Z2415" s="2780"/>
      <c r="AA2415" s="2780"/>
      <c r="AB2415" s="2780"/>
    </row>
    <row r="2416" spans="1:28" s="352" customFormat="1" ht="18" customHeight="1" x14ac:dyDescent="0.2">
      <c r="A2416" s="2686" t="s">
        <v>2</v>
      </c>
      <c r="B2416" s="360"/>
      <c r="C2416" s="2686" t="s">
        <v>3</v>
      </c>
      <c r="D2416" s="360"/>
      <c r="E2416" s="360"/>
      <c r="F2416" s="2693" t="s">
        <v>4</v>
      </c>
      <c r="G2416" s="2693"/>
      <c r="H2416" s="2693"/>
      <c r="I2416" s="2694"/>
      <c r="J2416" s="2694"/>
      <c r="K2416" s="2695"/>
      <c r="L2416" s="361"/>
      <c r="M2416" s="2679" t="s">
        <v>5</v>
      </c>
      <c r="N2416" s="2679"/>
      <c r="O2416" s="2679"/>
      <c r="P2416" s="2679"/>
      <c r="Q2416" s="2696"/>
      <c r="R2416" s="2696"/>
      <c r="S2416" s="2696"/>
      <c r="T2416" s="2696"/>
      <c r="U2416" s="2696"/>
      <c r="V2416" s="2697"/>
      <c r="W2416" s="362" t="s">
        <v>6</v>
      </c>
      <c r="X2416" s="363" t="s">
        <v>7</v>
      </c>
      <c r="Y2416" s="364"/>
      <c r="Z2416" s="364"/>
      <c r="AA2416" s="363"/>
      <c r="AB2416" s="365"/>
    </row>
    <row r="2417" spans="1:28" s="352" customFormat="1" ht="18" customHeight="1" x14ac:dyDescent="0.2">
      <c r="A2417" s="2687"/>
      <c r="B2417" s="367"/>
      <c r="C2417" s="2687"/>
      <c r="D2417" s="2158" t="s">
        <v>9</v>
      </c>
      <c r="E2417" s="368" t="s">
        <v>10</v>
      </c>
      <c r="F2417" s="2698" t="s">
        <v>11</v>
      </c>
      <c r="G2417" s="2694"/>
      <c r="H2417" s="2695"/>
      <c r="I2417" s="360"/>
      <c r="J2417" s="369" t="s">
        <v>12</v>
      </c>
      <c r="K2417" s="360"/>
      <c r="L2417" s="2679" t="s">
        <v>2</v>
      </c>
      <c r="M2417" s="2162"/>
      <c r="N2417" s="2162"/>
      <c r="O2417" s="2162"/>
      <c r="P2417" s="371"/>
      <c r="Q2417" s="372" t="s">
        <v>13</v>
      </c>
      <c r="R2417" s="373" t="s">
        <v>12</v>
      </c>
      <c r="S2417" s="2162" t="s">
        <v>6</v>
      </c>
      <c r="T2417" s="2682" t="s">
        <v>14</v>
      </c>
      <c r="U2417" s="2683"/>
      <c r="V2417" s="375" t="s">
        <v>7</v>
      </c>
      <c r="W2417" s="376" t="s">
        <v>15</v>
      </c>
      <c r="X2417" s="377" t="s">
        <v>16</v>
      </c>
      <c r="Y2417" s="377" t="s">
        <v>17</v>
      </c>
      <c r="Z2417" s="377" t="s">
        <v>18</v>
      </c>
      <c r="AA2417" s="377"/>
      <c r="AB2417" s="378" t="s">
        <v>19</v>
      </c>
    </row>
    <row r="2418" spans="1:28" s="352" customFormat="1" ht="18" customHeight="1" x14ac:dyDescent="0.2">
      <c r="A2418" s="2687"/>
      <c r="B2418" s="2158" t="s">
        <v>23</v>
      </c>
      <c r="C2418" s="2687"/>
      <c r="D2418" s="2158" t="s">
        <v>24</v>
      </c>
      <c r="E2418" s="368" t="s">
        <v>25</v>
      </c>
      <c r="F2418" s="2699"/>
      <c r="G2418" s="2700"/>
      <c r="H2418" s="2701"/>
      <c r="I2418" s="2158" t="s">
        <v>26</v>
      </c>
      <c r="J2418" s="379" t="s">
        <v>15</v>
      </c>
      <c r="K2418" s="2159" t="s">
        <v>6</v>
      </c>
      <c r="L2418" s="2680"/>
      <c r="M2418" s="2163" t="s">
        <v>27</v>
      </c>
      <c r="N2418" s="2163" t="s">
        <v>10</v>
      </c>
      <c r="O2418" s="382" t="s">
        <v>10</v>
      </c>
      <c r="P2418" s="383" t="s">
        <v>28</v>
      </c>
      <c r="Q2418" s="384" t="s">
        <v>29</v>
      </c>
      <c r="R2418" s="383" t="s">
        <v>15</v>
      </c>
      <c r="S2418" s="385" t="s">
        <v>15</v>
      </c>
      <c r="T2418" s="2684"/>
      <c r="U2418" s="2685"/>
      <c r="V2418" s="375" t="s">
        <v>30</v>
      </c>
      <c r="W2418" s="376" t="s">
        <v>31</v>
      </c>
      <c r="X2418" s="377" t="s">
        <v>30</v>
      </c>
      <c r="Y2418" s="377" t="s">
        <v>32</v>
      </c>
      <c r="Z2418" s="377" t="s">
        <v>7</v>
      </c>
      <c r="AA2418" s="377" t="s">
        <v>33</v>
      </c>
      <c r="AB2418" s="378" t="s">
        <v>34</v>
      </c>
    </row>
    <row r="2419" spans="1:28" s="352" customFormat="1" ht="18" customHeight="1" x14ac:dyDescent="0.2">
      <c r="A2419" s="2687"/>
      <c r="B2419" s="2158" t="s">
        <v>39</v>
      </c>
      <c r="C2419" s="2687"/>
      <c r="D2419" s="2158" t="s">
        <v>40</v>
      </c>
      <c r="E2419" s="368" t="s">
        <v>41</v>
      </c>
      <c r="F2419" s="2686" t="s">
        <v>42</v>
      </c>
      <c r="G2419" s="2686" t="s">
        <v>43</v>
      </c>
      <c r="H2419" s="2688" t="s">
        <v>44</v>
      </c>
      <c r="I2419" s="2158" t="s">
        <v>45</v>
      </c>
      <c r="J2419" s="379" t="s">
        <v>46</v>
      </c>
      <c r="K2419" s="2159" t="s">
        <v>47</v>
      </c>
      <c r="L2419" s="2680"/>
      <c r="M2419" s="2163" t="s">
        <v>30</v>
      </c>
      <c r="N2419" s="2163" t="s">
        <v>30</v>
      </c>
      <c r="O2419" s="382" t="s">
        <v>25</v>
      </c>
      <c r="P2419" s="383" t="s">
        <v>30</v>
      </c>
      <c r="Q2419" s="384" t="s">
        <v>48</v>
      </c>
      <c r="R2419" s="383" t="s">
        <v>49</v>
      </c>
      <c r="S2419" s="385" t="s">
        <v>30</v>
      </c>
      <c r="T2419" s="386" t="s">
        <v>50</v>
      </c>
      <c r="U2419" s="2161" t="s">
        <v>13</v>
      </c>
      <c r="V2419" s="375" t="s">
        <v>51</v>
      </c>
      <c r="W2419" s="376" t="s">
        <v>52</v>
      </c>
      <c r="X2419" s="377" t="s">
        <v>53</v>
      </c>
      <c r="Y2419" s="377" t="s">
        <v>54</v>
      </c>
      <c r="Z2419" s="377" t="s">
        <v>55</v>
      </c>
      <c r="AA2419" s="377" t="s">
        <v>56</v>
      </c>
      <c r="AB2419" s="378" t="s">
        <v>57</v>
      </c>
    </row>
    <row r="2420" spans="1:28" s="352" customFormat="1" ht="18" customHeight="1" x14ac:dyDescent="0.2">
      <c r="A2420" s="2687"/>
      <c r="B2420" s="2158" t="s">
        <v>61</v>
      </c>
      <c r="C2420" s="2687"/>
      <c r="D2420" s="2158" t="s">
        <v>62</v>
      </c>
      <c r="E2420" s="368" t="s">
        <v>63</v>
      </c>
      <c r="F2420" s="2687"/>
      <c r="G2420" s="2687"/>
      <c r="H2420" s="2689"/>
      <c r="I2420" s="2158" t="s">
        <v>64</v>
      </c>
      <c r="J2420" s="379" t="s">
        <v>59</v>
      </c>
      <c r="K2420" s="2159" t="s">
        <v>59</v>
      </c>
      <c r="L2420" s="2680"/>
      <c r="M2420" s="2163"/>
      <c r="N2420" s="2163"/>
      <c r="O2420" s="382" t="s">
        <v>41</v>
      </c>
      <c r="P2420" s="383" t="s">
        <v>65</v>
      </c>
      <c r="Q2420" s="384" t="s">
        <v>66</v>
      </c>
      <c r="R2420" s="383" t="s">
        <v>67</v>
      </c>
      <c r="S2420" s="385" t="s">
        <v>59</v>
      </c>
      <c r="T2420" s="387" t="s">
        <v>68</v>
      </c>
      <c r="U2420" s="375" t="s">
        <v>14</v>
      </c>
      <c r="V2420" s="375" t="s">
        <v>14</v>
      </c>
      <c r="W2420" s="376" t="s">
        <v>30</v>
      </c>
      <c r="X2420" s="388" t="s">
        <v>69</v>
      </c>
      <c r="Y2420" s="388" t="s">
        <v>70</v>
      </c>
      <c r="Z2420" s="377" t="s">
        <v>71</v>
      </c>
      <c r="AA2420" s="377" t="s">
        <v>72</v>
      </c>
      <c r="AB2420" s="378" t="s">
        <v>59</v>
      </c>
    </row>
    <row r="2421" spans="1:28" s="352" customFormat="1" ht="18" customHeight="1" x14ac:dyDescent="0.2">
      <c r="A2421" s="2692"/>
      <c r="B2421" s="390"/>
      <c r="C2421" s="2692"/>
      <c r="D2421" s="390"/>
      <c r="E2421" s="2160"/>
      <c r="F2421" s="390"/>
      <c r="G2421" s="390"/>
      <c r="H2421" s="391"/>
      <c r="I2421" s="2160"/>
      <c r="J2421" s="392"/>
      <c r="K2421" s="393"/>
      <c r="L2421" s="2681"/>
      <c r="M2421" s="2164"/>
      <c r="N2421" s="2164"/>
      <c r="O2421" s="2164" t="s">
        <v>63</v>
      </c>
      <c r="P2421" s="395"/>
      <c r="Q2421" s="396" t="s">
        <v>72</v>
      </c>
      <c r="R2421" s="397" t="s">
        <v>59</v>
      </c>
      <c r="S2421" s="398"/>
      <c r="T2421" s="397" t="s">
        <v>73</v>
      </c>
      <c r="U2421" s="398" t="s">
        <v>59</v>
      </c>
      <c r="V2421" s="399" t="s">
        <v>59</v>
      </c>
      <c r="W2421" s="400" t="s">
        <v>59</v>
      </c>
      <c r="X2421" s="401" t="s">
        <v>59</v>
      </c>
      <c r="Y2421" s="401" t="s">
        <v>59</v>
      </c>
      <c r="Z2421" s="401" t="s">
        <v>59</v>
      </c>
      <c r="AA2421" s="402"/>
      <c r="AB2421" s="403"/>
    </row>
    <row r="2422" spans="1:28" s="352" customFormat="1" ht="18" customHeight="1" x14ac:dyDescent="0.25">
      <c r="A2422" s="82">
        <v>1</v>
      </c>
      <c r="B2422" s="53">
        <v>17381</v>
      </c>
      <c r="C2422" s="82">
        <v>1610</v>
      </c>
      <c r="D2422" s="41" t="s">
        <v>84</v>
      </c>
      <c r="E2422" s="41">
        <v>4</v>
      </c>
      <c r="F2422" s="41">
        <v>0</v>
      </c>
      <c r="G2422" s="41">
        <v>0</v>
      </c>
      <c r="H2422" s="267">
        <v>62.5</v>
      </c>
      <c r="I2422" s="302">
        <f>F2422*400+G2422*100+H2422</f>
        <v>62.5</v>
      </c>
      <c r="J2422" s="310">
        <v>3000</v>
      </c>
      <c r="K2422" s="310">
        <f>SUM(I2422*J2422)</f>
        <v>187500</v>
      </c>
      <c r="L2422" s="480"/>
      <c r="M2422" s="481"/>
      <c r="N2422" s="480"/>
      <c r="O2422" s="480"/>
      <c r="P2422" s="482"/>
      <c r="Q2422" s="483"/>
      <c r="R2422" s="484"/>
      <c r="S2422" s="485"/>
      <c r="T2422" s="483"/>
      <c r="U2422" s="485"/>
      <c r="V2422" s="486"/>
      <c r="W2422" s="302">
        <f>K2422</f>
        <v>187500</v>
      </c>
      <c r="X2422" s="310">
        <f>W2422</f>
        <v>187500</v>
      </c>
      <c r="Y2422" s="310"/>
      <c r="Z2422" s="302">
        <f>+X2422</f>
        <v>187500</v>
      </c>
      <c r="AA2422" s="405">
        <v>0.6</v>
      </c>
      <c r="AB2422" s="406">
        <f>+Z2422*AA2422/100</f>
        <v>1125</v>
      </c>
    </row>
    <row r="2423" spans="1:28" s="352" customFormat="1" ht="18" customHeight="1" x14ac:dyDescent="0.2">
      <c r="A2423" s="231"/>
      <c r="B2423" s="61"/>
      <c r="C2423" s="2166"/>
      <c r="D2423" s="2166"/>
      <c r="E2423" s="2166"/>
      <c r="F2423" s="2166"/>
      <c r="G2423" s="2166"/>
      <c r="H2423" s="407"/>
      <c r="I2423" s="77"/>
      <c r="J2423" s="2168"/>
      <c r="K2423" s="2168"/>
      <c r="L2423" s="488"/>
      <c r="M2423" s="488"/>
      <c r="N2423" s="488"/>
      <c r="O2423" s="488"/>
      <c r="P2423" s="819"/>
      <c r="Q2423" s="819"/>
      <c r="R2423" s="820"/>
      <c r="S2423" s="820"/>
      <c r="T2423" s="819"/>
      <c r="U2423" s="820"/>
      <c r="V2423" s="821"/>
      <c r="W2423" s="77"/>
      <c r="X2423" s="2168"/>
      <c r="Y2423" s="2168"/>
      <c r="Z2423" s="77"/>
      <c r="AA2423" s="2170"/>
      <c r="AB2423" s="410"/>
    </row>
    <row r="2424" spans="1:28" s="352" customFormat="1" ht="18" customHeight="1" x14ac:dyDescent="0.2">
      <c r="A2424" s="2166"/>
      <c r="B2424" s="61"/>
      <c r="C2424" s="2166"/>
      <c r="D2424" s="2166"/>
      <c r="E2424" s="2166"/>
      <c r="F2424" s="2166"/>
      <c r="G2424" s="2166"/>
      <c r="H2424" s="407"/>
      <c r="I2424" s="77"/>
      <c r="J2424" s="2168"/>
      <c r="K2424" s="2168"/>
      <c r="L2424" s="488"/>
      <c r="M2424" s="488"/>
      <c r="N2424" s="488"/>
      <c r="O2424" s="488"/>
      <c r="P2424" s="819"/>
      <c r="Q2424" s="819"/>
      <c r="R2424" s="820"/>
      <c r="S2424" s="820"/>
      <c r="T2424" s="819"/>
      <c r="U2424" s="820"/>
      <c r="V2424" s="821"/>
      <c r="W2424" s="77"/>
      <c r="X2424" s="2168"/>
      <c r="Y2424" s="2168"/>
      <c r="Z2424" s="77"/>
      <c r="AA2424" s="2170"/>
      <c r="AB2424" s="410"/>
    </row>
    <row r="2425" spans="1:28" s="352" customFormat="1" ht="18" customHeight="1" x14ac:dyDescent="0.2">
      <c r="A2425" s="88"/>
      <c r="B2425" s="75"/>
      <c r="C2425" s="88"/>
      <c r="D2425" s="88"/>
      <c r="E2425" s="88"/>
      <c r="F2425" s="88"/>
      <c r="G2425" s="88"/>
      <c r="H2425" s="495"/>
      <c r="I2425" s="77"/>
      <c r="J2425" s="2168"/>
      <c r="K2425" s="2168"/>
      <c r="L2425" s="61"/>
      <c r="M2425" s="2166"/>
      <c r="N2425" s="2166"/>
      <c r="O2425" s="61"/>
      <c r="P2425" s="177"/>
      <c r="Q2425" s="196"/>
      <c r="R2425" s="408"/>
      <c r="S2425" s="77"/>
      <c r="T2425" s="2166"/>
      <c r="U2425" s="77"/>
      <c r="V2425" s="77"/>
      <c r="W2425" s="77"/>
      <c r="X2425" s="2168"/>
      <c r="Y2425" s="2168"/>
      <c r="Z2425" s="77"/>
      <c r="AA2425" s="2170"/>
      <c r="AB2425" s="466"/>
    </row>
    <row r="2426" spans="1:28" s="352" customFormat="1" ht="18" customHeight="1" x14ac:dyDescent="0.2">
      <c r="A2426" s="2166"/>
      <c r="B2426" s="61"/>
      <c r="C2426" s="2166"/>
      <c r="D2426" s="2166"/>
      <c r="E2426" s="2166"/>
      <c r="F2426" s="2166"/>
      <c r="G2426" s="2166"/>
      <c r="H2426" s="407"/>
      <c r="I2426" s="77"/>
      <c r="J2426" s="2168"/>
      <c r="K2426" s="78"/>
      <c r="L2426" s="61"/>
      <c r="M2426" s="2166"/>
      <c r="N2426" s="2166"/>
      <c r="O2426" s="61"/>
      <c r="P2426" s="177"/>
      <c r="Q2426" s="196"/>
      <c r="R2426" s="408"/>
      <c r="S2426" s="77"/>
      <c r="T2426" s="2166"/>
      <c r="U2426" s="77"/>
      <c r="V2426" s="77"/>
      <c r="W2426" s="77"/>
      <c r="X2426" s="77"/>
      <c r="Y2426" s="2168"/>
      <c r="Z2426" s="77"/>
      <c r="AA2426" s="2170"/>
      <c r="AB2426" s="410"/>
    </row>
    <row r="2427" spans="1:28" s="352" customFormat="1" ht="18" customHeight="1" x14ac:dyDescent="0.2">
      <c r="A2427" s="2166"/>
      <c r="B2427" s="61"/>
      <c r="C2427" s="2166"/>
      <c r="D2427" s="2166"/>
      <c r="E2427" s="2166"/>
      <c r="F2427" s="2166"/>
      <c r="G2427" s="2166"/>
      <c r="H2427" s="407"/>
      <c r="I2427" s="77"/>
      <c r="J2427" s="2168"/>
      <c r="K2427" s="78"/>
      <c r="L2427" s="61"/>
      <c r="M2427" s="2166"/>
      <c r="N2427" s="2166"/>
      <c r="O2427" s="61"/>
      <c r="P2427" s="177"/>
      <c r="Q2427" s="196"/>
      <c r="R2427" s="408"/>
      <c r="S2427" s="77"/>
      <c r="T2427" s="2166"/>
      <c r="U2427" s="77"/>
      <c r="V2427" s="77"/>
      <c r="W2427" s="77"/>
      <c r="X2427" s="77"/>
      <c r="Y2427" s="2168"/>
      <c r="Z2427" s="77"/>
      <c r="AA2427" s="2170"/>
      <c r="AB2427" s="410"/>
    </row>
    <row r="2428" spans="1:28" s="352" customFormat="1" ht="18" customHeight="1" x14ac:dyDescent="0.2">
      <c r="A2428" s="2166"/>
      <c r="B2428" s="61"/>
      <c r="C2428" s="2166"/>
      <c r="D2428" s="2166"/>
      <c r="E2428" s="2166"/>
      <c r="F2428" s="2166"/>
      <c r="G2428" s="2166"/>
      <c r="H2428" s="407"/>
      <c r="I2428" s="77"/>
      <c r="J2428" s="2168"/>
      <c r="K2428" s="78"/>
      <c r="L2428" s="61"/>
      <c r="M2428" s="2166"/>
      <c r="N2428" s="2166"/>
      <c r="O2428" s="61"/>
      <c r="P2428" s="177"/>
      <c r="Q2428" s="196"/>
      <c r="R2428" s="408"/>
      <c r="S2428" s="77"/>
      <c r="T2428" s="2166"/>
      <c r="U2428" s="77"/>
      <c r="V2428" s="77"/>
      <c r="W2428" s="77"/>
      <c r="X2428" s="77"/>
      <c r="Y2428" s="2168"/>
      <c r="Z2428" s="77"/>
      <c r="AA2428" s="2170"/>
      <c r="AB2428" s="410"/>
    </row>
    <row r="2429" spans="1:28" s="352" customFormat="1" ht="18" customHeight="1" x14ac:dyDescent="0.2">
      <c r="A2429" s="88"/>
      <c r="B2429" s="75"/>
      <c r="C2429" s="88"/>
      <c r="D2429" s="88"/>
      <c r="E2429" s="2166"/>
      <c r="F2429" s="411"/>
      <c r="G2429" s="242"/>
      <c r="H2429" s="412"/>
      <c r="I2429" s="159"/>
      <c r="J2429" s="121"/>
      <c r="K2429" s="159"/>
      <c r="L2429" s="75"/>
      <c r="M2429" s="88"/>
      <c r="N2429" s="88"/>
      <c r="O2429" s="75"/>
      <c r="P2429" s="180"/>
      <c r="Q2429" s="174"/>
      <c r="R2429" s="413"/>
      <c r="S2429" s="74"/>
      <c r="T2429" s="88"/>
      <c r="U2429" s="74"/>
      <c r="V2429" s="74"/>
      <c r="W2429" s="74"/>
      <c r="X2429" s="74"/>
      <c r="Y2429" s="121"/>
      <c r="Z2429" s="74"/>
      <c r="AA2429" s="414"/>
      <c r="AB2429" s="415"/>
    </row>
    <row r="2430" spans="1:28" s="352" customFormat="1" ht="18" customHeight="1" x14ac:dyDescent="0.2">
      <c r="A2430" s="88"/>
      <c r="B2430" s="75"/>
      <c r="C2430" s="88"/>
      <c r="D2430" s="88"/>
      <c r="E2430" s="2166"/>
      <c r="F2430" s="411"/>
      <c r="G2430" s="242"/>
      <c r="H2430" s="412"/>
      <c r="I2430" s="159"/>
      <c r="J2430" s="121"/>
      <c r="K2430" s="159"/>
      <c r="L2430" s="75"/>
      <c r="M2430" s="88"/>
      <c r="N2430" s="88"/>
      <c r="O2430" s="75"/>
      <c r="P2430" s="180"/>
      <c r="Q2430" s="174"/>
      <c r="R2430" s="413"/>
      <c r="S2430" s="74"/>
      <c r="T2430" s="88"/>
      <c r="U2430" s="74"/>
      <c r="V2430" s="74"/>
      <c r="W2430" s="74"/>
      <c r="X2430" s="74"/>
      <c r="Y2430" s="121"/>
      <c r="Z2430" s="74"/>
      <c r="AA2430" s="414"/>
      <c r="AB2430" s="416"/>
    </row>
    <row r="2431" spans="1:28" s="352" customFormat="1" ht="18" customHeight="1" x14ac:dyDescent="0.2">
      <c r="A2431" s="88"/>
      <c r="B2431" s="75"/>
      <c r="C2431" s="88"/>
      <c r="D2431" s="88"/>
      <c r="E2431" s="2166"/>
      <c r="F2431" s="411"/>
      <c r="G2431" s="242"/>
      <c r="H2431" s="412"/>
      <c r="I2431" s="159"/>
      <c r="J2431" s="121"/>
      <c r="K2431" s="159"/>
      <c r="L2431" s="75"/>
      <c r="M2431" s="88"/>
      <c r="N2431" s="88"/>
      <c r="O2431" s="75"/>
      <c r="P2431" s="180"/>
      <c r="Q2431" s="174"/>
      <c r="R2431" s="413"/>
      <c r="S2431" s="74"/>
      <c r="T2431" s="88"/>
      <c r="U2431" s="74"/>
      <c r="V2431" s="74"/>
      <c r="W2431" s="74"/>
      <c r="X2431" s="74"/>
      <c r="Y2431" s="121"/>
      <c r="Z2431" s="74"/>
      <c r="AA2431" s="414"/>
      <c r="AB2431" s="415"/>
    </row>
    <row r="2432" spans="1:28" s="352" customFormat="1" ht="18" customHeight="1" x14ac:dyDescent="0.2">
      <c r="A2432" s="88"/>
      <c r="B2432" s="75"/>
      <c r="C2432" s="88"/>
      <c r="D2432" s="231"/>
      <c r="E2432" s="2166"/>
      <c r="F2432" s="411"/>
      <c r="G2432" s="242"/>
      <c r="H2432" s="412"/>
      <c r="I2432" s="159"/>
      <c r="J2432" s="121"/>
      <c r="K2432" s="159"/>
      <c r="L2432" s="75"/>
      <c r="M2432" s="88"/>
      <c r="N2432" s="88"/>
      <c r="O2432" s="75"/>
      <c r="P2432" s="180"/>
      <c r="Q2432" s="174"/>
      <c r="R2432" s="413"/>
      <c r="S2432" s="74"/>
      <c r="T2432" s="88"/>
      <c r="U2432" s="74"/>
      <c r="V2432" s="74"/>
      <c r="W2432" s="74"/>
      <c r="X2432" s="74"/>
      <c r="Y2432" s="121"/>
      <c r="Z2432" s="74"/>
      <c r="AA2432" s="417"/>
      <c r="AB2432" s="410"/>
    </row>
    <row r="2433" spans="1:28" s="352" customFormat="1" ht="18" customHeight="1" x14ac:dyDescent="0.2">
      <c r="A2433" s="88"/>
      <c r="B2433" s="75"/>
      <c r="C2433" s="88"/>
      <c r="D2433" s="2165"/>
      <c r="E2433" s="2166"/>
      <c r="F2433" s="411"/>
      <c r="G2433" s="242"/>
      <c r="H2433" s="412"/>
      <c r="I2433" s="159"/>
      <c r="J2433" s="121"/>
      <c r="K2433" s="159"/>
      <c r="L2433" s="75"/>
      <c r="M2433" s="88"/>
      <c r="N2433" s="88"/>
      <c r="O2433" s="75"/>
      <c r="P2433" s="180"/>
      <c r="Q2433" s="174"/>
      <c r="R2433" s="413"/>
      <c r="S2433" s="74"/>
      <c r="T2433" s="88"/>
      <c r="U2433" s="74"/>
      <c r="V2433" s="74"/>
      <c r="W2433" s="74"/>
      <c r="X2433" s="74"/>
      <c r="Y2433" s="121"/>
      <c r="Z2433" s="74"/>
      <c r="AA2433" s="417"/>
      <c r="AB2433" s="410"/>
    </row>
    <row r="2434" spans="1:28" s="352" customFormat="1" ht="18" customHeight="1" x14ac:dyDescent="0.2">
      <c r="A2434" s="88"/>
      <c r="B2434" s="75"/>
      <c r="C2434" s="88"/>
      <c r="D2434" s="2165"/>
      <c r="E2434" s="2166"/>
      <c r="F2434" s="411"/>
      <c r="G2434" s="242"/>
      <c r="H2434" s="412"/>
      <c r="I2434" s="159"/>
      <c r="J2434" s="121"/>
      <c r="K2434" s="159"/>
      <c r="L2434" s="75"/>
      <c r="M2434" s="88"/>
      <c r="N2434" s="88"/>
      <c r="O2434" s="75"/>
      <c r="P2434" s="180"/>
      <c r="Q2434" s="174"/>
      <c r="R2434" s="413"/>
      <c r="S2434" s="74"/>
      <c r="T2434" s="88"/>
      <c r="U2434" s="74"/>
      <c r="V2434" s="74"/>
      <c r="W2434" s="74"/>
      <c r="X2434" s="74"/>
      <c r="Y2434" s="121"/>
      <c r="Z2434" s="74"/>
      <c r="AA2434" s="414"/>
      <c r="AB2434" s="416"/>
    </row>
    <row r="2435" spans="1:28" s="352" customFormat="1" ht="18" customHeight="1" x14ac:dyDescent="0.2">
      <c r="A2435" s="88"/>
      <c r="B2435" s="418"/>
      <c r="C2435" s="88"/>
      <c r="D2435" s="88"/>
      <c r="E2435" s="88"/>
      <c r="F2435" s="411"/>
      <c r="G2435" s="242"/>
      <c r="H2435" s="412"/>
      <c r="I2435" s="159"/>
      <c r="J2435" s="121"/>
      <c r="K2435" s="159"/>
      <c r="L2435" s="75"/>
      <c r="M2435" s="88"/>
      <c r="N2435" s="88"/>
      <c r="O2435" s="75"/>
      <c r="P2435" s="180"/>
      <c r="Q2435" s="174"/>
      <c r="R2435" s="413"/>
      <c r="S2435" s="74"/>
      <c r="T2435" s="88"/>
      <c r="U2435" s="74"/>
      <c r="V2435" s="74"/>
      <c r="W2435" s="74"/>
      <c r="X2435" s="74"/>
      <c r="Y2435" s="121"/>
      <c r="Z2435" s="74"/>
      <c r="AA2435" s="414"/>
      <c r="AB2435" s="410"/>
    </row>
    <row r="2436" spans="1:28" s="352" customFormat="1" ht="18" customHeight="1" x14ac:dyDescent="0.2">
      <c r="A2436" s="1147"/>
      <c r="B2436" s="1989"/>
      <c r="C2436" s="1147"/>
      <c r="D2436" s="1147"/>
      <c r="E2436" s="1147"/>
      <c r="F2436" s="1147"/>
      <c r="G2436" s="1147"/>
      <c r="H2436" s="1990"/>
      <c r="I2436" s="1991"/>
      <c r="J2436" s="1868"/>
      <c r="K2436" s="1992"/>
      <c r="L2436" s="1989"/>
      <c r="M2436" s="1147"/>
      <c r="N2436" s="1147"/>
      <c r="O2436" s="1989"/>
      <c r="P2436" s="1867"/>
      <c r="Q2436" s="1993"/>
      <c r="R2436" s="1994"/>
      <c r="S2436" s="1991"/>
      <c r="T2436" s="1147"/>
      <c r="U2436" s="1991"/>
      <c r="V2436" s="1991"/>
      <c r="W2436" s="1991"/>
      <c r="X2436" s="1991"/>
      <c r="Y2436" s="1868"/>
      <c r="Z2436" s="1991"/>
      <c r="AA2436" s="1995"/>
      <c r="AB2436" s="1849">
        <f>SUM(AB2422:AB2435)</f>
        <v>1125</v>
      </c>
    </row>
    <row r="2437" spans="1:28" s="352" customFormat="1" ht="18" customHeight="1" x14ac:dyDescent="0.2">
      <c r="A2437" s="2788" t="s">
        <v>76</v>
      </c>
      <c r="B2437" s="2788"/>
      <c r="C2437" s="2779" t="s">
        <v>77</v>
      </c>
      <c r="D2437" s="2779"/>
      <c r="E2437" s="2779"/>
      <c r="F2437" s="2779"/>
      <c r="G2437" s="2779"/>
      <c r="H2437" s="2779"/>
      <c r="I2437" s="424" t="s">
        <v>78</v>
      </c>
      <c r="J2437" s="424"/>
      <c r="K2437" s="424"/>
      <c r="L2437" s="424"/>
      <c r="M2437" s="424"/>
      <c r="N2437" s="424"/>
      <c r="AB2437" s="425"/>
    </row>
    <row r="2438" spans="1:28" s="352" customFormat="1" ht="18" customHeight="1" x14ac:dyDescent="0.2">
      <c r="A2438" s="424"/>
      <c r="B2438" s="426"/>
      <c r="C2438" s="424"/>
      <c r="D2438" s="424"/>
      <c r="E2438" s="424"/>
      <c r="F2438" s="424"/>
      <c r="G2438" s="424"/>
      <c r="H2438" s="424"/>
      <c r="I2438" s="424" t="s">
        <v>79</v>
      </c>
      <c r="J2438" s="424"/>
      <c r="K2438" s="424"/>
      <c r="L2438" s="424"/>
      <c r="M2438" s="424"/>
      <c r="N2438" s="424"/>
      <c r="AB2438" s="425"/>
    </row>
    <row r="2439" spans="1:28" s="352" customFormat="1" ht="18" customHeight="1" x14ac:dyDescent="0.2">
      <c r="A2439" s="424"/>
      <c r="B2439" s="426"/>
      <c r="C2439" s="424"/>
      <c r="D2439" s="424"/>
      <c r="E2439" s="424"/>
      <c r="F2439" s="424"/>
      <c r="G2439" s="424"/>
      <c r="H2439" s="424"/>
      <c r="I2439" s="424" t="s">
        <v>80</v>
      </c>
      <c r="J2439" s="424"/>
      <c r="K2439" s="424"/>
      <c r="L2439" s="424"/>
      <c r="M2439" s="424"/>
      <c r="N2439" s="424"/>
      <c r="AB2439" s="425"/>
    </row>
    <row r="2440" spans="1:28" s="352" customFormat="1" ht="18" customHeight="1" x14ac:dyDescent="0.2">
      <c r="A2440" s="424"/>
      <c r="B2440" s="426"/>
      <c r="C2440" s="424"/>
      <c r="D2440" s="424"/>
      <c r="E2440" s="424"/>
      <c r="F2440" s="424"/>
      <c r="G2440" s="424"/>
      <c r="H2440" s="424"/>
      <c r="I2440" s="424" t="s">
        <v>81</v>
      </c>
      <c r="J2440" s="424"/>
      <c r="K2440" s="424"/>
      <c r="L2440" s="424"/>
      <c r="M2440" s="424"/>
      <c r="N2440" s="424"/>
      <c r="AB2440" s="425"/>
    </row>
    <row r="2441" spans="1:28" s="352" customFormat="1" ht="18" customHeight="1" x14ac:dyDescent="0.2">
      <c r="A2441" s="424"/>
      <c r="B2441" s="426"/>
      <c r="C2441" s="424"/>
      <c r="D2441" s="424"/>
      <c r="E2441" s="424"/>
      <c r="F2441" s="424"/>
      <c r="G2441" s="424"/>
      <c r="H2441" s="424"/>
      <c r="I2441" s="424" t="s">
        <v>88</v>
      </c>
      <c r="J2441" s="424"/>
      <c r="K2441" s="424"/>
      <c r="L2441" s="424"/>
      <c r="M2441" s="424"/>
      <c r="N2441" s="424"/>
      <c r="AB2441" s="425"/>
    </row>
    <row r="2442" spans="1:28" s="352" customFormat="1" ht="18" customHeight="1" x14ac:dyDescent="0.2">
      <c r="A2442" s="338"/>
      <c r="B2442" s="338"/>
      <c r="C2442" s="338"/>
      <c r="D2442" s="338"/>
      <c r="E2442" s="338"/>
      <c r="F2442" s="338"/>
      <c r="G2442" s="338"/>
      <c r="H2442" s="338"/>
      <c r="I2442" s="338"/>
      <c r="J2442" s="338"/>
      <c r="K2442" s="338"/>
      <c r="L2442" s="338"/>
      <c r="M2442" s="338"/>
      <c r="N2442" s="338"/>
      <c r="O2442" s="338"/>
      <c r="P2442" s="338"/>
      <c r="Q2442" s="338"/>
      <c r="R2442" s="338"/>
      <c r="S2442" s="338"/>
      <c r="T2442" s="338"/>
      <c r="U2442" s="338"/>
      <c r="V2442" s="338"/>
      <c r="W2442" s="338"/>
      <c r="X2442" s="338"/>
      <c r="Y2442" s="338"/>
      <c r="Z2442" s="338"/>
      <c r="AA2442" s="2774" t="s">
        <v>0</v>
      </c>
      <c r="AB2442" s="2774"/>
    </row>
    <row r="2443" spans="1:28" s="352" customFormat="1" ht="18" customHeight="1" x14ac:dyDescent="0.2">
      <c r="A2443" s="2703" t="s">
        <v>1</v>
      </c>
      <c r="B2443" s="2703"/>
      <c r="C2443" s="2703"/>
      <c r="D2443" s="2703"/>
      <c r="E2443" s="2703"/>
      <c r="F2443" s="2703"/>
      <c r="G2443" s="2703"/>
      <c r="H2443" s="2703"/>
      <c r="I2443" s="2703"/>
      <c r="J2443" s="2703"/>
      <c r="K2443" s="2703"/>
      <c r="L2443" s="2703"/>
      <c r="M2443" s="2703"/>
      <c r="N2443" s="2703"/>
      <c r="O2443" s="2703"/>
      <c r="P2443" s="2703"/>
      <c r="Q2443" s="2703"/>
      <c r="R2443" s="2703"/>
      <c r="S2443" s="2703"/>
      <c r="T2443" s="2703"/>
      <c r="U2443" s="2703"/>
      <c r="V2443" s="2703"/>
      <c r="W2443" s="2703"/>
      <c r="X2443" s="2703"/>
      <c r="Y2443" s="2703"/>
      <c r="Z2443" s="2703"/>
      <c r="AA2443" s="2703"/>
      <c r="AB2443" s="2703"/>
    </row>
    <row r="2444" spans="1:28" s="2191" customFormat="1" ht="18" customHeight="1" x14ac:dyDescent="0.2">
      <c r="A2444" s="2780" t="s">
        <v>674</v>
      </c>
      <c r="B2444" s="2780"/>
      <c r="C2444" s="2780"/>
      <c r="D2444" s="2780"/>
      <c r="E2444" s="2780"/>
      <c r="F2444" s="2780"/>
      <c r="G2444" s="2780"/>
      <c r="H2444" s="2780"/>
      <c r="I2444" s="2780"/>
      <c r="J2444" s="2780"/>
      <c r="K2444" s="2780"/>
      <c r="L2444" s="2780"/>
      <c r="M2444" s="2780"/>
      <c r="N2444" s="2780"/>
      <c r="O2444" s="2780"/>
      <c r="P2444" s="2780"/>
      <c r="Q2444" s="2780"/>
      <c r="R2444" s="2780"/>
      <c r="S2444" s="2780"/>
      <c r="T2444" s="2780"/>
      <c r="U2444" s="2780"/>
      <c r="V2444" s="2780"/>
      <c r="W2444" s="2780"/>
      <c r="X2444" s="2780"/>
      <c r="Y2444" s="2780"/>
      <c r="Z2444" s="2780"/>
      <c r="AA2444" s="2780"/>
      <c r="AB2444" s="2780"/>
    </row>
    <row r="2445" spans="1:28" s="352" customFormat="1" ht="18" customHeight="1" x14ac:dyDescent="0.2">
      <c r="A2445" s="2686" t="s">
        <v>2</v>
      </c>
      <c r="B2445" s="360"/>
      <c r="C2445" s="2686" t="s">
        <v>3</v>
      </c>
      <c r="D2445" s="360"/>
      <c r="E2445" s="360"/>
      <c r="F2445" s="2693" t="s">
        <v>4</v>
      </c>
      <c r="G2445" s="2693"/>
      <c r="H2445" s="2693"/>
      <c r="I2445" s="2694"/>
      <c r="J2445" s="2694"/>
      <c r="K2445" s="2695"/>
      <c r="L2445" s="361"/>
      <c r="M2445" s="2679" t="s">
        <v>5</v>
      </c>
      <c r="N2445" s="2679"/>
      <c r="O2445" s="2679"/>
      <c r="P2445" s="2679"/>
      <c r="Q2445" s="2696"/>
      <c r="R2445" s="2696"/>
      <c r="S2445" s="2696"/>
      <c r="T2445" s="2696"/>
      <c r="U2445" s="2696"/>
      <c r="V2445" s="2697"/>
      <c r="W2445" s="362" t="s">
        <v>6</v>
      </c>
      <c r="X2445" s="363" t="s">
        <v>7</v>
      </c>
      <c r="Y2445" s="364"/>
      <c r="Z2445" s="364"/>
      <c r="AA2445" s="363"/>
      <c r="AB2445" s="365"/>
    </row>
    <row r="2446" spans="1:28" s="352" customFormat="1" ht="18" customHeight="1" x14ac:dyDescent="0.2">
      <c r="A2446" s="2687"/>
      <c r="B2446" s="367"/>
      <c r="C2446" s="2687"/>
      <c r="D2446" s="2158" t="s">
        <v>9</v>
      </c>
      <c r="E2446" s="368" t="s">
        <v>10</v>
      </c>
      <c r="F2446" s="2698" t="s">
        <v>11</v>
      </c>
      <c r="G2446" s="2694"/>
      <c r="H2446" s="2695"/>
      <c r="I2446" s="360"/>
      <c r="J2446" s="369" t="s">
        <v>12</v>
      </c>
      <c r="K2446" s="360"/>
      <c r="L2446" s="2679" t="s">
        <v>2</v>
      </c>
      <c r="M2446" s="2162"/>
      <c r="N2446" s="2162"/>
      <c r="O2446" s="2162"/>
      <c r="P2446" s="371"/>
      <c r="Q2446" s="372" t="s">
        <v>13</v>
      </c>
      <c r="R2446" s="373" t="s">
        <v>12</v>
      </c>
      <c r="S2446" s="2162" t="s">
        <v>6</v>
      </c>
      <c r="T2446" s="2682" t="s">
        <v>14</v>
      </c>
      <c r="U2446" s="2683"/>
      <c r="V2446" s="375" t="s">
        <v>7</v>
      </c>
      <c r="W2446" s="376" t="s">
        <v>15</v>
      </c>
      <c r="X2446" s="377" t="s">
        <v>16</v>
      </c>
      <c r="Y2446" s="377" t="s">
        <v>17</v>
      </c>
      <c r="Z2446" s="377" t="s">
        <v>18</v>
      </c>
      <c r="AA2446" s="377"/>
      <c r="AB2446" s="378" t="s">
        <v>19</v>
      </c>
    </row>
    <row r="2447" spans="1:28" s="352" customFormat="1" ht="18" customHeight="1" x14ac:dyDescent="0.2">
      <c r="A2447" s="2687"/>
      <c r="B2447" s="2158" t="s">
        <v>23</v>
      </c>
      <c r="C2447" s="2687"/>
      <c r="D2447" s="2158" t="s">
        <v>24</v>
      </c>
      <c r="E2447" s="368" t="s">
        <v>25</v>
      </c>
      <c r="F2447" s="2699"/>
      <c r="G2447" s="2700"/>
      <c r="H2447" s="2701"/>
      <c r="I2447" s="2158" t="s">
        <v>26</v>
      </c>
      <c r="J2447" s="379" t="s">
        <v>15</v>
      </c>
      <c r="K2447" s="2159" t="s">
        <v>6</v>
      </c>
      <c r="L2447" s="2680"/>
      <c r="M2447" s="2163" t="s">
        <v>27</v>
      </c>
      <c r="N2447" s="2163" t="s">
        <v>10</v>
      </c>
      <c r="O2447" s="382" t="s">
        <v>10</v>
      </c>
      <c r="P2447" s="383" t="s">
        <v>28</v>
      </c>
      <c r="Q2447" s="384" t="s">
        <v>29</v>
      </c>
      <c r="R2447" s="383" t="s">
        <v>15</v>
      </c>
      <c r="S2447" s="385" t="s">
        <v>15</v>
      </c>
      <c r="T2447" s="2684"/>
      <c r="U2447" s="2685"/>
      <c r="V2447" s="375" t="s">
        <v>30</v>
      </c>
      <c r="W2447" s="376" t="s">
        <v>31</v>
      </c>
      <c r="X2447" s="377" t="s">
        <v>30</v>
      </c>
      <c r="Y2447" s="377" t="s">
        <v>32</v>
      </c>
      <c r="Z2447" s="377" t="s">
        <v>7</v>
      </c>
      <c r="AA2447" s="377" t="s">
        <v>33</v>
      </c>
      <c r="AB2447" s="378" t="s">
        <v>34</v>
      </c>
    </row>
    <row r="2448" spans="1:28" s="352" customFormat="1" ht="18" customHeight="1" x14ac:dyDescent="0.2">
      <c r="A2448" s="2687"/>
      <c r="B2448" s="2158" t="s">
        <v>39</v>
      </c>
      <c r="C2448" s="2687"/>
      <c r="D2448" s="2158" t="s">
        <v>40</v>
      </c>
      <c r="E2448" s="368" t="s">
        <v>41</v>
      </c>
      <c r="F2448" s="2686" t="s">
        <v>42</v>
      </c>
      <c r="G2448" s="2686" t="s">
        <v>43</v>
      </c>
      <c r="H2448" s="2688" t="s">
        <v>44</v>
      </c>
      <c r="I2448" s="2158" t="s">
        <v>45</v>
      </c>
      <c r="J2448" s="379" t="s">
        <v>46</v>
      </c>
      <c r="K2448" s="2159" t="s">
        <v>47</v>
      </c>
      <c r="L2448" s="2680"/>
      <c r="M2448" s="2163" t="s">
        <v>30</v>
      </c>
      <c r="N2448" s="2163" t="s">
        <v>30</v>
      </c>
      <c r="O2448" s="382" t="s">
        <v>25</v>
      </c>
      <c r="P2448" s="383" t="s">
        <v>30</v>
      </c>
      <c r="Q2448" s="384" t="s">
        <v>48</v>
      </c>
      <c r="R2448" s="383" t="s">
        <v>49</v>
      </c>
      <c r="S2448" s="385" t="s">
        <v>30</v>
      </c>
      <c r="T2448" s="386" t="s">
        <v>50</v>
      </c>
      <c r="U2448" s="2161" t="s">
        <v>13</v>
      </c>
      <c r="V2448" s="375" t="s">
        <v>51</v>
      </c>
      <c r="W2448" s="376" t="s">
        <v>52</v>
      </c>
      <c r="X2448" s="377" t="s">
        <v>53</v>
      </c>
      <c r="Y2448" s="377" t="s">
        <v>54</v>
      </c>
      <c r="Z2448" s="377" t="s">
        <v>55</v>
      </c>
      <c r="AA2448" s="377" t="s">
        <v>56</v>
      </c>
      <c r="AB2448" s="378" t="s">
        <v>57</v>
      </c>
    </row>
    <row r="2449" spans="1:28" s="352" customFormat="1" ht="18" customHeight="1" x14ac:dyDescent="0.2">
      <c r="A2449" s="2687"/>
      <c r="B2449" s="2158" t="s">
        <v>61</v>
      </c>
      <c r="C2449" s="2687"/>
      <c r="D2449" s="2158" t="s">
        <v>62</v>
      </c>
      <c r="E2449" s="368" t="s">
        <v>63</v>
      </c>
      <c r="F2449" s="2687"/>
      <c r="G2449" s="2687"/>
      <c r="H2449" s="2689"/>
      <c r="I2449" s="2158" t="s">
        <v>64</v>
      </c>
      <c r="J2449" s="379" t="s">
        <v>59</v>
      </c>
      <c r="K2449" s="2159" t="s">
        <v>59</v>
      </c>
      <c r="L2449" s="2680"/>
      <c r="M2449" s="2163"/>
      <c r="N2449" s="2163"/>
      <c r="O2449" s="382" t="s">
        <v>41</v>
      </c>
      <c r="P2449" s="383" t="s">
        <v>65</v>
      </c>
      <c r="Q2449" s="384" t="s">
        <v>66</v>
      </c>
      <c r="R2449" s="383" t="s">
        <v>67</v>
      </c>
      <c r="S2449" s="385" t="s">
        <v>59</v>
      </c>
      <c r="T2449" s="387" t="s">
        <v>68</v>
      </c>
      <c r="U2449" s="375" t="s">
        <v>14</v>
      </c>
      <c r="V2449" s="375" t="s">
        <v>14</v>
      </c>
      <c r="W2449" s="376" t="s">
        <v>30</v>
      </c>
      <c r="X2449" s="388" t="s">
        <v>69</v>
      </c>
      <c r="Y2449" s="388" t="s">
        <v>70</v>
      </c>
      <c r="Z2449" s="377" t="s">
        <v>71</v>
      </c>
      <c r="AA2449" s="377" t="s">
        <v>72</v>
      </c>
      <c r="AB2449" s="378" t="s">
        <v>59</v>
      </c>
    </row>
    <row r="2450" spans="1:28" s="352" customFormat="1" ht="18" customHeight="1" x14ac:dyDescent="0.2">
      <c r="A2450" s="2692"/>
      <c r="B2450" s="390"/>
      <c r="C2450" s="2692"/>
      <c r="D2450" s="390"/>
      <c r="E2450" s="2160"/>
      <c r="F2450" s="390"/>
      <c r="G2450" s="390"/>
      <c r="H2450" s="391"/>
      <c r="I2450" s="2160"/>
      <c r="J2450" s="392"/>
      <c r="K2450" s="393"/>
      <c r="L2450" s="2681"/>
      <c r="M2450" s="2164"/>
      <c r="N2450" s="2164"/>
      <c r="O2450" s="2164" t="s">
        <v>63</v>
      </c>
      <c r="P2450" s="395"/>
      <c r="Q2450" s="396" t="s">
        <v>72</v>
      </c>
      <c r="R2450" s="397" t="s">
        <v>59</v>
      </c>
      <c r="S2450" s="398"/>
      <c r="T2450" s="397" t="s">
        <v>73</v>
      </c>
      <c r="U2450" s="398" t="s">
        <v>59</v>
      </c>
      <c r="V2450" s="399" t="s">
        <v>59</v>
      </c>
      <c r="W2450" s="400" t="s">
        <v>59</v>
      </c>
      <c r="X2450" s="401" t="s">
        <v>59</v>
      </c>
      <c r="Y2450" s="401" t="s">
        <v>59</v>
      </c>
      <c r="Z2450" s="401" t="s">
        <v>59</v>
      </c>
      <c r="AA2450" s="402"/>
      <c r="AB2450" s="403"/>
    </row>
    <row r="2451" spans="1:28" s="352" customFormat="1" ht="18" customHeight="1" x14ac:dyDescent="0.25">
      <c r="A2451" s="82">
        <v>1</v>
      </c>
      <c r="B2451" s="53">
        <v>23119</v>
      </c>
      <c r="C2451" s="82">
        <v>1043</v>
      </c>
      <c r="D2451" s="41" t="s">
        <v>84</v>
      </c>
      <c r="E2451" s="41">
        <v>4</v>
      </c>
      <c r="F2451" s="41">
        <v>0</v>
      </c>
      <c r="G2451" s="41">
        <v>1</v>
      </c>
      <c r="H2451" s="267">
        <v>20</v>
      </c>
      <c r="I2451" s="302">
        <f>F2451*400+G2451*100+H2451</f>
        <v>120</v>
      </c>
      <c r="J2451" s="310">
        <v>3000</v>
      </c>
      <c r="K2451" s="310">
        <f>SUM(I2451*J2451)</f>
        <v>360000</v>
      </c>
      <c r="L2451" s="480"/>
      <c r="M2451" s="481"/>
      <c r="N2451" s="480"/>
      <c r="O2451" s="480"/>
      <c r="P2451" s="482"/>
      <c r="Q2451" s="483"/>
      <c r="R2451" s="484"/>
      <c r="S2451" s="485"/>
      <c r="T2451" s="483"/>
      <c r="U2451" s="485"/>
      <c r="V2451" s="486"/>
      <c r="W2451" s="302">
        <f>K2451</f>
        <v>360000</v>
      </c>
      <c r="X2451" s="310">
        <f>W2451</f>
        <v>360000</v>
      </c>
      <c r="Y2451" s="310"/>
      <c r="Z2451" s="302">
        <f>+X2451</f>
        <v>360000</v>
      </c>
      <c r="AA2451" s="405">
        <v>0.6</v>
      </c>
      <c r="AB2451" s="406">
        <f>+Z2451*AA2451/100</f>
        <v>2160</v>
      </c>
    </row>
    <row r="2452" spans="1:28" s="352" customFormat="1" ht="18" customHeight="1" x14ac:dyDescent="0.2">
      <c r="A2452" s="231"/>
      <c r="B2452" s="61"/>
      <c r="C2452" s="2166"/>
      <c r="D2452" s="2166"/>
      <c r="E2452" s="2166"/>
      <c r="F2452" s="2166"/>
      <c r="G2452" s="2166"/>
      <c r="H2452" s="407"/>
      <c r="I2452" s="77"/>
      <c r="J2452" s="2168"/>
      <c r="K2452" s="2168"/>
      <c r="L2452" s="488"/>
      <c r="M2452" s="488"/>
      <c r="N2452" s="488"/>
      <c r="O2452" s="488"/>
      <c r="P2452" s="819"/>
      <c r="Q2452" s="819"/>
      <c r="R2452" s="820"/>
      <c r="S2452" s="820"/>
      <c r="T2452" s="819"/>
      <c r="U2452" s="820"/>
      <c r="V2452" s="821"/>
      <c r="W2452" s="77"/>
      <c r="X2452" s="2168"/>
      <c r="Y2452" s="2168"/>
      <c r="Z2452" s="77"/>
      <c r="AA2452" s="2170"/>
      <c r="AB2452" s="410"/>
    </row>
    <row r="2453" spans="1:28" s="352" customFormat="1" ht="18" customHeight="1" x14ac:dyDescent="0.2">
      <c r="A2453" s="2166"/>
      <c r="B2453" s="61"/>
      <c r="C2453" s="2166"/>
      <c r="D2453" s="2166"/>
      <c r="E2453" s="2166"/>
      <c r="F2453" s="2166"/>
      <c r="G2453" s="2166"/>
      <c r="H2453" s="407"/>
      <c r="I2453" s="77"/>
      <c r="J2453" s="2168"/>
      <c r="K2453" s="2168"/>
      <c r="L2453" s="488"/>
      <c r="M2453" s="488"/>
      <c r="N2453" s="488"/>
      <c r="O2453" s="488"/>
      <c r="P2453" s="819"/>
      <c r="Q2453" s="819"/>
      <c r="R2453" s="820"/>
      <c r="S2453" s="820"/>
      <c r="T2453" s="819"/>
      <c r="U2453" s="820"/>
      <c r="V2453" s="821"/>
      <c r="W2453" s="77"/>
      <c r="X2453" s="2168"/>
      <c r="Y2453" s="2168"/>
      <c r="Z2453" s="77"/>
      <c r="AA2453" s="2170"/>
      <c r="AB2453" s="410"/>
    </row>
    <row r="2454" spans="1:28" s="352" customFormat="1" ht="18" customHeight="1" x14ac:dyDescent="0.2">
      <c r="A2454" s="88"/>
      <c r="B2454" s="75"/>
      <c r="C2454" s="88"/>
      <c r="D2454" s="88"/>
      <c r="E2454" s="88"/>
      <c r="F2454" s="88"/>
      <c r="G2454" s="88"/>
      <c r="H2454" s="495"/>
      <c r="I2454" s="77"/>
      <c r="J2454" s="2168"/>
      <c r="K2454" s="2168"/>
      <c r="L2454" s="61"/>
      <c r="M2454" s="2166"/>
      <c r="N2454" s="2166"/>
      <c r="O2454" s="61"/>
      <c r="P2454" s="177"/>
      <c r="Q2454" s="196"/>
      <c r="R2454" s="408"/>
      <c r="S2454" s="77"/>
      <c r="T2454" s="2166"/>
      <c r="U2454" s="77"/>
      <c r="V2454" s="77"/>
      <c r="W2454" s="77"/>
      <c r="X2454" s="2168"/>
      <c r="Y2454" s="2168"/>
      <c r="Z2454" s="77"/>
      <c r="AA2454" s="2170"/>
      <c r="AB2454" s="466"/>
    </row>
    <row r="2455" spans="1:28" s="352" customFormat="1" ht="18" customHeight="1" x14ac:dyDescent="0.2">
      <c r="A2455" s="2166"/>
      <c r="B2455" s="61"/>
      <c r="C2455" s="2166"/>
      <c r="D2455" s="2166"/>
      <c r="E2455" s="2166"/>
      <c r="F2455" s="2166"/>
      <c r="G2455" s="2166"/>
      <c r="H2455" s="407"/>
      <c r="I2455" s="77"/>
      <c r="J2455" s="2168"/>
      <c r="K2455" s="78"/>
      <c r="L2455" s="61"/>
      <c r="M2455" s="2166"/>
      <c r="N2455" s="2166"/>
      <c r="O2455" s="61"/>
      <c r="P2455" s="177"/>
      <c r="Q2455" s="196"/>
      <c r="R2455" s="408"/>
      <c r="S2455" s="77"/>
      <c r="T2455" s="2166"/>
      <c r="U2455" s="77"/>
      <c r="V2455" s="77"/>
      <c r="W2455" s="77"/>
      <c r="X2455" s="77"/>
      <c r="Y2455" s="2168"/>
      <c r="Z2455" s="77"/>
      <c r="AA2455" s="2170"/>
      <c r="AB2455" s="410"/>
    </row>
    <row r="2456" spans="1:28" s="352" customFormat="1" ht="18" customHeight="1" x14ac:dyDescent="0.2">
      <c r="A2456" s="2166"/>
      <c r="B2456" s="61"/>
      <c r="C2456" s="2166"/>
      <c r="D2456" s="2166"/>
      <c r="E2456" s="2166"/>
      <c r="F2456" s="2166"/>
      <c r="G2456" s="2166"/>
      <c r="H2456" s="407"/>
      <c r="I2456" s="77"/>
      <c r="J2456" s="2168"/>
      <c r="K2456" s="78"/>
      <c r="L2456" s="61"/>
      <c r="M2456" s="2166"/>
      <c r="N2456" s="2166"/>
      <c r="O2456" s="61"/>
      <c r="P2456" s="177"/>
      <c r="Q2456" s="196"/>
      <c r="R2456" s="408"/>
      <c r="S2456" s="77"/>
      <c r="T2456" s="2166"/>
      <c r="U2456" s="77"/>
      <c r="V2456" s="77"/>
      <c r="W2456" s="77"/>
      <c r="X2456" s="77"/>
      <c r="Y2456" s="2168"/>
      <c r="Z2456" s="77"/>
      <c r="AA2456" s="2170"/>
      <c r="AB2456" s="410"/>
    </row>
    <row r="2457" spans="1:28" s="352" customFormat="1" ht="18" customHeight="1" x14ac:dyDescent="0.2">
      <c r="A2457" s="2166"/>
      <c r="B2457" s="61"/>
      <c r="C2457" s="2166"/>
      <c r="D2457" s="2166"/>
      <c r="E2457" s="2166"/>
      <c r="F2457" s="2166"/>
      <c r="G2457" s="2166"/>
      <c r="H2457" s="407"/>
      <c r="I2457" s="77"/>
      <c r="J2457" s="2168"/>
      <c r="K2457" s="78"/>
      <c r="L2457" s="61"/>
      <c r="M2457" s="2166"/>
      <c r="N2457" s="2166"/>
      <c r="O2457" s="61"/>
      <c r="P2457" s="177"/>
      <c r="Q2457" s="196"/>
      <c r="R2457" s="408"/>
      <c r="S2457" s="77"/>
      <c r="T2457" s="2166"/>
      <c r="U2457" s="77"/>
      <c r="V2457" s="77"/>
      <c r="W2457" s="77"/>
      <c r="X2457" s="77"/>
      <c r="Y2457" s="2168"/>
      <c r="Z2457" s="77"/>
      <c r="AA2457" s="2170"/>
      <c r="AB2457" s="410"/>
    </row>
    <row r="2458" spans="1:28" s="352" customFormat="1" ht="18" customHeight="1" x14ac:dyDescent="0.2">
      <c r="A2458" s="88"/>
      <c r="B2458" s="75"/>
      <c r="C2458" s="88"/>
      <c r="D2458" s="88"/>
      <c r="E2458" s="2166"/>
      <c r="F2458" s="411"/>
      <c r="G2458" s="242"/>
      <c r="H2458" s="412"/>
      <c r="I2458" s="159"/>
      <c r="J2458" s="121"/>
      <c r="K2458" s="159"/>
      <c r="L2458" s="75"/>
      <c r="M2458" s="88"/>
      <c r="N2458" s="88"/>
      <c r="O2458" s="75"/>
      <c r="P2458" s="180"/>
      <c r="Q2458" s="174"/>
      <c r="R2458" s="413"/>
      <c r="S2458" s="74"/>
      <c r="T2458" s="88"/>
      <c r="U2458" s="74"/>
      <c r="V2458" s="74"/>
      <c r="W2458" s="74"/>
      <c r="X2458" s="74"/>
      <c r="Y2458" s="121"/>
      <c r="Z2458" s="74"/>
      <c r="AA2458" s="414"/>
      <c r="AB2458" s="415"/>
    </row>
    <row r="2459" spans="1:28" s="352" customFormat="1" ht="18" customHeight="1" x14ac:dyDescent="0.2">
      <c r="A2459" s="88"/>
      <c r="B2459" s="75"/>
      <c r="C2459" s="88"/>
      <c r="D2459" s="231"/>
      <c r="E2459" s="2166"/>
      <c r="F2459" s="411"/>
      <c r="G2459" s="242"/>
      <c r="H2459" s="412"/>
      <c r="I2459" s="159"/>
      <c r="J2459" s="121"/>
      <c r="K2459" s="159"/>
      <c r="L2459" s="75"/>
      <c r="M2459" s="88"/>
      <c r="N2459" s="88"/>
      <c r="O2459" s="75"/>
      <c r="P2459" s="180"/>
      <c r="Q2459" s="174"/>
      <c r="R2459" s="413"/>
      <c r="S2459" s="74"/>
      <c r="T2459" s="88"/>
      <c r="U2459" s="74"/>
      <c r="V2459" s="74"/>
      <c r="W2459" s="74"/>
      <c r="X2459" s="74"/>
      <c r="Y2459" s="121"/>
      <c r="Z2459" s="74"/>
      <c r="AA2459" s="417"/>
      <c r="AB2459" s="410"/>
    </row>
    <row r="2460" spans="1:28" s="352" customFormat="1" ht="18" customHeight="1" x14ac:dyDescent="0.2">
      <c r="A2460" s="88"/>
      <c r="B2460" s="75"/>
      <c r="C2460" s="88"/>
      <c r="D2460" s="88"/>
      <c r="E2460" s="2166"/>
      <c r="F2460" s="411"/>
      <c r="G2460" s="242"/>
      <c r="H2460" s="412"/>
      <c r="I2460" s="159"/>
      <c r="J2460" s="121"/>
      <c r="K2460" s="159"/>
      <c r="L2460" s="75"/>
      <c r="M2460" s="88"/>
      <c r="N2460" s="88"/>
      <c r="O2460" s="75"/>
      <c r="P2460" s="180"/>
      <c r="Q2460" s="174"/>
      <c r="R2460" s="413"/>
      <c r="S2460" s="74"/>
      <c r="T2460" s="88"/>
      <c r="U2460" s="74"/>
      <c r="V2460" s="74"/>
      <c r="W2460" s="74"/>
      <c r="X2460" s="74"/>
      <c r="Y2460" s="121"/>
      <c r="Z2460" s="74"/>
      <c r="AA2460" s="414"/>
      <c r="AB2460" s="415"/>
    </row>
    <row r="2461" spans="1:28" s="352" customFormat="1" ht="18" customHeight="1" x14ac:dyDescent="0.2">
      <c r="A2461" s="88"/>
      <c r="B2461" s="75"/>
      <c r="C2461" s="88"/>
      <c r="D2461" s="231"/>
      <c r="E2461" s="2166"/>
      <c r="F2461" s="411"/>
      <c r="G2461" s="242"/>
      <c r="H2461" s="412"/>
      <c r="I2461" s="159"/>
      <c r="J2461" s="121"/>
      <c r="K2461" s="159"/>
      <c r="L2461" s="75"/>
      <c r="M2461" s="88"/>
      <c r="N2461" s="88"/>
      <c r="O2461" s="75"/>
      <c r="P2461" s="180"/>
      <c r="Q2461" s="174"/>
      <c r="R2461" s="413"/>
      <c r="S2461" s="74"/>
      <c r="T2461" s="88"/>
      <c r="U2461" s="74"/>
      <c r="V2461" s="74"/>
      <c r="W2461" s="74"/>
      <c r="X2461" s="74"/>
      <c r="Y2461" s="121"/>
      <c r="Z2461" s="74"/>
      <c r="AA2461" s="417"/>
      <c r="AB2461" s="410"/>
    </row>
    <row r="2462" spans="1:28" s="352" customFormat="1" ht="18" customHeight="1" x14ac:dyDescent="0.2">
      <c r="A2462" s="88"/>
      <c r="B2462" s="75"/>
      <c r="C2462" s="88"/>
      <c r="D2462" s="2165"/>
      <c r="E2462" s="2166"/>
      <c r="F2462" s="411"/>
      <c r="G2462" s="242"/>
      <c r="H2462" s="412"/>
      <c r="I2462" s="159"/>
      <c r="J2462" s="121"/>
      <c r="K2462" s="159"/>
      <c r="L2462" s="75"/>
      <c r="M2462" s="88"/>
      <c r="N2462" s="88"/>
      <c r="O2462" s="75"/>
      <c r="P2462" s="180"/>
      <c r="Q2462" s="174"/>
      <c r="R2462" s="413"/>
      <c r="S2462" s="74"/>
      <c r="T2462" s="88"/>
      <c r="U2462" s="74"/>
      <c r="V2462" s="74"/>
      <c r="W2462" s="74"/>
      <c r="X2462" s="74"/>
      <c r="Y2462" s="121"/>
      <c r="Z2462" s="74"/>
      <c r="AA2462" s="414"/>
      <c r="AB2462" s="410"/>
    </row>
    <row r="2463" spans="1:28" s="352" customFormat="1" ht="18" customHeight="1" x14ac:dyDescent="0.2">
      <c r="A2463" s="88"/>
      <c r="B2463" s="75"/>
      <c r="C2463" s="88"/>
      <c r="D2463" s="2165"/>
      <c r="E2463" s="2166"/>
      <c r="F2463" s="411"/>
      <c r="G2463" s="242"/>
      <c r="H2463" s="412"/>
      <c r="I2463" s="159"/>
      <c r="J2463" s="121"/>
      <c r="K2463" s="159"/>
      <c r="L2463" s="75"/>
      <c r="M2463" s="88"/>
      <c r="N2463" s="88"/>
      <c r="O2463" s="75"/>
      <c r="P2463" s="180"/>
      <c r="Q2463" s="174"/>
      <c r="R2463" s="413"/>
      <c r="S2463" s="74"/>
      <c r="T2463" s="88"/>
      <c r="U2463" s="74"/>
      <c r="V2463" s="74"/>
      <c r="W2463" s="74"/>
      <c r="X2463" s="74"/>
      <c r="Y2463" s="121"/>
      <c r="Z2463" s="74"/>
      <c r="AA2463" s="414"/>
      <c r="AB2463" s="416"/>
    </row>
    <row r="2464" spans="1:28" s="352" customFormat="1" ht="18" customHeight="1" x14ac:dyDescent="0.2">
      <c r="A2464" s="88"/>
      <c r="B2464" s="418"/>
      <c r="C2464" s="88"/>
      <c r="D2464" s="88"/>
      <c r="E2464" s="88"/>
      <c r="F2464" s="411"/>
      <c r="G2464" s="242"/>
      <c r="H2464" s="412"/>
      <c r="I2464" s="159"/>
      <c r="J2464" s="121"/>
      <c r="K2464" s="159"/>
      <c r="L2464" s="75"/>
      <c r="M2464" s="88"/>
      <c r="N2464" s="88"/>
      <c r="O2464" s="75"/>
      <c r="P2464" s="180"/>
      <c r="Q2464" s="174"/>
      <c r="R2464" s="413"/>
      <c r="S2464" s="74"/>
      <c r="T2464" s="88"/>
      <c r="U2464" s="74"/>
      <c r="V2464" s="74"/>
      <c r="W2464" s="74"/>
      <c r="X2464" s="74"/>
      <c r="Y2464" s="121"/>
      <c r="Z2464" s="74"/>
      <c r="AA2464" s="414"/>
      <c r="AB2464" s="410"/>
    </row>
    <row r="2465" spans="1:28" s="352" customFormat="1" ht="18" customHeight="1" x14ac:dyDescent="0.2">
      <c r="A2465" s="1147"/>
      <c r="B2465" s="1989"/>
      <c r="C2465" s="1147"/>
      <c r="D2465" s="1147"/>
      <c r="E2465" s="1147"/>
      <c r="F2465" s="1147"/>
      <c r="G2465" s="1147"/>
      <c r="H2465" s="1990"/>
      <c r="I2465" s="1991"/>
      <c r="J2465" s="1868"/>
      <c r="K2465" s="1992"/>
      <c r="L2465" s="1989"/>
      <c r="M2465" s="1147"/>
      <c r="N2465" s="1147"/>
      <c r="O2465" s="1989"/>
      <c r="P2465" s="1867"/>
      <c r="Q2465" s="1993"/>
      <c r="R2465" s="1994"/>
      <c r="S2465" s="1991"/>
      <c r="T2465" s="1147"/>
      <c r="U2465" s="1991"/>
      <c r="V2465" s="1991"/>
      <c r="W2465" s="1991"/>
      <c r="X2465" s="1991"/>
      <c r="Y2465" s="1868"/>
      <c r="Z2465" s="1991"/>
      <c r="AA2465" s="1995"/>
      <c r="AB2465" s="1849">
        <f>SUM(AB2451:AB2464)</f>
        <v>2160</v>
      </c>
    </row>
    <row r="2466" spans="1:28" s="352" customFormat="1" ht="18" customHeight="1" x14ac:dyDescent="0.2">
      <c r="A2466" s="2788" t="s">
        <v>76</v>
      </c>
      <c r="B2466" s="2788"/>
      <c r="C2466" s="2779" t="s">
        <v>77</v>
      </c>
      <c r="D2466" s="2779"/>
      <c r="E2466" s="2779"/>
      <c r="F2466" s="2779"/>
      <c r="G2466" s="2779"/>
      <c r="H2466" s="2779"/>
      <c r="I2466" s="424" t="s">
        <v>78</v>
      </c>
      <c r="J2466" s="424"/>
      <c r="K2466" s="424"/>
      <c r="L2466" s="424"/>
      <c r="M2466" s="424"/>
      <c r="N2466" s="424"/>
      <c r="AB2466" s="425"/>
    </row>
    <row r="2467" spans="1:28" s="352" customFormat="1" ht="18" customHeight="1" x14ac:dyDescent="0.2">
      <c r="A2467" s="424"/>
      <c r="B2467" s="426"/>
      <c r="C2467" s="424"/>
      <c r="D2467" s="424"/>
      <c r="E2467" s="424"/>
      <c r="F2467" s="424"/>
      <c r="G2467" s="424"/>
      <c r="H2467" s="424"/>
      <c r="I2467" s="424" t="s">
        <v>79</v>
      </c>
      <c r="J2467" s="424"/>
      <c r="K2467" s="424"/>
      <c r="L2467" s="424"/>
      <c r="M2467" s="424"/>
      <c r="N2467" s="424"/>
      <c r="AB2467" s="425"/>
    </row>
    <row r="2468" spans="1:28" s="352" customFormat="1" ht="18" customHeight="1" x14ac:dyDescent="0.2">
      <c r="A2468" s="424"/>
      <c r="B2468" s="426"/>
      <c r="C2468" s="424"/>
      <c r="D2468" s="424"/>
      <c r="E2468" s="424"/>
      <c r="F2468" s="424"/>
      <c r="G2468" s="424"/>
      <c r="H2468" s="424"/>
      <c r="I2468" s="424" t="s">
        <v>80</v>
      </c>
      <c r="J2468" s="424"/>
      <c r="K2468" s="424"/>
      <c r="L2468" s="424"/>
      <c r="M2468" s="424"/>
      <c r="N2468" s="424"/>
      <c r="AB2468" s="425"/>
    </row>
    <row r="2469" spans="1:28" s="352" customFormat="1" ht="18" customHeight="1" x14ac:dyDescent="0.2">
      <c r="A2469" s="424"/>
      <c r="B2469" s="426"/>
      <c r="C2469" s="424"/>
      <c r="D2469" s="424"/>
      <c r="E2469" s="424"/>
      <c r="F2469" s="424"/>
      <c r="G2469" s="424"/>
      <c r="H2469" s="424"/>
      <c r="I2469" s="424" t="s">
        <v>81</v>
      </c>
      <c r="J2469" s="424"/>
      <c r="K2469" s="424"/>
      <c r="L2469" s="424"/>
      <c r="M2469" s="424"/>
      <c r="N2469" s="424"/>
      <c r="AB2469" s="425"/>
    </row>
    <row r="2470" spans="1:28" s="352" customFormat="1" ht="18" customHeight="1" x14ac:dyDescent="0.2">
      <c r="A2470" s="424"/>
      <c r="B2470" s="426"/>
      <c r="C2470" s="424"/>
      <c r="D2470" s="424"/>
      <c r="E2470" s="424"/>
      <c r="F2470" s="424"/>
      <c r="G2470" s="424"/>
      <c r="H2470" s="424"/>
      <c r="I2470" s="424" t="s">
        <v>88</v>
      </c>
      <c r="J2470" s="424"/>
      <c r="K2470" s="424"/>
      <c r="L2470" s="424"/>
      <c r="M2470" s="424"/>
      <c r="N2470" s="424"/>
      <c r="AB2470" s="425"/>
    </row>
    <row r="2471" spans="1:28" s="352" customFormat="1" ht="18" customHeight="1" x14ac:dyDescent="0.2">
      <c r="A2471" s="338"/>
      <c r="B2471" s="338"/>
      <c r="C2471" s="338"/>
      <c r="D2471" s="338"/>
      <c r="E2471" s="338"/>
      <c r="F2471" s="338"/>
      <c r="G2471" s="338"/>
      <c r="H2471" s="338"/>
      <c r="I2471" s="338"/>
      <c r="J2471" s="338"/>
      <c r="K2471" s="338"/>
      <c r="L2471" s="338"/>
      <c r="M2471" s="338"/>
      <c r="N2471" s="338"/>
      <c r="O2471" s="338"/>
      <c r="P2471" s="338"/>
      <c r="Q2471" s="338"/>
      <c r="R2471" s="338"/>
      <c r="S2471" s="338"/>
      <c r="T2471" s="338"/>
      <c r="U2471" s="338"/>
      <c r="V2471" s="338"/>
      <c r="W2471" s="338"/>
      <c r="X2471" s="338"/>
      <c r="Y2471" s="338"/>
      <c r="Z2471" s="338"/>
      <c r="AA2471" s="2774" t="s">
        <v>0</v>
      </c>
      <c r="AB2471" s="2774"/>
    </row>
    <row r="2472" spans="1:28" s="352" customFormat="1" ht="18" customHeight="1" x14ac:dyDescent="0.2">
      <c r="A2472" s="2703" t="s">
        <v>1</v>
      </c>
      <c r="B2472" s="2703"/>
      <c r="C2472" s="2703"/>
      <c r="D2472" s="2703"/>
      <c r="E2472" s="2703"/>
      <c r="F2472" s="2703"/>
      <c r="G2472" s="2703"/>
      <c r="H2472" s="2703"/>
      <c r="I2472" s="2703"/>
      <c r="J2472" s="2703"/>
      <c r="K2472" s="2703"/>
      <c r="L2472" s="2703"/>
      <c r="M2472" s="2703"/>
      <c r="N2472" s="2703"/>
      <c r="O2472" s="2703"/>
      <c r="P2472" s="2703"/>
      <c r="Q2472" s="2703"/>
      <c r="R2472" s="2703"/>
      <c r="S2472" s="2703"/>
      <c r="T2472" s="2703"/>
      <c r="U2472" s="2703"/>
      <c r="V2472" s="2703"/>
      <c r="W2472" s="2703"/>
      <c r="X2472" s="2703"/>
      <c r="Y2472" s="2703"/>
      <c r="Z2472" s="2703"/>
      <c r="AA2472" s="2703"/>
      <c r="AB2472" s="2703"/>
    </row>
    <row r="2473" spans="1:28" s="352" customFormat="1" ht="18" customHeight="1" x14ac:dyDescent="0.2">
      <c r="A2473" s="2780" t="s">
        <v>675</v>
      </c>
      <c r="B2473" s="2780"/>
      <c r="C2473" s="2780"/>
      <c r="D2473" s="2780"/>
      <c r="E2473" s="2780"/>
      <c r="F2473" s="2780"/>
      <c r="G2473" s="2780"/>
      <c r="H2473" s="2780"/>
      <c r="I2473" s="2780"/>
      <c r="J2473" s="2780"/>
      <c r="K2473" s="2780"/>
      <c r="L2473" s="2780"/>
      <c r="M2473" s="2780"/>
      <c r="N2473" s="2780"/>
      <c r="O2473" s="2780"/>
      <c r="P2473" s="2780"/>
      <c r="Q2473" s="2780"/>
      <c r="R2473" s="2780"/>
      <c r="S2473" s="2780"/>
      <c r="T2473" s="2780"/>
      <c r="U2473" s="2780"/>
      <c r="V2473" s="2780"/>
      <c r="W2473" s="2780"/>
      <c r="X2473" s="2780"/>
      <c r="Y2473" s="2780"/>
      <c r="Z2473" s="2780"/>
      <c r="AA2473" s="2780"/>
      <c r="AB2473" s="2780"/>
    </row>
    <row r="2474" spans="1:28" s="352" customFormat="1" ht="18" customHeight="1" x14ac:dyDescent="0.2">
      <c r="A2474" s="2686" t="s">
        <v>2</v>
      </c>
      <c r="B2474" s="360"/>
      <c r="C2474" s="2686" t="s">
        <v>3</v>
      </c>
      <c r="D2474" s="360"/>
      <c r="E2474" s="360"/>
      <c r="F2474" s="2693" t="s">
        <v>4</v>
      </c>
      <c r="G2474" s="2693"/>
      <c r="H2474" s="2693"/>
      <c r="I2474" s="2694"/>
      <c r="J2474" s="2694"/>
      <c r="K2474" s="2695"/>
      <c r="L2474" s="361"/>
      <c r="M2474" s="2679" t="s">
        <v>5</v>
      </c>
      <c r="N2474" s="2679"/>
      <c r="O2474" s="2679"/>
      <c r="P2474" s="2679"/>
      <c r="Q2474" s="2696"/>
      <c r="R2474" s="2696"/>
      <c r="S2474" s="2696"/>
      <c r="T2474" s="2696"/>
      <c r="U2474" s="2696"/>
      <c r="V2474" s="2697"/>
      <c r="W2474" s="362" t="s">
        <v>6</v>
      </c>
      <c r="X2474" s="363" t="s">
        <v>7</v>
      </c>
      <c r="Y2474" s="364"/>
      <c r="Z2474" s="364"/>
      <c r="AA2474" s="363"/>
      <c r="AB2474" s="365"/>
    </row>
    <row r="2475" spans="1:28" s="352" customFormat="1" ht="18" customHeight="1" x14ac:dyDescent="0.2">
      <c r="A2475" s="2687"/>
      <c r="B2475" s="367"/>
      <c r="C2475" s="2687"/>
      <c r="D2475" s="2158" t="s">
        <v>9</v>
      </c>
      <c r="E2475" s="368" t="s">
        <v>10</v>
      </c>
      <c r="F2475" s="2698" t="s">
        <v>11</v>
      </c>
      <c r="G2475" s="2694"/>
      <c r="H2475" s="2695"/>
      <c r="I2475" s="360"/>
      <c r="J2475" s="369" t="s">
        <v>12</v>
      </c>
      <c r="K2475" s="360"/>
      <c r="L2475" s="2679" t="s">
        <v>2</v>
      </c>
      <c r="M2475" s="2162"/>
      <c r="N2475" s="2162"/>
      <c r="O2475" s="2162"/>
      <c r="P2475" s="371"/>
      <c r="Q2475" s="372" t="s">
        <v>13</v>
      </c>
      <c r="R2475" s="373" t="s">
        <v>12</v>
      </c>
      <c r="S2475" s="2162" t="s">
        <v>6</v>
      </c>
      <c r="T2475" s="2682" t="s">
        <v>14</v>
      </c>
      <c r="U2475" s="2683"/>
      <c r="V2475" s="375" t="s">
        <v>7</v>
      </c>
      <c r="W2475" s="376" t="s">
        <v>15</v>
      </c>
      <c r="X2475" s="377" t="s">
        <v>16</v>
      </c>
      <c r="Y2475" s="377" t="s">
        <v>17</v>
      </c>
      <c r="Z2475" s="377" t="s">
        <v>18</v>
      </c>
      <c r="AA2475" s="377"/>
      <c r="AB2475" s="378" t="s">
        <v>19</v>
      </c>
    </row>
    <row r="2476" spans="1:28" s="352" customFormat="1" ht="18" customHeight="1" x14ac:dyDescent="0.2">
      <c r="A2476" s="2687"/>
      <c r="B2476" s="2158" t="s">
        <v>23</v>
      </c>
      <c r="C2476" s="2687"/>
      <c r="D2476" s="2158" t="s">
        <v>24</v>
      </c>
      <c r="E2476" s="368" t="s">
        <v>25</v>
      </c>
      <c r="F2476" s="2699"/>
      <c r="G2476" s="2700"/>
      <c r="H2476" s="2701"/>
      <c r="I2476" s="2158" t="s">
        <v>26</v>
      </c>
      <c r="J2476" s="379" t="s">
        <v>15</v>
      </c>
      <c r="K2476" s="2159" t="s">
        <v>6</v>
      </c>
      <c r="L2476" s="2680"/>
      <c r="M2476" s="2163" t="s">
        <v>27</v>
      </c>
      <c r="N2476" s="2163" t="s">
        <v>10</v>
      </c>
      <c r="O2476" s="382" t="s">
        <v>10</v>
      </c>
      <c r="P2476" s="383" t="s">
        <v>28</v>
      </c>
      <c r="Q2476" s="384" t="s">
        <v>29</v>
      </c>
      <c r="R2476" s="383" t="s">
        <v>15</v>
      </c>
      <c r="S2476" s="385" t="s">
        <v>15</v>
      </c>
      <c r="T2476" s="2684"/>
      <c r="U2476" s="2685"/>
      <c r="V2476" s="375" t="s">
        <v>30</v>
      </c>
      <c r="W2476" s="376" t="s">
        <v>31</v>
      </c>
      <c r="X2476" s="377" t="s">
        <v>30</v>
      </c>
      <c r="Y2476" s="377" t="s">
        <v>32</v>
      </c>
      <c r="Z2476" s="377" t="s">
        <v>7</v>
      </c>
      <c r="AA2476" s="377" t="s">
        <v>33</v>
      </c>
      <c r="AB2476" s="378" t="s">
        <v>34</v>
      </c>
    </row>
    <row r="2477" spans="1:28" s="352" customFormat="1" ht="18" customHeight="1" x14ac:dyDescent="0.2">
      <c r="A2477" s="2687"/>
      <c r="B2477" s="2158" t="s">
        <v>39</v>
      </c>
      <c r="C2477" s="2687"/>
      <c r="D2477" s="2158" t="s">
        <v>40</v>
      </c>
      <c r="E2477" s="368" t="s">
        <v>41</v>
      </c>
      <c r="F2477" s="2686" t="s">
        <v>42</v>
      </c>
      <c r="G2477" s="2686" t="s">
        <v>43</v>
      </c>
      <c r="H2477" s="2688" t="s">
        <v>44</v>
      </c>
      <c r="I2477" s="2158" t="s">
        <v>45</v>
      </c>
      <c r="J2477" s="379" t="s">
        <v>46</v>
      </c>
      <c r="K2477" s="2159" t="s">
        <v>47</v>
      </c>
      <c r="L2477" s="2680"/>
      <c r="M2477" s="2163" t="s">
        <v>30</v>
      </c>
      <c r="N2477" s="2163" t="s">
        <v>30</v>
      </c>
      <c r="O2477" s="382" t="s">
        <v>25</v>
      </c>
      <c r="P2477" s="383" t="s">
        <v>30</v>
      </c>
      <c r="Q2477" s="384" t="s">
        <v>48</v>
      </c>
      <c r="R2477" s="383" t="s">
        <v>49</v>
      </c>
      <c r="S2477" s="385" t="s">
        <v>30</v>
      </c>
      <c r="T2477" s="386" t="s">
        <v>50</v>
      </c>
      <c r="U2477" s="2161" t="s">
        <v>13</v>
      </c>
      <c r="V2477" s="375" t="s">
        <v>51</v>
      </c>
      <c r="W2477" s="376" t="s">
        <v>52</v>
      </c>
      <c r="X2477" s="377" t="s">
        <v>53</v>
      </c>
      <c r="Y2477" s="377" t="s">
        <v>54</v>
      </c>
      <c r="Z2477" s="377" t="s">
        <v>55</v>
      </c>
      <c r="AA2477" s="377" t="s">
        <v>56</v>
      </c>
      <c r="AB2477" s="378" t="s">
        <v>57</v>
      </c>
    </row>
    <row r="2478" spans="1:28" s="352" customFormat="1" ht="18" customHeight="1" x14ac:dyDescent="0.2">
      <c r="A2478" s="2687"/>
      <c r="B2478" s="2158" t="s">
        <v>61</v>
      </c>
      <c r="C2478" s="2687"/>
      <c r="D2478" s="2158" t="s">
        <v>62</v>
      </c>
      <c r="E2478" s="368" t="s">
        <v>63</v>
      </c>
      <c r="F2478" s="2687"/>
      <c r="G2478" s="2687"/>
      <c r="H2478" s="2689"/>
      <c r="I2478" s="2158" t="s">
        <v>64</v>
      </c>
      <c r="J2478" s="379" t="s">
        <v>59</v>
      </c>
      <c r="K2478" s="2159" t="s">
        <v>59</v>
      </c>
      <c r="L2478" s="2680"/>
      <c r="M2478" s="2163"/>
      <c r="N2478" s="2163"/>
      <c r="O2478" s="382" t="s">
        <v>41</v>
      </c>
      <c r="P2478" s="383" t="s">
        <v>65</v>
      </c>
      <c r="Q2478" s="384" t="s">
        <v>66</v>
      </c>
      <c r="R2478" s="383" t="s">
        <v>67</v>
      </c>
      <c r="S2478" s="385" t="s">
        <v>59</v>
      </c>
      <c r="T2478" s="387" t="s">
        <v>68</v>
      </c>
      <c r="U2478" s="375" t="s">
        <v>14</v>
      </c>
      <c r="V2478" s="375" t="s">
        <v>14</v>
      </c>
      <c r="W2478" s="376" t="s">
        <v>30</v>
      </c>
      <c r="X2478" s="388" t="s">
        <v>69</v>
      </c>
      <c r="Y2478" s="388" t="s">
        <v>70</v>
      </c>
      <c r="Z2478" s="377" t="s">
        <v>71</v>
      </c>
      <c r="AA2478" s="377" t="s">
        <v>72</v>
      </c>
      <c r="AB2478" s="378" t="s">
        <v>59</v>
      </c>
    </row>
    <row r="2479" spans="1:28" s="352" customFormat="1" ht="18" customHeight="1" x14ac:dyDescent="0.2">
      <c r="A2479" s="2692"/>
      <c r="B2479" s="390"/>
      <c r="C2479" s="2692"/>
      <c r="D2479" s="390"/>
      <c r="E2479" s="2160"/>
      <c r="F2479" s="390"/>
      <c r="G2479" s="390"/>
      <c r="H2479" s="391"/>
      <c r="I2479" s="2160"/>
      <c r="J2479" s="392"/>
      <c r="K2479" s="393"/>
      <c r="L2479" s="2681"/>
      <c r="M2479" s="2164"/>
      <c r="N2479" s="2164"/>
      <c r="O2479" s="2164" t="s">
        <v>63</v>
      </c>
      <c r="P2479" s="395"/>
      <c r="Q2479" s="396" t="s">
        <v>72</v>
      </c>
      <c r="R2479" s="397" t="s">
        <v>59</v>
      </c>
      <c r="S2479" s="398"/>
      <c r="T2479" s="397" t="s">
        <v>73</v>
      </c>
      <c r="U2479" s="398" t="s">
        <v>59</v>
      </c>
      <c r="V2479" s="399" t="s">
        <v>59</v>
      </c>
      <c r="W2479" s="400" t="s">
        <v>59</v>
      </c>
      <c r="X2479" s="401" t="s">
        <v>59</v>
      </c>
      <c r="Y2479" s="401" t="s">
        <v>59</v>
      </c>
      <c r="Z2479" s="401" t="s">
        <v>59</v>
      </c>
      <c r="AA2479" s="402"/>
      <c r="AB2479" s="403"/>
    </row>
    <row r="2480" spans="1:28" s="352" customFormat="1" ht="18" customHeight="1" x14ac:dyDescent="0.25">
      <c r="A2480" s="82">
        <v>1</v>
      </c>
      <c r="B2480" s="53">
        <v>23116</v>
      </c>
      <c r="C2480" s="82">
        <v>1040</v>
      </c>
      <c r="D2480" s="41" t="s">
        <v>84</v>
      </c>
      <c r="E2480" s="41">
        <v>4</v>
      </c>
      <c r="F2480" s="41">
        <v>0</v>
      </c>
      <c r="G2480" s="41">
        <v>1</v>
      </c>
      <c r="H2480" s="267">
        <v>20</v>
      </c>
      <c r="I2480" s="302">
        <f>F2480*400+G2480*100+H2480</f>
        <v>120</v>
      </c>
      <c r="J2480" s="310">
        <v>3000</v>
      </c>
      <c r="K2480" s="310">
        <f>SUM(I2480*J2480)</f>
        <v>360000</v>
      </c>
      <c r="L2480" s="480"/>
      <c r="M2480" s="481"/>
      <c r="N2480" s="480"/>
      <c r="O2480" s="480"/>
      <c r="P2480" s="482"/>
      <c r="Q2480" s="483"/>
      <c r="R2480" s="484"/>
      <c r="S2480" s="485"/>
      <c r="T2480" s="483"/>
      <c r="U2480" s="485"/>
      <c r="V2480" s="486"/>
      <c r="W2480" s="302">
        <f>K2480</f>
        <v>360000</v>
      </c>
      <c r="X2480" s="310">
        <f>W2480</f>
        <v>360000</v>
      </c>
      <c r="Y2480" s="310"/>
      <c r="Z2480" s="302">
        <f>+X2480</f>
        <v>360000</v>
      </c>
      <c r="AA2480" s="405">
        <v>0.6</v>
      </c>
      <c r="AB2480" s="406">
        <f>+Z2480*AA2480/100</f>
        <v>2160</v>
      </c>
    </row>
    <row r="2481" spans="1:28" s="352" customFormat="1" ht="18" customHeight="1" x14ac:dyDescent="0.2">
      <c r="A2481" s="231"/>
      <c r="B2481" s="61"/>
      <c r="C2481" s="2166"/>
      <c r="D2481" s="2166"/>
      <c r="E2481" s="2166"/>
      <c r="F2481" s="2166"/>
      <c r="G2481" s="2166"/>
      <c r="H2481" s="407"/>
      <c r="I2481" s="77"/>
      <c r="J2481" s="2168"/>
      <c r="K2481" s="2168"/>
      <c r="L2481" s="488"/>
      <c r="M2481" s="488"/>
      <c r="N2481" s="488"/>
      <c r="O2481" s="488"/>
      <c r="P2481" s="819"/>
      <c r="Q2481" s="819"/>
      <c r="R2481" s="820"/>
      <c r="S2481" s="820"/>
      <c r="T2481" s="819"/>
      <c r="U2481" s="820"/>
      <c r="V2481" s="821"/>
      <c r="W2481" s="77"/>
      <c r="X2481" s="2168"/>
      <c r="Y2481" s="2168"/>
      <c r="Z2481" s="77"/>
      <c r="AA2481" s="2170"/>
      <c r="AB2481" s="410"/>
    </row>
    <row r="2482" spans="1:28" s="352" customFormat="1" ht="18" customHeight="1" x14ac:dyDescent="0.2">
      <c r="A2482" s="2166"/>
      <c r="B2482" s="61"/>
      <c r="C2482" s="2166"/>
      <c r="D2482" s="2166"/>
      <c r="E2482" s="2166"/>
      <c r="F2482" s="2166"/>
      <c r="G2482" s="2166"/>
      <c r="H2482" s="407"/>
      <c r="I2482" s="77"/>
      <c r="J2482" s="2168"/>
      <c r="K2482" s="2168"/>
      <c r="L2482" s="488"/>
      <c r="M2482" s="488"/>
      <c r="N2482" s="488"/>
      <c r="O2482" s="488"/>
      <c r="P2482" s="819"/>
      <c r="Q2482" s="819"/>
      <c r="R2482" s="820"/>
      <c r="S2482" s="820"/>
      <c r="T2482" s="819"/>
      <c r="U2482" s="820"/>
      <c r="V2482" s="821"/>
      <c r="W2482" s="77"/>
      <c r="X2482" s="2168"/>
      <c r="Y2482" s="2168"/>
      <c r="Z2482" s="77"/>
      <c r="AA2482" s="2170"/>
      <c r="AB2482" s="410"/>
    </row>
    <row r="2483" spans="1:28" s="352" customFormat="1" ht="18" customHeight="1" x14ac:dyDescent="0.2">
      <c r="A2483" s="88"/>
      <c r="B2483" s="75"/>
      <c r="C2483" s="88"/>
      <c r="D2483" s="88"/>
      <c r="E2483" s="88"/>
      <c r="F2483" s="88"/>
      <c r="G2483" s="88"/>
      <c r="H2483" s="495"/>
      <c r="I2483" s="77"/>
      <c r="J2483" s="2168"/>
      <c r="K2483" s="2168"/>
      <c r="L2483" s="61"/>
      <c r="M2483" s="2166"/>
      <c r="N2483" s="2166"/>
      <c r="O2483" s="61"/>
      <c r="P2483" s="177"/>
      <c r="Q2483" s="196"/>
      <c r="R2483" s="408"/>
      <c r="S2483" s="77"/>
      <c r="T2483" s="2166"/>
      <c r="U2483" s="77"/>
      <c r="V2483" s="77"/>
      <c r="W2483" s="77"/>
      <c r="X2483" s="2168"/>
      <c r="Y2483" s="2168"/>
      <c r="Z2483" s="77"/>
      <c r="AA2483" s="2170"/>
      <c r="AB2483" s="466"/>
    </row>
    <row r="2484" spans="1:28" s="352" customFormat="1" ht="18" customHeight="1" x14ac:dyDescent="0.2">
      <c r="A2484" s="2166"/>
      <c r="B2484" s="61"/>
      <c r="C2484" s="2166"/>
      <c r="D2484" s="2166"/>
      <c r="E2484" s="2166"/>
      <c r="F2484" s="2166"/>
      <c r="G2484" s="2166"/>
      <c r="H2484" s="407"/>
      <c r="I2484" s="77"/>
      <c r="J2484" s="2168"/>
      <c r="K2484" s="78"/>
      <c r="L2484" s="61"/>
      <c r="M2484" s="2166"/>
      <c r="N2484" s="2166"/>
      <c r="O2484" s="61"/>
      <c r="P2484" s="177"/>
      <c r="Q2484" s="196"/>
      <c r="R2484" s="408"/>
      <c r="S2484" s="77"/>
      <c r="T2484" s="2166"/>
      <c r="U2484" s="77"/>
      <c r="V2484" s="77"/>
      <c r="W2484" s="77"/>
      <c r="X2484" s="77"/>
      <c r="Y2484" s="2168"/>
      <c r="Z2484" s="77"/>
      <c r="AA2484" s="2170"/>
      <c r="AB2484" s="410"/>
    </row>
    <row r="2485" spans="1:28" s="352" customFormat="1" ht="18" customHeight="1" x14ac:dyDescent="0.2">
      <c r="A2485" s="2166"/>
      <c r="B2485" s="61"/>
      <c r="C2485" s="2166"/>
      <c r="D2485" s="2166"/>
      <c r="E2485" s="2166"/>
      <c r="F2485" s="2166"/>
      <c r="G2485" s="2166"/>
      <c r="H2485" s="407"/>
      <c r="I2485" s="77"/>
      <c r="J2485" s="2168"/>
      <c r="K2485" s="78"/>
      <c r="L2485" s="61"/>
      <c r="M2485" s="2166"/>
      <c r="N2485" s="2166"/>
      <c r="O2485" s="61"/>
      <c r="P2485" s="177"/>
      <c r="Q2485" s="196"/>
      <c r="R2485" s="408"/>
      <c r="S2485" s="77"/>
      <c r="T2485" s="2166"/>
      <c r="U2485" s="77"/>
      <c r="V2485" s="77"/>
      <c r="W2485" s="77"/>
      <c r="X2485" s="77"/>
      <c r="Y2485" s="2168"/>
      <c r="Z2485" s="77"/>
      <c r="AA2485" s="2170"/>
      <c r="AB2485" s="410"/>
    </row>
    <row r="2486" spans="1:28" s="352" customFormat="1" ht="18" customHeight="1" x14ac:dyDescent="0.2">
      <c r="A2486" s="2166"/>
      <c r="B2486" s="61"/>
      <c r="C2486" s="2166"/>
      <c r="D2486" s="2166"/>
      <c r="E2486" s="2166"/>
      <c r="F2486" s="2166"/>
      <c r="G2486" s="2166"/>
      <c r="H2486" s="407"/>
      <c r="I2486" s="77"/>
      <c r="J2486" s="2168"/>
      <c r="K2486" s="78"/>
      <c r="L2486" s="61"/>
      <c r="M2486" s="2166"/>
      <c r="N2486" s="2166"/>
      <c r="O2486" s="61"/>
      <c r="P2486" s="177"/>
      <c r="Q2486" s="196"/>
      <c r="R2486" s="408"/>
      <c r="S2486" s="77"/>
      <c r="T2486" s="2166"/>
      <c r="U2486" s="77"/>
      <c r="V2486" s="77"/>
      <c r="W2486" s="77"/>
      <c r="X2486" s="77"/>
      <c r="Y2486" s="2168"/>
      <c r="Z2486" s="77"/>
      <c r="AA2486" s="2170"/>
      <c r="AB2486" s="410"/>
    </row>
    <row r="2487" spans="1:28" s="352" customFormat="1" ht="18" customHeight="1" x14ac:dyDescent="0.2">
      <c r="A2487" s="88"/>
      <c r="B2487" s="75"/>
      <c r="C2487" s="88"/>
      <c r="D2487" s="88"/>
      <c r="E2487" s="2166"/>
      <c r="F2487" s="411"/>
      <c r="G2487" s="242"/>
      <c r="H2487" s="412"/>
      <c r="I2487" s="159"/>
      <c r="J2487" s="121"/>
      <c r="K2487" s="159"/>
      <c r="L2487" s="75"/>
      <c r="M2487" s="88"/>
      <c r="N2487" s="88"/>
      <c r="O2487" s="75"/>
      <c r="P2487" s="180"/>
      <c r="Q2487" s="174"/>
      <c r="R2487" s="413"/>
      <c r="S2487" s="74"/>
      <c r="T2487" s="88"/>
      <c r="U2487" s="74"/>
      <c r="V2487" s="74"/>
      <c r="W2487" s="74"/>
      <c r="X2487" s="74"/>
      <c r="Y2487" s="121"/>
      <c r="Z2487" s="74"/>
      <c r="AA2487" s="414"/>
      <c r="AB2487" s="415"/>
    </row>
    <row r="2488" spans="1:28" s="352" customFormat="1" ht="18" customHeight="1" x14ac:dyDescent="0.2">
      <c r="A2488" s="88"/>
      <c r="B2488" s="75"/>
      <c r="C2488" s="88"/>
      <c r="D2488" s="88"/>
      <c r="E2488" s="2166"/>
      <c r="F2488" s="411"/>
      <c r="G2488" s="242"/>
      <c r="H2488" s="412"/>
      <c r="I2488" s="159"/>
      <c r="J2488" s="121"/>
      <c r="K2488" s="159"/>
      <c r="L2488" s="75"/>
      <c r="M2488" s="88"/>
      <c r="N2488" s="88"/>
      <c r="O2488" s="75"/>
      <c r="P2488" s="180"/>
      <c r="Q2488" s="174"/>
      <c r="R2488" s="413"/>
      <c r="S2488" s="74"/>
      <c r="T2488" s="88"/>
      <c r="U2488" s="74"/>
      <c r="V2488" s="74"/>
      <c r="W2488" s="74"/>
      <c r="X2488" s="74"/>
      <c r="Y2488" s="121"/>
      <c r="Z2488" s="74"/>
      <c r="AA2488" s="414"/>
      <c r="AB2488" s="416"/>
    </row>
    <row r="2489" spans="1:28" s="352" customFormat="1" ht="18" customHeight="1" x14ac:dyDescent="0.2">
      <c r="A2489" s="88"/>
      <c r="B2489" s="75"/>
      <c r="C2489" s="88"/>
      <c r="D2489" s="88"/>
      <c r="E2489" s="2166"/>
      <c r="F2489" s="411"/>
      <c r="G2489" s="242"/>
      <c r="H2489" s="412"/>
      <c r="I2489" s="159"/>
      <c r="J2489" s="121"/>
      <c r="K2489" s="159"/>
      <c r="L2489" s="75"/>
      <c r="M2489" s="88"/>
      <c r="N2489" s="88"/>
      <c r="O2489" s="75"/>
      <c r="P2489" s="180"/>
      <c r="Q2489" s="174"/>
      <c r="R2489" s="413"/>
      <c r="S2489" s="74"/>
      <c r="T2489" s="88"/>
      <c r="U2489" s="74"/>
      <c r="V2489" s="74"/>
      <c r="W2489" s="74"/>
      <c r="X2489" s="74"/>
      <c r="Y2489" s="121"/>
      <c r="Z2489" s="74"/>
      <c r="AA2489" s="414"/>
      <c r="AB2489" s="415"/>
    </row>
    <row r="2490" spans="1:28" s="352" customFormat="1" ht="18" customHeight="1" x14ac:dyDescent="0.2">
      <c r="A2490" s="88"/>
      <c r="B2490" s="75"/>
      <c r="C2490" s="88"/>
      <c r="D2490" s="231"/>
      <c r="E2490" s="2166"/>
      <c r="F2490" s="411"/>
      <c r="G2490" s="242"/>
      <c r="H2490" s="412"/>
      <c r="I2490" s="159"/>
      <c r="J2490" s="121"/>
      <c r="K2490" s="159"/>
      <c r="L2490" s="75"/>
      <c r="M2490" s="88"/>
      <c r="N2490" s="88"/>
      <c r="O2490" s="75"/>
      <c r="P2490" s="180"/>
      <c r="Q2490" s="174"/>
      <c r="R2490" s="413"/>
      <c r="S2490" s="74"/>
      <c r="T2490" s="88"/>
      <c r="U2490" s="74"/>
      <c r="V2490" s="74"/>
      <c r="W2490" s="74"/>
      <c r="X2490" s="74"/>
      <c r="Y2490" s="121"/>
      <c r="Z2490" s="74"/>
      <c r="AA2490" s="417"/>
      <c r="AB2490" s="410"/>
    </row>
    <row r="2491" spans="1:28" s="352" customFormat="1" ht="18" customHeight="1" x14ac:dyDescent="0.2">
      <c r="A2491" s="88"/>
      <c r="B2491" s="75"/>
      <c r="C2491" s="88"/>
      <c r="D2491" s="2165"/>
      <c r="E2491" s="2166"/>
      <c r="F2491" s="411"/>
      <c r="G2491" s="242"/>
      <c r="H2491" s="412"/>
      <c r="I2491" s="159"/>
      <c r="J2491" s="121"/>
      <c r="K2491" s="159"/>
      <c r="L2491" s="75"/>
      <c r="M2491" s="88"/>
      <c r="N2491" s="88"/>
      <c r="O2491" s="75"/>
      <c r="P2491" s="180"/>
      <c r="Q2491" s="174"/>
      <c r="R2491" s="413"/>
      <c r="S2491" s="74"/>
      <c r="T2491" s="88"/>
      <c r="U2491" s="74"/>
      <c r="V2491" s="74"/>
      <c r="W2491" s="74"/>
      <c r="X2491" s="74"/>
      <c r="Y2491" s="121"/>
      <c r="Z2491" s="74"/>
      <c r="AA2491" s="417"/>
      <c r="AB2491" s="410"/>
    </row>
    <row r="2492" spans="1:28" s="352" customFormat="1" ht="18" customHeight="1" x14ac:dyDescent="0.2">
      <c r="A2492" s="88"/>
      <c r="B2492" s="75"/>
      <c r="C2492" s="88"/>
      <c r="D2492" s="2165"/>
      <c r="E2492" s="2166"/>
      <c r="F2492" s="411"/>
      <c r="G2492" s="242"/>
      <c r="H2492" s="412"/>
      <c r="I2492" s="159"/>
      <c r="J2492" s="121"/>
      <c r="K2492" s="159"/>
      <c r="L2492" s="75"/>
      <c r="M2492" s="88"/>
      <c r="N2492" s="88"/>
      <c r="O2492" s="75"/>
      <c r="P2492" s="180"/>
      <c r="Q2492" s="174"/>
      <c r="R2492" s="413"/>
      <c r="S2492" s="74"/>
      <c r="T2492" s="88"/>
      <c r="U2492" s="74"/>
      <c r="V2492" s="74"/>
      <c r="W2492" s="74"/>
      <c r="X2492" s="74"/>
      <c r="Y2492" s="121"/>
      <c r="Z2492" s="74"/>
      <c r="AA2492" s="414"/>
      <c r="AB2492" s="416"/>
    </row>
    <row r="2493" spans="1:28" s="352" customFormat="1" ht="18" customHeight="1" x14ac:dyDescent="0.2">
      <c r="A2493" s="88"/>
      <c r="B2493" s="418"/>
      <c r="C2493" s="88"/>
      <c r="D2493" s="88"/>
      <c r="E2493" s="88"/>
      <c r="F2493" s="411"/>
      <c r="G2493" s="242"/>
      <c r="H2493" s="412"/>
      <c r="I2493" s="159"/>
      <c r="J2493" s="121"/>
      <c r="K2493" s="159"/>
      <c r="L2493" s="75"/>
      <c r="M2493" s="88"/>
      <c r="N2493" s="88"/>
      <c r="O2493" s="75"/>
      <c r="P2493" s="180"/>
      <c r="Q2493" s="174"/>
      <c r="R2493" s="413"/>
      <c r="S2493" s="74"/>
      <c r="T2493" s="88"/>
      <c r="U2493" s="74"/>
      <c r="V2493" s="74"/>
      <c r="W2493" s="74"/>
      <c r="X2493" s="74"/>
      <c r="Y2493" s="121"/>
      <c r="Z2493" s="74"/>
      <c r="AA2493" s="414"/>
      <c r="AB2493" s="410"/>
    </row>
    <row r="2494" spans="1:28" s="352" customFormat="1" ht="18" customHeight="1" x14ac:dyDescent="0.2">
      <c r="A2494" s="1147"/>
      <c r="B2494" s="1989"/>
      <c r="C2494" s="1147"/>
      <c r="D2494" s="1147"/>
      <c r="E2494" s="1147"/>
      <c r="F2494" s="1147"/>
      <c r="G2494" s="1147"/>
      <c r="H2494" s="1990"/>
      <c r="I2494" s="1991"/>
      <c r="J2494" s="1868"/>
      <c r="K2494" s="1992"/>
      <c r="L2494" s="1989"/>
      <c r="M2494" s="1147"/>
      <c r="N2494" s="1147"/>
      <c r="O2494" s="1989"/>
      <c r="P2494" s="1867"/>
      <c r="Q2494" s="1993"/>
      <c r="R2494" s="1994"/>
      <c r="S2494" s="1991"/>
      <c r="T2494" s="1147"/>
      <c r="U2494" s="1991"/>
      <c r="V2494" s="1991"/>
      <c r="W2494" s="1991"/>
      <c r="X2494" s="1991"/>
      <c r="Y2494" s="1868"/>
      <c r="Z2494" s="1991"/>
      <c r="AA2494" s="1995"/>
      <c r="AB2494" s="1849">
        <f>SUM(AB2480:AB2493)</f>
        <v>2160</v>
      </c>
    </row>
    <row r="2495" spans="1:28" s="352" customFormat="1" ht="18" customHeight="1" x14ac:dyDescent="0.2">
      <c r="A2495" s="2788" t="s">
        <v>76</v>
      </c>
      <c r="B2495" s="2788"/>
      <c r="C2495" s="2779" t="s">
        <v>77</v>
      </c>
      <c r="D2495" s="2779"/>
      <c r="E2495" s="2779"/>
      <c r="F2495" s="2779"/>
      <c r="G2495" s="2779"/>
      <c r="H2495" s="2779"/>
      <c r="I2495" s="424" t="s">
        <v>78</v>
      </c>
      <c r="J2495" s="424"/>
      <c r="K2495" s="424"/>
      <c r="L2495" s="424"/>
      <c r="M2495" s="424"/>
      <c r="N2495" s="424"/>
      <c r="AB2495" s="425"/>
    </row>
    <row r="2496" spans="1:28" s="352" customFormat="1" ht="18" customHeight="1" x14ac:dyDescent="0.2">
      <c r="A2496" s="424"/>
      <c r="B2496" s="426"/>
      <c r="C2496" s="424"/>
      <c r="D2496" s="424"/>
      <c r="E2496" s="424"/>
      <c r="F2496" s="424"/>
      <c r="G2496" s="424"/>
      <c r="H2496" s="424"/>
      <c r="I2496" s="424" t="s">
        <v>79</v>
      </c>
      <c r="J2496" s="424"/>
      <c r="K2496" s="424"/>
      <c r="L2496" s="424"/>
      <c r="M2496" s="424"/>
      <c r="N2496" s="424"/>
      <c r="AB2496" s="425"/>
    </row>
    <row r="2497" spans="1:28" s="352" customFormat="1" ht="18" customHeight="1" x14ac:dyDescent="0.2">
      <c r="A2497" s="424"/>
      <c r="B2497" s="426"/>
      <c r="C2497" s="424"/>
      <c r="D2497" s="424"/>
      <c r="E2497" s="424"/>
      <c r="F2497" s="424"/>
      <c r="G2497" s="424"/>
      <c r="H2497" s="424"/>
      <c r="I2497" s="424" t="s">
        <v>80</v>
      </c>
      <c r="J2497" s="424"/>
      <c r="K2497" s="424"/>
      <c r="L2497" s="424"/>
      <c r="M2497" s="424"/>
      <c r="N2497" s="424"/>
      <c r="AB2497" s="425"/>
    </row>
    <row r="2498" spans="1:28" s="352" customFormat="1" ht="18" customHeight="1" x14ac:dyDescent="0.2">
      <c r="A2498" s="424"/>
      <c r="B2498" s="426"/>
      <c r="C2498" s="424"/>
      <c r="D2498" s="424"/>
      <c r="E2498" s="424"/>
      <c r="F2498" s="424"/>
      <c r="G2498" s="424"/>
      <c r="H2498" s="424"/>
      <c r="I2498" s="424" t="s">
        <v>81</v>
      </c>
      <c r="J2498" s="424"/>
      <c r="K2498" s="424"/>
      <c r="L2498" s="424"/>
      <c r="M2498" s="424"/>
      <c r="N2498" s="424"/>
      <c r="AB2498" s="425"/>
    </row>
    <row r="2499" spans="1:28" s="352" customFormat="1" ht="18" customHeight="1" x14ac:dyDescent="0.2">
      <c r="A2499" s="424"/>
      <c r="B2499" s="426"/>
      <c r="C2499" s="424"/>
      <c r="D2499" s="424"/>
      <c r="E2499" s="424"/>
      <c r="F2499" s="424"/>
      <c r="G2499" s="424"/>
      <c r="H2499" s="424"/>
      <c r="I2499" s="424" t="s">
        <v>88</v>
      </c>
      <c r="J2499" s="424"/>
      <c r="K2499" s="424"/>
      <c r="L2499" s="424"/>
      <c r="M2499" s="424"/>
      <c r="N2499" s="424"/>
      <c r="AB2499" s="425"/>
    </row>
    <row r="2500" spans="1:28" s="352" customFormat="1" ht="18" customHeight="1" x14ac:dyDescent="0.2">
      <c r="A2500" s="338"/>
      <c r="B2500" s="338"/>
      <c r="C2500" s="338"/>
      <c r="D2500" s="338"/>
      <c r="E2500" s="338"/>
      <c r="F2500" s="338"/>
      <c r="G2500" s="338"/>
      <c r="H2500" s="338"/>
      <c r="I2500" s="338"/>
      <c r="J2500" s="338"/>
      <c r="K2500" s="338"/>
      <c r="L2500" s="338"/>
      <c r="M2500" s="338"/>
      <c r="N2500" s="338"/>
      <c r="O2500" s="338"/>
      <c r="P2500" s="338"/>
      <c r="Q2500" s="338"/>
      <c r="R2500" s="338"/>
      <c r="S2500" s="338"/>
      <c r="T2500" s="338"/>
      <c r="U2500" s="338"/>
      <c r="V2500" s="338"/>
      <c r="W2500" s="338"/>
      <c r="X2500" s="338"/>
      <c r="Y2500" s="338"/>
      <c r="Z2500" s="338"/>
      <c r="AA2500" s="2774" t="s">
        <v>0</v>
      </c>
      <c r="AB2500" s="2774"/>
    </row>
    <row r="2501" spans="1:28" s="352" customFormat="1" ht="18" customHeight="1" x14ac:dyDescent="0.2">
      <c r="A2501" s="2703" t="s">
        <v>1</v>
      </c>
      <c r="B2501" s="2703"/>
      <c r="C2501" s="2703"/>
      <c r="D2501" s="2703"/>
      <c r="E2501" s="2703"/>
      <c r="F2501" s="2703"/>
      <c r="G2501" s="2703"/>
      <c r="H2501" s="2703"/>
      <c r="I2501" s="2703"/>
      <c r="J2501" s="2703"/>
      <c r="K2501" s="2703"/>
      <c r="L2501" s="2703"/>
      <c r="M2501" s="2703"/>
      <c r="N2501" s="2703"/>
      <c r="O2501" s="2703"/>
      <c r="P2501" s="2703"/>
      <c r="Q2501" s="2703"/>
      <c r="R2501" s="2703"/>
      <c r="S2501" s="2703"/>
      <c r="T2501" s="2703"/>
      <c r="U2501" s="2703"/>
      <c r="V2501" s="2703"/>
      <c r="W2501" s="2703"/>
      <c r="X2501" s="2703"/>
      <c r="Y2501" s="2703"/>
      <c r="Z2501" s="2703"/>
      <c r="AA2501" s="2703"/>
      <c r="AB2501" s="2703"/>
    </row>
    <row r="2502" spans="1:28" s="352" customFormat="1" ht="18" customHeight="1" x14ac:dyDescent="0.2">
      <c r="A2502" s="2780" t="s">
        <v>676</v>
      </c>
      <c r="B2502" s="2780"/>
      <c r="C2502" s="2780"/>
      <c r="D2502" s="2780"/>
      <c r="E2502" s="2780"/>
      <c r="F2502" s="2780"/>
      <c r="G2502" s="2780"/>
      <c r="H2502" s="2780"/>
      <c r="I2502" s="2780"/>
      <c r="J2502" s="2780"/>
      <c r="K2502" s="2780"/>
      <c r="L2502" s="2780"/>
      <c r="M2502" s="2780"/>
      <c r="N2502" s="2780"/>
      <c r="O2502" s="2780"/>
      <c r="P2502" s="2780"/>
      <c r="Q2502" s="2780"/>
      <c r="R2502" s="2780"/>
      <c r="S2502" s="2780"/>
      <c r="T2502" s="2780"/>
      <c r="U2502" s="2780"/>
      <c r="V2502" s="2780"/>
      <c r="W2502" s="2780"/>
      <c r="X2502" s="2780"/>
      <c r="Y2502" s="2780"/>
      <c r="Z2502" s="2780"/>
      <c r="AA2502" s="2780"/>
      <c r="AB2502" s="2780"/>
    </row>
    <row r="2503" spans="1:28" s="352" customFormat="1" ht="18" customHeight="1" x14ac:dyDescent="0.2">
      <c r="A2503" s="2686" t="s">
        <v>2</v>
      </c>
      <c r="B2503" s="360"/>
      <c r="C2503" s="2686" t="s">
        <v>3</v>
      </c>
      <c r="D2503" s="360"/>
      <c r="E2503" s="360"/>
      <c r="F2503" s="2693" t="s">
        <v>4</v>
      </c>
      <c r="G2503" s="2693"/>
      <c r="H2503" s="2693"/>
      <c r="I2503" s="2694"/>
      <c r="J2503" s="2694"/>
      <c r="K2503" s="2695"/>
      <c r="L2503" s="361"/>
      <c r="M2503" s="2679" t="s">
        <v>5</v>
      </c>
      <c r="N2503" s="2679"/>
      <c r="O2503" s="2679"/>
      <c r="P2503" s="2679"/>
      <c r="Q2503" s="2696"/>
      <c r="R2503" s="2696"/>
      <c r="S2503" s="2696"/>
      <c r="T2503" s="2696"/>
      <c r="U2503" s="2696"/>
      <c r="V2503" s="2697"/>
      <c r="W2503" s="362" t="s">
        <v>6</v>
      </c>
      <c r="X2503" s="363" t="s">
        <v>7</v>
      </c>
      <c r="Y2503" s="364"/>
      <c r="Z2503" s="364"/>
      <c r="AA2503" s="363"/>
      <c r="AB2503" s="365"/>
    </row>
    <row r="2504" spans="1:28" s="352" customFormat="1" ht="18" customHeight="1" x14ac:dyDescent="0.2">
      <c r="A2504" s="2687"/>
      <c r="B2504" s="367"/>
      <c r="C2504" s="2687"/>
      <c r="D2504" s="2158" t="s">
        <v>9</v>
      </c>
      <c r="E2504" s="368" t="s">
        <v>10</v>
      </c>
      <c r="F2504" s="2698" t="s">
        <v>11</v>
      </c>
      <c r="G2504" s="2694"/>
      <c r="H2504" s="2695"/>
      <c r="I2504" s="360"/>
      <c r="J2504" s="369" t="s">
        <v>12</v>
      </c>
      <c r="K2504" s="360"/>
      <c r="L2504" s="2679" t="s">
        <v>2</v>
      </c>
      <c r="M2504" s="2162"/>
      <c r="N2504" s="2162"/>
      <c r="O2504" s="2162"/>
      <c r="P2504" s="371"/>
      <c r="Q2504" s="372" t="s">
        <v>13</v>
      </c>
      <c r="R2504" s="373" t="s">
        <v>12</v>
      </c>
      <c r="S2504" s="2162" t="s">
        <v>6</v>
      </c>
      <c r="T2504" s="2682" t="s">
        <v>14</v>
      </c>
      <c r="U2504" s="2683"/>
      <c r="V2504" s="375" t="s">
        <v>7</v>
      </c>
      <c r="W2504" s="376" t="s">
        <v>15</v>
      </c>
      <c r="X2504" s="377" t="s">
        <v>16</v>
      </c>
      <c r="Y2504" s="377" t="s">
        <v>17</v>
      </c>
      <c r="Z2504" s="377" t="s">
        <v>18</v>
      </c>
      <c r="AA2504" s="377"/>
      <c r="AB2504" s="378" t="s">
        <v>19</v>
      </c>
    </row>
    <row r="2505" spans="1:28" s="352" customFormat="1" ht="18" customHeight="1" x14ac:dyDescent="0.2">
      <c r="A2505" s="2687"/>
      <c r="B2505" s="2158" t="s">
        <v>23</v>
      </c>
      <c r="C2505" s="2687"/>
      <c r="D2505" s="2158" t="s">
        <v>24</v>
      </c>
      <c r="E2505" s="368" t="s">
        <v>25</v>
      </c>
      <c r="F2505" s="2699"/>
      <c r="G2505" s="2700"/>
      <c r="H2505" s="2701"/>
      <c r="I2505" s="2158" t="s">
        <v>26</v>
      </c>
      <c r="J2505" s="379" t="s">
        <v>15</v>
      </c>
      <c r="K2505" s="2159" t="s">
        <v>6</v>
      </c>
      <c r="L2505" s="2680"/>
      <c r="M2505" s="2163" t="s">
        <v>27</v>
      </c>
      <c r="N2505" s="2163" t="s">
        <v>10</v>
      </c>
      <c r="O2505" s="382" t="s">
        <v>10</v>
      </c>
      <c r="P2505" s="383" t="s">
        <v>28</v>
      </c>
      <c r="Q2505" s="384" t="s">
        <v>29</v>
      </c>
      <c r="R2505" s="383" t="s">
        <v>15</v>
      </c>
      <c r="S2505" s="385" t="s">
        <v>15</v>
      </c>
      <c r="T2505" s="2684"/>
      <c r="U2505" s="2685"/>
      <c r="V2505" s="375" t="s">
        <v>30</v>
      </c>
      <c r="W2505" s="376" t="s">
        <v>31</v>
      </c>
      <c r="X2505" s="377" t="s">
        <v>30</v>
      </c>
      <c r="Y2505" s="377" t="s">
        <v>32</v>
      </c>
      <c r="Z2505" s="377" t="s">
        <v>7</v>
      </c>
      <c r="AA2505" s="377" t="s">
        <v>33</v>
      </c>
      <c r="AB2505" s="378" t="s">
        <v>34</v>
      </c>
    </row>
    <row r="2506" spans="1:28" s="352" customFormat="1" ht="18" customHeight="1" x14ac:dyDescent="0.2">
      <c r="A2506" s="2687"/>
      <c r="B2506" s="2158" t="s">
        <v>39</v>
      </c>
      <c r="C2506" s="2687"/>
      <c r="D2506" s="2158" t="s">
        <v>40</v>
      </c>
      <c r="E2506" s="368" t="s">
        <v>41</v>
      </c>
      <c r="F2506" s="2686" t="s">
        <v>42</v>
      </c>
      <c r="G2506" s="2686" t="s">
        <v>43</v>
      </c>
      <c r="H2506" s="2688" t="s">
        <v>44</v>
      </c>
      <c r="I2506" s="2158" t="s">
        <v>45</v>
      </c>
      <c r="J2506" s="379" t="s">
        <v>46</v>
      </c>
      <c r="K2506" s="2159" t="s">
        <v>47</v>
      </c>
      <c r="L2506" s="2680"/>
      <c r="M2506" s="2163" t="s">
        <v>30</v>
      </c>
      <c r="N2506" s="2163" t="s">
        <v>30</v>
      </c>
      <c r="O2506" s="382" t="s">
        <v>25</v>
      </c>
      <c r="P2506" s="383" t="s">
        <v>30</v>
      </c>
      <c r="Q2506" s="384" t="s">
        <v>48</v>
      </c>
      <c r="R2506" s="383" t="s">
        <v>49</v>
      </c>
      <c r="S2506" s="385" t="s">
        <v>30</v>
      </c>
      <c r="T2506" s="386" t="s">
        <v>50</v>
      </c>
      <c r="U2506" s="2161" t="s">
        <v>13</v>
      </c>
      <c r="V2506" s="375" t="s">
        <v>51</v>
      </c>
      <c r="W2506" s="376" t="s">
        <v>52</v>
      </c>
      <c r="X2506" s="377" t="s">
        <v>53</v>
      </c>
      <c r="Y2506" s="377" t="s">
        <v>54</v>
      </c>
      <c r="Z2506" s="377" t="s">
        <v>55</v>
      </c>
      <c r="AA2506" s="377" t="s">
        <v>56</v>
      </c>
      <c r="AB2506" s="378" t="s">
        <v>57</v>
      </c>
    </row>
    <row r="2507" spans="1:28" s="352" customFormat="1" ht="18" customHeight="1" x14ac:dyDescent="0.2">
      <c r="A2507" s="2687"/>
      <c r="B2507" s="2158" t="s">
        <v>61</v>
      </c>
      <c r="C2507" s="2687"/>
      <c r="D2507" s="2158" t="s">
        <v>62</v>
      </c>
      <c r="E2507" s="368" t="s">
        <v>63</v>
      </c>
      <c r="F2507" s="2687"/>
      <c r="G2507" s="2687"/>
      <c r="H2507" s="2689"/>
      <c r="I2507" s="2158" t="s">
        <v>64</v>
      </c>
      <c r="J2507" s="379" t="s">
        <v>59</v>
      </c>
      <c r="K2507" s="2159" t="s">
        <v>59</v>
      </c>
      <c r="L2507" s="2680"/>
      <c r="M2507" s="2163"/>
      <c r="N2507" s="2163"/>
      <c r="O2507" s="382" t="s">
        <v>41</v>
      </c>
      <c r="P2507" s="383" t="s">
        <v>65</v>
      </c>
      <c r="Q2507" s="384" t="s">
        <v>66</v>
      </c>
      <c r="R2507" s="383" t="s">
        <v>67</v>
      </c>
      <c r="S2507" s="385" t="s">
        <v>59</v>
      </c>
      <c r="T2507" s="387" t="s">
        <v>68</v>
      </c>
      <c r="U2507" s="375" t="s">
        <v>14</v>
      </c>
      <c r="V2507" s="375" t="s">
        <v>14</v>
      </c>
      <c r="W2507" s="376" t="s">
        <v>30</v>
      </c>
      <c r="X2507" s="388" t="s">
        <v>69</v>
      </c>
      <c r="Y2507" s="388" t="s">
        <v>70</v>
      </c>
      <c r="Z2507" s="377" t="s">
        <v>71</v>
      </c>
      <c r="AA2507" s="377" t="s">
        <v>72</v>
      </c>
      <c r="AB2507" s="378" t="s">
        <v>59</v>
      </c>
    </row>
    <row r="2508" spans="1:28" s="352" customFormat="1" ht="18" customHeight="1" x14ac:dyDescent="0.2">
      <c r="A2508" s="2692"/>
      <c r="B2508" s="390"/>
      <c r="C2508" s="2692"/>
      <c r="D2508" s="390"/>
      <c r="E2508" s="2160"/>
      <c r="F2508" s="390"/>
      <c r="G2508" s="390"/>
      <c r="H2508" s="391"/>
      <c r="I2508" s="2160"/>
      <c r="J2508" s="392"/>
      <c r="K2508" s="393"/>
      <c r="L2508" s="2681"/>
      <c r="M2508" s="2164"/>
      <c r="N2508" s="2164"/>
      <c r="O2508" s="2164" t="s">
        <v>63</v>
      </c>
      <c r="P2508" s="395"/>
      <c r="Q2508" s="396" t="s">
        <v>72</v>
      </c>
      <c r="R2508" s="397" t="s">
        <v>59</v>
      </c>
      <c r="S2508" s="398"/>
      <c r="T2508" s="397" t="s">
        <v>73</v>
      </c>
      <c r="U2508" s="398" t="s">
        <v>59</v>
      </c>
      <c r="V2508" s="399" t="s">
        <v>59</v>
      </c>
      <c r="W2508" s="400" t="s">
        <v>59</v>
      </c>
      <c r="X2508" s="401" t="s">
        <v>59</v>
      </c>
      <c r="Y2508" s="401" t="s">
        <v>59</v>
      </c>
      <c r="Z2508" s="401" t="s">
        <v>59</v>
      </c>
      <c r="AA2508" s="402"/>
      <c r="AB2508" s="403"/>
    </row>
    <row r="2509" spans="1:28" s="352" customFormat="1" ht="18" customHeight="1" x14ac:dyDescent="0.25">
      <c r="A2509" s="82">
        <v>1</v>
      </c>
      <c r="B2509" s="53">
        <v>23145</v>
      </c>
      <c r="C2509" s="82">
        <v>1001</v>
      </c>
      <c r="D2509" s="41" t="s">
        <v>84</v>
      </c>
      <c r="E2509" s="41">
        <v>4</v>
      </c>
      <c r="F2509" s="41">
        <v>0</v>
      </c>
      <c r="G2509" s="41">
        <v>0</v>
      </c>
      <c r="H2509" s="267">
        <v>80</v>
      </c>
      <c r="I2509" s="302">
        <f>F2509*400+G2509*100+H2509</f>
        <v>80</v>
      </c>
      <c r="J2509" s="310">
        <v>3000</v>
      </c>
      <c r="K2509" s="310">
        <f>SUM(I2509*J2509)</f>
        <v>240000</v>
      </c>
      <c r="L2509" s="480"/>
      <c r="M2509" s="481"/>
      <c r="N2509" s="480"/>
      <c r="O2509" s="480"/>
      <c r="P2509" s="482"/>
      <c r="Q2509" s="483"/>
      <c r="R2509" s="484"/>
      <c r="S2509" s="485"/>
      <c r="T2509" s="483"/>
      <c r="U2509" s="485"/>
      <c r="V2509" s="486"/>
      <c r="W2509" s="302">
        <f>K2509</f>
        <v>240000</v>
      </c>
      <c r="X2509" s="310">
        <f>W2509</f>
        <v>240000</v>
      </c>
      <c r="Y2509" s="310"/>
      <c r="Z2509" s="302">
        <f>+X2509</f>
        <v>240000</v>
      </c>
      <c r="AA2509" s="405">
        <v>0.6</v>
      </c>
      <c r="AB2509" s="406">
        <f>+Z2509*AA2509/100</f>
        <v>1440</v>
      </c>
    </row>
    <row r="2510" spans="1:28" s="352" customFormat="1" ht="18" customHeight="1" x14ac:dyDescent="0.25">
      <c r="A2510" s="88">
        <v>2</v>
      </c>
      <c r="B2510" s="75">
        <v>23146</v>
      </c>
      <c r="C2510" s="88">
        <v>1002</v>
      </c>
      <c r="D2510" s="27" t="s">
        <v>84</v>
      </c>
      <c r="E2510" s="27">
        <v>4</v>
      </c>
      <c r="F2510" s="27">
        <v>0</v>
      </c>
      <c r="G2510" s="27">
        <v>0</v>
      </c>
      <c r="H2510" s="557">
        <v>81</v>
      </c>
      <c r="I2510" s="299">
        <f>F2510*400+G2510*100+H2510</f>
        <v>81</v>
      </c>
      <c r="J2510" s="305">
        <v>3000</v>
      </c>
      <c r="K2510" s="305">
        <f>SUM(I2510*J2510)</f>
        <v>243000</v>
      </c>
      <c r="L2510" s="932"/>
      <c r="M2510" s="815"/>
      <c r="N2510" s="932"/>
      <c r="O2510" s="932"/>
      <c r="P2510" s="933"/>
      <c r="Q2510" s="934"/>
      <c r="R2510" s="935"/>
      <c r="S2510" s="936"/>
      <c r="T2510" s="934"/>
      <c r="U2510" s="936"/>
      <c r="V2510" s="937"/>
      <c r="W2510" s="299">
        <f>K2510</f>
        <v>243000</v>
      </c>
      <c r="X2510" s="305">
        <f>W2510</f>
        <v>243000</v>
      </c>
      <c r="Y2510" s="305"/>
      <c r="Z2510" s="299">
        <f>+X2510</f>
        <v>243000</v>
      </c>
      <c r="AA2510" s="670">
        <v>0.6</v>
      </c>
      <c r="AB2510" s="415">
        <f>+Z2510*AA2510/100</f>
        <v>1458</v>
      </c>
    </row>
    <row r="2511" spans="1:28" s="352" customFormat="1" ht="18" customHeight="1" x14ac:dyDescent="0.25">
      <c r="A2511" s="88">
        <v>3</v>
      </c>
      <c r="B2511" s="75">
        <v>23126</v>
      </c>
      <c r="C2511" s="88">
        <v>1050</v>
      </c>
      <c r="D2511" s="27" t="s">
        <v>84</v>
      </c>
      <c r="E2511" s="27">
        <v>4</v>
      </c>
      <c r="F2511" s="27">
        <v>0</v>
      </c>
      <c r="G2511" s="27">
        <v>0</v>
      </c>
      <c r="H2511" s="557">
        <v>19</v>
      </c>
      <c r="I2511" s="299">
        <f t="shared" ref="I2511:I2512" si="129">F2511*400+G2511*100+H2511</f>
        <v>19</v>
      </c>
      <c r="J2511" s="305">
        <v>3000</v>
      </c>
      <c r="K2511" s="305">
        <f t="shared" ref="K2511:K2512" si="130">SUM(I2511*J2511)</f>
        <v>57000</v>
      </c>
      <c r="L2511" s="932"/>
      <c r="M2511" s="815"/>
      <c r="N2511" s="932"/>
      <c r="O2511" s="932"/>
      <c r="P2511" s="933"/>
      <c r="Q2511" s="934"/>
      <c r="R2511" s="935"/>
      <c r="S2511" s="936"/>
      <c r="T2511" s="934"/>
      <c r="U2511" s="936"/>
      <c r="V2511" s="937"/>
      <c r="W2511" s="299">
        <f t="shared" ref="W2511:W2512" si="131">K2511</f>
        <v>57000</v>
      </c>
      <c r="X2511" s="305">
        <f t="shared" ref="X2511:X2512" si="132">W2511</f>
        <v>57000</v>
      </c>
      <c r="Y2511" s="305"/>
      <c r="Z2511" s="299">
        <f t="shared" ref="Z2511:Z2512" si="133">+X2511</f>
        <v>57000</v>
      </c>
      <c r="AA2511" s="670">
        <v>0.6</v>
      </c>
      <c r="AB2511" s="410">
        <f>+Z2511*AA2511/100</f>
        <v>342</v>
      </c>
    </row>
    <row r="2512" spans="1:28" s="352" customFormat="1" ht="18" customHeight="1" x14ac:dyDescent="0.25">
      <c r="A2512" s="88">
        <v>4</v>
      </c>
      <c r="B2512" s="75">
        <v>4611</v>
      </c>
      <c r="C2512" s="88">
        <v>671</v>
      </c>
      <c r="D2512" s="27" t="s">
        <v>84</v>
      </c>
      <c r="E2512" s="27">
        <v>4</v>
      </c>
      <c r="F2512" s="27">
        <v>0</v>
      </c>
      <c r="G2512" s="27">
        <v>0</v>
      </c>
      <c r="H2512" s="557">
        <v>20</v>
      </c>
      <c r="I2512" s="299">
        <f t="shared" si="129"/>
        <v>20</v>
      </c>
      <c r="J2512" s="305">
        <v>3000</v>
      </c>
      <c r="K2512" s="305">
        <f t="shared" si="130"/>
        <v>60000</v>
      </c>
      <c r="L2512" s="932"/>
      <c r="M2512" s="815"/>
      <c r="N2512" s="932"/>
      <c r="O2512" s="932"/>
      <c r="P2512" s="933"/>
      <c r="Q2512" s="934"/>
      <c r="R2512" s="935"/>
      <c r="S2512" s="936"/>
      <c r="T2512" s="934"/>
      <c r="U2512" s="936"/>
      <c r="V2512" s="937"/>
      <c r="W2512" s="299">
        <f t="shared" si="131"/>
        <v>60000</v>
      </c>
      <c r="X2512" s="305">
        <f t="shared" si="132"/>
        <v>60000</v>
      </c>
      <c r="Y2512" s="305"/>
      <c r="Z2512" s="299">
        <f t="shared" si="133"/>
        <v>60000</v>
      </c>
      <c r="AA2512" s="670">
        <v>0.6</v>
      </c>
      <c r="AB2512" s="416">
        <f>+Z2512*AA2512/100</f>
        <v>360</v>
      </c>
    </row>
    <row r="2513" spans="1:28" s="352" customFormat="1" ht="18" customHeight="1" x14ac:dyDescent="0.2">
      <c r="A2513" s="2166"/>
      <c r="B2513" s="61"/>
      <c r="C2513" s="2166"/>
      <c r="D2513" s="2166"/>
      <c r="E2513" s="2166"/>
      <c r="F2513" s="2166"/>
      <c r="G2513" s="2166"/>
      <c r="H2513" s="407"/>
      <c r="I2513" s="77"/>
      <c r="J2513" s="2168"/>
      <c r="K2513" s="78"/>
      <c r="L2513" s="61"/>
      <c r="M2513" s="2166"/>
      <c r="N2513" s="2166"/>
      <c r="O2513" s="61"/>
      <c r="P2513" s="177"/>
      <c r="Q2513" s="196"/>
      <c r="R2513" s="408"/>
      <c r="S2513" s="77"/>
      <c r="T2513" s="2166"/>
      <c r="U2513" s="77"/>
      <c r="V2513" s="77"/>
      <c r="W2513" s="77"/>
      <c r="X2513" s="77"/>
      <c r="Y2513" s="2168"/>
      <c r="Z2513" s="77"/>
      <c r="AA2513" s="2170"/>
      <c r="AB2513" s="410"/>
    </row>
    <row r="2514" spans="1:28" s="352" customFormat="1" ht="18" customHeight="1" x14ac:dyDescent="0.2">
      <c r="A2514" s="2166"/>
      <c r="B2514" s="61"/>
      <c r="C2514" s="2166"/>
      <c r="D2514" s="2166"/>
      <c r="E2514" s="2166"/>
      <c r="F2514" s="2166"/>
      <c r="G2514" s="2166"/>
      <c r="H2514" s="407"/>
      <c r="I2514" s="77"/>
      <c r="J2514" s="2168"/>
      <c r="K2514" s="78"/>
      <c r="L2514" s="61"/>
      <c r="M2514" s="2166"/>
      <c r="N2514" s="2166"/>
      <c r="O2514" s="61"/>
      <c r="P2514" s="177"/>
      <c r="Q2514" s="196"/>
      <c r="R2514" s="408"/>
      <c r="S2514" s="77"/>
      <c r="T2514" s="2166"/>
      <c r="U2514" s="77"/>
      <c r="V2514" s="77"/>
      <c r="W2514" s="77"/>
      <c r="X2514" s="77"/>
      <c r="Y2514" s="2168"/>
      <c r="Z2514" s="77"/>
      <c r="AA2514" s="2170"/>
      <c r="AB2514" s="410"/>
    </row>
    <row r="2515" spans="1:28" s="352" customFormat="1" ht="18" customHeight="1" x14ac:dyDescent="0.2">
      <c r="A2515" s="2166"/>
      <c r="B2515" s="61"/>
      <c r="C2515" s="2166"/>
      <c r="D2515" s="2166"/>
      <c r="E2515" s="2166"/>
      <c r="F2515" s="2166"/>
      <c r="G2515" s="2166"/>
      <c r="H2515" s="407"/>
      <c r="I2515" s="77"/>
      <c r="J2515" s="2168"/>
      <c r="K2515" s="78"/>
      <c r="L2515" s="61"/>
      <c r="M2515" s="2166"/>
      <c r="N2515" s="2166"/>
      <c r="O2515" s="61"/>
      <c r="P2515" s="177"/>
      <c r="Q2515" s="196"/>
      <c r="R2515" s="408"/>
      <c r="S2515" s="77"/>
      <c r="T2515" s="2166"/>
      <c r="U2515" s="77"/>
      <c r="V2515" s="77"/>
      <c r="W2515" s="77"/>
      <c r="X2515" s="77"/>
      <c r="Y2515" s="2168"/>
      <c r="Z2515" s="77"/>
      <c r="AA2515" s="2170"/>
      <c r="AB2515" s="410"/>
    </row>
    <row r="2516" spans="1:28" s="352" customFormat="1" ht="18" customHeight="1" x14ac:dyDescent="0.2">
      <c r="A2516" s="88"/>
      <c r="B2516" s="75"/>
      <c r="C2516" s="88"/>
      <c r="D2516" s="88"/>
      <c r="E2516" s="2166"/>
      <c r="F2516" s="411"/>
      <c r="G2516" s="242"/>
      <c r="H2516" s="412"/>
      <c r="I2516" s="159"/>
      <c r="J2516" s="121"/>
      <c r="K2516" s="159"/>
      <c r="L2516" s="75"/>
      <c r="M2516" s="88"/>
      <c r="N2516" s="88"/>
      <c r="O2516" s="75"/>
      <c r="P2516" s="180"/>
      <c r="Q2516" s="174"/>
      <c r="R2516" s="413"/>
      <c r="S2516" s="74"/>
      <c r="T2516" s="88"/>
      <c r="U2516" s="74"/>
      <c r="V2516" s="74"/>
      <c r="W2516" s="74"/>
      <c r="X2516" s="74"/>
      <c r="Y2516" s="121"/>
      <c r="Z2516" s="74"/>
      <c r="AA2516" s="414"/>
      <c r="AB2516" s="415"/>
    </row>
    <row r="2517" spans="1:28" s="352" customFormat="1" ht="18" customHeight="1" x14ac:dyDescent="0.2">
      <c r="A2517" s="88"/>
      <c r="B2517" s="75"/>
      <c r="C2517" s="88"/>
      <c r="D2517" s="231"/>
      <c r="E2517" s="2166"/>
      <c r="F2517" s="411"/>
      <c r="G2517" s="242"/>
      <c r="H2517" s="412"/>
      <c r="I2517" s="159"/>
      <c r="J2517" s="121"/>
      <c r="K2517" s="938"/>
      <c r="L2517" s="75"/>
      <c r="M2517" s="88"/>
      <c r="N2517" s="88"/>
      <c r="O2517" s="75"/>
      <c r="P2517" s="180"/>
      <c r="Q2517" s="174"/>
      <c r="R2517" s="413"/>
      <c r="S2517" s="74"/>
      <c r="T2517" s="88"/>
      <c r="U2517" s="74"/>
      <c r="V2517" s="74"/>
      <c r="W2517" s="74"/>
      <c r="X2517" s="74"/>
      <c r="Y2517" s="121"/>
      <c r="Z2517" s="74"/>
      <c r="AA2517" s="417"/>
      <c r="AB2517" s="410"/>
    </row>
    <row r="2518" spans="1:28" s="352" customFormat="1" ht="18" customHeight="1" x14ac:dyDescent="0.2">
      <c r="A2518" s="88"/>
      <c r="B2518" s="75"/>
      <c r="C2518" s="88"/>
      <c r="D2518" s="88"/>
      <c r="E2518" s="2166"/>
      <c r="F2518" s="411"/>
      <c r="G2518" s="242"/>
      <c r="H2518" s="412"/>
      <c r="I2518" s="159"/>
      <c r="J2518" s="121"/>
      <c r="K2518" s="159"/>
      <c r="L2518" s="75"/>
      <c r="M2518" s="88"/>
      <c r="N2518" s="88"/>
      <c r="O2518" s="75"/>
      <c r="P2518" s="180"/>
      <c r="Q2518" s="174"/>
      <c r="R2518" s="413"/>
      <c r="S2518" s="74"/>
      <c r="T2518" s="88"/>
      <c r="U2518" s="74"/>
      <c r="V2518" s="74"/>
      <c r="W2518" s="74"/>
      <c r="X2518" s="74"/>
      <c r="Y2518" s="121"/>
      <c r="Z2518" s="74"/>
      <c r="AA2518" s="414"/>
      <c r="AB2518" s="416"/>
    </row>
    <row r="2519" spans="1:28" s="352" customFormat="1" ht="18" customHeight="1" x14ac:dyDescent="0.2">
      <c r="A2519" s="88"/>
      <c r="B2519" s="75"/>
      <c r="C2519" s="88"/>
      <c r="D2519" s="2165"/>
      <c r="E2519" s="2166"/>
      <c r="F2519" s="411"/>
      <c r="G2519" s="242"/>
      <c r="H2519" s="412"/>
      <c r="I2519" s="159"/>
      <c r="J2519" s="121"/>
      <c r="K2519" s="159"/>
      <c r="L2519" s="75"/>
      <c r="M2519" s="88"/>
      <c r="N2519" s="88"/>
      <c r="O2519" s="75"/>
      <c r="P2519" s="180"/>
      <c r="Q2519" s="174"/>
      <c r="R2519" s="413"/>
      <c r="S2519" s="74"/>
      <c r="T2519" s="88"/>
      <c r="U2519" s="74"/>
      <c r="V2519" s="74"/>
      <c r="W2519" s="74"/>
      <c r="X2519" s="74"/>
      <c r="Y2519" s="121"/>
      <c r="Z2519" s="74"/>
      <c r="AA2519" s="606"/>
      <c r="AB2519" s="410"/>
    </row>
    <row r="2520" spans="1:28" s="352" customFormat="1" ht="18" customHeight="1" x14ac:dyDescent="0.2">
      <c r="A2520" s="88"/>
      <c r="B2520" s="75"/>
      <c r="C2520" s="88"/>
      <c r="D2520" s="2165"/>
      <c r="E2520" s="2166"/>
      <c r="F2520" s="411"/>
      <c r="G2520" s="242"/>
      <c r="H2520" s="412"/>
      <c r="I2520" s="159"/>
      <c r="J2520" s="121"/>
      <c r="K2520" s="159"/>
      <c r="L2520" s="75"/>
      <c r="M2520" s="88"/>
      <c r="N2520" s="88"/>
      <c r="O2520" s="75"/>
      <c r="P2520" s="180"/>
      <c r="Q2520" s="174"/>
      <c r="R2520" s="413"/>
      <c r="S2520" s="74"/>
      <c r="T2520" s="88"/>
      <c r="U2520" s="74"/>
      <c r="V2520" s="74"/>
      <c r="W2520" s="74"/>
      <c r="X2520" s="74"/>
      <c r="Y2520" s="121"/>
      <c r="Z2520" s="74"/>
      <c r="AA2520" s="417"/>
      <c r="AB2520" s="410"/>
    </row>
    <row r="2521" spans="1:28" s="352" customFormat="1" ht="18" customHeight="1" x14ac:dyDescent="0.2">
      <c r="A2521" s="88"/>
      <c r="B2521" s="75"/>
      <c r="C2521" s="88"/>
      <c r="D2521" s="2165"/>
      <c r="E2521" s="2166"/>
      <c r="F2521" s="411"/>
      <c r="G2521" s="242"/>
      <c r="H2521" s="412"/>
      <c r="I2521" s="159"/>
      <c r="J2521" s="121"/>
      <c r="K2521" s="159"/>
      <c r="L2521" s="75"/>
      <c r="M2521" s="88"/>
      <c r="N2521" s="88"/>
      <c r="O2521" s="75"/>
      <c r="P2521" s="180"/>
      <c r="Q2521" s="174"/>
      <c r="R2521" s="413"/>
      <c r="S2521" s="74"/>
      <c r="T2521" s="88"/>
      <c r="U2521" s="74"/>
      <c r="V2521" s="74"/>
      <c r="W2521" s="74"/>
      <c r="X2521" s="74"/>
      <c r="Y2521" s="121"/>
      <c r="Z2521" s="74"/>
      <c r="AA2521" s="414"/>
      <c r="AB2521" s="416"/>
    </row>
    <row r="2522" spans="1:28" s="352" customFormat="1" ht="18" customHeight="1" x14ac:dyDescent="0.2">
      <c r="A2522" s="88"/>
      <c r="B2522" s="418"/>
      <c r="C2522" s="88"/>
      <c r="D2522" s="88"/>
      <c r="E2522" s="88"/>
      <c r="F2522" s="411"/>
      <c r="G2522" s="242"/>
      <c r="H2522" s="412"/>
      <c r="I2522" s="159"/>
      <c r="J2522" s="121"/>
      <c r="K2522" s="159"/>
      <c r="L2522" s="75"/>
      <c r="M2522" s="88"/>
      <c r="N2522" s="88"/>
      <c r="O2522" s="75"/>
      <c r="P2522" s="180"/>
      <c r="Q2522" s="174"/>
      <c r="R2522" s="413"/>
      <c r="S2522" s="74"/>
      <c r="T2522" s="88"/>
      <c r="U2522" s="74"/>
      <c r="V2522" s="74"/>
      <c r="W2522" s="74"/>
      <c r="X2522" s="74"/>
      <c r="Y2522" s="121"/>
      <c r="Z2522" s="74"/>
      <c r="AA2522" s="414"/>
      <c r="AB2522" s="410"/>
    </row>
    <row r="2523" spans="1:28" s="352" customFormat="1" ht="18" customHeight="1" x14ac:dyDescent="0.2">
      <c r="A2523" s="1147"/>
      <c r="B2523" s="1989"/>
      <c r="C2523" s="1147"/>
      <c r="D2523" s="1147"/>
      <c r="E2523" s="1147"/>
      <c r="F2523" s="1147"/>
      <c r="G2523" s="1147"/>
      <c r="H2523" s="1990"/>
      <c r="I2523" s="1991"/>
      <c r="J2523" s="1868"/>
      <c r="K2523" s="1992"/>
      <c r="L2523" s="1989"/>
      <c r="M2523" s="1147"/>
      <c r="N2523" s="1147"/>
      <c r="O2523" s="1989"/>
      <c r="P2523" s="1867"/>
      <c r="Q2523" s="1993"/>
      <c r="R2523" s="1994"/>
      <c r="S2523" s="1991"/>
      <c r="T2523" s="1147"/>
      <c r="U2523" s="1991"/>
      <c r="V2523" s="1991"/>
      <c r="W2523" s="1991"/>
      <c r="X2523" s="1991"/>
      <c r="Y2523" s="1868"/>
      <c r="Z2523" s="1991"/>
      <c r="AA2523" s="1995"/>
      <c r="AB2523" s="1849">
        <f>SUM(AB2509:AB2522)</f>
        <v>3600</v>
      </c>
    </row>
    <row r="2524" spans="1:28" s="352" customFormat="1" ht="18" customHeight="1" x14ac:dyDescent="0.2">
      <c r="A2524" s="2788" t="s">
        <v>76</v>
      </c>
      <c r="B2524" s="2788"/>
      <c r="C2524" s="2779" t="s">
        <v>77</v>
      </c>
      <c r="D2524" s="2779"/>
      <c r="E2524" s="2779"/>
      <c r="F2524" s="2779"/>
      <c r="G2524" s="2779"/>
      <c r="H2524" s="2779"/>
      <c r="I2524" s="424" t="s">
        <v>78</v>
      </c>
      <c r="J2524" s="424"/>
      <c r="K2524" s="424"/>
      <c r="L2524" s="424"/>
      <c r="M2524" s="424"/>
      <c r="N2524" s="424"/>
      <c r="AB2524" s="425"/>
    </row>
    <row r="2525" spans="1:28" s="352" customFormat="1" ht="18" customHeight="1" x14ac:dyDescent="0.2">
      <c r="A2525" s="424"/>
      <c r="B2525" s="426"/>
      <c r="C2525" s="424"/>
      <c r="D2525" s="424"/>
      <c r="E2525" s="424"/>
      <c r="F2525" s="424"/>
      <c r="G2525" s="424"/>
      <c r="H2525" s="424"/>
      <c r="I2525" s="424" t="s">
        <v>79</v>
      </c>
      <c r="J2525" s="424"/>
      <c r="K2525" s="424"/>
      <c r="L2525" s="424"/>
      <c r="M2525" s="424"/>
      <c r="N2525" s="424"/>
      <c r="AB2525" s="425"/>
    </row>
    <row r="2526" spans="1:28" s="352" customFormat="1" ht="18" customHeight="1" x14ac:dyDescent="0.2">
      <c r="A2526" s="424"/>
      <c r="B2526" s="426"/>
      <c r="C2526" s="424"/>
      <c r="D2526" s="424"/>
      <c r="E2526" s="424"/>
      <c r="F2526" s="424"/>
      <c r="G2526" s="424"/>
      <c r="H2526" s="424"/>
      <c r="I2526" s="424" t="s">
        <v>80</v>
      </c>
      <c r="J2526" s="424"/>
      <c r="K2526" s="424"/>
      <c r="L2526" s="424"/>
      <c r="M2526" s="424"/>
      <c r="N2526" s="424"/>
      <c r="AB2526" s="425"/>
    </row>
    <row r="2527" spans="1:28" s="352" customFormat="1" ht="18" customHeight="1" x14ac:dyDescent="0.2">
      <c r="A2527" s="424"/>
      <c r="B2527" s="426"/>
      <c r="C2527" s="424"/>
      <c r="D2527" s="424"/>
      <c r="E2527" s="424"/>
      <c r="F2527" s="424"/>
      <c r="G2527" s="424"/>
      <c r="H2527" s="424"/>
      <c r="I2527" s="424" t="s">
        <v>81</v>
      </c>
      <c r="J2527" s="424"/>
      <c r="K2527" s="424"/>
      <c r="L2527" s="424"/>
      <c r="M2527" s="424"/>
      <c r="N2527" s="424"/>
      <c r="AB2527" s="425"/>
    </row>
    <row r="2528" spans="1:28" s="352" customFormat="1" ht="18" customHeight="1" x14ac:dyDescent="0.2">
      <c r="A2528" s="424"/>
      <c r="B2528" s="426"/>
      <c r="C2528" s="424"/>
      <c r="D2528" s="424"/>
      <c r="E2528" s="424"/>
      <c r="F2528" s="424"/>
      <c r="G2528" s="424"/>
      <c r="H2528" s="424"/>
      <c r="I2528" s="424" t="s">
        <v>88</v>
      </c>
      <c r="J2528" s="424"/>
      <c r="K2528" s="424"/>
      <c r="L2528" s="424"/>
      <c r="M2528" s="424"/>
      <c r="N2528" s="424"/>
      <c r="AB2528" s="425"/>
    </row>
    <row r="2529" spans="1:28" s="352" customFormat="1" ht="18" customHeight="1" x14ac:dyDescent="0.2">
      <c r="A2529" s="338"/>
      <c r="B2529" s="338"/>
      <c r="C2529" s="338"/>
      <c r="D2529" s="338"/>
      <c r="E2529" s="338"/>
      <c r="F2529" s="338"/>
      <c r="G2529" s="338"/>
      <c r="H2529" s="338"/>
      <c r="I2529" s="338"/>
      <c r="J2529" s="338"/>
      <c r="K2529" s="338"/>
      <c r="L2529" s="338"/>
      <c r="M2529" s="338"/>
      <c r="N2529" s="338"/>
      <c r="O2529" s="338"/>
      <c r="P2529" s="338"/>
      <c r="Q2529" s="338"/>
      <c r="R2529" s="338"/>
      <c r="S2529" s="338"/>
      <c r="T2529" s="338"/>
      <c r="U2529" s="338"/>
      <c r="V2529" s="338"/>
      <c r="W2529" s="338"/>
      <c r="X2529" s="338"/>
      <c r="Y2529" s="338"/>
      <c r="Z2529" s="338"/>
      <c r="AA2529" s="2774" t="s">
        <v>0</v>
      </c>
      <c r="AB2529" s="2774"/>
    </row>
    <row r="2530" spans="1:28" s="352" customFormat="1" ht="18" customHeight="1" x14ac:dyDescent="0.2">
      <c r="A2530" s="2703" t="s">
        <v>1</v>
      </c>
      <c r="B2530" s="2703"/>
      <c r="C2530" s="2703"/>
      <c r="D2530" s="2703"/>
      <c r="E2530" s="2703"/>
      <c r="F2530" s="2703"/>
      <c r="G2530" s="2703"/>
      <c r="H2530" s="2703"/>
      <c r="I2530" s="2703"/>
      <c r="J2530" s="2703"/>
      <c r="K2530" s="2703"/>
      <c r="L2530" s="2703"/>
      <c r="M2530" s="2703"/>
      <c r="N2530" s="2703"/>
      <c r="O2530" s="2703"/>
      <c r="P2530" s="2703"/>
      <c r="Q2530" s="2703"/>
      <c r="R2530" s="2703"/>
      <c r="S2530" s="2703"/>
      <c r="T2530" s="2703"/>
      <c r="U2530" s="2703"/>
      <c r="V2530" s="2703"/>
      <c r="W2530" s="2703"/>
      <c r="X2530" s="2703"/>
      <c r="Y2530" s="2703"/>
      <c r="Z2530" s="2703"/>
      <c r="AA2530" s="2703"/>
      <c r="AB2530" s="2703"/>
    </row>
    <row r="2531" spans="1:28" s="352" customFormat="1" ht="18" customHeight="1" x14ac:dyDescent="0.2">
      <c r="A2531" s="2780" t="s">
        <v>531</v>
      </c>
      <c r="B2531" s="2780"/>
      <c r="C2531" s="2780"/>
      <c r="D2531" s="2780"/>
      <c r="E2531" s="2780"/>
      <c r="F2531" s="2780"/>
      <c r="G2531" s="2780"/>
      <c r="H2531" s="2780"/>
      <c r="I2531" s="2780"/>
      <c r="J2531" s="2780"/>
      <c r="K2531" s="2780"/>
      <c r="L2531" s="2780"/>
      <c r="M2531" s="2780"/>
      <c r="N2531" s="2780"/>
      <c r="O2531" s="2780"/>
      <c r="P2531" s="2780"/>
      <c r="Q2531" s="2780"/>
      <c r="R2531" s="2780"/>
      <c r="S2531" s="2780"/>
      <c r="T2531" s="2780"/>
      <c r="U2531" s="2780"/>
      <c r="V2531" s="2780"/>
      <c r="W2531" s="2780"/>
      <c r="X2531" s="2780"/>
      <c r="Y2531" s="2780"/>
      <c r="Z2531" s="2780"/>
      <c r="AA2531" s="2780"/>
      <c r="AB2531" s="2780"/>
    </row>
    <row r="2532" spans="1:28" s="352" customFormat="1" ht="18" customHeight="1" x14ac:dyDescent="0.2">
      <c r="A2532" s="2686" t="s">
        <v>2</v>
      </c>
      <c r="B2532" s="360"/>
      <c r="C2532" s="2686" t="s">
        <v>3</v>
      </c>
      <c r="D2532" s="360"/>
      <c r="E2532" s="360"/>
      <c r="F2532" s="2693" t="s">
        <v>4</v>
      </c>
      <c r="G2532" s="2693"/>
      <c r="H2532" s="2693"/>
      <c r="I2532" s="2694"/>
      <c r="J2532" s="2694"/>
      <c r="K2532" s="2695"/>
      <c r="L2532" s="361"/>
      <c r="M2532" s="2679" t="s">
        <v>5</v>
      </c>
      <c r="N2532" s="2679"/>
      <c r="O2532" s="2679"/>
      <c r="P2532" s="2679"/>
      <c r="Q2532" s="2696"/>
      <c r="R2532" s="2696"/>
      <c r="S2532" s="2696"/>
      <c r="T2532" s="2696"/>
      <c r="U2532" s="2696"/>
      <c r="V2532" s="2697"/>
      <c r="W2532" s="362" t="s">
        <v>6</v>
      </c>
      <c r="X2532" s="363" t="s">
        <v>7</v>
      </c>
      <c r="Y2532" s="364"/>
      <c r="Z2532" s="364"/>
      <c r="AA2532" s="363"/>
      <c r="AB2532" s="365"/>
    </row>
    <row r="2533" spans="1:28" s="352" customFormat="1" ht="18" customHeight="1" x14ac:dyDescent="0.2">
      <c r="A2533" s="2687"/>
      <c r="B2533" s="367"/>
      <c r="C2533" s="2687"/>
      <c r="D2533" s="2158" t="s">
        <v>9</v>
      </c>
      <c r="E2533" s="368" t="s">
        <v>10</v>
      </c>
      <c r="F2533" s="2698" t="s">
        <v>11</v>
      </c>
      <c r="G2533" s="2694"/>
      <c r="H2533" s="2695"/>
      <c r="I2533" s="360"/>
      <c r="J2533" s="369" t="s">
        <v>12</v>
      </c>
      <c r="K2533" s="360"/>
      <c r="L2533" s="2679" t="s">
        <v>2</v>
      </c>
      <c r="M2533" s="2162"/>
      <c r="N2533" s="2162"/>
      <c r="O2533" s="2162"/>
      <c r="P2533" s="371"/>
      <c r="Q2533" s="372" t="s">
        <v>13</v>
      </c>
      <c r="R2533" s="373" t="s">
        <v>12</v>
      </c>
      <c r="S2533" s="2162" t="s">
        <v>6</v>
      </c>
      <c r="T2533" s="2682" t="s">
        <v>14</v>
      </c>
      <c r="U2533" s="2683"/>
      <c r="V2533" s="375" t="s">
        <v>7</v>
      </c>
      <c r="W2533" s="376" t="s">
        <v>15</v>
      </c>
      <c r="X2533" s="377" t="s">
        <v>16</v>
      </c>
      <c r="Y2533" s="377" t="s">
        <v>17</v>
      </c>
      <c r="Z2533" s="377" t="s">
        <v>18</v>
      </c>
      <c r="AA2533" s="377"/>
      <c r="AB2533" s="378" t="s">
        <v>19</v>
      </c>
    </row>
    <row r="2534" spans="1:28" s="352" customFormat="1" ht="18" customHeight="1" x14ac:dyDescent="0.2">
      <c r="A2534" s="2687"/>
      <c r="B2534" s="2158" t="s">
        <v>23</v>
      </c>
      <c r="C2534" s="2687"/>
      <c r="D2534" s="2158" t="s">
        <v>24</v>
      </c>
      <c r="E2534" s="368" t="s">
        <v>25</v>
      </c>
      <c r="F2534" s="2699"/>
      <c r="G2534" s="2700"/>
      <c r="H2534" s="2701"/>
      <c r="I2534" s="2158" t="s">
        <v>26</v>
      </c>
      <c r="J2534" s="379" t="s">
        <v>15</v>
      </c>
      <c r="K2534" s="2159" t="s">
        <v>6</v>
      </c>
      <c r="L2534" s="2680"/>
      <c r="M2534" s="2163" t="s">
        <v>27</v>
      </c>
      <c r="N2534" s="2163" t="s">
        <v>10</v>
      </c>
      <c r="O2534" s="382" t="s">
        <v>10</v>
      </c>
      <c r="P2534" s="383" t="s">
        <v>28</v>
      </c>
      <c r="Q2534" s="384" t="s">
        <v>29</v>
      </c>
      <c r="R2534" s="383" t="s">
        <v>15</v>
      </c>
      <c r="S2534" s="385" t="s">
        <v>15</v>
      </c>
      <c r="T2534" s="2684"/>
      <c r="U2534" s="2685"/>
      <c r="V2534" s="375" t="s">
        <v>30</v>
      </c>
      <c r="W2534" s="376" t="s">
        <v>31</v>
      </c>
      <c r="X2534" s="377" t="s">
        <v>30</v>
      </c>
      <c r="Y2534" s="377" t="s">
        <v>32</v>
      </c>
      <c r="Z2534" s="377" t="s">
        <v>7</v>
      </c>
      <c r="AA2534" s="377" t="s">
        <v>33</v>
      </c>
      <c r="AB2534" s="378" t="s">
        <v>34</v>
      </c>
    </row>
    <row r="2535" spans="1:28" s="352" customFormat="1" ht="18" customHeight="1" x14ac:dyDescent="0.2">
      <c r="A2535" s="2687"/>
      <c r="B2535" s="2158" t="s">
        <v>39</v>
      </c>
      <c r="C2535" s="2687"/>
      <c r="D2535" s="2158" t="s">
        <v>40</v>
      </c>
      <c r="E2535" s="368" t="s">
        <v>41</v>
      </c>
      <c r="F2535" s="2686" t="s">
        <v>42</v>
      </c>
      <c r="G2535" s="2686" t="s">
        <v>43</v>
      </c>
      <c r="H2535" s="2688" t="s">
        <v>44</v>
      </c>
      <c r="I2535" s="2158" t="s">
        <v>45</v>
      </c>
      <c r="J2535" s="379" t="s">
        <v>46</v>
      </c>
      <c r="K2535" s="2159" t="s">
        <v>47</v>
      </c>
      <c r="L2535" s="2680"/>
      <c r="M2535" s="2163" t="s">
        <v>30</v>
      </c>
      <c r="N2535" s="2163" t="s">
        <v>30</v>
      </c>
      <c r="O2535" s="382" t="s">
        <v>25</v>
      </c>
      <c r="P2535" s="383" t="s">
        <v>30</v>
      </c>
      <c r="Q2535" s="384" t="s">
        <v>48</v>
      </c>
      <c r="R2535" s="383" t="s">
        <v>49</v>
      </c>
      <c r="S2535" s="385" t="s">
        <v>30</v>
      </c>
      <c r="T2535" s="386" t="s">
        <v>50</v>
      </c>
      <c r="U2535" s="2161" t="s">
        <v>13</v>
      </c>
      <c r="V2535" s="375" t="s">
        <v>51</v>
      </c>
      <c r="W2535" s="376" t="s">
        <v>52</v>
      </c>
      <c r="X2535" s="377" t="s">
        <v>53</v>
      </c>
      <c r="Y2535" s="377" t="s">
        <v>54</v>
      </c>
      <c r="Z2535" s="377" t="s">
        <v>55</v>
      </c>
      <c r="AA2535" s="377" t="s">
        <v>56</v>
      </c>
      <c r="AB2535" s="378" t="s">
        <v>57</v>
      </c>
    </row>
    <row r="2536" spans="1:28" s="352" customFormat="1" ht="18" customHeight="1" x14ac:dyDescent="0.2">
      <c r="A2536" s="2687"/>
      <c r="B2536" s="2158" t="s">
        <v>61</v>
      </c>
      <c r="C2536" s="2687"/>
      <c r="D2536" s="2158" t="s">
        <v>62</v>
      </c>
      <c r="E2536" s="368" t="s">
        <v>63</v>
      </c>
      <c r="F2536" s="2687"/>
      <c r="G2536" s="2687"/>
      <c r="H2536" s="2689"/>
      <c r="I2536" s="2158" t="s">
        <v>64</v>
      </c>
      <c r="J2536" s="379" t="s">
        <v>59</v>
      </c>
      <c r="K2536" s="2159" t="s">
        <v>59</v>
      </c>
      <c r="L2536" s="2680"/>
      <c r="M2536" s="2163"/>
      <c r="N2536" s="2163"/>
      <c r="O2536" s="382" t="s">
        <v>41</v>
      </c>
      <c r="P2536" s="383" t="s">
        <v>65</v>
      </c>
      <c r="Q2536" s="384" t="s">
        <v>66</v>
      </c>
      <c r="R2536" s="383" t="s">
        <v>67</v>
      </c>
      <c r="S2536" s="385" t="s">
        <v>59</v>
      </c>
      <c r="T2536" s="387" t="s">
        <v>68</v>
      </c>
      <c r="U2536" s="375" t="s">
        <v>14</v>
      </c>
      <c r="V2536" s="375" t="s">
        <v>14</v>
      </c>
      <c r="W2536" s="376" t="s">
        <v>30</v>
      </c>
      <c r="X2536" s="388" t="s">
        <v>69</v>
      </c>
      <c r="Y2536" s="388" t="s">
        <v>70</v>
      </c>
      <c r="Z2536" s="377" t="s">
        <v>71</v>
      </c>
      <c r="AA2536" s="377" t="s">
        <v>72</v>
      </c>
      <c r="AB2536" s="378" t="s">
        <v>59</v>
      </c>
    </row>
    <row r="2537" spans="1:28" s="352" customFormat="1" ht="18" customHeight="1" x14ac:dyDescent="0.2">
      <c r="A2537" s="2692"/>
      <c r="B2537" s="390"/>
      <c r="C2537" s="2692"/>
      <c r="D2537" s="390"/>
      <c r="E2537" s="2160"/>
      <c r="F2537" s="390"/>
      <c r="G2537" s="390"/>
      <c r="H2537" s="391"/>
      <c r="I2537" s="2160"/>
      <c r="J2537" s="392"/>
      <c r="K2537" s="393"/>
      <c r="L2537" s="2681"/>
      <c r="M2537" s="2164"/>
      <c r="N2537" s="2164"/>
      <c r="O2537" s="2164" t="s">
        <v>63</v>
      </c>
      <c r="P2537" s="395"/>
      <c r="Q2537" s="396" t="s">
        <v>72</v>
      </c>
      <c r="R2537" s="397" t="s">
        <v>59</v>
      </c>
      <c r="S2537" s="398"/>
      <c r="T2537" s="397" t="s">
        <v>73</v>
      </c>
      <c r="U2537" s="398" t="s">
        <v>59</v>
      </c>
      <c r="V2537" s="399" t="s">
        <v>59</v>
      </c>
      <c r="W2537" s="400" t="s">
        <v>59</v>
      </c>
      <c r="X2537" s="401" t="s">
        <v>59</v>
      </c>
      <c r="Y2537" s="401" t="s">
        <v>59</v>
      </c>
      <c r="Z2537" s="401" t="s">
        <v>59</v>
      </c>
      <c r="AA2537" s="402"/>
      <c r="AB2537" s="403"/>
    </row>
    <row r="2538" spans="1:28" s="352" customFormat="1" ht="18" customHeight="1" x14ac:dyDescent="0.25">
      <c r="A2538" s="82">
        <v>1</v>
      </c>
      <c r="B2538" s="53">
        <v>23160</v>
      </c>
      <c r="C2538" s="82">
        <v>1033</v>
      </c>
      <c r="D2538" s="41" t="s">
        <v>84</v>
      </c>
      <c r="E2538" s="41">
        <v>4</v>
      </c>
      <c r="F2538" s="41">
        <v>0</v>
      </c>
      <c r="G2538" s="41">
        <v>1</v>
      </c>
      <c r="H2538" s="267">
        <v>0</v>
      </c>
      <c r="I2538" s="302">
        <f>F2538*400+G2538*100+H2538</f>
        <v>100</v>
      </c>
      <c r="J2538" s="310">
        <v>3000</v>
      </c>
      <c r="K2538" s="310">
        <f>SUM(I2538*J2538)</f>
        <v>300000</v>
      </c>
      <c r="L2538" s="480"/>
      <c r="M2538" s="481"/>
      <c r="N2538" s="480"/>
      <c r="O2538" s="480"/>
      <c r="P2538" s="482"/>
      <c r="Q2538" s="483"/>
      <c r="R2538" s="484"/>
      <c r="S2538" s="485"/>
      <c r="T2538" s="483"/>
      <c r="U2538" s="485"/>
      <c r="V2538" s="486"/>
      <c r="W2538" s="302">
        <f>K2538</f>
        <v>300000</v>
      </c>
      <c r="X2538" s="310">
        <f>W2538</f>
        <v>300000</v>
      </c>
      <c r="Y2538" s="310"/>
      <c r="Z2538" s="302">
        <f>+X2538</f>
        <v>300000</v>
      </c>
      <c r="AA2538" s="405">
        <v>0.6</v>
      </c>
      <c r="AB2538" s="406">
        <f>+Z2538*AA2538/100</f>
        <v>1800</v>
      </c>
    </row>
    <row r="2539" spans="1:28" s="352" customFormat="1" ht="18" customHeight="1" x14ac:dyDescent="0.2">
      <c r="A2539" s="88"/>
      <c r="B2539" s="75"/>
      <c r="C2539" s="88"/>
      <c r="D2539" s="88"/>
      <c r="E2539" s="88"/>
      <c r="F2539" s="88"/>
      <c r="G2539" s="88"/>
      <c r="H2539" s="495"/>
      <c r="I2539" s="74"/>
      <c r="J2539" s="121"/>
      <c r="K2539" s="121"/>
      <c r="L2539" s="815"/>
      <c r="M2539" s="815"/>
      <c r="N2539" s="815"/>
      <c r="O2539" s="815"/>
      <c r="P2539" s="816"/>
      <c r="Q2539" s="816"/>
      <c r="R2539" s="817"/>
      <c r="S2539" s="817"/>
      <c r="T2539" s="816"/>
      <c r="U2539" s="817"/>
      <c r="V2539" s="818"/>
      <c r="W2539" s="74"/>
      <c r="X2539" s="121"/>
      <c r="Y2539" s="121"/>
      <c r="Z2539" s="74"/>
      <c r="AA2539" s="414"/>
      <c r="AB2539" s="415"/>
    </row>
    <row r="2540" spans="1:28" s="352" customFormat="1" ht="18" customHeight="1" x14ac:dyDescent="0.2">
      <c r="A2540" s="88"/>
      <c r="B2540" s="75"/>
      <c r="C2540" s="88"/>
      <c r="D2540" s="88"/>
      <c r="E2540" s="88"/>
      <c r="F2540" s="88"/>
      <c r="G2540" s="88"/>
      <c r="H2540" s="495"/>
      <c r="I2540" s="74"/>
      <c r="J2540" s="121"/>
      <c r="K2540" s="121"/>
      <c r="L2540" s="815"/>
      <c r="M2540" s="815"/>
      <c r="N2540" s="815"/>
      <c r="O2540" s="815"/>
      <c r="P2540" s="816"/>
      <c r="Q2540" s="816"/>
      <c r="R2540" s="817"/>
      <c r="S2540" s="817"/>
      <c r="T2540" s="816"/>
      <c r="U2540" s="817"/>
      <c r="V2540" s="818"/>
      <c r="W2540" s="74"/>
      <c r="X2540" s="121"/>
      <c r="Y2540" s="121"/>
      <c r="Z2540" s="74"/>
      <c r="AA2540" s="414"/>
      <c r="AB2540" s="410"/>
    </row>
    <row r="2541" spans="1:28" s="352" customFormat="1" ht="18" customHeight="1" x14ac:dyDescent="0.2">
      <c r="A2541" s="88"/>
      <c r="B2541" s="75"/>
      <c r="C2541" s="88"/>
      <c r="D2541" s="88"/>
      <c r="E2541" s="88"/>
      <c r="F2541" s="88"/>
      <c r="G2541" s="88"/>
      <c r="H2541" s="495"/>
      <c r="I2541" s="74"/>
      <c r="J2541" s="121"/>
      <c r="K2541" s="121"/>
      <c r="L2541" s="815"/>
      <c r="M2541" s="815"/>
      <c r="N2541" s="815"/>
      <c r="O2541" s="815"/>
      <c r="P2541" s="816"/>
      <c r="Q2541" s="816"/>
      <c r="R2541" s="817"/>
      <c r="S2541" s="817"/>
      <c r="T2541" s="816"/>
      <c r="U2541" s="817"/>
      <c r="V2541" s="818"/>
      <c r="W2541" s="74"/>
      <c r="X2541" s="121"/>
      <c r="Y2541" s="121"/>
      <c r="Z2541" s="74"/>
      <c r="AA2541" s="414"/>
      <c r="AB2541" s="416"/>
    </row>
    <row r="2542" spans="1:28" s="352" customFormat="1" ht="18" customHeight="1" x14ac:dyDescent="0.2">
      <c r="A2542" s="2166"/>
      <c r="B2542" s="61"/>
      <c r="C2542" s="2166"/>
      <c r="D2542" s="2166"/>
      <c r="E2542" s="2166"/>
      <c r="F2542" s="2166"/>
      <c r="G2542" s="2166"/>
      <c r="H2542" s="407"/>
      <c r="I2542" s="77"/>
      <c r="J2542" s="2168"/>
      <c r="K2542" s="78"/>
      <c r="L2542" s="61"/>
      <c r="M2542" s="2166"/>
      <c r="N2542" s="2166"/>
      <c r="O2542" s="61"/>
      <c r="P2542" s="177"/>
      <c r="Q2542" s="196"/>
      <c r="R2542" s="408"/>
      <c r="S2542" s="77"/>
      <c r="T2542" s="2166"/>
      <c r="U2542" s="77"/>
      <c r="V2542" s="77"/>
      <c r="W2542" s="77"/>
      <c r="X2542" s="77"/>
      <c r="Y2542" s="2168"/>
      <c r="Z2542" s="77"/>
      <c r="AA2542" s="2170"/>
      <c r="AB2542" s="410"/>
    </row>
    <row r="2543" spans="1:28" s="352" customFormat="1" ht="18" customHeight="1" x14ac:dyDescent="0.2">
      <c r="A2543" s="2166"/>
      <c r="B2543" s="61"/>
      <c r="C2543" s="2166"/>
      <c r="D2543" s="2166"/>
      <c r="E2543" s="2166"/>
      <c r="F2543" s="2166"/>
      <c r="G2543" s="2166"/>
      <c r="H2543" s="407"/>
      <c r="I2543" s="77"/>
      <c r="J2543" s="2168"/>
      <c r="K2543" s="78"/>
      <c r="L2543" s="61"/>
      <c r="M2543" s="2166"/>
      <c r="N2543" s="2166"/>
      <c r="O2543" s="61"/>
      <c r="P2543" s="177"/>
      <c r="Q2543" s="196"/>
      <c r="R2543" s="408"/>
      <c r="S2543" s="77"/>
      <c r="T2543" s="2166"/>
      <c r="U2543" s="77"/>
      <c r="V2543" s="77"/>
      <c r="W2543" s="77"/>
      <c r="X2543" s="77"/>
      <c r="Y2543" s="2168"/>
      <c r="Z2543" s="77"/>
      <c r="AA2543" s="2170"/>
      <c r="AB2543" s="410"/>
    </row>
    <row r="2544" spans="1:28" s="352" customFormat="1" ht="18" customHeight="1" x14ac:dyDescent="0.2">
      <c r="A2544" s="2166"/>
      <c r="B2544" s="61"/>
      <c r="C2544" s="2166"/>
      <c r="D2544" s="2166"/>
      <c r="E2544" s="2166"/>
      <c r="F2544" s="2166"/>
      <c r="G2544" s="2166"/>
      <c r="H2544" s="407"/>
      <c r="I2544" s="77"/>
      <c r="J2544" s="2168"/>
      <c r="K2544" s="78"/>
      <c r="L2544" s="61"/>
      <c r="M2544" s="2166"/>
      <c r="N2544" s="2166"/>
      <c r="O2544" s="61"/>
      <c r="P2544" s="177"/>
      <c r="Q2544" s="196"/>
      <c r="R2544" s="408"/>
      <c r="S2544" s="77"/>
      <c r="T2544" s="2166"/>
      <c r="U2544" s="77"/>
      <c r="V2544" s="77"/>
      <c r="W2544" s="77"/>
      <c r="X2544" s="77"/>
      <c r="Y2544" s="2168"/>
      <c r="Z2544" s="77"/>
      <c r="AA2544" s="2170"/>
      <c r="AB2544" s="410"/>
    </row>
    <row r="2545" spans="1:28" s="352" customFormat="1" ht="18" customHeight="1" x14ac:dyDescent="0.2">
      <c r="A2545" s="88"/>
      <c r="B2545" s="75"/>
      <c r="C2545" s="88"/>
      <c r="D2545" s="88"/>
      <c r="E2545" s="2166"/>
      <c r="F2545" s="411"/>
      <c r="G2545" s="242"/>
      <c r="H2545" s="412"/>
      <c r="I2545" s="159"/>
      <c r="J2545" s="121"/>
      <c r="K2545" s="159"/>
      <c r="L2545" s="75"/>
      <c r="M2545" s="88"/>
      <c r="N2545" s="88"/>
      <c r="O2545" s="75"/>
      <c r="P2545" s="180"/>
      <c r="Q2545" s="174"/>
      <c r="R2545" s="413"/>
      <c r="S2545" s="74"/>
      <c r="T2545" s="88"/>
      <c r="U2545" s="74"/>
      <c r="V2545" s="74"/>
      <c r="W2545" s="74"/>
      <c r="X2545" s="74"/>
      <c r="Y2545" s="121"/>
      <c r="Z2545" s="74"/>
      <c r="AA2545" s="414"/>
      <c r="AB2545" s="415"/>
    </row>
    <row r="2546" spans="1:28" s="352" customFormat="1" ht="18" customHeight="1" x14ac:dyDescent="0.2">
      <c r="A2546" s="88"/>
      <c r="B2546" s="75"/>
      <c r="C2546" s="88"/>
      <c r="D2546" s="88"/>
      <c r="E2546" s="2166"/>
      <c r="F2546" s="411"/>
      <c r="G2546" s="242"/>
      <c r="H2546" s="412"/>
      <c r="I2546" s="159"/>
      <c r="J2546" s="121"/>
      <c r="K2546" s="159"/>
      <c r="L2546" s="75"/>
      <c r="M2546" s="88"/>
      <c r="N2546" s="88"/>
      <c r="O2546" s="75"/>
      <c r="P2546" s="180"/>
      <c r="Q2546" s="174"/>
      <c r="R2546" s="413"/>
      <c r="S2546" s="74"/>
      <c r="T2546" s="88"/>
      <c r="U2546" s="74"/>
      <c r="V2546" s="74"/>
      <c r="W2546" s="74"/>
      <c r="X2546" s="74"/>
      <c r="Y2546" s="121"/>
      <c r="Z2546" s="74"/>
      <c r="AA2546" s="606"/>
      <c r="AB2546" s="415"/>
    </row>
    <row r="2547" spans="1:28" s="352" customFormat="1" ht="18" customHeight="1" x14ac:dyDescent="0.2">
      <c r="A2547" s="88"/>
      <c r="B2547" s="75"/>
      <c r="C2547" s="88"/>
      <c r="D2547" s="88"/>
      <c r="E2547" s="2166"/>
      <c r="F2547" s="411"/>
      <c r="G2547" s="242"/>
      <c r="H2547" s="412"/>
      <c r="I2547" s="159"/>
      <c r="J2547" s="121"/>
      <c r="K2547" s="159"/>
      <c r="L2547" s="75"/>
      <c r="M2547" s="88"/>
      <c r="N2547" s="88"/>
      <c r="O2547" s="75"/>
      <c r="P2547" s="180"/>
      <c r="Q2547" s="174"/>
      <c r="R2547" s="413"/>
      <c r="S2547" s="74"/>
      <c r="T2547" s="88"/>
      <c r="U2547" s="74"/>
      <c r="V2547" s="74"/>
      <c r="W2547" s="74"/>
      <c r="X2547" s="74"/>
      <c r="Y2547" s="121"/>
      <c r="Z2547" s="74"/>
      <c r="AA2547" s="606"/>
      <c r="AB2547" s="415"/>
    </row>
    <row r="2548" spans="1:28" s="352" customFormat="1" ht="18" customHeight="1" x14ac:dyDescent="0.2">
      <c r="A2548" s="88"/>
      <c r="B2548" s="75"/>
      <c r="C2548" s="88"/>
      <c r="D2548" s="2165"/>
      <c r="E2548" s="2166"/>
      <c r="F2548" s="411"/>
      <c r="G2548" s="242"/>
      <c r="H2548" s="412"/>
      <c r="I2548" s="159"/>
      <c r="J2548" s="121"/>
      <c r="K2548" s="159"/>
      <c r="L2548" s="75"/>
      <c r="M2548" s="88"/>
      <c r="N2548" s="88"/>
      <c r="O2548" s="75"/>
      <c r="P2548" s="180"/>
      <c r="Q2548" s="174"/>
      <c r="R2548" s="413"/>
      <c r="S2548" s="74"/>
      <c r="T2548" s="88"/>
      <c r="U2548" s="74"/>
      <c r="V2548" s="74"/>
      <c r="W2548" s="74"/>
      <c r="X2548" s="74"/>
      <c r="Y2548" s="121"/>
      <c r="Z2548" s="74"/>
      <c r="AA2548" s="414"/>
      <c r="AB2548" s="410"/>
    </row>
    <row r="2549" spans="1:28" s="352" customFormat="1" ht="18" customHeight="1" x14ac:dyDescent="0.2">
      <c r="A2549" s="88"/>
      <c r="B2549" s="75"/>
      <c r="C2549" s="88"/>
      <c r="D2549" s="2165"/>
      <c r="E2549" s="2166"/>
      <c r="F2549" s="411"/>
      <c r="G2549" s="242"/>
      <c r="H2549" s="412"/>
      <c r="I2549" s="159"/>
      <c r="J2549" s="121"/>
      <c r="K2549" s="159"/>
      <c r="L2549" s="75"/>
      <c r="M2549" s="88"/>
      <c r="N2549" s="88"/>
      <c r="O2549" s="75"/>
      <c r="P2549" s="180"/>
      <c r="Q2549" s="174"/>
      <c r="R2549" s="413"/>
      <c r="S2549" s="74"/>
      <c r="T2549" s="88"/>
      <c r="U2549" s="74"/>
      <c r="V2549" s="74"/>
      <c r="W2549" s="74"/>
      <c r="X2549" s="74"/>
      <c r="Y2549" s="121"/>
      <c r="Z2549" s="74"/>
      <c r="AA2549" s="417"/>
      <c r="AB2549" s="410"/>
    </row>
    <row r="2550" spans="1:28" s="352" customFormat="1" ht="18" customHeight="1" x14ac:dyDescent="0.2">
      <c r="A2550" s="88"/>
      <c r="B2550" s="75"/>
      <c r="C2550" s="88"/>
      <c r="D2550" s="2165"/>
      <c r="E2550" s="2166"/>
      <c r="F2550" s="411"/>
      <c r="G2550" s="242"/>
      <c r="H2550" s="412"/>
      <c r="I2550" s="159"/>
      <c r="J2550" s="121"/>
      <c r="K2550" s="159"/>
      <c r="L2550" s="75"/>
      <c r="M2550" s="88"/>
      <c r="N2550" s="88"/>
      <c r="O2550" s="75"/>
      <c r="P2550" s="180"/>
      <c r="Q2550" s="174"/>
      <c r="R2550" s="413"/>
      <c r="S2550" s="74"/>
      <c r="T2550" s="88"/>
      <c r="U2550" s="74"/>
      <c r="V2550" s="74"/>
      <c r="W2550" s="74"/>
      <c r="X2550" s="74"/>
      <c r="Y2550" s="121"/>
      <c r="Z2550" s="74"/>
      <c r="AA2550" s="414"/>
      <c r="AB2550" s="416"/>
    </row>
    <row r="2551" spans="1:28" s="352" customFormat="1" ht="18" customHeight="1" x14ac:dyDescent="0.2">
      <c r="A2551" s="88"/>
      <c r="B2551" s="418"/>
      <c r="C2551" s="88"/>
      <c r="D2551" s="88"/>
      <c r="E2551" s="88"/>
      <c r="F2551" s="411"/>
      <c r="G2551" s="242"/>
      <c r="H2551" s="412"/>
      <c r="I2551" s="159"/>
      <c r="J2551" s="121"/>
      <c r="K2551" s="159"/>
      <c r="L2551" s="75"/>
      <c r="M2551" s="88"/>
      <c r="N2551" s="88"/>
      <c r="O2551" s="75"/>
      <c r="P2551" s="180"/>
      <c r="Q2551" s="174"/>
      <c r="R2551" s="413"/>
      <c r="S2551" s="74"/>
      <c r="T2551" s="88"/>
      <c r="U2551" s="74"/>
      <c r="V2551" s="74"/>
      <c r="W2551" s="74"/>
      <c r="X2551" s="74"/>
      <c r="Y2551" s="121"/>
      <c r="Z2551" s="74"/>
      <c r="AA2551" s="414"/>
      <c r="AB2551" s="410"/>
    </row>
    <row r="2552" spans="1:28" s="352" customFormat="1" ht="18" customHeight="1" x14ac:dyDescent="0.2">
      <c r="A2552" s="1147"/>
      <c r="B2552" s="1989"/>
      <c r="C2552" s="1147"/>
      <c r="D2552" s="1147"/>
      <c r="E2552" s="1147"/>
      <c r="F2552" s="1147"/>
      <c r="G2552" s="1147"/>
      <c r="H2552" s="1990"/>
      <c r="I2552" s="1991"/>
      <c r="J2552" s="1868"/>
      <c r="K2552" s="1992"/>
      <c r="L2552" s="1989"/>
      <c r="M2552" s="1147"/>
      <c r="N2552" s="1147"/>
      <c r="O2552" s="1989"/>
      <c r="P2552" s="1867"/>
      <c r="Q2552" s="1993"/>
      <c r="R2552" s="1994"/>
      <c r="S2552" s="1991"/>
      <c r="T2552" s="1147"/>
      <c r="U2552" s="1991"/>
      <c r="V2552" s="1991"/>
      <c r="W2552" s="1991"/>
      <c r="X2552" s="1991"/>
      <c r="Y2552" s="1868"/>
      <c r="Z2552" s="1991"/>
      <c r="AA2552" s="1995"/>
      <c r="AB2552" s="1849">
        <f>SUM(AB2538:AB2551)</f>
        <v>1800</v>
      </c>
    </row>
    <row r="2553" spans="1:28" s="352" customFormat="1" ht="18" customHeight="1" x14ac:dyDescent="0.2">
      <c r="A2553" s="2788" t="s">
        <v>76</v>
      </c>
      <c r="B2553" s="2788"/>
      <c r="C2553" s="2779" t="s">
        <v>77</v>
      </c>
      <c r="D2553" s="2779"/>
      <c r="E2553" s="2779"/>
      <c r="F2553" s="2779"/>
      <c r="G2553" s="2779"/>
      <c r="H2553" s="2779"/>
      <c r="I2553" s="424" t="s">
        <v>78</v>
      </c>
      <c r="J2553" s="424"/>
      <c r="K2553" s="424"/>
      <c r="L2553" s="424"/>
      <c r="M2553" s="424"/>
      <c r="N2553" s="424"/>
      <c r="AB2553" s="425"/>
    </row>
    <row r="2554" spans="1:28" s="352" customFormat="1" ht="18" customHeight="1" x14ac:dyDescent="0.2">
      <c r="A2554" s="424"/>
      <c r="B2554" s="426"/>
      <c r="C2554" s="424"/>
      <c r="D2554" s="424"/>
      <c r="E2554" s="424"/>
      <c r="F2554" s="424"/>
      <c r="G2554" s="424"/>
      <c r="H2554" s="424"/>
      <c r="I2554" s="424" t="s">
        <v>79</v>
      </c>
      <c r="J2554" s="424"/>
      <c r="K2554" s="424"/>
      <c r="L2554" s="424"/>
      <c r="M2554" s="424"/>
      <c r="N2554" s="424"/>
      <c r="AB2554" s="425"/>
    </row>
    <row r="2555" spans="1:28" s="352" customFormat="1" ht="18" customHeight="1" x14ac:dyDescent="0.2">
      <c r="A2555" s="424"/>
      <c r="B2555" s="426"/>
      <c r="C2555" s="424"/>
      <c r="D2555" s="424"/>
      <c r="E2555" s="424"/>
      <c r="F2555" s="424"/>
      <c r="G2555" s="424"/>
      <c r="H2555" s="424"/>
      <c r="I2555" s="424" t="s">
        <v>80</v>
      </c>
      <c r="J2555" s="424"/>
      <c r="K2555" s="424"/>
      <c r="L2555" s="424"/>
      <c r="M2555" s="424"/>
      <c r="N2555" s="424"/>
      <c r="AB2555" s="425"/>
    </row>
    <row r="2556" spans="1:28" s="352" customFormat="1" ht="18" customHeight="1" x14ac:dyDescent="0.2">
      <c r="A2556" s="424"/>
      <c r="B2556" s="426"/>
      <c r="C2556" s="424"/>
      <c r="D2556" s="424"/>
      <c r="E2556" s="424"/>
      <c r="F2556" s="424"/>
      <c r="G2556" s="424"/>
      <c r="H2556" s="424"/>
      <c r="I2556" s="424" t="s">
        <v>81</v>
      </c>
      <c r="J2556" s="424"/>
      <c r="K2556" s="424"/>
      <c r="L2556" s="424"/>
      <c r="M2556" s="424"/>
      <c r="N2556" s="424"/>
      <c r="AB2556" s="425"/>
    </row>
    <row r="2557" spans="1:28" s="352" customFormat="1" ht="18" customHeight="1" x14ac:dyDescent="0.2">
      <c r="A2557" s="424"/>
      <c r="B2557" s="426"/>
      <c r="C2557" s="424"/>
      <c r="D2557" s="424"/>
      <c r="E2557" s="424"/>
      <c r="F2557" s="424"/>
      <c r="G2557" s="424"/>
      <c r="H2557" s="424"/>
      <c r="I2557" s="424" t="s">
        <v>88</v>
      </c>
      <c r="J2557" s="424"/>
      <c r="K2557" s="424"/>
      <c r="L2557" s="424"/>
      <c r="M2557" s="424"/>
      <c r="N2557" s="424"/>
      <c r="AB2557" s="425"/>
    </row>
    <row r="2558" spans="1:28" s="352" customFormat="1" ht="18" customHeight="1" x14ac:dyDescent="0.2">
      <c r="A2558" s="338"/>
      <c r="B2558" s="338"/>
      <c r="C2558" s="338"/>
      <c r="D2558" s="338"/>
      <c r="E2558" s="338"/>
      <c r="F2558" s="338"/>
      <c r="G2558" s="338"/>
      <c r="H2558" s="338"/>
      <c r="I2558" s="338"/>
      <c r="J2558" s="338"/>
      <c r="K2558" s="338"/>
      <c r="L2558" s="338"/>
      <c r="M2558" s="338"/>
      <c r="N2558" s="338"/>
      <c r="O2558" s="338"/>
      <c r="P2558" s="338"/>
      <c r="Q2558" s="338"/>
      <c r="R2558" s="338"/>
      <c r="S2558" s="338"/>
      <c r="T2558" s="338"/>
      <c r="U2558" s="338"/>
      <c r="V2558" s="338"/>
      <c r="W2558" s="338"/>
      <c r="X2558" s="338"/>
      <c r="Y2558" s="338"/>
      <c r="Z2558" s="338"/>
      <c r="AA2558" s="2774" t="s">
        <v>0</v>
      </c>
      <c r="AB2558" s="2774"/>
    </row>
    <row r="2559" spans="1:28" s="352" customFormat="1" ht="18" customHeight="1" x14ac:dyDescent="0.2">
      <c r="A2559" s="2703" t="s">
        <v>1</v>
      </c>
      <c r="B2559" s="2703"/>
      <c r="C2559" s="2703"/>
      <c r="D2559" s="2703"/>
      <c r="E2559" s="2703"/>
      <c r="F2559" s="2703"/>
      <c r="G2559" s="2703"/>
      <c r="H2559" s="2703"/>
      <c r="I2559" s="2703"/>
      <c r="J2559" s="2703"/>
      <c r="K2559" s="2703"/>
      <c r="L2559" s="2703"/>
      <c r="M2559" s="2703"/>
      <c r="N2559" s="2703"/>
      <c r="O2559" s="2703"/>
      <c r="P2559" s="2703"/>
      <c r="Q2559" s="2703"/>
      <c r="R2559" s="2703"/>
      <c r="S2559" s="2703"/>
      <c r="T2559" s="2703"/>
      <c r="U2559" s="2703"/>
      <c r="V2559" s="2703"/>
      <c r="W2559" s="2703"/>
      <c r="X2559" s="2703"/>
      <c r="Y2559" s="2703"/>
      <c r="Z2559" s="2703"/>
      <c r="AA2559" s="2703"/>
      <c r="AB2559" s="2703"/>
    </row>
    <row r="2560" spans="1:28" s="352" customFormat="1" ht="18" customHeight="1" x14ac:dyDescent="0.2">
      <c r="A2560" s="2780" t="s">
        <v>677</v>
      </c>
      <c r="B2560" s="2780"/>
      <c r="C2560" s="2780"/>
      <c r="D2560" s="2780"/>
      <c r="E2560" s="2780"/>
      <c r="F2560" s="2780"/>
      <c r="G2560" s="2780"/>
      <c r="H2560" s="2780"/>
      <c r="I2560" s="2780"/>
      <c r="J2560" s="2780"/>
      <c r="K2560" s="2780"/>
      <c r="L2560" s="2780"/>
      <c r="M2560" s="2780"/>
      <c r="N2560" s="2780"/>
      <c r="O2560" s="2780"/>
      <c r="P2560" s="2780"/>
      <c r="Q2560" s="2780"/>
      <c r="R2560" s="2780"/>
      <c r="S2560" s="2780"/>
      <c r="T2560" s="2780"/>
      <c r="U2560" s="2780"/>
      <c r="V2560" s="2780"/>
      <c r="W2560" s="2780"/>
      <c r="X2560" s="2780"/>
      <c r="Y2560" s="2780"/>
      <c r="Z2560" s="2780"/>
      <c r="AA2560" s="2780"/>
      <c r="AB2560" s="2780"/>
    </row>
    <row r="2561" spans="1:29" s="352" customFormat="1" ht="18" customHeight="1" x14ac:dyDescent="0.2">
      <c r="A2561" s="2686" t="s">
        <v>2</v>
      </c>
      <c r="B2561" s="360"/>
      <c r="C2561" s="2686" t="s">
        <v>3</v>
      </c>
      <c r="D2561" s="360"/>
      <c r="E2561" s="360"/>
      <c r="F2561" s="2693" t="s">
        <v>4</v>
      </c>
      <c r="G2561" s="2693"/>
      <c r="H2561" s="2693"/>
      <c r="I2561" s="2694"/>
      <c r="J2561" s="2694"/>
      <c r="K2561" s="2695"/>
      <c r="L2561" s="361"/>
      <c r="M2561" s="2679" t="s">
        <v>5</v>
      </c>
      <c r="N2561" s="2679"/>
      <c r="O2561" s="2679"/>
      <c r="P2561" s="2679"/>
      <c r="Q2561" s="2696"/>
      <c r="R2561" s="2696"/>
      <c r="S2561" s="2696"/>
      <c r="T2561" s="2696"/>
      <c r="U2561" s="2696"/>
      <c r="V2561" s="2697"/>
      <c r="W2561" s="362" t="s">
        <v>6</v>
      </c>
      <c r="X2561" s="363" t="s">
        <v>7</v>
      </c>
      <c r="Y2561" s="364"/>
      <c r="Z2561" s="364"/>
      <c r="AA2561" s="363"/>
      <c r="AB2561" s="365"/>
    </row>
    <row r="2562" spans="1:29" s="352" customFormat="1" ht="18" customHeight="1" x14ac:dyDescent="0.2">
      <c r="A2562" s="2687"/>
      <c r="B2562" s="367"/>
      <c r="C2562" s="2687"/>
      <c r="D2562" s="2158" t="s">
        <v>9</v>
      </c>
      <c r="E2562" s="368" t="s">
        <v>10</v>
      </c>
      <c r="F2562" s="2698" t="s">
        <v>11</v>
      </c>
      <c r="G2562" s="2694"/>
      <c r="H2562" s="2695"/>
      <c r="I2562" s="360"/>
      <c r="J2562" s="369" t="s">
        <v>12</v>
      </c>
      <c r="K2562" s="360"/>
      <c r="L2562" s="2679" t="s">
        <v>2</v>
      </c>
      <c r="M2562" s="2162"/>
      <c r="N2562" s="2162"/>
      <c r="O2562" s="2162"/>
      <c r="P2562" s="371"/>
      <c r="Q2562" s="372" t="s">
        <v>13</v>
      </c>
      <c r="R2562" s="373" t="s">
        <v>12</v>
      </c>
      <c r="S2562" s="2162" t="s">
        <v>6</v>
      </c>
      <c r="T2562" s="2682" t="s">
        <v>14</v>
      </c>
      <c r="U2562" s="2683"/>
      <c r="V2562" s="375" t="s">
        <v>7</v>
      </c>
      <c r="W2562" s="376" t="s">
        <v>15</v>
      </c>
      <c r="X2562" s="377" t="s">
        <v>16</v>
      </c>
      <c r="Y2562" s="377" t="s">
        <v>17</v>
      </c>
      <c r="Z2562" s="377" t="s">
        <v>18</v>
      </c>
      <c r="AA2562" s="377"/>
      <c r="AB2562" s="378" t="s">
        <v>19</v>
      </c>
    </row>
    <row r="2563" spans="1:29" s="352" customFormat="1" ht="18" customHeight="1" x14ac:dyDescent="0.2">
      <c r="A2563" s="2687"/>
      <c r="B2563" s="2158" t="s">
        <v>23</v>
      </c>
      <c r="C2563" s="2687"/>
      <c r="D2563" s="2158" t="s">
        <v>24</v>
      </c>
      <c r="E2563" s="368" t="s">
        <v>25</v>
      </c>
      <c r="F2563" s="2699"/>
      <c r="G2563" s="2700"/>
      <c r="H2563" s="2701"/>
      <c r="I2563" s="2158" t="s">
        <v>26</v>
      </c>
      <c r="J2563" s="379" t="s">
        <v>15</v>
      </c>
      <c r="K2563" s="2159" t="s">
        <v>6</v>
      </c>
      <c r="L2563" s="2680"/>
      <c r="M2563" s="2163" t="s">
        <v>27</v>
      </c>
      <c r="N2563" s="2163" t="s">
        <v>10</v>
      </c>
      <c r="O2563" s="382" t="s">
        <v>10</v>
      </c>
      <c r="P2563" s="383" t="s">
        <v>28</v>
      </c>
      <c r="Q2563" s="384" t="s">
        <v>29</v>
      </c>
      <c r="R2563" s="383" t="s">
        <v>15</v>
      </c>
      <c r="S2563" s="385" t="s">
        <v>15</v>
      </c>
      <c r="T2563" s="2684"/>
      <c r="U2563" s="2685"/>
      <c r="V2563" s="375" t="s">
        <v>30</v>
      </c>
      <c r="W2563" s="376" t="s">
        <v>31</v>
      </c>
      <c r="X2563" s="377" t="s">
        <v>30</v>
      </c>
      <c r="Y2563" s="377" t="s">
        <v>32</v>
      </c>
      <c r="Z2563" s="377" t="s">
        <v>7</v>
      </c>
      <c r="AA2563" s="377" t="s">
        <v>33</v>
      </c>
      <c r="AB2563" s="378" t="s">
        <v>34</v>
      </c>
    </row>
    <row r="2564" spans="1:29" s="352" customFormat="1" ht="18" customHeight="1" x14ac:dyDescent="0.2">
      <c r="A2564" s="2687"/>
      <c r="B2564" s="2158" t="s">
        <v>39</v>
      </c>
      <c r="C2564" s="2687"/>
      <c r="D2564" s="2158" t="s">
        <v>40</v>
      </c>
      <c r="E2564" s="368" t="s">
        <v>41</v>
      </c>
      <c r="F2564" s="2686" t="s">
        <v>42</v>
      </c>
      <c r="G2564" s="2686" t="s">
        <v>43</v>
      </c>
      <c r="H2564" s="2688" t="s">
        <v>44</v>
      </c>
      <c r="I2564" s="2158" t="s">
        <v>45</v>
      </c>
      <c r="J2564" s="379" t="s">
        <v>46</v>
      </c>
      <c r="K2564" s="2159" t="s">
        <v>47</v>
      </c>
      <c r="L2564" s="2680"/>
      <c r="M2564" s="2163" t="s">
        <v>30</v>
      </c>
      <c r="N2564" s="2163" t="s">
        <v>30</v>
      </c>
      <c r="O2564" s="382" t="s">
        <v>25</v>
      </c>
      <c r="P2564" s="383" t="s">
        <v>30</v>
      </c>
      <c r="Q2564" s="384" t="s">
        <v>48</v>
      </c>
      <c r="R2564" s="383" t="s">
        <v>49</v>
      </c>
      <c r="S2564" s="385" t="s">
        <v>30</v>
      </c>
      <c r="T2564" s="386" t="s">
        <v>50</v>
      </c>
      <c r="U2564" s="2161" t="s">
        <v>13</v>
      </c>
      <c r="V2564" s="375" t="s">
        <v>51</v>
      </c>
      <c r="W2564" s="376" t="s">
        <v>52</v>
      </c>
      <c r="X2564" s="377" t="s">
        <v>53</v>
      </c>
      <c r="Y2564" s="377" t="s">
        <v>54</v>
      </c>
      <c r="Z2564" s="377" t="s">
        <v>55</v>
      </c>
      <c r="AA2564" s="377" t="s">
        <v>56</v>
      </c>
      <c r="AB2564" s="378" t="s">
        <v>57</v>
      </c>
    </row>
    <row r="2565" spans="1:29" s="352" customFormat="1" ht="18" customHeight="1" x14ac:dyDescent="0.2">
      <c r="A2565" s="2687"/>
      <c r="B2565" s="2158" t="s">
        <v>61</v>
      </c>
      <c r="C2565" s="2687"/>
      <c r="D2565" s="2158" t="s">
        <v>62</v>
      </c>
      <c r="E2565" s="368" t="s">
        <v>63</v>
      </c>
      <c r="F2565" s="2687"/>
      <c r="G2565" s="2687"/>
      <c r="H2565" s="2689"/>
      <c r="I2565" s="2158" t="s">
        <v>64</v>
      </c>
      <c r="J2565" s="379" t="s">
        <v>59</v>
      </c>
      <c r="K2565" s="2159" t="s">
        <v>59</v>
      </c>
      <c r="L2565" s="2680"/>
      <c r="M2565" s="2163"/>
      <c r="N2565" s="2163"/>
      <c r="O2565" s="382" t="s">
        <v>41</v>
      </c>
      <c r="P2565" s="383" t="s">
        <v>65</v>
      </c>
      <c r="Q2565" s="384" t="s">
        <v>66</v>
      </c>
      <c r="R2565" s="383" t="s">
        <v>67</v>
      </c>
      <c r="S2565" s="385" t="s">
        <v>59</v>
      </c>
      <c r="T2565" s="387" t="s">
        <v>68</v>
      </c>
      <c r="U2565" s="375" t="s">
        <v>14</v>
      </c>
      <c r="V2565" s="375" t="s">
        <v>14</v>
      </c>
      <c r="W2565" s="376" t="s">
        <v>30</v>
      </c>
      <c r="X2565" s="388" t="s">
        <v>69</v>
      </c>
      <c r="Y2565" s="388" t="s">
        <v>70</v>
      </c>
      <c r="Z2565" s="377" t="s">
        <v>71</v>
      </c>
      <c r="AA2565" s="377" t="s">
        <v>72</v>
      </c>
      <c r="AB2565" s="378" t="s">
        <v>59</v>
      </c>
    </row>
    <row r="2566" spans="1:29" s="352" customFormat="1" ht="18" customHeight="1" x14ac:dyDescent="0.2">
      <c r="A2566" s="2692"/>
      <c r="B2566" s="390"/>
      <c r="C2566" s="2692"/>
      <c r="D2566" s="390"/>
      <c r="E2566" s="2160"/>
      <c r="F2566" s="390"/>
      <c r="G2566" s="390"/>
      <c r="H2566" s="391"/>
      <c r="I2566" s="2160"/>
      <c r="J2566" s="392"/>
      <c r="K2566" s="393"/>
      <c r="L2566" s="2681"/>
      <c r="M2566" s="2164"/>
      <c r="N2566" s="2164"/>
      <c r="O2566" s="2164" t="s">
        <v>63</v>
      </c>
      <c r="P2566" s="395"/>
      <c r="Q2566" s="396" t="s">
        <v>72</v>
      </c>
      <c r="R2566" s="397" t="s">
        <v>59</v>
      </c>
      <c r="S2566" s="398"/>
      <c r="T2566" s="397" t="s">
        <v>73</v>
      </c>
      <c r="U2566" s="398" t="s">
        <v>59</v>
      </c>
      <c r="V2566" s="399" t="s">
        <v>59</v>
      </c>
      <c r="W2566" s="400" t="s">
        <v>59</v>
      </c>
      <c r="X2566" s="401" t="s">
        <v>59</v>
      </c>
      <c r="Y2566" s="401" t="s">
        <v>59</v>
      </c>
      <c r="Z2566" s="401" t="s">
        <v>59</v>
      </c>
      <c r="AA2566" s="402"/>
      <c r="AB2566" s="403"/>
    </row>
    <row r="2567" spans="1:29" s="352" customFormat="1" ht="18" customHeight="1" x14ac:dyDescent="0.25">
      <c r="A2567" s="82">
        <v>1</v>
      </c>
      <c r="B2567" s="53">
        <v>23217</v>
      </c>
      <c r="C2567" s="82">
        <v>681</v>
      </c>
      <c r="D2567" s="41" t="s">
        <v>84</v>
      </c>
      <c r="E2567" s="41">
        <v>4</v>
      </c>
      <c r="F2567" s="41">
        <v>0</v>
      </c>
      <c r="G2567" s="41">
        <v>1</v>
      </c>
      <c r="H2567" s="267">
        <v>18</v>
      </c>
      <c r="I2567" s="302">
        <f>F2567*400+G2567*100+H2567</f>
        <v>118</v>
      </c>
      <c r="J2567" s="310">
        <v>3000</v>
      </c>
      <c r="K2567" s="310">
        <f>SUM(I2567*J2567)</f>
        <v>354000</v>
      </c>
      <c r="L2567" s="480"/>
      <c r="M2567" s="481"/>
      <c r="N2567" s="480"/>
      <c r="O2567" s="480"/>
      <c r="P2567" s="482"/>
      <c r="Q2567" s="483"/>
      <c r="R2567" s="484"/>
      <c r="S2567" s="485"/>
      <c r="T2567" s="483"/>
      <c r="U2567" s="485"/>
      <c r="V2567" s="486"/>
      <c r="W2567" s="302">
        <f>K2567</f>
        <v>354000</v>
      </c>
      <c r="X2567" s="310">
        <f>W2567</f>
        <v>354000</v>
      </c>
      <c r="Y2567" s="310"/>
      <c r="Z2567" s="302">
        <f>+X2567</f>
        <v>354000</v>
      </c>
      <c r="AA2567" s="405">
        <v>0.3</v>
      </c>
      <c r="AB2567" s="406">
        <f>+Z2567*AA2567/100</f>
        <v>1062</v>
      </c>
      <c r="AC2567" s="352" t="s">
        <v>701</v>
      </c>
    </row>
    <row r="2568" spans="1:29" s="352" customFormat="1" ht="18" customHeight="1" x14ac:dyDescent="0.2">
      <c r="A2568" s="88"/>
      <c r="B2568" s="75"/>
      <c r="C2568" s="88"/>
      <c r="D2568" s="88"/>
      <c r="E2568" s="88"/>
      <c r="F2568" s="88"/>
      <c r="G2568" s="88"/>
      <c r="H2568" s="495"/>
      <c r="I2568" s="74"/>
      <c r="J2568" s="121"/>
      <c r="K2568" s="121"/>
      <c r="L2568" s="815"/>
      <c r="M2568" s="815"/>
      <c r="N2568" s="815"/>
      <c r="O2568" s="815"/>
      <c r="P2568" s="816"/>
      <c r="Q2568" s="816"/>
      <c r="R2568" s="817"/>
      <c r="S2568" s="817"/>
      <c r="T2568" s="816"/>
      <c r="U2568" s="817"/>
      <c r="V2568" s="818"/>
      <c r="W2568" s="74"/>
      <c r="X2568" s="121"/>
      <c r="Y2568" s="121"/>
      <c r="Z2568" s="74"/>
      <c r="AA2568" s="414"/>
      <c r="AB2568" s="415"/>
    </row>
    <row r="2569" spans="1:29" s="352" customFormat="1" ht="18" customHeight="1" x14ac:dyDescent="0.2">
      <c r="A2569" s="88"/>
      <c r="B2569" s="75"/>
      <c r="C2569" s="88"/>
      <c r="D2569" s="88"/>
      <c r="E2569" s="88"/>
      <c r="F2569" s="88"/>
      <c r="G2569" s="88"/>
      <c r="H2569" s="495"/>
      <c r="I2569" s="74"/>
      <c r="J2569" s="121"/>
      <c r="K2569" s="121"/>
      <c r="L2569" s="815"/>
      <c r="M2569" s="815"/>
      <c r="N2569" s="815"/>
      <c r="O2569" s="815"/>
      <c r="P2569" s="816"/>
      <c r="Q2569" s="816"/>
      <c r="R2569" s="817"/>
      <c r="S2569" s="817"/>
      <c r="T2569" s="816"/>
      <c r="U2569" s="817"/>
      <c r="V2569" s="818"/>
      <c r="W2569" s="74"/>
      <c r="X2569" s="121"/>
      <c r="Y2569" s="121"/>
      <c r="Z2569" s="74"/>
      <c r="AA2569" s="414"/>
      <c r="AB2569" s="410"/>
    </row>
    <row r="2570" spans="1:29" s="352" customFormat="1" ht="18" customHeight="1" x14ac:dyDescent="0.2">
      <c r="A2570" s="88"/>
      <c r="B2570" s="75"/>
      <c r="C2570" s="88"/>
      <c r="D2570" s="88"/>
      <c r="E2570" s="88"/>
      <c r="F2570" s="88"/>
      <c r="G2570" s="88"/>
      <c r="H2570" s="495"/>
      <c r="I2570" s="74"/>
      <c r="J2570" s="121"/>
      <c r="K2570" s="121"/>
      <c r="L2570" s="815"/>
      <c r="M2570" s="815"/>
      <c r="N2570" s="815"/>
      <c r="O2570" s="815"/>
      <c r="P2570" s="816"/>
      <c r="Q2570" s="816"/>
      <c r="R2570" s="817"/>
      <c r="S2570" s="817"/>
      <c r="T2570" s="816"/>
      <c r="U2570" s="817"/>
      <c r="V2570" s="818"/>
      <c r="W2570" s="74"/>
      <c r="X2570" s="121"/>
      <c r="Y2570" s="121"/>
      <c r="Z2570" s="74"/>
      <c r="AA2570" s="414"/>
      <c r="AB2570" s="416"/>
    </row>
    <row r="2571" spans="1:29" s="352" customFormat="1" ht="18" customHeight="1" x14ac:dyDescent="0.2">
      <c r="A2571" s="2166"/>
      <c r="B2571" s="61"/>
      <c r="C2571" s="2166"/>
      <c r="D2571" s="2166"/>
      <c r="E2571" s="2166"/>
      <c r="F2571" s="2166"/>
      <c r="G2571" s="2166"/>
      <c r="H2571" s="407"/>
      <c r="I2571" s="77"/>
      <c r="J2571" s="2168"/>
      <c r="K2571" s="78"/>
      <c r="L2571" s="61"/>
      <c r="M2571" s="2166"/>
      <c r="N2571" s="2166"/>
      <c r="O2571" s="61"/>
      <c r="P2571" s="177"/>
      <c r="Q2571" s="196"/>
      <c r="R2571" s="408"/>
      <c r="S2571" s="77"/>
      <c r="T2571" s="2166"/>
      <c r="U2571" s="77"/>
      <c r="V2571" s="77"/>
      <c r="W2571" s="77"/>
      <c r="X2571" s="77"/>
      <c r="Y2571" s="2168"/>
      <c r="Z2571" s="77"/>
      <c r="AA2571" s="2170"/>
      <c r="AB2571" s="410"/>
    </row>
    <row r="2572" spans="1:29" s="352" customFormat="1" ht="18" customHeight="1" x14ac:dyDescent="0.2">
      <c r="A2572" s="2166"/>
      <c r="B2572" s="61"/>
      <c r="C2572" s="2166"/>
      <c r="D2572" s="2166"/>
      <c r="E2572" s="2166"/>
      <c r="F2572" s="2166"/>
      <c r="G2572" s="2166"/>
      <c r="H2572" s="407"/>
      <c r="I2572" s="77"/>
      <c r="J2572" s="2168"/>
      <c r="K2572" s="78"/>
      <c r="L2572" s="61"/>
      <c r="M2572" s="2166"/>
      <c r="N2572" s="2166"/>
      <c r="O2572" s="61"/>
      <c r="P2572" s="177"/>
      <c r="Q2572" s="196"/>
      <c r="R2572" s="408"/>
      <c r="S2572" s="77"/>
      <c r="T2572" s="2166"/>
      <c r="U2572" s="77"/>
      <c r="V2572" s="77"/>
      <c r="W2572" s="77"/>
      <c r="X2572" s="77"/>
      <c r="Y2572" s="2168"/>
      <c r="Z2572" s="77"/>
      <c r="AA2572" s="2170"/>
      <c r="AB2572" s="410"/>
    </row>
    <row r="2573" spans="1:29" s="352" customFormat="1" ht="18" customHeight="1" x14ac:dyDescent="0.2">
      <c r="A2573" s="2166"/>
      <c r="B2573" s="61"/>
      <c r="C2573" s="2166"/>
      <c r="D2573" s="2166"/>
      <c r="E2573" s="2166"/>
      <c r="F2573" s="2166"/>
      <c r="G2573" s="2166"/>
      <c r="H2573" s="407"/>
      <c r="I2573" s="77"/>
      <c r="J2573" s="2168"/>
      <c r="K2573" s="78"/>
      <c r="L2573" s="61"/>
      <c r="M2573" s="2166"/>
      <c r="N2573" s="2166"/>
      <c r="O2573" s="61"/>
      <c r="P2573" s="177"/>
      <c r="Q2573" s="196"/>
      <c r="R2573" s="408"/>
      <c r="S2573" s="77"/>
      <c r="T2573" s="2166"/>
      <c r="U2573" s="77"/>
      <c r="V2573" s="77"/>
      <c r="W2573" s="77"/>
      <c r="X2573" s="77"/>
      <c r="Y2573" s="2168"/>
      <c r="Z2573" s="77"/>
      <c r="AA2573" s="2170"/>
      <c r="AB2573" s="410"/>
    </row>
    <row r="2574" spans="1:29" s="352" customFormat="1" ht="18" customHeight="1" x14ac:dyDescent="0.2">
      <c r="A2574" s="88"/>
      <c r="B2574" s="75"/>
      <c r="C2574" s="88"/>
      <c r="D2574" s="88"/>
      <c r="E2574" s="2166"/>
      <c r="F2574" s="411"/>
      <c r="G2574" s="242"/>
      <c r="H2574" s="412"/>
      <c r="I2574" s="159"/>
      <c r="J2574" s="121"/>
      <c r="K2574" s="159"/>
      <c r="L2574" s="75"/>
      <c r="M2574" s="88"/>
      <c r="N2574" s="88"/>
      <c r="O2574" s="75"/>
      <c r="P2574" s="180"/>
      <c r="Q2574" s="174"/>
      <c r="R2574" s="413"/>
      <c r="S2574" s="74"/>
      <c r="T2574" s="88"/>
      <c r="U2574" s="74"/>
      <c r="V2574" s="74"/>
      <c r="W2574" s="74"/>
      <c r="X2574" s="74"/>
      <c r="Y2574" s="121"/>
      <c r="Z2574" s="74"/>
      <c r="AA2574" s="414"/>
      <c r="AB2574" s="415"/>
    </row>
    <row r="2575" spans="1:29" s="352" customFormat="1" ht="18" customHeight="1" x14ac:dyDescent="0.2">
      <c r="A2575" s="88"/>
      <c r="B2575" s="75"/>
      <c r="C2575" s="88"/>
      <c r="D2575" s="88"/>
      <c r="E2575" s="2166"/>
      <c r="F2575" s="411"/>
      <c r="G2575" s="242"/>
      <c r="H2575" s="412"/>
      <c r="I2575" s="159"/>
      <c r="J2575" s="121"/>
      <c r="K2575" s="159"/>
      <c r="L2575" s="75"/>
      <c r="M2575" s="88"/>
      <c r="N2575" s="88"/>
      <c r="O2575" s="75"/>
      <c r="P2575" s="180"/>
      <c r="Q2575" s="174"/>
      <c r="R2575" s="413"/>
      <c r="S2575" s="74"/>
      <c r="T2575" s="88"/>
      <c r="U2575" s="74"/>
      <c r="V2575" s="74"/>
      <c r="W2575" s="74"/>
      <c r="X2575" s="74"/>
      <c r="Y2575" s="121"/>
      <c r="Z2575" s="74"/>
      <c r="AA2575" s="414"/>
      <c r="AB2575" s="416"/>
    </row>
    <row r="2576" spans="1:29" s="352" customFormat="1" ht="18" customHeight="1" x14ac:dyDescent="0.2">
      <c r="A2576" s="88"/>
      <c r="B2576" s="75"/>
      <c r="C2576" s="88"/>
      <c r="D2576" s="231"/>
      <c r="E2576" s="2166"/>
      <c r="F2576" s="411"/>
      <c r="G2576" s="242"/>
      <c r="H2576" s="412"/>
      <c r="I2576" s="159"/>
      <c r="J2576" s="121"/>
      <c r="K2576" s="159"/>
      <c r="L2576" s="75"/>
      <c r="M2576" s="88"/>
      <c r="N2576" s="88"/>
      <c r="O2576" s="75"/>
      <c r="P2576" s="180"/>
      <c r="Q2576" s="174"/>
      <c r="R2576" s="413"/>
      <c r="S2576" s="74"/>
      <c r="T2576" s="88"/>
      <c r="U2576" s="74"/>
      <c r="V2576" s="74"/>
      <c r="W2576" s="74"/>
      <c r="X2576" s="74"/>
      <c r="Y2576" s="121"/>
      <c r="Z2576" s="74"/>
      <c r="AA2576" s="606"/>
      <c r="AB2576" s="410"/>
    </row>
    <row r="2577" spans="1:28" s="352" customFormat="1" ht="18" customHeight="1" x14ac:dyDescent="0.2">
      <c r="A2577" s="88"/>
      <c r="B2577" s="75"/>
      <c r="C2577" s="88"/>
      <c r="D2577" s="2165"/>
      <c r="E2577" s="2166"/>
      <c r="F2577" s="411"/>
      <c r="G2577" s="242"/>
      <c r="H2577" s="412"/>
      <c r="I2577" s="159"/>
      <c r="J2577" s="121"/>
      <c r="K2577" s="159"/>
      <c r="L2577" s="75"/>
      <c r="M2577" s="88"/>
      <c r="N2577" s="88"/>
      <c r="O2577" s="75"/>
      <c r="P2577" s="180"/>
      <c r="Q2577" s="174"/>
      <c r="R2577" s="413"/>
      <c r="S2577" s="74"/>
      <c r="T2577" s="88"/>
      <c r="U2577" s="74"/>
      <c r="V2577" s="74"/>
      <c r="W2577" s="74"/>
      <c r="X2577" s="74"/>
      <c r="Y2577" s="121"/>
      <c r="Z2577" s="74"/>
      <c r="AA2577" s="414"/>
      <c r="AB2577" s="410"/>
    </row>
    <row r="2578" spans="1:28" s="352" customFormat="1" ht="18" customHeight="1" x14ac:dyDescent="0.2">
      <c r="A2578" s="88"/>
      <c r="B2578" s="75"/>
      <c r="C2578" s="88"/>
      <c r="D2578" s="2165"/>
      <c r="E2578" s="2166"/>
      <c r="F2578" s="411"/>
      <c r="G2578" s="242"/>
      <c r="H2578" s="412"/>
      <c r="I2578" s="159"/>
      <c r="J2578" s="121"/>
      <c r="K2578" s="159"/>
      <c r="L2578" s="75"/>
      <c r="M2578" s="88"/>
      <c r="N2578" s="88"/>
      <c r="O2578" s="75"/>
      <c r="P2578" s="180"/>
      <c r="Q2578" s="174"/>
      <c r="R2578" s="413"/>
      <c r="S2578" s="74"/>
      <c r="T2578" s="88"/>
      <c r="U2578" s="74"/>
      <c r="V2578" s="74"/>
      <c r="W2578" s="74"/>
      <c r="X2578" s="74"/>
      <c r="Y2578" s="121"/>
      <c r="Z2578" s="74"/>
      <c r="AA2578" s="417"/>
      <c r="AB2578" s="410"/>
    </row>
    <row r="2579" spans="1:28" s="352" customFormat="1" ht="18" customHeight="1" x14ac:dyDescent="0.2">
      <c r="A2579" s="88"/>
      <c r="B2579" s="75"/>
      <c r="C2579" s="88"/>
      <c r="D2579" s="2165"/>
      <c r="E2579" s="2166"/>
      <c r="F2579" s="411"/>
      <c r="G2579" s="242"/>
      <c r="H2579" s="412"/>
      <c r="I2579" s="159"/>
      <c r="J2579" s="121"/>
      <c r="K2579" s="159"/>
      <c r="L2579" s="75"/>
      <c r="M2579" s="88"/>
      <c r="N2579" s="88"/>
      <c r="O2579" s="75"/>
      <c r="P2579" s="180"/>
      <c r="Q2579" s="174"/>
      <c r="R2579" s="413"/>
      <c r="S2579" s="74"/>
      <c r="T2579" s="88"/>
      <c r="U2579" s="74"/>
      <c r="V2579" s="74"/>
      <c r="W2579" s="74"/>
      <c r="X2579" s="74"/>
      <c r="Y2579" s="121"/>
      <c r="Z2579" s="74"/>
      <c r="AA2579" s="414"/>
      <c r="AB2579" s="416"/>
    </row>
    <row r="2580" spans="1:28" s="352" customFormat="1" ht="18" customHeight="1" x14ac:dyDescent="0.2">
      <c r="A2580" s="88"/>
      <c r="B2580" s="418"/>
      <c r="C2580" s="88"/>
      <c r="D2580" s="88"/>
      <c r="E2580" s="88"/>
      <c r="F2580" s="411"/>
      <c r="G2580" s="242"/>
      <c r="H2580" s="412"/>
      <c r="I2580" s="159"/>
      <c r="J2580" s="121"/>
      <c r="K2580" s="159"/>
      <c r="L2580" s="75"/>
      <c r="M2580" s="88"/>
      <c r="N2580" s="88"/>
      <c r="O2580" s="75"/>
      <c r="P2580" s="180"/>
      <c r="Q2580" s="174"/>
      <c r="R2580" s="413"/>
      <c r="S2580" s="74"/>
      <c r="T2580" s="88"/>
      <c r="U2580" s="74"/>
      <c r="V2580" s="74"/>
      <c r="W2580" s="74"/>
      <c r="X2580" s="74"/>
      <c r="Y2580" s="121"/>
      <c r="Z2580" s="74"/>
      <c r="AA2580" s="414"/>
      <c r="AB2580" s="410"/>
    </row>
    <row r="2581" spans="1:28" s="352" customFormat="1" ht="18" customHeight="1" x14ac:dyDescent="0.2">
      <c r="A2581" s="1147"/>
      <c r="B2581" s="1989"/>
      <c r="C2581" s="1147"/>
      <c r="D2581" s="1147"/>
      <c r="E2581" s="1147"/>
      <c r="F2581" s="1147"/>
      <c r="G2581" s="1147"/>
      <c r="H2581" s="1990"/>
      <c r="I2581" s="1991"/>
      <c r="J2581" s="1868"/>
      <c r="K2581" s="1992"/>
      <c r="L2581" s="1989"/>
      <c r="M2581" s="1147"/>
      <c r="N2581" s="1147"/>
      <c r="O2581" s="1989"/>
      <c r="P2581" s="1867"/>
      <c r="Q2581" s="1993"/>
      <c r="R2581" s="1994"/>
      <c r="S2581" s="1991"/>
      <c r="T2581" s="1147"/>
      <c r="U2581" s="1991"/>
      <c r="V2581" s="1991"/>
      <c r="W2581" s="1991"/>
      <c r="X2581" s="1991"/>
      <c r="Y2581" s="1868"/>
      <c r="Z2581" s="1991"/>
      <c r="AA2581" s="1995"/>
      <c r="AB2581" s="1849">
        <f>SUM(AB2567:AB2580)</f>
        <v>1062</v>
      </c>
    </row>
    <row r="2582" spans="1:28" s="352" customFormat="1" ht="18" customHeight="1" x14ac:dyDescent="0.2">
      <c r="A2582" s="2788" t="s">
        <v>76</v>
      </c>
      <c r="B2582" s="2788"/>
      <c r="C2582" s="2779" t="s">
        <v>77</v>
      </c>
      <c r="D2582" s="2779"/>
      <c r="E2582" s="2779"/>
      <c r="F2582" s="2779"/>
      <c r="G2582" s="2779"/>
      <c r="H2582" s="2779"/>
      <c r="I2582" s="424" t="s">
        <v>78</v>
      </c>
      <c r="J2582" s="424"/>
      <c r="K2582" s="424"/>
      <c r="L2582" s="424"/>
      <c r="M2582" s="424"/>
      <c r="N2582" s="424"/>
      <c r="AB2582" s="425"/>
    </row>
    <row r="2583" spans="1:28" s="352" customFormat="1" ht="18" customHeight="1" x14ac:dyDescent="0.2">
      <c r="A2583" s="424"/>
      <c r="B2583" s="426"/>
      <c r="C2583" s="424"/>
      <c r="D2583" s="424"/>
      <c r="E2583" s="424"/>
      <c r="F2583" s="424"/>
      <c r="G2583" s="424"/>
      <c r="H2583" s="424"/>
      <c r="I2583" s="424" t="s">
        <v>79</v>
      </c>
      <c r="J2583" s="424"/>
      <c r="K2583" s="424"/>
      <c r="L2583" s="424"/>
      <c r="M2583" s="424"/>
      <c r="N2583" s="424"/>
      <c r="AB2583" s="425"/>
    </row>
    <row r="2584" spans="1:28" s="352" customFormat="1" ht="18" customHeight="1" x14ac:dyDescent="0.2">
      <c r="A2584" s="424"/>
      <c r="B2584" s="426"/>
      <c r="C2584" s="424"/>
      <c r="D2584" s="424"/>
      <c r="E2584" s="424"/>
      <c r="F2584" s="424"/>
      <c r="G2584" s="424"/>
      <c r="H2584" s="424"/>
      <c r="I2584" s="424" t="s">
        <v>80</v>
      </c>
      <c r="J2584" s="424"/>
      <c r="K2584" s="424"/>
      <c r="L2584" s="424"/>
      <c r="M2584" s="424"/>
      <c r="N2584" s="424"/>
      <c r="AB2584" s="425"/>
    </row>
    <row r="2585" spans="1:28" s="352" customFormat="1" ht="18" customHeight="1" x14ac:dyDescent="0.2">
      <c r="A2585" s="424"/>
      <c r="B2585" s="426"/>
      <c r="C2585" s="424"/>
      <c r="D2585" s="424"/>
      <c r="E2585" s="424"/>
      <c r="F2585" s="424"/>
      <c r="G2585" s="424"/>
      <c r="H2585" s="424"/>
      <c r="I2585" s="424" t="s">
        <v>81</v>
      </c>
      <c r="J2585" s="424"/>
      <c r="K2585" s="424"/>
      <c r="L2585" s="424"/>
      <c r="M2585" s="424"/>
      <c r="N2585" s="424"/>
      <c r="AB2585" s="425"/>
    </row>
    <row r="2586" spans="1:28" s="352" customFormat="1" ht="18" customHeight="1" x14ac:dyDescent="0.2">
      <c r="A2586" s="424"/>
      <c r="B2586" s="426"/>
      <c r="C2586" s="424"/>
      <c r="D2586" s="424"/>
      <c r="E2586" s="424"/>
      <c r="F2586" s="424"/>
      <c r="G2586" s="424"/>
      <c r="H2586" s="424"/>
      <c r="I2586" s="424" t="s">
        <v>88</v>
      </c>
      <c r="J2586" s="424"/>
      <c r="K2586" s="424"/>
      <c r="L2586" s="424"/>
      <c r="M2586" s="424"/>
      <c r="N2586" s="424"/>
      <c r="AB2586" s="425"/>
    </row>
    <row r="2587" spans="1:28" s="352" customFormat="1" ht="18" customHeight="1" x14ac:dyDescent="0.2">
      <c r="A2587" s="338"/>
      <c r="B2587" s="338"/>
      <c r="C2587" s="338"/>
      <c r="D2587" s="338"/>
      <c r="E2587" s="338"/>
      <c r="F2587" s="338"/>
      <c r="G2587" s="338"/>
      <c r="H2587" s="338"/>
      <c r="I2587" s="338"/>
      <c r="J2587" s="338"/>
      <c r="K2587" s="338"/>
      <c r="L2587" s="338"/>
      <c r="M2587" s="338"/>
      <c r="N2587" s="338"/>
      <c r="O2587" s="338"/>
      <c r="P2587" s="338"/>
      <c r="Q2587" s="338"/>
      <c r="R2587" s="338"/>
      <c r="S2587" s="338"/>
      <c r="T2587" s="338"/>
      <c r="U2587" s="338"/>
      <c r="V2587" s="338"/>
      <c r="W2587" s="338"/>
      <c r="X2587" s="338"/>
      <c r="Y2587" s="338"/>
      <c r="Z2587" s="338"/>
      <c r="AA2587" s="2774" t="s">
        <v>0</v>
      </c>
      <c r="AB2587" s="2774"/>
    </row>
    <row r="2588" spans="1:28" s="352" customFormat="1" ht="18" customHeight="1" x14ac:dyDescent="0.2">
      <c r="A2588" s="2703" t="s">
        <v>1</v>
      </c>
      <c r="B2588" s="2703"/>
      <c r="C2588" s="2703"/>
      <c r="D2588" s="2703"/>
      <c r="E2588" s="2703"/>
      <c r="F2588" s="2703"/>
      <c r="G2588" s="2703"/>
      <c r="H2588" s="2703"/>
      <c r="I2588" s="2703"/>
      <c r="J2588" s="2703"/>
      <c r="K2588" s="2703"/>
      <c r="L2588" s="2703"/>
      <c r="M2588" s="2703"/>
      <c r="N2588" s="2703"/>
      <c r="O2588" s="2703"/>
      <c r="P2588" s="2703"/>
      <c r="Q2588" s="2703"/>
      <c r="R2588" s="2703"/>
      <c r="S2588" s="2703"/>
      <c r="T2588" s="2703"/>
      <c r="U2588" s="2703"/>
      <c r="V2588" s="2703"/>
      <c r="W2588" s="2703"/>
      <c r="X2588" s="2703"/>
      <c r="Y2588" s="2703"/>
      <c r="Z2588" s="2703"/>
      <c r="AA2588" s="2703"/>
      <c r="AB2588" s="2703"/>
    </row>
    <row r="2589" spans="1:28" s="352" customFormat="1" ht="18" customHeight="1" x14ac:dyDescent="0.2">
      <c r="A2589" s="2780" t="s">
        <v>678</v>
      </c>
      <c r="B2589" s="2780"/>
      <c r="C2589" s="2780"/>
      <c r="D2589" s="2780"/>
      <c r="E2589" s="2780"/>
      <c r="F2589" s="2780"/>
      <c r="G2589" s="2780"/>
      <c r="H2589" s="2780"/>
      <c r="I2589" s="2780"/>
      <c r="J2589" s="2780"/>
      <c r="K2589" s="2780"/>
      <c r="L2589" s="2780"/>
      <c r="M2589" s="2780"/>
      <c r="N2589" s="2780"/>
      <c r="O2589" s="2780"/>
      <c r="P2589" s="2780"/>
      <c r="Q2589" s="2780"/>
      <c r="R2589" s="2780"/>
      <c r="S2589" s="2780"/>
      <c r="T2589" s="2780"/>
      <c r="U2589" s="2780"/>
      <c r="V2589" s="2780"/>
      <c r="W2589" s="2780"/>
      <c r="X2589" s="2780"/>
      <c r="Y2589" s="2780"/>
      <c r="Z2589" s="2780"/>
      <c r="AA2589" s="2780"/>
      <c r="AB2589" s="2780"/>
    </row>
    <row r="2590" spans="1:28" s="352" customFormat="1" ht="18" customHeight="1" x14ac:dyDescent="0.2">
      <c r="A2590" s="2686" t="s">
        <v>2</v>
      </c>
      <c r="B2590" s="360"/>
      <c r="C2590" s="2686" t="s">
        <v>3</v>
      </c>
      <c r="D2590" s="360"/>
      <c r="E2590" s="360"/>
      <c r="F2590" s="2693" t="s">
        <v>4</v>
      </c>
      <c r="G2590" s="2693"/>
      <c r="H2590" s="2693"/>
      <c r="I2590" s="2694"/>
      <c r="J2590" s="2694"/>
      <c r="K2590" s="2695"/>
      <c r="L2590" s="361"/>
      <c r="M2590" s="2679" t="s">
        <v>5</v>
      </c>
      <c r="N2590" s="2679"/>
      <c r="O2590" s="2679"/>
      <c r="P2590" s="2679"/>
      <c r="Q2590" s="2696"/>
      <c r="R2590" s="2696"/>
      <c r="S2590" s="2696"/>
      <c r="T2590" s="2696"/>
      <c r="U2590" s="2696"/>
      <c r="V2590" s="2697"/>
      <c r="W2590" s="362" t="s">
        <v>6</v>
      </c>
      <c r="X2590" s="363" t="s">
        <v>7</v>
      </c>
      <c r="Y2590" s="364"/>
      <c r="Z2590" s="364"/>
      <c r="AA2590" s="363"/>
      <c r="AB2590" s="365"/>
    </row>
    <row r="2591" spans="1:28" s="352" customFormat="1" ht="18" customHeight="1" x14ac:dyDescent="0.2">
      <c r="A2591" s="2687"/>
      <c r="B2591" s="367"/>
      <c r="C2591" s="2687"/>
      <c r="D2591" s="2158" t="s">
        <v>9</v>
      </c>
      <c r="E2591" s="368" t="s">
        <v>10</v>
      </c>
      <c r="F2591" s="2698" t="s">
        <v>11</v>
      </c>
      <c r="G2591" s="2694"/>
      <c r="H2591" s="2695"/>
      <c r="I2591" s="360"/>
      <c r="J2591" s="369" t="s">
        <v>12</v>
      </c>
      <c r="K2591" s="360"/>
      <c r="L2591" s="2679" t="s">
        <v>2</v>
      </c>
      <c r="M2591" s="2162"/>
      <c r="N2591" s="2162"/>
      <c r="O2591" s="2162"/>
      <c r="P2591" s="371"/>
      <c r="Q2591" s="372" t="s">
        <v>13</v>
      </c>
      <c r="R2591" s="373" t="s">
        <v>12</v>
      </c>
      <c r="S2591" s="2162" t="s">
        <v>6</v>
      </c>
      <c r="T2591" s="2682" t="s">
        <v>14</v>
      </c>
      <c r="U2591" s="2683"/>
      <c r="V2591" s="375" t="s">
        <v>7</v>
      </c>
      <c r="W2591" s="376" t="s">
        <v>15</v>
      </c>
      <c r="X2591" s="377" t="s">
        <v>16</v>
      </c>
      <c r="Y2591" s="377" t="s">
        <v>17</v>
      </c>
      <c r="Z2591" s="377" t="s">
        <v>18</v>
      </c>
      <c r="AA2591" s="377"/>
      <c r="AB2591" s="378" t="s">
        <v>19</v>
      </c>
    </row>
    <row r="2592" spans="1:28" s="352" customFormat="1" ht="18" customHeight="1" x14ac:dyDescent="0.2">
      <c r="A2592" s="2687"/>
      <c r="B2592" s="2158" t="s">
        <v>23</v>
      </c>
      <c r="C2592" s="2687"/>
      <c r="D2592" s="2158" t="s">
        <v>24</v>
      </c>
      <c r="E2592" s="368" t="s">
        <v>25</v>
      </c>
      <c r="F2592" s="2699"/>
      <c r="G2592" s="2700"/>
      <c r="H2592" s="2701"/>
      <c r="I2592" s="2158" t="s">
        <v>26</v>
      </c>
      <c r="J2592" s="379" t="s">
        <v>15</v>
      </c>
      <c r="K2592" s="2159" t="s">
        <v>6</v>
      </c>
      <c r="L2592" s="2680"/>
      <c r="M2592" s="2163" t="s">
        <v>27</v>
      </c>
      <c r="N2592" s="2163" t="s">
        <v>10</v>
      </c>
      <c r="O2592" s="382" t="s">
        <v>10</v>
      </c>
      <c r="P2592" s="383" t="s">
        <v>28</v>
      </c>
      <c r="Q2592" s="384" t="s">
        <v>29</v>
      </c>
      <c r="R2592" s="383" t="s">
        <v>15</v>
      </c>
      <c r="S2592" s="385" t="s">
        <v>15</v>
      </c>
      <c r="T2592" s="2684"/>
      <c r="U2592" s="2685"/>
      <c r="V2592" s="375" t="s">
        <v>30</v>
      </c>
      <c r="W2592" s="376" t="s">
        <v>31</v>
      </c>
      <c r="X2592" s="377" t="s">
        <v>30</v>
      </c>
      <c r="Y2592" s="377" t="s">
        <v>32</v>
      </c>
      <c r="Z2592" s="377" t="s">
        <v>7</v>
      </c>
      <c r="AA2592" s="377" t="s">
        <v>33</v>
      </c>
      <c r="AB2592" s="378" t="s">
        <v>34</v>
      </c>
    </row>
    <row r="2593" spans="1:28" s="352" customFormat="1" ht="18" customHeight="1" x14ac:dyDescent="0.2">
      <c r="A2593" s="2687"/>
      <c r="B2593" s="2158" t="s">
        <v>39</v>
      </c>
      <c r="C2593" s="2687"/>
      <c r="D2593" s="2158" t="s">
        <v>40</v>
      </c>
      <c r="E2593" s="368" t="s">
        <v>41</v>
      </c>
      <c r="F2593" s="2686" t="s">
        <v>42</v>
      </c>
      <c r="G2593" s="2686" t="s">
        <v>43</v>
      </c>
      <c r="H2593" s="2688" t="s">
        <v>44</v>
      </c>
      <c r="I2593" s="2158" t="s">
        <v>45</v>
      </c>
      <c r="J2593" s="379" t="s">
        <v>46</v>
      </c>
      <c r="K2593" s="2159" t="s">
        <v>47</v>
      </c>
      <c r="L2593" s="2680"/>
      <c r="M2593" s="2163" t="s">
        <v>30</v>
      </c>
      <c r="N2593" s="2163" t="s">
        <v>30</v>
      </c>
      <c r="O2593" s="382" t="s">
        <v>25</v>
      </c>
      <c r="P2593" s="383" t="s">
        <v>30</v>
      </c>
      <c r="Q2593" s="384" t="s">
        <v>48</v>
      </c>
      <c r="R2593" s="383" t="s">
        <v>49</v>
      </c>
      <c r="S2593" s="385" t="s">
        <v>30</v>
      </c>
      <c r="T2593" s="386" t="s">
        <v>50</v>
      </c>
      <c r="U2593" s="2161" t="s">
        <v>13</v>
      </c>
      <c r="V2593" s="375" t="s">
        <v>51</v>
      </c>
      <c r="W2593" s="376" t="s">
        <v>52</v>
      </c>
      <c r="X2593" s="377" t="s">
        <v>53</v>
      </c>
      <c r="Y2593" s="377" t="s">
        <v>54</v>
      </c>
      <c r="Z2593" s="377" t="s">
        <v>55</v>
      </c>
      <c r="AA2593" s="377" t="s">
        <v>56</v>
      </c>
      <c r="AB2593" s="378" t="s">
        <v>57</v>
      </c>
    </row>
    <row r="2594" spans="1:28" s="352" customFormat="1" ht="18" customHeight="1" x14ac:dyDescent="0.2">
      <c r="A2594" s="2687"/>
      <c r="B2594" s="2158" t="s">
        <v>61</v>
      </c>
      <c r="C2594" s="2687"/>
      <c r="D2594" s="2158" t="s">
        <v>62</v>
      </c>
      <c r="E2594" s="368" t="s">
        <v>63</v>
      </c>
      <c r="F2594" s="2687"/>
      <c r="G2594" s="2687"/>
      <c r="H2594" s="2689"/>
      <c r="I2594" s="2158" t="s">
        <v>64</v>
      </c>
      <c r="J2594" s="379" t="s">
        <v>59</v>
      </c>
      <c r="K2594" s="2159" t="s">
        <v>59</v>
      </c>
      <c r="L2594" s="2680"/>
      <c r="M2594" s="2163"/>
      <c r="N2594" s="2163"/>
      <c r="O2594" s="382" t="s">
        <v>41</v>
      </c>
      <c r="P2594" s="383" t="s">
        <v>65</v>
      </c>
      <c r="Q2594" s="384" t="s">
        <v>66</v>
      </c>
      <c r="R2594" s="383" t="s">
        <v>67</v>
      </c>
      <c r="S2594" s="385" t="s">
        <v>59</v>
      </c>
      <c r="T2594" s="387" t="s">
        <v>68</v>
      </c>
      <c r="U2594" s="375" t="s">
        <v>14</v>
      </c>
      <c r="V2594" s="375" t="s">
        <v>14</v>
      </c>
      <c r="W2594" s="376" t="s">
        <v>30</v>
      </c>
      <c r="X2594" s="388" t="s">
        <v>69</v>
      </c>
      <c r="Y2594" s="388" t="s">
        <v>70</v>
      </c>
      <c r="Z2594" s="377" t="s">
        <v>71</v>
      </c>
      <c r="AA2594" s="377" t="s">
        <v>72</v>
      </c>
      <c r="AB2594" s="378" t="s">
        <v>59</v>
      </c>
    </row>
    <row r="2595" spans="1:28" s="352" customFormat="1" ht="18" customHeight="1" x14ac:dyDescent="0.2">
      <c r="A2595" s="2692"/>
      <c r="B2595" s="390"/>
      <c r="C2595" s="2692"/>
      <c r="D2595" s="390"/>
      <c r="E2595" s="2160"/>
      <c r="F2595" s="390"/>
      <c r="G2595" s="390"/>
      <c r="H2595" s="391"/>
      <c r="I2595" s="2160"/>
      <c r="J2595" s="392"/>
      <c r="K2595" s="393"/>
      <c r="L2595" s="2681"/>
      <c r="M2595" s="2164"/>
      <c r="N2595" s="2164"/>
      <c r="O2595" s="2164" t="s">
        <v>63</v>
      </c>
      <c r="P2595" s="395"/>
      <c r="Q2595" s="396" t="s">
        <v>72</v>
      </c>
      <c r="R2595" s="397" t="s">
        <v>59</v>
      </c>
      <c r="S2595" s="398"/>
      <c r="T2595" s="397" t="s">
        <v>73</v>
      </c>
      <c r="U2595" s="398" t="s">
        <v>59</v>
      </c>
      <c r="V2595" s="399" t="s">
        <v>59</v>
      </c>
      <c r="W2595" s="400" t="s">
        <v>59</v>
      </c>
      <c r="X2595" s="401" t="s">
        <v>59</v>
      </c>
      <c r="Y2595" s="401" t="s">
        <v>59</v>
      </c>
      <c r="Z2595" s="401" t="s">
        <v>59</v>
      </c>
      <c r="AA2595" s="402"/>
      <c r="AB2595" s="403"/>
    </row>
    <row r="2596" spans="1:28" s="352" customFormat="1" ht="18" customHeight="1" x14ac:dyDescent="0.25">
      <c r="A2596" s="82">
        <v>1</v>
      </c>
      <c r="B2596" s="53">
        <v>23133</v>
      </c>
      <c r="C2596" s="82">
        <v>989</v>
      </c>
      <c r="D2596" s="41" t="s">
        <v>84</v>
      </c>
      <c r="E2596" s="41">
        <v>4</v>
      </c>
      <c r="F2596" s="41">
        <v>0</v>
      </c>
      <c r="G2596" s="41">
        <v>1</v>
      </c>
      <c r="H2596" s="267">
        <v>0</v>
      </c>
      <c r="I2596" s="302">
        <f>F2596*400+G2596*100+H2596</f>
        <v>100</v>
      </c>
      <c r="J2596" s="310">
        <v>3000</v>
      </c>
      <c r="K2596" s="310">
        <f>SUM(I2596*J2596)</f>
        <v>300000</v>
      </c>
      <c r="L2596" s="480"/>
      <c r="M2596" s="481"/>
      <c r="N2596" s="480"/>
      <c r="O2596" s="480"/>
      <c r="P2596" s="482"/>
      <c r="Q2596" s="483"/>
      <c r="R2596" s="484"/>
      <c r="S2596" s="485"/>
      <c r="T2596" s="483"/>
      <c r="U2596" s="485"/>
      <c r="V2596" s="486"/>
      <c r="W2596" s="302">
        <f>K2596</f>
        <v>300000</v>
      </c>
      <c r="X2596" s="310">
        <f>W2596</f>
        <v>300000</v>
      </c>
      <c r="Y2596" s="310"/>
      <c r="Z2596" s="302">
        <f>+X2596</f>
        <v>300000</v>
      </c>
      <c r="AA2596" s="405">
        <v>0.6</v>
      </c>
      <c r="AB2596" s="406">
        <f>+Z2596*AA2596/100</f>
        <v>1800</v>
      </c>
    </row>
    <row r="2597" spans="1:28" s="352" customFormat="1" ht="18" customHeight="1" x14ac:dyDescent="0.2">
      <c r="A2597" s="88"/>
      <c r="B2597" s="75"/>
      <c r="C2597" s="88"/>
      <c r="D2597" s="88"/>
      <c r="E2597" s="88"/>
      <c r="F2597" s="88"/>
      <c r="G2597" s="88"/>
      <c r="H2597" s="495"/>
      <c r="I2597" s="74"/>
      <c r="J2597" s="121"/>
      <c r="K2597" s="121"/>
      <c r="L2597" s="815"/>
      <c r="M2597" s="815"/>
      <c r="N2597" s="815"/>
      <c r="O2597" s="815"/>
      <c r="P2597" s="816"/>
      <c r="Q2597" s="816"/>
      <c r="R2597" s="817"/>
      <c r="S2597" s="817"/>
      <c r="T2597" s="816"/>
      <c r="U2597" s="817"/>
      <c r="V2597" s="818"/>
      <c r="W2597" s="74"/>
      <c r="X2597" s="121"/>
      <c r="Y2597" s="121"/>
      <c r="Z2597" s="74"/>
      <c r="AA2597" s="414"/>
      <c r="AB2597" s="415"/>
    </row>
    <row r="2598" spans="1:28" s="352" customFormat="1" ht="18" customHeight="1" x14ac:dyDescent="0.2">
      <c r="A2598" s="88"/>
      <c r="B2598" s="75"/>
      <c r="C2598" s="88"/>
      <c r="D2598" s="88"/>
      <c r="E2598" s="88"/>
      <c r="F2598" s="88"/>
      <c r="G2598" s="88"/>
      <c r="H2598" s="495"/>
      <c r="I2598" s="74"/>
      <c r="J2598" s="121"/>
      <c r="K2598" s="121"/>
      <c r="L2598" s="815"/>
      <c r="M2598" s="815"/>
      <c r="N2598" s="815"/>
      <c r="O2598" s="815"/>
      <c r="P2598" s="816"/>
      <c r="Q2598" s="816"/>
      <c r="R2598" s="817"/>
      <c r="S2598" s="817"/>
      <c r="T2598" s="816"/>
      <c r="U2598" s="817"/>
      <c r="V2598" s="818"/>
      <c r="W2598" s="74"/>
      <c r="X2598" s="121"/>
      <c r="Y2598" s="121"/>
      <c r="Z2598" s="74"/>
      <c r="AA2598" s="414"/>
      <c r="AB2598" s="410"/>
    </row>
    <row r="2599" spans="1:28" s="352" customFormat="1" ht="18" customHeight="1" x14ac:dyDescent="0.2">
      <c r="A2599" s="88"/>
      <c r="B2599" s="75"/>
      <c r="C2599" s="88"/>
      <c r="D2599" s="88"/>
      <c r="E2599" s="88"/>
      <c r="F2599" s="88"/>
      <c r="G2599" s="88"/>
      <c r="H2599" s="495"/>
      <c r="I2599" s="74"/>
      <c r="J2599" s="121"/>
      <c r="K2599" s="121"/>
      <c r="L2599" s="815"/>
      <c r="M2599" s="815"/>
      <c r="N2599" s="815"/>
      <c r="O2599" s="815"/>
      <c r="P2599" s="816"/>
      <c r="Q2599" s="816"/>
      <c r="R2599" s="817"/>
      <c r="S2599" s="817"/>
      <c r="T2599" s="816"/>
      <c r="U2599" s="817"/>
      <c r="V2599" s="818"/>
      <c r="W2599" s="74"/>
      <c r="X2599" s="121"/>
      <c r="Y2599" s="121"/>
      <c r="Z2599" s="74"/>
      <c r="AA2599" s="414"/>
      <c r="AB2599" s="416"/>
    </row>
    <row r="2600" spans="1:28" s="352" customFormat="1" ht="18" customHeight="1" x14ac:dyDescent="0.2">
      <c r="A2600" s="2166"/>
      <c r="B2600" s="61"/>
      <c r="C2600" s="2166"/>
      <c r="D2600" s="2166"/>
      <c r="E2600" s="2166"/>
      <c r="F2600" s="2166"/>
      <c r="G2600" s="2166"/>
      <c r="H2600" s="407"/>
      <c r="I2600" s="77"/>
      <c r="J2600" s="2168"/>
      <c r="K2600" s="78"/>
      <c r="L2600" s="61"/>
      <c r="M2600" s="2166"/>
      <c r="N2600" s="2166"/>
      <c r="O2600" s="61"/>
      <c r="P2600" s="177"/>
      <c r="Q2600" s="196"/>
      <c r="R2600" s="408"/>
      <c r="S2600" s="77"/>
      <c r="T2600" s="2166"/>
      <c r="U2600" s="77"/>
      <c r="V2600" s="77"/>
      <c r="W2600" s="77"/>
      <c r="X2600" s="77"/>
      <c r="Y2600" s="2168"/>
      <c r="Z2600" s="77"/>
      <c r="AA2600" s="2170"/>
      <c r="AB2600" s="410"/>
    </row>
    <row r="2601" spans="1:28" s="352" customFormat="1" ht="18" customHeight="1" x14ac:dyDescent="0.2">
      <c r="A2601" s="2166"/>
      <c r="B2601" s="61"/>
      <c r="C2601" s="2166"/>
      <c r="D2601" s="2166"/>
      <c r="E2601" s="2166"/>
      <c r="F2601" s="2166"/>
      <c r="G2601" s="2166"/>
      <c r="H2601" s="407"/>
      <c r="I2601" s="77"/>
      <c r="J2601" s="2168"/>
      <c r="K2601" s="78"/>
      <c r="L2601" s="61"/>
      <c r="M2601" s="2166"/>
      <c r="N2601" s="2166"/>
      <c r="O2601" s="61"/>
      <c r="P2601" s="177"/>
      <c r="Q2601" s="196"/>
      <c r="R2601" s="408"/>
      <c r="S2601" s="77"/>
      <c r="T2601" s="2166"/>
      <c r="U2601" s="77"/>
      <c r="V2601" s="77"/>
      <c r="W2601" s="77"/>
      <c r="X2601" s="77"/>
      <c r="Y2601" s="2168"/>
      <c r="Z2601" s="77"/>
      <c r="AA2601" s="2170"/>
      <c r="AB2601" s="410"/>
    </row>
    <row r="2602" spans="1:28" s="352" customFormat="1" ht="18" customHeight="1" x14ac:dyDescent="0.2">
      <c r="A2602" s="2166"/>
      <c r="B2602" s="61"/>
      <c r="C2602" s="2166"/>
      <c r="D2602" s="2166"/>
      <c r="E2602" s="2166"/>
      <c r="F2602" s="2166"/>
      <c r="G2602" s="2166"/>
      <c r="H2602" s="407"/>
      <c r="I2602" s="77"/>
      <c r="J2602" s="2168"/>
      <c r="K2602" s="78"/>
      <c r="L2602" s="61"/>
      <c r="M2602" s="2166"/>
      <c r="N2602" s="2166"/>
      <c r="O2602" s="61"/>
      <c r="P2602" s="177"/>
      <c r="Q2602" s="196"/>
      <c r="R2602" s="408"/>
      <c r="S2602" s="77"/>
      <c r="T2602" s="2166"/>
      <c r="U2602" s="77"/>
      <c r="V2602" s="77"/>
      <c r="W2602" s="77"/>
      <c r="X2602" s="77"/>
      <c r="Y2602" s="2168"/>
      <c r="Z2602" s="77"/>
      <c r="AA2602" s="2170"/>
      <c r="AB2602" s="410"/>
    </row>
    <row r="2603" spans="1:28" s="352" customFormat="1" ht="18" customHeight="1" x14ac:dyDescent="0.2">
      <c r="A2603" s="88"/>
      <c r="B2603" s="75"/>
      <c r="C2603" s="88"/>
      <c r="D2603" s="88"/>
      <c r="E2603" s="2166"/>
      <c r="F2603" s="411"/>
      <c r="G2603" s="242"/>
      <c r="H2603" s="412"/>
      <c r="I2603" s="159"/>
      <c r="J2603" s="121"/>
      <c r="K2603" s="159"/>
      <c r="L2603" s="75"/>
      <c r="M2603" s="88"/>
      <c r="N2603" s="88"/>
      <c r="O2603" s="75"/>
      <c r="P2603" s="180"/>
      <c r="Q2603" s="174"/>
      <c r="R2603" s="413"/>
      <c r="S2603" s="74"/>
      <c r="T2603" s="88"/>
      <c r="U2603" s="74"/>
      <c r="V2603" s="74"/>
      <c r="W2603" s="74"/>
      <c r="X2603" s="74"/>
      <c r="Y2603" s="121"/>
      <c r="Z2603" s="74"/>
      <c r="AA2603" s="414"/>
      <c r="AB2603" s="415"/>
    </row>
    <row r="2604" spans="1:28" s="352" customFormat="1" ht="18" customHeight="1" x14ac:dyDescent="0.2">
      <c r="A2604" s="88"/>
      <c r="B2604" s="75"/>
      <c r="C2604" s="88"/>
      <c r="D2604" s="231"/>
      <c r="E2604" s="2166"/>
      <c r="F2604" s="411"/>
      <c r="G2604" s="242"/>
      <c r="H2604" s="412"/>
      <c r="I2604" s="159"/>
      <c r="J2604" s="121"/>
      <c r="K2604" s="159"/>
      <c r="L2604" s="75"/>
      <c r="M2604" s="88"/>
      <c r="N2604" s="88"/>
      <c r="O2604" s="75"/>
      <c r="P2604" s="180"/>
      <c r="Q2604" s="174"/>
      <c r="R2604" s="413"/>
      <c r="S2604" s="74"/>
      <c r="T2604" s="88"/>
      <c r="U2604" s="74"/>
      <c r="V2604" s="74"/>
      <c r="W2604" s="74"/>
      <c r="X2604" s="74"/>
      <c r="Y2604" s="121"/>
      <c r="Z2604" s="74"/>
      <c r="AA2604" s="417"/>
      <c r="AB2604" s="410"/>
    </row>
    <row r="2605" spans="1:28" s="352" customFormat="1" ht="18" customHeight="1" x14ac:dyDescent="0.2">
      <c r="A2605" s="88"/>
      <c r="B2605" s="75"/>
      <c r="C2605" s="88"/>
      <c r="D2605" s="88"/>
      <c r="E2605" s="2166"/>
      <c r="F2605" s="411"/>
      <c r="G2605" s="242"/>
      <c r="H2605" s="412"/>
      <c r="I2605" s="159"/>
      <c r="J2605" s="121"/>
      <c r="K2605" s="159"/>
      <c r="L2605" s="75"/>
      <c r="M2605" s="88"/>
      <c r="N2605" s="88"/>
      <c r="O2605" s="75"/>
      <c r="P2605" s="180"/>
      <c r="Q2605" s="174"/>
      <c r="R2605" s="413"/>
      <c r="S2605" s="74"/>
      <c r="T2605" s="88"/>
      <c r="U2605" s="74"/>
      <c r="V2605" s="74"/>
      <c r="W2605" s="74"/>
      <c r="X2605" s="74"/>
      <c r="Y2605" s="121"/>
      <c r="Z2605" s="74"/>
      <c r="AA2605" s="414"/>
      <c r="AB2605" s="416"/>
    </row>
    <row r="2606" spans="1:28" s="352" customFormat="1" ht="18" customHeight="1" x14ac:dyDescent="0.2">
      <c r="A2606" s="88"/>
      <c r="B2606" s="75"/>
      <c r="C2606" s="88"/>
      <c r="D2606" s="88"/>
      <c r="E2606" s="2166"/>
      <c r="F2606" s="411"/>
      <c r="G2606" s="242"/>
      <c r="H2606" s="412"/>
      <c r="I2606" s="159"/>
      <c r="J2606" s="121"/>
      <c r="K2606" s="159"/>
      <c r="L2606" s="75"/>
      <c r="M2606" s="88"/>
      <c r="N2606" s="88"/>
      <c r="O2606" s="75"/>
      <c r="P2606" s="180"/>
      <c r="Q2606" s="174"/>
      <c r="R2606" s="413"/>
      <c r="S2606" s="74"/>
      <c r="T2606" s="88"/>
      <c r="U2606" s="74"/>
      <c r="V2606" s="74"/>
      <c r="W2606" s="74"/>
      <c r="X2606" s="74"/>
      <c r="Y2606" s="121"/>
      <c r="Z2606" s="74"/>
      <c r="AA2606" s="414"/>
      <c r="AB2606" s="415"/>
    </row>
    <row r="2607" spans="1:28" s="352" customFormat="1" ht="18" customHeight="1" x14ac:dyDescent="0.2">
      <c r="A2607" s="88"/>
      <c r="B2607" s="75"/>
      <c r="C2607" s="88"/>
      <c r="D2607" s="2165"/>
      <c r="E2607" s="2166"/>
      <c r="F2607" s="411"/>
      <c r="G2607" s="242"/>
      <c r="H2607" s="412"/>
      <c r="I2607" s="159"/>
      <c r="J2607" s="121"/>
      <c r="K2607" s="159"/>
      <c r="L2607" s="75"/>
      <c r="M2607" s="88"/>
      <c r="N2607" s="88"/>
      <c r="O2607" s="75"/>
      <c r="P2607" s="180"/>
      <c r="Q2607" s="174"/>
      <c r="R2607" s="413"/>
      <c r="S2607" s="74"/>
      <c r="T2607" s="88"/>
      <c r="U2607" s="74"/>
      <c r="V2607" s="74"/>
      <c r="W2607" s="74"/>
      <c r="X2607" s="74"/>
      <c r="Y2607" s="121"/>
      <c r="Z2607" s="74"/>
      <c r="AA2607" s="414"/>
      <c r="AB2607" s="410"/>
    </row>
    <row r="2608" spans="1:28" s="352" customFormat="1" ht="18" customHeight="1" x14ac:dyDescent="0.2">
      <c r="A2608" s="88"/>
      <c r="B2608" s="75"/>
      <c r="C2608" s="88"/>
      <c r="D2608" s="2165"/>
      <c r="E2608" s="2166"/>
      <c r="F2608" s="411"/>
      <c r="G2608" s="242"/>
      <c r="H2608" s="412"/>
      <c r="I2608" s="159"/>
      <c r="J2608" s="121"/>
      <c r="K2608" s="159"/>
      <c r="L2608" s="75"/>
      <c r="M2608" s="88"/>
      <c r="N2608" s="88"/>
      <c r="O2608" s="75"/>
      <c r="P2608" s="180"/>
      <c r="Q2608" s="174"/>
      <c r="R2608" s="413"/>
      <c r="S2608" s="74"/>
      <c r="T2608" s="88"/>
      <c r="U2608" s="74"/>
      <c r="V2608" s="74"/>
      <c r="W2608" s="74"/>
      <c r="X2608" s="74"/>
      <c r="Y2608" s="121"/>
      <c r="Z2608" s="74"/>
      <c r="AA2608" s="414"/>
      <c r="AB2608" s="416"/>
    </row>
    <row r="2609" spans="1:28" s="352" customFormat="1" ht="18" customHeight="1" x14ac:dyDescent="0.2">
      <c r="A2609" s="88"/>
      <c r="B2609" s="418"/>
      <c r="C2609" s="88"/>
      <c r="D2609" s="88"/>
      <c r="E2609" s="88"/>
      <c r="F2609" s="411"/>
      <c r="G2609" s="242"/>
      <c r="H2609" s="412"/>
      <c r="I2609" s="159"/>
      <c r="J2609" s="121"/>
      <c r="K2609" s="159"/>
      <c r="L2609" s="75"/>
      <c r="M2609" s="88"/>
      <c r="N2609" s="88"/>
      <c r="O2609" s="75"/>
      <c r="P2609" s="180"/>
      <c r="Q2609" s="174"/>
      <c r="R2609" s="413"/>
      <c r="S2609" s="74"/>
      <c r="T2609" s="88"/>
      <c r="U2609" s="74"/>
      <c r="V2609" s="74"/>
      <c r="W2609" s="74"/>
      <c r="X2609" s="74"/>
      <c r="Y2609" s="121"/>
      <c r="Z2609" s="74"/>
      <c r="AA2609" s="414"/>
      <c r="AB2609" s="410"/>
    </row>
    <row r="2610" spans="1:28" s="352" customFormat="1" ht="18" customHeight="1" x14ac:dyDescent="0.2">
      <c r="A2610" s="1147"/>
      <c r="B2610" s="1989"/>
      <c r="C2610" s="1147"/>
      <c r="D2610" s="1147"/>
      <c r="E2610" s="1147"/>
      <c r="F2610" s="1147"/>
      <c r="G2610" s="1147"/>
      <c r="H2610" s="1990"/>
      <c r="I2610" s="1991"/>
      <c r="J2610" s="1868"/>
      <c r="K2610" s="1992"/>
      <c r="L2610" s="1989"/>
      <c r="M2610" s="1147"/>
      <c r="N2610" s="1147"/>
      <c r="O2610" s="1989"/>
      <c r="P2610" s="1867"/>
      <c r="Q2610" s="1993"/>
      <c r="R2610" s="1994"/>
      <c r="S2610" s="1991"/>
      <c r="T2610" s="1147"/>
      <c r="U2610" s="1991"/>
      <c r="V2610" s="1991"/>
      <c r="W2610" s="1991"/>
      <c r="X2610" s="1991"/>
      <c r="Y2610" s="1868"/>
      <c r="Z2610" s="1991"/>
      <c r="AA2610" s="1995"/>
      <c r="AB2610" s="1849">
        <f>SUM(AB2596:AB2609)</f>
        <v>1800</v>
      </c>
    </row>
    <row r="2611" spans="1:28" s="352" customFormat="1" ht="18" customHeight="1" x14ac:dyDescent="0.2">
      <c r="A2611" s="2788" t="s">
        <v>76</v>
      </c>
      <c r="B2611" s="2788"/>
      <c r="C2611" s="2779" t="s">
        <v>77</v>
      </c>
      <c r="D2611" s="2779"/>
      <c r="E2611" s="2779"/>
      <c r="F2611" s="2779"/>
      <c r="G2611" s="2779"/>
      <c r="H2611" s="2779"/>
      <c r="I2611" s="424" t="s">
        <v>78</v>
      </c>
      <c r="J2611" s="424"/>
      <c r="K2611" s="424"/>
      <c r="L2611" s="424"/>
      <c r="M2611" s="424"/>
      <c r="N2611" s="424"/>
      <c r="AB2611" s="425"/>
    </row>
    <row r="2612" spans="1:28" s="352" customFormat="1" ht="18" customHeight="1" x14ac:dyDescent="0.2">
      <c r="A2612" s="424"/>
      <c r="B2612" s="426"/>
      <c r="C2612" s="424"/>
      <c r="D2612" s="424"/>
      <c r="E2612" s="424"/>
      <c r="F2612" s="424"/>
      <c r="G2612" s="424"/>
      <c r="H2612" s="424"/>
      <c r="I2612" s="424" t="s">
        <v>79</v>
      </c>
      <c r="J2612" s="424"/>
      <c r="K2612" s="424"/>
      <c r="L2612" s="424"/>
      <c r="M2612" s="424"/>
      <c r="N2612" s="424"/>
      <c r="AB2612" s="425"/>
    </row>
    <row r="2613" spans="1:28" s="352" customFormat="1" ht="18" customHeight="1" x14ac:dyDescent="0.2">
      <c r="A2613" s="424"/>
      <c r="B2613" s="426"/>
      <c r="C2613" s="424"/>
      <c r="D2613" s="424"/>
      <c r="E2613" s="424"/>
      <c r="F2613" s="424"/>
      <c r="G2613" s="424"/>
      <c r="H2613" s="424"/>
      <c r="I2613" s="424" t="s">
        <v>80</v>
      </c>
      <c r="J2613" s="424"/>
      <c r="K2613" s="424"/>
      <c r="L2613" s="424"/>
      <c r="M2613" s="424"/>
      <c r="N2613" s="424"/>
      <c r="AB2613" s="425"/>
    </row>
    <row r="2614" spans="1:28" s="352" customFormat="1" ht="18" customHeight="1" x14ac:dyDescent="0.2">
      <c r="A2614" s="424"/>
      <c r="B2614" s="426"/>
      <c r="C2614" s="424"/>
      <c r="D2614" s="424"/>
      <c r="E2614" s="424"/>
      <c r="F2614" s="424"/>
      <c r="G2614" s="424"/>
      <c r="H2614" s="424"/>
      <c r="I2614" s="424" t="s">
        <v>81</v>
      </c>
      <c r="J2614" s="424"/>
      <c r="K2614" s="424"/>
      <c r="L2614" s="424"/>
      <c r="M2614" s="424"/>
      <c r="N2614" s="424"/>
      <c r="AB2614" s="425"/>
    </row>
    <row r="2615" spans="1:28" s="352" customFormat="1" ht="18" customHeight="1" x14ac:dyDescent="0.2">
      <c r="A2615" s="424"/>
      <c r="B2615" s="426"/>
      <c r="C2615" s="424"/>
      <c r="D2615" s="424"/>
      <c r="E2615" s="424"/>
      <c r="F2615" s="424"/>
      <c r="G2615" s="424"/>
      <c r="H2615" s="424"/>
      <c r="I2615" s="424" t="s">
        <v>88</v>
      </c>
      <c r="J2615" s="424"/>
      <c r="K2615" s="424"/>
      <c r="L2615" s="424"/>
      <c r="M2615" s="424"/>
      <c r="N2615" s="424"/>
      <c r="AB2615" s="425"/>
    </row>
    <row r="2616" spans="1:28" s="352" customFormat="1" ht="18" customHeight="1" x14ac:dyDescent="0.2">
      <c r="A2616" s="338"/>
      <c r="B2616" s="338"/>
      <c r="C2616" s="338"/>
      <c r="D2616" s="338"/>
      <c r="E2616" s="338"/>
      <c r="F2616" s="338"/>
      <c r="G2616" s="338"/>
      <c r="H2616" s="338"/>
      <c r="I2616" s="338"/>
      <c r="J2616" s="338"/>
      <c r="K2616" s="338"/>
      <c r="L2616" s="338"/>
      <c r="M2616" s="338"/>
      <c r="N2616" s="338"/>
      <c r="O2616" s="338"/>
      <c r="P2616" s="338"/>
      <c r="Q2616" s="338"/>
      <c r="R2616" s="338"/>
      <c r="S2616" s="338"/>
      <c r="T2616" s="338"/>
      <c r="U2616" s="338"/>
      <c r="V2616" s="338"/>
      <c r="W2616" s="338"/>
      <c r="X2616" s="338"/>
      <c r="Y2616" s="338"/>
      <c r="Z2616" s="338"/>
      <c r="AA2616" s="2774" t="s">
        <v>0</v>
      </c>
      <c r="AB2616" s="2774"/>
    </row>
    <row r="2617" spans="1:28" s="352" customFormat="1" ht="18" customHeight="1" x14ac:dyDescent="0.2">
      <c r="A2617" s="2703" t="s">
        <v>1</v>
      </c>
      <c r="B2617" s="2703"/>
      <c r="C2617" s="2703"/>
      <c r="D2617" s="2703"/>
      <c r="E2617" s="2703"/>
      <c r="F2617" s="2703"/>
      <c r="G2617" s="2703"/>
      <c r="H2617" s="2703"/>
      <c r="I2617" s="2703"/>
      <c r="J2617" s="2703"/>
      <c r="K2617" s="2703"/>
      <c r="L2617" s="2703"/>
      <c r="M2617" s="2703"/>
      <c r="N2617" s="2703"/>
      <c r="O2617" s="2703"/>
      <c r="P2617" s="2703"/>
      <c r="Q2617" s="2703"/>
      <c r="R2617" s="2703"/>
      <c r="S2617" s="2703"/>
      <c r="T2617" s="2703"/>
      <c r="U2617" s="2703"/>
      <c r="V2617" s="2703"/>
      <c r="W2617" s="2703"/>
      <c r="X2617" s="2703"/>
      <c r="Y2617" s="2703"/>
      <c r="Z2617" s="2703"/>
      <c r="AA2617" s="2703"/>
      <c r="AB2617" s="2703"/>
    </row>
    <row r="2618" spans="1:28" s="352" customFormat="1" ht="18" customHeight="1" x14ac:dyDescent="0.2">
      <c r="A2618" s="2780" t="s">
        <v>679</v>
      </c>
      <c r="B2618" s="2780"/>
      <c r="C2618" s="2780"/>
      <c r="D2618" s="2780"/>
      <c r="E2618" s="2780"/>
      <c r="F2618" s="2780"/>
      <c r="G2618" s="2780"/>
      <c r="H2618" s="2780"/>
      <c r="I2618" s="2780"/>
      <c r="J2618" s="2780"/>
      <c r="K2618" s="2780"/>
      <c r="L2618" s="2780"/>
      <c r="M2618" s="2780"/>
      <c r="N2618" s="2780"/>
      <c r="O2618" s="2780"/>
      <c r="P2618" s="2780"/>
      <c r="Q2618" s="2780"/>
      <c r="R2618" s="2780"/>
      <c r="S2618" s="2780"/>
      <c r="T2618" s="2780"/>
      <c r="U2618" s="2780"/>
      <c r="V2618" s="2780"/>
      <c r="W2618" s="2780"/>
      <c r="X2618" s="2780"/>
      <c r="Y2618" s="2780"/>
      <c r="Z2618" s="2780"/>
      <c r="AA2618" s="2780"/>
      <c r="AB2618" s="2780"/>
    </row>
    <row r="2619" spans="1:28" s="352" customFormat="1" ht="18" customHeight="1" x14ac:dyDescent="0.2">
      <c r="A2619" s="2686" t="s">
        <v>2</v>
      </c>
      <c r="B2619" s="360"/>
      <c r="C2619" s="2686" t="s">
        <v>3</v>
      </c>
      <c r="D2619" s="360"/>
      <c r="E2619" s="360"/>
      <c r="F2619" s="2693" t="s">
        <v>4</v>
      </c>
      <c r="G2619" s="2693"/>
      <c r="H2619" s="2693"/>
      <c r="I2619" s="2694"/>
      <c r="J2619" s="2694"/>
      <c r="K2619" s="2695"/>
      <c r="L2619" s="361"/>
      <c r="M2619" s="2679" t="s">
        <v>5</v>
      </c>
      <c r="N2619" s="2679"/>
      <c r="O2619" s="2679"/>
      <c r="P2619" s="2679"/>
      <c r="Q2619" s="2696"/>
      <c r="R2619" s="2696"/>
      <c r="S2619" s="2696"/>
      <c r="T2619" s="2696"/>
      <c r="U2619" s="2696"/>
      <c r="V2619" s="2697"/>
      <c r="W2619" s="362" t="s">
        <v>6</v>
      </c>
      <c r="X2619" s="363" t="s">
        <v>7</v>
      </c>
      <c r="Y2619" s="364"/>
      <c r="Z2619" s="364"/>
      <c r="AA2619" s="363"/>
      <c r="AB2619" s="365"/>
    </row>
    <row r="2620" spans="1:28" s="352" customFormat="1" ht="18" customHeight="1" x14ac:dyDescent="0.2">
      <c r="A2620" s="2687"/>
      <c r="B2620" s="367"/>
      <c r="C2620" s="2687"/>
      <c r="D2620" s="2158" t="s">
        <v>9</v>
      </c>
      <c r="E2620" s="368" t="s">
        <v>10</v>
      </c>
      <c r="F2620" s="2698" t="s">
        <v>11</v>
      </c>
      <c r="G2620" s="2694"/>
      <c r="H2620" s="2695"/>
      <c r="I2620" s="360"/>
      <c r="J2620" s="369" t="s">
        <v>12</v>
      </c>
      <c r="K2620" s="360"/>
      <c r="L2620" s="2679" t="s">
        <v>2</v>
      </c>
      <c r="M2620" s="2162"/>
      <c r="N2620" s="2162"/>
      <c r="O2620" s="2162"/>
      <c r="P2620" s="371"/>
      <c r="Q2620" s="372" t="s">
        <v>13</v>
      </c>
      <c r="R2620" s="373" t="s">
        <v>12</v>
      </c>
      <c r="S2620" s="2162" t="s">
        <v>6</v>
      </c>
      <c r="T2620" s="2682" t="s">
        <v>14</v>
      </c>
      <c r="U2620" s="2683"/>
      <c r="V2620" s="375" t="s">
        <v>7</v>
      </c>
      <c r="W2620" s="376" t="s">
        <v>15</v>
      </c>
      <c r="X2620" s="377" t="s">
        <v>16</v>
      </c>
      <c r="Y2620" s="377" t="s">
        <v>17</v>
      </c>
      <c r="Z2620" s="377" t="s">
        <v>18</v>
      </c>
      <c r="AA2620" s="377"/>
      <c r="AB2620" s="378" t="s">
        <v>19</v>
      </c>
    </row>
    <row r="2621" spans="1:28" s="352" customFormat="1" ht="18" customHeight="1" x14ac:dyDescent="0.2">
      <c r="A2621" s="2687"/>
      <c r="B2621" s="2158" t="s">
        <v>23</v>
      </c>
      <c r="C2621" s="2687"/>
      <c r="D2621" s="2158" t="s">
        <v>24</v>
      </c>
      <c r="E2621" s="368" t="s">
        <v>25</v>
      </c>
      <c r="F2621" s="2699"/>
      <c r="G2621" s="2700"/>
      <c r="H2621" s="2701"/>
      <c r="I2621" s="2158" t="s">
        <v>26</v>
      </c>
      <c r="J2621" s="379" t="s">
        <v>15</v>
      </c>
      <c r="K2621" s="2159" t="s">
        <v>6</v>
      </c>
      <c r="L2621" s="2680"/>
      <c r="M2621" s="2163" t="s">
        <v>27</v>
      </c>
      <c r="N2621" s="2163" t="s">
        <v>10</v>
      </c>
      <c r="O2621" s="382" t="s">
        <v>10</v>
      </c>
      <c r="P2621" s="383" t="s">
        <v>28</v>
      </c>
      <c r="Q2621" s="384" t="s">
        <v>29</v>
      </c>
      <c r="R2621" s="383" t="s">
        <v>15</v>
      </c>
      <c r="S2621" s="385" t="s">
        <v>15</v>
      </c>
      <c r="T2621" s="2684"/>
      <c r="U2621" s="2685"/>
      <c r="V2621" s="375" t="s">
        <v>30</v>
      </c>
      <c r="W2621" s="376" t="s">
        <v>31</v>
      </c>
      <c r="X2621" s="377" t="s">
        <v>30</v>
      </c>
      <c r="Y2621" s="377" t="s">
        <v>32</v>
      </c>
      <c r="Z2621" s="377" t="s">
        <v>7</v>
      </c>
      <c r="AA2621" s="377" t="s">
        <v>33</v>
      </c>
      <c r="AB2621" s="378" t="s">
        <v>34</v>
      </c>
    </row>
    <row r="2622" spans="1:28" s="352" customFormat="1" ht="18" customHeight="1" x14ac:dyDescent="0.2">
      <c r="A2622" s="2687"/>
      <c r="B2622" s="2158" t="s">
        <v>39</v>
      </c>
      <c r="C2622" s="2687"/>
      <c r="D2622" s="2158" t="s">
        <v>40</v>
      </c>
      <c r="E2622" s="368" t="s">
        <v>41</v>
      </c>
      <c r="F2622" s="2686" t="s">
        <v>42</v>
      </c>
      <c r="G2622" s="2686" t="s">
        <v>43</v>
      </c>
      <c r="H2622" s="2688" t="s">
        <v>44</v>
      </c>
      <c r="I2622" s="2158" t="s">
        <v>45</v>
      </c>
      <c r="J2622" s="379" t="s">
        <v>46</v>
      </c>
      <c r="K2622" s="2159" t="s">
        <v>47</v>
      </c>
      <c r="L2622" s="2680"/>
      <c r="M2622" s="2163" t="s">
        <v>30</v>
      </c>
      <c r="N2622" s="2163" t="s">
        <v>30</v>
      </c>
      <c r="O2622" s="382" t="s">
        <v>25</v>
      </c>
      <c r="P2622" s="383" t="s">
        <v>30</v>
      </c>
      <c r="Q2622" s="384" t="s">
        <v>48</v>
      </c>
      <c r="R2622" s="383" t="s">
        <v>49</v>
      </c>
      <c r="S2622" s="385" t="s">
        <v>30</v>
      </c>
      <c r="T2622" s="386" t="s">
        <v>50</v>
      </c>
      <c r="U2622" s="2161" t="s">
        <v>13</v>
      </c>
      <c r="V2622" s="375" t="s">
        <v>51</v>
      </c>
      <c r="W2622" s="376" t="s">
        <v>52</v>
      </c>
      <c r="X2622" s="377" t="s">
        <v>53</v>
      </c>
      <c r="Y2622" s="377" t="s">
        <v>54</v>
      </c>
      <c r="Z2622" s="377" t="s">
        <v>55</v>
      </c>
      <c r="AA2622" s="377" t="s">
        <v>56</v>
      </c>
      <c r="AB2622" s="378" t="s">
        <v>57</v>
      </c>
    </row>
    <row r="2623" spans="1:28" s="352" customFormat="1" ht="18" customHeight="1" x14ac:dyDescent="0.2">
      <c r="A2623" s="2687"/>
      <c r="B2623" s="2158" t="s">
        <v>61</v>
      </c>
      <c r="C2623" s="2687"/>
      <c r="D2623" s="2158" t="s">
        <v>62</v>
      </c>
      <c r="E2623" s="368" t="s">
        <v>63</v>
      </c>
      <c r="F2623" s="2687"/>
      <c r="G2623" s="2687"/>
      <c r="H2623" s="2689"/>
      <c r="I2623" s="2158" t="s">
        <v>64</v>
      </c>
      <c r="J2623" s="379" t="s">
        <v>59</v>
      </c>
      <c r="K2623" s="2159" t="s">
        <v>59</v>
      </c>
      <c r="L2623" s="2680"/>
      <c r="M2623" s="2163"/>
      <c r="N2623" s="2163"/>
      <c r="O2623" s="382" t="s">
        <v>41</v>
      </c>
      <c r="P2623" s="383" t="s">
        <v>65</v>
      </c>
      <c r="Q2623" s="384" t="s">
        <v>66</v>
      </c>
      <c r="R2623" s="383" t="s">
        <v>67</v>
      </c>
      <c r="S2623" s="385" t="s">
        <v>59</v>
      </c>
      <c r="T2623" s="387" t="s">
        <v>68</v>
      </c>
      <c r="U2623" s="375" t="s">
        <v>14</v>
      </c>
      <c r="V2623" s="375" t="s">
        <v>14</v>
      </c>
      <c r="W2623" s="376" t="s">
        <v>30</v>
      </c>
      <c r="X2623" s="388" t="s">
        <v>69</v>
      </c>
      <c r="Y2623" s="388" t="s">
        <v>70</v>
      </c>
      <c r="Z2623" s="377" t="s">
        <v>71</v>
      </c>
      <c r="AA2623" s="377" t="s">
        <v>72</v>
      </c>
      <c r="AB2623" s="378" t="s">
        <v>59</v>
      </c>
    </row>
    <row r="2624" spans="1:28" s="352" customFormat="1" ht="18" customHeight="1" x14ac:dyDescent="0.2">
      <c r="A2624" s="2692"/>
      <c r="B2624" s="390"/>
      <c r="C2624" s="2692"/>
      <c r="D2624" s="390"/>
      <c r="E2624" s="2160"/>
      <c r="F2624" s="390"/>
      <c r="G2624" s="390"/>
      <c r="H2624" s="391"/>
      <c r="I2624" s="2160"/>
      <c r="J2624" s="392"/>
      <c r="K2624" s="393"/>
      <c r="L2624" s="2681"/>
      <c r="M2624" s="2164"/>
      <c r="N2624" s="2164"/>
      <c r="O2624" s="2164" t="s">
        <v>63</v>
      </c>
      <c r="P2624" s="395"/>
      <c r="Q2624" s="396" t="s">
        <v>72</v>
      </c>
      <c r="R2624" s="397" t="s">
        <v>59</v>
      </c>
      <c r="S2624" s="398"/>
      <c r="T2624" s="397" t="s">
        <v>73</v>
      </c>
      <c r="U2624" s="398" t="s">
        <v>59</v>
      </c>
      <c r="V2624" s="399" t="s">
        <v>59</v>
      </c>
      <c r="W2624" s="400" t="s">
        <v>59</v>
      </c>
      <c r="X2624" s="401" t="s">
        <v>59</v>
      </c>
      <c r="Y2624" s="401" t="s">
        <v>59</v>
      </c>
      <c r="Z2624" s="401" t="s">
        <v>59</v>
      </c>
      <c r="AA2624" s="402"/>
      <c r="AB2624" s="403"/>
    </row>
    <row r="2625" spans="1:28" s="352" customFormat="1" ht="18" customHeight="1" x14ac:dyDescent="0.2">
      <c r="A2625" s="82">
        <v>1</v>
      </c>
      <c r="B2625" s="53">
        <v>23176</v>
      </c>
      <c r="C2625" s="82">
        <v>1016</v>
      </c>
      <c r="D2625" s="82" t="s">
        <v>84</v>
      </c>
      <c r="E2625" s="82">
        <v>4</v>
      </c>
      <c r="F2625" s="82">
        <v>0</v>
      </c>
      <c r="G2625" s="82">
        <v>1</v>
      </c>
      <c r="H2625" s="463">
        <v>0</v>
      </c>
      <c r="I2625" s="70">
        <f>F2625*400+G2625*100+H2625</f>
        <v>100</v>
      </c>
      <c r="J2625" s="123">
        <v>3000</v>
      </c>
      <c r="K2625" s="123">
        <f>SUM(I2625*J2625)</f>
        <v>300000</v>
      </c>
      <c r="L2625" s="481"/>
      <c r="M2625" s="481"/>
      <c r="N2625" s="481"/>
      <c r="O2625" s="481"/>
      <c r="P2625" s="905"/>
      <c r="Q2625" s="905"/>
      <c r="R2625" s="906"/>
      <c r="S2625" s="906"/>
      <c r="T2625" s="905"/>
      <c r="U2625" s="906"/>
      <c r="V2625" s="907"/>
      <c r="W2625" s="70">
        <f>K2625</f>
        <v>300000</v>
      </c>
      <c r="X2625" s="123">
        <f>W2625</f>
        <v>300000</v>
      </c>
      <c r="Y2625" s="123"/>
      <c r="Z2625" s="70">
        <f>+X2625</f>
        <v>300000</v>
      </c>
      <c r="AA2625" s="464">
        <v>0.6</v>
      </c>
      <c r="AB2625" s="406">
        <f>+Z2625*AA2625/100</f>
        <v>1800</v>
      </c>
    </row>
    <row r="2626" spans="1:28" s="352" customFormat="1" ht="18" customHeight="1" x14ac:dyDescent="0.2">
      <c r="A2626" s="2166"/>
      <c r="B2626" s="61"/>
      <c r="C2626" s="2166"/>
      <c r="D2626" s="2166"/>
      <c r="E2626" s="2166"/>
      <c r="F2626" s="2166"/>
      <c r="G2626" s="2166"/>
      <c r="H2626" s="407"/>
      <c r="I2626" s="77"/>
      <c r="J2626" s="2168"/>
      <c r="K2626" s="2168"/>
      <c r="L2626" s="488"/>
      <c r="M2626" s="488"/>
      <c r="N2626" s="488"/>
      <c r="O2626" s="488"/>
      <c r="P2626" s="819"/>
      <c r="Q2626" s="819"/>
      <c r="R2626" s="820"/>
      <c r="S2626" s="820"/>
      <c r="T2626" s="819"/>
      <c r="U2626" s="820"/>
      <c r="V2626" s="821"/>
      <c r="W2626" s="77"/>
      <c r="X2626" s="2168"/>
      <c r="Y2626" s="2168"/>
      <c r="Z2626" s="77"/>
      <c r="AA2626" s="2170"/>
      <c r="AB2626" s="410"/>
    </row>
    <row r="2627" spans="1:28" s="352" customFormat="1" ht="18" customHeight="1" x14ac:dyDescent="0.2">
      <c r="A2627" s="2166"/>
      <c r="B2627" s="61"/>
      <c r="C2627" s="2166"/>
      <c r="D2627" s="2166"/>
      <c r="E2627" s="2166"/>
      <c r="F2627" s="2166"/>
      <c r="G2627" s="2166"/>
      <c r="H2627" s="407"/>
      <c r="I2627" s="77"/>
      <c r="J2627" s="2168"/>
      <c r="K2627" s="2168"/>
      <c r="L2627" s="488"/>
      <c r="M2627" s="488"/>
      <c r="N2627" s="488"/>
      <c r="O2627" s="488"/>
      <c r="P2627" s="819"/>
      <c r="Q2627" s="819"/>
      <c r="R2627" s="820"/>
      <c r="S2627" s="820"/>
      <c r="T2627" s="819"/>
      <c r="U2627" s="820"/>
      <c r="V2627" s="821"/>
      <c r="W2627" s="77"/>
      <c r="X2627" s="2168"/>
      <c r="Y2627" s="2168"/>
      <c r="Z2627" s="77"/>
      <c r="AA2627" s="2170"/>
      <c r="AB2627" s="410"/>
    </row>
    <row r="2628" spans="1:28" s="352" customFormat="1" ht="18" customHeight="1" x14ac:dyDescent="0.2">
      <c r="A2628" s="2166"/>
      <c r="B2628" s="61"/>
      <c r="C2628" s="2166"/>
      <c r="D2628" s="2166"/>
      <c r="E2628" s="2166"/>
      <c r="F2628" s="2166"/>
      <c r="G2628" s="2166"/>
      <c r="H2628" s="407"/>
      <c r="I2628" s="77"/>
      <c r="J2628" s="2168"/>
      <c r="K2628" s="2168"/>
      <c r="L2628" s="488"/>
      <c r="M2628" s="488"/>
      <c r="N2628" s="488"/>
      <c r="O2628" s="488"/>
      <c r="P2628" s="819"/>
      <c r="Q2628" s="819"/>
      <c r="R2628" s="820"/>
      <c r="S2628" s="820"/>
      <c r="T2628" s="819"/>
      <c r="U2628" s="820"/>
      <c r="V2628" s="821"/>
      <c r="W2628" s="77"/>
      <c r="X2628" s="2168"/>
      <c r="Y2628" s="2168"/>
      <c r="Z2628" s="77"/>
      <c r="AA2628" s="2170"/>
      <c r="AB2628" s="410"/>
    </row>
    <row r="2629" spans="1:28" s="352" customFormat="1" ht="18" customHeight="1" x14ac:dyDescent="0.2">
      <c r="A2629" s="2166"/>
      <c r="B2629" s="61"/>
      <c r="C2629" s="2166"/>
      <c r="D2629" s="2166"/>
      <c r="E2629" s="2166"/>
      <c r="F2629" s="2166"/>
      <c r="G2629" s="2166"/>
      <c r="H2629" s="407"/>
      <c r="I2629" s="77"/>
      <c r="J2629" s="2168"/>
      <c r="K2629" s="78"/>
      <c r="L2629" s="61"/>
      <c r="M2629" s="2166"/>
      <c r="N2629" s="2166"/>
      <c r="O2629" s="61"/>
      <c r="P2629" s="177"/>
      <c r="Q2629" s="196"/>
      <c r="R2629" s="408"/>
      <c r="S2629" s="77"/>
      <c r="T2629" s="2166"/>
      <c r="U2629" s="77"/>
      <c r="V2629" s="77"/>
      <c r="W2629" s="77"/>
      <c r="X2629" s="77"/>
      <c r="Y2629" s="2168"/>
      <c r="Z2629" s="77"/>
      <c r="AA2629" s="2170"/>
      <c r="AB2629" s="410"/>
    </row>
    <row r="2630" spans="1:28" s="352" customFormat="1" ht="18" customHeight="1" x14ac:dyDescent="0.2">
      <c r="A2630" s="2166"/>
      <c r="B2630" s="61"/>
      <c r="C2630" s="2166"/>
      <c r="D2630" s="2166"/>
      <c r="E2630" s="2166"/>
      <c r="F2630" s="2166"/>
      <c r="G2630" s="2166"/>
      <c r="H2630" s="407"/>
      <c r="I2630" s="77"/>
      <c r="J2630" s="2168"/>
      <c r="K2630" s="78"/>
      <c r="L2630" s="61"/>
      <c r="M2630" s="2166"/>
      <c r="N2630" s="2166"/>
      <c r="O2630" s="61"/>
      <c r="P2630" s="177"/>
      <c r="Q2630" s="196"/>
      <c r="R2630" s="408"/>
      <c r="S2630" s="77"/>
      <c r="T2630" s="2166"/>
      <c r="U2630" s="77"/>
      <c r="V2630" s="77"/>
      <c r="W2630" s="77"/>
      <c r="X2630" s="77"/>
      <c r="Y2630" s="2168"/>
      <c r="Z2630" s="77"/>
      <c r="AA2630" s="2170"/>
      <c r="AB2630" s="410"/>
    </row>
    <row r="2631" spans="1:28" s="352" customFormat="1" ht="18" customHeight="1" x14ac:dyDescent="0.2">
      <c r="A2631" s="2166"/>
      <c r="B2631" s="61"/>
      <c r="C2631" s="2166"/>
      <c r="D2631" s="2166"/>
      <c r="E2631" s="2166"/>
      <c r="F2631" s="2166"/>
      <c r="G2631" s="2166"/>
      <c r="H2631" s="407"/>
      <c r="I2631" s="77"/>
      <c r="J2631" s="2168"/>
      <c r="K2631" s="78"/>
      <c r="L2631" s="61"/>
      <c r="M2631" s="2166"/>
      <c r="N2631" s="2166"/>
      <c r="O2631" s="61"/>
      <c r="P2631" s="177"/>
      <c r="Q2631" s="196"/>
      <c r="R2631" s="408"/>
      <c r="S2631" s="77"/>
      <c r="T2631" s="2166"/>
      <c r="U2631" s="77"/>
      <c r="V2631" s="77"/>
      <c r="W2631" s="77"/>
      <c r="X2631" s="77"/>
      <c r="Y2631" s="2168"/>
      <c r="Z2631" s="77"/>
      <c r="AA2631" s="2170"/>
      <c r="AB2631" s="410"/>
    </row>
    <row r="2632" spans="1:28" s="352" customFormat="1" ht="18" customHeight="1" x14ac:dyDescent="0.2">
      <c r="A2632" s="88"/>
      <c r="B2632" s="75"/>
      <c r="C2632" s="88"/>
      <c r="D2632" s="88"/>
      <c r="E2632" s="2166"/>
      <c r="F2632" s="411"/>
      <c r="G2632" s="242"/>
      <c r="H2632" s="412"/>
      <c r="I2632" s="159"/>
      <c r="J2632" s="121"/>
      <c r="K2632" s="159"/>
      <c r="L2632" s="75"/>
      <c r="M2632" s="88"/>
      <c r="N2632" s="88"/>
      <c r="O2632" s="75"/>
      <c r="P2632" s="180"/>
      <c r="Q2632" s="174"/>
      <c r="R2632" s="413"/>
      <c r="S2632" s="74"/>
      <c r="T2632" s="88"/>
      <c r="U2632" s="74"/>
      <c r="V2632" s="74"/>
      <c r="W2632" s="74"/>
      <c r="X2632" s="74"/>
      <c r="Y2632" s="121"/>
      <c r="Z2632" s="74"/>
      <c r="AA2632" s="414"/>
      <c r="AB2632" s="415"/>
    </row>
    <row r="2633" spans="1:28" s="352" customFormat="1" ht="18" customHeight="1" x14ac:dyDescent="0.2">
      <c r="A2633" s="88"/>
      <c r="B2633" s="75"/>
      <c r="C2633" s="88"/>
      <c r="D2633" s="88"/>
      <c r="E2633" s="2166"/>
      <c r="F2633" s="411"/>
      <c r="G2633" s="242"/>
      <c r="H2633" s="412"/>
      <c r="I2633" s="159"/>
      <c r="J2633" s="121"/>
      <c r="K2633" s="159"/>
      <c r="L2633" s="75"/>
      <c r="M2633" s="88"/>
      <c r="N2633" s="88"/>
      <c r="O2633" s="75"/>
      <c r="P2633" s="180"/>
      <c r="Q2633" s="174"/>
      <c r="R2633" s="413"/>
      <c r="S2633" s="74"/>
      <c r="T2633" s="88"/>
      <c r="U2633" s="74"/>
      <c r="V2633" s="74"/>
      <c r="W2633" s="74"/>
      <c r="X2633" s="74"/>
      <c r="Y2633" s="121"/>
      <c r="Z2633" s="74"/>
      <c r="AA2633" s="414"/>
      <c r="AB2633" s="416"/>
    </row>
    <row r="2634" spans="1:28" s="352" customFormat="1" ht="18" customHeight="1" x14ac:dyDescent="0.2">
      <c r="A2634" s="88"/>
      <c r="B2634" s="75"/>
      <c r="C2634" s="88"/>
      <c r="D2634" s="231"/>
      <c r="E2634" s="2166"/>
      <c r="F2634" s="411"/>
      <c r="G2634" s="242"/>
      <c r="H2634" s="412"/>
      <c r="I2634" s="159"/>
      <c r="J2634" s="121"/>
      <c r="K2634" s="159"/>
      <c r="L2634" s="75"/>
      <c r="M2634" s="88"/>
      <c r="N2634" s="88"/>
      <c r="O2634" s="75"/>
      <c r="P2634" s="180"/>
      <c r="Q2634" s="174"/>
      <c r="R2634" s="413"/>
      <c r="S2634" s="74"/>
      <c r="T2634" s="88"/>
      <c r="U2634" s="74"/>
      <c r="V2634" s="74"/>
      <c r="W2634" s="74"/>
      <c r="X2634" s="74"/>
      <c r="Y2634" s="121"/>
      <c r="Z2634" s="74"/>
      <c r="AA2634" s="417"/>
      <c r="AB2634" s="410"/>
    </row>
    <row r="2635" spans="1:28" s="352" customFormat="1" ht="18" customHeight="1" x14ac:dyDescent="0.2">
      <c r="A2635" s="88"/>
      <c r="B2635" s="75"/>
      <c r="C2635" s="88"/>
      <c r="D2635" s="2165"/>
      <c r="E2635" s="2166"/>
      <c r="F2635" s="411"/>
      <c r="G2635" s="242"/>
      <c r="H2635" s="412"/>
      <c r="I2635" s="159"/>
      <c r="J2635" s="121"/>
      <c r="K2635" s="159"/>
      <c r="L2635" s="75"/>
      <c r="M2635" s="88"/>
      <c r="N2635" s="88"/>
      <c r="O2635" s="75"/>
      <c r="P2635" s="180"/>
      <c r="Q2635" s="174"/>
      <c r="R2635" s="413"/>
      <c r="S2635" s="74"/>
      <c r="T2635" s="88"/>
      <c r="U2635" s="74"/>
      <c r="V2635" s="74"/>
      <c r="W2635" s="74"/>
      <c r="X2635" s="74"/>
      <c r="Y2635" s="121"/>
      <c r="Z2635" s="74"/>
      <c r="AA2635" s="414"/>
      <c r="AB2635" s="410"/>
    </row>
    <row r="2636" spans="1:28" s="352" customFormat="1" ht="18" customHeight="1" x14ac:dyDescent="0.2">
      <c r="A2636" s="88"/>
      <c r="B2636" s="75"/>
      <c r="C2636" s="88"/>
      <c r="D2636" s="2165"/>
      <c r="E2636" s="2166"/>
      <c r="F2636" s="411"/>
      <c r="G2636" s="242"/>
      <c r="H2636" s="412"/>
      <c r="I2636" s="159"/>
      <c r="J2636" s="121"/>
      <c r="K2636" s="159"/>
      <c r="L2636" s="75"/>
      <c r="M2636" s="88"/>
      <c r="N2636" s="88"/>
      <c r="O2636" s="75"/>
      <c r="P2636" s="180"/>
      <c r="Q2636" s="174"/>
      <c r="R2636" s="413"/>
      <c r="S2636" s="74"/>
      <c r="T2636" s="88"/>
      <c r="U2636" s="74"/>
      <c r="V2636" s="74"/>
      <c r="W2636" s="74"/>
      <c r="X2636" s="74"/>
      <c r="Y2636" s="121"/>
      <c r="Z2636" s="74"/>
      <c r="AA2636" s="417"/>
      <c r="AB2636" s="410"/>
    </row>
    <row r="2637" spans="1:28" s="352" customFormat="1" ht="18" customHeight="1" x14ac:dyDescent="0.2">
      <c r="A2637" s="88"/>
      <c r="B2637" s="75"/>
      <c r="C2637" s="88"/>
      <c r="D2637" s="2165"/>
      <c r="E2637" s="2166"/>
      <c r="F2637" s="411"/>
      <c r="G2637" s="242"/>
      <c r="H2637" s="412"/>
      <c r="I2637" s="159"/>
      <c r="J2637" s="121"/>
      <c r="K2637" s="159"/>
      <c r="L2637" s="75"/>
      <c r="M2637" s="88"/>
      <c r="N2637" s="88"/>
      <c r="O2637" s="75"/>
      <c r="P2637" s="180"/>
      <c r="Q2637" s="174"/>
      <c r="R2637" s="413"/>
      <c r="S2637" s="74"/>
      <c r="T2637" s="88"/>
      <c r="U2637" s="74"/>
      <c r="V2637" s="74"/>
      <c r="W2637" s="74"/>
      <c r="X2637" s="74"/>
      <c r="Y2637" s="121"/>
      <c r="Z2637" s="74"/>
      <c r="AA2637" s="414"/>
      <c r="AB2637" s="416"/>
    </row>
    <row r="2638" spans="1:28" s="352" customFormat="1" ht="18" customHeight="1" x14ac:dyDescent="0.2">
      <c r="A2638" s="88"/>
      <c r="B2638" s="418"/>
      <c r="C2638" s="88"/>
      <c r="D2638" s="88"/>
      <c r="E2638" s="88"/>
      <c r="F2638" s="411"/>
      <c r="G2638" s="242"/>
      <c r="H2638" s="412"/>
      <c r="I2638" s="159"/>
      <c r="J2638" s="121"/>
      <c r="K2638" s="159"/>
      <c r="L2638" s="75"/>
      <c r="M2638" s="88"/>
      <c r="N2638" s="88"/>
      <c r="O2638" s="75"/>
      <c r="P2638" s="180"/>
      <c r="Q2638" s="174"/>
      <c r="R2638" s="413"/>
      <c r="S2638" s="74"/>
      <c r="T2638" s="88"/>
      <c r="U2638" s="74"/>
      <c r="V2638" s="74"/>
      <c r="W2638" s="74"/>
      <c r="X2638" s="74"/>
      <c r="Y2638" s="121"/>
      <c r="Z2638" s="74"/>
      <c r="AA2638" s="414"/>
      <c r="AB2638" s="410"/>
    </row>
    <row r="2639" spans="1:28" s="352" customFormat="1" ht="18" customHeight="1" x14ac:dyDescent="0.2">
      <c r="A2639" s="1147"/>
      <c r="B2639" s="1989"/>
      <c r="C2639" s="1147"/>
      <c r="D2639" s="1147"/>
      <c r="E2639" s="1147"/>
      <c r="F2639" s="1147"/>
      <c r="G2639" s="1147"/>
      <c r="H2639" s="1990"/>
      <c r="I2639" s="1991"/>
      <c r="J2639" s="1868"/>
      <c r="K2639" s="1992"/>
      <c r="L2639" s="1989"/>
      <c r="M2639" s="1147"/>
      <c r="N2639" s="1147"/>
      <c r="O2639" s="1989"/>
      <c r="P2639" s="1867"/>
      <c r="Q2639" s="1993"/>
      <c r="R2639" s="1994"/>
      <c r="S2639" s="1991"/>
      <c r="T2639" s="1147"/>
      <c r="U2639" s="1991"/>
      <c r="V2639" s="1991"/>
      <c r="W2639" s="1991"/>
      <c r="X2639" s="1991"/>
      <c r="Y2639" s="1868"/>
      <c r="Z2639" s="1991"/>
      <c r="AA2639" s="1995"/>
      <c r="AB2639" s="1849">
        <f>SUM(AB2625:AB2638)</f>
        <v>1800</v>
      </c>
    </row>
    <row r="2640" spans="1:28" s="352" customFormat="1" ht="18" customHeight="1" x14ac:dyDescent="0.2">
      <c r="A2640" s="2788" t="s">
        <v>76</v>
      </c>
      <c r="B2640" s="2788"/>
      <c r="C2640" s="2779" t="s">
        <v>77</v>
      </c>
      <c r="D2640" s="2779"/>
      <c r="E2640" s="2779"/>
      <c r="F2640" s="2779"/>
      <c r="G2640" s="2779"/>
      <c r="H2640" s="2779"/>
      <c r="I2640" s="424" t="s">
        <v>78</v>
      </c>
      <c r="J2640" s="424"/>
      <c r="K2640" s="424"/>
      <c r="L2640" s="424"/>
      <c r="M2640" s="424"/>
      <c r="N2640" s="424"/>
      <c r="AB2640" s="425"/>
    </row>
    <row r="2641" spans="1:28" s="352" customFormat="1" ht="18" customHeight="1" x14ac:dyDescent="0.2">
      <c r="A2641" s="424"/>
      <c r="B2641" s="426"/>
      <c r="C2641" s="424"/>
      <c r="D2641" s="424"/>
      <c r="E2641" s="424"/>
      <c r="F2641" s="424"/>
      <c r="G2641" s="424"/>
      <c r="H2641" s="424"/>
      <c r="I2641" s="424" t="s">
        <v>79</v>
      </c>
      <c r="J2641" s="424"/>
      <c r="K2641" s="424"/>
      <c r="L2641" s="424"/>
      <c r="M2641" s="424"/>
      <c r="N2641" s="424"/>
      <c r="AB2641" s="425"/>
    </row>
    <row r="2642" spans="1:28" s="352" customFormat="1" ht="18" customHeight="1" x14ac:dyDescent="0.2">
      <c r="A2642" s="424"/>
      <c r="B2642" s="426"/>
      <c r="C2642" s="424"/>
      <c r="D2642" s="424"/>
      <c r="E2642" s="424"/>
      <c r="F2642" s="424"/>
      <c r="G2642" s="424"/>
      <c r="H2642" s="424"/>
      <c r="I2642" s="424" t="s">
        <v>80</v>
      </c>
      <c r="J2642" s="424"/>
      <c r="K2642" s="424"/>
      <c r="L2642" s="424"/>
      <c r="M2642" s="424"/>
      <c r="N2642" s="424"/>
      <c r="AB2642" s="425"/>
    </row>
    <row r="2643" spans="1:28" s="352" customFormat="1" ht="18" customHeight="1" x14ac:dyDescent="0.2">
      <c r="A2643" s="424"/>
      <c r="B2643" s="426"/>
      <c r="C2643" s="424"/>
      <c r="D2643" s="424"/>
      <c r="E2643" s="424"/>
      <c r="F2643" s="424"/>
      <c r="G2643" s="424"/>
      <c r="H2643" s="424"/>
      <c r="I2643" s="424" t="s">
        <v>81</v>
      </c>
      <c r="J2643" s="424"/>
      <c r="K2643" s="424"/>
      <c r="L2643" s="424"/>
      <c r="M2643" s="424"/>
      <c r="N2643" s="424"/>
      <c r="AB2643" s="425"/>
    </row>
    <row r="2644" spans="1:28" s="352" customFormat="1" ht="18" customHeight="1" x14ac:dyDescent="0.2">
      <c r="A2644" s="424"/>
      <c r="B2644" s="426"/>
      <c r="C2644" s="424"/>
      <c r="D2644" s="424"/>
      <c r="E2644" s="424"/>
      <c r="F2644" s="424"/>
      <c r="G2644" s="424"/>
      <c r="H2644" s="424"/>
      <c r="I2644" s="424" t="s">
        <v>88</v>
      </c>
      <c r="J2644" s="424"/>
      <c r="K2644" s="424"/>
      <c r="L2644" s="424"/>
      <c r="M2644" s="424"/>
      <c r="N2644" s="424"/>
      <c r="AB2644" s="425"/>
    </row>
    <row r="2645" spans="1:28" s="352" customFormat="1" ht="18" customHeight="1" x14ac:dyDescent="0.2">
      <c r="A2645" s="338"/>
      <c r="B2645" s="338"/>
      <c r="C2645" s="338"/>
      <c r="D2645" s="338"/>
      <c r="E2645" s="338"/>
      <c r="F2645" s="338"/>
      <c r="G2645" s="338"/>
      <c r="H2645" s="338"/>
      <c r="I2645" s="338"/>
      <c r="J2645" s="338"/>
      <c r="K2645" s="338"/>
      <c r="L2645" s="338"/>
      <c r="M2645" s="338"/>
      <c r="N2645" s="338"/>
      <c r="O2645" s="338"/>
      <c r="P2645" s="338"/>
      <c r="Q2645" s="338"/>
      <c r="R2645" s="338"/>
      <c r="S2645" s="338"/>
      <c r="T2645" s="338"/>
      <c r="U2645" s="338"/>
      <c r="V2645" s="338"/>
      <c r="W2645" s="338"/>
      <c r="X2645" s="338"/>
      <c r="Y2645" s="338"/>
      <c r="Z2645" s="338"/>
      <c r="AA2645" s="2774" t="s">
        <v>0</v>
      </c>
      <c r="AB2645" s="2774"/>
    </row>
    <row r="2646" spans="1:28" s="352" customFormat="1" ht="18" customHeight="1" x14ac:dyDescent="0.2">
      <c r="A2646" s="2703" t="s">
        <v>1</v>
      </c>
      <c r="B2646" s="2703"/>
      <c r="C2646" s="2703"/>
      <c r="D2646" s="2703"/>
      <c r="E2646" s="2703"/>
      <c r="F2646" s="2703"/>
      <c r="G2646" s="2703"/>
      <c r="H2646" s="2703"/>
      <c r="I2646" s="2703"/>
      <c r="J2646" s="2703"/>
      <c r="K2646" s="2703"/>
      <c r="L2646" s="2703"/>
      <c r="M2646" s="2703"/>
      <c r="N2646" s="2703"/>
      <c r="O2646" s="2703"/>
      <c r="P2646" s="2703"/>
      <c r="Q2646" s="2703"/>
      <c r="R2646" s="2703"/>
      <c r="S2646" s="2703"/>
      <c r="T2646" s="2703"/>
      <c r="U2646" s="2703"/>
      <c r="V2646" s="2703"/>
      <c r="W2646" s="2703"/>
      <c r="X2646" s="2703"/>
      <c r="Y2646" s="2703"/>
      <c r="Z2646" s="2703"/>
      <c r="AA2646" s="2703"/>
      <c r="AB2646" s="2703"/>
    </row>
    <row r="2647" spans="1:28" s="352" customFormat="1" ht="18" customHeight="1" x14ac:dyDescent="0.2">
      <c r="A2647" s="2780" t="s">
        <v>680</v>
      </c>
      <c r="B2647" s="2780"/>
      <c r="C2647" s="2780"/>
      <c r="D2647" s="2780"/>
      <c r="E2647" s="2780"/>
      <c r="F2647" s="2780"/>
      <c r="G2647" s="2780"/>
      <c r="H2647" s="2780"/>
      <c r="I2647" s="2780"/>
      <c r="J2647" s="2780"/>
      <c r="K2647" s="2780"/>
      <c r="L2647" s="2780"/>
      <c r="M2647" s="2780"/>
      <c r="N2647" s="2780"/>
      <c r="O2647" s="2780"/>
      <c r="P2647" s="2780"/>
      <c r="Q2647" s="2780"/>
      <c r="R2647" s="2780"/>
      <c r="S2647" s="2780"/>
      <c r="T2647" s="2780"/>
      <c r="U2647" s="2780"/>
      <c r="V2647" s="2780"/>
      <c r="W2647" s="2780"/>
      <c r="X2647" s="2780"/>
      <c r="Y2647" s="2780"/>
      <c r="Z2647" s="2780"/>
      <c r="AA2647" s="2780"/>
      <c r="AB2647" s="2780"/>
    </row>
    <row r="2648" spans="1:28" s="352" customFormat="1" ht="18" customHeight="1" x14ac:dyDescent="0.2">
      <c r="A2648" s="2686" t="s">
        <v>2</v>
      </c>
      <c r="B2648" s="360"/>
      <c r="C2648" s="2686" t="s">
        <v>3</v>
      </c>
      <c r="D2648" s="360"/>
      <c r="E2648" s="360"/>
      <c r="F2648" s="2693" t="s">
        <v>4</v>
      </c>
      <c r="G2648" s="2693"/>
      <c r="H2648" s="2693"/>
      <c r="I2648" s="2694"/>
      <c r="J2648" s="2694"/>
      <c r="K2648" s="2695"/>
      <c r="L2648" s="361"/>
      <c r="M2648" s="2679" t="s">
        <v>5</v>
      </c>
      <c r="N2648" s="2679"/>
      <c r="O2648" s="2679"/>
      <c r="P2648" s="2679"/>
      <c r="Q2648" s="2696"/>
      <c r="R2648" s="2696"/>
      <c r="S2648" s="2696"/>
      <c r="T2648" s="2696"/>
      <c r="U2648" s="2696"/>
      <c r="V2648" s="2697"/>
      <c r="W2648" s="362" t="s">
        <v>6</v>
      </c>
      <c r="X2648" s="363" t="s">
        <v>7</v>
      </c>
      <c r="Y2648" s="364"/>
      <c r="Z2648" s="364"/>
      <c r="AA2648" s="363"/>
      <c r="AB2648" s="365"/>
    </row>
    <row r="2649" spans="1:28" s="352" customFormat="1" ht="18" customHeight="1" x14ac:dyDescent="0.2">
      <c r="A2649" s="2687"/>
      <c r="B2649" s="367"/>
      <c r="C2649" s="2687"/>
      <c r="D2649" s="2158" t="s">
        <v>9</v>
      </c>
      <c r="E2649" s="368" t="s">
        <v>10</v>
      </c>
      <c r="F2649" s="2698" t="s">
        <v>11</v>
      </c>
      <c r="G2649" s="2694"/>
      <c r="H2649" s="2695"/>
      <c r="I2649" s="360"/>
      <c r="J2649" s="369" t="s">
        <v>12</v>
      </c>
      <c r="K2649" s="360"/>
      <c r="L2649" s="2679" t="s">
        <v>2</v>
      </c>
      <c r="M2649" s="2162"/>
      <c r="N2649" s="2162"/>
      <c r="O2649" s="2162"/>
      <c r="P2649" s="371"/>
      <c r="Q2649" s="372" t="s">
        <v>13</v>
      </c>
      <c r="R2649" s="373" t="s">
        <v>12</v>
      </c>
      <c r="S2649" s="2162" t="s">
        <v>6</v>
      </c>
      <c r="T2649" s="2682" t="s">
        <v>14</v>
      </c>
      <c r="U2649" s="2683"/>
      <c r="V2649" s="375" t="s">
        <v>7</v>
      </c>
      <c r="W2649" s="376" t="s">
        <v>15</v>
      </c>
      <c r="X2649" s="377" t="s">
        <v>16</v>
      </c>
      <c r="Y2649" s="377" t="s">
        <v>17</v>
      </c>
      <c r="Z2649" s="377" t="s">
        <v>18</v>
      </c>
      <c r="AA2649" s="377"/>
      <c r="AB2649" s="378" t="s">
        <v>19</v>
      </c>
    </row>
    <row r="2650" spans="1:28" s="352" customFormat="1" ht="18" customHeight="1" x14ac:dyDescent="0.2">
      <c r="A2650" s="2687"/>
      <c r="B2650" s="2158" t="s">
        <v>23</v>
      </c>
      <c r="C2650" s="2687"/>
      <c r="D2650" s="2158" t="s">
        <v>24</v>
      </c>
      <c r="E2650" s="368" t="s">
        <v>25</v>
      </c>
      <c r="F2650" s="2699"/>
      <c r="G2650" s="2700"/>
      <c r="H2650" s="2701"/>
      <c r="I2650" s="2158" t="s">
        <v>26</v>
      </c>
      <c r="J2650" s="379" t="s">
        <v>15</v>
      </c>
      <c r="K2650" s="2159" t="s">
        <v>6</v>
      </c>
      <c r="L2650" s="2680"/>
      <c r="M2650" s="2163" t="s">
        <v>27</v>
      </c>
      <c r="N2650" s="2163" t="s">
        <v>10</v>
      </c>
      <c r="O2650" s="382" t="s">
        <v>10</v>
      </c>
      <c r="P2650" s="383" t="s">
        <v>28</v>
      </c>
      <c r="Q2650" s="384" t="s">
        <v>29</v>
      </c>
      <c r="R2650" s="383" t="s">
        <v>15</v>
      </c>
      <c r="S2650" s="385" t="s">
        <v>15</v>
      </c>
      <c r="T2650" s="2684"/>
      <c r="U2650" s="2685"/>
      <c r="V2650" s="375" t="s">
        <v>30</v>
      </c>
      <c r="W2650" s="376" t="s">
        <v>31</v>
      </c>
      <c r="X2650" s="377" t="s">
        <v>30</v>
      </c>
      <c r="Y2650" s="377" t="s">
        <v>32</v>
      </c>
      <c r="Z2650" s="377" t="s">
        <v>7</v>
      </c>
      <c r="AA2650" s="377" t="s">
        <v>33</v>
      </c>
      <c r="AB2650" s="378" t="s">
        <v>34</v>
      </c>
    </row>
    <row r="2651" spans="1:28" s="352" customFormat="1" ht="18" customHeight="1" x14ac:dyDescent="0.2">
      <c r="A2651" s="2687"/>
      <c r="B2651" s="2158" t="s">
        <v>39</v>
      </c>
      <c r="C2651" s="2687"/>
      <c r="D2651" s="2158" t="s">
        <v>40</v>
      </c>
      <c r="E2651" s="368" t="s">
        <v>41</v>
      </c>
      <c r="F2651" s="2686" t="s">
        <v>42</v>
      </c>
      <c r="G2651" s="2686" t="s">
        <v>43</v>
      </c>
      <c r="H2651" s="2688" t="s">
        <v>44</v>
      </c>
      <c r="I2651" s="2158" t="s">
        <v>45</v>
      </c>
      <c r="J2651" s="379" t="s">
        <v>46</v>
      </c>
      <c r="K2651" s="2159" t="s">
        <v>47</v>
      </c>
      <c r="L2651" s="2680"/>
      <c r="M2651" s="2163" t="s">
        <v>30</v>
      </c>
      <c r="N2651" s="2163" t="s">
        <v>30</v>
      </c>
      <c r="O2651" s="382" t="s">
        <v>25</v>
      </c>
      <c r="P2651" s="383" t="s">
        <v>30</v>
      </c>
      <c r="Q2651" s="384" t="s">
        <v>48</v>
      </c>
      <c r="R2651" s="383" t="s">
        <v>49</v>
      </c>
      <c r="S2651" s="385" t="s">
        <v>30</v>
      </c>
      <c r="T2651" s="386" t="s">
        <v>50</v>
      </c>
      <c r="U2651" s="2161" t="s">
        <v>13</v>
      </c>
      <c r="V2651" s="375" t="s">
        <v>51</v>
      </c>
      <c r="W2651" s="376" t="s">
        <v>52</v>
      </c>
      <c r="X2651" s="377" t="s">
        <v>53</v>
      </c>
      <c r="Y2651" s="377" t="s">
        <v>54</v>
      </c>
      <c r="Z2651" s="377" t="s">
        <v>55</v>
      </c>
      <c r="AA2651" s="377" t="s">
        <v>56</v>
      </c>
      <c r="AB2651" s="378" t="s">
        <v>57</v>
      </c>
    </row>
    <row r="2652" spans="1:28" s="352" customFormat="1" ht="18" customHeight="1" x14ac:dyDescent="0.2">
      <c r="A2652" s="2687"/>
      <c r="B2652" s="2158" t="s">
        <v>61</v>
      </c>
      <c r="C2652" s="2687"/>
      <c r="D2652" s="2158" t="s">
        <v>62</v>
      </c>
      <c r="E2652" s="368" t="s">
        <v>63</v>
      </c>
      <c r="F2652" s="2687"/>
      <c r="G2652" s="2687"/>
      <c r="H2652" s="2689"/>
      <c r="I2652" s="2158" t="s">
        <v>64</v>
      </c>
      <c r="J2652" s="379" t="s">
        <v>59</v>
      </c>
      <c r="K2652" s="2159" t="s">
        <v>59</v>
      </c>
      <c r="L2652" s="2680"/>
      <c r="M2652" s="2163"/>
      <c r="N2652" s="2163"/>
      <c r="O2652" s="382" t="s">
        <v>41</v>
      </c>
      <c r="P2652" s="383" t="s">
        <v>65</v>
      </c>
      <c r="Q2652" s="384" t="s">
        <v>66</v>
      </c>
      <c r="R2652" s="383" t="s">
        <v>67</v>
      </c>
      <c r="S2652" s="385" t="s">
        <v>59</v>
      </c>
      <c r="T2652" s="387" t="s">
        <v>68</v>
      </c>
      <c r="U2652" s="375" t="s">
        <v>14</v>
      </c>
      <c r="V2652" s="375" t="s">
        <v>14</v>
      </c>
      <c r="W2652" s="376" t="s">
        <v>30</v>
      </c>
      <c r="X2652" s="388" t="s">
        <v>69</v>
      </c>
      <c r="Y2652" s="388" t="s">
        <v>70</v>
      </c>
      <c r="Z2652" s="377" t="s">
        <v>71</v>
      </c>
      <c r="AA2652" s="377" t="s">
        <v>72</v>
      </c>
      <c r="AB2652" s="378" t="s">
        <v>59</v>
      </c>
    </row>
    <row r="2653" spans="1:28" s="352" customFormat="1" ht="18" customHeight="1" x14ac:dyDescent="0.2">
      <c r="A2653" s="2692"/>
      <c r="B2653" s="390"/>
      <c r="C2653" s="2692"/>
      <c r="D2653" s="390"/>
      <c r="E2653" s="2160"/>
      <c r="F2653" s="390"/>
      <c r="G2653" s="390"/>
      <c r="H2653" s="391"/>
      <c r="I2653" s="2160"/>
      <c r="J2653" s="392"/>
      <c r="K2653" s="393"/>
      <c r="L2653" s="2681"/>
      <c r="M2653" s="2164"/>
      <c r="N2653" s="2164"/>
      <c r="O2653" s="2164" t="s">
        <v>63</v>
      </c>
      <c r="P2653" s="395"/>
      <c r="Q2653" s="396" t="s">
        <v>72</v>
      </c>
      <c r="R2653" s="397" t="s">
        <v>59</v>
      </c>
      <c r="S2653" s="398"/>
      <c r="T2653" s="397" t="s">
        <v>73</v>
      </c>
      <c r="U2653" s="398" t="s">
        <v>59</v>
      </c>
      <c r="V2653" s="399" t="s">
        <v>59</v>
      </c>
      <c r="W2653" s="400" t="s">
        <v>59</v>
      </c>
      <c r="X2653" s="401" t="s">
        <v>59</v>
      </c>
      <c r="Y2653" s="401" t="s">
        <v>59</v>
      </c>
      <c r="Z2653" s="401" t="s">
        <v>59</v>
      </c>
      <c r="AA2653" s="402"/>
      <c r="AB2653" s="403"/>
    </row>
    <row r="2654" spans="1:28" s="352" customFormat="1" ht="18" customHeight="1" x14ac:dyDescent="0.2">
      <c r="A2654" s="82">
        <v>1</v>
      </c>
      <c r="B2654" s="418">
        <v>23141</v>
      </c>
      <c r="C2654" s="88">
        <v>997</v>
      </c>
      <c r="D2654" s="27" t="s">
        <v>107</v>
      </c>
      <c r="E2654" s="15">
        <v>4</v>
      </c>
      <c r="F2654" s="15">
        <v>0</v>
      </c>
      <c r="G2654" s="15">
        <v>0</v>
      </c>
      <c r="H2654" s="284">
        <v>74</v>
      </c>
      <c r="I2654" s="299">
        <f>F2654*400+G2654*100+H2654</f>
        <v>74</v>
      </c>
      <c r="J2654" s="305">
        <v>3000</v>
      </c>
      <c r="K2654" s="304">
        <f>SUM(I2654*J2654)</f>
        <v>222000</v>
      </c>
      <c r="L2654" s="45"/>
      <c r="M2654" s="88"/>
      <c r="N2654" s="27"/>
      <c r="O2654" s="45"/>
      <c r="P2654" s="802"/>
      <c r="Q2654" s="62"/>
      <c r="R2654" s="299"/>
      <c r="S2654" s="299"/>
      <c r="T2654" s="27"/>
      <c r="U2654" s="299"/>
      <c r="V2654" s="299"/>
      <c r="W2654" s="299">
        <f>K2654+V2654</f>
        <v>222000</v>
      </c>
      <c r="X2654" s="299">
        <f>W2654</f>
        <v>222000</v>
      </c>
      <c r="Y2654" s="305"/>
      <c r="Z2654" s="299">
        <f>+X2654</f>
        <v>222000</v>
      </c>
      <c r="AA2654" s="670">
        <v>0.6</v>
      </c>
      <c r="AB2654" s="465">
        <f>+Z2654*AA2654/100</f>
        <v>1332</v>
      </c>
    </row>
    <row r="2655" spans="1:28" s="352" customFormat="1" ht="18" customHeight="1" x14ac:dyDescent="0.2">
      <c r="A2655" s="231">
        <v>2</v>
      </c>
      <c r="B2655" s="418">
        <v>23165</v>
      </c>
      <c r="C2655" s="88">
        <v>1005</v>
      </c>
      <c r="D2655" s="27" t="s">
        <v>107</v>
      </c>
      <c r="E2655" s="807">
        <v>4</v>
      </c>
      <c r="F2655" s="15">
        <v>0</v>
      </c>
      <c r="G2655" s="15">
        <v>0</v>
      </c>
      <c r="H2655" s="557">
        <v>26</v>
      </c>
      <c r="I2655" s="304">
        <f>F2655*400+G2655*100+H2655</f>
        <v>26</v>
      </c>
      <c r="J2655" s="305">
        <v>3000</v>
      </c>
      <c r="K2655" s="304">
        <f>SUM(I2655*J2655)</f>
        <v>78000</v>
      </c>
      <c r="L2655" s="45"/>
      <c r="M2655" s="88"/>
      <c r="N2655" s="27"/>
      <c r="O2655" s="45"/>
      <c r="P2655" s="802"/>
      <c r="Q2655" s="62"/>
      <c r="R2655" s="299"/>
      <c r="S2655" s="299"/>
      <c r="T2655" s="27"/>
      <c r="U2655" s="299"/>
      <c r="V2655" s="299"/>
      <c r="W2655" s="299">
        <f>K2655+V2655</f>
        <v>78000</v>
      </c>
      <c r="X2655" s="299">
        <f>W2655</f>
        <v>78000</v>
      </c>
      <c r="Y2655" s="305"/>
      <c r="Z2655" s="299">
        <f>+X2655</f>
        <v>78000</v>
      </c>
      <c r="AA2655" s="670">
        <v>0.6</v>
      </c>
      <c r="AB2655" s="410">
        <f>+Z2655*AA2655/100</f>
        <v>468</v>
      </c>
    </row>
    <row r="2656" spans="1:28" s="352" customFormat="1" ht="18" customHeight="1" x14ac:dyDescent="0.25">
      <c r="A2656" s="88">
        <v>3</v>
      </c>
      <c r="B2656" s="418">
        <v>23167</v>
      </c>
      <c r="C2656" s="88">
        <v>1007</v>
      </c>
      <c r="D2656" s="27" t="s">
        <v>107</v>
      </c>
      <c r="E2656" s="27">
        <v>4</v>
      </c>
      <c r="F2656" s="268">
        <v>0</v>
      </c>
      <c r="G2656" s="269">
        <v>1</v>
      </c>
      <c r="H2656" s="1006">
        <v>0</v>
      </c>
      <c r="I2656" s="304">
        <f>F2656*400+G2656*100+H2656</f>
        <v>100</v>
      </c>
      <c r="J2656" s="305">
        <v>3000</v>
      </c>
      <c r="K2656" s="304">
        <f>SUM(I2656*J2656)</f>
        <v>300000</v>
      </c>
      <c r="L2656" s="45"/>
      <c r="M2656" s="88"/>
      <c r="N2656" s="27"/>
      <c r="O2656" s="45"/>
      <c r="P2656" s="802"/>
      <c r="Q2656" s="62"/>
      <c r="R2656" s="299"/>
      <c r="S2656" s="299"/>
      <c r="T2656" s="27"/>
      <c r="U2656" s="299"/>
      <c r="V2656" s="299"/>
      <c r="W2656" s="299">
        <f>K2656+V2656</f>
        <v>300000</v>
      </c>
      <c r="X2656" s="299">
        <f>W2656</f>
        <v>300000</v>
      </c>
      <c r="Y2656" s="305"/>
      <c r="Z2656" s="299">
        <f>+X2656</f>
        <v>300000</v>
      </c>
      <c r="AA2656" s="670">
        <v>0.6</v>
      </c>
      <c r="AB2656" s="416">
        <f>+Z2656*AA2656/100</f>
        <v>1800</v>
      </c>
    </row>
    <row r="2657" spans="1:28" s="352" customFormat="1" ht="18" customHeight="1" x14ac:dyDescent="0.2">
      <c r="A2657" s="2166"/>
      <c r="B2657" s="61"/>
      <c r="C2657" s="2166"/>
      <c r="D2657" s="2166"/>
      <c r="E2657" s="2166"/>
      <c r="F2657" s="2166"/>
      <c r="G2657" s="2166"/>
      <c r="H2657" s="407"/>
      <c r="I2657" s="77"/>
      <c r="J2657" s="2168"/>
      <c r="K2657" s="2168"/>
      <c r="L2657" s="488"/>
      <c r="M2657" s="488"/>
      <c r="N2657" s="488"/>
      <c r="O2657" s="488"/>
      <c r="P2657" s="819"/>
      <c r="Q2657" s="819"/>
      <c r="R2657" s="820"/>
      <c r="S2657" s="820"/>
      <c r="T2657" s="819"/>
      <c r="U2657" s="820"/>
      <c r="V2657" s="821"/>
      <c r="W2657" s="77"/>
      <c r="X2657" s="2168"/>
      <c r="Y2657" s="2168"/>
      <c r="Z2657" s="77"/>
      <c r="AA2657" s="2170"/>
      <c r="AB2657" s="410"/>
    </row>
    <row r="2658" spans="1:28" s="352" customFormat="1" ht="18" customHeight="1" x14ac:dyDescent="0.2">
      <c r="A2658" s="2166"/>
      <c r="B2658" s="61"/>
      <c r="C2658" s="2166"/>
      <c r="D2658" s="2166"/>
      <c r="E2658" s="2166"/>
      <c r="F2658" s="2166"/>
      <c r="G2658" s="2166"/>
      <c r="H2658" s="407"/>
      <c r="I2658" s="77"/>
      <c r="J2658" s="2168"/>
      <c r="K2658" s="78"/>
      <c r="L2658" s="61"/>
      <c r="M2658" s="2166"/>
      <c r="N2658" s="2166"/>
      <c r="O2658" s="61"/>
      <c r="P2658" s="177"/>
      <c r="Q2658" s="196"/>
      <c r="R2658" s="408"/>
      <c r="S2658" s="77"/>
      <c r="T2658" s="2166"/>
      <c r="U2658" s="77"/>
      <c r="V2658" s="77"/>
      <c r="W2658" s="77"/>
      <c r="X2658" s="77"/>
      <c r="Y2658" s="2168"/>
      <c r="Z2658" s="77"/>
      <c r="AA2658" s="2170"/>
      <c r="AB2658" s="410"/>
    </row>
    <row r="2659" spans="1:28" s="352" customFormat="1" ht="18" customHeight="1" x14ac:dyDescent="0.2">
      <c r="A2659" s="2166"/>
      <c r="B2659" s="61"/>
      <c r="C2659" s="2166"/>
      <c r="D2659" s="2166"/>
      <c r="E2659" s="2166"/>
      <c r="F2659" s="2166"/>
      <c r="G2659" s="2166"/>
      <c r="H2659" s="407"/>
      <c r="I2659" s="77"/>
      <c r="J2659" s="2168"/>
      <c r="K2659" s="78"/>
      <c r="L2659" s="61"/>
      <c r="M2659" s="2166"/>
      <c r="N2659" s="2166"/>
      <c r="O2659" s="61"/>
      <c r="P2659" s="177"/>
      <c r="Q2659" s="196"/>
      <c r="R2659" s="408"/>
      <c r="S2659" s="77"/>
      <c r="T2659" s="2166"/>
      <c r="U2659" s="77"/>
      <c r="V2659" s="77"/>
      <c r="W2659" s="77"/>
      <c r="X2659" s="77"/>
      <c r="Y2659" s="2168"/>
      <c r="Z2659" s="77"/>
      <c r="AA2659" s="2170"/>
      <c r="AB2659" s="410"/>
    </row>
    <row r="2660" spans="1:28" s="352" customFormat="1" ht="18" customHeight="1" x14ac:dyDescent="0.2">
      <c r="A2660" s="2166"/>
      <c r="B2660" s="61"/>
      <c r="C2660" s="2166"/>
      <c r="D2660" s="2166"/>
      <c r="E2660" s="2166"/>
      <c r="F2660" s="2166"/>
      <c r="G2660" s="2166"/>
      <c r="H2660" s="407"/>
      <c r="I2660" s="77"/>
      <c r="J2660" s="2168"/>
      <c r="K2660" s="78"/>
      <c r="L2660" s="61"/>
      <c r="M2660" s="2166"/>
      <c r="N2660" s="2166"/>
      <c r="O2660" s="61"/>
      <c r="P2660" s="177"/>
      <c r="Q2660" s="196"/>
      <c r="R2660" s="408"/>
      <c r="S2660" s="77"/>
      <c r="T2660" s="2166"/>
      <c r="U2660" s="77"/>
      <c r="V2660" s="77"/>
      <c r="W2660" s="77"/>
      <c r="X2660" s="77"/>
      <c r="Y2660" s="2168"/>
      <c r="Z2660" s="77"/>
      <c r="AA2660" s="2170"/>
      <c r="AB2660" s="410"/>
    </row>
    <row r="2661" spans="1:28" s="352" customFormat="1" ht="18" customHeight="1" x14ac:dyDescent="0.2">
      <c r="A2661" s="88"/>
      <c r="B2661" s="75"/>
      <c r="C2661" s="88"/>
      <c r="D2661" s="88"/>
      <c r="E2661" s="2166"/>
      <c r="F2661" s="411"/>
      <c r="G2661" s="242"/>
      <c r="H2661" s="412"/>
      <c r="I2661" s="159"/>
      <c r="J2661" s="121"/>
      <c r="K2661" s="159"/>
      <c r="L2661" s="75"/>
      <c r="M2661" s="88"/>
      <c r="N2661" s="88"/>
      <c r="O2661" s="75"/>
      <c r="P2661" s="180"/>
      <c r="Q2661" s="174"/>
      <c r="R2661" s="413"/>
      <c r="S2661" s="74"/>
      <c r="T2661" s="88"/>
      <c r="U2661" s="74"/>
      <c r="V2661" s="74"/>
      <c r="W2661" s="74"/>
      <c r="X2661" s="74"/>
      <c r="Y2661" s="121"/>
      <c r="Z2661" s="74"/>
      <c r="AA2661" s="414"/>
      <c r="AB2661" s="415"/>
    </row>
    <row r="2662" spans="1:28" s="352" customFormat="1" ht="18" customHeight="1" x14ac:dyDescent="0.2">
      <c r="A2662" s="88"/>
      <c r="B2662" s="75"/>
      <c r="C2662" s="88"/>
      <c r="D2662" s="88"/>
      <c r="E2662" s="2166"/>
      <c r="F2662" s="411"/>
      <c r="G2662" s="242"/>
      <c r="H2662" s="412"/>
      <c r="I2662" s="159"/>
      <c r="J2662" s="121"/>
      <c r="K2662" s="159"/>
      <c r="L2662" s="75"/>
      <c r="M2662" s="88"/>
      <c r="N2662" s="88"/>
      <c r="O2662" s="75"/>
      <c r="P2662" s="180"/>
      <c r="Q2662" s="174"/>
      <c r="R2662" s="413"/>
      <c r="S2662" s="74"/>
      <c r="T2662" s="88"/>
      <c r="U2662" s="74"/>
      <c r="V2662" s="74"/>
      <c r="W2662" s="74"/>
      <c r="X2662" s="74"/>
      <c r="Y2662" s="121"/>
      <c r="Z2662" s="74"/>
      <c r="AA2662" s="414"/>
      <c r="AB2662" s="416"/>
    </row>
    <row r="2663" spans="1:28" s="352" customFormat="1" ht="18" customHeight="1" x14ac:dyDescent="0.2">
      <c r="A2663" s="88"/>
      <c r="B2663" s="75"/>
      <c r="C2663" s="88"/>
      <c r="D2663" s="88"/>
      <c r="E2663" s="2166"/>
      <c r="F2663" s="411"/>
      <c r="G2663" s="242"/>
      <c r="H2663" s="412"/>
      <c r="I2663" s="159"/>
      <c r="J2663" s="121"/>
      <c r="K2663" s="159"/>
      <c r="L2663" s="75"/>
      <c r="M2663" s="88"/>
      <c r="N2663" s="88"/>
      <c r="O2663" s="75"/>
      <c r="P2663" s="180"/>
      <c r="Q2663" s="174"/>
      <c r="R2663" s="413"/>
      <c r="S2663" s="74"/>
      <c r="T2663" s="88"/>
      <c r="U2663" s="74"/>
      <c r="V2663" s="74"/>
      <c r="W2663" s="74"/>
      <c r="X2663" s="74"/>
      <c r="Y2663" s="121"/>
      <c r="Z2663" s="74"/>
      <c r="AA2663" s="414"/>
      <c r="AB2663" s="415"/>
    </row>
    <row r="2664" spans="1:28" s="352" customFormat="1" ht="18" customHeight="1" x14ac:dyDescent="0.2">
      <c r="A2664" s="88"/>
      <c r="B2664" s="75"/>
      <c r="C2664" s="88"/>
      <c r="D2664" s="231"/>
      <c r="E2664" s="2166"/>
      <c r="F2664" s="411"/>
      <c r="G2664" s="242"/>
      <c r="H2664" s="412"/>
      <c r="I2664" s="159"/>
      <c r="J2664" s="121"/>
      <c r="K2664" s="159"/>
      <c r="L2664" s="75"/>
      <c r="M2664" s="88"/>
      <c r="N2664" s="88"/>
      <c r="O2664" s="75"/>
      <c r="P2664" s="180"/>
      <c r="Q2664" s="174"/>
      <c r="R2664" s="413"/>
      <c r="S2664" s="74"/>
      <c r="T2664" s="88"/>
      <c r="U2664" s="74"/>
      <c r="V2664" s="74"/>
      <c r="W2664" s="74"/>
      <c r="X2664" s="74"/>
      <c r="Y2664" s="121"/>
      <c r="Z2664" s="74"/>
      <c r="AA2664" s="417"/>
      <c r="AB2664" s="410"/>
    </row>
    <row r="2665" spans="1:28" s="352" customFormat="1" ht="18" customHeight="1" x14ac:dyDescent="0.2">
      <c r="A2665" s="88"/>
      <c r="B2665" s="75"/>
      <c r="C2665" s="88"/>
      <c r="D2665" s="2165"/>
      <c r="E2665" s="2166"/>
      <c r="F2665" s="411"/>
      <c r="G2665" s="242"/>
      <c r="H2665" s="412"/>
      <c r="I2665" s="159"/>
      <c r="J2665" s="121"/>
      <c r="K2665" s="159"/>
      <c r="L2665" s="75"/>
      <c r="M2665" s="88"/>
      <c r="N2665" s="88"/>
      <c r="O2665" s="75"/>
      <c r="P2665" s="180"/>
      <c r="Q2665" s="174"/>
      <c r="R2665" s="413"/>
      <c r="S2665" s="74"/>
      <c r="T2665" s="88"/>
      <c r="U2665" s="74"/>
      <c r="V2665" s="74"/>
      <c r="W2665" s="74"/>
      <c r="X2665" s="74"/>
      <c r="Y2665" s="121"/>
      <c r="Z2665" s="74"/>
      <c r="AA2665" s="417"/>
      <c r="AB2665" s="410"/>
    </row>
    <row r="2666" spans="1:28" s="352" customFormat="1" ht="18" customHeight="1" x14ac:dyDescent="0.2">
      <c r="A2666" s="88"/>
      <c r="B2666" s="75"/>
      <c r="C2666" s="88"/>
      <c r="D2666" s="2165"/>
      <c r="E2666" s="2166"/>
      <c r="F2666" s="411"/>
      <c r="G2666" s="242"/>
      <c r="H2666" s="412"/>
      <c r="I2666" s="159"/>
      <c r="J2666" s="121"/>
      <c r="K2666" s="159"/>
      <c r="L2666" s="75"/>
      <c r="M2666" s="88"/>
      <c r="N2666" s="88"/>
      <c r="O2666" s="75"/>
      <c r="P2666" s="180"/>
      <c r="Q2666" s="174"/>
      <c r="R2666" s="413"/>
      <c r="S2666" s="74"/>
      <c r="T2666" s="88"/>
      <c r="U2666" s="74"/>
      <c r="V2666" s="74"/>
      <c r="W2666" s="74"/>
      <c r="X2666" s="74"/>
      <c r="Y2666" s="121"/>
      <c r="Z2666" s="74"/>
      <c r="AA2666" s="414"/>
      <c r="AB2666" s="416"/>
    </row>
    <row r="2667" spans="1:28" s="352" customFormat="1" ht="18" customHeight="1" x14ac:dyDescent="0.2">
      <c r="A2667" s="88"/>
      <c r="B2667" s="418"/>
      <c r="C2667" s="88"/>
      <c r="D2667" s="88"/>
      <c r="E2667" s="88"/>
      <c r="F2667" s="411"/>
      <c r="G2667" s="242"/>
      <c r="H2667" s="412"/>
      <c r="I2667" s="159"/>
      <c r="J2667" s="121"/>
      <c r="K2667" s="159"/>
      <c r="L2667" s="75"/>
      <c r="M2667" s="88"/>
      <c r="N2667" s="88"/>
      <c r="O2667" s="75"/>
      <c r="P2667" s="180"/>
      <c r="Q2667" s="174"/>
      <c r="R2667" s="413"/>
      <c r="S2667" s="74"/>
      <c r="T2667" s="88"/>
      <c r="U2667" s="74"/>
      <c r="V2667" s="74"/>
      <c r="W2667" s="74"/>
      <c r="X2667" s="74"/>
      <c r="Y2667" s="121"/>
      <c r="Z2667" s="74"/>
      <c r="AA2667" s="414"/>
      <c r="AB2667" s="410"/>
    </row>
    <row r="2668" spans="1:28" s="352" customFormat="1" ht="18" customHeight="1" x14ac:dyDescent="0.2">
      <c r="A2668" s="1147"/>
      <c r="B2668" s="1989"/>
      <c r="C2668" s="1147"/>
      <c r="D2668" s="1147"/>
      <c r="E2668" s="1147"/>
      <c r="F2668" s="1147"/>
      <c r="G2668" s="1147"/>
      <c r="H2668" s="1990"/>
      <c r="I2668" s="1991"/>
      <c r="J2668" s="1868"/>
      <c r="K2668" s="1992"/>
      <c r="L2668" s="1989"/>
      <c r="M2668" s="1147"/>
      <c r="N2668" s="1147"/>
      <c r="O2668" s="1989"/>
      <c r="P2668" s="1867"/>
      <c r="Q2668" s="1993"/>
      <c r="R2668" s="1994"/>
      <c r="S2668" s="1991"/>
      <c r="T2668" s="1147"/>
      <c r="U2668" s="1991"/>
      <c r="V2668" s="1991"/>
      <c r="W2668" s="1991"/>
      <c r="X2668" s="1991"/>
      <c r="Y2668" s="1868"/>
      <c r="Z2668" s="1991"/>
      <c r="AA2668" s="1995"/>
      <c r="AB2668" s="1849">
        <f>SUM(AB2654:AB2667)</f>
        <v>3600</v>
      </c>
    </row>
    <row r="2669" spans="1:28" s="352" customFormat="1" ht="18" customHeight="1" x14ac:dyDescent="0.2">
      <c r="A2669" s="2788" t="s">
        <v>76</v>
      </c>
      <c r="B2669" s="2788"/>
      <c r="C2669" s="2779" t="s">
        <v>77</v>
      </c>
      <c r="D2669" s="2779"/>
      <c r="E2669" s="2779"/>
      <c r="F2669" s="2779"/>
      <c r="G2669" s="2779"/>
      <c r="H2669" s="2779"/>
      <c r="I2669" s="424" t="s">
        <v>78</v>
      </c>
      <c r="J2669" s="424"/>
      <c r="K2669" s="424"/>
      <c r="L2669" s="424"/>
      <c r="M2669" s="424"/>
      <c r="N2669" s="424"/>
      <c r="AB2669" s="425"/>
    </row>
    <row r="2670" spans="1:28" s="352" customFormat="1" ht="18" customHeight="1" x14ac:dyDescent="0.2">
      <c r="A2670" s="424"/>
      <c r="B2670" s="426"/>
      <c r="C2670" s="424"/>
      <c r="D2670" s="424"/>
      <c r="E2670" s="424"/>
      <c r="F2670" s="424"/>
      <c r="G2670" s="424"/>
      <c r="H2670" s="424"/>
      <c r="I2670" s="424" t="s">
        <v>79</v>
      </c>
      <c r="J2670" s="424"/>
      <c r="K2670" s="424"/>
      <c r="L2670" s="424"/>
      <c r="M2670" s="424"/>
      <c r="N2670" s="424"/>
      <c r="AB2670" s="425"/>
    </row>
    <row r="2671" spans="1:28" s="352" customFormat="1" ht="18" customHeight="1" x14ac:dyDescent="0.2">
      <c r="A2671" s="424"/>
      <c r="B2671" s="426"/>
      <c r="C2671" s="424"/>
      <c r="D2671" s="424"/>
      <c r="E2671" s="424"/>
      <c r="F2671" s="424"/>
      <c r="G2671" s="424"/>
      <c r="H2671" s="424"/>
      <c r="I2671" s="424" t="s">
        <v>80</v>
      </c>
      <c r="J2671" s="424"/>
      <c r="K2671" s="424"/>
      <c r="L2671" s="424"/>
      <c r="M2671" s="424"/>
      <c r="N2671" s="424"/>
      <c r="AB2671" s="425"/>
    </row>
    <row r="2672" spans="1:28" s="352" customFormat="1" ht="18" customHeight="1" x14ac:dyDescent="0.2">
      <c r="A2672" s="424"/>
      <c r="B2672" s="426"/>
      <c r="C2672" s="424"/>
      <c r="D2672" s="424"/>
      <c r="E2672" s="424"/>
      <c r="F2672" s="424"/>
      <c r="G2672" s="424"/>
      <c r="H2672" s="424"/>
      <c r="I2672" s="424" t="s">
        <v>81</v>
      </c>
      <c r="J2672" s="424"/>
      <c r="K2672" s="424"/>
      <c r="L2672" s="424"/>
      <c r="M2672" s="424"/>
      <c r="N2672" s="424"/>
      <c r="AB2672" s="425"/>
    </row>
    <row r="2673" spans="1:28" s="352" customFormat="1" ht="18" customHeight="1" x14ac:dyDescent="0.2">
      <c r="A2673" s="424"/>
      <c r="B2673" s="426"/>
      <c r="C2673" s="424"/>
      <c r="D2673" s="424"/>
      <c r="E2673" s="424"/>
      <c r="F2673" s="424"/>
      <c r="G2673" s="424"/>
      <c r="H2673" s="424"/>
      <c r="I2673" s="424" t="s">
        <v>88</v>
      </c>
      <c r="J2673" s="424"/>
      <c r="K2673" s="424"/>
      <c r="L2673" s="424"/>
      <c r="M2673" s="424"/>
      <c r="N2673" s="424"/>
      <c r="AB2673" s="425"/>
    </row>
    <row r="2674" spans="1:28" s="352" customFormat="1" ht="18" customHeight="1" x14ac:dyDescent="0.2">
      <c r="A2674" s="338"/>
      <c r="B2674" s="338"/>
      <c r="C2674" s="338"/>
      <c r="D2674" s="338"/>
      <c r="E2674" s="338"/>
      <c r="F2674" s="338"/>
      <c r="G2674" s="338"/>
      <c r="H2674" s="338"/>
      <c r="I2674" s="338"/>
      <c r="J2674" s="338"/>
      <c r="K2674" s="338"/>
      <c r="L2674" s="338"/>
      <c r="M2674" s="338"/>
      <c r="N2674" s="338"/>
      <c r="O2674" s="338"/>
      <c r="P2674" s="338"/>
      <c r="Q2674" s="338"/>
      <c r="R2674" s="338"/>
      <c r="S2674" s="338"/>
      <c r="T2674" s="338"/>
      <c r="U2674" s="338"/>
      <c r="V2674" s="338"/>
      <c r="W2674" s="338"/>
      <c r="X2674" s="338"/>
      <c r="Y2674" s="338"/>
      <c r="Z2674" s="338"/>
      <c r="AA2674" s="2774" t="s">
        <v>0</v>
      </c>
      <c r="AB2674" s="2774"/>
    </row>
    <row r="2675" spans="1:28" s="352" customFormat="1" ht="18" customHeight="1" x14ac:dyDescent="0.2">
      <c r="A2675" s="2703" t="s">
        <v>1</v>
      </c>
      <c r="B2675" s="2703"/>
      <c r="C2675" s="2703"/>
      <c r="D2675" s="2703"/>
      <c r="E2675" s="2703"/>
      <c r="F2675" s="2703"/>
      <c r="G2675" s="2703"/>
      <c r="H2675" s="2703"/>
      <c r="I2675" s="2703"/>
      <c r="J2675" s="2703"/>
      <c r="K2675" s="2703"/>
      <c r="L2675" s="2703"/>
      <c r="M2675" s="2703"/>
      <c r="N2675" s="2703"/>
      <c r="O2675" s="2703"/>
      <c r="P2675" s="2703"/>
      <c r="Q2675" s="2703"/>
      <c r="R2675" s="2703"/>
      <c r="S2675" s="2703"/>
      <c r="T2675" s="2703"/>
      <c r="U2675" s="2703"/>
      <c r="V2675" s="2703"/>
      <c r="W2675" s="2703"/>
      <c r="X2675" s="2703"/>
      <c r="Y2675" s="2703"/>
      <c r="Z2675" s="2703"/>
      <c r="AA2675" s="2703"/>
      <c r="AB2675" s="2703"/>
    </row>
    <row r="2676" spans="1:28" s="352" customFormat="1" ht="18" customHeight="1" x14ac:dyDescent="0.2">
      <c r="A2676" s="2780" t="s">
        <v>681</v>
      </c>
      <c r="B2676" s="2780"/>
      <c r="C2676" s="2780"/>
      <c r="D2676" s="2780"/>
      <c r="E2676" s="2780"/>
      <c r="F2676" s="2780"/>
      <c r="G2676" s="2780"/>
      <c r="H2676" s="2780"/>
      <c r="I2676" s="2780"/>
      <c r="J2676" s="2780"/>
      <c r="K2676" s="2780"/>
      <c r="L2676" s="2780"/>
      <c r="M2676" s="2780"/>
      <c r="N2676" s="2780"/>
      <c r="O2676" s="2780"/>
      <c r="P2676" s="2780"/>
      <c r="Q2676" s="2780"/>
      <c r="R2676" s="2780"/>
      <c r="S2676" s="2780"/>
      <c r="T2676" s="2780"/>
      <c r="U2676" s="2780"/>
      <c r="V2676" s="2780"/>
      <c r="W2676" s="2780"/>
      <c r="X2676" s="2780"/>
      <c r="Y2676" s="2780"/>
      <c r="Z2676" s="2780"/>
      <c r="AA2676" s="2780"/>
      <c r="AB2676" s="2780"/>
    </row>
    <row r="2677" spans="1:28" s="352" customFormat="1" ht="18" customHeight="1" x14ac:dyDescent="0.2">
      <c r="A2677" s="2686" t="s">
        <v>2</v>
      </c>
      <c r="B2677" s="360"/>
      <c r="C2677" s="2686" t="s">
        <v>3</v>
      </c>
      <c r="D2677" s="360"/>
      <c r="E2677" s="360"/>
      <c r="F2677" s="2693" t="s">
        <v>4</v>
      </c>
      <c r="G2677" s="2693"/>
      <c r="H2677" s="2693"/>
      <c r="I2677" s="2694"/>
      <c r="J2677" s="2694"/>
      <c r="K2677" s="2695"/>
      <c r="L2677" s="361"/>
      <c r="M2677" s="2679" t="s">
        <v>5</v>
      </c>
      <c r="N2677" s="2679"/>
      <c r="O2677" s="2679"/>
      <c r="P2677" s="2679"/>
      <c r="Q2677" s="2696"/>
      <c r="R2677" s="2696"/>
      <c r="S2677" s="2696"/>
      <c r="T2677" s="2696"/>
      <c r="U2677" s="2696"/>
      <c r="V2677" s="2697"/>
      <c r="W2677" s="362" t="s">
        <v>6</v>
      </c>
      <c r="X2677" s="363" t="s">
        <v>7</v>
      </c>
      <c r="Y2677" s="364"/>
      <c r="Z2677" s="364"/>
      <c r="AA2677" s="363"/>
      <c r="AB2677" s="365"/>
    </row>
    <row r="2678" spans="1:28" s="352" customFormat="1" ht="18" customHeight="1" x14ac:dyDescent="0.2">
      <c r="A2678" s="2687"/>
      <c r="B2678" s="367"/>
      <c r="C2678" s="2687"/>
      <c r="D2678" s="2158" t="s">
        <v>9</v>
      </c>
      <c r="E2678" s="368" t="s">
        <v>10</v>
      </c>
      <c r="F2678" s="2698" t="s">
        <v>11</v>
      </c>
      <c r="G2678" s="2694"/>
      <c r="H2678" s="2695"/>
      <c r="I2678" s="360"/>
      <c r="J2678" s="369" t="s">
        <v>12</v>
      </c>
      <c r="K2678" s="360"/>
      <c r="L2678" s="2679" t="s">
        <v>2</v>
      </c>
      <c r="M2678" s="2162"/>
      <c r="N2678" s="2162"/>
      <c r="O2678" s="2162"/>
      <c r="P2678" s="371"/>
      <c r="Q2678" s="372" t="s">
        <v>13</v>
      </c>
      <c r="R2678" s="373" t="s">
        <v>12</v>
      </c>
      <c r="S2678" s="2162" t="s">
        <v>6</v>
      </c>
      <c r="T2678" s="2682" t="s">
        <v>14</v>
      </c>
      <c r="U2678" s="2683"/>
      <c r="V2678" s="375" t="s">
        <v>7</v>
      </c>
      <c r="W2678" s="376" t="s">
        <v>15</v>
      </c>
      <c r="X2678" s="377" t="s">
        <v>16</v>
      </c>
      <c r="Y2678" s="377" t="s">
        <v>17</v>
      </c>
      <c r="Z2678" s="377" t="s">
        <v>18</v>
      </c>
      <c r="AA2678" s="377"/>
      <c r="AB2678" s="378" t="s">
        <v>19</v>
      </c>
    </row>
    <row r="2679" spans="1:28" s="352" customFormat="1" ht="18" customHeight="1" x14ac:dyDescent="0.2">
      <c r="A2679" s="2687"/>
      <c r="B2679" s="2158" t="s">
        <v>23</v>
      </c>
      <c r="C2679" s="2687"/>
      <c r="D2679" s="2158" t="s">
        <v>24</v>
      </c>
      <c r="E2679" s="368" t="s">
        <v>25</v>
      </c>
      <c r="F2679" s="2699"/>
      <c r="G2679" s="2700"/>
      <c r="H2679" s="2701"/>
      <c r="I2679" s="2158" t="s">
        <v>26</v>
      </c>
      <c r="J2679" s="379" t="s">
        <v>15</v>
      </c>
      <c r="K2679" s="2159" t="s">
        <v>6</v>
      </c>
      <c r="L2679" s="2680"/>
      <c r="M2679" s="2163" t="s">
        <v>27</v>
      </c>
      <c r="N2679" s="2163" t="s">
        <v>10</v>
      </c>
      <c r="O2679" s="382" t="s">
        <v>10</v>
      </c>
      <c r="P2679" s="383" t="s">
        <v>28</v>
      </c>
      <c r="Q2679" s="384" t="s">
        <v>29</v>
      </c>
      <c r="R2679" s="383" t="s">
        <v>15</v>
      </c>
      <c r="S2679" s="385" t="s">
        <v>15</v>
      </c>
      <c r="T2679" s="2684"/>
      <c r="U2679" s="2685"/>
      <c r="V2679" s="375" t="s">
        <v>30</v>
      </c>
      <c r="W2679" s="376" t="s">
        <v>31</v>
      </c>
      <c r="X2679" s="377" t="s">
        <v>30</v>
      </c>
      <c r="Y2679" s="377" t="s">
        <v>32</v>
      </c>
      <c r="Z2679" s="377" t="s">
        <v>7</v>
      </c>
      <c r="AA2679" s="377" t="s">
        <v>33</v>
      </c>
      <c r="AB2679" s="378" t="s">
        <v>34</v>
      </c>
    </row>
    <row r="2680" spans="1:28" s="352" customFormat="1" ht="18" customHeight="1" x14ac:dyDescent="0.2">
      <c r="A2680" s="2687"/>
      <c r="B2680" s="2158" t="s">
        <v>39</v>
      </c>
      <c r="C2680" s="2687"/>
      <c r="D2680" s="2158" t="s">
        <v>40</v>
      </c>
      <c r="E2680" s="368" t="s">
        <v>41</v>
      </c>
      <c r="F2680" s="2686" t="s">
        <v>42</v>
      </c>
      <c r="G2680" s="2686" t="s">
        <v>43</v>
      </c>
      <c r="H2680" s="2688" t="s">
        <v>44</v>
      </c>
      <c r="I2680" s="2158" t="s">
        <v>45</v>
      </c>
      <c r="J2680" s="379" t="s">
        <v>46</v>
      </c>
      <c r="K2680" s="2159" t="s">
        <v>47</v>
      </c>
      <c r="L2680" s="2680"/>
      <c r="M2680" s="2163" t="s">
        <v>30</v>
      </c>
      <c r="N2680" s="2163" t="s">
        <v>30</v>
      </c>
      <c r="O2680" s="382" t="s">
        <v>25</v>
      </c>
      <c r="P2680" s="383" t="s">
        <v>30</v>
      </c>
      <c r="Q2680" s="384" t="s">
        <v>48</v>
      </c>
      <c r="R2680" s="383" t="s">
        <v>49</v>
      </c>
      <c r="S2680" s="385" t="s">
        <v>30</v>
      </c>
      <c r="T2680" s="386" t="s">
        <v>50</v>
      </c>
      <c r="U2680" s="2161" t="s">
        <v>13</v>
      </c>
      <c r="V2680" s="375" t="s">
        <v>51</v>
      </c>
      <c r="W2680" s="376" t="s">
        <v>52</v>
      </c>
      <c r="X2680" s="377" t="s">
        <v>53</v>
      </c>
      <c r="Y2680" s="377" t="s">
        <v>54</v>
      </c>
      <c r="Z2680" s="377" t="s">
        <v>55</v>
      </c>
      <c r="AA2680" s="377" t="s">
        <v>56</v>
      </c>
      <c r="AB2680" s="378" t="s">
        <v>57</v>
      </c>
    </row>
    <row r="2681" spans="1:28" s="352" customFormat="1" ht="18" customHeight="1" x14ac:dyDescent="0.2">
      <c r="A2681" s="2687"/>
      <c r="B2681" s="2158" t="s">
        <v>61</v>
      </c>
      <c r="C2681" s="2687"/>
      <c r="D2681" s="2158" t="s">
        <v>62</v>
      </c>
      <c r="E2681" s="368" t="s">
        <v>63</v>
      </c>
      <c r="F2681" s="2687"/>
      <c r="G2681" s="2687"/>
      <c r="H2681" s="2689"/>
      <c r="I2681" s="2158" t="s">
        <v>64</v>
      </c>
      <c r="J2681" s="379" t="s">
        <v>59</v>
      </c>
      <c r="K2681" s="2159" t="s">
        <v>59</v>
      </c>
      <c r="L2681" s="2680"/>
      <c r="M2681" s="2163"/>
      <c r="N2681" s="2163"/>
      <c r="O2681" s="382" t="s">
        <v>41</v>
      </c>
      <c r="P2681" s="383" t="s">
        <v>65</v>
      </c>
      <c r="Q2681" s="384" t="s">
        <v>66</v>
      </c>
      <c r="R2681" s="383" t="s">
        <v>67</v>
      </c>
      <c r="S2681" s="385" t="s">
        <v>59</v>
      </c>
      <c r="T2681" s="387" t="s">
        <v>68</v>
      </c>
      <c r="U2681" s="375" t="s">
        <v>14</v>
      </c>
      <c r="V2681" s="375" t="s">
        <v>14</v>
      </c>
      <c r="W2681" s="376" t="s">
        <v>30</v>
      </c>
      <c r="X2681" s="388" t="s">
        <v>69</v>
      </c>
      <c r="Y2681" s="388" t="s">
        <v>70</v>
      </c>
      <c r="Z2681" s="377" t="s">
        <v>71</v>
      </c>
      <c r="AA2681" s="377" t="s">
        <v>72</v>
      </c>
      <c r="AB2681" s="378" t="s">
        <v>59</v>
      </c>
    </row>
    <row r="2682" spans="1:28" s="352" customFormat="1" ht="18" customHeight="1" x14ac:dyDescent="0.2">
      <c r="A2682" s="2692"/>
      <c r="B2682" s="390"/>
      <c r="C2682" s="2692"/>
      <c r="D2682" s="390"/>
      <c r="E2682" s="2160"/>
      <c r="F2682" s="390"/>
      <c r="G2682" s="390"/>
      <c r="H2682" s="391"/>
      <c r="I2682" s="2160"/>
      <c r="J2682" s="392"/>
      <c r="K2682" s="393"/>
      <c r="L2682" s="2681"/>
      <c r="M2682" s="2164"/>
      <c r="N2682" s="2164"/>
      <c r="O2682" s="2164" t="s">
        <v>63</v>
      </c>
      <c r="P2682" s="395"/>
      <c r="Q2682" s="396" t="s">
        <v>72</v>
      </c>
      <c r="R2682" s="397" t="s">
        <v>59</v>
      </c>
      <c r="S2682" s="398"/>
      <c r="T2682" s="397" t="s">
        <v>73</v>
      </c>
      <c r="U2682" s="398" t="s">
        <v>59</v>
      </c>
      <c r="V2682" s="399" t="s">
        <v>59</v>
      </c>
      <c r="W2682" s="400" t="s">
        <v>59</v>
      </c>
      <c r="X2682" s="401" t="s">
        <v>59</v>
      </c>
      <c r="Y2682" s="401" t="s">
        <v>59</v>
      </c>
      <c r="Z2682" s="401" t="s">
        <v>59</v>
      </c>
      <c r="AA2682" s="402"/>
      <c r="AB2682" s="403"/>
    </row>
    <row r="2683" spans="1:28" s="352" customFormat="1" ht="18" customHeight="1" x14ac:dyDescent="0.2">
      <c r="A2683" s="82">
        <v>1</v>
      </c>
      <c r="B2683" s="53">
        <v>64009</v>
      </c>
      <c r="C2683" s="82">
        <v>1695</v>
      </c>
      <c r="D2683" s="41" t="s">
        <v>107</v>
      </c>
      <c r="E2683" s="41">
        <v>4</v>
      </c>
      <c r="F2683" s="41">
        <v>0</v>
      </c>
      <c r="G2683" s="41">
        <v>0</v>
      </c>
      <c r="H2683" s="267">
        <v>79</v>
      </c>
      <c r="I2683" s="302">
        <f>F2683*400+G2683*100+H2683</f>
        <v>79</v>
      </c>
      <c r="J2683" s="310">
        <v>280</v>
      </c>
      <c r="K2683" s="311">
        <f>SUM(I2683*J2683)</f>
        <v>22120</v>
      </c>
      <c r="L2683" s="16"/>
      <c r="M2683" s="82"/>
      <c r="N2683" s="41"/>
      <c r="O2683" s="16">
        <v>4</v>
      </c>
      <c r="P2683" s="404"/>
      <c r="Q2683" s="14"/>
      <c r="R2683" s="302"/>
      <c r="S2683" s="302"/>
      <c r="T2683" s="41"/>
      <c r="U2683" s="302"/>
      <c r="V2683" s="302"/>
      <c r="W2683" s="302">
        <f>K2683+V2683</f>
        <v>22120</v>
      </c>
      <c r="X2683" s="302">
        <f>W2683</f>
        <v>22120</v>
      </c>
      <c r="Y2683" s="310"/>
      <c r="Z2683" s="310">
        <f>+X2683</f>
        <v>22120</v>
      </c>
      <c r="AA2683" s="405">
        <v>0.6</v>
      </c>
      <c r="AB2683" s="465">
        <f>+Z2683*AA2683/100</f>
        <v>132.72</v>
      </c>
    </row>
    <row r="2684" spans="1:28" s="352" customFormat="1" ht="18" customHeight="1" x14ac:dyDescent="0.2">
      <c r="A2684" s="231">
        <v>2</v>
      </c>
      <c r="B2684" s="418">
        <v>63664</v>
      </c>
      <c r="C2684" s="88">
        <v>1873</v>
      </c>
      <c r="D2684" s="27"/>
      <c r="E2684" s="15"/>
      <c r="F2684" s="15">
        <v>0</v>
      </c>
      <c r="G2684" s="15">
        <v>1</v>
      </c>
      <c r="H2684" s="284">
        <v>0</v>
      </c>
      <c r="I2684" s="299">
        <f>F2684*400+G2684*100+H2684</f>
        <v>100</v>
      </c>
      <c r="J2684" s="305">
        <v>810</v>
      </c>
      <c r="K2684" s="312">
        <f>SUM(I2684*J2684)</f>
        <v>81000</v>
      </c>
      <c r="L2684" s="45"/>
      <c r="M2684" s="88"/>
      <c r="N2684" s="27"/>
      <c r="O2684" s="45">
        <v>4</v>
      </c>
      <c r="P2684" s="802"/>
      <c r="Q2684" s="62"/>
      <c r="R2684" s="299"/>
      <c r="S2684" s="299"/>
      <c r="T2684" s="27"/>
      <c r="U2684" s="299"/>
      <c r="V2684" s="299"/>
      <c r="W2684" s="299">
        <f>K2684+V2684</f>
        <v>81000</v>
      </c>
      <c r="X2684" s="299">
        <f>W2684</f>
        <v>81000</v>
      </c>
      <c r="Y2684" s="305"/>
      <c r="Z2684" s="305">
        <f>+X2684</f>
        <v>81000</v>
      </c>
      <c r="AA2684" s="670">
        <v>0.6</v>
      </c>
      <c r="AB2684" s="410">
        <f>+Z2684*AA2684/100</f>
        <v>486</v>
      </c>
    </row>
    <row r="2685" spans="1:28" s="352" customFormat="1" ht="18" customHeight="1" x14ac:dyDescent="0.2">
      <c r="A2685" s="88"/>
      <c r="B2685" s="61"/>
      <c r="C2685" s="2166"/>
      <c r="D2685" s="2166"/>
      <c r="E2685" s="2166"/>
      <c r="F2685" s="2166"/>
      <c r="G2685" s="2166"/>
      <c r="H2685" s="407"/>
      <c r="I2685" s="77"/>
      <c r="J2685" s="2168"/>
      <c r="K2685" s="2168"/>
      <c r="L2685" s="488"/>
      <c r="M2685" s="488"/>
      <c r="N2685" s="488"/>
      <c r="O2685" s="488"/>
      <c r="P2685" s="819"/>
      <c r="Q2685" s="819"/>
      <c r="R2685" s="820"/>
      <c r="S2685" s="820"/>
      <c r="T2685" s="819"/>
      <c r="U2685" s="820"/>
      <c r="V2685" s="821"/>
      <c r="W2685" s="77"/>
      <c r="X2685" s="2168"/>
      <c r="Y2685" s="2168"/>
      <c r="Z2685" s="77"/>
      <c r="AA2685" s="2170"/>
      <c r="AB2685" s="416"/>
    </row>
    <row r="2686" spans="1:28" s="352" customFormat="1" ht="18" customHeight="1" x14ac:dyDescent="0.2">
      <c r="A2686" s="2166"/>
      <c r="B2686" s="61"/>
      <c r="C2686" s="2166"/>
      <c r="D2686" s="2166"/>
      <c r="E2686" s="2166"/>
      <c r="F2686" s="2166"/>
      <c r="G2686" s="2166"/>
      <c r="H2686" s="407"/>
      <c r="I2686" s="77"/>
      <c r="J2686" s="2168"/>
      <c r="K2686" s="2168"/>
      <c r="L2686" s="488"/>
      <c r="M2686" s="488"/>
      <c r="N2686" s="488"/>
      <c r="O2686" s="488"/>
      <c r="P2686" s="819"/>
      <c r="Q2686" s="819"/>
      <c r="R2686" s="820"/>
      <c r="S2686" s="820"/>
      <c r="T2686" s="819"/>
      <c r="U2686" s="820"/>
      <c r="V2686" s="821"/>
      <c r="W2686" s="77"/>
      <c r="X2686" s="2168"/>
      <c r="Y2686" s="2168"/>
      <c r="Z2686" s="77"/>
      <c r="AA2686" s="2170"/>
      <c r="AB2686" s="410"/>
    </row>
    <row r="2687" spans="1:28" s="352" customFormat="1" ht="18" customHeight="1" x14ac:dyDescent="0.2">
      <c r="A2687" s="2166"/>
      <c r="B2687" s="61"/>
      <c r="C2687" s="2166"/>
      <c r="D2687" s="2166"/>
      <c r="E2687" s="2166"/>
      <c r="F2687" s="2166"/>
      <c r="G2687" s="2166"/>
      <c r="H2687" s="407"/>
      <c r="I2687" s="77"/>
      <c r="J2687" s="2168"/>
      <c r="K2687" s="78"/>
      <c r="L2687" s="61"/>
      <c r="M2687" s="2166"/>
      <c r="N2687" s="2166"/>
      <c r="O2687" s="61"/>
      <c r="P2687" s="177"/>
      <c r="Q2687" s="196"/>
      <c r="R2687" s="408"/>
      <c r="S2687" s="77"/>
      <c r="T2687" s="2166"/>
      <c r="U2687" s="77"/>
      <c r="V2687" s="77"/>
      <c r="W2687" s="77"/>
      <c r="X2687" s="77"/>
      <c r="Y2687" s="2168"/>
      <c r="Z2687" s="77"/>
      <c r="AA2687" s="2170"/>
      <c r="AB2687" s="410"/>
    </row>
    <row r="2688" spans="1:28" s="352" customFormat="1" ht="18" customHeight="1" x14ac:dyDescent="0.2">
      <c r="A2688" s="2166"/>
      <c r="B2688" s="61"/>
      <c r="C2688" s="2166"/>
      <c r="D2688" s="2166"/>
      <c r="E2688" s="2166"/>
      <c r="F2688" s="2166"/>
      <c r="G2688" s="2166"/>
      <c r="H2688" s="407"/>
      <c r="I2688" s="77"/>
      <c r="J2688" s="2168"/>
      <c r="K2688" s="78"/>
      <c r="L2688" s="61"/>
      <c r="M2688" s="2166"/>
      <c r="N2688" s="2166"/>
      <c r="O2688" s="61"/>
      <c r="P2688" s="177"/>
      <c r="Q2688" s="196"/>
      <c r="R2688" s="408"/>
      <c r="S2688" s="77"/>
      <c r="T2688" s="2166"/>
      <c r="U2688" s="77"/>
      <c r="V2688" s="77"/>
      <c r="W2688" s="77"/>
      <c r="X2688" s="77"/>
      <c r="Y2688" s="2168"/>
      <c r="Z2688" s="77"/>
      <c r="AA2688" s="2170"/>
      <c r="AB2688" s="410"/>
    </row>
    <row r="2689" spans="1:28" s="352" customFormat="1" ht="18" customHeight="1" x14ac:dyDescent="0.2">
      <c r="A2689" s="2166"/>
      <c r="B2689" s="61"/>
      <c r="C2689" s="2166"/>
      <c r="D2689" s="2166"/>
      <c r="E2689" s="2166"/>
      <c r="F2689" s="2166"/>
      <c r="G2689" s="2166"/>
      <c r="H2689" s="407"/>
      <c r="I2689" s="77"/>
      <c r="J2689" s="2168"/>
      <c r="K2689" s="78"/>
      <c r="L2689" s="61"/>
      <c r="M2689" s="2166"/>
      <c r="N2689" s="2166"/>
      <c r="O2689" s="61"/>
      <c r="P2689" s="177"/>
      <c r="Q2689" s="196"/>
      <c r="R2689" s="408"/>
      <c r="S2689" s="77"/>
      <c r="T2689" s="2166"/>
      <c r="U2689" s="77"/>
      <c r="V2689" s="77"/>
      <c r="W2689" s="77"/>
      <c r="X2689" s="77"/>
      <c r="Y2689" s="2168"/>
      <c r="Z2689" s="77"/>
      <c r="AA2689" s="2170"/>
      <c r="AB2689" s="410"/>
    </row>
    <row r="2690" spans="1:28" s="352" customFormat="1" ht="18" customHeight="1" x14ac:dyDescent="0.2">
      <c r="A2690" s="88"/>
      <c r="B2690" s="75"/>
      <c r="C2690" s="88"/>
      <c r="D2690" s="88"/>
      <c r="E2690" s="2166"/>
      <c r="F2690" s="411"/>
      <c r="G2690" s="242"/>
      <c r="H2690" s="412"/>
      <c r="I2690" s="159"/>
      <c r="J2690" s="121"/>
      <c r="K2690" s="159"/>
      <c r="L2690" s="75"/>
      <c r="M2690" s="88"/>
      <c r="N2690" s="88"/>
      <c r="O2690" s="75"/>
      <c r="P2690" s="180"/>
      <c r="Q2690" s="174"/>
      <c r="R2690" s="413"/>
      <c r="S2690" s="74"/>
      <c r="T2690" s="88"/>
      <c r="U2690" s="74"/>
      <c r="V2690" s="74"/>
      <c r="W2690" s="74"/>
      <c r="X2690" s="74"/>
      <c r="Y2690" s="121"/>
      <c r="Z2690" s="74"/>
      <c r="AA2690" s="414"/>
      <c r="AB2690" s="416"/>
    </row>
    <row r="2691" spans="1:28" s="352" customFormat="1" ht="18" customHeight="1" x14ac:dyDescent="0.2">
      <c r="A2691" s="88"/>
      <c r="B2691" s="75"/>
      <c r="C2691" s="88"/>
      <c r="D2691" s="88"/>
      <c r="E2691" s="2166"/>
      <c r="F2691" s="411"/>
      <c r="G2691" s="242"/>
      <c r="H2691" s="412"/>
      <c r="I2691" s="159"/>
      <c r="J2691" s="121"/>
      <c r="K2691" s="159"/>
      <c r="L2691" s="75"/>
      <c r="M2691" s="88"/>
      <c r="N2691" s="88"/>
      <c r="O2691" s="75"/>
      <c r="P2691" s="180"/>
      <c r="Q2691" s="174"/>
      <c r="R2691" s="413"/>
      <c r="S2691" s="74"/>
      <c r="T2691" s="88"/>
      <c r="U2691" s="74"/>
      <c r="V2691" s="74"/>
      <c r="W2691" s="74"/>
      <c r="X2691" s="74"/>
      <c r="Y2691" s="121"/>
      <c r="Z2691" s="74"/>
      <c r="AA2691" s="414"/>
      <c r="AB2691" s="416"/>
    </row>
    <row r="2692" spans="1:28" s="352" customFormat="1" ht="18" customHeight="1" x14ac:dyDescent="0.2">
      <c r="A2692" s="88"/>
      <c r="B2692" s="75"/>
      <c r="C2692" s="88"/>
      <c r="D2692" s="88"/>
      <c r="E2692" s="2166"/>
      <c r="F2692" s="411"/>
      <c r="G2692" s="242"/>
      <c r="H2692" s="412"/>
      <c r="I2692" s="159"/>
      <c r="J2692" s="121"/>
      <c r="K2692" s="159"/>
      <c r="L2692" s="75"/>
      <c r="M2692" s="88"/>
      <c r="N2692" s="88"/>
      <c r="O2692" s="75"/>
      <c r="P2692" s="180"/>
      <c r="Q2692" s="174"/>
      <c r="R2692" s="413"/>
      <c r="S2692" s="74"/>
      <c r="T2692" s="88"/>
      <c r="U2692" s="74"/>
      <c r="V2692" s="74"/>
      <c r="W2692" s="74"/>
      <c r="X2692" s="74"/>
      <c r="Y2692" s="121"/>
      <c r="Z2692" s="74"/>
      <c r="AA2692" s="414"/>
      <c r="AB2692" s="415"/>
    </row>
    <row r="2693" spans="1:28" s="352" customFormat="1" ht="18" customHeight="1" x14ac:dyDescent="0.2">
      <c r="A2693" s="88"/>
      <c r="B2693" s="75"/>
      <c r="C2693" s="88"/>
      <c r="D2693" s="2165"/>
      <c r="E2693" s="2166"/>
      <c r="F2693" s="411"/>
      <c r="G2693" s="242"/>
      <c r="H2693" s="412"/>
      <c r="I2693" s="159"/>
      <c r="J2693" s="121"/>
      <c r="K2693" s="159"/>
      <c r="L2693" s="75"/>
      <c r="M2693" s="88"/>
      <c r="N2693" s="88"/>
      <c r="O2693" s="75"/>
      <c r="P2693" s="180"/>
      <c r="Q2693" s="174"/>
      <c r="R2693" s="413"/>
      <c r="S2693" s="74"/>
      <c r="T2693" s="88"/>
      <c r="U2693" s="74"/>
      <c r="V2693" s="74"/>
      <c r="W2693" s="74"/>
      <c r="X2693" s="74"/>
      <c r="Y2693" s="121"/>
      <c r="Z2693" s="74"/>
      <c r="AA2693" s="414"/>
      <c r="AB2693" s="410"/>
    </row>
    <row r="2694" spans="1:28" s="352" customFormat="1" ht="18" customHeight="1" x14ac:dyDescent="0.2">
      <c r="A2694" s="88"/>
      <c r="B2694" s="75"/>
      <c r="C2694" s="88"/>
      <c r="D2694" s="2165"/>
      <c r="E2694" s="2166"/>
      <c r="F2694" s="411"/>
      <c r="G2694" s="242"/>
      <c r="H2694" s="412"/>
      <c r="I2694" s="159"/>
      <c r="J2694" s="121"/>
      <c r="K2694" s="159"/>
      <c r="L2694" s="75"/>
      <c r="M2694" s="88"/>
      <c r="N2694" s="88"/>
      <c r="O2694" s="75"/>
      <c r="P2694" s="180"/>
      <c r="Q2694" s="174"/>
      <c r="R2694" s="413"/>
      <c r="S2694" s="74"/>
      <c r="T2694" s="88"/>
      <c r="U2694" s="74"/>
      <c r="V2694" s="74"/>
      <c r="W2694" s="74"/>
      <c r="X2694" s="74"/>
      <c r="Y2694" s="121"/>
      <c r="Z2694" s="74"/>
      <c r="AA2694" s="417"/>
      <c r="AB2694" s="410"/>
    </row>
    <row r="2695" spans="1:28" s="352" customFormat="1" ht="18" customHeight="1" x14ac:dyDescent="0.2">
      <c r="A2695" s="88"/>
      <c r="B2695" s="75"/>
      <c r="C2695" s="88"/>
      <c r="D2695" s="2165"/>
      <c r="E2695" s="2166"/>
      <c r="F2695" s="411"/>
      <c r="G2695" s="242"/>
      <c r="H2695" s="412"/>
      <c r="I2695" s="159"/>
      <c r="J2695" s="121"/>
      <c r="K2695" s="159"/>
      <c r="L2695" s="75"/>
      <c r="M2695" s="88"/>
      <c r="N2695" s="88"/>
      <c r="O2695" s="75"/>
      <c r="P2695" s="180"/>
      <c r="Q2695" s="174"/>
      <c r="R2695" s="413"/>
      <c r="S2695" s="74"/>
      <c r="T2695" s="88"/>
      <c r="U2695" s="74"/>
      <c r="V2695" s="74"/>
      <c r="W2695" s="74"/>
      <c r="X2695" s="74"/>
      <c r="Y2695" s="121"/>
      <c r="Z2695" s="74"/>
      <c r="AA2695" s="414"/>
      <c r="AB2695" s="416"/>
    </row>
    <row r="2696" spans="1:28" s="352" customFormat="1" ht="18" customHeight="1" x14ac:dyDescent="0.2">
      <c r="A2696" s="88"/>
      <c r="B2696" s="418"/>
      <c r="C2696" s="88"/>
      <c r="D2696" s="88"/>
      <c r="E2696" s="88"/>
      <c r="F2696" s="411"/>
      <c r="G2696" s="242"/>
      <c r="H2696" s="412"/>
      <c r="I2696" s="159"/>
      <c r="J2696" s="121"/>
      <c r="K2696" s="159"/>
      <c r="L2696" s="75"/>
      <c r="M2696" s="88"/>
      <c r="N2696" s="88"/>
      <c r="O2696" s="75"/>
      <c r="P2696" s="180"/>
      <c r="Q2696" s="174"/>
      <c r="R2696" s="413"/>
      <c r="S2696" s="74"/>
      <c r="T2696" s="88"/>
      <c r="U2696" s="74"/>
      <c r="V2696" s="74"/>
      <c r="W2696" s="74"/>
      <c r="X2696" s="74"/>
      <c r="Y2696" s="121"/>
      <c r="Z2696" s="74"/>
      <c r="AA2696" s="414"/>
      <c r="AB2696" s="410"/>
    </row>
    <row r="2697" spans="1:28" s="352" customFormat="1" ht="18" customHeight="1" x14ac:dyDescent="0.2">
      <c r="A2697" s="1147"/>
      <c r="B2697" s="1989"/>
      <c r="C2697" s="1147"/>
      <c r="D2697" s="1147"/>
      <c r="E2697" s="1147"/>
      <c r="F2697" s="1147"/>
      <c r="G2697" s="1147"/>
      <c r="H2697" s="1990"/>
      <c r="I2697" s="1991"/>
      <c r="J2697" s="1868"/>
      <c r="K2697" s="1992"/>
      <c r="L2697" s="1989"/>
      <c r="M2697" s="1147"/>
      <c r="N2697" s="1147"/>
      <c r="O2697" s="1989"/>
      <c r="P2697" s="1867"/>
      <c r="Q2697" s="1993"/>
      <c r="R2697" s="1994"/>
      <c r="S2697" s="1991"/>
      <c r="T2697" s="1147"/>
      <c r="U2697" s="1991"/>
      <c r="V2697" s="1991"/>
      <c r="W2697" s="1991"/>
      <c r="X2697" s="1991"/>
      <c r="Y2697" s="1868"/>
      <c r="Z2697" s="1991"/>
      <c r="AA2697" s="1995"/>
      <c r="AB2697" s="1849">
        <f>SUM(AB2683:AB2696)</f>
        <v>618.72</v>
      </c>
    </row>
    <row r="2698" spans="1:28" s="352" customFormat="1" ht="18" customHeight="1" x14ac:dyDescent="0.2">
      <c r="A2698" s="2788" t="s">
        <v>76</v>
      </c>
      <c r="B2698" s="2788"/>
      <c r="C2698" s="2779" t="s">
        <v>77</v>
      </c>
      <c r="D2698" s="2779"/>
      <c r="E2698" s="2779"/>
      <c r="F2698" s="2779"/>
      <c r="G2698" s="2779"/>
      <c r="H2698" s="2779"/>
      <c r="I2698" s="424" t="s">
        <v>78</v>
      </c>
      <c r="J2698" s="424"/>
      <c r="K2698" s="424"/>
      <c r="L2698" s="424"/>
      <c r="M2698" s="424"/>
      <c r="N2698" s="424"/>
      <c r="AB2698" s="425"/>
    </row>
    <row r="2699" spans="1:28" s="352" customFormat="1" ht="18" customHeight="1" x14ac:dyDescent="0.2">
      <c r="A2699" s="424"/>
      <c r="B2699" s="426"/>
      <c r="C2699" s="424"/>
      <c r="D2699" s="424"/>
      <c r="E2699" s="424"/>
      <c r="F2699" s="424"/>
      <c r="G2699" s="424"/>
      <c r="H2699" s="424"/>
      <c r="I2699" s="424" t="s">
        <v>79</v>
      </c>
      <c r="J2699" s="424"/>
      <c r="K2699" s="424"/>
      <c r="L2699" s="424"/>
      <c r="M2699" s="424"/>
      <c r="N2699" s="424"/>
      <c r="AB2699" s="425"/>
    </row>
    <row r="2700" spans="1:28" s="352" customFormat="1" ht="18" customHeight="1" x14ac:dyDescent="0.2">
      <c r="A2700" s="424"/>
      <c r="B2700" s="426"/>
      <c r="C2700" s="424"/>
      <c r="D2700" s="424"/>
      <c r="E2700" s="424"/>
      <c r="F2700" s="424"/>
      <c r="G2700" s="424"/>
      <c r="H2700" s="424"/>
      <c r="I2700" s="424" t="s">
        <v>80</v>
      </c>
      <c r="J2700" s="424"/>
      <c r="K2700" s="424"/>
      <c r="L2700" s="424"/>
      <c r="M2700" s="424"/>
      <c r="N2700" s="424"/>
      <c r="AB2700" s="425"/>
    </row>
    <row r="2701" spans="1:28" s="352" customFormat="1" ht="18" customHeight="1" x14ac:dyDescent="0.2">
      <c r="A2701" s="424"/>
      <c r="B2701" s="426"/>
      <c r="C2701" s="424"/>
      <c r="D2701" s="424"/>
      <c r="E2701" s="424"/>
      <c r="F2701" s="424"/>
      <c r="G2701" s="424"/>
      <c r="H2701" s="424"/>
      <c r="I2701" s="424" t="s">
        <v>81</v>
      </c>
      <c r="J2701" s="424"/>
      <c r="K2701" s="424"/>
      <c r="L2701" s="424"/>
      <c r="M2701" s="424"/>
      <c r="N2701" s="424"/>
      <c r="AB2701" s="425"/>
    </row>
    <row r="2702" spans="1:28" s="352" customFormat="1" ht="18" customHeight="1" x14ac:dyDescent="0.2">
      <c r="A2702" s="424"/>
      <c r="B2702" s="426"/>
      <c r="C2702" s="424"/>
      <c r="D2702" s="424"/>
      <c r="E2702" s="424"/>
      <c r="F2702" s="424"/>
      <c r="G2702" s="424"/>
      <c r="H2702" s="424"/>
      <c r="I2702" s="424" t="s">
        <v>88</v>
      </c>
      <c r="J2702" s="424"/>
      <c r="K2702" s="424"/>
      <c r="L2702" s="424"/>
      <c r="M2702" s="424"/>
      <c r="N2702" s="424"/>
      <c r="AB2702" s="425"/>
    </row>
    <row r="2703" spans="1:28" s="352" customFormat="1" ht="18" customHeight="1" x14ac:dyDescent="0.2">
      <c r="A2703" s="338"/>
      <c r="B2703" s="338"/>
      <c r="C2703" s="338"/>
      <c r="D2703" s="338"/>
      <c r="E2703" s="338"/>
      <c r="F2703" s="338"/>
      <c r="G2703" s="338"/>
      <c r="H2703" s="338"/>
      <c r="I2703" s="338"/>
      <c r="J2703" s="338"/>
      <c r="K2703" s="338"/>
      <c r="L2703" s="338"/>
      <c r="M2703" s="338"/>
      <c r="N2703" s="338"/>
      <c r="O2703" s="338"/>
      <c r="P2703" s="338"/>
      <c r="Q2703" s="338"/>
      <c r="R2703" s="338"/>
      <c r="S2703" s="338"/>
      <c r="T2703" s="338"/>
      <c r="U2703" s="338"/>
      <c r="V2703" s="338"/>
      <c r="W2703" s="338"/>
      <c r="X2703" s="338"/>
      <c r="Y2703" s="338"/>
      <c r="Z2703" s="338"/>
      <c r="AA2703" s="2774" t="s">
        <v>0</v>
      </c>
      <c r="AB2703" s="2774"/>
    </row>
    <row r="2704" spans="1:28" s="352" customFormat="1" ht="18" customHeight="1" x14ac:dyDescent="0.2">
      <c r="A2704" s="2703" t="s">
        <v>1</v>
      </c>
      <c r="B2704" s="2703"/>
      <c r="C2704" s="2703"/>
      <c r="D2704" s="2703"/>
      <c r="E2704" s="2703"/>
      <c r="F2704" s="2703"/>
      <c r="G2704" s="2703"/>
      <c r="H2704" s="2703"/>
      <c r="I2704" s="2703"/>
      <c r="J2704" s="2703"/>
      <c r="K2704" s="2703"/>
      <c r="L2704" s="2703"/>
      <c r="M2704" s="2703"/>
      <c r="N2704" s="2703"/>
      <c r="O2704" s="2703"/>
      <c r="P2704" s="2703"/>
      <c r="Q2704" s="2703"/>
      <c r="R2704" s="2703"/>
      <c r="S2704" s="2703"/>
      <c r="T2704" s="2703"/>
      <c r="U2704" s="2703"/>
      <c r="V2704" s="2703"/>
      <c r="W2704" s="2703"/>
      <c r="X2704" s="2703"/>
      <c r="Y2704" s="2703"/>
      <c r="Z2704" s="2703"/>
      <c r="AA2704" s="2703"/>
      <c r="AB2704" s="2703"/>
    </row>
    <row r="2705" spans="1:28" s="352" customFormat="1" ht="18" customHeight="1" x14ac:dyDescent="0.2">
      <c r="A2705" s="2780" t="s">
        <v>682</v>
      </c>
      <c r="B2705" s="2780"/>
      <c r="C2705" s="2780"/>
      <c r="D2705" s="2780"/>
      <c r="E2705" s="2780"/>
      <c r="F2705" s="2780"/>
      <c r="G2705" s="2780"/>
      <c r="H2705" s="2780"/>
      <c r="I2705" s="2780"/>
      <c r="J2705" s="2780"/>
      <c r="K2705" s="2780"/>
      <c r="L2705" s="2780"/>
      <c r="M2705" s="2780"/>
      <c r="N2705" s="2780"/>
      <c r="O2705" s="2780"/>
      <c r="P2705" s="2780"/>
      <c r="Q2705" s="2780"/>
      <c r="R2705" s="2780"/>
      <c r="S2705" s="2780"/>
      <c r="T2705" s="2780"/>
      <c r="U2705" s="2780"/>
      <c r="V2705" s="2780"/>
      <c r="W2705" s="2780"/>
      <c r="X2705" s="2780"/>
      <c r="Y2705" s="2780"/>
      <c r="Z2705" s="2780"/>
      <c r="AA2705" s="2780"/>
      <c r="AB2705" s="2780"/>
    </row>
    <row r="2706" spans="1:28" s="352" customFormat="1" ht="18" customHeight="1" x14ac:dyDescent="0.2">
      <c r="A2706" s="2686" t="s">
        <v>2</v>
      </c>
      <c r="B2706" s="360"/>
      <c r="C2706" s="2686" t="s">
        <v>3</v>
      </c>
      <c r="D2706" s="360"/>
      <c r="E2706" s="360"/>
      <c r="F2706" s="2693" t="s">
        <v>4</v>
      </c>
      <c r="G2706" s="2693"/>
      <c r="H2706" s="2693"/>
      <c r="I2706" s="2694"/>
      <c r="J2706" s="2694"/>
      <c r="K2706" s="2695"/>
      <c r="L2706" s="361"/>
      <c r="M2706" s="2679" t="s">
        <v>5</v>
      </c>
      <c r="N2706" s="2679"/>
      <c r="O2706" s="2679"/>
      <c r="P2706" s="2679"/>
      <c r="Q2706" s="2696"/>
      <c r="R2706" s="2696"/>
      <c r="S2706" s="2696"/>
      <c r="T2706" s="2696"/>
      <c r="U2706" s="2696"/>
      <c r="V2706" s="2697"/>
      <c r="W2706" s="362" t="s">
        <v>6</v>
      </c>
      <c r="X2706" s="363" t="s">
        <v>7</v>
      </c>
      <c r="Y2706" s="364"/>
      <c r="Z2706" s="364"/>
      <c r="AA2706" s="363"/>
      <c r="AB2706" s="365"/>
    </row>
    <row r="2707" spans="1:28" s="352" customFormat="1" ht="18" customHeight="1" x14ac:dyDescent="0.2">
      <c r="A2707" s="2687"/>
      <c r="B2707" s="367"/>
      <c r="C2707" s="2687"/>
      <c r="D2707" s="2158" t="s">
        <v>9</v>
      </c>
      <c r="E2707" s="368" t="s">
        <v>10</v>
      </c>
      <c r="F2707" s="2698" t="s">
        <v>11</v>
      </c>
      <c r="G2707" s="2694"/>
      <c r="H2707" s="2695"/>
      <c r="I2707" s="360"/>
      <c r="J2707" s="369" t="s">
        <v>12</v>
      </c>
      <c r="K2707" s="360"/>
      <c r="L2707" s="2679" t="s">
        <v>2</v>
      </c>
      <c r="M2707" s="2162"/>
      <c r="N2707" s="2162"/>
      <c r="O2707" s="2162"/>
      <c r="P2707" s="371"/>
      <c r="Q2707" s="372" t="s">
        <v>13</v>
      </c>
      <c r="R2707" s="373" t="s">
        <v>12</v>
      </c>
      <c r="S2707" s="2162" t="s">
        <v>6</v>
      </c>
      <c r="T2707" s="2682" t="s">
        <v>14</v>
      </c>
      <c r="U2707" s="2683"/>
      <c r="V2707" s="375" t="s">
        <v>7</v>
      </c>
      <c r="W2707" s="376" t="s">
        <v>15</v>
      </c>
      <c r="X2707" s="377" t="s">
        <v>16</v>
      </c>
      <c r="Y2707" s="377" t="s">
        <v>17</v>
      </c>
      <c r="Z2707" s="377" t="s">
        <v>18</v>
      </c>
      <c r="AA2707" s="377"/>
      <c r="AB2707" s="378" t="s">
        <v>19</v>
      </c>
    </row>
    <row r="2708" spans="1:28" s="352" customFormat="1" ht="18" customHeight="1" x14ac:dyDescent="0.2">
      <c r="A2708" s="2687"/>
      <c r="B2708" s="2158" t="s">
        <v>23</v>
      </c>
      <c r="C2708" s="2687"/>
      <c r="D2708" s="2158" t="s">
        <v>24</v>
      </c>
      <c r="E2708" s="368" t="s">
        <v>25</v>
      </c>
      <c r="F2708" s="2699"/>
      <c r="G2708" s="2700"/>
      <c r="H2708" s="2701"/>
      <c r="I2708" s="2158" t="s">
        <v>26</v>
      </c>
      <c r="J2708" s="379" t="s">
        <v>15</v>
      </c>
      <c r="K2708" s="2159" t="s">
        <v>6</v>
      </c>
      <c r="L2708" s="2680"/>
      <c r="M2708" s="2163" t="s">
        <v>27</v>
      </c>
      <c r="N2708" s="2163" t="s">
        <v>10</v>
      </c>
      <c r="O2708" s="382" t="s">
        <v>10</v>
      </c>
      <c r="P2708" s="383" t="s">
        <v>28</v>
      </c>
      <c r="Q2708" s="384" t="s">
        <v>29</v>
      </c>
      <c r="R2708" s="383" t="s">
        <v>15</v>
      </c>
      <c r="S2708" s="385" t="s">
        <v>15</v>
      </c>
      <c r="T2708" s="2684"/>
      <c r="U2708" s="2685"/>
      <c r="V2708" s="375" t="s">
        <v>30</v>
      </c>
      <c r="W2708" s="376" t="s">
        <v>31</v>
      </c>
      <c r="X2708" s="377" t="s">
        <v>30</v>
      </c>
      <c r="Y2708" s="377" t="s">
        <v>32</v>
      </c>
      <c r="Z2708" s="377" t="s">
        <v>7</v>
      </c>
      <c r="AA2708" s="377" t="s">
        <v>33</v>
      </c>
      <c r="AB2708" s="378" t="s">
        <v>34</v>
      </c>
    </row>
    <row r="2709" spans="1:28" s="352" customFormat="1" ht="18" customHeight="1" x14ac:dyDescent="0.2">
      <c r="A2709" s="2687"/>
      <c r="B2709" s="2158" t="s">
        <v>39</v>
      </c>
      <c r="C2709" s="2687"/>
      <c r="D2709" s="2158" t="s">
        <v>40</v>
      </c>
      <c r="E2709" s="368" t="s">
        <v>41</v>
      </c>
      <c r="F2709" s="2686" t="s">
        <v>42</v>
      </c>
      <c r="G2709" s="2686" t="s">
        <v>43</v>
      </c>
      <c r="H2709" s="2688" t="s">
        <v>44</v>
      </c>
      <c r="I2709" s="2158" t="s">
        <v>45</v>
      </c>
      <c r="J2709" s="379" t="s">
        <v>46</v>
      </c>
      <c r="K2709" s="2159" t="s">
        <v>47</v>
      </c>
      <c r="L2709" s="2680"/>
      <c r="M2709" s="2163" t="s">
        <v>30</v>
      </c>
      <c r="N2709" s="2163" t="s">
        <v>30</v>
      </c>
      <c r="O2709" s="382" t="s">
        <v>25</v>
      </c>
      <c r="P2709" s="383" t="s">
        <v>30</v>
      </c>
      <c r="Q2709" s="384" t="s">
        <v>48</v>
      </c>
      <c r="R2709" s="383" t="s">
        <v>49</v>
      </c>
      <c r="S2709" s="385" t="s">
        <v>30</v>
      </c>
      <c r="T2709" s="386" t="s">
        <v>50</v>
      </c>
      <c r="U2709" s="2161" t="s">
        <v>13</v>
      </c>
      <c r="V2709" s="375" t="s">
        <v>51</v>
      </c>
      <c r="W2709" s="376" t="s">
        <v>52</v>
      </c>
      <c r="X2709" s="377" t="s">
        <v>53</v>
      </c>
      <c r="Y2709" s="377" t="s">
        <v>54</v>
      </c>
      <c r="Z2709" s="377" t="s">
        <v>55</v>
      </c>
      <c r="AA2709" s="377" t="s">
        <v>56</v>
      </c>
      <c r="AB2709" s="378" t="s">
        <v>57</v>
      </c>
    </row>
    <row r="2710" spans="1:28" s="352" customFormat="1" ht="18" customHeight="1" x14ac:dyDescent="0.2">
      <c r="A2710" s="2687"/>
      <c r="B2710" s="2158" t="s">
        <v>61</v>
      </c>
      <c r="C2710" s="2687"/>
      <c r="D2710" s="2158" t="s">
        <v>62</v>
      </c>
      <c r="E2710" s="368" t="s">
        <v>63</v>
      </c>
      <c r="F2710" s="2687"/>
      <c r="G2710" s="2687"/>
      <c r="H2710" s="2689"/>
      <c r="I2710" s="2158" t="s">
        <v>64</v>
      </c>
      <c r="J2710" s="379" t="s">
        <v>59</v>
      </c>
      <c r="K2710" s="2159" t="s">
        <v>59</v>
      </c>
      <c r="L2710" s="2680"/>
      <c r="M2710" s="2163"/>
      <c r="N2710" s="2163"/>
      <c r="O2710" s="382" t="s">
        <v>41</v>
      </c>
      <c r="P2710" s="383" t="s">
        <v>65</v>
      </c>
      <c r="Q2710" s="384" t="s">
        <v>66</v>
      </c>
      <c r="R2710" s="383" t="s">
        <v>67</v>
      </c>
      <c r="S2710" s="385" t="s">
        <v>59</v>
      </c>
      <c r="T2710" s="387" t="s">
        <v>68</v>
      </c>
      <c r="U2710" s="375" t="s">
        <v>14</v>
      </c>
      <c r="V2710" s="375" t="s">
        <v>14</v>
      </c>
      <c r="W2710" s="376" t="s">
        <v>30</v>
      </c>
      <c r="X2710" s="388" t="s">
        <v>69</v>
      </c>
      <c r="Y2710" s="388" t="s">
        <v>70</v>
      </c>
      <c r="Z2710" s="377" t="s">
        <v>71</v>
      </c>
      <c r="AA2710" s="377" t="s">
        <v>72</v>
      </c>
      <c r="AB2710" s="378" t="s">
        <v>59</v>
      </c>
    </row>
    <row r="2711" spans="1:28" s="352" customFormat="1" ht="18" customHeight="1" x14ac:dyDescent="0.2">
      <c r="A2711" s="2692"/>
      <c r="B2711" s="390"/>
      <c r="C2711" s="2692"/>
      <c r="D2711" s="390"/>
      <c r="E2711" s="2160"/>
      <c r="F2711" s="390"/>
      <c r="G2711" s="390"/>
      <c r="H2711" s="391"/>
      <c r="I2711" s="2160"/>
      <c r="J2711" s="392"/>
      <c r="K2711" s="393"/>
      <c r="L2711" s="2681"/>
      <c r="M2711" s="2164"/>
      <c r="N2711" s="2164"/>
      <c r="O2711" s="2164" t="s">
        <v>63</v>
      </c>
      <c r="P2711" s="395"/>
      <c r="Q2711" s="396" t="s">
        <v>72</v>
      </c>
      <c r="R2711" s="397" t="s">
        <v>59</v>
      </c>
      <c r="S2711" s="398"/>
      <c r="T2711" s="397" t="s">
        <v>73</v>
      </c>
      <c r="U2711" s="398" t="s">
        <v>59</v>
      </c>
      <c r="V2711" s="399" t="s">
        <v>59</v>
      </c>
      <c r="W2711" s="400" t="s">
        <v>59</v>
      </c>
      <c r="X2711" s="401" t="s">
        <v>59</v>
      </c>
      <c r="Y2711" s="401" t="s">
        <v>59</v>
      </c>
      <c r="Z2711" s="401" t="s">
        <v>59</v>
      </c>
      <c r="AA2711" s="402"/>
      <c r="AB2711" s="403"/>
    </row>
    <row r="2712" spans="1:28" s="352" customFormat="1" ht="18" customHeight="1" x14ac:dyDescent="0.25">
      <c r="A2712" s="82">
        <v>1</v>
      </c>
      <c r="B2712" s="53">
        <v>29365</v>
      </c>
      <c r="C2712" s="82">
        <v>105</v>
      </c>
      <c r="D2712" s="41" t="s">
        <v>84</v>
      </c>
      <c r="E2712" s="41">
        <v>4</v>
      </c>
      <c r="F2712" s="41">
        <v>0</v>
      </c>
      <c r="G2712" s="41">
        <v>0</v>
      </c>
      <c r="H2712" s="267">
        <v>70</v>
      </c>
      <c r="I2712" s="302">
        <f>F2712*400+G2712*100+H2712</f>
        <v>70</v>
      </c>
      <c r="J2712" s="310">
        <v>3000</v>
      </c>
      <c r="K2712" s="310">
        <f>SUM(I2712*J2712)</f>
        <v>210000</v>
      </c>
      <c r="L2712" s="480"/>
      <c r="M2712" s="481"/>
      <c r="N2712" s="480"/>
      <c r="O2712" s="814">
        <v>4</v>
      </c>
      <c r="P2712" s="482"/>
      <c r="Q2712" s="483"/>
      <c r="R2712" s="484"/>
      <c r="S2712" s="485"/>
      <c r="T2712" s="483"/>
      <c r="U2712" s="485"/>
      <c r="V2712" s="486"/>
      <c r="W2712" s="302">
        <f>K2712</f>
        <v>210000</v>
      </c>
      <c r="X2712" s="310">
        <f>W2712</f>
        <v>210000</v>
      </c>
      <c r="Y2712" s="310"/>
      <c r="Z2712" s="302">
        <f>+X2712</f>
        <v>210000</v>
      </c>
      <c r="AA2712" s="405">
        <v>0.6</v>
      </c>
      <c r="AB2712" s="465">
        <f>+Z2712*AA2712/100</f>
        <v>1260</v>
      </c>
    </row>
    <row r="2713" spans="1:28" s="352" customFormat="1" ht="18" customHeight="1" x14ac:dyDescent="0.2">
      <c r="A2713" s="231"/>
      <c r="B2713" s="75"/>
      <c r="C2713" s="88"/>
      <c r="D2713" s="88"/>
      <c r="E2713" s="88"/>
      <c r="F2713" s="88"/>
      <c r="G2713" s="88"/>
      <c r="H2713" s="495"/>
      <c r="I2713" s="74"/>
      <c r="J2713" s="121"/>
      <c r="K2713" s="121"/>
      <c r="L2713" s="815"/>
      <c r="M2713" s="815"/>
      <c r="N2713" s="815"/>
      <c r="O2713" s="815"/>
      <c r="P2713" s="816"/>
      <c r="Q2713" s="816"/>
      <c r="R2713" s="817"/>
      <c r="S2713" s="817"/>
      <c r="T2713" s="816"/>
      <c r="U2713" s="817"/>
      <c r="V2713" s="818"/>
      <c r="W2713" s="74"/>
      <c r="X2713" s="121"/>
      <c r="Y2713" s="121"/>
      <c r="Z2713" s="74"/>
      <c r="AA2713" s="414"/>
      <c r="AB2713" s="410"/>
    </row>
    <row r="2714" spans="1:28" s="352" customFormat="1" ht="18" customHeight="1" x14ac:dyDescent="0.2">
      <c r="A2714" s="88"/>
      <c r="B2714" s="61"/>
      <c r="C2714" s="2166"/>
      <c r="D2714" s="2166"/>
      <c r="E2714" s="2166"/>
      <c r="F2714" s="2166"/>
      <c r="G2714" s="2166"/>
      <c r="H2714" s="407"/>
      <c r="I2714" s="77"/>
      <c r="J2714" s="2168"/>
      <c r="K2714" s="2168"/>
      <c r="L2714" s="488"/>
      <c r="M2714" s="488"/>
      <c r="N2714" s="488"/>
      <c r="O2714" s="488"/>
      <c r="P2714" s="819"/>
      <c r="Q2714" s="819"/>
      <c r="R2714" s="820"/>
      <c r="S2714" s="820"/>
      <c r="T2714" s="819"/>
      <c r="U2714" s="820"/>
      <c r="V2714" s="821"/>
      <c r="W2714" s="77"/>
      <c r="X2714" s="2168"/>
      <c r="Y2714" s="2168"/>
      <c r="Z2714" s="77"/>
      <c r="AA2714" s="2170"/>
      <c r="AB2714" s="416"/>
    </row>
    <row r="2715" spans="1:28" s="352" customFormat="1" ht="18" customHeight="1" x14ac:dyDescent="0.2">
      <c r="A2715" s="2166"/>
      <c r="B2715" s="61"/>
      <c r="C2715" s="2166"/>
      <c r="D2715" s="2166"/>
      <c r="E2715" s="2166"/>
      <c r="F2715" s="2166"/>
      <c r="G2715" s="2166"/>
      <c r="H2715" s="407"/>
      <c r="I2715" s="77"/>
      <c r="J2715" s="2168"/>
      <c r="K2715" s="2168"/>
      <c r="L2715" s="488"/>
      <c r="M2715" s="488"/>
      <c r="N2715" s="488"/>
      <c r="O2715" s="488"/>
      <c r="P2715" s="819"/>
      <c r="Q2715" s="819"/>
      <c r="R2715" s="820"/>
      <c r="S2715" s="820"/>
      <c r="T2715" s="819"/>
      <c r="U2715" s="820"/>
      <c r="V2715" s="821"/>
      <c r="W2715" s="77"/>
      <c r="X2715" s="2168"/>
      <c r="Y2715" s="2168"/>
      <c r="Z2715" s="77"/>
      <c r="AA2715" s="2170"/>
      <c r="AB2715" s="410"/>
    </row>
    <row r="2716" spans="1:28" s="352" customFormat="1" ht="18" customHeight="1" x14ac:dyDescent="0.2">
      <c r="A2716" s="2166"/>
      <c r="B2716" s="61"/>
      <c r="C2716" s="2166"/>
      <c r="D2716" s="2166"/>
      <c r="E2716" s="2166"/>
      <c r="F2716" s="2166"/>
      <c r="G2716" s="2166"/>
      <c r="H2716" s="407"/>
      <c r="I2716" s="77"/>
      <c r="J2716" s="2168"/>
      <c r="K2716" s="78"/>
      <c r="L2716" s="61"/>
      <c r="M2716" s="2166"/>
      <c r="N2716" s="2166"/>
      <c r="O2716" s="61"/>
      <c r="P2716" s="177"/>
      <c r="Q2716" s="196"/>
      <c r="R2716" s="408"/>
      <c r="S2716" s="77"/>
      <c r="T2716" s="2166"/>
      <c r="U2716" s="77"/>
      <c r="V2716" s="77"/>
      <c r="W2716" s="77"/>
      <c r="X2716" s="77"/>
      <c r="Y2716" s="2168"/>
      <c r="Z2716" s="77"/>
      <c r="AA2716" s="2170"/>
      <c r="AB2716" s="410"/>
    </row>
    <row r="2717" spans="1:28" s="352" customFormat="1" ht="18" customHeight="1" x14ac:dyDescent="0.2">
      <c r="A2717" s="2166"/>
      <c r="B2717" s="61"/>
      <c r="C2717" s="2166"/>
      <c r="D2717" s="2166"/>
      <c r="E2717" s="2166"/>
      <c r="F2717" s="2166"/>
      <c r="G2717" s="2166"/>
      <c r="H2717" s="407"/>
      <c r="I2717" s="77"/>
      <c r="J2717" s="2168"/>
      <c r="K2717" s="78"/>
      <c r="L2717" s="61"/>
      <c r="M2717" s="2166"/>
      <c r="N2717" s="2166"/>
      <c r="O2717" s="61"/>
      <c r="P2717" s="177"/>
      <c r="Q2717" s="196"/>
      <c r="R2717" s="408"/>
      <c r="S2717" s="77"/>
      <c r="T2717" s="2166"/>
      <c r="U2717" s="77"/>
      <c r="V2717" s="77"/>
      <c r="W2717" s="77"/>
      <c r="X2717" s="77"/>
      <c r="Y2717" s="2168"/>
      <c r="Z2717" s="77"/>
      <c r="AA2717" s="2170"/>
      <c r="AB2717" s="410"/>
    </row>
    <row r="2718" spans="1:28" s="352" customFormat="1" ht="18" customHeight="1" x14ac:dyDescent="0.2">
      <c r="A2718" s="2166"/>
      <c r="B2718" s="61"/>
      <c r="C2718" s="2166"/>
      <c r="D2718" s="2166"/>
      <c r="E2718" s="2166"/>
      <c r="F2718" s="2166"/>
      <c r="G2718" s="2166"/>
      <c r="H2718" s="407"/>
      <c r="I2718" s="77"/>
      <c r="J2718" s="2168"/>
      <c r="K2718" s="78"/>
      <c r="L2718" s="61"/>
      <c r="M2718" s="2166"/>
      <c r="N2718" s="2166"/>
      <c r="O2718" s="61"/>
      <c r="P2718" s="177"/>
      <c r="Q2718" s="196"/>
      <c r="R2718" s="408"/>
      <c r="S2718" s="77"/>
      <c r="T2718" s="2166"/>
      <c r="U2718" s="77"/>
      <c r="V2718" s="77"/>
      <c r="W2718" s="77"/>
      <c r="X2718" s="77"/>
      <c r="Y2718" s="2168"/>
      <c r="Z2718" s="77"/>
      <c r="AA2718" s="2170"/>
      <c r="AB2718" s="410"/>
    </row>
    <row r="2719" spans="1:28" s="352" customFormat="1" ht="18" customHeight="1" x14ac:dyDescent="0.2">
      <c r="A2719" s="88"/>
      <c r="B2719" s="75"/>
      <c r="C2719" s="88"/>
      <c r="D2719" s="88"/>
      <c r="E2719" s="2166"/>
      <c r="F2719" s="411"/>
      <c r="G2719" s="242"/>
      <c r="H2719" s="412"/>
      <c r="I2719" s="159"/>
      <c r="J2719" s="121"/>
      <c r="K2719" s="159"/>
      <c r="L2719" s="75"/>
      <c r="M2719" s="88"/>
      <c r="N2719" s="88"/>
      <c r="O2719" s="75"/>
      <c r="P2719" s="180"/>
      <c r="Q2719" s="174"/>
      <c r="R2719" s="413"/>
      <c r="S2719" s="74"/>
      <c r="T2719" s="88"/>
      <c r="U2719" s="74"/>
      <c r="V2719" s="74"/>
      <c r="W2719" s="74"/>
      <c r="X2719" s="74"/>
      <c r="Y2719" s="121"/>
      <c r="Z2719" s="74"/>
      <c r="AA2719" s="414"/>
      <c r="AB2719" s="415"/>
    </row>
    <row r="2720" spans="1:28" s="352" customFormat="1" ht="18" customHeight="1" x14ac:dyDescent="0.2">
      <c r="A2720" s="88"/>
      <c r="B2720" s="75"/>
      <c r="C2720" s="88"/>
      <c r="D2720" s="231"/>
      <c r="E2720" s="2166"/>
      <c r="F2720" s="411"/>
      <c r="G2720" s="242"/>
      <c r="H2720" s="412"/>
      <c r="I2720" s="159"/>
      <c r="J2720" s="121"/>
      <c r="K2720" s="159"/>
      <c r="L2720" s="75"/>
      <c r="M2720" s="88"/>
      <c r="N2720" s="88"/>
      <c r="O2720" s="75"/>
      <c r="P2720" s="180"/>
      <c r="Q2720" s="174"/>
      <c r="R2720" s="413"/>
      <c r="S2720" s="74"/>
      <c r="T2720" s="88"/>
      <c r="U2720" s="74"/>
      <c r="V2720" s="74"/>
      <c r="W2720" s="74"/>
      <c r="X2720" s="74"/>
      <c r="Y2720" s="121"/>
      <c r="Z2720" s="74"/>
      <c r="AA2720" s="417"/>
      <c r="AB2720" s="410"/>
    </row>
    <row r="2721" spans="1:28" s="352" customFormat="1" ht="18" customHeight="1" x14ac:dyDescent="0.2">
      <c r="A2721" s="88"/>
      <c r="B2721" s="75"/>
      <c r="C2721" s="88"/>
      <c r="D2721" s="88"/>
      <c r="E2721" s="2166"/>
      <c r="F2721" s="411"/>
      <c r="G2721" s="242"/>
      <c r="H2721" s="412"/>
      <c r="I2721" s="159"/>
      <c r="J2721" s="121"/>
      <c r="K2721" s="159"/>
      <c r="L2721" s="75"/>
      <c r="M2721" s="88"/>
      <c r="N2721" s="88"/>
      <c r="O2721" s="75"/>
      <c r="P2721" s="180"/>
      <c r="Q2721" s="174"/>
      <c r="R2721" s="413"/>
      <c r="S2721" s="74"/>
      <c r="T2721" s="88"/>
      <c r="U2721" s="74"/>
      <c r="V2721" s="74"/>
      <c r="W2721" s="74"/>
      <c r="X2721" s="74"/>
      <c r="Y2721" s="121"/>
      <c r="Z2721" s="74"/>
      <c r="AA2721" s="414"/>
      <c r="AB2721" s="416"/>
    </row>
    <row r="2722" spans="1:28" s="352" customFormat="1" ht="18" customHeight="1" x14ac:dyDescent="0.2">
      <c r="A2722" s="88"/>
      <c r="B2722" s="75"/>
      <c r="C2722" s="88"/>
      <c r="D2722" s="2165"/>
      <c r="E2722" s="2166"/>
      <c r="F2722" s="411"/>
      <c r="G2722" s="242"/>
      <c r="H2722" s="412"/>
      <c r="I2722" s="159"/>
      <c r="J2722" s="121"/>
      <c r="K2722" s="159"/>
      <c r="L2722" s="75"/>
      <c r="M2722" s="88"/>
      <c r="N2722" s="88"/>
      <c r="O2722" s="75"/>
      <c r="P2722" s="180"/>
      <c r="Q2722" s="174"/>
      <c r="R2722" s="413"/>
      <c r="S2722" s="74"/>
      <c r="T2722" s="88"/>
      <c r="U2722" s="74"/>
      <c r="V2722" s="74"/>
      <c r="W2722" s="74"/>
      <c r="X2722" s="74"/>
      <c r="Y2722" s="121"/>
      <c r="Z2722" s="74"/>
      <c r="AA2722" s="414"/>
      <c r="AB2722" s="410"/>
    </row>
    <row r="2723" spans="1:28" s="352" customFormat="1" ht="18" customHeight="1" x14ac:dyDescent="0.2">
      <c r="A2723" s="88"/>
      <c r="B2723" s="75"/>
      <c r="C2723" s="88"/>
      <c r="D2723" s="2165"/>
      <c r="E2723" s="2166"/>
      <c r="F2723" s="411"/>
      <c r="G2723" s="242"/>
      <c r="H2723" s="412"/>
      <c r="I2723" s="159"/>
      <c r="J2723" s="121"/>
      <c r="K2723" s="159"/>
      <c r="L2723" s="75"/>
      <c r="M2723" s="88"/>
      <c r="N2723" s="88"/>
      <c r="O2723" s="75"/>
      <c r="P2723" s="180"/>
      <c r="Q2723" s="174"/>
      <c r="R2723" s="413"/>
      <c r="S2723" s="74"/>
      <c r="T2723" s="88"/>
      <c r="U2723" s="74"/>
      <c r="V2723" s="74"/>
      <c r="W2723" s="74"/>
      <c r="X2723" s="74"/>
      <c r="Y2723" s="121"/>
      <c r="Z2723" s="74"/>
      <c r="AA2723" s="417"/>
      <c r="AB2723" s="410"/>
    </row>
    <row r="2724" spans="1:28" s="352" customFormat="1" ht="18" customHeight="1" x14ac:dyDescent="0.2">
      <c r="A2724" s="88"/>
      <c r="B2724" s="75"/>
      <c r="C2724" s="88"/>
      <c r="D2724" s="2165"/>
      <c r="E2724" s="2166"/>
      <c r="F2724" s="411"/>
      <c r="G2724" s="242"/>
      <c r="H2724" s="412"/>
      <c r="I2724" s="159"/>
      <c r="J2724" s="121"/>
      <c r="K2724" s="159"/>
      <c r="L2724" s="75"/>
      <c r="M2724" s="88"/>
      <c r="N2724" s="88"/>
      <c r="O2724" s="75"/>
      <c r="P2724" s="180"/>
      <c r="Q2724" s="174"/>
      <c r="R2724" s="413"/>
      <c r="S2724" s="74"/>
      <c r="T2724" s="88"/>
      <c r="U2724" s="74"/>
      <c r="V2724" s="74"/>
      <c r="W2724" s="74"/>
      <c r="X2724" s="74"/>
      <c r="Y2724" s="121"/>
      <c r="Z2724" s="74"/>
      <c r="AA2724" s="414"/>
      <c r="AB2724" s="416"/>
    </row>
    <row r="2725" spans="1:28" s="352" customFormat="1" ht="18" customHeight="1" x14ac:dyDescent="0.2">
      <c r="A2725" s="88"/>
      <c r="B2725" s="418"/>
      <c r="C2725" s="88"/>
      <c r="D2725" s="88"/>
      <c r="E2725" s="88"/>
      <c r="F2725" s="411"/>
      <c r="G2725" s="242"/>
      <c r="H2725" s="412"/>
      <c r="I2725" s="159"/>
      <c r="J2725" s="121"/>
      <c r="K2725" s="159"/>
      <c r="L2725" s="75"/>
      <c r="M2725" s="88"/>
      <c r="N2725" s="88"/>
      <c r="O2725" s="75"/>
      <c r="P2725" s="180"/>
      <c r="Q2725" s="174"/>
      <c r="R2725" s="413"/>
      <c r="S2725" s="74"/>
      <c r="T2725" s="88"/>
      <c r="U2725" s="74"/>
      <c r="V2725" s="74"/>
      <c r="W2725" s="74"/>
      <c r="X2725" s="74"/>
      <c r="Y2725" s="121"/>
      <c r="Z2725" s="74"/>
      <c r="AA2725" s="414"/>
      <c r="AB2725" s="410"/>
    </row>
    <row r="2726" spans="1:28" s="352" customFormat="1" ht="18" customHeight="1" x14ac:dyDescent="0.2">
      <c r="A2726" s="1147"/>
      <c r="B2726" s="1989"/>
      <c r="C2726" s="1147"/>
      <c r="D2726" s="1147"/>
      <c r="E2726" s="1147"/>
      <c r="F2726" s="1147"/>
      <c r="G2726" s="1147"/>
      <c r="H2726" s="1990"/>
      <c r="I2726" s="1991"/>
      <c r="J2726" s="1868"/>
      <c r="K2726" s="1992"/>
      <c r="L2726" s="1989"/>
      <c r="M2726" s="1147"/>
      <c r="N2726" s="1147"/>
      <c r="O2726" s="1989"/>
      <c r="P2726" s="1867"/>
      <c r="Q2726" s="1993"/>
      <c r="R2726" s="1994"/>
      <c r="S2726" s="1991"/>
      <c r="T2726" s="1147"/>
      <c r="U2726" s="1991"/>
      <c r="V2726" s="1991"/>
      <c r="W2726" s="1991"/>
      <c r="X2726" s="1991"/>
      <c r="Y2726" s="1868"/>
      <c r="Z2726" s="1991"/>
      <c r="AA2726" s="1995"/>
      <c r="AB2726" s="1849">
        <f>SUM(AB2712:AB2725)</f>
        <v>1260</v>
      </c>
    </row>
    <row r="2727" spans="1:28" s="352" customFormat="1" ht="18" customHeight="1" x14ac:dyDescent="0.2">
      <c r="A2727" s="2788" t="s">
        <v>76</v>
      </c>
      <c r="B2727" s="2788"/>
      <c r="C2727" s="2779" t="s">
        <v>77</v>
      </c>
      <c r="D2727" s="2779"/>
      <c r="E2727" s="2779"/>
      <c r="F2727" s="2779"/>
      <c r="G2727" s="2779"/>
      <c r="H2727" s="2779"/>
      <c r="I2727" s="424" t="s">
        <v>78</v>
      </c>
      <c r="J2727" s="424"/>
      <c r="K2727" s="424"/>
      <c r="L2727" s="424"/>
      <c r="M2727" s="424"/>
      <c r="N2727" s="424"/>
      <c r="AB2727" s="425"/>
    </row>
    <row r="2728" spans="1:28" s="352" customFormat="1" ht="18" customHeight="1" x14ac:dyDescent="0.2">
      <c r="A2728" s="424"/>
      <c r="B2728" s="426"/>
      <c r="C2728" s="424"/>
      <c r="D2728" s="424"/>
      <c r="E2728" s="424"/>
      <c r="F2728" s="424"/>
      <c r="G2728" s="424"/>
      <c r="H2728" s="424"/>
      <c r="I2728" s="424" t="s">
        <v>79</v>
      </c>
      <c r="J2728" s="424"/>
      <c r="K2728" s="424"/>
      <c r="L2728" s="424"/>
      <c r="M2728" s="424"/>
      <c r="N2728" s="424"/>
      <c r="AB2728" s="425"/>
    </row>
    <row r="2729" spans="1:28" s="352" customFormat="1" ht="18" customHeight="1" x14ac:dyDescent="0.2">
      <c r="A2729" s="424"/>
      <c r="B2729" s="426"/>
      <c r="C2729" s="424"/>
      <c r="D2729" s="424"/>
      <c r="E2729" s="424"/>
      <c r="F2729" s="424"/>
      <c r="G2729" s="424"/>
      <c r="H2729" s="424"/>
      <c r="I2729" s="424" t="s">
        <v>80</v>
      </c>
      <c r="J2729" s="424"/>
      <c r="K2729" s="424"/>
      <c r="L2729" s="424"/>
      <c r="M2729" s="424"/>
      <c r="N2729" s="424"/>
      <c r="AB2729" s="425"/>
    </row>
    <row r="2730" spans="1:28" s="352" customFormat="1" ht="18" customHeight="1" x14ac:dyDescent="0.2">
      <c r="A2730" s="424"/>
      <c r="B2730" s="426"/>
      <c r="C2730" s="424"/>
      <c r="D2730" s="424"/>
      <c r="E2730" s="424"/>
      <c r="F2730" s="424"/>
      <c r="G2730" s="424"/>
      <c r="H2730" s="424"/>
      <c r="I2730" s="424" t="s">
        <v>81</v>
      </c>
      <c r="J2730" s="424"/>
      <c r="K2730" s="424"/>
      <c r="L2730" s="424"/>
      <c r="M2730" s="424"/>
      <c r="N2730" s="424"/>
      <c r="AB2730" s="425"/>
    </row>
    <row r="2731" spans="1:28" s="352" customFormat="1" ht="18" customHeight="1" x14ac:dyDescent="0.2">
      <c r="A2731" s="424"/>
      <c r="B2731" s="426"/>
      <c r="C2731" s="424"/>
      <c r="D2731" s="424"/>
      <c r="E2731" s="424"/>
      <c r="F2731" s="424"/>
      <c r="G2731" s="424"/>
      <c r="H2731" s="424"/>
      <c r="I2731" s="424" t="s">
        <v>88</v>
      </c>
      <c r="J2731" s="424"/>
      <c r="K2731" s="424"/>
      <c r="L2731" s="424"/>
      <c r="M2731" s="424"/>
      <c r="N2731" s="424"/>
      <c r="AB2731" s="425"/>
    </row>
    <row r="2732" spans="1:28" s="352" customFormat="1" ht="18" customHeight="1" x14ac:dyDescent="0.2">
      <c r="A2732" s="338"/>
      <c r="B2732" s="338"/>
      <c r="C2732" s="338"/>
      <c r="D2732" s="338"/>
      <c r="E2732" s="338"/>
      <c r="F2732" s="338"/>
      <c r="G2732" s="338"/>
      <c r="H2732" s="338"/>
      <c r="I2732" s="338"/>
      <c r="J2732" s="338"/>
      <c r="K2732" s="338"/>
      <c r="L2732" s="338"/>
      <c r="M2732" s="338"/>
      <c r="N2732" s="338"/>
      <c r="O2732" s="338"/>
      <c r="P2732" s="338"/>
      <c r="Q2732" s="338"/>
      <c r="R2732" s="338"/>
      <c r="S2732" s="338"/>
      <c r="T2732" s="338"/>
      <c r="U2732" s="338"/>
      <c r="V2732" s="338"/>
      <c r="W2732" s="338"/>
      <c r="X2732" s="338"/>
      <c r="Y2732" s="338"/>
      <c r="Z2732" s="338"/>
      <c r="AA2732" s="2774" t="s">
        <v>0</v>
      </c>
      <c r="AB2732" s="2774"/>
    </row>
    <row r="2733" spans="1:28" s="352" customFormat="1" ht="18" customHeight="1" x14ac:dyDescent="0.2">
      <c r="A2733" s="2703" t="s">
        <v>1</v>
      </c>
      <c r="B2733" s="2703"/>
      <c r="C2733" s="2703"/>
      <c r="D2733" s="2703"/>
      <c r="E2733" s="2703"/>
      <c r="F2733" s="2703"/>
      <c r="G2733" s="2703"/>
      <c r="H2733" s="2703"/>
      <c r="I2733" s="2703"/>
      <c r="J2733" s="2703"/>
      <c r="K2733" s="2703"/>
      <c r="L2733" s="2703"/>
      <c r="M2733" s="2703"/>
      <c r="N2733" s="2703"/>
      <c r="O2733" s="2703"/>
      <c r="P2733" s="2703"/>
      <c r="Q2733" s="2703"/>
      <c r="R2733" s="2703"/>
      <c r="S2733" s="2703"/>
      <c r="T2733" s="2703"/>
      <c r="U2733" s="2703"/>
      <c r="V2733" s="2703"/>
      <c r="W2733" s="2703"/>
      <c r="X2733" s="2703"/>
      <c r="Y2733" s="2703"/>
      <c r="Z2733" s="2703"/>
      <c r="AA2733" s="2703"/>
      <c r="AB2733" s="2703"/>
    </row>
    <row r="2734" spans="1:28" s="352" customFormat="1" ht="18" customHeight="1" x14ac:dyDescent="0.2">
      <c r="A2734" s="2780" t="s">
        <v>683</v>
      </c>
      <c r="B2734" s="2780"/>
      <c r="C2734" s="2780"/>
      <c r="D2734" s="2780"/>
      <c r="E2734" s="2780"/>
      <c r="F2734" s="2780"/>
      <c r="G2734" s="2780"/>
      <c r="H2734" s="2780"/>
      <c r="I2734" s="2780"/>
      <c r="J2734" s="2780"/>
      <c r="K2734" s="2780"/>
      <c r="L2734" s="2780"/>
      <c r="M2734" s="2780"/>
      <c r="N2734" s="2780"/>
      <c r="O2734" s="2780"/>
      <c r="P2734" s="2780"/>
      <c r="Q2734" s="2780"/>
      <c r="R2734" s="2780"/>
      <c r="S2734" s="2780"/>
      <c r="T2734" s="2780"/>
      <c r="U2734" s="2780"/>
      <c r="V2734" s="2780"/>
      <c r="W2734" s="2780"/>
      <c r="X2734" s="2780"/>
      <c r="Y2734" s="2780"/>
      <c r="Z2734" s="2780"/>
      <c r="AA2734" s="2780"/>
      <c r="AB2734" s="2780"/>
    </row>
    <row r="2735" spans="1:28" s="352" customFormat="1" ht="18" customHeight="1" x14ac:dyDescent="0.2">
      <c r="A2735" s="2686" t="s">
        <v>2</v>
      </c>
      <c r="B2735" s="360"/>
      <c r="C2735" s="2686" t="s">
        <v>3</v>
      </c>
      <c r="D2735" s="360"/>
      <c r="E2735" s="360"/>
      <c r="F2735" s="2693" t="s">
        <v>4</v>
      </c>
      <c r="G2735" s="2693"/>
      <c r="H2735" s="2693"/>
      <c r="I2735" s="2694"/>
      <c r="J2735" s="2694"/>
      <c r="K2735" s="2695"/>
      <c r="L2735" s="361"/>
      <c r="M2735" s="2679" t="s">
        <v>5</v>
      </c>
      <c r="N2735" s="2679"/>
      <c r="O2735" s="2679"/>
      <c r="P2735" s="2679"/>
      <c r="Q2735" s="2696"/>
      <c r="R2735" s="2696"/>
      <c r="S2735" s="2696"/>
      <c r="T2735" s="2696"/>
      <c r="U2735" s="2696"/>
      <c r="V2735" s="2697"/>
      <c r="W2735" s="362" t="s">
        <v>6</v>
      </c>
      <c r="X2735" s="363" t="s">
        <v>7</v>
      </c>
      <c r="Y2735" s="364"/>
      <c r="Z2735" s="364"/>
      <c r="AA2735" s="363"/>
      <c r="AB2735" s="365"/>
    </row>
    <row r="2736" spans="1:28" s="352" customFormat="1" ht="18" customHeight="1" x14ac:dyDescent="0.2">
      <c r="A2736" s="2687"/>
      <c r="B2736" s="367"/>
      <c r="C2736" s="2687"/>
      <c r="D2736" s="2158" t="s">
        <v>9</v>
      </c>
      <c r="E2736" s="368" t="s">
        <v>10</v>
      </c>
      <c r="F2736" s="2698" t="s">
        <v>11</v>
      </c>
      <c r="G2736" s="2694"/>
      <c r="H2736" s="2695"/>
      <c r="I2736" s="360"/>
      <c r="J2736" s="369" t="s">
        <v>12</v>
      </c>
      <c r="K2736" s="360"/>
      <c r="L2736" s="2679" t="s">
        <v>2</v>
      </c>
      <c r="M2736" s="2162"/>
      <c r="N2736" s="2162"/>
      <c r="O2736" s="2162"/>
      <c r="P2736" s="371"/>
      <c r="Q2736" s="372" t="s">
        <v>13</v>
      </c>
      <c r="R2736" s="373" t="s">
        <v>12</v>
      </c>
      <c r="S2736" s="2162" t="s">
        <v>6</v>
      </c>
      <c r="T2736" s="2682" t="s">
        <v>14</v>
      </c>
      <c r="U2736" s="2683"/>
      <c r="V2736" s="375" t="s">
        <v>7</v>
      </c>
      <c r="W2736" s="376" t="s">
        <v>15</v>
      </c>
      <c r="X2736" s="377" t="s">
        <v>16</v>
      </c>
      <c r="Y2736" s="377" t="s">
        <v>17</v>
      </c>
      <c r="Z2736" s="377" t="s">
        <v>18</v>
      </c>
      <c r="AA2736" s="377"/>
      <c r="AB2736" s="378" t="s">
        <v>19</v>
      </c>
    </row>
    <row r="2737" spans="1:28" s="352" customFormat="1" ht="18" customHeight="1" x14ac:dyDescent="0.2">
      <c r="A2737" s="2687"/>
      <c r="B2737" s="2158" t="s">
        <v>23</v>
      </c>
      <c r="C2737" s="2687"/>
      <c r="D2737" s="2158" t="s">
        <v>24</v>
      </c>
      <c r="E2737" s="368" t="s">
        <v>25</v>
      </c>
      <c r="F2737" s="2699"/>
      <c r="G2737" s="2700"/>
      <c r="H2737" s="2701"/>
      <c r="I2737" s="2158" t="s">
        <v>26</v>
      </c>
      <c r="J2737" s="379" t="s">
        <v>15</v>
      </c>
      <c r="K2737" s="2159" t="s">
        <v>6</v>
      </c>
      <c r="L2737" s="2680"/>
      <c r="M2737" s="2163" t="s">
        <v>27</v>
      </c>
      <c r="N2737" s="2163" t="s">
        <v>10</v>
      </c>
      <c r="O2737" s="382" t="s">
        <v>10</v>
      </c>
      <c r="P2737" s="383" t="s">
        <v>28</v>
      </c>
      <c r="Q2737" s="384" t="s">
        <v>29</v>
      </c>
      <c r="R2737" s="383" t="s">
        <v>15</v>
      </c>
      <c r="S2737" s="385" t="s">
        <v>15</v>
      </c>
      <c r="T2737" s="2684"/>
      <c r="U2737" s="2685"/>
      <c r="V2737" s="375" t="s">
        <v>30</v>
      </c>
      <c r="W2737" s="376" t="s">
        <v>31</v>
      </c>
      <c r="X2737" s="377" t="s">
        <v>30</v>
      </c>
      <c r="Y2737" s="377" t="s">
        <v>32</v>
      </c>
      <c r="Z2737" s="377" t="s">
        <v>7</v>
      </c>
      <c r="AA2737" s="377" t="s">
        <v>33</v>
      </c>
      <c r="AB2737" s="378" t="s">
        <v>34</v>
      </c>
    </row>
    <row r="2738" spans="1:28" s="352" customFormat="1" ht="18" customHeight="1" x14ac:dyDescent="0.2">
      <c r="A2738" s="2687"/>
      <c r="B2738" s="2158" t="s">
        <v>39</v>
      </c>
      <c r="C2738" s="2687"/>
      <c r="D2738" s="2158" t="s">
        <v>40</v>
      </c>
      <c r="E2738" s="368" t="s">
        <v>41</v>
      </c>
      <c r="F2738" s="2686" t="s">
        <v>42</v>
      </c>
      <c r="G2738" s="2686" t="s">
        <v>43</v>
      </c>
      <c r="H2738" s="2688" t="s">
        <v>44</v>
      </c>
      <c r="I2738" s="2158" t="s">
        <v>45</v>
      </c>
      <c r="J2738" s="379" t="s">
        <v>46</v>
      </c>
      <c r="K2738" s="2159" t="s">
        <v>47</v>
      </c>
      <c r="L2738" s="2680"/>
      <c r="M2738" s="2163" t="s">
        <v>30</v>
      </c>
      <c r="N2738" s="2163" t="s">
        <v>30</v>
      </c>
      <c r="O2738" s="382" t="s">
        <v>25</v>
      </c>
      <c r="P2738" s="383" t="s">
        <v>30</v>
      </c>
      <c r="Q2738" s="384" t="s">
        <v>48</v>
      </c>
      <c r="R2738" s="383" t="s">
        <v>49</v>
      </c>
      <c r="S2738" s="385" t="s">
        <v>30</v>
      </c>
      <c r="T2738" s="386" t="s">
        <v>50</v>
      </c>
      <c r="U2738" s="2161" t="s">
        <v>13</v>
      </c>
      <c r="V2738" s="375" t="s">
        <v>51</v>
      </c>
      <c r="W2738" s="376" t="s">
        <v>52</v>
      </c>
      <c r="X2738" s="377" t="s">
        <v>53</v>
      </c>
      <c r="Y2738" s="377" t="s">
        <v>54</v>
      </c>
      <c r="Z2738" s="377" t="s">
        <v>55</v>
      </c>
      <c r="AA2738" s="377" t="s">
        <v>56</v>
      </c>
      <c r="AB2738" s="378" t="s">
        <v>57</v>
      </c>
    </row>
    <row r="2739" spans="1:28" s="352" customFormat="1" ht="18" customHeight="1" x14ac:dyDescent="0.2">
      <c r="A2739" s="2687"/>
      <c r="B2739" s="2158" t="s">
        <v>61</v>
      </c>
      <c r="C2739" s="2687"/>
      <c r="D2739" s="2158" t="s">
        <v>62</v>
      </c>
      <c r="E2739" s="368" t="s">
        <v>63</v>
      </c>
      <c r="F2739" s="2687"/>
      <c r="G2739" s="2687"/>
      <c r="H2739" s="2689"/>
      <c r="I2739" s="2158" t="s">
        <v>64</v>
      </c>
      <c r="J2739" s="379" t="s">
        <v>59</v>
      </c>
      <c r="K2739" s="2159" t="s">
        <v>59</v>
      </c>
      <c r="L2739" s="2680"/>
      <c r="M2739" s="2163"/>
      <c r="N2739" s="2163"/>
      <c r="O2739" s="382" t="s">
        <v>41</v>
      </c>
      <c r="P2739" s="383" t="s">
        <v>65</v>
      </c>
      <c r="Q2739" s="384" t="s">
        <v>66</v>
      </c>
      <c r="R2739" s="383" t="s">
        <v>67</v>
      </c>
      <c r="S2739" s="385" t="s">
        <v>59</v>
      </c>
      <c r="T2739" s="387" t="s">
        <v>68</v>
      </c>
      <c r="U2739" s="375" t="s">
        <v>14</v>
      </c>
      <c r="V2739" s="375" t="s">
        <v>14</v>
      </c>
      <c r="W2739" s="376" t="s">
        <v>30</v>
      </c>
      <c r="X2739" s="388" t="s">
        <v>69</v>
      </c>
      <c r="Y2739" s="388" t="s">
        <v>70</v>
      </c>
      <c r="Z2739" s="377" t="s">
        <v>71</v>
      </c>
      <c r="AA2739" s="377" t="s">
        <v>72</v>
      </c>
      <c r="AB2739" s="378" t="s">
        <v>59</v>
      </c>
    </row>
    <row r="2740" spans="1:28" s="352" customFormat="1" ht="18" customHeight="1" x14ac:dyDescent="0.2">
      <c r="A2740" s="2692"/>
      <c r="B2740" s="390"/>
      <c r="C2740" s="2692"/>
      <c r="D2740" s="390"/>
      <c r="E2740" s="2160"/>
      <c r="F2740" s="390"/>
      <c r="G2740" s="390"/>
      <c r="H2740" s="391"/>
      <c r="I2740" s="2160"/>
      <c r="J2740" s="392"/>
      <c r="K2740" s="393"/>
      <c r="L2740" s="2681"/>
      <c r="M2740" s="2164"/>
      <c r="N2740" s="2164"/>
      <c r="O2740" s="2164" t="s">
        <v>63</v>
      </c>
      <c r="P2740" s="395"/>
      <c r="Q2740" s="396" t="s">
        <v>72</v>
      </c>
      <c r="R2740" s="397" t="s">
        <v>59</v>
      </c>
      <c r="S2740" s="398"/>
      <c r="T2740" s="397" t="s">
        <v>73</v>
      </c>
      <c r="U2740" s="398" t="s">
        <v>59</v>
      </c>
      <c r="V2740" s="399" t="s">
        <v>59</v>
      </c>
      <c r="W2740" s="400" t="s">
        <v>59</v>
      </c>
      <c r="X2740" s="401" t="s">
        <v>59</v>
      </c>
      <c r="Y2740" s="401" t="s">
        <v>59</v>
      </c>
      <c r="Z2740" s="401" t="s">
        <v>59</v>
      </c>
      <c r="AA2740" s="402"/>
      <c r="AB2740" s="403"/>
    </row>
    <row r="2741" spans="1:28" s="352" customFormat="1" ht="18" customHeight="1" x14ac:dyDescent="0.2">
      <c r="A2741" s="41">
        <v>1</v>
      </c>
      <c r="B2741" s="53">
        <v>23214</v>
      </c>
      <c r="C2741" s="82">
        <v>678</v>
      </c>
      <c r="D2741" s="41" t="s">
        <v>84</v>
      </c>
      <c r="E2741" s="41">
        <v>2</v>
      </c>
      <c r="F2741" s="41">
        <v>0</v>
      </c>
      <c r="G2741" s="41">
        <v>1</v>
      </c>
      <c r="H2741" s="267">
        <v>15</v>
      </c>
      <c r="I2741" s="302">
        <f>F2741*400+G2741*100+H2741</f>
        <v>115</v>
      </c>
      <c r="J2741" s="310">
        <v>3000</v>
      </c>
      <c r="K2741" s="310">
        <f>SUM(I2741*J2741)</f>
        <v>345000</v>
      </c>
      <c r="L2741" s="16">
        <v>1</v>
      </c>
      <c r="M2741" s="82">
        <v>103</v>
      </c>
      <c r="N2741" s="41" t="s">
        <v>74</v>
      </c>
      <c r="O2741" s="16">
        <v>2</v>
      </c>
      <c r="P2741" s="404">
        <v>148.85</v>
      </c>
      <c r="Q2741" s="14" t="s">
        <v>75</v>
      </c>
      <c r="R2741" s="302">
        <v>9050</v>
      </c>
      <c r="S2741" s="302">
        <f>+P2741*R2741</f>
        <v>1347092.5</v>
      </c>
      <c r="T2741" s="41">
        <v>18</v>
      </c>
      <c r="U2741" s="302">
        <f>+S2741*0.26</f>
        <v>350244.05</v>
      </c>
      <c r="V2741" s="310">
        <f>+S2741-U2741</f>
        <v>996848.45</v>
      </c>
      <c r="W2741" s="302">
        <f>K2741+V2741</f>
        <v>1341848.45</v>
      </c>
      <c r="X2741" s="310">
        <f>W2741</f>
        <v>1341848.45</v>
      </c>
      <c r="Y2741" s="310" t="s">
        <v>87</v>
      </c>
      <c r="Z2741" s="302">
        <v>0</v>
      </c>
      <c r="AA2741" s="405">
        <v>0.02</v>
      </c>
      <c r="AB2741" s="465">
        <f>+Z2741*AA2741/100</f>
        <v>0</v>
      </c>
    </row>
    <row r="2742" spans="1:28" s="352" customFormat="1" ht="18" customHeight="1" x14ac:dyDescent="0.2">
      <c r="A2742" s="270">
        <v>2</v>
      </c>
      <c r="B2742" s="75">
        <v>32476</v>
      </c>
      <c r="C2742" s="88">
        <v>258</v>
      </c>
      <c r="D2742" s="27" t="s">
        <v>84</v>
      </c>
      <c r="E2742" s="27">
        <v>2</v>
      </c>
      <c r="F2742" s="27">
        <v>0</v>
      </c>
      <c r="G2742" s="27">
        <v>0</v>
      </c>
      <c r="H2742" s="557">
        <v>99.5</v>
      </c>
      <c r="I2742" s="296">
        <f>F2742*400+G2742*100+H2742</f>
        <v>99.5</v>
      </c>
      <c r="J2742" s="306">
        <v>3000</v>
      </c>
      <c r="K2742" s="306">
        <f>SUM(I2742*J2742)</f>
        <v>298500</v>
      </c>
      <c r="L2742" s="50">
        <v>2</v>
      </c>
      <c r="M2742" s="2166">
        <v>103</v>
      </c>
      <c r="N2742" s="15" t="s">
        <v>74</v>
      </c>
      <c r="O2742" s="50">
        <v>2</v>
      </c>
      <c r="P2742" s="673">
        <v>96</v>
      </c>
      <c r="Q2742" s="76" t="s">
        <v>75</v>
      </c>
      <c r="R2742" s="296">
        <v>9050</v>
      </c>
      <c r="S2742" s="296">
        <f>+P2742*R2742</f>
        <v>868800</v>
      </c>
      <c r="T2742" s="15">
        <v>18</v>
      </c>
      <c r="U2742" s="296">
        <f>+S2742*0.26</f>
        <v>225888</v>
      </c>
      <c r="V2742" s="296">
        <f>+S2742-U2742</f>
        <v>642912</v>
      </c>
      <c r="W2742" s="296">
        <f>K2742+V2742</f>
        <v>941412</v>
      </c>
      <c r="X2742" s="306">
        <f>W2742</f>
        <v>941412</v>
      </c>
      <c r="Y2742" s="306"/>
      <c r="Z2742" s="296">
        <f>+X2742</f>
        <v>941412</v>
      </c>
      <c r="AA2742" s="494">
        <v>0.02</v>
      </c>
      <c r="AB2742" s="410">
        <f>Z2742*AA2742/100</f>
        <v>188.28240000000002</v>
      </c>
    </row>
    <row r="2743" spans="1:28" s="352" customFormat="1" ht="18" customHeight="1" x14ac:dyDescent="0.2">
      <c r="A2743" s="27">
        <v>3</v>
      </c>
      <c r="B2743" s="75">
        <v>28655</v>
      </c>
      <c r="C2743" s="88">
        <v>42</v>
      </c>
      <c r="D2743" s="27" t="s">
        <v>84</v>
      </c>
      <c r="E2743" s="27">
        <v>4</v>
      </c>
      <c r="F2743" s="27">
        <v>0</v>
      </c>
      <c r="G2743" s="27">
        <v>0</v>
      </c>
      <c r="H2743" s="557">
        <v>76</v>
      </c>
      <c r="I2743" s="296">
        <f>F2743*400+G2743*100+H2743</f>
        <v>76</v>
      </c>
      <c r="J2743" s="306">
        <v>280</v>
      </c>
      <c r="K2743" s="306">
        <f>SUM(I2743*J2743)</f>
        <v>21280</v>
      </c>
      <c r="L2743" s="50"/>
      <c r="M2743" s="2166"/>
      <c r="N2743" s="15"/>
      <c r="O2743" s="50">
        <v>1</v>
      </c>
      <c r="P2743" s="673"/>
      <c r="Q2743" s="76"/>
      <c r="R2743" s="296"/>
      <c r="S2743" s="296"/>
      <c r="T2743" s="15"/>
      <c r="U2743" s="296"/>
      <c r="V2743" s="296"/>
      <c r="W2743" s="296">
        <f>K2743</f>
        <v>21280</v>
      </c>
      <c r="X2743" s="306">
        <f>W2743</f>
        <v>21280</v>
      </c>
      <c r="Y2743" s="306" t="s">
        <v>87</v>
      </c>
      <c r="Z2743" s="296">
        <v>0</v>
      </c>
      <c r="AA2743" s="494">
        <v>0.01</v>
      </c>
      <c r="AB2743" s="416">
        <f>+Z2743*AA2743/100</f>
        <v>0</v>
      </c>
    </row>
    <row r="2744" spans="1:28" s="352" customFormat="1" ht="18" customHeight="1" x14ac:dyDescent="0.2">
      <c r="A2744" s="2166"/>
      <c r="B2744" s="61"/>
      <c r="C2744" s="2166"/>
      <c r="D2744" s="2166"/>
      <c r="E2744" s="2166"/>
      <c r="F2744" s="2166"/>
      <c r="G2744" s="2166"/>
      <c r="H2744" s="407"/>
      <c r="I2744" s="77"/>
      <c r="J2744" s="2168"/>
      <c r="K2744" s="2168"/>
      <c r="L2744" s="488"/>
      <c r="M2744" s="488"/>
      <c r="N2744" s="488"/>
      <c r="O2744" s="488"/>
      <c r="P2744" s="819"/>
      <c r="Q2744" s="819"/>
      <c r="R2744" s="820"/>
      <c r="S2744" s="820"/>
      <c r="T2744" s="819"/>
      <c r="U2744" s="820"/>
      <c r="V2744" s="821"/>
      <c r="W2744" s="77"/>
      <c r="X2744" s="2168"/>
      <c r="Y2744" s="2168"/>
      <c r="Z2744" s="77"/>
      <c r="AA2744" s="2170"/>
      <c r="AB2744" s="410"/>
    </row>
    <row r="2745" spans="1:28" s="352" customFormat="1" ht="18" customHeight="1" x14ac:dyDescent="0.2">
      <c r="A2745" s="2166"/>
      <c r="B2745" s="61"/>
      <c r="C2745" s="2166"/>
      <c r="D2745" s="2166"/>
      <c r="E2745" s="2166"/>
      <c r="F2745" s="2166"/>
      <c r="G2745" s="2166"/>
      <c r="H2745" s="407"/>
      <c r="I2745" s="77"/>
      <c r="J2745" s="2168"/>
      <c r="K2745" s="78"/>
      <c r="L2745" s="61"/>
      <c r="M2745" s="2166"/>
      <c r="N2745" s="2166"/>
      <c r="O2745" s="61"/>
      <c r="P2745" s="177"/>
      <c r="Q2745" s="196"/>
      <c r="R2745" s="408"/>
      <c r="S2745" s="77"/>
      <c r="T2745" s="2166"/>
      <c r="U2745" s="77"/>
      <c r="V2745" s="77"/>
      <c r="W2745" s="77"/>
      <c r="X2745" s="77"/>
      <c r="Y2745" s="2168"/>
      <c r="Z2745" s="77"/>
      <c r="AA2745" s="2170"/>
      <c r="AB2745" s="410"/>
    </row>
    <row r="2746" spans="1:28" s="352" customFormat="1" ht="18" customHeight="1" x14ac:dyDescent="0.2">
      <c r="A2746" s="2166"/>
      <c r="B2746" s="61"/>
      <c r="C2746" s="2166"/>
      <c r="D2746" s="2166"/>
      <c r="E2746" s="2166"/>
      <c r="F2746" s="2166"/>
      <c r="G2746" s="2166"/>
      <c r="H2746" s="407"/>
      <c r="I2746" s="77"/>
      <c r="J2746" s="2168"/>
      <c r="K2746" s="78"/>
      <c r="L2746" s="61"/>
      <c r="M2746" s="2166"/>
      <c r="N2746" s="2166"/>
      <c r="O2746" s="61"/>
      <c r="P2746" s="177"/>
      <c r="Q2746" s="196"/>
      <c r="R2746" s="408"/>
      <c r="S2746" s="77"/>
      <c r="T2746" s="2166"/>
      <c r="U2746" s="77"/>
      <c r="V2746" s="77"/>
      <c r="W2746" s="77"/>
      <c r="X2746" s="77"/>
      <c r="Y2746" s="2168"/>
      <c r="Z2746" s="77"/>
      <c r="AA2746" s="2170"/>
      <c r="AB2746" s="410"/>
    </row>
    <row r="2747" spans="1:28" s="352" customFormat="1" ht="18" customHeight="1" x14ac:dyDescent="0.2">
      <c r="A2747" s="2166"/>
      <c r="B2747" s="61"/>
      <c r="C2747" s="2166"/>
      <c r="D2747" s="2166"/>
      <c r="E2747" s="2166"/>
      <c r="F2747" s="2166"/>
      <c r="G2747" s="2166"/>
      <c r="H2747" s="407"/>
      <c r="I2747" s="77"/>
      <c r="J2747" s="2168"/>
      <c r="K2747" s="78"/>
      <c r="L2747" s="61"/>
      <c r="M2747" s="2166"/>
      <c r="N2747" s="2166"/>
      <c r="O2747" s="61"/>
      <c r="P2747" s="177"/>
      <c r="Q2747" s="196"/>
      <c r="R2747" s="408"/>
      <c r="S2747" s="77"/>
      <c r="T2747" s="2166"/>
      <c r="U2747" s="77"/>
      <c r="V2747" s="77"/>
      <c r="W2747" s="77"/>
      <c r="X2747" s="77"/>
      <c r="Y2747" s="2168"/>
      <c r="Z2747" s="77"/>
      <c r="AA2747" s="2170"/>
      <c r="AB2747" s="410"/>
    </row>
    <row r="2748" spans="1:28" s="352" customFormat="1" ht="18" customHeight="1" x14ac:dyDescent="0.2">
      <c r="A2748" s="88"/>
      <c r="B2748" s="75"/>
      <c r="C2748" s="88"/>
      <c r="D2748" s="88"/>
      <c r="E2748" s="2166"/>
      <c r="F2748" s="411"/>
      <c r="G2748" s="242"/>
      <c r="H2748" s="412"/>
      <c r="I2748" s="159"/>
      <c r="J2748" s="121"/>
      <c r="K2748" s="159"/>
      <c r="L2748" s="75"/>
      <c r="M2748" s="88"/>
      <c r="N2748" s="88"/>
      <c r="O2748" s="75"/>
      <c r="P2748" s="180"/>
      <c r="Q2748" s="174"/>
      <c r="R2748" s="413"/>
      <c r="S2748" s="74"/>
      <c r="T2748" s="88"/>
      <c r="U2748" s="74"/>
      <c r="V2748" s="74"/>
      <c r="W2748" s="74"/>
      <c r="X2748" s="74"/>
      <c r="Y2748" s="121"/>
      <c r="Z2748" s="74"/>
      <c r="AA2748" s="414"/>
      <c r="AB2748" s="415"/>
    </row>
    <row r="2749" spans="1:28" s="352" customFormat="1" ht="18" customHeight="1" x14ac:dyDescent="0.2">
      <c r="A2749" s="88"/>
      <c r="B2749" s="75"/>
      <c r="C2749" s="88"/>
      <c r="D2749" s="88"/>
      <c r="E2749" s="2166"/>
      <c r="F2749" s="411"/>
      <c r="G2749" s="242"/>
      <c r="H2749" s="412"/>
      <c r="I2749" s="159"/>
      <c r="J2749" s="121"/>
      <c r="K2749" s="159"/>
      <c r="L2749" s="75"/>
      <c r="M2749" s="88"/>
      <c r="N2749" s="88"/>
      <c r="O2749" s="75"/>
      <c r="P2749" s="180"/>
      <c r="Q2749" s="174"/>
      <c r="R2749" s="413"/>
      <c r="S2749" s="74"/>
      <c r="T2749" s="88"/>
      <c r="U2749" s="74"/>
      <c r="V2749" s="74"/>
      <c r="W2749" s="74"/>
      <c r="X2749" s="74"/>
      <c r="Y2749" s="121"/>
      <c r="Z2749" s="74"/>
      <c r="AA2749" s="417"/>
      <c r="AB2749" s="410"/>
    </row>
    <row r="2750" spans="1:28" s="352" customFormat="1" ht="18" customHeight="1" x14ac:dyDescent="0.2">
      <c r="A2750" s="88"/>
      <c r="B2750" s="75"/>
      <c r="C2750" s="88"/>
      <c r="D2750" s="88"/>
      <c r="E2750" s="2166"/>
      <c r="F2750" s="411"/>
      <c r="G2750" s="242"/>
      <c r="H2750" s="412"/>
      <c r="I2750" s="159"/>
      <c r="J2750" s="121"/>
      <c r="K2750" s="159"/>
      <c r="L2750" s="75"/>
      <c r="M2750" s="88"/>
      <c r="N2750" s="88"/>
      <c r="O2750" s="75"/>
      <c r="P2750" s="180"/>
      <c r="Q2750" s="174"/>
      <c r="R2750" s="413"/>
      <c r="S2750" s="74"/>
      <c r="T2750" s="88"/>
      <c r="U2750" s="74"/>
      <c r="V2750" s="74"/>
      <c r="W2750" s="74"/>
      <c r="X2750" s="74"/>
      <c r="Y2750" s="121"/>
      <c r="Z2750" s="74"/>
      <c r="AA2750" s="606"/>
      <c r="AB2750" s="416"/>
    </row>
    <row r="2751" spans="1:28" s="352" customFormat="1" ht="18" customHeight="1" x14ac:dyDescent="0.2">
      <c r="A2751" s="88"/>
      <c r="B2751" s="75"/>
      <c r="C2751" s="88"/>
      <c r="D2751" s="88"/>
      <c r="E2751" s="2166"/>
      <c r="F2751" s="411"/>
      <c r="G2751" s="242"/>
      <c r="H2751" s="412"/>
      <c r="I2751" s="159"/>
      <c r="J2751" s="121"/>
      <c r="K2751" s="159"/>
      <c r="L2751" s="75"/>
      <c r="M2751" s="88"/>
      <c r="N2751" s="88"/>
      <c r="O2751" s="75"/>
      <c r="P2751" s="180"/>
      <c r="Q2751" s="174"/>
      <c r="R2751" s="413"/>
      <c r="S2751" s="74"/>
      <c r="T2751" s="88"/>
      <c r="U2751" s="74"/>
      <c r="V2751" s="74"/>
      <c r="W2751" s="74"/>
      <c r="X2751" s="74"/>
      <c r="Y2751" s="121"/>
      <c r="Z2751" s="74"/>
      <c r="AA2751" s="414"/>
      <c r="AB2751" s="416"/>
    </row>
    <row r="2752" spans="1:28" s="352" customFormat="1" ht="18" customHeight="1" x14ac:dyDescent="0.2">
      <c r="A2752" s="88"/>
      <c r="B2752" s="75"/>
      <c r="C2752" s="88"/>
      <c r="D2752" s="2165"/>
      <c r="E2752" s="2166"/>
      <c r="F2752" s="411"/>
      <c r="G2752" s="242"/>
      <c r="H2752" s="412"/>
      <c r="I2752" s="159"/>
      <c r="J2752" s="121"/>
      <c r="K2752" s="159"/>
      <c r="L2752" s="75"/>
      <c r="M2752" s="88"/>
      <c r="N2752" s="88"/>
      <c r="O2752" s="75"/>
      <c r="P2752" s="180"/>
      <c r="Q2752" s="174"/>
      <c r="R2752" s="413"/>
      <c r="S2752" s="74"/>
      <c r="T2752" s="88"/>
      <c r="U2752" s="74"/>
      <c r="V2752" s="74"/>
      <c r="W2752" s="74"/>
      <c r="X2752" s="74"/>
      <c r="Y2752" s="121"/>
      <c r="Z2752" s="74"/>
      <c r="AA2752" s="417"/>
      <c r="AB2752" s="410"/>
    </row>
    <row r="2753" spans="1:28" s="352" customFormat="1" ht="18" customHeight="1" x14ac:dyDescent="0.2">
      <c r="A2753" s="88"/>
      <c r="B2753" s="75"/>
      <c r="C2753" s="88"/>
      <c r="D2753" s="2165"/>
      <c r="E2753" s="2166"/>
      <c r="F2753" s="411"/>
      <c r="G2753" s="242"/>
      <c r="H2753" s="412"/>
      <c r="I2753" s="159"/>
      <c r="J2753" s="121"/>
      <c r="K2753" s="159"/>
      <c r="L2753" s="75"/>
      <c r="M2753" s="88"/>
      <c r="N2753" s="88"/>
      <c r="O2753" s="75"/>
      <c r="P2753" s="180"/>
      <c r="Q2753" s="174"/>
      <c r="R2753" s="413"/>
      <c r="S2753" s="74"/>
      <c r="T2753" s="88"/>
      <c r="U2753" s="74"/>
      <c r="V2753" s="74"/>
      <c r="W2753" s="74"/>
      <c r="X2753" s="74"/>
      <c r="Y2753" s="121"/>
      <c r="Z2753" s="74"/>
      <c r="AA2753" s="414"/>
      <c r="AB2753" s="416"/>
    </row>
    <row r="2754" spans="1:28" s="352" customFormat="1" ht="18" customHeight="1" x14ac:dyDescent="0.2">
      <c r="A2754" s="88"/>
      <c r="B2754" s="418"/>
      <c r="C2754" s="88"/>
      <c r="D2754" s="88"/>
      <c r="E2754" s="88"/>
      <c r="F2754" s="411"/>
      <c r="G2754" s="242"/>
      <c r="H2754" s="412"/>
      <c r="I2754" s="159"/>
      <c r="J2754" s="121"/>
      <c r="K2754" s="159"/>
      <c r="L2754" s="75"/>
      <c r="M2754" s="88"/>
      <c r="N2754" s="88"/>
      <c r="O2754" s="75"/>
      <c r="P2754" s="180"/>
      <c r="Q2754" s="174"/>
      <c r="R2754" s="413"/>
      <c r="S2754" s="74"/>
      <c r="T2754" s="88"/>
      <c r="U2754" s="74"/>
      <c r="V2754" s="74"/>
      <c r="W2754" s="74"/>
      <c r="X2754" s="74"/>
      <c r="Y2754" s="121"/>
      <c r="Z2754" s="74"/>
      <c r="AA2754" s="414"/>
      <c r="AB2754" s="410"/>
    </row>
    <row r="2755" spans="1:28" s="352" customFormat="1" ht="18" customHeight="1" x14ac:dyDescent="0.2">
      <c r="A2755" s="1147"/>
      <c r="B2755" s="1989"/>
      <c r="C2755" s="1147"/>
      <c r="D2755" s="1147"/>
      <c r="E2755" s="1147"/>
      <c r="F2755" s="1147"/>
      <c r="G2755" s="1147"/>
      <c r="H2755" s="1990"/>
      <c r="I2755" s="1991"/>
      <c r="J2755" s="1868"/>
      <c r="K2755" s="1992"/>
      <c r="L2755" s="1989"/>
      <c r="M2755" s="1147"/>
      <c r="N2755" s="1147"/>
      <c r="O2755" s="1989"/>
      <c r="P2755" s="1867"/>
      <c r="Q2755" s="1993"/>
      <c r="R2755" s="1994"/>
      <c r="S2755" s="1991"/>
      <c r="T2755" s="1147"/>
      <c r="U2755" s="1991"/>
      <c r="V2755" s="1991"/>
      <c r="W2755" s="1991"/>
      <c r="X2755" s="1991"/>
      <c r="Y2755" s="1868"/>
      <c r="Z2755" s="1991"/>
      <c r="AA2755" s="1995"/>
      <c r="AB2755" s="1849">
        <f>SUM(AB2741:AB2754)</f>
        <v>188.28240000000002</v>
      </c>
    </row>
    <row r="2756" spans="1:28" s="352" customFormat="1" ht="18" customHeight="1" x14ac:dyDescent="0.2">
      <c r="A2756" s="2788" t="s">
        <v>76</v>
      </c>
      <c r="B2756" s="2788"/>
      <c r="C2756" s="2779" t="s">
        <v>77</v>
      </c>
      <c r="D2756" s="2779"/>
      <c r="E2756" s="2779"/>
      <c r="F2756" s="2779"/>
      <c r="G2756" s="2779"/>
      <c r="H2756" s="2779"/>
      <c r="I2756" s="424" t="s">
        <v>78</v>
      </c>
      <c r="J2756" s="424"/>
      <c r="K2756" s="424"/>
      <c r="L2756" s="424"/>
      <c r="M2756" s="424"/>
      <c r="N2756" s="424"/>
      <c r="AB2756" s="425"/>
    </row>
    <row r="2757" spans="1:28" s="352" customFormat="1" ht="18" customHeight="1" x14ac:dyDescent="0.2">
      <c r="A2757" s="424"/>
      <c r="B2757" s="426"/>
      <c r="C2757" s="424"/>
      <c r="D2757" s="424"/>
      <c r="E2757" s="424"/>
      <c r="F2757" s="424"/>
      <c r="G2757" s="424"/>
      <c r="H2757" s="424"/>
      <c r="I2757" s="424" t="s">
        <v>79</v>
      </c>
      <c r="J2757" s="424"/>
      <c r="K2757" s="424"/>
      <c r="L2757" s="424"/>
      <c r="M2757" s="424"/>
      <c r="N2757" s="424"/>
      <c r="AB2757" s="425"/>
    </row>
    <row r="2758" spans="1:28" s="352" customFormat="1" ht="18" customHeight="1" x14ac:dyDescent="0.2">
      <c r="A2758" s="424"/>
      <c r="B2758" s="426"/>
      <c r="C2758" s="424"/>
      <c r="D2758" s="424"/>
      <c r="E2758" s="424"/>
      <c r="F2758" s="424"/>
      <c r="G2758" s="424"/>
      <c r="H2758" s="424"/>
      <c r="I2758" s="424" t="s">
        <v>80</v>
      </c>
      <c r="J2758" s="424"/>
      <c r="K2758" s="424"/>
      <c r="L2758" s="424"/>
      <c r="M2758" s="424"/>
      <c r="N2758" s="424"/>
      <c r="AB2758" s="425"/>
    </row>
    <row r="2759" spans="1:28" s="352" customFormat="1" ht="18" customHeight="1" x14ac:dyDescent="0.2">
      <c r="A2759" s="424"/>
      <c r="B2759" s="426"/>
      <c r="C2759" s="424"/>
      <c r="D2759" s="424"/>
      <c r="E2759" s="424"/>
      <c r="F2759" s="424"/>
      <c r="G2759" s="424"/>
      <c r="H2759" s="424"/>
      <c r="I2759" s="424" t="s">
        <v>81</v>
      </c>
      <c r="J2759" s="424"/>
      <c r="K2759" s="424"/>
      <c r="L2759" s="424"/>
      <c r="M2759" s="424"/>
      <c r="N2759" s="424"/>
      <c r="AB2759" s="425"/>
    </row>
    <row r="2760" spans="1:28" s="352" customFormat="1" ht="18" customHeight="1" x14ac:dyDescent="0.2">
      <c r="A2760" s="424"/>
      <c r="B2760" s="426"/>
      <c r="C2760" s="424"/>
      <c r="D2760" s="424"/>
      <c r="E2760" s="424"/>
      <c r="F2760" s="424"/>
      <c r="G2760" s="424"/>
      <c r="H2760" s="424"/>
      <c r="I2760" s="424" t="s">
        <v>88</v>
      </c>
      <c r="J2760" s="424"/>
      <c r="K2760" s="424"/>
      <c r="L2760" s="424"/>
      <c r="M2760" s="424"/>
      <c r="N2760" s="424"/>
      <c r="AB2760" s="425"/>
    </row>
    <row r="2761" spans="1:28" s="352" customFormat="1" ht="18" customHeight="1" x14ac:dyDescent="0.2">
      <c r="A2761" s="338"/>
      <c r="B2761" s="338"/>
      <c r="C2761" s="338"/>
      <c r="D2761" s="338"/>
      <c r="E2761" s="338"/>
      <c r="F2761" s="338"/>
      <c r="G2761" s="338"/>
      <c r="H2761" s="338"/>
      <c r="I2761" s="338"/>
      <c r="J2761" s="338"/>
      <c r="K2761" s="338"/>
      <c r="L2761" s="338"/>
      <c r="M2761" s="338"/>
      <c r="N2761" s="338"/>
      <c r="O2761" s="338"/>
      <c r="P2761" s="338"/>
      <c r="Q2761" s="338"/>
      <c r="R2761" s="338"/>
      <c r="S2761" s="338"/>
      <c r="T2761" s="338"/>
      <c r="U2761" s="338"/>
      <c r="V2761" s="338"/>
      <c r="W2761" s="338"/>
      <c r="X2761" s="338"/>
      <c r="Y2761" s="338"/>
      <c r="Z2761" s="338"/>
      <c r="AA2761" s="2774" t="s">
        <v>0</v>
      </c>
      <c r="AB2761" s="2774"/>
    </row>
    <row r="2762" spans="1:28" s="352" customFormat="1" ht="18" customHeight="1" x14ac:dyDescent="0.2">
      <c r="A2762" s="2703" t="s">
        <v>1</v>
      </c>
      <c r="B2762" s="2703"/>
      <c r="C2762" s="2703"/>
      <c r="D2762" s="2703"/>
      <c r="E2762" s="2703"/>
      <c r="F2762" s="2703"/>
      <c r="G2762" s="2703"/>
      <c r="H2762" s="2703"/>
      <c r="I2762" s="2703"/>
      <c r="J2762" s="2703"/>
      <c r="K2762" s="2703"/>
      <c r="L2762" s="2703"/>
      <c r="M2762" s="2703"/>
      <c r="N2762" s="2703"/>
      <c r="O2762" s="2703"/>
      <c r="P2762" s="2703"/>
      <c r="Q2762" s="2703"/>
      <c r="R2762" s="2703"/>
      <c r="S2762" s="2703"/>
      <c r="T2762" s="2703"/>
      <c r="U2762" s="2703"/>
      <c r="V2762" s="2703"/>
      <c r="W2762" s="2703"/>
      <c r="X2762" s="2703"/>
      <c r="Y2762" s="2703"/>
      <c r="Z2762" s="2703"/>
      <c r="AA2762" s="2703"/>
      <c r="AB2762" s="2703"/>
    </row>
    <row r="2763" spans="1:28" s="352" customFormat="1" ht="18" customHeight="1" x14ac:dyDescent="0.2">
      <c r="A2763" s="2780" t="s">
        <v>684</v>
      </c>
      <c r="B2763" s="2780"/>
      <c r="C2763" s="2780"/>
      <c r="D2763" s="2780"/>
      <c r="E2763" s="2780"/>
      <c r="F2763" s="2780"/>
      <c r="G2763" s="2780"/>
      <c r="H2763" s="2780"/>
      <c r="I2763" s="2780"/>
      <c r="J2763" s="2780"/>
      <c r="K2763" s="2780"/>
      <c r="L2763" s="2780"/>
      <c r="M2763" s="2780"/>
      <c r="N2763" s="2780"/>
      <c r="O2763" s="2780"/>
      <c r="P2763" s="2780"/>
      <c r="Q2763" s="2780"/>
      <c r="R2763" s="2780"/>
      <c r="S2763" s="2780"/>
      <c r="T2763" s="2780"/>
      <c r="U2763" s="2780"/>
      <c r="V2763" s="2780"/>
      <c r="W2763" s="2780"/>
      <c r="X2763" s="2780"/>
      <c r="Y2763" s="2780"/>
      <c r="Z2763" s="2780"/>
      <c r="AA2763" s="2780"/>
      <c r="AB2763" s="2780"/>
    </row>
    <row r="2764" spans="1:28" s="352" customFormat="1" ht="18" customHeight="1" x14ac:dyDescent="0.2">
      <c r="A2764" s="2686" t="s">
        <v>2</v>
      </c>
      <c r="B2764" s="360"/>
      <c r="C2764" s="2686" t="s">
        <v>3</v>
      </c>
      <c r="D2764" s="360"/>
      <c r="E2764" s="360"/>
      <c r="F2764" s="2693" t="s">
        <v>4</v>
      </c>
      <c r="G2764" s="2693"/>
      <c r="H2764" s="2693"/>
      <c r="I2764" s="2694"/>
      <c r="J2764" s="2694"/>
      <c r="K2764" s="2695"/>
      <c r="L2764" s="361"/>
      <c r="M2764" s="2679" t="s">
        <v>5</v>
      </c>
      <c r="N2764" s="2679"/>
      <c r="O2764" s="2679"/>
      <c r="P2764" s="2679"/>
      <c r="Q2764" s="2696"/>
      <c r="R2764" s="2696"/>
      <c r="S2764" s="2696"/>
      <c r="T2764" s="2696"/>
      <c r="U2764" s="2696"/>
      <c r="V2764" s="2697"/>
      <c r="W2764" s="362" t="s">
        <v>6</v>
      </c>
      <c r="X2764" s="363" t="s">
        <v>7</v>
      </c>
      <c r="Y2764" s="364"/>
      <c r="Z2764" s="364"/>
      <c r="AA2764" s="363"/>
      <c r="AB2764" s="365"/>
    </row>
    <row r="2765" spans="1:28" s="352" customFormat="1" ht="18" customHeight="1" x14ac:dyDescent="0.2">
      <c r="A2765" s="2687"/>
      <c r="B2765" s="367"/>
      <c r="C2765" s="2687"/>
      <c r="D2765" s="2158" t="s">
        <v>9</v>
      </c>
      <c r="E2765" s="368" t="s">
        <v>10</v>
      </c>
      <c r="F2765" s="2698" t="s">
        <v>11</v>
      </c>
      <c r="G2765" s="2694"/>
      <c r="H2765" s="2695"/>
      <c r="I2765" s="360"/>
      <c r="J2765" s="369" t="s">
        <v>12</v>
      </c>
      <c r="K2765" s="360"/>
      <c r="L2765" s="2679" t="s">
        <v>2</v>
      </c>
      <c r="M2765" s="2162"/>
      <c r="N2765" s="2162"/>
      <c r="O2765" s="2162"/>
      <c r="P2765" s="371"/>
      <c r="Q2765" s="372" t="s">
        <v>13</v>
      </c>
      <c r="R2765" s="373" t="s">
        <v>12</v>
      </c>
      <c r="S2765" s="2162" t="s">
        <v>6</v>
      </c>
      <c r="T2765" s="2682" t="s">
        <v>14</v>
      </c>
      <c r="U2765" s="2683"/>
      <c r="V2765" s="375" t="s">
        <v>7</v>
      </c>
      <c r="W2765" s="376" t="s">
        <v>15</v>
      </c>
      <c r="X2765" s="377" t="s">
        <v>16</v>
      </c>
      <c r="Y2765" s="377" t="s">
        <v>17</v>
      </c>
      <c r="Z2765" s="377" t="s">
        <v>18</v>
      </c>
      <c r="AA2765" s="377"/>
      <c r="AB2765" s="378" t="s">
        <v>19</v>
      </c>
    </row>
    <row r="2766" spans="1:28" s="352" customFormat="1" ht="18" customHeight="1" x14ac:dyDescent="0.2">
      <c r="A2766" s="2687"/>
      <c r="B2766" s="2158" t="s">
        <v>23</v>
      </c>
      <c r="C2766" s="2687"/>
      <c r="D2766" s="2158" t="s">
        <v>24</v>
      </c>
      <c r="E2766" s="368" t="s">
        <v>25</v>
      </c>
      <c r="F2766" s="2699"/>
      <c r="G2766" s="2700"/>
      <c r="H2766" s="2701"/>
      <c r="I2766" s="2158" t="s">
        <v>26</v>
      </c>
      <c r="J2766" s="379" t="s">
        <v>15</v>
      </c>
      <c r="K2766" s="2159" t="s">
        <v>6</v>
      </c>
      <c r="L2766" s="2680"/>
      <c r="M2766" s="2163" t="s">
        <v>27</v>
      </c>
      <c r="N2766" s="2163" t="s">
        <v>10</v>
      </c>
      <c r="O2766" s="382" t="s">
        <v>10</v>
      </c>
      <c r="P2766" s="383" t="s">
        <v>28</v>
      </c>
      <c r="Q2766" s="384" t="s">
        <v>29</v>
      </c>
      <c r="R2766" s="383" t="s">
        <v>15</v>
      </c>
      <c r="S2766" s="385" t="s">
        <v>15</v>
      </c>
      <c r="T2766" s="2684"/>
      <c r="U2766" s="2685"/>
      <c r="V2766" s="375" t="s">
        <v>30</v>
      </c>
      <c r="W2766" s="376" t="s">
        <v>31</v>
      </c>
      <c r="X2766" s="377" t="s">
        <v>30</v>
      </c>
      <c r="Y2766" s="377" t="s">
        <v>32</v>
      </c>
      <c r="Z2766" s="377" t="s">
        <v>7</v>
      </c>
      <c r="AA2766" s="377" t="s">
        <v>33</v>
      </c>
      <c r="AB2766" s="378" t="s">
        <v>34</v>
      </c>
    </row>
    <row r="2767" spans="1:28" s="352" customFormat="1" ht="18" customHeight="1" x14ac:dyDescent="0.2">
      <c r="A2767" s="2687"/>
      <c r="B2767" s="2158" t="s">
        <v>39</v>
      </c>
      <c r="C2767" s="2687"/>
      <c r="D2767" s="2158" t="s">
        <v>40</v>
      </c>
      <c r="E2767" s="368" t="s">
        <v>41</v>
      </c>
      <c r="F2767" s="2686" t="s">
        <v>42</v>
      </c>
      <c r="G2767" s="2686" t="s">
        <v>43</v>
      </c>
      <c r="H2767" s="2688" t="s">
        <v>44</v>
      </c>
      <c r="I2767" s="2158" t="s">
        <v>45</v>
      </c>
      <c r="J2767" s="379" t="s">
        <v>46</v>
      </c>
      <c r="K2767" s="2159" t="s">
        <v>47</v>
      </c>
      <c r="L2767" s="2680"/>
      <c r="M2767" s="2163" t="s">
        <v>30</v>
      </c>
      <c r="N2767" s="2163" t="s">
        <v>30</v>
      </c>
      <c r="O2767" s="382" t="s">
        <v>25</v>
      </c>
      <c r="P2767" s="383" t="s">
        <v>30</v>
      </c>
      <c r="Q2767" s="384" t="s">
        <v>48</v>
      </c>
      <c r="R2767" s="383" t="s">
        <v>49</v>
      </c>
      <c r="S2767" s="385" t="s">
        <v>30</v>
      </c>
      <c r="T2767" s="386" t="s">
        <v>50</v>
      </c>
      <c r="U2767" s="2161" t="s">
        <v>13</v>
      </c>
      <c r="V2767" s="375" t="s">
        <v>51</v>
      </c>
      <c r="W2767" s="376" t="s">
        <v>52</v>
      </c>
      <c r="X2767" s="377" t="s">
        <v>53</v>
      </c>
      <c r="Y2767" s="377" t="s">
        <v>54</v>
      </c>
      <c r="Z2767" s="377" t="s">
        <v>55</v>
      </c>
      <c r="AA2767" s="377" t="s">
        <v>56</v>
      </c>
      <c r="AB2767" s="378" t="s">
        <v>57</v>
      </c>
    </row>
    <row r="2768" spans="1:28" s="352" customFormat="1" ht="18" customHeight="1" x14ac:dyDescent="0.2">
      <c r="A2768" s="2687"/>
      <c r="B2768" s="2158" t="s">
        <v>61</v>
      </c>
      <c r="C2768" s="2687"/>
      <c r="D2768" s="2158" t="s">
        <v>62</v>
      </c>
      <c r="E2768" s="368" t="s">
        <v>63</v>
      </c>
      <c r="F2768" s="2687"/>
      <c r="G2768" s="2687"/>
      <c r="H2768" s="2689"/>
      <c r="I2768" s="2158" t="s">
        <v>64</v>
      </c>
      <c r="J2768" s="379" t="s">
        <v>59</v>
      </c>
      <c r="K2768" s="2159" t="s">
        <v>59</v>
      </c>
      <c r="L2768" s="2680"/>
      <c r="M2768" s="2163"/>
      <c r="N2768" s="2163"/>
      <c r="O2768" s="382" t="s">
        <v>41</v>
      </c>
      <c r="P2768" s="383" t="s">
        <v>65</v>
      </c>
      <c r="Q2768" s="384" t="s">
        <v>66</v>
      </c>
      <c r="R2768" s="383" t="s">
        <v>67</v>
      </c>
      <c r="S2768" s="385" t="s">
        <v>59</v>
      </c>
      <c r="T2768" s="387" t="s">
        <v>68</v>
      </c>
      <c r="U2768" s="375" t="s">
        <v>14</v>
      </c>
      <c r="V2768" s="375" t="s">
        <v>14</v>
      </c>
      <c r="W2768" s="376" t="s">
        <v>30</v>
      </c>
      <c r="X2768" s="388" t="s">
        <v>69</v>
      </c>
      <c r="Y2768" s="388" t="s">
        <v>70</v>
      </c>
      <c r="Z2768" s="377" t="s">
        <v>71</v>
      </c>
      <c r="AA2768" s="377" t="s">
        <v>72</v>
      </c>
      <c r="AB2768" s="378" t="s">
        <v>59</v>
      </c>
    </row>
    <row r="2769" spans="1:28" s="352" customFormat="1" ht="18" customHeight="1" x14ac:dyDescent="0.2">
      <c r="A2769" s="2692"/>
      <c r="B2769" s="390"/>
      <c r="C2769" s="2692"/>
      <c r="D2769" s="390"/>
      <c r="E2769" s="2160"/>
      <c r="F2769" s="390"/>
      <c r="G2769" s="390"/>
      <c r="H2769" s="391"/>
      <c r="I2769" s="2160"/>
      <c r="J2769" s="392"/>
      <c r="K2769" s="393"/>
      <c r="L2769" s="2681"/>
      <c r="M2769" s="2164"/>
      <c r="N2769" s="2164"/>
      <c r="O2769" s="2164" t="s">
        <v>63</v>
      </c>
      <c r="P2769" s="395"/>
      <c r="Q2769" s="396" t="s">
        <v>72</v>
      </c>
      <c r="R2769" s="397" t="s">
        <v>59</v>
      </c>
      <c r="S2769" s="398"/>
      <c r="T2769" s="397" t="s">
        <v>73</v>
      </c>
      <c r="U2769" s="398" t="s">
        <v>59</v>
      </c>
      <c r="V2769" s="399" t="s">
        <v>59</v>
      </c>
      <c r="W2769" s="400" t="s">
        <v>59</v>
      </c>
      <c r="X2769" s="401" t="s">
        <v>59</v>
      </c>
      <c r="Y2769" s="401" t="s">
        <v>59</v>
      </c>
      <c r="Z2769" s="401" t="s">
        <v>59</v>
      </c>
      <c r="AA2769" s="402"/>
      <c r="AB2769" s="403"/>
    </row>
    <row r="2770" spans="1:28" s="352" customFormat="1" ht="18" customHeight="1" x14ac:dyDescent="0.2">
      <c r="A2770" s="82">
        <v>1</v>
      </c>
      <c r="B2770" s="53">
        <v>29364</v>
      </c>
      <c r="C2770" s="82">
        <v>104</v>
      </c>
      <c r="D2770" s="41" t="s">
        <v>84</v>
      </c>
      <c r="E2770" s="41">
        <v>4</v>
      </c>
      <c r="F2770" s="41">
        <v>0</v>
      </c>
      <c r="G2770" s="41">
        <v>0</v>
      </c>
      <c r="H2770" s="267">
        <v>69</v>
      </c>
      <c r="I2770" s="302">
        <f>F2770*400+G2770*100+H2770</f>
        <v>69</v>
      </c>
      <c r="J2770" s="310">
        <v>3000</v>
      </c>
      <c r="K2770" s="310">
        <f>SUM(I2770*J2770)</f>
        <v>207000</v>
      </c>
      <c r="L2770" s="16"/>
      <c r="M2770" s="82"/>
      <c r="N2770" s="41"/>
      <c r="O2770" s="16"/>
      <c r="P2770" s="404"/>
      <c r="Q2770" s="14"/>
      <c r="R2770" s="302"/>
      <c r="S2770" s="302"/>
      <c r="T2770" s="41"/>
      <c r="U2770" s="302"/>
      <c r="V2770" s="302"/>
      <c r="W2770" s="302">
        <f>K2770</f>
        <v>207000</v>
      </c>
      <c r="X2770" s="310">
        <f>W2770</f>
        <v>207000</v>
      </c>
      <c r="Y2770" s="310"/>
      <c r="Z2770" s="302">
        <f>+X2770</f>
        <v>207000</v>
      </c>
      <c r="AA2770" s="405">
        <v>0.6</v>
      </c>
      <c r="AB2770" s="465">
        <f>+Z2770*AA2770/100</f>
        <v>1242</v>
      </c>
    </row>
    <row r="2771" spans="1:28" s="352" customFormat="1" ht="18" customHeight="1" x14ac:dyDescent="0.2">
      <c r="A2771" s="231"/>
      <c r="B2771" s="75"/>
      <c r="C2771" s="88"/>
      <c r="D2771" s="88"/>
      <c r="E2771" s="88"/>
      <c r="F2771" s="88"/>
      <c r="G2771" s="88"/>
      <c r="H2771" s="495"/>
      <c r="I2771" s="77"/>
      <c r="J2771" s="2168"/>
      <c r="K2771" s="2168"/>
      <c r="L2771" s="61"/>
      <c r="M2771" s="2166"/>
      <c r="N2771" s="2166"/>
      <c r="O2771" s="61"/>
      <c r="P2771" s="177"/>
      <c r="Q2771" s="196"/>
      <c r="R2771" s="408"/>
      <c r="S2771" s="77"/>
      <c r="T2771" s="2166"/>
      <c r="U2771" s="77"/>
      <c r="V2771" s="77"/>
      <c r="W2771" s="77"/>
      <c r="X2771" s="2168"/>
      <c r="Y2771" s="2168"/>
      <c r="Z2771" s="77"/>
      <c r="AA2771" s="2170"/>
      <c r="AB2771" s="410"/>
    </row>
    <row r="2772" spans="1:28" s="352" customFormat="1" ht="18" customHeight="1" x14ac:dyDescent="0.2">
      <c r="A2772" s="88"/>
      <c r="B2772" s="75"/>
      <c r="C2772" s="88"/>
      <c r="D2772" s="88"/>
      <c r="E2772" s="88"/>
      <c r="F2772" s="88"/>
      <c r="G2772" s="88"/>
      <c r="H2772" s="495"/>
      <c r="I2772" s="77"/>
      <c r="J2772" s="2168"/>
      <c r="K2772" s="2168"/>
      <c r="L2772" s="61"/>
      <c r="M2772" s="2166"/>
      <c r="N2772" s="2166"/>
      <c r="O2772" s="61"/>
      <c r="P2772" s="177"/>
      <c r="Q2772" s="196"/>
      <c r="R2772" s="408"/>
      <c r="S2772" s="77"/>
      <c r="T2772" s="2166"/>
      <c r="U2772" s="77"/>
      <c r="V2772" s="77"/>
      <c r="W2772" s="77"/>
      <c r="X2772" s="2168"/>
      <c r="Y2772" s="2168"/>
      <c r="Z2772" s="77"/>
      <c r="AA2772" s="2170"/>
      <c r="AB2772" s="416"/>
    </row>
    <row r="2773" spans="1:28" s="352" customFormat="1" ht="18" customHeight="1" x14ac:dyDescent="0.2">
      <c r="A2773" s="2166"/>
      <c r="B2773" s="61"/>
      <c r="C2773" s="2166"/>
      <c r="D2773" s="2166"/>
      <c r="E2773" s="2166"/>
      <c r="F2773" s="2166"/>
      <c r="G2773" s="2166"/>
      <c r="H2773" s="407"/>
      <c r="I2773" s="77"/>
      <c r="J2773" s="2168"/>
      <c r="K2773" s="2168"/>
      <c r="L2773" s="488"/>
      <c r="M2773" s="488"/>
      <c r="N2773" s="488"/>
      <c r="O2773" s="488"/>
      <c r="P2773" s="819"/>
      <c r="Q2773" s="819"/>
      <c r="R2773" s="820"/>
      <c r="S2773" s="820"/>
      <c r="T2773" s="819"/>
      <c r="U2773" s="820"/>
      <c r="V2773" s="821"/>
      <c r="W2773" s="77"/>
      <c r="X2773" s="2168"/>
      <c r="Y2773" s="2168"/>
      <c r="Z2773" s="77"/>
      <c r="AA2773" s="2170"/>
      <c r="AB2773" s="410"/>
    </row>
    <row r="2774" spans="1:28" s="352" customFormat="1" ht="18" customHeight="1" x14ac:dyDescent="0.2">
      <c r="A2774" s="2166"/>
      <c r="B2774" s="61"/>
      <c r="C2774" s="2166"/>
      <c r="D2774" s="2166"/>
      <c r="E2774" s="2166"/>
      <c r="F2774" s="2166"/>
      <c r="G2774" s="2166"/>
      <c r="H2774" s="407"/>
      <c r="I2774" s="77"/>
      <c r="J2774" s="2168"/>
      <c r="K2774" s="78"/>
      <c r="L2774" s="61"/>
      <c r="M2774" s="2166"/>
      <c r="N2774" s="2166"/>
      <c r="O2774" s="61"/>
      <c r="P2774" s="177"/>
      <c r="Q2774" s="196"/>
      <c r="R2774" s="408"/>
      <c r="S2774" s="77"/>
      <c r="T2774" s="2166"/>
      <c r="U2774" s="77"/>
      <c r="V2774" s="77"/>
      <c r="W2774" s="77"/>
      <c r="X2774" s="77"/>
      <c r="Y2774" s="2168"/>
      <c r="Z2774" s="77"/>
      <c r="AA2774" s="2170"/>
      <c r="AB2774" s="410"/>
    </row>
    <row r="2775" spans="1:28" s="352" customFormat="1" ht="18" customHeight="1" x14ac:dyDescent="0.2">
      <c r="A2775" s="2166"/>
      <c r="B2775" s="61"/>
      <c r="C2775" s="2166"/>
      <c r="D2775" s="2166"/>
      <c r="E2775" s="2166"/>
      <c r="F2775" s="2166"/>
      <c r="G2775" s="2166"/>
      <c r="H2775" s="407"/>
      <c r="I2775" s="77"/>
      <c r="J2775" s="2168"/>
      <c r="K2775" s="78"/>
      <c r="L2775" s="61"/>
      <c r="M2775" s="2166"/>
      <c r="N2775" s="2166"/>
      <c r="O2775" s="61"/>
      <c r="P2775" s="177"/>
      <c r="Q2775" s="196"/>
      <c r="R2775" s="408"/>
      <c r="S2775" s="77"/>
      <c r="T2775" s="2166"/>
      <c r="U2775" s="77"/>
      <c r="V2775" s="77"/>
      <c r="W2775" s="77"/>
      <c r="X2775" s="77"/>
      <c r="Y2775" s="2168"/>
      <c r="Z2775" s="77"/>
      <c r="AA2775" s="2170"/>
      <c r="AB2775" s="410"/>
    </row>
    <row r="2776" spans="1:28" s="352" customFormat="1" ht="18" customHeight="1" x14ac:dyDescent="0.2">
      <c r="A2776" s="2166"/>
      <c r="B2776" s="61"/>
      <c r="C2776" s="2166"/>
      <c r="D2776" s="2166"/>
      <c r="E2776" s="2166"/>
      <c r="F2776" s="2166"/>
      <c r="G2776" s="2166"/>
      <c r="H2776" s="407"/>
      <c r="I2776" s="77"/>
      <c r="J2776" s="2168"/>
      <c r="K2776" s="78"/>
      <c r="L2776" s="61"/>
      <c r="M2776" s="2166"/>
      <c r="N2776" s="2166"/>
      <c r="O2776" s="61"/>
      <c r="P2776" s="177"/>
      <c r="Q2776" s="196"/>
      <c r="R2776" s="408"/>
      <c r="S2776" s="77"/>
      <c r="T2776" s="2166"/>
      <c r="U2776" s="77"/>
      <c r="V2776" s="77"/>
      <c r="W2776" s="77"/>
      <c r="X2776" s="77"/>
      <c r="Y2776" s="2168"/>
      <c r="Z2776" s="77"/>
      <c r="AA2776" s="2170"/>
      <c r="AB2776" s="410"/>
    </row>
    <row r="2777" spans="1:28" s="352" customFormat="1" ht="18" customHeight="1" x14ac:dyDescent="0.2">
      <c r="A2777" s="88"/>
      <c r="B2777" s="75"/>
      <c r="C2777" s="88"/>
      <c r="D2777" s="88"/>
      <c r="E2777" s="2166"/>
      <c r="F2777" s="411"/>
      <c r="G2777" s="242"/>
      <c r="H2777" s="412"/>
      <c r="I2777" s="159"/>
      <c r="J2777" s="121"/>
      <c r="K2777" s="159"/>
      <c r="L2777" s="75"/>
      <c r="M2777" s="88"/>
      <c r="N2777" s="88"/>
      <c r="O2777" s="75"/>
      <c r="P2777" s="180"/>
      <c r="Q2777" s="174"/>
      <c r="R2777" s="413"/>
      <c r="S2777" s="74"/>
      <c r="T2777" s="88"/>
      <c r="U2777" s="74"/>
      <c r="V2777" s="74"/>
      <c r="W2777" s="74"/>
      <c r="X2777" s="74"/>
      <c r="Y2777" s="121"/>
      <c r="Z2777" s="74"/>
      <c r="AA2777" s="414"/>
      <c r="AB2777" s="415"/>
    </row>
    <row r="2778" spans="1:28" s="352" customFormat="1" ht="18" customHeight="1" x14ac:dyDescent="0.2">
      <c r="A2778" s="88"/>
      <c r="B2778" s="75"/>
      <c r="C2778" s="88"/>
      <c r="D2778" s="231"/>
      <c r="E2778" s="2166"/>
      <c r="F2778" s="411"/>
      <c r="G2778" s="242"/>
      <c r="H2778" s="412"/>
      <c r="I2778" s="159"/>
      <c r="J2778" s="121"/>
      <c r="K2778" s="159"/>
      <c r="L2778" s="75"/>
      <c r="M2778" s="88"/>
      <c r="N2778" s="88"/>
      <c r="O2778" s="75"/>
      <c r="P2778" s="180"/>
      <c r="Q2778" s="174"/>
      <c r="R2778" s="413"/>
      <c r="S2778" s="74"/>
      <c r="T2778" s="88"/>
      <c r="U2778" s="74"/>
      <c r="V2778" s="74"/>
      <c r="W2778" s="74"/>
      <c r="X2778" s="74"/>
      <c r="Y2778" s="121"/>
      <c r="Z2778" s="74"/>
      <c r="AA2778" s="417"/>
      <c r="AB2778" s="410"/>
    </row>
    <row r="2779" spans="1:28" s="352" customFormat="1" ht="18" customHeight="1" x14ac:dyDescent="0.2">
      <c r="A2779" s="88"/>
      <c r="B2779" s="75"/>
      <c r="C2779" s="88"/>
      <c r="D2779" s="88"/>
      <c r="E2779" s="2166"/>
      <c r="F2779" s="411"/>
      <c r="G2779" s="242"/>
      <c r="H2779" s="412"/>
      <c r="I2779" s="159"/>
      <c r="J2779" s="121"/>
      <c r="K2779" s="159"/>
      <c r="L2779" s="75"/>
      <c r="M2779" s="88"/>
      <c r="N2779" s="88"/>
      <c r="O2779" s="75"/>
      <c r="P2779" s="180"/>
      <c r="Q2779" s="174"/>
      <c r="R2779" s="413"/>
      <c r="S2779" s="74"/>
      <c r="T2779" s="88"/>
      <c r="U2779" s="74"/>
      <c r="V2779" s="74"/>
      <c r="W2779" s="74"/>
      <c r="X2779" s="74"/>
      <c r="Y2779" s="121"/>
      <c r="Z2779" s="74"/>
      <c r="AA2779" s="414"/>
      <c r="AB2779" s="416"/>
    </row>
    <row r="2780" spans="1:28" s="352" customFormat="1" ht="18" customHeight="1" x14ac:dyDescent="0.2">
      <c r="A2780" s="88"/>
      <c r="B2780" s="75"/>
      <c r="C2780" s="88"/>
      <c r="D2780" s="88"/>
      <c r="E2780" s="2166"/>
      <c r="F2780" s="411"/>
      <c r="G2780" s="242"/>
      <c r="H2780" s="412"/>
      <c r="I2780" s="159"/>
      <c r="J2780" s="121"/>
      <c r="K2780" s="159"/>
      <c r="L2780" s="75"/>
      <c r="M2780" s="88"/>
      <c r="N2780" s="88"/>
      <c r="O2780" s="75"/>
      <c r="P2780" s="180"/>
      <c r="Q2780" s="174"/>
      <c r="R2780" s="413"/>
      <c r="S2780" s="74"/>
      <c r="T2780" s="88"/>
      <c r="U2780" s="74"/>
      <c r="V2780" s="74"/>
      <c r="W2780" s="74"/>
      <c r="X2780" s="74"/>
      <c r="Y2780" s="121"/>
      <c r="Z2780" s="74"/>
      <c r="AA2780" s="414"/>
      <c r="AB2780" s="416"/>
    </row>
    <row r="2781" spans="1:28" s="352" customFormat="1" ht="18" customHeight="1" x14ac:dyDescent="0.2">
      <c r="A2781" s="88"/>
      <c r="B2781" s="75"/>
      <c r="C2781" s="88"/>
      <c r="D2781" s="2165"/>
      <c r="E2781" s="2166"/>
      <c r="F2781" s="411"/>
      <c r="G2781" s="242"/>
      <c r="H2781" s="412"/>
      <c r="I2781" s="159"/>
      <c r="J2781" s="121"/>
      <c r="K2781" s="159"/>
      <c r="L2781" s="75"/>
      <c r="M2781" s="88"/>
      <c r="N2781" s="88"/>
      <c r="O2781" s="75"/>
      <c r="P2781" s="180"/>
      <c r="Q2781" s="174"/>
      <c r="R2781" s="413"/>
      <c r="S2781" s="74"/>
      <c r="T2781" s="88"/>
      <c r="U2781" s="74"/>
      <c r="V2781" s="74"/>
      <c r="W2781" s="74"/>
      <c r="X2781" s="74"/>
      <c r="Y2781" s="121"/>
      <c r="Z2781" s="74"/>
      <c r="AA2781" s="417"/>
      <c r="AB2781" s="410"/>
    </row>
    <row r="2782" spans="1:28" s="352" customFormat="1" ht="18" customHeight="1" x14ac:dyDescent="0.2">
      <c r="A2782" s="88"/>
      <c r="B2782" s="75"/>
      <c r="C2782" s="88"/>
      <c r="D2782" s="2165"/>
      <c r="E2782" s="2166"/>
      <c r="F2782" s="411"/>
      <c r="G2782" s="242"/>
      <c r="H2782" s="412"/>
      <c r="I2782" s="159"/>
      <c r="J2782" s="121"/>
      <c r="K2782" s="159"/>
      <c r="L2782" s="75"/>
      <c r="M2782" s="88"/>
      <c r="N2782" s="88"/>
      <c r="O2782" s="75"/>
      <c r="P2782" s="180"/>
      <c r="Q2782" s="174"/>
      <c r="R2782" s="413"/>
      <c r="S2782" s="74"/>
      <c r="T2782" s="88"/>
      <c r="U2782" s="74"/>
      <c r="V2782" s="74"/>
      <c r="W2782" s="74"/>
      <c r="X2782" s="74"/>
      <c r="Y2782" s="121"/>
      <c r="Z2782" s="74"/>
      <c r="AA2782" s="414"/>
      <c r="AB2782" s="416"/>
    </row>
    <row r="2783" spans="1:28" s="352" customFormat="1" ht="18" customHeight="1" x14ac:dyDescent="0.2">
      <c r="A2783" s="88"/>
      <c r="B2783" s="418"/>
      <c r="C2783" s="88"/>
      <c r="D2783" s="88"/>
      <c r="E2783" s="88"/>
      <c r="F2783" s="411"/>
      <c r="G2783" s="242"/>
      <c r="H2783" s="412"/>
      <c r="I2783" s="159"/>
      <c r="J2783" s="121"/>
      <c r="K2783" s="159"/>
      <c r="L2783" s="75"/>
      <c r="M2783" s="88"/>
      <c r="N2783" s="88"/>
      <c r="O2783" s="75"/>
      <c r="P2783" s="180"/>
      <c r="Q2783" s="174"/>
      <c r="R2783" s="413"/>
      <c r="S2783" s="74"/>
      <c r="T2783" s="88"/>
      <c r="U2783" s="74"/>
      <c r="V2783" s="74"/>
      <c r="W2783" s="74"/>
      <c r="X2783" s="74"/>
      <c r="Y2783" s="121"/>
      <c r="Z2783" s="74"/>
      <c r="AA2783" s="414"/>
      <c r="AB2783" s="410"/>
    </row>
    <row r="2784" spans="1:28" s="352" customFormat="1" ht="18" customHeight="1" x14ac:dyDescent="0.2">
      <c r="A2784" s="1147"/>
      <c r="B2784" s="1989"/>
      <c r="C2784" s="1147"/>
      <c r="D2784" s="1147"/>
      <c r="E2784" s="1147"/>
      <c r="F2784" s="1147"/>
      <c r="G2784" s="1147"/>
      <c r="H2784" s="1990"/>
      <c r="I2784" s="1991"/>
      <c r="J2784" s="1868"/>
      <c r="K2784" s="1992"/>
      <c r="L2784" s="1989"/>
      <c r="M2784" s="1147"/>
      <c r="N2784" s="1147"/>
      <c r="O2784" s="1989"/>
      <c r="P2784" s="1867"/>
      <c r="Q2784" s="1993"/>
      <c r="R2784" s="1994"/>
      <c r="S2784" s="1991"/>
      <c r="T2784" s="1147"/>
      <c r="U2784" s="1991"/>
      <c r="V2784" s="1991"/>
      <c r="W2784" s="1991"/>
      <c r="X2784" s="1991"/>
      <c r="Y2784" s="1868"/>
      <c r="Z2784" s="1991"/>
      <c r="AA2784" s="1995"/>
      <c r="AB2784" s="1849">
        <f>SUM(AB2770:AB2783)</f>
        <v>1242</v>
      </c>
    </row>
    <row r="2785" spans="1:29" s="352" customFormat="1" ht="18" customHeight="1" x14ac:dyDescent="0.2">
      <c r="A2785" s="2788" t="s">
        <v>76</v>
      </c>
      <c r="B2785" s="2788"/>
      <c r="C2785" s="2779" t="s">
        <v>77</v>
      </c>
      <c r="D2785" s="2779"/>
      <c r="E2785" s="2779"/>
      <c r="F2785" s="2779"/>
      <c r="G2785" s="2779"/>
      <c r="H2785" s="2779"/>
      <c r="I2785" s="424" t="s">
        <v>78</v>
      </c>
      <c r="J2785" s="424"/>
      <c r="K2785" s="424"/>
      <c r="L2785" s="424"/>
      <c r="M2785" s="424"/>
      <c r="N2785" s="424"/>
      <c r="AB2785" s="425"/>
    </row>
    <row r="2786" spans="1:29" s="352" customFormat="1" ht="18" customHeight="1" x14ac:dyDescent="0.2">
      <c r="A2786" s="424"/>
      <c r="B2786" s="426"/>
      <c r="C2786" s="424"/>
      <c r="D2786" s="424"/>
      <c r="E2786" s="424"/>
      <c r="F2786" s="424"/>
      <c r="G2786" s="424"/>
      <c r="H2786" s="424"/>
      <c r="I2786" s="424" t="s">
        <v>79</v>
      </c>
      <c r="J2786" s="424"/>
      <c r="K2786" s="424"/>
      <c r="L2786" s="424"/>
      <c r="M2786" s="424"/>
      <c r="N2786" s="424"/>
      <c r="AB2786" s="425"/>
    </row>
    <row r="2787" spans="1:29" s="352" customFormat="1" ht="18" customHeight="1" x14ac:dyDescent="0.2">
      <c r="A2787" s="424"/>
      <c r="B2787" s="426"/>
      <c r="C2787" s="424"/>
      <c r="D2787" s="424"/>
      <c r="E2787" s="424"/>
      <c r="F2787" s="424"/>
      <c r="G2787" s="424"/>
      <c r="H2787" s="424"/>
      <c r="I2787" s="424" t="s">
        <v>80</v>
      </c>
      <c r="J2787" s="424"/>
      <c r="K2787" s="424"/>
      <c r="L2787" s="424"/>
      <c r="M2787" s="424"/>
      <c r="N2787" s="424"/>
      <c r="AB2787" s="425"/>
    </row>
    <row r="2788" spans="1:29" s="352" customFormat="1" ht="18" customHeight="1" x14ac:dyDescent="0.2">
      <c r="A2788" s="424"/>
      <c r="B2788" s="426"/>
      <c r="C2788" s="424"/>
      <c r="D2788" s="424"/>
      <c r="E2788" s="424"/>
      <c r="F2788" s="424"/>
      <c r="G2788" s="424"/>
      <c r="H2788" s="424"/>
      <c r="I2788" s="424" t="s">
        <v>81</v>
      </c>
      <c r="J2788" s="424"/>
      <c r="K2788" s="424"/>
      <c r="L2788" s="424"/>
      <c r="M2788" s="424"/>
      <c r="N2788" s="424"/>
      <c r="AB2788" s="425"/>
    </row>
    <row r="2789" spans="1:29" s="352" customFormat="1" ht="18" customHeight="1" x14ac:dyDescent="0.2">
      <c r="A2789" s="424"/>
      <c r="B2789" s="426"/>
      <c r="C2789" s="424"/>
      <c r="D2789" s="424"/>
      <c r="E2789" s="424"/>
      <c r="F2789" s="424"/>
      <c r="G2789" s="424"/>
      <c r="H2789" s="424"/>
      <c r="I2789" s="424" t="s">
        <v>88</v>
      </c>
      <c r="J2789" s="424"/>
      <c r="K2789" s="424"/>
      <c r="L2789" s="424"/>
      <c r="M2789" s="424"/>
      <c r="N2789" s="424"/>
      <c r="AB2789" s="425"/>
    </row>
    <row r="2790" spans="1:29" s="352" customFormat="1" ht="18" customHeight="1" x14ac:dyDescent="0.2">
      <c r="A2790" s="338" t="s">
        <v>134</v>
      </c>
      <c r="B2790" s="338"/>
      <c r="C2790" s="338"/>
      <c r="D2790" s="338"/>
      <c r="E2790" s="338"/>
      <c r="F2790" s="338"/>
      <c r="G2790" s="338"/>
      <c r="H2790" s="338"/>
      <c r="I2790" s="338"/>
      <c r="J2790" s="338"/>
      <c r="K2790" s="338"/>
      <c r="L2790" s="338"/>
      <c r="M2790" s="338"/>
      <c r="N2790" s="338"/>
      <c r="O2790" s="338"/>
      <c r="P2790" s="338"/>
      <c r="Q2790" s="338"/>
      <c r="R2790" s="338"/>
      <c r="S2790" s="338"/>
      <c r="T2790" s="338"/>
      <c r="U2790" s="338"/>
      <c r="V2790" s="338"/>
      <c r="W2790" s="338"/>
      <c r="X2790" s="338"/>
      <c r="Y2790" s="338"/>
      <c r="Z2790" s="338"/>
      <c r="AA2790" s="2774" t="s">
        <v>0</v>
      </c>
      <c r="AB2790" s="2774"/>
    </row>
    <row r="2791" spans="1:29" s="352" customFormat="1" ht="18" customHeight="1" x14ac:dyDescent="0.2">
      <c r="A2791" s="2703" t="s">
        <v>1</v>
      </c>
      <c r="B2791" s="2703"/>
      <c r="C2791" s="2703"/>
      <c r="D2791" s="2703"/>
      <c r="E2791" s="2703"/>
      <c r="F2791" s="2703"/>
      <c r="G2791" s="2703"/>
      <c r="H2791" s="2703"/>
      <c r="I2791" s="2703"/>
      <c r="J2791" s="2703"/>
      <c r="K2791" s="2703"/>
      <c r="L2791" s="2703"/>
      <c r="M2791" s="2703"/>
      <c r="N2791" s="2703"/>
      <c r="O2791" s="2703"/>
      <c r="P2791" s="2703"/>
      <c r="Q2791" s="2703"/>
      <c r="R2791" s="2703"/>
      <c r="S2791" s="2703"/>
      <c r="T2791" s="2703"/>
      <c r="U2791" s="2703"/>
      <c r="V2791" s="2703"/>
      <c r="W2791" s="2703"/>
      <c r="X2791" s="2703"/>
      <c r="Y2791" s="2703"/>
      <c r="Z2791" s="2703"/>
      <c r="AA2791" s="2703"/>
      <c r="AB2791" s="2703"/>
    </row>
    <row r="2792" spans="1:29" s="352" customFormat="1" ht="18" customHeight="1" x14ac:dyDescent="0.2">
      <c r="A2792" s="2780" t="s">
        <v>598</v>
      </c>
      <c r="B2792" s="2780"/>
      <c r="C2792" s="2780"/>
      <c r="D2792" s="2780"/>
      <c r="E2792" s="2780"/>
      <c r="F2792" s="2780"/>
      <c r="G2792" s="2780"/>
      <c r="H2792" s="2780"/>
      <c r="I2792" s="2780"/>
      <c r="J2792" s="2780"/>
      <c r="K2792" s="2780"/>
      <c r="L2792" s="2780"/>
      <c r="M2792" s="2780"/>
      <c r="N2792" s="2780"/>
      <c r="O2792" s="2780"/>
      <c r="P2792" s="2780"/>
      <c r="Q2792" s="2780"/>
      <c r="R2792" s="2780"/>
      <c r="S2792" s="2780"/>
      <c r="T2792" s="2780"/>
      <c r="U2792" s="2780"/>
      <c r="V2792" s="2780"/>
      <c r="W2792" s="2780"/>
      <c r="X2792" s="2780"/>
      <c r="Y2792" s="2780"/>
      <c r="Z2792" s="2780"/>
      <c r="AA2792" s="2780"/>
      <c r="AB2792" s="2780"/>
    </row>
    <row r="2793" spans="1:29" s="352" customFormat="1" ht="18" customHeight="1" x14ac:dyDescent="0.2">
      <c r="A2793" s="2686" t="s">
        <v>2</v>
      </c>
      <c r="B2793" s="360"/>
      <c r="C2793" s="2686" t="s">
        <v>3</v>
      </c>
      <c r="D2793" s="360"/>
      <c r="E2793" s="360"/>
      <c r="F2793" s="2693" t="s">
        <v>4</v>
      </c>
      <c r="G2793" s="2693"/>
      <c r="H2793" s="2693"/>
      <c r="I2793" s="2694"/>
      <c r="J2793" s="2694"/>
      <c r="K2793" s="2695"/>
      <c r="L2793" s="361"/>
      <c r="M2793" s="2679" t="s">
        <v>5</v>
      </c>
      <c r="N2793" s="2679"/>
      <c r="O2793" s="2679"/>
      <c r="P2793" s="2679"/>
      <c r="Q2793" s="2696"/>
      <c r="R2793" s="2696"/>
      <c r="S2793" s="2696"/>
      <c r="T2793" s="2696"/>
      <c r="U2793" s="2696"/>
      <c r="V2793" s="2697"/>
      <c r="W2793" s="362" t="s">
        <v>6</v>
      </c>
      <c r="X2793" s="363" t="s">
        <v>7</v>
      </c>
      <c r="Y2793" s="364"/>
      <c r="Z2793" s="364"/>
      <c r="AA2793" s="363"/>
      <c r="AB2793" s="365"/>
    </row>
    <row r="2794" spans="1:29" s="352" customFormat="1" ht="18" customHeight="1" x14ac:dyDescent="0.2">
      <c r="A2794" s="2687"/>
      <c r="B2794" s="367"/>
      <c r="C2794" s="2687"/>
      <c r="D2794" s="2158" t="s">
        <v>9</v>
      </c>
      <c r="E2794" s="368" t="s">
        <v>10</v>
      </c>
      <c r="F2794" s="2698" t="s">
        <v>11</v>
      </c>
      <c r="G2794" s="2694"/>
      <c r="H2794" s="2695"/>
      <c r="I2794" s="360"/>
      <c r="J2794" s="369" t="s">
        <v>12</v>
      </c>
      <c r="K2794" s="360"/>
      <c r="L2794" s="2679" t="s">
        <v>2</v>
      </c>
      <c r="M2794" s="2162"/>
      <c r="N2794" s="2162"/>
      <c r="O2794" s="2162"/>
      <c r="P2794" s="371"/>
      <c r="Q2794" s="372" t="s">
        <v>13</v>
      </c>
      <c r="R2794" s="373" t="s">
        <v>12</v>
      </c>
      <c r="S2794" s="2162" t="s">
        <v>6</v>
      </c>
      <c r="T2794" s="2682" t="s">
        <v>14</v>
      </c>
      <c r="U2794" s="2683"/>
      <c r="V2794" s="375" t="s">
        <v>7</v>
      </c>
      <c r="W2794" s="376" t="s">
        <v>15</v>
      </c>
      <c r="X2794" s="377" t="s">
        <v>16</v>
      </c>
      <c r="Y2794" s="377" t="s">
        <v>17</v>
      </c>
      <c r="Z2794" s="377" t="s">
        <v>18</v>
      </c>
      <c r="AA2794" s="377"/>
      <c r="AB2794" s="378" t="s">
        <v>19</v>
      </c>
    </row>
    <row r="2795" spans="1:29" s="352" customFormat="1" ht="18" customHeight="1" x14ac:dyDescent="0.2">
      <c r="A2795" s="2687"/>
      <c r="B2795" s="2158" t="s">
        <v>23</v>
      </c>
      <c r="C2795" s="2687"/>
      <c r="D2795" s="2158" t="s">
        <v>24</v>
      </c>
      <c r="E2795" s="368" t="s">
        <v>25</v>
      </c>
      <c r="F2795" s="2699"/>
      <c r="G2795" s="2700"/>
      <c r="H2795" s="2701"/>
      <c r="I2795" s="2158" t="s">
        <v>26</v>
      </c>
      <c r="J2795" s="379" t="s">
        <v>15</v>
      </c>
      <c r="K2795" s="2159" t="s">
        <v>6</v>
      </c>
      <c r="L2795" s="2680"/>
      <c r="M2795" s="2163" t="s">
        <v>27</v>
      </c>
      <c r="N2795" s="2163" t="s">
        <v>10</v>
      </c>
      <c r="O2795" s="382" t="s">
        <v>10</v>
      </c>
      <c r="P2795" s="383" t="s">
        <v>28</v>
      </c>
      <c r="Q2795" s="384" t="s">
        <v>29</v>
      </c>
      <c r="R2795" s="383" t="s">
        <v>15</v>
      </c>
      <c r="S2795" s="385" t="s">
        <v>15</v>
      </c>
      <c r="T2795" s="2684"/>
      <c r="U2795" s="2685"/>
      <c r="V2795" s="375" t="s">
        <v>30</v>
      </c>
      <c r="W2795" s="376" t="s">
        <v>31</v>
      </c>
      <c r="X2795" s="377" t="s">
        <v>30</v>
      </c>
      <c r="Y2795" s="377" t="s">
        <v>32</v>
      </c>
      <c r="Z2795" s="377" t="s">
        <v>7</v>
      </c>
      <c r="AA2795" s="377" t="s">
        <v>33</v>
      </c>
      <c r="AB2795" s="378" t="s">
        <v>34</v>
      </c>
    </row>
    <row r="2796" spans="1:29" s="352" customFormat="1" ht="18" customHeight="1" x14ac:dyDescent="0.2">
      <c r="A2796" s="2687"/>
      <c r="B2796" s="2158" t="s">
        <v>39</v>
      </c>
      <c r="C2796" s="2687"/>
      <c r="D2796" s="2158" t="s">
        <v>40</v>
      </c>
      <c r="E2796" s="368" t="s">
        <v>41</v>
      </c>
      <c r="F2796" s="2686" t="s">
        <v>42</v>
      </c>
      <c r="G2796" s="2686" t="s">
        <v>43</v>
      </c>
      <c r="H2796" s="2688" t="s">
        <v>44</v>
      </c>
      <c r="I2796" s="2158" t="s">
        <v>45</v>
      </c>
      <c r="J2796" s="379" t="s">
        <v>46</v>
      </c>
      <c r="K2796" s="2159" t="s">
        <v>47</v>
      </c>
      <c r="L2796" s="2680"/>
      <c r="M2796" s="2163" t="s">
        <v>30</v>
      </c>
      <c r="N2796" s="2163" t="s">
        <v>30</v>
      </c>
      <c r="O2796" s="382" t="s">
        <v>25</v>
      </c>
      <c r="P2796" s="383" t="s">
        <v>30</v>
      </c>
      <c r="Q2796" s="384" t="s">
        <v>48</v>
      </c>
      <c r="R2796" s="383" t="s">
        <v>49</v>
      </c>
      <c r="S2796" s="385" t="s">
        <v>30</v>
      </c>
      <c r="T2796" s="386" t="s">
        <v>50</v>
      </c>
      <c r="U2796" s="2161" t="s">
        <v>13</v>
      </c>
      <c r="V2796" s="375" t="s">
        <v>51</v>
      </c>
      <c r="W2796" s="376" t="s">
        <v>52</v>
      </c>
      <c r="X2796" s="377" t="s">
        <v>53</v>
      </c>
      <c r="Y2796" s="377" t="s">
        <v>54</v>
      </c>
      <c r="Z2796" s="377" t="s">
        <v>55</v>
      </c>
      <c r="AA2796" s="377" t="s">
        <v>56</v>
      </c>
      <c r="AB2796" s="378" t="s">
        <v>57</v>
      </c>
    </row>
    <row r="2797" spans="1:29" s="352" customFormat="1" ht="18" customHeight="1" x14ac:dyDescent="0.2">
      <c r="A2797" s="2687"/>
      <c r="B2797" s="2158" t="s">
        <v>61</v>
      </c>
      <c r="C2797" s="2687"/>
      <c r="D2797" s="2158" t="s">
        <v>62</v>
      </c>
      <c r="E2797" s="368" t="s">
        <v>63</v>
      </c>
      <c r="F2797" s="2687"/>
      <c r="G2797" s="2687"/>
      <c r="H2797" s="2689"/>
      <c r="I2797" s="2158" t="s">
        <v>64</v>
      </c>
      <c r="J2797" s="379" t="s">
        <v>59</v>
      </c>
      <c r="K2797" s="2159" t="s">
        <v>59</v>
      </c>
      <c r="L2797" s="2680"/>
      <c r="M2797" s="2163"/>
      <c r="N2797" s="2163"/>
      <c r="O2797" s="382" t="s">
        <v>41</v>
      </c>
      <c r="P2797" s="383" t="s">
        <v>65</v>
      </c>
      <c r="Q2797" s="384" t="s">
        <v>66</v>
      </c>
      <c r="R2797" s="383" t="s">
        <v>67</v>
      </c>
      <c r="S2797" s="385" t="s">
        <v>59</v>
      </c>
      <c r="T2797" s="387" t="s">
        <v>68</v>
      </c>
      <c r="U2797" s="375" t="s">
        <v>14</v>
      </c>
      <c r="V2797" s="375" t="s">
        <v>14</v>
      </c>
      <c r="W2797" s="376" t="s">
        <v>30</v>
      </c>
      <c r="X2797" s="388" t="s">
        <v>69</v>
      </c>
      <c r="Y2797" s="388" t="s">
        <v>70</v>
      </c>
      <c r="Z2797" s="377" t="s">
        <v>71</v>
      </c>
      <c r="AA2797" s="377" t="s">
        <v>72</v>
      </c>
      <c r="AB2797" s="378" t="s">
        <v>59</v>
      </c>
    </row>
    <row r="2798" spans="1:29" s="352" customFormat="1" ht="18" customHeight="1" x14ac:dyDescent="0.2">
      <c r="A2798" s="2692"/>
      <c r="B2798" s="390"/>
      <c r="C2798" s="2692"/>
      <c r="D2798" s="390"/>
      <c r="E2798" s="2160"/>
      <c r="F2798" s="390"/>
      <c r="G2798" s="390"/>
      <c r="H2798" s="391"/>
      <c r="I2798" s="2160"/>
      <c r="J2798" s="392"/>
      <c r="K2798" s="393"/>
      <c r="L2798" s="2681"/>
      <c r="M2798" s="2164"/>
      <c r="N2798" s="2164"/>
      <c r="O2798" s="2164" t="s">
        <v>63</v>
      </c>
      <c r="P2798" s="395"/>
      <c r="Q2798" s="396" t="s">
        <v>72</v>
      </c>
      <c r="R2798" s="397" t="s">
        <v>59</v>
      </c>
      <c r="S2798" s="398"/>
      <c r="T2798" s="397" t="s">
        <v>73</v>
      </c>
      <c r="U2798" s="398" t="s">
        <v>59</v>
      </c>
      <c r="V2798" s="399" t="s">
        <v>59</v>
      </c>
      <c r="W2798" s="400" t="s">
        <v>59</v>
      </c>
      <c r="X2798" s="401" t="s">
        <v>59</v>
      </c>
      <c r="Y2798" s="401" t="s">
        <v>59</v>
      </c>
      <c r="Z2798" s="401" t="s">
        <v>59</v>
      </c>
      <c r="AA2798" s="402"/>
      <c r="AB2798" s="403"/>
    </row>
    <row r="2799" spans="1:29" s="352" customFormat="1" ht="18" customHeight="1" x14ac:dyDescent="0.25">
      <c r="A2799" s="2166">
        <v>2</v>
      </c>
      <c r="B2799" s="269">
        <v>23200</v>
      </c>
      <c r="C2799" s="285">
        <v>1058</v>
      </c>
      <c r="D2799" s="273"/>
      <c r="E2799" s="273">
        <v>4</v>
      </c>
      <c r="F2799" s="268">
        <v>0</v>
      </c>
      <c r="G2799" s="269">
        <v>1</v>
      </c>
      <c r="H2799" s="266">
        <v>2</v>
      </c>
      <c r="I2799" s="299">
        <f t="shared" ref="I2799" si="134">F2799*400+G2799*100+H2799</f>
        <v>102</v>
      </c>
      <c r="J2799" s="305">
        <v>3000</v>
      </c>
      <c r="K2799" s="305">
        <f t="shared" ref="K2799" si="135">SUM(I2799*J2799)</f>
        <v>306000</v>
      </c>
      <c r="L2799" s="269"/>
      <c r="M2799" s="242"/>
      <c r="N2799" s="269"/>
      <c r="O2799" s="269">
        <v>4</v>
      </c>
      <c r="P2799" s="760"/>
      <c r="Q2799" s="285"/>
      <c r="R2799" s="321"/>
      <c r="S2799" s="321"/>
      <c r="T2799" s="323"/>
      <c r="U2799" s="321"/>
      <c r="V2799" s="321"/>
      <c r="W2799" s="299">
        <f t="shared" ref="W2799" si="136">K2799+V2799</f>
        <v>306000</v>
      </c>
      <c r="X2799" s="299">
        <f t="shared" ref="X2799" si="137">W2799</f>
        <v>306000</v>
      </c>
      <c r="Y2799" s="305"/>
      <c r="Z2799" s="305">
        <f t="shared" ref="Z2799" si="138">+X2799</f>
        <v>306000</v>
      </c>
      <c r="AA2799" s="708">
        <v>0.6</v>
      </c>
      <c r="AB2799" s="416">
        <f>+Z2799*AA2799/100</f>
        <v>1836</v>
      </c>
      <c r="AC2799" s="352" t="s">
        <v>387</v>
      </c>
    </row>
    <row r="2800" spans="1:29" s="352" customFormat="1" ht="18" customHeight="1" x14ac:dyDescent="0.25">
      <c r="A2800" s="2166"/>
      <c r="B2800" s="269"/>
      <c r="C2800" s="285"/>
      <c r="D2800" s="273"/>
      <c r="E2800" s="273"/>
      <c r="F2800" s="268"/>
      <c r="G2800" s="269"/>
      <c r="H2800" s="266"/>
      <c r="I2800" s="299"/>
      <c r="J2800" s="305"/>
      <c r="K2800" s="305"/>
      <c r="L2800" s="269"/>
      <c r="M2800" s="242"/>
      <c r="N2800" s="269"/>
      <c r="O2800" s="269"/>
      <c r="P2800" s="760"/>
      <c r="Q2800" s="285"/>
      <c r="R2800" s="321"/>
      <c r="S2800" s="321"/>
      <c r="T2800" s="323"/>
      <c r="U2800" s="321"/>
      <c r="V2800" s="321"/>
      <c r="W2800" s="299"/>
      <c r="X2800" s="299"/>
      <c r="Y2800" s="305"/>
      <c r="Z2800" s="305"/>
      <c r="AA2800" s="708"/>
      <c r="AB2800" s="416"/>
    </row>
    <row r="2801" spans="1:28" s="352" customFormat="1" ht="18" customHeight="1" x14ac:dyDescent="0.2">
      <c r="A2801" s="2166"/>
      <c r="B2801" s="61"/>
      <c r="C2801" s="2166"/>
      <c r="D2801" s="2166"/>
      <c r="E2801" s="2166"/>
      <c r="F2801" s="2166"/>
      <c r="G2801" s="2166"/>
      <c r="H2801" s="407"/>
      <c r="I2801" s="77"/>
      <c r="J2801" s="2168"/>
      <c r="K2801" s="2168"/>
      <c r="L2801" s="488"/>
      <c r="M2801" s="488"/>
      <c r="N2801" s="488"/>
      <c r="O2801" s="488"/>
      <c r="P2801" s="819"/>
      <c r="Q2801" s="819"/>
      <c r="R2801" s="820"/>
      <c r="S2801" s="820"/>
      <c r="T2801" s="819"/>
      <c r="U2801" s="820"/>
      <c r="V2801" s="821"/>
      <c r="W2801" s="77"/>
      <c r="X2801" s="2168"/>
      <c r="Y2801" s="2168"/>
      <c r="Z2801" s="77"/>
      <c r="AA2801" s="2170"/>
      <c r="AB2801" s="410"/>
    </row>
    <row r="2802" spans="1:28" s="352" customFormat="1" ht="18" customHeight="1" x14ac:dyDescent="0.2">
      <c r="A2802" s="2166"/>
      <c r="B2802" s="61"/>
      <c r="C2802" s="2166"/>
      <c r="D2802" s="2166"/>
      <c r="E2802" s="2166"/>
      <c r="F2802" s="2166"/>
      <c r="G2802" s="2166"/>
      <c r="H2802" s="407"/>
      <c r="I2802" s="77"/>
      <c r="J2802" s="2168"/>
      <c r="K2802" s="78"/>
      <c r="L2802" s="61"/>
      <c r="M2802" s="2166"/>
      <c r="N2802" s="2166"/>
      <c r="O2802" s="61"/>
      <c r="P2802" s="177"/>
      <c r="Q2802" s="196"/>
      <c r="R2802" s="408"/>
      <c r="S2802" s="77"/>
      <c r="T2802" s="2166"/>
      <c r="U2802" s="77"/>
      <c r="V2802" s="77"/>
      <c r="W2802" s="77"/>
      <c r="X2802" s="77"/>
      <c r="Y2802" s="2168"/>
      <c r="Z2802" s="77"/>
      <c r="AA2802" s="2170"/>
      <c r="AB2802" s="410"/>
    </row>
    <row r="2803" spans="1:28" s="352" customFormat="1" ht="18" customHeight="1" x14ac:dyDescent="0.2">
      <c r="A2803" s="2166"/>
      <c r="B2803" s="61"/>
      <c r="C2803" s="2166"/>
      <c r="D2803" s="2166"/>
      <c r="E2803" s="2166"/>
      <c r="F2803" s="2166"/>
      <c r="G2803" s="2166"/>
      <c r="H2803" s="407"/>
      <c r="I2803" s="77"/>
      <c r="J2803" s="2168"/>
      <c r="K2803" s="78"/>
      <c r="L2803" s="61"/>
      <c r="M2803" s="2166"/>
      <c r="N2803" s="2166"/>
      <c r="O2803" s="61"/>
      <c r="P2803" s="177"/>
      <c r="Q2803" s="196"/>
      <c r="R2803" s="408"/>
      <c r="S2803" s="77"/>
      <c r="T2803" s="2166"/>
      <c r="U2803" s="77"/>
      <c r="V2803" s="77"/>
      <c r="W2803" s="77"/>
      <c r="X2803" s="77"/>
      <c r="Y2803" s="2168"/>
      <c r="Z2803" s="77"/>
      <c r="AA2803" s="2170"/>
      <c r="AB2803" s="410"/>
    </row>
    <row r="2804" spans="1:28" s="352" customFormat="1" ht="18" customHeight="1" x14ac:dyDescent="0.2">
      <c r="A2804" s="2166"/>
      <c r="B2804" s="61"/>
      <c r="C2804" s="2166"/>
      <c r="D2804" s="2166"/>
      <c r="E2804" s="2166"/>
      <c r="F2804" s="2166"/>
      <c r="G2804" s="2166"/>
      <c r="H2804" s="407"/>
      <c r="I2804" s="77"/>
      <c r="J2804" s="2168"/>
      <c r="K2804" s="78"/>
      <c r="L2804" s="61"/>
      <c r="M2804" s="2166"/>
      <c r="N2804" s="2166"/>
      <c r="O2804" s="61"/>
      <c r="P2804" s="177"/>
      <c r="Q2804" s="196"/>
      <c r="R2804" s="408"/>
      <c r="S2804" s="77"/>
      <c r="T2804" s="2166"/>
      <c r="U2804" s="77"/>
      <c r="V2804" s="77"/>
      <c r="W2804" s="77"/>
      <c r="X2804" s="77"/>
      <c r="Y2804" s="2168"/>
      <c r="Z2804" s="77"/>
      <c r="AA2804" s="2170"/>
      <c r="AB2804" s="410"/>
    </row>
    <row r="2805" spans="1:28" s="352" customFormat="1" ht="18" customHeight="1" x14ac:dyDescent="0.2">
      <c r="A2805" s="88"/>
      <c r="B2805" s="75"/>
      <c r="C2805" s="88"/>
      <c r="D2805" s="88"/>
      <c r="E2805" s="2166"/>
      <c r="F2805" s="411"/>
      <c r="G2805" s="242"/>
      <c r="H2805" s="412"/>
      <c r="I2805" s="159"/>
      <c r="J2805" s="121"/>
      <c r="K2805" s="159"/>
      <c r="L2805" s="75"/>
      <c r="M2805" s="88"/>
      <c r="N2805" s="88"/>
      <c r="O2805" s="75"/>
      <c r="P2805" s="180"/>
      <c r="Q2805" s="174"/>
      <c r="R2805" s="413"/>
      <c r="S2805" s="74"/>
      <c r="T2805" s="88"/>
      <c r="U2805" s="74"/>
      <c r="V2805" s="74"/>
      <c r="W2805" s="74"/>
      <c r="X2805" s="74"/>
      <c r="Y2805" s="121"/>
      <c r="Z2805" s="74"/>
      <c r="AA2805" s="414"/>
      <c r="AB2805" s="415"/>
    </row>
    <row r="2806" spans="1:28" s="352" customFormat="1" ht="18" customHeight="1" x14ac:dyDescent="0.2">
      <c r="A2806" s="88"/>
      <c r="B2806" s="75"/>
      <c r="C2806" s="88"/>
      <c r="D2806" s="231"/>
      <c r="E2806" s="2166"/>
      <c r="F2806" s="411"/>
      <c r="G2806" s="242"/>
      <c r="H2806" s="412"/>
      <c r="I2806" s="159"/>
      <c r="J2806" s="121"/>
      <c r="K2806" s="159"/>
      <c r="L2806" s="75"/>
      <c r="M2806" s="88"/>
      <c r="N2806" s="88"/>
      <c r="O2806" s="75"/>
      <c r="P2806" s="180"/>
      <c r="Q2806" s="174"/>
      <c r="R2806" s="413"/>
      <c r="S2806" s="74"/>
      <c r="T2806" s="88"/>
      <c r="U2806" s="74"/>
      <c r="V2806" s="74"/>
      <c r="W2806" s="74"/>
      <c r="X2806" s="74"/>
      <c r="Y2806" s="121"/>
      <c r="Z2806" s="74"/>
      <c r="AA2806" s="417"/>
      <c r="AB2806" s="410"/>
    </row>
    <row r="2807" spans="1:28" s="352" customFormat="1" ht="18" customHeight="1" x14ac:dyDescent="0.2">
      <c r="A2807" s="88"/>
      <c r="B2807" s="75"/>
      <c r="C2807" s="88"/>
      <c r="D2807" s="88"/>
      <c r="E2807" s="2166"/>
      <c r="F2807" s="411"/>
      <c r="G2807" s="242"/>
      <c r="H2807" s="412"/>
      <c r="I2807" s="159"/>
      <c r="J2807" s="121"/>
      <c r="K2807" s="159"/>
      <c r="L2807" s="75"/>
      <c r="M2807" s="88"/>
      <c r="N2807" s="88"/>
      <c r="O2807" s="75"/>
      <c r="P2807" s="180"/>
      <c r="Q2807" s="174"/>
      <c r="R2807" s="413"/>
      <c r="S2807" s="74"/>
      <c r="T2807" s="88"/>
      <c r="U2807" s="74"/>
      <c r="V2807" s="74"/>
      <c r="W2807" s="74"/>
      <c r="X2807" s="74"/>
      <c r="Y2807" s="121"/>
      <c r="Z2807" s="74"/>
      <c r="AA2807" s="414"/>
      <c r="AB2807" s="416"/>
    </row>
    <row r="2808" spans="1:28" s="352" customFormat="1" ht="18" customHeight="1" x14ac:dyDescent="0.2">
      <c r="A2808" s="88"/>
      <c r="B2808" s="75"/>
      <c r="C2808" s="88"/>
      <c r="D2808" s="88"/>
      <c r="E2808" s="2166"/>
      <c r="F2808" s="411"/>
      <c r="G2808" s="242"/>
      <c r="H2808" s="412"/>
      <c r="I2808" s="159"/>
      <c r="J2808" s="121"/>
      <c r="K2808" s="159"/>
      <c r="L2808" s="75"/>
      <c r="M2808" s="88"/>
      <c r="N2808" s="88"/>
      <c r="O2808" s="75"/>
      <c r="P2808" s="180"/>
      <c r="Q2808" s="174"/>
      <c r="R2808" s="413"/>
      <c r="S2808" s="74"/>
      <c r="T2808" s="88"/>
      <c r="U2808" s="74"/>
      <c r="V2808" s="74"/>
      <c r="W2808" s="74"/>
      <c r="X2808" s="74"/>
      <c r="Y2808" s="121"/>
      <c r="Z2808" s="74"/>
      <c r="AA2808" s="414"/>
      <c r="AB2808" s="415"/>
    </row>
    <row r="2809" spans="1:28" s="352" customFormat="1" ht="18" customHeight="1" x14ac:dyDescent="0.2">
      <c r="A2809" s="88"/>
      <c r="B2809" s="75"/>
      <c r="C2809" s="88"/>
      <c r="D2809" s="2165"/>
      <c r="E2809" s="2166"/>
      <c r="F2809" s="411"/>
      <c r="G2809" s="242"/>
      <c r="H2809" s="412"/>
      <c r="I2809" s="159"/>
      <c r="J2809" s="121"/>
      <c r="K2809" s="159"/>
      <c r="L2809" s="75"/>
      <c r="M2809" s="88"/>
      <c r="N2809" s="88"/>
      <c r="O2809" s="75"/>
      <c r="P2809" s="180"/>
      <c r="Q2809" s="174"/>
      <c r="R2809" s="413"/>
      <c r="S2809" s="74"/>
      <c r="T2809" s="88"/>
      <c r="U2809" s="74"/>
      <c r="V2809" s="74"/>
      <c r="W2809" s="74"/>
      <c r="X2809" s="74"/>
      <c r="Y2809" s="121"/>
      <c r="Z2809" s="74"/>
      <c r="AA2809" s="414"/>
      <c r="AB2809" s="410"/>
    </row>
    <row r="2810" spans="1:28" s="352" customFormat="1" ht="18" customHeight="1" x14ac:dyDescent="0.2">
      <c r="A2810" s="88"/>
      <c r="B2810" s="75"/>
      <c r="C2810" s="88"/>
      <c r="D2810" s="2165"/>
      <c r="E2810" s="2166"/>
      <c r="F2810" s="411"/>
      <c r="G2810" s="242"/>
      <c r="H2810" s="412"/>
      <c r="I2810" s="159"/>
      <c r="J2810" s="121"/>
      <c r="K2810" s="159"/>
      <c r="L2810" s="75"/>
      <c r="M2810" s="88"/>
      <c r="N2810" s="88"/>
      <c r="O2810" s="75"/>
      <c r="P2810" s="180"/>
      <c r="Q2810" s="174"/>
      <c r="R2810" s="413"/>
      <c r="S2810" s="74"/>
      <c r="T2810" s="88"/>
      <c r="U2810" s="74"/>
      <c r="V2810" s="74"/>
      <c r="W2810" s="74"/>
      <c r="X2810" s="74"/>
      <c r="Y2810" s="121"/>
      <c r="Z2810" s="74"/>
      <c r="AA2810" s="417"/>
      <c r="AB2810" s="410"/>
    </row>
    <row r="2811" spans="1:28" s="352" customFormat="1" ht="18" customHeight="1" x14ac:dyDescent="0.2">
      <c r="A2811" s="88"/>
      <c r="B2811" s="75"/>
      <c r="C2811" s="88"/>
      <c r="D2811" s="2165"/>
      <c r="E2811" s="2166"/>
      <c r="F2811" s="411"/>
      <c r="G2811" s="242"/>
      <c r="H2811" s="412"/>
      <c r="I2811" s="159"/>
      <c r="J2811" s="121"/>
      <c r="K2811" s="159"/>
      <c r="L2811" s="75"/>
      <c r="M2811" s="88"/>
      <c r="N2811" s="88"/>
      <c r="O2811" s="75"/>
      <c r="P2811" s="180"/>
      <c r="Q2811" s="174"/>
      <c r="R2811" s="413"/>
      <c r="S2811" s="74"/>
      <c r="T2811" s="88"/>
      <c r="U2811" s="74"/>
      <c r="V2811" s="74"/>
      <c r="W2811" s="74"/>
      <c r="X2811" s="74"/>
      <c r="Y2811" s="121"/>
      <c r="Z2811" s="74"/>
      <c r="AA2811" s="414"/>
      <c r="AB2811" s="416"/>
    </row>
    <row r="2812" spans="1:28" s="352" customFormat="1" ht="18" customHeight="1" x14ac:dyDescent="0.2">
      <c r="A2812" s="88"/>
      <c r="B2812" s="418"/>
      <c r="C2812" s="88"/>
      <c r="D2812" s="88"/>
      <c r="E2812" s="88"/>
      <c r="F2812" s="411"/>
      <c r="G2812" s="242"/>
      <c r="H2812" s="412"/>
      <c r="I2812" s="159"/>
      <c r="J2812" s="121"/>
      <c r="K2812" s="159"/>
      <c r="L2812" s="75"/>
      <c r="M2812" s="88"/>
      <c r="N2812" s="88"/>
      <c r="O2812" s="75"/>
      <c r="P2812" s="180"/>
      <c r="Q2812" s="174"/>
      <c r="R2812" s="413"/>
      <c r="S2812" s="74"/>
      <c r="T2812" s="88"/>
      <c r="U2812" s="74"/>
      <c r="V2812" s="74"/>
      <c r="W2812" s="74"/>
      <c r="X2812" s="74"/>
      <c r="Y2812" s="121"/>
      <c r="Z2812" s="74"/>
      <c r="AA2812" s="414"/>
      <c r="AB2812" s="410"/>
    </row>
    <row r="2813" spans="1:28" s="352" customFormat="1" ht="18" customHeight="1" x14ac:dyDescent="0.2">
      <c r="A2813" s="1147"/>
      <c r="B2813" s="1989"/>
      <c r="C2813" s="1147"/>
      <c r="D2813" s="1147"/>
      <c r="E2813" s="1147"/>
      <c r="F2813" s="1147"/>
      <c r="G2813" s="1147"/>
      <c r="H2813" s="1990"/>
      <c r="I2813" s="1991"/>
      <c r="J2813" s="1868"/>
      <c r="K2813" s="1992"/>
      <c r="L2813" s="1989"/>
      <c r="M2813" s="1147"/>
      <c r="N2813" s="1147"/>
      <c r="O2813" s="1989"/>
      <c r="P2813" s="1867"/>
      <c r="Q2813" s="1993"/>
      <c r="R2813" s="1994"/>
      <c r="S2813" s="1991"/>
      <c r="T2813" s="1147"/>
      <c r="U2813" s="1991"/>
      <c r="V2813" s="1991"/>
      <c r="W2813" s="1991"/>
      <c r="X2813" s="1991"/>
      <c r="Y2813" s="1868"/>
      <c r="Z2813" s="1991"/>
      <c r="AA2813" s="1995"/>
      <c r="AB2813" s="1849">
        <f>SUM(AB2799:AB2812)</f>
        <v>1836</v>
      </c>
    </row>
    <row r="2814" spans="1:28" s="352" customFormat="1" ht="18" customHeight="1" x14ac:dyDescent="0.2">
      <c r="A2814" s="2788" t="s">
        <v>76</v>
      </c>
      <c r="B2814" s="2788"/>
      <c r="C2814" s="2779" t="s">
        <v>77</v>
      </c>
      <c r="D2814" s="2779"/>
      <c r="E2814" s="2779"/>
      <c r="F2814" s="2779"/>
      <c r="G2814" s="2779"/>
      <c r="H2814" s="2779"/>
      <c r="I2814" s="424" t="s">
        <v>78</v>
      </c>
      <c r="J2814" s="424"/>
      <c r="K2814" s="424"/>
      <c r="L2814" s="424"/>
      <c r="M2814" s="424"/>
      <c r="N2814" s="424"/>
      <c r="AB2814" s="425"/>
    </row>
    <row r="2815" spans="1:28" s="352" customFormat="1" ht="18" customHeight="1" x14ac:dyDescent="0.2">
      <c r="A2815" s="424"/>
      <c r="B2815" s="426"/>
      <c r="C2815" s="424"/>
      <c r="D2815" s="424"/>
      <c r="E2815" s="424"/>
      <c r="F2815" s="424"/>
      <c r="G2815" s="424"/>
      <c r="H2815" s="424"/>
      <c r="I2815" s="424" t="s">
        <v>79</v>
      </c>
      <c r="J2815" s="424"/>
      <c r="K2815" s="424"/>
      <c r="L2815" s="424"/>
      <c r="M2815" s="424"/>
      <c r="N2815" s="424"/>
      <c r="AB2815" s="425"/>
    </row>
    <row r="2816" spans="1:28" s="352" customFormat="1" ht="18" customHeight="1" x14ac:dyDescent="0.2">
      <c r="A2816" s="424"/>
      <c r="B2816" s="426"/>
      <c r="C2816" s="424"/>
      <c r="D2816" s="424"/>
      <c r="E2816" s="424"/>
      <c r="F2816" s="424"/>
      <c r="G2816" s="424"/>
      <c r="H2816" s="424"/>
      <c r="I2816" s="424" t="s">
        <v>80</v>
      </c>
      <c r="J2816" s="424"/>
      <c r="K2816" s="424"/>
      <c r="L2816" s="424"/>
      <c r="M2816" s="424"/>
      <c r="N2816" s="424"/>
      <c r="AB2816" s="425"/>
    </row>
    <row r="2817" spans="1:28" s="352" customFormat="1" ht="18" customHeight="1" x14ac:dyDescent="0.2">
      <c r="A2817" s="424"/>
      <c r="B2817" s="426"/>
      <c r="C2817" s="424"/>
      <c r="D2817" s="424"/>
      <c r="E2817" s="424"/>
      <c r="F2817" s="424"/>
      <c r="G2817" s="424"/>
      <c r="H2817" s="424"/>
      <c r="I2817" s="424" t="s">
        <v>81</v>
      </c>
      <c r="J2817" s="424"/>
      <c r="K2817" s="424"/>
      <c r="L2817" s="424"/>
      <c r="M2817" s="424"/>
      <c r="N2817" s="424"/>
      <c r="AB2817" s="425"/>
    </row>
    <row r="2818" spans="1:28" s="352" customFormat="1" ht="18" customHeight="1" x14ac:dyDescent="0.2">
      <c r="A2818" s="424"/>
      <c r="B2818" s="426"/>
      <c r="C2818" s="424"/>
      <c r="D2818" s="424"/>
      <c r="E2818" s="424"/>
      <c r="F2818" s="424"/>
      <c r="G2818" s="424"/>
      <c r="H2818" s="424"/>
      <c r="I2818" s="424" t="s">
        <v>88</v>
      </c>
      <c r="J2818" s="424"/>
      <c r="K2818" s="424"/>
      <c r="L2818" s="424"/>
      <c r="M2818" s="424"/>
      <c r="N2818" s="424"/>
      <c r="AB2818" s="425"/>
    </row>
    <row r="2819" spans="1:28" s="352" customFormat="1" ht="18" customHeight="1" x14ac:dyDescent="0.2">
      <c r="A2819" s="338"/>
      <c r="B2819" s="338"/>
      <c r="C2819" s="338"/>
      <c r="D2819" s="338"/>
      <c r="E2819" s="338"/>
      <c r="F2819" s="338"/>
      <c r="G2819" s="338"/>
      <c r="H2819" s="338"/>
      <c r="I2819" s="338"/>
      <c r="J2819" s="338"/>
      <c r="K2819" s="338"/>
      <c r="L2819" s="338"/>
      <c r="M2819" s="338"/>
      <c r="N2819" s="338"/>
      <c r="O2819" s="338"/>
      <c r="P2819" s="338"/>
      <c r="Q2819" s="338"/>
      <c r="R2819" s="338"/>
      <c r="S2819" s="338"/>
      <c r="T2819" s="338"/>
      <c r="U2819" s="338"/>
      <c r="V2819" s="338"/>
      <c r="W2819" s="338"/>
      <c r="X2819" s="338"/>
      <c r="Y2819" s="338"/>
      <c r="Z2819" s="338"/>
      <c r="AA2819" s="2774" t="s">
        <v>0</v>
      </c>
      <c r="AB2819" s="2774"/>
    </row>
    <row r="2820" spans="1:28" s="352" customFormat="1" ht="18" customHeight="1" x14ac:dyDescent="0.2">
      <c r="A2820" s="2703" t="s">
        <v>1</v>
      </c>
      <c r="B2820" s="2703"/>
      <c r="C2820" s="2703"/>
      <c r="D2820" s="2703"/>
      <c r="E2820" s="2703"/>
      <c r="F2820" s="2703"/>
      <c r="G2820" s="2703"/>
      <c r="H2820" s="2703"/>
      <c r="I2820" s="2703"/>
      <c r="J2820" s="2703"/>
      <c r="K2820" s="2703"/>
      <c r="L2820" s="2703"/>
      <c r="M2820" s="2703"/>
      <c r="N2820" s="2703"/>
      <c r="O2820" s="2703"/>
      <c r="P2820" s="2703"/>
      <c r="Q2820" s="2703"/>
      <c r="R2820" s="2703"/>
      <c r="S2820" s="2703"/>
      <c r="T2820" s="2703"/>
      <c r="U2820" s="2703"/>
      <c r="V2820" s="2703"/>
      <c r="W2820" s="2703"/>
      <c r="X2820" s="2703"/>
      <c r="Y2820" s="2703"/>
      <c r="Z2820" s="2703"/>
      <c r="AA2820" s="2703"/>
      <c r="AB2820" s="2703"/>
    </row>
    <row r="2821" spans="1:28" s="352" customFormat="1" ht="18" customHeight="1" x14ac:dyDescent="0.2">
      <c r="A2821" s="2780" t="s">
        <v>685</v>
      </c>
      <c r="B2821" s="2780"/>
      <c r="C2821" s="2780"/>
      <c r="D2821" s="2780"/>
      <c r="E2821" s="2780"/>
      <c r="F2821" s="2780"/>
      <c r="G2821" s="2780"/>
      <c r="H2821" s="2780"/>
      <c r="I2821" s="2780"/>
      <c r="J2821" s="2780"/>
      <c r="K2821" s="2780"/>
      <c r="L2821" s="2780"/>
      <c r="M2821" s="2780"/>
      <c r="N2821" s="2780"/>
      <c r="O2821" s="2780"/>
      <c r="P2821" s="2780"/>
      <c r="Q2821" s="2780"/>
      <c r="R2821" s="2780"/>
      <c r="S2821" s="2780"/>
      <c r="T2821" s="2780"/>
      <c r="U2821" s="2780"/>
      <c r="V2821" s="2780"/>
      <c r="W2821" s="2780"/>
      <c r="X2821" s="2780"/>
      <c r="Y2821" s="2780"/>
      <c r="Z2821" s="2780"/>
      <c r="AA2821" s="2780"/>
      <c r="AB2821" s="2780"/>
    </row>
    <row r="2822" spans="1:28" s="352" customFormat="1" ht="18" customHeight="1" x14ac:dyDescent="0.2">
      <c r="A2822" s="2686" t="s">
        <v>2</v>
      </c>
      <c r="B2822" s="360"/>
      <c r="C2822" s="2686" t="s">
        <v>3</v>
      </c>
      <c r="D2822" s="360"/>
      <c r="E2822" s="360"/>
      <c r="F2822" s="2693" t="s">
        <v>4</v>
      </c>
      <c r="G2822" s="2693"/>
      <c r="H2822" s="2693"/>
      <c r="I2822" s="2694"/>
      <c r="J2822" s="2694"/>
      <c r="K2822" s="2695"/>
      <c r="L2822" s="361"/>
      <c r="M2822" s="2679" t="s">
        <v>5</v>
      </c>
      <c r="N2822" s="2679"/>
      <c r="O2822" s="2679"/>
      <c r="P2822" s="2679"/>
      <c r="Q2822" s="2696"/>
      <c r="R2822" s="2696"/>
      <c r="S2822" s="2696"/>
      <c r="T2822" s="2696"/>
      <c r="U2822" s="2696"/>
      <c r="V2822" s="2697"/>
      <c r="W2822" s="362" t="s">
        <v>6</v>
      </c>
      <c r="X2822" s="363" t="s">
        <v>7</v>
      </c>
      <c r="Y2822" s="364"/>
      <c r="Z2822" s="364"/>
      <c r="AA2822" s="363"/>
      <c r="AB2822" s="365"/>
    </row>
    <row r="2823" spans="1:28" s="352" customFormat="1" ht="18" customHeight="1" x14ac:dyDescent="0.2">
      <c r="A2823" s="2687"/>
      <c r="B2823" s="367"/>
      <c r="C2823" s="2687"/>
      <c r="D2823" s="2158" t="s">
        <v>9</v>
      </c>
      <c r="E2823" s="368" t="s">
        <v>10</v>
      </c>
      <c r="F2823" s="2698" t="s">
        <v>11</v>
      </c>
      <c r="G2823" s="2694"/>
      <c r="H2823" s="2695"/>
      <c r="I2823" s="360"/>
      <c r="J2823" s="369" t="s">
        <v>12</v>
      </c>
      <c r="K2823" s="360"/>
      <c r="L2823" s="2679" t="s">
        <v>2</v>
      </c>
      <c r="M2823" s="2162"/>
      <c r="N2823" s="2162"/>
      <c r="O2823" s="2162"/>
      <c r="P2823" s="371"/>
      <c r="Q2823" s="372" t="s">
        <v>13</v>
      </c>
      <c r="R2823" s="373" t="s">
        <v>12</v>
      </c>
      <c r="S2823" s="2162" t="s">
        <v>6</v>
      </c>
      <c r="T2823" s="2682" t="s">
        <v>14</v>
      </c>
      <c r="U2823" s="2683"/>
      <c r="V2823" s="375" t="s">
        <v>7</v>
      </c>
      <c r="W2823" s="376" t="s">
        <v>15</v>
      </c>
      <c r="X2823" s="377" t="s">
        <v>16</v>
      </c>
      <c r="Y2823" s="377" t="s">
        <v>17</v>
      </c>
      <c r="Z2823" s="377" t="s">
        <v>18</v>
      </c>
      <c r="AA2823" s="377"/>
      <c r="AB2823" s="378" t="s">
        <v>19</v>
      </c>
    </row>
    <row r="2824" spans="1:28" s="352" customFormat="1" ht="18" customHeight="1" x14ac:dyDescent="0.2">
      <c r="A2824" s="2687"/>
      <c r="B2824" s="2158" t="s">
        <v>23</v>
      </c>
      <c r="C2824" s="2687"/>
      <c r="D2824" s="2158" t="s">
        <v>24</v>
      </c>
      <c r="E2824" s="368" t="s">
        <v>25</v>
      </c>
      <c r="F2824" s="2699"/>
      <c r="G2824" s="2700"/>
      <c r="H2824" s="2701"/>
      <c r="I2824" s="2158" t="s">
        <v>26</v>
      </c>
      <c r="J2824" s="379" t="s">
        <v>15</v>
      </c>
      <c r="K2824" s="2159" t="s">
        <v>6</v>
      </c>
      <c r="L2824" s="2680"/>
      <c r="M2824" s="2163" t="s">
        <v>27</v>
      </c>
      <c r="N2824" s="2163" t="s">
        <v>10</v>
      </c>
      <c r="O2824" s="382" t="s">
        <v>10</v>
      </c>
      <c r="P2824" s="383" t="s">
        <v>28</v>
      </c>
      <c r="Q2824" s="384" t="s">
        <v>29</v>
      </c>
      <c r="R2824" s="383" t="s">
        <v>15</v>
      </c>
      <c r="S2824" s="385" t="s">
        <v>15</v>
      </c>
      <c r="T2824" s="2684"/>
      <c r="U2824" s="2685"/>
      <c r="V2824" s="375" t="s">
        <v>30</v>
      </c>
      <c r="W2824" s="376" t="s">
        <v>31</v>
      </c>
      <c r="X2824" s="377" t="s">
        <v>30</v>
      </c>
      <c r="Y2824" s="377" t="s">
        <v>32</v>
      </c>
      <c r="Z2824" s="377" t="s">
        <v>7</v>
      </c>
      <c r="AA2824" s="377" t="s">
        <v>33</v>
      </c>
      <c r="AB2824" s="378" t="s">
        <v>34</v>
      </c>
    </row>
    <row r="2825" spans="1:28" s="352" customFormat="1" ht="18" customHeight="1" x14ac:dyDescent="0.2">
      <c r="A2825" s="2687"/>
      <c r="B2825" s="2158" t="s">
        <v>39</v>
      </c>
      <c r="C2825" s="2687"/>
      <c r="D2825" s="2158" t="s">
        <v>40</v>
      </c>
      <c r="E2825" s="368" t="s">
        <v>41</v>
      </c>
      <c r="F2825" s="2686" t="s">
        <v>42</v>
      </c>
      <c r="G2825" s="2686" t="s">
        <v>43</v>
      </c>
      <c r="H2825" s="2688" t="s">
        <v>44</v>
      </c>
      <c r="I2825" s="2158" t="s">
        <v>45</v>
      </c>
      <c r="J2825" s="379" t="s">
        <v>46</v>
      </c>
      <c r="K2825" s="2159" t="s">
        <v>47</v>
      </c>
      <c r="L2825" s="2680"/>
      <c r="M2825" s="2163" t="s">
        <v>30</v>
      </c>
      <c r="N2825" s="2163" t="s">
        <v>30</v>
      </c>
      <c r="O2825" s="382" t="s">
        <v>25</v>
      </c>
      <c r="P2825" s="383" t="s">
        <v>30</v>
      </c>
      <c r="Q2825" s="384" t="s">
        <v>48</v>
      </c>
      <c r="R2825" s="383" t="s">
        <v>49</v>
      </c>
      <c r="S2825" s="385" t="s">
        <v>30</v>
      </c>
      <c r="T2825" s="386" t="s">
        <v>50</v>
      </c>
      <c r="U2825" s="2161" t="s">
        <v>13</v>
      </c>
      <c r="V2825" s="375" t="s">
        <v>51</v>
      </c>
      <c r="W2825" s="376" t="s">
        <v>52</v>
      </c>
      <c r="X2825" s="377" t="s">
        <v>53</v>
      </c>
      <c r="Y2825" s="377" t="s">
        <v>54</v>
      </c>
      <c r="Z2825" s="377" t="s">
        <v>55</v>
      </c>
      <c r="AA2825" s="377" t="s">
        <v>56</v>
      </c>
      <c r="AB2825" s="378" t="s">
        <v>57</v>
      </c>
    </row>
    <row r="2826" spans="1:28" s="352" customFormat="1" ht="18" customHeight="1" x14ac:dyDescent="0.2">
      <c r="A2826" s="2687"/>
      <c r="B2826" s="2158" t="s">
        <v>61</v>
      </c>
      <c r="C2826" s="2687"/>
      <c r="D2826" s="2158" t="s">
        <v>62</v>
      </c>
      <c r="E2826" s="368" t="s">
        <v>63</v>
      </c>
      <c r="F2826" s="2687"/>
      <c r="G2826" s="2687"/>
      <c r="H2826" s="2689"/>
      <c r="I2826" s="2158" t="s">
        <v>64</v>
      </c>
      <c r="J2826" s="379" t="s">
        <v>59</v>
      </c>
      <c r="K2826" s="2159" t="s">
        <v>59</v>
      </c>
      <c r="L2826" s="2680"/>
      <c r="M2826" s="2163"/>
      <c r="N2826" s="2163"/>
      <c r="O2826" s="382" t="s">
        <v>41</v>
      </c>
      <c r="P2826" s="383" t="s">
        <v>65</v>
      </c>
      <c r="Q2826" s="384" t="s">
        <v>66</v>
      </c>
      <c r="R2826" s="383" t="s">
        <v>67</v>
      </c>
      <c r="S2826" s="385" t="s">
        <v>59</v>
      </c>
      <c r="T2826" s="387" t="s">
        <v>68</v>
      </c>
      <c r="U2826" s="375" t="s">
        <v>14</v>
      </c>
      <c r="V2826" s="375" t="s">
        <v>14</v>
      </c>
      <c r="W2826" s="376" t="s">
        <v>30</v>
      </c>
      <c r="X2826" s="388" t="s">
        <v>69</v>
      </c>
      <c r="Y2826" s="388" t="s">
        <v>70</v>
      </c>
      <c r="Z2826" s="377" t="s">
        <v>71</v>
      </c>
      <c r="AA2826" s="377" t="s">
        <v>72</v>
      </c>
      <c r="AB2826" s="378" t="s">
        <v>59</v>
      </c>
    </row>
    <row r="2827" spans="1:28" s="352" customFormat="1" ht="18" customHeight="1" x14ac:dyDescent="0.2">
      <c r="A2827" s="2692"/>
      <c r="B2827" s="390"/>
      <c r="C2827" s="2692"/>
      <c r="D2827" s="390"/>
      <c r="E2827" s="2160"/>
      <c r="F2827" s="390"/>
      <c r="G2827" s="390"/>
      <c r="H2827" s="391"/>
      <c r="I2827" s="2160"/>
      <c r="J2827" s="392"/>
      <c r="K2827" s="393"/>
      <c r="L2827" s="2681"/>
      <c r="M2827" s="2164"/>
      <c r="N2827" s="2164"/>
      <c r="O2827" s="2164" t="s">
        <v>63</v>
      </c>
      <c r="P2827" s="395"/>
      <c r="Q2827" s="396" t="s">
        <v>72</v>
      </c>
      <c r="R2827" s="397" t="s">
        <v>59</v>
      </c>
      <c r="S2827" s="398"/>
      <c r="T2827" s="397" t="s">
        <v>73</v>
      </c>
      <c r="U2827" s="398" t="s">
        <v>59</v>
      </c>
      <c r="V2827" s="399" t="s">
        <v>59</v>
      </c>
      <c r="W2827" s="400" t="s">
        <v>59</v>
      </c>
      <c r="X2827" s="401" t="s">
        <v>59</v>
      </c>
      <c r="Y2827" s="401" t="s">
        <v>59</v>
      </c>
      <c r="Z2827" s="401" t="s">
        <v>59</v>
      </c>
      <c r="AA2827" s="402"/>
      <c r="AB2827" s="403"/>
    </row>
    <row r="2828" spans="1:28" s="352" customFormat="1" ht="18" customHeight="1" x14ac:dyDescent="0.2">
      <c r="A2828" s="82">
        <v>1</v>
      </c>
      <c r="B2828" s="53">
        <v>23159</v>
      </c>
      <c r="C2828" s="82">
        <v>1032</v>
      </c>
      <c r="D2828" s="82" t="s">
        <v>84</v>
      </c>
      <c r="E2828" s="82">
        <v>4</v>
      </c>
      <c r="F2828" s="82">
        <v>0</v>
      </c>
      <c r="G2828" s="82">
        <v>1</v>
      </c>
      <c r="H2828" s="463">
        <v>0</v>
      </c>
      <c r="I2828" s="70">
        <f>F2828*400+G2828*100+H2828</f>
        <v>100</v>
      </c>
      <c r="J2828" s="123">
        <v>3000</v>
      </c>
      <c r="K2828" s="123">
        <f>SUM(I2828*J2828)</f>
        <v>300000</v>
      </c>
      <c r="L2828" s="53"/>
      <c r="M2828" s="82"/>
      <c r="N2828" s="82"/>
      <c r="O2828" s="53"/>
      <c r="P2828" s="358"/>
      <c r="Q2828" s="197"/>
      <c r="R2828" s="444"/>
      <c r="S2828" s="70"/>
      <c r="T2828" s="82"/>
      <c r="U2828" s="70"/>
      <c r="V2828" s="70"/>
      <c r="W2828" s="70">
        <f>K2828</f>
        <v>300000</v>
      </c>
      <c r="X2828" s="123">
        <f>W2828</f>
        <v>300000</v>
      </c>
      <c r="Y2828" s="123"/>
      <c r="Z2828" s="70">
        <f>+X2828</f>
        <v>300000</v>
      </c>
      <c r="AA2828" s="464">
        <v>0.3</v>
      </c>
      <c r="AB2828" s="465">
        <f>+Z2828*AA2828/100</f>
        <v>900</v>
      </c>
    </row>
    <row r="2829" spans="1:28" s="352" customFormat="1" ht="18" customHeight="1" x14ac:dyDescent="0.2">
      <c r="A2829" s="2166"/>
      <c r="B2829" s="61"/>
      <c r="C2829" s="2166"/>
      <c r="D2829" s="2166"/>
      <c r="E2829" s="2166"/>
      <c r="F2829" s="2166"/>
      <c r="G2829" s="2166"/>
      <c r="H2829" s="407"/>
      <c r="I2829" s="77"/>
      <c r="J2829" s="2168"/>
      <c r="K2829" s="2168"/>
      <c r="L2829" s="61"/>
      <c r="M2829" s="2166"/>
      <c r="N2829" s="2166"/>
      <c r="O2829" s="61"/>
      <c r="P2829" s="177"/>
      <c r="Q2829" s="196"/>
      <c r="R2829" s="408"/>
      <c r="S2829" s="77"/>
      <c r="T2829" s="2166"/>
      <c r="U2829" s="77"/>
      <c r="V2829" s="77"/>
      <c r="W2829" s="77"/>
      <c r="X2829" s="2168"/>
      <c r="Y2829" s="2168"/>
      <c r="Z2829" s="77"/>
      <c r="AA2829" s="2170"/>
      <c r="AB2829" s="416"/>
    </row>
    <row r="2830" spans="1:28" s="352" customFormat="1" ht="18" customHeight="1" x14ac:dyDescent="0.2">
      <c r="A2830" s="2166"/>
      <c r="B2830" s="61"/>
      <c r="C2830" s="2166"/>
      <c r="D2830" s="2166"/>
      <c r="E2830" s="2166"/>
      <c r="F2830" s="2166"/>
      <c r="G2830" s="2166"/>
      <c r="H2830" s="407"/>
      <c r="I2830" s="77"/>
      <c r="J2830" s="2168"/>
      <c r="K2830" s="2168"/>
      <c r="L2830" s="61"/>
      <c r="M2830" s="2166"/>
      <c r="N2830" s="2166"/>
      <c r="O2830" s="61"/>
      <c r="P2830" s="177"/>
      <c r="Q2830" s="196"/>
      <c r="R2830" s="408"/>
      <c r="S2830" s="77"/>
      <c r="T2830" s="2166"/>
      <c r="U2830" s="77"/>
      <c r="V2830" s="77"/>
      <c r="W2830" s="77"/>
      <c r="X2830" s="2168"/>
      <c r="Y2830" s="2168"/>
      <c r="Z2830" s="77"/>
      <c r="AA2830" s="2170"/>
      <c r="AB2830" s="416"/>
    </row>
    <row r="2831" spans="1:28" s="352" customFormat="1" ht="18" customHeight="1" x14ac:dyDescent="0.2">
      <c r="A2831" s="2166"/>
      <c r="B2831" s="61"/>
      <c r="C2831" s="2166"/>
      <c r="D2831" s="2166"/>
      <c r="E2831" s="2166"/>
      <c r="F2831" s="2166"/>
      <c r="G2831" s="2166"/>
      <c r="H2831" s="407"/>
      <c r="I2831" s="77"/>
      <c r="J2831" s="2168"/>
      <c r="K2831" s="2168"/>
      <c r="L2831" s="488"/>
      <c r="M2831" s="488"/>
      <c r="N2831" s="488"/>
      <c r="O2831" s="488"/>
      <c r="P2831" s="819"/>
      <c r="Q2831" s="819"/>
      <c r="R2831" s="820"/>
      <c r="S2831" s="820"/>
      <c r="T2831" s="819"/>
      <c r="U2831" s="820"/>
      <c r="V2831" s="821"/>
      <c r="W2831" s="77"/>
      <c r="X2831" s="2168"/>
      <c r="Y2831" s="2168"/>
      <c r="Z2831" s="77"/>
      <c r="AA2831" s="2170"/>
      <c r="AB2831" s="410"/>
    </row>
    <row r="2832" spans="1:28" s="352" customFormat="1" ht="18" customHeight="1" x14ac:dyDescent="0.2">
      <c r="A2832" s="2166"/>
      <c r="B2832" s="61"/>
      <c r="C2832" s="2166"/>
      <c r="D2832" s="2166"/>
      <c r="E2832" s="2166"/>
      <c r="F2832" s="2166"/>
      <c r="G2832" s="2166"/>
      <c r="H2832" s="407"/>
      <c r="I2832" s="77"/>
      <c r="J2832" s="2168"/>
      <c r="K2832" s="78"/>
      <c r="L2832" s="61"/>
      <c r="M2832" s="2166"/>
      <c r="N2832" s="2166"/>
      <c r="O2832" s="61"/>
      <c r="P2832" s="177"/>
      <c r="Q2832" s="196"/>
      <c r="R2832" s="408"/>
      <c r="S2832" s="77"/>
      <c r="T2832" s="2166"/>
      <c r="U2832" s="77"/>
      <c r="V2832" s="77"/>
      <c r="W2832" s="77"/>
      <c r="X2832" s="77"/>
      <c r="Y2832" s="2168"/>
      <c r="Z2832" s="77"/>
      <c r="AA2832" s="2170"/>
      <c r="AB2832" s="410"/>
    </row>
    <row r="2833" spans="1:28" s="352" customFormat="1" ht="18" customHeight="1" x14ac:dyDescent="0.2">
      <c r="A2833" s="2166"/>
      <c r="B2833" s="61"/>
      <c r="C2833" s="2166"/>
      <c r="D2833" s="2166"/>
      <c r="E2833" s="2166"/>
      <c r="F2833" s="2166"/>
      <c r="G2833" s="2166"/>
      <c r="H2833" s="407"/>
      <c r="I2833" s="77"/>
      <c r="J2833" s="2168"/>
      <c r="K2833" s="78"/>
      <c r="L2833" s="61"/>
      <c r="M2833" s="2166"/>
      <c r="N2833" s="2166"/>
      <c r="O2833" s="61"/>
      <c r="P2833" s="177"/>
      <c r="Q2833" s="196"/>
      <c r="R2833" s="408"/>
      <c r="S2833" s="77"/>
      <c r="T2833" s="2166"/>
      <c r="U2833" s="77"/>
      <c r="V2833" s="77"/>
      <c r="W2833" s="77"/>
      <c r="X2833" s="77"/>
      <c r="Y2833" s="2168"/>
      <c r="Z2833" s="77"/>
      <c r="AA2833" s="2170"/>
      <c r="AB2833" s="410"/>
    </row>
    <row r="2834" spans="1:28" s="352" customFormat="1" ht="18" customHeight="1" x14ac:dyDescent="0.2">
      <c r="A2834" s="2166"/>
      <c r="B2834" s="61"/>
      <c r="C2834" s="2166"/>
      <c r="D2834" s="2166"/>
      <c r="E2834" s="2166"/>
      <c r="F2834" s="2166"/>
      <c r="G2834" s="2166"/>
      <c r="H2834" s="407"/>
      <c r="I2834" s="77"/>
      <c r="J2834" s="2168"/>
      <c r="K2834" s="78"/>
      <c r="L2834" s="61"/>
      <c r="M2834" s="2166"/>
      <c r="N2834" s="2166"/>
      <c r="O2834" s="61"/>
      <c r="P2834" s="177"/>
      <c r="Q2834" s="196"/>
      <c r="R2834" s="408"/>
      <c r="S2834" s="77"/>
      <c r="T2834" s="2166"/>
      <c r="U2834" s="77"/>
      <c r="V2834" s="77"/>
      <c r="W2834" s="77"/>
      <c r="X2834" s="77"/>
      <c r="Y2834" s="2168"/>
      <c r="Z2834" s="77"/>
      <c r="AA2834" s="2170"/>
      <c r="AB2834" s="410"/>
    </row>
    <row r="2835" spans="1:28" s="352" customFormat="1" ht="18" customHeight="1" x14ac:dyDescent="0.2">
      <c r="A2835" s="88"/>
      <c r="B2835" s="75"/>
      <c r="C2835" s="88"/>
      <c r="D2835" s="88"/>
      <c r="E2835" s="2166"/>
      <c r="F2835" s="411"/>
      <c r="G2835" s="242"/>
      <c r="H2835" s="412"/>
      <c r="I2835" s="159"/>
      <c r="J2835" s="121"/>
      <c r="K2835" s="159"/>
      <c r="L2835" s="75"/>
      <c r="M2835" s="88"/>
      <c r="N2835" s="88"/>
      <c r="O2835" s="75"/>
      <c r="P2835" s="180"/>
      <c r="Q2835" s="174"/>
      <c r="R2835" s="413"/>
      <c r="S2835" s="74"/>
      <c r="T2835" s="88"/>
      <c r="U2835" s="74"/>
      <c r="V2835" s="74"/>
      <c r="W2835" s="74"/>
      <c r="X2835" s="74"/>
      <c r="Y2835" s="121"/>
      <c r="Z2835" s="74"/>
      <c r="AA2835" s="414"/>
      <c r="AB2835" s="415"/>
    </row>
    <row r="2836" spans="1:28" s="352" customFormat="1" ht="18" customHeight="1" x14ac:dyDescent="0.2">
      <c r="A2836" s="88"/>
      <c r="B2836" s="75"/>
      <c r="C2836" s="88"/>
      <c r="D2836" s="231"/>
      <c r="E2836" s="2166"/>
      <c r="F2836" s="411"/>
      <c r="G2836" s="242"/>
      <c r="H2836" s="412"/>
      <c r="I2836" s="159"/>
      <c r="J2836" s="121"/>
      <c r="K2836" s="159"/>
      <c r="L2836" s="75"/>
      <c r="M2836" s="88"/>
      <c r="N2836" s="88"/>
      <c r="O2836" s="75"/>
      <c r="P2836" s="180"/>
      <c r="Q2836" s="174"/>
      <c r="R2836" s="413"/>
      <c r="S2836" s="74"/>
      <c r="T2836" s="88"/>
      <c r="U2836" s="74"/>
      <c r="V2836" s="74"/>
      <c r="W2836" s="74"/>
      <c r="X2836" s="74"/>
      <c r="Y2836" s="121"/>
      <c r="Z2836" s="74"/>
      <c r="AA2836" s="417"/>
      <c r="AB2836" s="410"/>
    </row>
    <row r="2837" spans="1:28" s="352" customFormat="1" ht="18" customHeight="1" x14ac:dyDescent="0.2">
      <c r="A2837" s="88"/>
      <c r="B2837" s="75"/>
      <c r="C2837" s="88"/>
      <c r="D2837" s="88"/>
      <c r="E2837" s="2166"/>
      <c r="F2837" s="411"/>
      <c r="G2837" s="242"/>
      <c r="H2837" s="412"/>
      <c r="I2837" s="159"/>
      <c r="J2837" s="121"/>
      <c r="K2837" s="159"/>
      <c r="L2837" s="75"/>
      <c r="M2837" s="88"/>
      <c r="N2837" s="88"/>
      <c r="O2837" s="75"/>
      <c r="P2837" s="180"/>
      <c r="Q2837" s="174"/>
      <c r="R2837" s="413"/>
      <c r="S2837" s="74"/>
      <c r="T2837" s="88"/>
      <c r="U2837" s="74"/>
      <c r="V2837" s="74"/>
      <c r="W2837" s="74"/>
      <c r="X2837" s="74"/>
      <c r="Y2837" s="121"/>
      <c r="Z2837" s="74"/>
      <c r="AA2837" s="414"/>
      <c r="AB2837" s="416"/>
    </row>
    <row r="2838" spans="1:28" s="352" customFormat="1" ht="18" customHeight="1" x14ac:dyDescent="0.2">
      <c r="A2838" s="88"/>
      <c r="B2838" s="75"/>
      <c r="C2838" s="88"/>
      <c r="D2838" s="2165"/>
      <c r="E2838" s="2166"/>
      <c r="F2838" s="411"/>
      <c r="G2838" s="242"/>
      <c r="H2838" s="412"/>
      <c r="I2838" s="159"/>
      <c r="J2838" s="121"/>
      <c r="K2838" s="159"/>
      <c r="L2838" s="75"/>
      <c r="M2838" s="88"/>
      <c r="N2838" s="88"/>
      <c r="O2838" s="75"/>
      <c r="P2838" s="180"/>
      <c r="Q2838" s="174"/>
      <c r="R2838" s="413"/>
      <c r="S2838" s="74"/>
      <c r="T2838" s="88"/>
      <c r="U2838" s="74"/>
      <c r="V2838" s="74"/>
      <c r="W2838" s="74"/>
      <c r="X2838" s="74"/>
      <c r="Y2838" s="121"/>
      <c r="Z2838" s="74"/>
      <c r="AA2838" s="414"/>
      <c r="AB2838" s="410"/>
    </row>
    <row r="2839" spans="1:28" s="352" customFormat="1" ht="18" customHeight="1" x14ac:dyDescent="0.2">
      <c r="A2839" s="88"/>
      <c r="B2839" s="75"/>
      <c r="C2839" s="88"/>
      <c r="D2839" s="2165"/>
      <c r="E2839" s="2166"/>
      <c r="F2839" s="411"/>
      <c r="G2839" s="242"/>
      <c r="H2839" s="412"/>
      <c r="I2839" s="159"/>
      <c r="J2839" s="121"/>
      <c r="K2839" s="159"/>
      <c r="L2839" s="75"/>
      <c r="M2839" s="88"/>
      <c r="N2839" s="88"/>
      <c r="O2839" s="75"/>
      <c r="P2839" s="180"/>
      <c r="Q2839" s="174"/>
      <c r="R2839" s="413"/>
      <c r="S2839" s="74"/>
      <c r="T2839" s="88"/>
      <c r="U2839" s="74"/>
      <c r="V2839" s="74"/>
      <c r="W2839" s="74"/>
      <c r="X2839" s="74"/>
      <c r="Y2839" s="121"/>
      <c r="Z2839" s="74"/>
      <c r="AA2839" s="417"/>
      <c r="AB2839" s="410"/>
    </row>
    <row r="2840" spans="1:28" s="352" customFormat="1" ht="18" customHeight="1" x14ac:dyDescent="0.2">
      <c r="A2840" s="88"/>
      <c r="B2840" s="75"/>
      <c r="C2840" s="88"/>
      <c r="D2840" s="2165"/>
      <c r="E2840" s="2166"/>
      <c r="F2840" s="411"/>
      <c r="G2840" s="242"/>
      <c r="H2840" s="412"/>
      <c r="I2840" s="159"/>
      <c r="J2840" s="121"/>
      <c r="K2840" s="159"/>
      <c r="L2840" s="75"/>
      <c r="M2840" s="88"/>
      <c r="N2840" s="88"/>
      <c r="O2840" s="75"/>
      <c r="P2840" s="180"/>
      <c r="Q2840" s="174"/>
      <c r="R2840" s="413"/>
      <c r="S2840" s="74"/>
      <c r="T2840" s="88"/>
      <c r="U2840" s="74"/>
      <c r="V2840" s="74"/>
      <c r="W2840" s="74"/>
      <c r="X2840" s="74"/>
      <c r="Y2840" s="121"/>
      <c r="Z2840" s="74"/>
      <c r="AA2840" s="414"/>
      <c r="AB2840" s="416"/>
    </row>
    <row r="2841" spans="1:28" s="352" customFormat="1" ht="18" customHeight="1" x14ac:dyDescent="0.2">
      <c r="A2841" s="88"/>
      <c r="B2841" s="418"/>
      <c r="C2841" s="88"/>
      <c r="D2841" s="88"/>
      <c r="E2841" s="88"/>
      <c r="F2841" s="411"/>
      <c r="G2841" s="242"/>
      <c r="H2841" s="412"/>
      <c r="I2841" s="159"/>
      <c r="J2841" s="121"/>
      <c r="K2841" s="159"/>
      <c r="L2841" s="75"/>
      <c r="M2841" s="88"/>
      <c r="N2841" s="88"/>
      <c r="O2841" s="75"/>
      <c r="P2841" s="180"/>
      <c r="Q2841" s="174"/>
      <c r="R2841" s="413"/>
      <c r="S2841" s="74"/>
      <c r="T2841" s="88"/>
      <c r="U2841" s="74"/>
      <c r="V2841" s="74"/>
      <c r="W2841" s="74"/>
      <c r="X2841" s="74"/>
      <c r="Y2841" s="121"/>
      <c r="Z2841" s="74"/>
      <c r="AA2841" s="414"/>
      <c r="AB2841" s="410"/>
    </row>
    <row r="2842" spans="1:28" s="352" customFormat="1" ht="18" customHeight="1" x14ac:dyDescent="0.2">
      <c r="A2842" s="1147"/>
      <c r="B2842" s="1989"/>
      <c r="C2842" s="1147"/>
      <c r="D2842" s="1147"/>
      <c r="E2842" s="1147"/>
      <c r="F2842" s="1147"/>
      <c r="G2842" s="1147"/>
      <c r="H2842" s="1990"/>
      <c r="I2842" s="1991"/>
      <c r="J2842" s="1868"/>
      <c r="K2842" s="1992"/>
      <c r="L2842" s="1989"/>
      <c r="M2842" s="1147"/>
      <c r="N2842" s="1147"/>
      <c r="O2842" s="1989"/>
      <c r="P2842" s="1867"/>
      <c r="Q2842" s="1993"/>
      <c r="R2842" s="1994"/>
      <c r="S2842" s="1991"/>
      <c r="T2842" s="1147"/>
      <c r="U2842" s="1991"/>
      <c r="V2842" s="1991"/>
      <c r="W2842" s="1991"/>
      <c r="X2842" s="1991"/>
      <c r="Y2842" s="1868"/>
      <c r="Z2842" s="1991"/>
      <c r="AA2842" s="1995"/>
      <c r="AB2842" s="1849">
        <f>SUM(AB2828:AB2841)</f>
        <v>900</v>
      </c>
    </row>
    <row r="2843" spans="1:28" s="352" customFormat="1" ht="18" customHeight="1" x14ac:dyDescent="0.2">
      <c r="A2843" s="2788" t="s">
        <v>76</v>
      </c>
      <c r="B2843" s="2788"/>
      <c r="C2843" s="2779" t="s">
        <v>77</v>
      </c>
      <c r="D2843" s="2779"/>
      <c r="E2843" s="2779"/>
      <c r="F2843" s="2779"/>
      <c r="G2843" s="2779"/>
      <c r="H2843" s="2779"/>
      <c r="I2843" s="424" t="s">
        <v>78</v>
      </c>
      <c r="J2843" s="424"/>
      <c r="K2843" s="424"/>
      <c r="L2843" s="424"/>
      <c r="M2843" s="424"/>
      <c r="N2843" s="424"/>
      <c r="AB2843" s="425"/>
    </row>
    <row r="2844" spans="1:28" s="352" customFormat="1" ht="18" customHeight="1" x14ac:dyDescent="0.2">
      <c r="A2844" s="424"/>
      <c r="B2844" s="426"/>
      <c r="C2844" s="424"/>
      <c r="D2844" s="424"/>
      <c r="E2844" s="424"/>
      <c r="F2844" s="424"/>
      <c r="G2844" s="424"/>
      <c r="H2844" s="424"/>
      <c r="I2844" s="424" t="s">
        <v>79</v>
      </c>
      <c r="J2844" s="424"/>
      <c r="K2844" s="424"/>
      <c r="L2844" s="424"/>
      <c r="M2844" s="424"/>
      <c r="N2844" s="424"/>
      <c r="AB2844" s="425"/>
    </row>
    <row r="2845" spans="1:28" s="352" customFormat="1" ht="18" customHeight="1" x14ac:dyDescent="0.2">
      <c r="A2845" s="424"/>
      <c r="B2845" s="426"/>
      <c r="C2845" s="424"/>
      <c r="D2845" s="424"/>
      <c r="E2845" s="424"/>
      <c r="F2845" s="424"/>
      <c r="G2845" s="424"/>
      <c r="H2845" s="424"/>
      <c r="I2845" s="424" t="s">
        <v>80</v>
      </c>
      <c r="J2845" s="424"/>
      <c r="K2845" s="424"/>
      <c r="L2845" s="424"/>
      <c r="M2845" s="424"/>
      <c r="N2845" s="424"/>
      <c r="AB2845" s="425"/>
    </row>
    <row r="2846" spans="1:28" s="352" customFormat="1" ht="18" customHeight="1" x14ac:dyDescent="0.2">
      <c r="A2846" s="424"/>
      <c r="B2846" s="426"/>
      <c r="C2846" s="424"/>
      <c r="D2846" s="424"/>
      <c r="E2846" s="424"/>
      <c r="F2846" s="424"/>
      <c r="G2846" s="424"/>
      <c r="H2846" s="424"/>
      <c r="I2846" s="424" t="s">
        <v>81</v>
      </c>
      <c r="J2846" s="424"/>
      <c r="K2846" s="424"/>
      <c r="L2846" s="424"/>
      <c r="M2846" s="424"/>
      <c r="N2846" s="424"/>
      <c r="AB2846" s="425"/>
    </row>
    <row r="2847" spans="1:28" s="352" customFormat="1" ht="18" customHeight="1" x14ac:dyDescent="0.2">
      <c r="A2847" s="424"/>
      <c r="B2847" s="426"/>
      <c r="C2847" s="424"/>
      <c r="D2847" s="424"/>
      <c r="E2847" s="424"/>
      <c r="F2847" s="424"/>
      <c r="G2847" s="424"/>
      <c r="H2847" s="424"/>
      <c r="I2847" s="424" t="s">
        <v>88</v>
      </c>
      <c r="J2847" s="424"/>
      <c r="K2847" s="424"/>
      <c r="L2847" s="424"/>
      <c r="M2847" s="424"/>
      <c r="N2847" s="424"/>
      <c r="AB2847" s="425"/>
    </row>
    <row r="2848" spans="1:28" s="352" customFormat="1" ht="18" customHeight="1" x14ac:dyDescent="0.2">
      <c r="A2848" s="338"/>
      <c r="B2848" s="338"/>
      <c r="C2848" s="338"/>
      <c r="D2848" s="338"/>
      <c r="E2848" s="338"/>
      <c r="F2848" s="338"/>
      <c r="G2848" s="338"/>
      <c r="H2848" s="338"/>
      <c r="I2848" s="338"/>
      <c r="J2848" s="338"/>
      <c r="K2848" s="338"/>
      <c r="L2848" s="338"/>
      <c r="M2848" s="338"/>
      <c r="N2848" s="338"/>
      <c r="O2848" s="338"/>
      <c r="P2848" s="338"/>
      <c r="Q2848" s="338"/>
      <c r="R2848" s="338"/>
      <c r="S2848" s="338"/>
      <c r="T2848" s="338"/>
      <c r="U2848" s="338"/>
      <c r="V2848" s="338"/>
      <c r="W2848" s="338"/>
      <c r="X2848" s="338"/>
      <c r="Y2848" s="338"/>
      <c r="Z2848" s="338"/>
      <c r="AA2848" s="2774" t="s">
        <v>0</v>
      </c>
      <c r="AB2848" s="2774"/>
    </row>
    <row r="2849" spans="1:28" s="352" customFormat="1" ht="18" customHeight="1" x14ac:dyDescent="0.2">
      <c r="A2849" s="2703" t="s">
        <v>1</v>
      </c>
      <c r="B2849" s="2703"/>
      <c r="C2849" s="2703"/>
      <c r="D2849" s="2703"/>
      <c r="E2849" s="2703"/>
      <c r="F2849" s="2703"/>
      <c r="G2849" s="2703"/>
      <c r="H2849" s="2703"/>
      <c r="I2849" s="2703"/>
      <c r="J2849" s="2703"/>
      <c r="K2849" s="2703"/>
      <c r="L2849" s="2703"/>
      <c r="M2849" s="2703"/>
      <c r="N2849" s="2703"/>
      <c r="O2849" s="2703"/>
      <c r="P2849" s="2703"/>
      <c r="Q2849" s="2703"/>
      <c r="R2849" s="2703"/>
      <c r="S2849" s="2703"/>
      <c r="T2849" s="2703"/>
      <c r="U2849" s="2703"/>
      <c r="V2849" s="2703"/>
      <c r="W2849" s="2703"/>
      <c r="X2849" s="2703"/>
      <c r="Y2849" s="2703"/>
      <c r="Z2849" s="2703"/>
      <c r="AA2849" s="2703"/>
      <c r="AB2849" s="2703"/>
    </row>
    <row r="2850" spans="1:28" s="352" customFormat="1" ht="18" customHeight="1" x14ac:dyDescent="0.2">
      <c r="A2850" s="2780" t="s">
        <v>686</v>
      </c>
      <c r="B2850" s="2780"/>
      <c r="C2850" s="2780"/>
      <c r="D2850" s="2780"/>
      <c r="E2850" s="2780"/>
      <c r="F2850" s="2780"/>
      <c r="G2850" s="2780"/>
      <c r="H2850" s="2780"/>
      <c r="I2850" s="2780"/>
      <c r="J2850" s="2780"/>
      <c r="K2850" s="2780"/>
      <c r="L2850" s="2780"/>
      <c r="M2850" s="2780"/>
      <c r="N2850" s="2780"/>
      <c r="O2850" s="2780"/>
      <c r="P2850" s="2780"/>
      <c r="Q2850" s="2780"/>
      <c r="R2850" s="2780"/>
      <c r="S2850" s="2780"/>
      <c r="T2850" s="2780"/>
      <c r="U2850" s="2780"/>
      <c r="V2850" s="2780"/>
      <c r="W2850" s="2780"/>
      <c r="X2850" s="2780"/>
      <c r="Y2850" s="2780"/>
      <c r="Z2850" s="2780"/>
      <c r="AA2850" s="2780"/>
      <c r="AB2850" s="2780"/>
    </row>
    <row r="2851" spans="1:28" s="352" customFormat="1" ht="18" customHeight="1" x14ac:dyDescent="0.2">
      <c r="A2851" s="2686" t="s">
        <v>2</v>
      </c>
      <c r="B2851" s="360"/>
      <c r="C2851" s="2686" t="s">
        <v>3</v>
      </c>
      <c r="D2851" s="360"/>
      <c r="E2851" s="360"/>
      <c r="F2851" s="2693" t="s">
        <v>4</v>
      </c>
      <c r="G2851" s="2693"/>
      <c r="H2851" s="2693"/>
      <c r="I2851" s="2694"/>
      <c r="J2851" s="2694"/>
      <c r="K2851" s="2695"/>
      <c r="L2851" s="361"/>
      <c r="M2851" s="2679" t="s">
        <v>5</v>
      </c>
      <c r="N2851" s="2679"/>
      <c r="O2851" s="2679"/>
      <c r="P2851" s="2679"/>
      <c r="Q2851" s="2696"/>
      <c r="R2851" s="2696"/>
      <c r="S2851" s="2696"/>
      <c r="T2851" s="2696"/>
      <c r="U2851" s="2696"/>
      <c r="V2851" s="2697"/>
      <c r="W2851" s="362" t="s">
        <v>6</v>
      </c>
      <c r="X2851" s="363" t="s">
        <v>7</v>
      </c>
      <c r="Y2851" s="364"/>
      <c r="Z2851" s="364"/>
      <c r="AA2851" s="363"/>
      <c r="AB2851" s="365"/>
    </row>
    <row r="2852" spans="1:28" s="352" customFormat="1" ht="18" customHeight="1" x14ac:dyDescent="0.2">
      <c r="A2852" s="2687"/>
      <c r="B2852" s="367"/>
      <c r="C2852" s="2687"/>
      <c r="D2852" s="2158" t="s">
        <v>9</v>
      </c>
      <c r="E2852" s="368" t="s">
        <v>10</v>
      </c>
      <c r="F2852" s="2698" t="s">
        <v>11</v>
      </c>
      <c r="G2852" s="2694"/>
      <c r="H2852" s="2695"/>
      <c r="I2852" s="360"/>
      <c r="J2852" s="369" t="s">
        <v>12</v>
      </c>
      <c r="K2852" s="360"/>
      <c r="L2852" s="2679" t="s">
        <v>2</v>
      </c>
      <c r="M2852" s="2162"/>
      <c r="N2852" s="2162"/>
      <c r="O2852" s="2162"/>
      <c r="P2852" s="371"/>
      <c r="Q2852" s="372" t="s">
        <v>13</v>
      </c>
      <c r="R2852" s="373" t="s">
        <v>12</v>
      </c>
      <c r="S2852" s="2162" t="s">
        <v>6</v>
      </c>
      <c r="T2852" s="2682" t="s">
        <v>14</v>
      </c>
      <c r="U2852" s="2683"/>
      <c r="V2852" s="375" t="s">
        <v>7</v>
      </c>
      <c r="W2852" s="376" t="s">
        <v>15</v>
      </c>
      <c r="X2852" s="377" t="s">
        <v>16</v>
      </c>
      <c r="Y2852" s="377" t="s">
        <v>17</v>
      </c>
      <c r="Z2852" s="377" t="s">
        <v>18</v>
      </c>
      <c r="AA2852" s="377"/>
      <c r="AB2852" s="378" t="s">
        <v>19</v>
      </c>
    </row>
    <row r="2853" spans="1:28" s="352" customFormat="1" ht="18" customHeight="1" x14ac:dyDescent="0.2">
      <c r="A2853" s="2687"/>
      <c r="B2853" s="2158" t="s">
        <v>23</v>
      </c>
      <c r="C2853" s="2687"/>
      <c r="D2853" s="2158" t="s">
        <v>24</v>
      </c>
      <c r="E2853" s="368" t="s">
        <v>25</v>
      </c>
      <c r="F2853" s="2699"/>
      <c r="G2853" s="2700"/>
      <c r="H2853" s="2701"/>
      <c r="I2853" s="2158" t="s">
        <v>26</v>
      </c>
      <c r="J2853" s="379" t="s">
        <v>15</v>
      </c>
      <c r="K2853" s="2159" t="s">
        <v>6</v>
      </c>
      <c r="L2853" s="2680"/>
      <c r="M2853" s="2163" t="s">
        <v>27</v>
      </c>
      <c r="N2853" s="2163" t="s">
        <v>10</v>
      </c>
      <c r="O2853" s="382" t="s">
        <v>10</v>
      </c>
      <c r="P2853" s="383" t="s">
        <v>28</v>
      </c>
      <c r="Q2853" s="384" t="s">
        <v>29</v>
      </c>
      <c r="R2853" s="383" t="s">
        <v>15</v>
      </c>
      <c r="S2853" s="385" t="s">
        <v>15</v>
      </c>
      <c r="T2853" s="2684"/>
      <c r="U2853" s="2685"/>
      <c r="V2853" s="375" t="s">
        <v>30</v>
      </c>
      <c r="W2853" s="376" t="s">
        <v>31</v>
      </c>
      <c r="X2853" s="377" t="s">
        <v>30</v>
      </c>
      <c r="Y2853" s="377" t="s">
        <v>32</v>
      </c>
      <c r="Z2853" s="377" t="s">
        <v>7</v>
      </c>
      <c r="AA2853" s="377" t="s">
        <v>33</v>
      </c>
      <c r="AB2853" s="378" t="s">
        <v>34</v>
      </c>
    </row>
    <row r="2854" spans="1:28" s="352" customFormat="1" ht="18" customHeight="1" x14ac:dyDescent="0.2">
      <c r="A2854" s="2687"/>
      <c r="B2854" s="2158" t="s">
        <v>39</v>
      </c>
      <c r="C2854" s="2687"/>
      <c r="D2854" s="2158" t="s">
        <v>40</v>
      </c>
      <c r="E2854" s="368" t="s">
        <v>41</v>
      </c>
      <c r="F2854" s="2686" t="s">
        <v>42</v>
      </c>
      <c r="G2854" s="2686" t="s">
        <v>43</v>
      </c>
      <c r="H2854" s="2688" t="s">
        <v>44</v>
      </c>
      <c r="I2854" s="2158" t="s">
        <v>45</v>
      </c>
      <c r="J2854" s="379" t="s">
        <v>46</v>
      </c>
      <c r="K2854" s="2159" t="s">
        <v>47</v>
      </c>
      <c r="L2854" s="2680"/>
      <c r="M2854" s="2163" t="s">
        <v>30</v>
      </c>
      <c r="N2854" s="2163" t="s">
        <v>30</v>
      </c>
      <c r="O2854" s="382" t="s">
        <v>25</v>
      </c>
      <c r="P2854" s="383" t="s">
        <v>30</v>
      </c>
      <c r="Q2854" s="384" t="s">
        <v>48</v>
      </c>
      <c r="R2854" s="383" t="s">
        <v>49</v>
      </c>
      <c r="S2854" s="385" t="s">
        <v>30</v>
      </c>
      <c r="T2854" s="386" t="s">
        <v>50</v>
      </c>
      <c r="U2854" s="2161" t="s">
        <v>13</v>
      </c>
      <c r="V2854" s="375" t="s">
        <v>51</v>
      </c>
      <c r="W2854" s="376" t="s">
        <v>52</v>
      </c>
      <c r="X2854" s="377" t="s">
        <v>53</v>
      </c>
      <c r="Y2854" s="377" t="s">
        <v>54</v>
      </c>
      <c r="Z2854" s="377" t="s">
        <v>55</v>
      </c>
      <c r="AA2854" s="377" t="s">
        <v>56</v>
      </c>
      <c r="AB2854" s="378" t="s">
        <v>57</v>
      </c>
    </row>
    <row r="2855" spans="1:28" s="352" customFormat="1" ht="18" customHeight="1" x14ac:dyDescent="0.2">
      <c r="A2855" s="2687"/>
      <c r="B2855" s="2158" t="s">
        <v>61</v>
      </c>
      <c r="C2855" s="2687"/>
      <c r="D2855" s="2158" t="s">
        <v>62</v>
      </c>
      <c r="E2855" s="368" t="s">
        <v>63</v>
      </c>
      <c r="F2855" s="2687"/>
      <c r="G2855" s="2687"/>
      <c r="H2855" s="2689"/>
      <c r="I2855" s="2158" t="s">
        <v>64</v>
      </c>
      <c r="J2855" s="379" t="s">
        <v>59</v>
      </c>
      <c r="K2855" s="2159" t="s">
        <v>59</v>
      </c>
      <c r="L2855" s="2680"/>
      <c r="M2855" s="2163"/>
      <c r="N2855" s="2163"/>
      <c r="O2855" s="382" t="s">
        <v>41</v>
      </c>
      <c r="P2855" s="383" t="s">
        <v>65</v>
      </c>
      <c r="Q2855" s="384" t="s">
        <v>66</v>
      </c>
      <c r="R2855" s="383" t="s">
        <v>67</v>
      </c>
      <c r="S2855" s="385" t="s">
        <v>59</v>
      </c>
      <c r="T2855" s="387" t="s">
        <v>68</v>
      </c>
      <c r="U2855" s="375" t="s">
        <v>14</v>
      </c>
      <c r="V2855" s="375" t="s">
        <v>14</v>
      </c>
      <c r="W2855" s="376" t="s">
        <v>30</v>
      </c>
      <c r="X2855" s="388" t="s">
        <v>69</v>
      </c>
      <c r="Y2855" s="388" t="s">
        <v>70</v>
      </c>
      <c r="Z2855" s="377" t="s">
        <v>71</v>
      </c>
      <c r="AA2855" s="377" t="s">
        <v>72</v>
      </c>
      <c r="AB2855" s="378" t="s">
        <v>59</v>
      </c>
    </row>
    <row r="2856" spans="1:28" s="352" customFormat="1" ht="18" customHeight="1" x14ac:dyDescent="0.2">
      <c r="A2856" s="2692"/>
      <c r="B2856" s="390"/>
      <c r="C2856" s="2692"/>
      <c r="D2856" s="390"/>
      <c r="E2856" s="2160"/>
      <c r="F2856" s="390"/>
      <c r="G2856" s="390"/>
      <c r="H2856" s="391"/>
      <c r="I2856" s="2160"/>
      <c r="J2856" s="392"/>
      <c r="K2856" s="393"/>
      <c r="L2856" s="2681"/>
      <c r="M2856" s="2164"/>
      <c r="N2856" s="2164"/>
      <c r="O2856" s="2164" t="s">
        <v>63</v>
      </c>
      <c r="P2856" s="395"/>
      <c r="Q2856" s="396" t="s">
        <v>72</v>
      </c>
      <c r="R2856" s="397" t="s">
        <v>59</v>
      </c>
      <c r="S2856" s="398"/>
      <c r="T2856" s="397" t="s">
        <v>73</v>
      </c>
      <c r="U2856" s="398" t="s">
        <v>59</v>
      </c>
      <c r="V2856" s="399" t="s">
        <v>59</v>
      </c>
      <c r="W2856" s="400" t="s">
        <v>59</v>
      </c>
      <c r="X2856" s="401" t="s">
        <v>59</v>
      </c>
      <c r="Y2856" s="401" t="s">
        <v>59</v>
      </c>
      <c r="Z2856" s="401" t="s">
        <v>59</v>
      </c>
      <c r="AA2856" s="402"/>
      <c r="AB2856" s="403"/>
    </row>
    <row r="2857" spans="1:28" s="352" customFormat="1" ht="18" customHeight="1" x14ac:dyDescent="0.2">
      <c r="A2857" s="82">
        <v>1</v>
      </c>
      <c r="B2857" s="41">
        <v>23216</v>
      </c>
      <c r="C2857" s="41">
        <v>680</v>
      </c>
      <c r="D2857" s="41" t="s">
        <v>107</v>
      </c>
      <c r="E2857" s="41">
        <v>4</v>
      </c>
      <c r="F2857" s="41">
        <v>0</v>
      </c>
      <c r="G2857" s="41">
        <v>2</v>
      </c>
      <c r="H2857" s="267">
        <v>0</v>
      </c>
      <c r="I2857" s="302">
        <f>F2857*400+G2857*100+H2857</f>
        <v>200</v>
      </c>
      <c r="J2857" s="310">
        <v>3000</v>
      </c>
      <c r="K2857" s="303">
        <f>SUM(I2857*J2857)</f>
        <v>600000</v>
      </c>
      <c r="L2857" s="16"/>
      <c r="M2857" s="82"/>
      <c r="N2857" s="41"/>
      <c r="O2857" s="16"/>
      <c r="P2857" s="404"/>
      <c r="Q2857" s="14"/>
      <c r="R2857" s="302"/>
      <c r="S2857" s="302"/>
      <c r="T2857" s="41"/>
      <c r="U2857" s="302"/>
      <c r="V2857" s="302"/>
      <c r="W2857" s="302">
        <f>K2857+V2857</f>
        <v>600000</v>
      </c>
      <c r="X2857" s="302">
        <f>W2857</f>
        <v>600000</v>
      </c>
      <c r="Y2857" s="310"/>
      <c r="Z2857" s="302">
        <f>+X2857</f>
        <v>600000</v>
      </c>
      <c r="AA2857" s="405">
        <v>0.6</v>
      </c>
      <c r="AB2857" s="465">
        <f>+Z2857*AA2857/100</f>
        <v>3600</v>
      </c>
    </row>
    <row r="2858" spans="1:28" s="352" customFormat="1" ht="18" customHeight="1" x14ac:dyDescent="0.2">
      <c r="A2858" s="2166"/>
      <c r="B2858" s="61"/>
      <c r="C2858" s="2166"/>
      <c r="D2858" s="2166"/>
      <c r="E2858" s="2166"/>
      <c r="F2858" s="2166"/>
      <c r="G2858" s="2166"/>
      <c r="H2858" s="407"/>
      <c r="I2858" s="77"/>
      <c r="J2858" s="2168"/>
      <c r="K2858" s="2168"/>
      <c r="L2858" s="61"/>
      <c r="M2858" s="2166"/>
      <c r="N2858" s="2166"/>
      <c r="O2858" s="61"/>
      <c r="P2858" s="177"/>
      <c r="Q2858" s="196"/>
      <c r="R2858" s="408"/>
      <c r="S2858" s="77"/>
      <c r="T2858" s="2166"/>
      <c r="U2858" s="77"/>
      <c r="V2858" s="77"/>
      <c r="W2858" s="77"/>
      <c r="X2858" s="2168"/>
      <c r="Y2858" s="2168"/>
      <c r="Z2858" s="77"/>
      <c r="AA2858" s="2170"/>
      <c r="AB2858" s="416"/>
    </row>
    <row r="2859" spans="1:28" s="352" customFormat="1" ht="18" customHeight="1" x14ac:dyDescent="0.2">
      <c r="A2859" s="2166"/>
      <c r="B2859" s="61"/>
      <c r="C2859" s="2166"/>
      <c r="D2859" s="2166"/>
      <c r="E2859" s="2166"/>
      <c r="F2859" s="2166"/>
      <c r="G2859" s="2166"/>
      <c r="H2859" s="407"/>
      <c r="I2859" s="77"/>
      <c r="J2859" s="2168"/>
      <c r="K2859" s="2168"/>
      <c r="L2859" s="61"/>
      <c r="M2859" s="2166"/>
      <c r="N2859" s="2166"/>
      <c r="O2859" s="61"/>
      <c r="P2859" s="177"/>
      <c r="Q2859" s="196"/>
      <c r="R2859" s="408"/>
      <c r="S2859" s="77"/>
      <c r="T2859" s="2166"/>
      <c r="U2859" s="77"/>
      <c r="V2859" s="77"/>
      <c r="W2859" s="77"/>
      <c r="X2859" s="2168"/>
      <c r="Y2859" s="2168"/>
      <c r="Z2859" s="77"/>
      <c r="AA2859" s="2170"/>
      <c r="AB2859" s="416"/>
    </row>
    <row r="2860" spans="1:28" s="352" customFormat="1" ht="18" customHeight="1" x14ac:dyDescent="0.2">
      <c r="A2860" s="2166"/>
      <c r="B2860" s="61"/>
      <c r="C2860" s="2166"/>
      <c r="D2860" s="2166"/>
      <c r="E2860" s="2166"/>
      <c r="F2860" s="2166"/>
      <c r="G2860" s="2166"/>
      <c r="H2860" s="407"/>
      <c r="I2860" s="77"/>
      <c r="J2860" s="2168"/>
      <c r="K2860" s="2168"/>
      <c r="L2860" s="488"/>
      <c r="M2860" s="488"/>
      <c r="N2860" s="488"/>
      <c r="O2860" s="488"/>
      <c r="P2860" s="819"/>
      <c r="Q2860" s="819"/>
      <c r="R2860" s="820"/>
      <c r="S2860" s="820"/>
      <c r="T2860" s="819"/>
      <c r="U2860" s="820"/>
      <c r="V2860" s="821"/>
      <c r="W2860" s="77"/>
      <c r="X2860" s="2168"/>
      <c r="Y2860" s="2168"/>
      <c r="Z2860" s="77"/>
      <c r="AA2860" s="2170"/>
      <c r="AB2860" s="410"/>
    </row>
    <row r="2861" spans="1:28" s="352" customFormat="1" ht="18" customHeight="1" x14ac:dyDescent="0.2">
      <c r="A2861" s="2166"/>
      <c r="B2861" s="61"/>
      <c r="C2861" s="2166"/>
      <c r="D2861" s="2166"/>
      <c r="E2861" s="2166"/>
      <c r="F2861" s="2166"/>
      <c r="G2861" s="2166"/>
      <c r="H2861" s="407"/>
      <c r="I2861" s="77"/>
      <c r="J2861" s="2168"/>
      <c r="K2861" s="78"/>
      <c r="L2861" s="61"/>
      <c r="M2861" s="2166"/>
      <c r="N2861" s="2166"/>
      <c r="O2861" s="61"/>
      <c r="P2861" s="177"/>
      <c r="Q2861" s="196"/>
      <c r="R2861" s="408"/>
      <c r="S2861" s="77"/>
      <c r="T2861" s="2166"/>
      <c r="U2861" s="77"/>
      <c r="V2861" s="77"/>
      <c r="W2861" s="77"/>
      <c r="X2861" s="77"/>
      <c r="Y2861" s="2168"/>
      <c r="Z2861" s="77"/>
      <c r="AA2861" s="2170"/>
      <c r="AB2861" s="410"/>
    </row>
    <row r="2862" spans="1:28" s="352" customFormat="1" ht="18" customHeight="1" x14ac:dyDescent="0.2">
      <c r="A2862" s="2166"/>
      <c r="B2862" s="61"/>
      <c r="C2862" s="2166"/>
      <c r="D2862" s="2166"/>
      <c r="E2862" s="2166"/>
      <c r="F2862" s="2166"/>
      <c r="G2862" s="2166"/>
      <c r="H2862" s="407"/>
      <c r="I2862" s="77"/>
      <c r="J2862" s="2168"/>
      <c r="K2862" s="78"/>
      <c r="L2862" s="61"/>
      <c r="M2862" s="2166"/>
      <c r="N2862" s="2166"/>
      <c r="O2862" s="61"/>
      <c r="P2862" s="177"/>
      <c r="Q2862" s="196"/>
      <c r="R2862" s="408"/>
      <c r="S2862" s="77"/>
      <c r="T2862" s="2166"/>
      <c r="U2862" s="77"/>
      <c r="V2862" s="77"/>
      <c r="W2862" s="77"/>
      <c r="X2862" s="77"/>
      <c r="Y2862" s="2168"/>
      <c r="Z2862" s="77"/>
      <c r="AA2862" s="2170"/>
      <c r="AB2862" s="410"/>
    </row>
    <row r="2863" spans="1:28" s="352" customFormat="1" ht="18" customHeight="1" x14ac:dyDescent="0.2">
      <c r="A2863" s="2166"/>
      <c r="B2863" s="61"/>
      <c r="C2863" s="2166"/>
      <c r="D2863" s="2166"/>
      <c r="E2863" s="2166"/>
      <c r="F2863" s="2166"/>
      <c r="G2863" s="2166"/>
      <c r="H2863" s="407"/>
      <c r="I2863" s="77"/>
      <c r="J2863" s="2168"/>
      <c r="K2863" s="78"/>
      <c r="L2863" s="61"/>
      <c r="M2863" s="2166"/>
      <c r="N2863" s="2166"/>
      <c r="O2863" s="61"/>
      <c r="P2863" s="177"/>
      <c r="Q2863" s="196"/>
      <c r="R2863" s="408"/>
      <c r="S2863" s="77"/>
      <c r="T2863" s="2166"/>
      <c r="U2863" s="77"/>
      <c r="V2863" s="77"/>
      <c r="W2863" s="77"/>
      <c r="X2863" s="77"/>
      <c r="Y2863" s="2168"/>
      <c r="Z2863" s="77"/>
      <c r="AA2863" s="2170"/>
      <c r="AB2863" s="410"/>
    </row>
    <row r="2864" spans="1:28" s="352" customFormat="1" ht="18" customHeight="1" x14ac:dyDescent="0.2">
      <c r="A2864" s="88"/>
      <c r="B2864" s="75"/>
      <c r="C2864" s="88"/>
      <c r="D2864" s="88"/>
      <c r="E2864" s="2166"/>
      <c r="F2864" s="411"/>
      <c r="G2864" s="242"/>
      <c r="H2864" s="412"/>
      <c r="I2864" s="159"/>
      <c r="J2864" s="121"/>
      <c r="K2864" s="159"/>
      <c r="L2864" s="75"/>
      <c r="M2864" s="88"/>
      <c r="N2864" s="88"/>
      <c r="O2864" s="75"/>
      <c r="P2864" s="180"/>
      <c r="Q2864" s="174"/>
      <c r="R2864" s="413"/>
      <c r="S2864" s="74"/>
      <c r="T2864" s="88"/>
      <c r="U2864" s="74"/>
      <c r="V2864" s="74"/>
      <c r="W2864" s="74"/>
      <c r="X2864" s="74"/>
      <c r="Y2864" s="121"/>
      <c r="Z2864" s="74"/>
      <c r="AA2864" s="414"/>
      <c r="AB2864" s="415"/>
    </row>
    <row r="2865" spans="1:28" s="352" customFormat="1" ht="18" customHeight="1" x14ac:dyDescent="0.2">
      <c r="A2865" s="88"/>
      <c r="B2865" s="75"/>
      <c r="C2865" s="88"/>
      <c r="D2865" s="231"/>
      <c r="E2865" s="2166"/>
      <c r="F2865" s="411"/>
      <c r="G2865" s="242"/>
      <c r="H2865" s="412"/>
      <c r="I2865" s="159"/>
      <c r="J2865" s="121"/>
      <c r="K2865" s="159"/>
      <c r="L2865" s="75"/>
      <c r="M2865" s="88"/>
      <c r="N2865" s="88"/>
      <c r="O2865" s="75"/>
      <c r="P2865" s="180"/>
      <c r="Q2865" s="174"/>
      <c r="R2865" s="413"/>
      <c r="S2865" s="74"/>
      <c r="T2865" s="88"/>
      <c r="U2865" s="74"/>
      <c r="V2865" s="74"/>
      <c r="W2865" s="74"/>
      <c r="X2865" s="74"/>
      <c r="Y2865" s="121"/>
      <c r="Z2865" s="74"/>
      <c r="AA2865" s="417"/>
      <c r="AB2865" s="410"/>
    </row>
    <row r="2866" spans="1:28" s="352" customFormat="1" ht="18" customHeight="1" x14ac:dyDescent="0.2">
      <c r="A2866" s="88"/>
      <c r="B2866" s="75"/>
      <c r="C2866" s="88"/>
      <c r="D2866" s="88"/>
      <c r="E2866" s="2166"/>
      <c r="F2866" s="411"/>
      <c r="G2866" s="242"/>
      <c r="H2866" s="412"/>
      <c r="I2866" s="159"/>
      <c r="J2866" s="121"/>
      <c r="K2866" s="159"/>
      <c r="L2866" s="75"/>
      <c r="M2866" s="88"/>
      <c r="N2866" s="88"/>
      <c r="O2866" s="75"/>
      <c r="P2866" s="180"/>
      <c r="Q2866" s="174"/>
      <c r="R2866" s="413"/>
      <c r="S2866" s="74"/>
      <c r="T2866" s="88"/>
      <c r="U2866" s="74"/>
      <c r="V2866" s="74"/>
      <c r="W2866" s="74"/>
      <c r="X2866" s="74"/>
      <c r="Y2866" s="121"/>
      <c r="Z2866" s="74"/>
      <c r="AA2866" s="414"/>
      <c r="AB2866" s="416"/>
    </row>
    <row r="2867" spans="1:28" s="352" customFormat="1" ht="18" customHeight="1" x14ac:dyDescent="0.2">
      <c r="A2867" s="88"/>
      <c r="B2867" s="75"/>
      <c r="C2867" s="88"/>
      <c r="D2867" s="88"/>
      <c r="E2867" s="2166"/>
      <c r="F2867" s="411"/>
      <c r="G2867" s="242"/>
      <c r="H2867" s="412"/>
      <c r="I2867" s="159"/>
      <c r="J2867" s="121"/>
      <c r="K2867" s="159"/>
      <c r="L2867" s="75"/>
      <c r="M2867" s="88"/>
      <c r="N2867" s="88"/>
      <c r="O2867" s="75"/>
      <c r="P2867" s="180"/>
      <c r="Q2867" s="174"/>
      <c r="R2867" s="413"/>
      <c r="S2867" s="74"/>
      <c r="T2867" s="88"/>
      <c r="U2867" s="74"/>
      <c r="V2867" s="74"/>
      <c r="W2867" s="74"/>
      <c r="X2867" s="74"/>
      <c r="Y2867" s="121"/>
      <c r="Z2867" s="74"/>
      <c r="AA2867" s="414"/>
      <c r="AB2867" s="415"/>
    </row>
    <row r="2868" spans="1:28" s="352" customFormat="1" ht="18" customHeight="1" x14ac:dyDescent="0.2">
      <c r="A2868" s="88"/>
      <c r="B2868" s="75"/>
      <c r="C2868" s="88"/>
      <c r="D2868" s="2165"/>
      <c r="E2868" s="2166"/>
      <c r="F2868" s="411"/>
      <c r="G2868" s="242"/>
      <c r="H2868" s="412"/>
      <c r="I2868" s="159"/>
      <c r="J2868" s="121"/>
      <c r="K2868" s="159"/>
      <c r="L2868" s="75"/>
      <c r="M2868" s="88"/>
      <c r="N2868" s="88"/>
      <c r="O2868" s="75"/>
      <c r="P2868" s="180"/>
      <c r="Q2868" s="174"/>
      <c r="R2868" s="413"/>
      <c r="S2868" s="74"/>
      <c r="T2868" s="88"/>
      <c r="U2868" s="74"/>
      <c r="V2868" s="74"/>
      <c r="W2868" s="74"/>
      <c r="X2868" s="74"/>
      <c r="Y2868" s="121"/>
      <c r="Z2868" s="74"/>
      <c r="AA2868" s="414"/>
      <c r="AB2868" s="410"/>
    </row>
    <row r="2869" spans="1:28" s="352" customFormat="1" ht="18" customHeight="1" x14ac:dyDescent="0.2">
      <c r="A2869" s="88"/>
      <c r="B2869" s="75"/>
      <c r="C2869" s="88"/>
      <c r="D2869" s="2165"/>
      <c r="E2869" s="2166"/>
      <c r="F2869" s="411"/>
      <c r="G2869" s="242"/>
      <c r="H2869" s="412"/>
      <c r="I2869" s="159"/>
      <c r="J2869" s="121"/>
      <c r="K2869" s="159"/>
      <c r="L2869" s="75"/>
      <c r="M2869" s="88"/>
      <c r="N2869" s="88"/>
      <c r="O2869" s="75"/>
      <c r="P2869" s="180"/>
      <c r="Q2869" s="174"/>
      <c r="R2869" s="413"/>
      <c r="S2869" s="74"/>
      <c r="T2869" s="88"/>
      <c r="U2869" s="74"/>
      <c r="V2869" s="74"/>
      <c r="W2869" s="74"/>
      <c r="X2869" s="74"/>
      <c r="Y2869" s="121"/>
      <c r="Z2869" s="74"/>
      <c r="AA2869" s="417"/>
      <c r="AB2869" s="410"/>
    </row>
    <row r="2870" spans="1:28" s="352" customFormat="1" ht="18" customHeight="1" x14ac:dyDescent="0.2">
      <c r="A2870" s="88"/>
      <c r="B2870" s="418"/>
      <c r="C2870" s="88"/>
      <c r="D2870" s="88"/>
      <c r="E2870" s="88"/>
      <c r="F2870" s="411"/>
      <c r="G2870" s="242"/>
      <c r="H2870" s="412"/>
      <c r="I2870" s="159"/>
      <c r="J2870" s="121"/>
      <c r="K2870" s="159"/>
      <c r="L2870" s="75"/>
      <c r="M2870" s="88"/>
      <c r="N2870" s="88"/>
      <c r="O2870" s="75"/>
      <c r="P2870" s="180"/>
      <c r="Q2870" s="174"/>
      <c r="R2870" s="413"/>
      <c r="S2870" s="74"/>
      <c r="T2870" s="88"/>
      <c r="U2870" s="74"/>
      <c r="V2870" s="74"/>
      <c r="W2870" s="74"/>
      <c r="X2870" s="74"/>
      <c r="Y2870" s="121"/>
      <c r="Z2870" s="74"/>
      <c r="AA2870" s="414"/>
      <c r="AB2870" s="410"/>
    </row>
    <row r="2871" spans="1:28" s="352" customFormat="1" ht="18" customHeight="1" x14ac:dyDescent="0.2">
      <c r="A2871" s="1147"/>
      <c r="B2871" s="1989"/>
      <c r="C2871" s="1147"/>
      <c r="D2871" s="1147"/>
      <c r="E2871" s="1147"/>
      <c r="F2871" s="1147"/>
      <c r="G2871" s="1147"/>
      <c r="H2871" s="1990"/>
      <c r="I2871" s="1991"/>
      <c r="J2871" s="1868"/>
      <c r="K2871" s="1992"/>
      <c r="L2871" s="1989"/>
      <c r="M2871" s="1147"/>
      <c r="N2871" s="1147"/>
      <c r="O2871" s="1989"/>
      <c r="P2871" s="1867"/>
      <c r="Q2871" s="1993"/>
      <c r="R2871" s="1994"/>
      <c r="S2871" s="1991"/>
      <c r="T2871" s="1147"/>
      <c r="U2871" s="1991"/>
      <c r="V2871" s="1991"/>
      <c r="W2871" s="1991"/>
      <c r="X2871" s="1991"/>
      <c r="Y2871" s="1868"/>
      <c r="Z2871" s="1991"/>
      <c r="AA2871" s="1995"/>
      <c r="AB2871" s="1849">
        <f>SUM(AB2857:AB2870)</f>
        <v>3600</v>
      </c>
    </row>
    <row r="2872" spans="1:28" s="352" customFormat="1" ht="18" customHeight="1" x14ac:dyDescent="0.2">
      <c r="A2872" s="2788" t="s">
        <v>76</v>
      </c>
      <c r="B2872" s="2788"/>
      <c r="C2872" s="2779" t="s">
        <v>77</v>
      </c>
      <c r="D2872" s="2779"/>
      <c r="E2872" s="2779"/>
      <c r="F2872" s="2779"/>
      <c r="G2872" s="2779"/>
      <c r="H2872" s="2779"/>
      <c r="I2872" s="424" t="s">
        <v>78</v>
      </c>
      <c r="J2872" s="424"/>
      <c r="K2872" s="424"/>
      <c r="L2872" s="424"/>
      <c r="M2872" s="424"/>
      <c r="N2872" s="424"/>
      <c r="AB2872" s="425"/>
    </row>
    <row r="2873" spans="1:28" s="352" customFormat="1" ht="18" customHeight="1" x14ac:dyDescent="0.2">
      <c r="A2873" s="424"/>
      <c r="B2873" s="426"/>
      <c r="C2873" s="424"/>
      <c r="D2873" s="424"/>
      <c r="E2873" s="424"/>
      <c r="F2873" s="424"/>
      <c r="G2873" s="424"/>
      <c r="H2873" s="424"/>
      <c r="I2873" s="424" t="s">
        <v>79</v>
      </c>
      <c r="J2873" s="424"/>
      <c r="K2873" s="424"/>
      <c r="L2873" s="424"/>
      <c r="M2873" s="424"/>
      <c r="N2873" s="424"/>
      <c r="AB2873" s="425"/>
    </row>
    <row r="2874" spans="1:28" s="352" customFormat="1" ht="18" customHeight="1" x14ac:dyDescent="0.2">
      <c r="A2874" s="424"/>
      <c r="B2874" s="426"/>
      <c r="C2874" s="424"/>
      <c r="D2874" s="424"/>
      <c r="E2874" s="424"/>
      <c r="F2874" s="424"/>
      <c r="G2874" s="424"/>
      <c r="H2874" s="424"/>
      <c r="I2874" s="424" t="s">
        <v>80</v>
      </c>
      <c r="J2874" s="424"/>
      <c r="K2874" s="424"/>
      <c r="L2874" s="424"/>
      <c r="M2874" s="424"/>
      <c r="N2874" s="424"/>
      <c r="AB2874" s="425"/>
    </row>
    <row r="2875" spans="1:28" s="352" customFormat="1" ht="18" customHeight="1" x14ac:dyDescent="0.2">
      <c r="A2875" s="424"/>
      <c r="B2875" s="426"/>
      <c r="C2875" s="424"/>
      <c r="D2875" s="424"/>
      <c r="E2875" s="424"/>
      <c r="F2875" s="424"/>
      <c r="G2875" s="424"/>
      <c r="H2875" s="424"/>
      <c r="I2875" s="424" t="s">
        <v>81</v>
      </c>
      <c r="J2875" s="424"/>
      <c r="K2875" s="424"/>
      <c r="L2875" s="424"/>
      <c r="M2875" s="424"/>
      <c r="N2875" s="424"/>
      <c r="AB2875" s="425"/>
    </row>
    <row r="2876" spans="1:28" s="352" customFormat="1" ht="18" customHeight="1" x14ac:dyDescent="0.2">
      <c r="A2876" s="424"/>
      <c r="B2876" s="426"/>
      <c r="C2876" s="424"/>
      <c r="D2876" s="424"/>
      <c r="E2876" s="424"/>
      <c r="F2876" s="424"/>
      <c r="G2876" s="424"/>
      <c r="H2876" s="424"/>
      <c r="I2876" s="424" t="s">
        <v>88</v>
      </c>
      <c r="J2876" s="424"/>
      <c r="K2876" s="424"/>
      <c r="L2876" s="424"/>
      <c r="M2876" s="424"/>
      <c r="N2876" s="424"/>
      <c r="AB2876" s="425"/>
    </row>
    <row r="2877" spans="1:28" s="352" customFormat="1" ht="18" customHeight="1" x14ac:dyDescent="0.2">
      <c r="A2877" s="338"/>
      <c r="B2877" s="338"/>
      <c r="C2877" s="338"/>
      <c r="D2877" s="338"/>
      <c r="E2877" s="338"/>
      <c r="F2877" s="338"/>
      <c r="G2877" s="338"/>
      <c r="H2877" s="338"/>
      <c r="I2877" s="338"/>
      <c r="J2877" s="338"/>
      <c r="K2877" s="338"/>
      <c r="L2877" s="338"/>
      <c r="M2877" s="338"/>
      <c r="N2877" s="338"/>
      <c r="O2877" s="338"/>
      <c r="P2877" s="338"/>
      <c r="Q2877" s="338"/>
      <c r="R2877" s="338"/>
      <c r="S2877" s="338"/>
      <c r="T2877" s="338"/>
      <c r="U2877" s="338"/>
      <c r="V2877" s="338"/>
      <c r="W2877" s="338"/>
      <c r="X2877" s="338"/>
      <c r="Y2877" s="338"/>
      <c r="Z2877" s="338"/>
      <c r="AA2877" s="2774" t="s">
        <v>0</v>
      </c>
      <c r="AB2877" s="2774"/>
    </row>
    <row r="2878" spans="1:28" s="352" customFormat="1" ht="18" customHeight="1" x14ac:dyDescent="0.2">
      <c r="A2878" s="2703" t="s">
        <v>1</v>
      </c>
      <c r="B2878" s="2703"/>
      <c r="C2878" s="2703"/>
      <c r="D2878" s="2703"/>
      <c r="E2878" s="2703"/>
      <c r="F2878" s="2703"/>
      <c r="G2878" s="2703"/>
      <c r="H2878" s="2703"/>
      <c r="I2878" s="2703"/>
      <c r="J2878" s="2703"/>
      <c r="K2878" s="2703"/>
      <c r="L2878" s="2703"/>
      <c r="M2878" s="2703"/>
      <c r="N2878" s="2703"/>
      <c r="O2878" s="2703"/>
      <c r="P2878" s="2703"/>
      <c r="Q2878" s="2703"/>
      <c r="R2878" s="2703"/>
      <c r="S2878" s="2703"/>
      <c r="T2878" s="2703"/>
      <c r="U2878" s="2703"/>
      <c r="V2878" s="2703"/>
      <c r="W2878" s="2703"/>
      <c r="X2878" s="2703"/>
      <c r="Y2878" s="2703"/>
      <c r="Z2878" s="2703"/>
      <c r="AA2878" s="2703"/>
      <c r="AB2878" s="2703"/>
    </row>
    <row r="2879" spans="1:28" s="352" customFormat="1" ht="18" customHeight="1" x14ac:dyDescent="0.2">
      <c r="A2879" s="2780" t="s">
        <v>687</v>
      </c>
      <c r="B2879" s="2780"/>
      <c r="C2879" s="2780"/>
      <c r="D2879" s="2780"/>
      <c r="E2879" s="2780"/>
      <c r="F2879" s="2780"/>
      <c r="G2879" s="2780"/>
      <c r="H2879" s="2780"/>
      <c r="I2879" s="2780"/>
      <c r="J2879" s="2780"/>
      <c r="K2879" s="2780"/>
      <c r="L2879" s="2780"/>
      <c r="M2879" s="2780"/>
      <c r="N2879" s="2780"/>
      <c r="O2879" s="2780"/>
      <c r="P2879" s="2780"/>
      <c r="Q2879" s="2780"/>
      <c r="R2879" s="2780"/>
      <c r="S2879" s="2780"/>
      <c r="T2879" s="2780"/>
      <c r="U2879" s="2780"/>
      <c r="V2879" s="2780"/>
      <c r="W2879" s="2780"/>
      <c r="X2879" s="2780"/>
      <c r="Y2879" s="2780"/>
      <c r="Z2879" s="2780"/>
      <c r="AA2879" s="2780"/>
      <c r="AB2879" s="2780"/>
    </row>
    <row r="2880" spans="1:28" s="352" customFormat="1" ht="18" customHeight="1" x14ac:dyDescent="0.2">
      <c r="A2880" s="2686" t="s">
        <v>2</v>
      </c>
      <c r="B2880" s="360"/>
      <c r="C2880" s="2686" t="s">
        <v>3</v>
      </c>
      <c r="D2880" s="360"/>
      <c r="E2880" s="360"/>
      <c r="F2880" s="2693" t="s">
        <v>4</v>
      </c>
      <c r="G2880" s="2693"/>
      <c r="H2880" s="2693"/>
      <c r="I2880" s="2694"/>
      <c r="J2880" s="2694"/>
      <c r="K2880" s="2695"/>
      <c r="L2880" s="361"/>
      <c r="M2880" s="2679" t="s">
        <v>5</v>
      </c>
      <c r="N2880" s="2679"/>
      <c r="O2880" s="2679"/>
      <c r="P2880" s="2679"/>
      <c r="Q2880" s="2696"/>
      <c r="R2880" s="2696"/>
      <c r="S2880" s="2696"/>
      <c r="T2880" s="2696"/>
      <c r="U2880" s="2696"/>
      <c r="V2880" s="2697"/>
      <c r="W2880" s="362" t="s">
        <v>6</v>
      </c>
      <c r="X2880" s="363" t="s">
        <v>7</v>
      </c>
      <c r="Y2880" s="364"/>
      <c r="Z2880" s="364"/>
      <c r="AA2880" s="363"/>
      <c r="AB2880" s="365"/>
    </row>
    <row r="2881" spans="1:29" s="352" customFormat="1" ht="18" customHeight="1" x14ac:dyDescent="0.2">
      <c r="A2881" s="2687"/>
      <c r="B2881" s="367"/>
      <c r="C2881" s="2687"/>
      <c r="D2881" s="2158" t="s">
        <v>9</v>
      </c>
      <c r="E2881" s="368" t="s">
        <v>10</v>
      </c>
      <c r="F2881" s="2698" t="s">
        <v>11</v>
      </c>
      <c r="G2881" s="2694"/>
      <c r="H2881" s="2695"/>
      <c r="I2881" s="360"/>
      <c r="J2881" s="369" t="s">
        <v>12</v>
      </c>
      <c r="K2881" s="360"/>
      <c r="L2881" s="2679" t="s">
        <v>2</v>
      </c>
      <c r="M2881" s="2162"/>
      <c r="N2881" s="2162"/>
      <c r="O2881" s="2162"/>
      <c r="P2881" s="371"/>
      <c r="Q2881" s="372" t="s">
        <v>13</v>
      </c>
      <c r="R2881" s="373" t="s">
        <v>12</v>
      </c>
      <c r="S2881" s="2162" t="s">
        <v>6</v>
      </c>
      <c r="T2881" s="2682" t="s">
        <v>14</v>
      </c>
      <c r="U2881" s="2683"/>
      <c r="V2881" s="375" t="s">
        <v>7</v>
      </c>
      <c r="W2881" s="376" t="s">
        <v>15</v>
      </c>
      <c r="X2881" s="377" t="s">
        <v>16</v>
      </c>
      <c r="Y2881" s="377" t="s">
        <v>17</v>
      </c>
      <c r="Z2881" s="377" t="s">
        <v>18</v>
      </c>
      <c r="AA2881" s="377"/>
      <c r="AB2881" s="378" t="s">
        <v>19</v>
      </c>
    </row>
    <row r="2882" spans="1:29" s="352" customFormat="1" ht="18" customHeight="1" x14ac:dyDescent="0.2">
      <c r="A2882" s="2687"/>
      <c r="B2882" s="2158" t="s">
        <v>23</v>
      </c>
      <c r="C2882" s="2687"/>
      <c r="D2882" s="2158" t="s">
        <v>24</v>
      </c>
      <c r="E2882" s="368" t="s">
        <v>25</v>
      </c>
      <c r="F2882" s="2699"/>
      <c r="G2882" s="2700"/>
      <c r="H2882" s="2701"/>
      <c r="I2882" s="2158" t="s">
        <v>26</v>
      </c>
      <c r="J2882" s="379" t="s">
        <v>15</v>
      </c>
      <c r="K2882" s="2159" t="s">
        <v>6</v>
      </c>
      <c r="L2882" s="2680"/>
      <c r="M2882" s="2163" t="s">
        <v>27</v>
      </c>
      <c r="N2882" s="2163" t="s">
        <v>10</v>
      </c>
      <c r="O2882" s="382" t="s">
        <v>10</v>
      </c>
      <c r="P2882" s="383" t="s">
        <v>28</v>
      </c>
      <c r="Q2882" s="384" t="s">
        <v>29</v>
      </c>
      <c r="R2882" s="383" t="s">
        <v>15</v>
      </c>
      <c r="S2882" s="385" t="s">
        <v>15</v>
      </c>
      <c r="T2882" s="2684"/>
      <c r="U2882" s="2685"/>
      <c r="V2882" s="375" t="s">
        <v>30</v>
      </c>
      <c r="W2882" s="376" t="s">
        <v>31</v>
      </c>
      <c r="X2882" s="377" t="s">
        <v>30</v>
      </c>
      <c r="Y2882" s="377" t="s">
        <v>32</v>
      </c>
      <c r="Z2882" s="377" t="s">
        <v>7</v>
      </c>
      <c r="AA2882" s="377" t="s">
        <v>33</v>
      </c>
      <c r="AB2882" s="378" t="s">
        <v>34</v>
      </c>
    </row>
    <row r="2883" spans="1:29" s="352" customFormat="1" ht="18" customHeight="1" x14ac:dyDescent="0.2">
      <c r="A2883" s="2687"/>
      <c r="B2883" s="2158" t="s">
        <v>39</v>
      </c>
      <c r="C2883" s="2687"/>
      <c r="D2883" s="2158" t="s">
        <v>40</v>
      </c>
      <c r="E2883" s="368" t="s">
        <v>41</v>
      </c>
      <c r="F2883" s="2686" t="s">
        <v>42</v>
      </c>
      <c r="G2883" s="2686" t="s">
        <v>43</v>
      </c>
      <c r="H2883" s="2688" t="s">
        <v>44</v>
      </c>
      <c r="I2883" s="2158" t="s">
        <v>45</v>
      </c>
      <c r="J2883" s="379" t="s">
        <v>46</v>
      </c>
      <c r="K2883" s="2159" t="s">
        <v>47</v>
      </c>
      <c r="L2883" s="2680"/>
      <c r="M2883" s="2163" t="s">
        <v>30</v>
      </c>
      <c r="N2883" s="2163" t="s">
        <v>30</v>
      </c>
      <c r="O2883" s="382" t="s">
        <v>25</v>
      </c>
      <c r="P2883" s="383" t="s">
        <v>30</v>
      </c>
      <c r="Q2883" s="384" t="s">
        <v>48</v>
      </c>
      <c r="R2883" s="383" t="s">
        <v>49</v>
      </c>
      <c r="S2883" s="385" t="s">
        <v>30</v>
      </c>
      <c r="T2883" s="386" t="s">
        <v>50</v>
      </c>
      <c r="U2883" s="2161" t="s">
        <v>13</v>
      </c>
      <c r="V2883" s="375" t="s">
        <v>51</v>
      </c>
      <c r="W2883" s="376" t="s">
        <v>52</v>
      </c>
      <c r="X2883" s="377" t="s">
        <v>53</v>
      </c>
      <c r="Y2883" s="377" t="s">
        <v>54</v>
      </c>
      <c r="Z2883" s="377" t="s">
        <v>55</v>
      </c>
      <c r="AA2883" s="377" t="s">
        <v>56</v>
      </c>
      <c r="AB2883" s="378" t="s">
        <v>57</v>
      </c>
    </row>
    <row r="2884" spans="1:29" s="352" customFormat="1" ht="18" customHeight="1" x14ac:dyDescent="0.2">
      <c r="A2884" s="2687"/>
      <c r="B2884" s="2158" t="s">
        <v>61</v>
      </c>
      <c r="C2884" s="2687"/>
      <c r="D2884" s="2158" t="s">
        <v>62</v>
      </c>
      <c r="E2884" s="368" t="s">
        <v>63</v>
      </c>
      <c r="F2884" s="2687"/>
      <c r="G2884" s="2687"/>
      <c r="H2884" s="2689"/>
      <c r="I2884" s="2158" t="s">
        <v>64</v>
      </c>
      <c r="J2884" s="379" t="s">
        <v>59</v>
      </c>
      <c r="K2884" s="2159" t="s">
        <v>59</v>
      </c>
      <c r="L2884" s="2680"/>
      <c r="M2884" s="2163"/>
      <c r="N2884" s="2163"/>
      <c r="O2884" s="382" t="s">
        <v>41</v>
      </c>
      <c r="P2884" s="383" t="s">
        <v>65</v>
      </c>
      <c r="Q2884" s="384" t="s">
        <v>66</v>
      </c>
      <c r="R2884" s="383" t="s">
        <v>67</v>
      </c>
      <c r="S2884" s="385" t="s">
        <v>59</v>
      </c>
      <c r="T2884" s="387" t="s">
        <v>68</v>
      </c>
      <c r="U2884" s="375" t="s">
        <v>14</v>
      </c>
      <c r="V2884" s="375" t="s">
        <v>14</v>
      </c>
      <c r="W2884" s="376" t="s">
        <v>30</v>
      </c>
      <c r="X2884" s="388" t="s">
        <v>69</v>
      </c>
      <c r="Y2884" s="388" t="s">
        <v>70</v>
      </c>
      <c r="Z2884" s="377" t="s">
        <v>71</v>
      </c>
      <c r="AA2884" s="377" t="s">
        <v>72</v>
      </c>
      <c r="AB2884" s="378" t="s">
        <v>59</v>
      </c>
    </row>
    <row r="2885" spans="1:29" s="352" customFormat="1" ht="18" customHeight="1" x14ac:dyDescent="0.2">
      <c r="A2885" s="2692"/>
      <c r="B2885" s="390"/>
      <c r="C2885" s="2692"/>
      <c r="D2885" s="390"/>
      <c r="E2885" s="2160"/>
      <c r="F2885" s="390"/>
      <c r="G2885" s="390"/>
      <c r="H2885" s="391"/>
      <c r="I2885" s="2160"/>
      <c r="J2885" s="392"/>
      <c r="K2885" s="393"/>
      <c r="L2885" s="2681"/>
      <c r="M2885" s="2164"/>
      <c r="N2885" s="2164"/>
      <c r="O2885" s="2164" t="s">
        <v>63</v>
      </c>
      <c r="P2885" s="395"/>
      <c r="Q2885" s="396" t="s">
        <v>72</v>
      </c>
      <c r="R2885" s="397" t="s">
        <v>59</v>
      </c>
      <c r="S2885" s="398"/>
      <c r="T2885" s="397" t="s">
        <v>73</v>
      </c>
      <c r="U2885" s="398" t="s">
        <v>59</v>
      </c>
      <c r="V2885" s="399" t="s">
        <v>59</v>
      </c>
      <c r="W2885" s="400" t="s">
        <v>59</v>
      </c>
      <c r="X2885" s="401" t="s">
        <v>59</v>
      </c>
      <c r="Y2885" s="401" t="s">
        <v>59</v>
      </c>
      <c r="Z2885" s="401" t="s">
        <v>59</v>
      </c>
      <c r="AA2885" s="402"/>
      <c r="AB2885" s="403"/>
    </row>
    <row r="2886" spans="1:29" s="352" customFormat="1" ht="18" customHeight="1" x14ac:dyDescent="0.2">
      <c r="A2886" s="82">
        <v>1</v>
      </c>
      <c r="B2886" s="53">
        <v>45175</v>
      </c>
      <c r="C2886" s="82">
        <v>1360</v>
      </c>
      <c r="D2886" s="82" t="s">
        <v>84</v>
      </c>
      <c r="E2886" s="82">
        <v>4</v>
      </c>
      <c r="F2886" s="82">
        <v>0</v>
      </c>
      <c r="G2886" s="82">
        <v>2</v>
      </c>
      <c r="H2886" s="463">
        <v>0</v>
      </c>
      <c r="I2886" s="70">
        <f>F2886*400+G2886*100+H2886</f>
        <v>200</v>
      </c>
      <c r="J2886" s="123">
        <v>750</v>
      </c>
      <c r="K2886" s="123">
        <f>SUM(I2886*J2886)</f>
        <v>150000</v>
      </c>
      <c r="L2886" s="53"/>
      <c r="M2886" s="82"/>
      <c r="N2886" s="82"/>
      <c r="O2886" s="53"/>
      <c r="P2886" s="358"/>
      <c r="Q2886" s="197"/>
      <c r="R2886" s="444"/>
      <c r="S2886" s="70"/>
      <c r="T2886" s="82"/>
      <c r="U2886" s="70"/>
      <c r="V2886" s="70"/>
      <c r="W2886" s="70">
        <f>K2886</f>
        <v>150000</v>
      </c>
      <c r="X2886" s="123">
        <f>W2886</f>
        <v>150000</v>
      </c>
      <c r="Y2886" s="123"/>
      <c r="Z2886" s="70">
        <f>+X2886</f>
        <v>150000</v>
      </c>
      <c r="AA2886" s="464">
        <v>0.3</v>
      </c>
      <c r="AB2886" s="465">
        <f>+Z2886*AA2886/100</f>
        <v>450</v>
      </c>
      <c r="AC2886" s="352" t="s">
        <v>455</v>
      </c>
    </row>
    <row r="2887" spans="1:29" s="352" customFormat="1" ht="18" customHeight="1" x14ac:dyDescent="0.2">
      <c r="A2887" s="2166"/>
      <c r="B2887" s="61"/>
      <c r="C2887" s="2166"/>
      <c r="D2887" s="2166"/>
      <c r="E2887" s="2166"/>
      <c r="F2887" s="2166"/>
      <c r="G2887" s="2166"/>
      <c r="H2887" s="407"/>
      <c r="I2887" s="77"/>
      <c r="J2887" s="2168"/>
      <c r="K2887" s="2168"/>
      <c r="L2887" s="61"/>
      <c r="M2887" s="2166"/>
      <c r="N2887" s="2166"/>
      <c r="O2887" s="61"/>
      <c r="P2887" s="177"/>
      <c r="Q2887" s="196"/>
      <c r="R2887" s="408"/>
      <c r="S2887" s="77"/>
      <c r="T2887" s="2166"/>
      <c r="U2887" s="77"/>
      <c r="V2887" s="77"/>
      <c r="W2887" s="77"/>
      <c r="X2887" s="2168"/>
      <c r="Y2887" s="2168"/>
      <c r="Z2887" s="77"/>
      <c r="AA2887" s="2170"/>
      <c r="AB2887" s="416"/>
    </row>
    <row r="2888" spans="1:29" s="352" customFormat="1" ht="18" customHeight="1" x14ac:dyDescent="0.2">
      <c r="A2888" s="2166"/>
      <c r="B2888" s="61"/>
      <c r="C2888" s="2166"/>
      <c r="D2888" s="2166"/>
      <c r="E2888" s="2166"/>
      <c r="F2888" s="2166"/>
      <c r="G2888" s="2166"/>
      <c r="H2888" s="407"/>
      <c r="I2888" s="77"/>
      <c r="J2888" s="2168"/>
      <c r="K2888" s="2168"/>
      <c r="L2888" s="61"/>
      <c r="M2888" s="2166"/>
      <c r="N2888" s="2166"/>
      <c r="O2888" s="61"/>
      <c r="P2888" s="177"/>
      <c r="Q2888" s="196"/>
      <c r="R2888" s="408"/>
      <c r="S2888" s="77"/>
      <c r="T2888" s="2166"/>
      <c r="U2888" s="77"/>
      <c r="V2888" s="77"/>
      <c r="W2888" s="77"/>
      <c r="X2888" s="2168"/>
      <c r="Y2888" s="2168"/>
      <c r="Z2888" s="77"/>
      <c r="AA2888" s="2170"/>
      <c r="AB2888" s="416"/>
    </row>
    <row r="2889" spans="1:29" s="352" customFormat="1" ht="18" customHeight="1" x14ac:dyDescent="0.2">
      <c r="A2889" s="2166"/>
      <c r="B2889" s="61"/>
      <c r="C2889" s="2166"/>
      <c r="D2889" s="2166"/>
      <c r="E2889" s="2166"/>
      <c r="F2889" s="2166"/>
      <c r="G2889" s="2166"/>
      <c r="H2889" s="407"/>
      <c r="I2889" s="77"/>
      <c r="J2889" s="2168"/>
      <c r="K2889" s="2168"/>
      <c r="L2889" s="488"/>
      <c r="M2889" s="488"/>
      <c r="N2889" s="488"/>
      <c r="O2889" s="488"/>
      <c r="P2889" s="819"/>
      <c r="Q2889" s="819"/>
      <c r="R2889" s="820"/>
      <c r="S2889" s="820"/>
      <c r="T2889" s="819"/>
      <c r="U2889" s="820"/>
      <c r="V2889" s="821"/>
      <c r="W2889" s="77"/>
      <c r="X2889" s="2168"/>
      <c r="Y2889" s="2168"/>
      <c r="Z2889" s="77"/>
      <c r="AA2889" s="2170"/>
      <c r="AB2889" s="410"/>
    </row>
    <row r="2890" spans="1:29" s="352" customFormat="1" ht="18" customHeight="1" x14ac:dyDescent="0.2">
      <c r="A2890" s="2166"/>
      <c r="B2890" s="61"/>
      <c r="C2890" s="2166"/>
      <c r="D2890" s="2166"/>
      <c r="E2890" s="2166"/>
      <c r="F2890" s="2166"/>
      <c r="G2890" s="2166"/>
      <c r="H2890" s="407"/>
      <c r="I2890" s="77"/>
      <c r="J2890" s="2168"/>
      <c r="K2890" s="78"/>
      <c r="L2890" s="61"/>
      <c r="M2890" s="2166"/>
      <c r="N2890" s="2166"/>
      <c r="O2890" s="61"/>
      <c r="P2890" s="177"/>
      <c r="Q2890" s="196"/>
      <c r="R2890" s="408"/>
      <c r="S2890" s="77"/>
      <c r="T2890" s="2166"/>
      <c r="U2890" s="77"/>
      <c r="V2890" s="77"/>
      <c r="W2890" s="77"/>
      <c r="X2890" s="77"/>
      <c r="Y2890" s="2168"/>
      <c r="Z2890" s="77"/>
      <c r="AA2890" s="2170"/>
      <c r="AB2890" s="410"/>
    </row>
    <row r="2891" spans="1:29" s="352" customFormat="1" ht="18" customHeight="1" x14ac:dyDescent="0.2">
      <c r="A2891" s="2166"/>
      <c r="B2891" s="61"/>
      <c r="C2891" s="2166"/>
      <c r="D2891" s="2166"/>
      <c r="E2891" s="2166"/>
      <c r="F2891" s="2166"/>
      <c r="G2891" s="2166"/>
      <c r="H2891" s="407"/>
      <c r="I2891" s="77"/>
      <c r="J2891" s="2168"/>
      <c r="K2891" s="78"/>
      <c r="L2891" s="61"/>
      <c r="M2891" s="2166"/>
      <c r="N2891" s="2166"/>
      <c r="O2891" s="61"/>
      <c r="P2891" s="177"/>
      <c r="Q2891" s="196"/>
      <c r="R2891" s="408"/>
      <c r="S2891" s="77"/>
      <c r="T2891" s="2166"/>
      <c r="U2891" s="77"/>
      <c r="V2891" s="77"/>
      <c r="W2891" s="77"/>
      <c r="X2891" s="77"/>
      <c r="Y2891" s="2168"/>
      <c r="Z2891" s="77"/>
      <c r="AA2891" s="2170"/>
      <c r="AB2891" s="410"/>
    </row>
    <row r="2892" spans="1:29" s="352" customFormat="1" ht="18" customHeight="1" x14ac:dyDescent="0.2">
      <c r="A2892" s="2166"/>
      <c r="B2892" s="61"/>
      <c r="C2892" s="2166"/>
      <c r="D2892" s="2166"/>
      <c r="E2892" s="2166"/>
      <c r="F2892" s="2166"/>
      <c r="G2892" s="2166"/>
      <c r="H2892" s="407"/>
      <c r="I2892" s="77"/>
      <c r="J2892" s="2168"/>
      <c r="K2892" s="78"/>
      <c r="L2892" s="61"/>
      <c r="M2892" s="2166"/>
      <c r="N2892" s="2166"/>
      <c r="O2892" s="61"/>
      <c r="P2892" s="177"/>
      <c r="Q2892" s="196"/>
      <c r="R2892" s="408"/>
      <c r="S2892" s="77"/>
      <c r="T2892" s="2166"/>
      <c r="U2892" s="77"/>
      <c r="V2892" s="77"/>
      <c r="W2892" s="77"/>
      <c r="X2892" s="77"/>
      <c r="Y2892" s="2168"/>
      <c r="Z2892" s="77"/>
      <c r="AA2892" s="2170"/>
      <c r="AB2892" s="410"/>
    </row>
    <row r="2893" spans="1:29" s="352" customFormat="1" ht="18" customHeight="1" x14ac:dyDescent="0.2">
      <c r="A2893" s="88"/>
      <c r="B2893" s="75"/>
      <c r="C2893" s="88"/>
      <c r="D2893" s="88"/>
      <c r="E2893" s="2166"/>
      <c r="F2893" s="411"/>
      <c r="G2893" s="242"/>
      <c r="H2893" s="412"/>
      <c r="I2893" s="159"/>
      <c r="J2893" s="121"/>
      <c r="K2893" s="159"/>
      <c r="L2893" s="75"/>
      <c r="M2893" s="88"/>
      <c r="N2893" s="88"/>
      <c r="O2893" s="75"/>
      <c r="P2893" s="180"/>
      <c r="Q2893" s="174"/>
      <c r="R2893" s="413"/>
      <c r="S2893" s="74"/>
      <c r="T2893" s="88"/>
      <c r="U2893" s="74"/>
      <c r="V2893" s="74"/>
      <c r="W2893" s="74"/>
      <c r="X2893" s="74"/>
      <c r="Y2893" s="121"/>
      <c r="Z2893" s="74"/>
      <c r="AA2893" s="414"/>
      <c r="AB2893" s="415"/>
    </row>
    <row r="2894" spans="1:29" s="352" customFormat="1" ht="18" customHeight="1" x14ac:dyDescent="0.2">
      <c r="A2894" s="88"/>
      <c r="B2894" s="75"/>
      <c r="C2894" s="88"/>
      <c r="D2894" s="231"/>
      <c r="E2894" s="2166"/>
      <c r="F2894" s="411"/>
      <c r="G2894" s="242"/>
      <c r="H2894" s="412"/>
      <c r="I2894" s="159"/>
      <c r="J2894" s="121"/>
      <c r="K2894" s="159"/>
      <c r="L2894" s="75"/>
      <c r="M2894" s="88"/>
      <c r="N2894" s="88"/>
      <c r="O2894" s="75"/>
      <c r="P2894" s="180"/>
      <c r="Q2894" s="174"/>
      <c r="R2894" s="413"/>
      <c r="S2894" s="74"/>
      <c r="T2894" s="88"/>
      <c r="U2894" s="74"/>
      <c r="V2894" s="74"/>
      <c r="W2894" s="74"/>
      <c r="X2894" s="74"/>
      <c r="Y2894" s="121"/>
      <c r="Z2894" s="74"/>
      <c r="AA2894" s="417"/>
      <c r="AB2894" s="410"/>
    </row>
    <row r="2895" spans="1:29" s="352" customFormat="1" ht="18" customHeight="1" x14ac:dyDescent="0.2">
      <c r="A2895" s="88"/>
      <c r="B2895" s="75"/>
      <c r="C2895" s="88"/>
      <c r="D2895" s="88"/>
      <c r="E2895" s="2166"/>
      <c r="F2895" s="411"/>
      <c r="G2895" s="242"/>
      <c r="H2895" s="412"/>
      <c r="I2895" s="159"/>
      <c r="J2895" s="121"/>
      <c r="K2895" s="159"/>
      <c r="L2895" s="75"/>
      <c r="M2895" s="88"/>
      <c r="N2895" s="88"/>
      <c r="O2895" s="75"/>
      <c r="P2895" s="180"/>
      <c r="Q2895" s="174"/>
      <c r="R2895" s="413"/>
      <c r="S2895" s="74"/>
      <c r="T2895" s="88"/>
      <c r="U2895" s="74"/>
      <c r="V2895" s="74"/>
      <c r="W2895" s="74"/>
      <c r="X2895" s="74"/>
      <c r="Y2895" s="121"/>
      <c r="Z2895" s="74"/>
      <c r="AA2895" s="414"/>
      <c r="AB2895" s="416"/>
    </row>
    <row r="2896" spans="1:29" s="352" customFormat="1" ht="18" customHeight="1" x14ac:dyDescent="0.2">
      <c r="A2896" s="88"/>
      <c r="B2896" s="75"/>
      <c r="C2896" s="88"/>
      <c r="D2896" s="2165"/>
      <c r="E2896" s="2166"/>
      <c r="F2896" s="411"/>
      <c r="G2896" s="242"/>
      <c r="H2896" s="412"/>
      <c r="I2896" s="159"/>
      <c r="J2896" s="121"/>
      <c r="K2896" s="159"/>
      <c r="L2896" s="75"/>
      <c r="M2896" s="88"/>
      <c r="N2896" s="88"/>
      <c r="O2896" s="75"/>
      <c r="P2896" s="180"/>
      <c r="Q2896" s="174"/>
      <c r="R2896" s="413"/>
      <c r="S2896" s="74"/>
      <c r="T2896" s="88"/>
      <c r="U2896" s="74"/>
      <c r="V2896" s="74"/>
      <c r="W2896" s="74"/>
      <c r="X2896" s="74"/>
      <c r="Y2896" s="121"/>
      <c r="Z2896" s="74"/>
      <c r="AA2896" s="414"/>
      <c r="AB2896" s="410"/>
    </row>
    <row r="2897" spans="1:28" s="352" customFormat="1" ht="18" customHeight="1" x14ac:dyDescent="0.2">
      <c r="A2897" s="88"/>
      <c r="B2897" s="75"/>
      <c r="C2897" s="88"/>
      <c r="D2897" s="2165"/>
      <c r="E2897" s="2166"/>
      <c r="F2897" s="411"/>
      <c r="G2897" s="242"/>
      <c r="H2897" s="412"/>
      <c r="I2897" s="159"/>
      <c r="J2897" s="121"/>
      <c r="K2897" s="159"/>
      <c r="L2897" s="75"/>
      <c r="M2897" s="88"/>
      <c r="N2897" s="88"/>
      <c r="O2897" s="75"/>
      <c r="P2897" s="180"/>
      <c r="Q2897" s="174"/>
      <c r="R2897" s="413"/>
      <c r="S2897" s="74"/>
      <c r="T2897" s="88"/>
      <c r="U2897" s="74"/>
      <c r="V2897" s="74"/>
      <c r="W2897" s="74"/>
      <c r="X2897" s="74"/>
      <c r="Y2897" s="121"/>
      <c r="Z2897" s="74"/>
      <c r="AA2897" s="417"/>
      <c r="AB2897" s="410"/>
    </row>
    <row r="2898" spans="1:28" s="352" customFormat="1" ht="18" customHeight="1" x14ac:dyDescent="0.2">
      <c r="A2898" s="88"/>
      <c r="B2898" s="75"/>
      <c r="C2898" s="88"/>
      <c r="D2898" s="2165"/>
      <c r="E2898" s="2166"/>
      <c r="F2898" s="411"/>
      <c r="G2898" s="242"/>
      <c r="H2898" s="412"/>
      <c r="I2898" s="159"/>
      <c r="J2898" s="121"/>
      <c r="K2898" s="159"/>
      <c r="L2898" s="75"/>
      <c r="M2898" s="88"/>
      <c r="N2898" s="88"/>
      <c r="O2898" s="75"/>
      <c r="P2898" s="180"/>
      <c r="Q2898" s="174"/>
      <c r="R2898" s="413"/>
      <c r="S2898" s="74"/>
      <c r="T2898" s="88"/>
      <c r="U2898" s="74"/>
      <c r="V2898" s="74"/>
      <c r="W2898" s="74"/>
      <c r="X2898" s="74"/>
      <c r="Y2898" s="121"/>
      <c r="Z2898" s="74"/>
      <c r="AA2898" s="414"/>
      <c r="AB2898" s="416"/>
    </row>
    <row r="2899" spans="1:28" s="352" customFormat="1" ht="18" customHeight="1" x14ac:dyDescent="0.2">
      <c r="A2899" s="88"/>
      <c r="B2899" s="418"/>
      <c r="C2899" s="88"/>
      <c r="D2899" s="88"/>
      <c r="E2899" s="88"/>
      <c r="F2899" s="411"/>
      <c r="G2899" s="242"/>
      <c r="H2899" s="412"/>
      <c r="I2899" s="159"/>
      <c r="J2899" s="121"/>
      <c r="K2899" s="159"/>
      <c r="L2899" s="75"/>
      <c r="M2899" s="88"/>
      <c r="N2899" s="88"/>
      <c r="O2899" s="75"/>
      <c r="P2899" s="180"/>
      <c r="Q2899" s="174"/>
      <c r="R2899" s="413"/>
      <c r="S2899" s="74"/>
      <c r="T2899" s="88"/>
      <c r="U2899" s="74"/>
      <c r="V2899" s="74"/>
      <c r="W2899" s="74"/>
      <c r="X2899" s="74"/>
      <c r="Y2899" s="121"/>
      <c r="Z2899" s="74"/>
      <c r="AA2899" s="414"/>
      <c r="AB2899" s="410"/>
    </row>
    <row r="2900" spans="1:28" s="352" customFormat="1" ht="18" customHeight="1" x14ac:dyDescent="0.2">
      <c r="A2900" s="1147"/>
      <c r="B2900" s="1989"/>
      <c r="C2900" s="1147"/>
      <c r="D2900" s="1147"/>
      <c r="E2900" s="1147"/>
      <c r="F2900" s="1147"/>
      <c r="G2900" s="1147"/>
      <c r="H2900" s="1990"/>
      <c r="I2900" s="1991"/>
      <c r="J2900" s="1868"/>
      <c r="K2900" s="1992"/>
      <c r="L2900" s="1989"/>
      <c r="M2900" s="1147"/>
      <c r="N2900" s="1147"/>
      <c r="O2900" s="1989"/>
      <c r="P2900" s="1867"/>
      <c r="Q2900" s="1993"/>
      <c r="R2900" s="1994"/>
      <c r="S2900" s="1991"/>
      <c r="T2900" s="1147"/>
      <c r="U2900" s="1991"/>
      <c r="V2900" s="1991"/>
      <c r="W2900" s="1991"/>
      <c r="X2900" s="1991"/>
      <c r="Y2900" s="1868"/>
      <c r="Z2900" s="1991"/>
      <c r="AA2900" s="1995"/>
      <c r="AB2900" s="1849">
        <f>SUM(AB2886:AB2899)</f>
        <v>450</v>
      </c>
    </row>
    <row r="2901" spans="1:28" s="352" customFormat="1" ht="18" customHeight="1" x14ac:dyDescent="0.2">
      <c r="A2901" s="2788" t="s">
        <v>76</v>
      </c>
      <c r="B2901" s="2788"/>
      <c r="C2901" s="2779" t="s">
        <v>77</v>
      </c>
      <c r="D2901" s="2779"/>
      <c r="E2901" s="2779"/>
      <c r="F2901" s="2779"/>
      <c r="G2901" s="2779"/>
      <c r="H2901" s="2779"/>
      <c r="I2901" s="424" t="s">
        <v>78</v>
      </c>
      <c r="J2901" s="424"/>
      <c r="K2901" s="424"/>
      <c r="L2901" s="424"/>
      <c r="M2901" s="424"/>
      <c r="N2901" s="424"/>
      <c r="AB2901" s="425"/>
    </row>
    <row r="2902" spans="1:28" s="352" customFormat="1" ht="18" customHeight="1" x14ac:dyDescent="0.2">
      <c r="A2902" s="424"/>
      <c r="B2902" s="426"/>
      <c r="C2902" s="424"/>
      <c r="D2902" s="424"/>
      <c r="E2902" s="424"/>
      <c r="F2902" s="424"/>
      <c r="G2902" s="424"/>
      <c r="H2902" s="424"/>
      <c r="I2902" s="424" t="s">
        <v>79</v>
      </c>
      <c r="J2902" s="424"/>
      <c r="K2902" s="424"/>
      <c r="L2902" s="424"/>
      <c r="M2902" s="424"/>
      <c r="N2902" s="424"/>
      <c r="AB2902" s="425"/>
    </row>
    <row r="2903" spans="1:28" s="352" customFormat="1" ht="18" customHeight="1" x14ac:dyDescent="0.2">
      <c r="A2903" s="424"/>
      <c r="B2903" s="426"/>
      <c r="C2903" s="424"/>
      <c r="D2903" s="424"/>
      <c r="E2903" s="424"/>
      <c r="F2903" s="424"/>
      <c r="G2903" s="424"/>
      <c r="H2903" s="424"/>
      <c r="I2903" s="424" t="s">
        <v>80</v>
      </c>
      <c r="J2903" s="424"/>
      <c r="K2903" s="424"/>
      <c r="L2903" s="424"/>
      <c r="M2903" s="424"/>
      <c r="N2903" s="424"/>
      <c r="AB2903" s="425"/>
    </row>
    <row r="2904" spans="1:28" s="352" customFormat="1" ht="18" customHeight="1" x14ac:dyDescent="0.2">
      <c r="A2904" s="424"/>
      <c r="B2904" s="426"/>
      <c r="C2904" s="424"/>
      <c r="D2904" s="424"/>
      <c r="E2904" s="424"/>
      <c r="F2904" s="424"/>
      <c r="G2904" s="424"/>
      <c r="H2904" s="424"/>
      <c r="I2904" s="424" t="s">
        <v>81</v>
      </c>
      <c r="J2904" s="424"/>
      <c r="K2904" s="424"/>
      <c r="L2904" s="424"/>
      <c r="M2904" s="424"/>
      <c r="N2904" s="424"/>
      <c r="AB2904" s="425"/>
    </row>
    <row r="2905" spans="1:28" s="352" customFormat="1" ht="18" customHeight="1" x14ac:dyDescent="0.2">
      <c r="A2905" s="424"/>
      <c r="B2905" s="426"/>
      <c r="C2905" s="424"/>
      <c r="D2905" s="424"/>
      <c r="E2905" s="424"/>
      <c r="F2905" s="424"/>
      <c r="G2905" s="424"/>
      <c r="H2905" s="424"/>
      <c r="I2905" s="424" t="s">
        <v>88</v>
      </c>
      <c r="J2905" s="424"/>
      <c r="K2905" s="424"/>
      <c r="L2905" s="424"/>
      <c r="M2905" s="424"/>
      <c r="N2905" s="424"/>
      <c r="AB2905" s="425"/>
    </row>
    <row r="2906" spans="1:28" s="352" customFormat="1" ht="18" customHeight="1" x14ac:dyDescent="0.2">
      <c r="A2906" s="338"/>
      <c r="B2906" s="338"/>
      <c r="C2906" s="338"/>
      <c r="D2906" s="338"/>
      <c r="E2906" s="338"/>
      <c r="F2906" s="338"/>
      <c r="G2906" s="338"/>
      <c r="H2906" s="338"/>
      <c r="I2906" s="338"/>
      <c r="J2906" s="338"/>
      <c r="K2906" s="338"/>
      <c r="L2906" s="338"/>
      <c r="M2906" s="338"/>
      <c r="N2906" s="338"/>
      <c r="O2906" s="338"/>
      <c r="P2906" s="338"/>
      <c r="Q2906" s="338"/>
      <c r="R2906" s="338"/>
      <c r="S2906" s="338"/>
      <c r="T2906" s="338"/>
      <c r="U2906" s="338"/>
      <c r="V2906" s="338"/>
      <c r="W2906" s="338"/>
      <c r="X2906" s="338"/>
      <c r="Y2906" s="338"/>
      <c r="Z2906" s="338"/>
      <c r="AA2906" s="2774" t="s">
        <v>0</v>
      </c>
      <c r="AB2906" s="2774"/>
    </row>
    <row r="2907" spans="1:28" s="352" customFormat="1" ht="18" customHeight="1" x14ac:dyDescent="0.2">
      <c r="A2907" s="2703" t="s">
        <v>1</v>
      </c>
      <c r="B2907" s="2703"/>
      <c r="C2907" s="2703"/>
      <c r="D2907" s="2703"/>
      <c r="E2907" s="2703"/>
      <c r="F2907" s="2703"/>
      <c r="G2907" s="2703"/>
      <c r="H2907" s="2703"/>
      <c r="I2907" s="2703"/>
      <c r="J2907" s="2703"/>
      <c r="K2907" s="2703"/>
      <c r="L2907" s="2703"/>
      <c r="M2907" s="2703"/>
      <c r="N2907" s="2703"/>
      <c r="O2907" s="2703"/>
      <c r="P2907" s="2703"/>
      <c r="Q2907" s="2703"/>
      <c r="R2907" s="2703"/>
      <c r="S2907" s="2703"/>
      <c r="T2907" s="2703"/>
      <c r="U2907" s="2703"/>
      <c r="V2907" s="2703"/>
      <c r="W2907" s="2703"/>
      <c r="X2907" s="2703"/>
      <c r="Y2907" s="2703"/>
      <c r="Z2907" s="2703"/>
      <c r="AA2907" s="2703"/>
      <c r="AB2907" s="2703"/>
    </row>
    <row r="2908" spans="1:28" s="352" customFormat="1" ht="18" customHeight="1" x14ac:dyDescent="0.2">
      <c r="A2908" s="2780" t="s">
        <v>317</v>
      </c>
      <c r="B2908" s="2780"/>
      <c r="C2908" s="2780"/>
      <c r="D2908" s="2780"/>
      <c r="E2908" s="2780"/>
      <c r="F2908" s="2780"/>
      <c r="G2908" s="2780"/>
      <c r="H2908" s="2780"/>
      <c r="I2908" s="2780"/>
      <c r="J2908" s="2780"/>
      <c r="K2908" s="2780"/>
      <c r="L2908" s="2780"/>
      <c r="M2908" s="2780"/>
      <c r="N2908" s="2780"/>
      <c r="O2908" s="2780"/>
      <c r="P2908" s="2780"/>
      <c r="Q2908" s="2780"/>
      <c r="R2908" s="2780"/>
      <c r="S2908" s="2780"/>
      <c r="T2908" s="2780"/>
      <c r="U2908" s="2780"/>
      <c r="V2908" s="2780"/>
      <c r="W2908" s="2780"/>
      <c r="X2908" s="2780"/>
      <c r="Y2908" s="2780"/>
      <c r="Z2908" s="2780"/>
      <c r="AA2908" s="2780"/>
      <c r="AB2908" s="2780"/>
    </row>
    <row r="2909" spans="1:28" s="352" customFormat="1" ht="18" customHeight="1" x14ac:dyDescent="0.2">
      <c r="A2909" s="2686" t="s">
        <v>2</v>
      </c>
      <c r="B2909" s="360"/>
      <c r="C2909" s="2686" t="s">
        <v>3</v>
      </c>
      <c r="D2909" s="360"/>
      <c r="E2909" s="360"/>
      <c r="F2909" s="2693" t="s">
        <v>4</v>
      </c>
      <c r="G2909" s="2693"/>
      <c r="H2909" s="2693"/>
      <c r="I2909" s="2694"/>
      <c r="J2909" s="2694"/>
      <c r="K2909" s="2695"/>
      <c r="L2909" s="361"/>
      <c r="M2909" s="2679" t="s">
        <v>5</v>
      </c>
      <c r="N2909" s="2679"/>
      <c r="O2909" s="2679"/>
      <c r="P2909" s="2679"/>
      <c r="Q2909" s="2696"/>
      <c r="R2909" s="2696"/>
      <c r="S2909" s="2696"/>
      <c r="T2909" s="2696"/>
      <c r="U2909" s="2696"/>
      <c r="V2909" s="2697"/>
      <c r="W2909" s="362" t="s">
        <v>6</v>
      </c>
      <c r="X2909" s="363" t="s">
        <v>7</v>
      </c>
      <c r="Y2909" s="364"/>
      <c r="Z2909" s="364"/>
      <c r="AA2909" s="363"/>
      <c r="AB2909" s="365"/>
    </row>
    <row r="2910" spans="1:28" s="352" customFormat="1" ht="18" customHeight="1" x14ac:dyDescent="0.2">
      <c r="A2910" s="2687"/>
      <c r="B2910" s="367"/>
      <c r="C2910" s="2687"/>
      <c r="D2910" s="2158" t="s">
        <v>9</v>
      </c>
      <c r="E2910" s="368" t="s">
        <v>10</v>
      </c>
      <c r="F2910" s="2698" t="s">
        <v>11</v>
      </c>
      <c r="G2910" s="2694"/>
      <c r="H2910" s="2695"/>
      <c r="I2910" s="360"/>
      <c r="J2910" s="369" t="s">
        <v>12</v>
      </c>
      <c r="K2910" s="360"/>
      <c r="L2910" s="2679" t="s">
        <v>2</v>
      </c>
      <c r="M2910" s="2162"/>
      <c r="N2910" s="2162"/>
      <c r="O2910" s="2162"/>
      <c r="P2910" s="371"/>
      <c r="Q2910" s="372" t="s">
        <v>13</v>
      </c>
      <c r="R2910" s="373" t="s">
        <v>12</v>
      </c>
      <c r="S2910" s="2162" t="s">
        <v>6</v>
      </c>
      <c r="T2910" s="2682" t="s">
        <v>14</v>
      </c>
      <c r="U2910" s="2683"/>
      <c r="V2910" s="375" t="s">
        <v>7</v>
      </c>
      <c r="W2910" s="376" t="s">
        <v>15</v>
      </c>
      <c r="X2910" s="377" t="s">
        <v>16</v>
      </c>
      <c r="Y2910" s="377" t="s">
        <v>17</v>
      </c>
      <c r="Z2910" s="377" t="s">
        <v>18</v>
      </c>
      <c r="AA2910" s="377"/>
      <c r="AB2910" s="378" t="s">
        <v>19</v>
      </c>
    </row>
    <row r="2911" spans="1:28" s="352" customFormat="1" ht="18" customHeight="1" x14ac:dyDescent="0.2">
      <c r="A2911" s="2687"/>
      <c r="B2911" s="2158" t="s">
        <v>23</v>
      </c>
      <c r="C2911" s="2687"/>
      <c r="D2911" s="2158" t="s">
        <v>24</v>
      </c>
      <c r="E2911" s="368" t="s">
        <v>25</v>
      </c>
      <c r="F2911" s="2699"/>
      <c r="G2911" s="2700"/>
      <c r="H2911" s="2701"/>
      <c r="I2911" s="2158" t="s">
        <v>26</v>
      </c>
      <c r="J2911" s="379" t="s">
        <v>15</v>
      </c>
      <c r="K2911" s="2159" t="s">
        <v>6</v>
      </c>
      <c r="L2911" s="2680"/>
      <c r="M2911" s="2163" t="s">
        <v>27</v>
      </c>
      <c r="N2911" s="2163" t="s">
        <v>10</v>
      </c>
      <c r="O2911" s="382" t="s">
        <v>10</v>
      </c>
      <c r="P2911" s="383" t="s">
        <v>28</v>
      </c>
      <c r="Q2911" s="384" t="s">
        <v>29</v>
      </c>
      <c r="R2911" s="383" t="s">
        <v>15</v>
      </c>
      <c r="S2911" s="385" t="s">
        <v>15</v>
      </c>
      <c r="T2911" s="2684"/>
      <c r="U2911" s="2685"/>
      <c r="V2911" s="375" t="s">
        <v>30</v>
      </c>
      <c r="W2911" s="376" t="s">
        <v>31</v>
      </c>
      <c r="X2911" s="377" t="s">
        <v>30</v>
      </c>
      <c r="Y2911" s="377" t="s">
        <v>32</v>
      </c>
      <c r="Z2911" s="377" t="s">
        <v>7</v>
      </c>
      <c r="AA2911" s="377" t="s">
        <v>33</v>
      </c>
      <c r="AB2911" s="378" t="s">
        <v>34</v>
      </c>
    </row>
    <row r="2912" spans="1:28" s="352" customFormat="1" ht="18" customHeight="1" x14ac:dyDescent="0.2">
      <c r="A2912" s="2687"/>
      <c r="B2912" s="2158" t="s">
        <v>39</v>
      </c>
      <c r="C2912" s="2687"/>
      <c r="D2912" s="2158" t="s">
        <v>40</v>
      </c>
      <c r="E2912" s="368" t="s">
        <v>41</v>
      </c>
      <c r="F2912" s="2686" t="s">
        <v>42</v>
      </c>
      <c r="G2912" s="2686" t="s">
        <v>43</v>
      </c>
      <c r="H2912" s="2688" t="s">
        <v>44</v>
      </c>
      <c r="I2912" s="2158" t="s">
        <v>45</v>
      </c>
      <c r="J2912" s="379" t="s">
        <v>46</v>
      </c>
      <c r="K2912" s="2159" t="s">
        <v>47</v>
      </c>
      <c r="L2912" s="2680"/>
      <c r="M2912" s="2163" t="s">
        <v>30</v>
      </c>
      <c r="N2912" s="2163" t="s">
        <v>30</v>
      </c>
      <c r="O2912" s="382" t="s">
        <v>25</v>
      </c>
      <c r="P2912" s="383" t="s">
        <v>30</v>
      </c>
      <c r="Q2912" s="384" t="s">
        <v>48</v>
      </c>
      <c r="R2912" s="383" t="s">
        <v>49</v>
      </c>
      <c r="S2912" s="385" t="s">
        <v>30</v>
      </c>
      <c r="T2912" s="386" t="s">
        <v>50</v>
      </c>
      <c r="U2912" s="2161" t="s">
        <v>13</v>
      </c>
      <c r="V2912" s="375" t="s">
        <v>51</v>
      </c>
      <c r="W2912" s="376" t="s">
        <v>52</v>
      </c>
      <c r="X2912" s="377" t="s">
        <v>53</v>
      </c>
      <c r="Y2912" s="377" t="s">
        <v>54</v>
      </c>
      <c r="Z2912" s="377" t="s">
        <v>55</v>
      </c>
      <c r="AA2912" s="377" t="s">
        <v>56</v>
      </c>
      <c r="AB2912" s="378" t="s">
        <v>57</v>
      </c>
    </row>
    <row r="2913" spans="1:28" s="352" customFormat="1" ht="18" customHeight="1" x14ac:dyDescent="0.2">
      <c r="A2913" s="2687"/>
      <c r="B2913" s="2158" t="s">
        <v>61</v>
      </c>
      <c r="C2913" s="2687"/>
      <c r="D2913" s="2158" t="s">
        <v>62</v>
      </c>
      <c r="E2913" s="368" t="s">
        <v>63</v>
      </c>
      <c r="F2913" s="2687"/>
      <c r="G2913" s="2687"/>
      <c r="H2913" s="2689"/>
      <c r="I2913" s="2158" t="s">
        <v>64</v>
      </c>
      <c r="J2913" s="379" t="s">
        <v>59</v>
      </c>
      <c r="K2913" s="2159" t="s">
        <v>59</v>
      </c>
      <c r="L2913" s="2680"/>
      <c r="M2913" s="2163"/>
      <c r="N2913" s="2163"/>
      <c r="O2913" s="382" t="s">
        <v>41</v>
      </c>
      <c r="P2913" s="383" t="s">
        <v>65</v>
      </c>
      <c r="Q2913" s="384" t="s">
        <v>66</v>
      </c>
      <c r="R2913" s="383" t="s">
        <v>67</v>
      </c>
      <c r="S2913" s="385" t="s">
        <v>59</v>
      </c>
      <c r="T2913" s="387" t="s">
        <v>68</v>
      </c>
      <c r="U2913" s="375" t="s">
        <v>14</v>
      </c>
      <c r="V2913" s="375" t="s">
        <v>14</v>
      </c>
      <c r="W2913" s="376" t="s">
        <v>30</v>
      </c>
      <c r="X2913" s="388" t="s">
        <v>69</v>
      </c>
      <c r="Y2913" s="388" t="s">
        <v>70</v>
      </c>
      <c r="Z2913" s="377" t="s">
        <v>71</v>
      </c>
      <c r="AA2913" s="377" t="s">
        <v>72</v>
      </c>
      <c r="AB2913" s="378" t="s">
        <v>59</v>
      </c>
    </row>
    <row r="2914" spans="1:28" s="352" customFormat="1" ht="18" customHeight="1" x14ac:dyDescent="0.2">
      <c r="A2914" s="2692"/>
      <c r="B2914" s="390"/>
      <c r="C2914" s="2692"/>
      <c r="D2914" s="390"/>
      <c r="E2914" s="2160"/>
      <c r="F2914" s="390"/>
      <c r="G2914" s="390"/>
      <c r="H2914" s="391"/>
      <c r="I2914" s="2160"/>
      <c r="J2914" s="392"/>
      <c r="K2914" s="393"/>
      <c r="L2914" s="2681"/>
      <c r="M2914" s="2164"/>
      <c r="N2914" s="2164"/>
      <c r="O2914" s="2164" t="s">
        <v>63</v>
      </c>
      <c r="P2914" s="395"/>
      <c r="Q2914" s="396" t="s">
        <v>72</v>
      </c>
      <c r="R2914" s="397" t="s">
        <v>59</v>
      </c>
      <c r="S2914" s="398"/>
      <c r="T2914" s="397" t="s">
        <v>73</v>
      </c>
      <c r="U2914" s="398" t="s">
        <v>59</v>
      </c>
      <c r="V2914" s="399" t="s">
        <v>59</v>
      </c>
      <c r="W2914" s="400" t="s">
        <v>59</v>
      </c>
      <c r="X2914" s="401" t="s">
        <v>59</v>
      </c>
      <c r="Y2914" s="401" t="s">
        <v>59</v>
      </c>
      <c r="Z2914" s="401" t="s">
        <v>59</v>
      </c>
      <c r="AA2914" s="402"/>
      <c r="AB2914" s="403"/>
    </row>
    <row r="2915" spans="1:28" s="352" customFormat="1" ht="18" customHeight="1" x14ac:dyDescent="0.25">
      <c r="A2915" s="15">
        <v>1</v>
      </c>
      <c r="B2915" s="241">
        <v>72725</v>
      </c>
      <c r="C2915" s="2166">
        <v>1866</v>
      </c>
      <c r="D2915" s="15" t="s">
        <v>84</v>
      </c>
      <c r="E2915" s="15">
        <v>4</v>
      </c>
      <c r="F2915" s="1571">
        <v>0</v>
      </c>
      <c r="G2915" s="1571">
        <v>0</v>
      </c>
      <c r="H2915" s="1572">
        <v>2</v>
      </c>
      <c r="I2915" s="296">
        <f>F2915*400+G2915*100+H2915</f>
        <v>2</v>
      </c>
      <c r="J2915" s="1581">
        <v>3000</v>
      </c>
      <c r="K2915" s="306">
        <f>SUM(I2915*J2915)</f>
        <v>6000</v>
      </c>
      <c r="L2915" s="487"/>
      <c r="M2915" s="488"/>
      <c r="N2915" s="487"/>
      <c r="O2915" s="487"/>
      <c r="P2915" s="489"/>
      <c r="Q2915" s="490"/>
      <c r="R2915" s="491"/>
      <c r="S2915" s="492"/>
      <c r="T2915" s="490"/>
      <c r="U2915" s="492"/>
      <c r="V2915" s="493"/>
      <c r="W2915" s="296">
        <f>K2915</f>
        <v>6000</v>
      </c>
      <c r="X2915" s="306">
        <f>W2915</f>
        <v>6000</v>
      </c>
      <c r="Y2915" s="306"/>
      <c r="Z2915" s="296">
        <f>+X2915</f>
        <v>6000</v>
      </c>
      <c r="AA2915" s="494">
        <v>0.3</v>
      </c>
      <c r="AB2915" s="660">
        <f t="shared" ref="AB2915" si="139">+Z2915*AA2915/100</f>
        <v>18</v>
      </c>
    </row>
    <row r="2916" spans="1:28" s="352" customFormat="1" ht="18" customHeight="1" x14ac:dyDescent="0.25">
      <c r="A2916" s="1114"/>
      <c r="B2916" s="75"/>
      <c r="C2916" s="88"/>
      <c r="D2916" s="27"/>
      <c r="E2916" s="27"/>
      <c r="F2916" s="27"/>
      <c r="G2916" s="27"/>
      <c r="H2916" s="557"/>
      <c r="I2916" s="296"/>
      <c r="J2916" s="306"/>
      <c r="K2916" s="306"/>
      <c r="L2916" s="1108"/>
      <c r="M2916" s="1109"/>
      <c r="N2916" s="1108"/>
      <c r="O2916" s="1108"/>
      <c r="P2916" s="1110"/>
      <c r="Q2916" s="1111"/>
      <c r="R2916" s="1112"/>
      <c r="S2916" s="1115"/>
      <c r="T2916" s="1111"/>
      <c r="U2916" s="1115"/>
      <c r="V2916" s="1113"/>
      <c r="W2916" s="299"/>
      <c r="X2916" s="305"/>
      <c r="Y2916" s="305"/>
      <c r="Z2916" s="299"/>
      <c r="AA2916" s="1116"/>
      <c r="AB2916" s="660"/>
    </row>
    <row r="2917" spans="1:28" s="352" customFormat="1" ht="18" customHeight="1" x14ac:dyDescent="0.25">
      <c r="A2917" s="15"/>
      <c r="B2917" s="61"/>
      <c r="C2917" s="2166"/>
      <c r="D2917" s="15"/>
      <c r="E2917" s="15"/>
      <c r="F2917" s="15"/>
      <c r="G2917" s="15"/>
      <c r="H2917" s="284"/>
      <c r="I2917" s="296"/>
      <c r="J2917" s="306"/>
      <c r="K2917" s="306"/>
      <c r="L2917" s="1117"/>
      <c r="M2917" s="727"/>
      <c r="N2917" s="1117"/>
      <c r="O2917" s="1117"/>
      <c r="P2917" s="1118"/>
      <c r="Q2917" s="1119"/>
      <c r="R2917" s="1120"/>
      <c r="S2917" s="1121"/>
      <c r="T2917" s="1119"/>
      <c r="U2917" s="1121"/>
      <c r="V2917" s="1113"/>
      <c r="W2917" s="299"/>
      <c r="X2917" s="305"/>
      <c r="Y2917" s="305"/>
      <c r="Z2917" s="299"/>
      <c r="AA2917" s="494"/>
      <c r="AB2917" s="660"/>
    </row>
    <row r="2918" spans="1:28" s="352" customFormat="1" ht="18" customHeight="1" x14ac:dyDescent="0.2">
      <c r="A2918" s="15"/>
      <c r="B2918" s="61"/>
      <c r="C2918" s="2166"/>
      <c r="D2918" s="15"/>
      <c r="E2918" s="15"/>
      <c r="F2918" s="15"/>
      <c r="G2918" s="15"/>
      <c r="H2918" s="284"/>
      <c r="I2918" s="296"/>
      <c r="J2918" s="306"/>
      <c r="K2918" s="306"/>
      <c r="L2918" s="50"/>
      <c r="M2918" s="2166"/>
      <c r="N2918" s="15"/>
      <c r="O2918" s="50"/>
      <c r="P2918" s="673"/>
      <c r="Q2918" s="76"/>
      <c r="R2918" s="296"/>
      <c r="S2918" s="296"/>
      <c r="T2918" s="15"/>
      <c r="U2918" s="296"/>
      <c r="V2918" s="296"/>
      <c r="W2918" s="299"/>
      <c r="X2918" s="305"/>
      <c r="Y2918" s="305"/>
      <c r="Z2918" s="299"/>
      <c r="AA2918" s="494"/>
      <c r="AB2918" s="660"/>
    </row>
    <row r="2919" spans="1:28" s="352" customFormat="1" ht="18" customHeight="1" x14ac:dyDescent="0.2">
      <c r="A2919" s="15"/>
      <c r="B2919" s="61"/>
      <c r="C2919" s="2166"/>
      <c r="D2919" s="15"/>
      <c r="E2919" s="15"/>
      <c r="F2919" s="15"/>
      <c r="G2919" s="15"/>
      <c r="H2919" s="284"/>
      <c r="I2919" s="296"/>
      <c r="J2919" s="306"/>
      <c r="K2919" s="306"/>
      <c r="L2919" s="50"/>
      <c r="M2919" s="2166"/>
      <c r="N2919" s="15"/>
      <c r="O2919" s="50"/>
      <c r="P2919" s="673"/>
      <c r="Q2919" s="76"/>
      <c r="R2919" s="296"/>
      <c r="S2919" s="296"/>
      <c r="T2919" s="15"/>
      <c r="U2919" s="296"/>
      <c r="V2919" s="296"/>
      <c r="W2919" s="299"/>
      <c r="X2919" s="305"/>
      <c r="Y2919" s="305"/>
      <c r="Z2919" s="299"/>
      <c r="AA2919" s="494"/>
      <c r="AB2919" s="660"/>
    </row>
    <row r="2920" spans="1:28" s="352" customFormat="1" ht="18" customHeight="1" x14ac:dyDescent="0.2">
      <c r="A2920" s="88"/>
      <c r="B2920" s="860"/>
      <c r="C2920" s="180"/>
      <c r="D2920" s="180"/>
      <c r="E2920" s="177"/>
      <c r="F2920" s="177"/>
      <c r="G2920" s="177"/>
      <c r="H2920" s="690"/>
      <c r="I2920" s="314"/>
      <c r="J2920" s="280"/>
      <c r="K2920" s="314"/>
      <c r="L2920" s="281"/>
      <c r="M2920" s="180"/>
      <c r="N2920" s="180"/>
      <c r="O2920" s="281"/>
      <c r="P2920" s="180"/>
      <c r="Q2920" s="691"/>
      <c r="R2920" s="692"/>
      <c r="S2920" s="295"/>
      <c r="T2920" s="180"/>
      <c r="U2920" s="295"/>
      <c r="V2920" s="295"/>
      <c r="W2920" s="295"/>
      <c r="X2920" s="295"/>
      <c r="Y2920" s="280"/>
      <c r="Z2920" s="295"/>
      <c r="AA2920" s="693"/>
      <c r="AB2920" s="687"/>
    </row>
    <row r="2921" spans="1:28" s="352" customFormat="1" ht="18" customHeight="1" x14ac:dyDescent="0.2">
      <c r="A2921" s="88"/>
      <c r="B2921" s="281"/>
      <c r="C2921" s="180"/>
      <c r="D2921" s="180"/>
      <c r="E2921" s="177"/>
      <c r="F2921" s="177"/>
      <c r="G2921" s="177"/>
      <c r="H2921" s="683"/>
      <c r="I2921" s="314"/>
      <c r="J2921" s="280"/>
      <c r="K2921" s="314"/>
      <c r="L2921" s="281"/>
      <c r="M2921" s="180"/>
      <c r="N2921" s="180"/>
      <c r="O2921" s="281"/>
      <c r="P2921" s="180"/>
      <c r="Q2921" s="691"/>
      <c r="R2921" s="692"/>
      <c r="S2921" s="295"/>
      <c r="T2921" s="180"/>
      <c r="U2921" s="295"/>
      <c r="V2921" s="295"/>
      <c r="W2921" s="295"/>
      <c r="X2921" s="295"/>
      <c r="Y2921" s="280"/>
      <c r="Z2921" s="295"/>
      <c r="AA2921" s="693"/>
      <c r="AB2921" s="859"/>
    </row>
    <row r="2922" spans="1:28" s="352" customFormat="1" ht="18" customHeight="1" x14ac:dyDescent="0.2">
      <c r="A2922" s="88"/>
      <c r="B2922" s="75"/>
      <c r="C2922" s="88"/>
      <c r="D2922" s="88"/>
      <c r="E2922" s="2166"/>
      <c r="F2922" s="411"/>
      <c r="G2922" s="242"/>
      <c r="H2922" s="412"/>
      <c r="I2922" s="159"/>
      <c r="J2922" s="121"/>
      <c r="K2922" s="159"/>
      <c r="L2922" s="75"/>
      <c r="M2922" s="88"/>
      <c r="N2922" s="88"/>
      <c r="O2922" s="75"/>
      <c r="P2922" s="180"/>
      <c r="Q2922" s="174"/>
      <c r="R2922" s="413"/>
      <c r="S2922" s="74"/>
      <c r="T2922" s="88"/>
      <c r="U2922" s="74"/>
      <c r="V2922" s="74"/>
      <c r="W2922" s="74"/>
      <c r="X2922" s="74"/>
      <c r="Y2922" s="121"/>
      <c r="Z2922" s="74"/>
      <c r="AA2922" s="414"/>
      <c r="AB2922" s="415"/>
    </row>
    <row r="2923" spans="1:28" s="352" customFormat="1" ht="18" customHeight="1" x14ac:dyDescent="0.2">
      <c r="A2923" s="2166"/>
      <c r="B2923" s="1569"/>
      <c r="C2923" s="2166"/>
      <c r="D2923" s="2166"/>
      <c r="E2923" s="2166"/>
      <c r="F2923" s="499"/>
      <c r="G2923" s="241"/>
      <c r="H2923" s="1281"/>
      <c r="I2923" s="78"/>
      <c r="J2923" s="2168"/>
      <c r="K2923" s="78"/>
      <c r="L2923" s="61"/>
      <c r="M2923" s="2166"/>
      <c r="N2923" s="2166"/>
      <c r="O2923" s="61"/>
      <c r="P2923" s="177"/>
      <c r="Q2923" s="196"/>
      <c r="R2923" s="408"/>
      <c r="S2923" s="77"/>
      <c r="T2923" s="2166"/>
      <c r="U2923" s="77"/>
      <c r="V2923" s="78"/>
      <c r="W2923" s="77"/>
      <c r="X2923" s="77"/>
      <c r="Y2923" s="2168"/>
      <c r="Z2923" s="77"/>
      <c r="AA2923" s="2170"/>
      <c r="AB2923" s="416"/>
    </row>
    <row r="2924" spans="1:28" ht="18" customHeight="1" x14ac:dyDescent="0.25">
      <c r="A2924" s="1539"/>
      <c r="B2924" s="155"/>
      <c r="C2924" s="69"/>
      <c r="D2924" s="1539"/>
      <c r="E2924" s="1539"/>
      <c r="F2924" s="1539"/>
      <c r="G2924" s="1539"/>
      <c r="H2924" s="1540"/>
      <c r="I2924" s="1541"/>
      <c r="J2924" s="1542"/>
      <c r="K2924" s="1542"/>
      <c r="L2924" s="1570"/>
      <c r="M2924" s="1544"/>
      <c r="N2924" s="1543"/>
      <c r="O2924" s="1543"/>
      <c r="P2924" s="1545"/>
      <c r="Q2924" s="1546"/>
      <c r="R2924" s="1547"/>
      <c r="S2924" s="1548"/>
      <c r="T2924" s="1546"/>
      <c r="U2924" s="1548"/>
      <c r="V2924" s="1549"/>
      <c r="W2924" s="1541"/>
      <c r="X2924" s="1542"/>
      <c r="Y2924" s="1542"/>
      <c r="Z2924" s="1541"/>
      <c r="AA2924" s="1550"/>
      <c r="AB2924" s="1551"/>
    </row>
    <row r="2925" spans="1:28" ht="18" customHeight="1" x14ac:dyDescent="0.25">
      <c r="A2925" s="1492"/>
      <c r="B2925" s="119"/>
      <c r="C2925" s="115"/>
      <c r="D2925" s="1492"/>
      <c r="E2925" s="1492"/>
      <c r="F2925" s="1492"/>
      <c r="G2925" s="1492"/>
      <c r="H2925" s="1493"/>
      <c r="I2925" s="1511"/>
      <c r="J2925" s="1552"/>
      <c r="K2925" s="1552"/>
      <c r="L2925" s="1570"/>
      <c r="M2925" s="1554"/>
      <c r="N2925" s="1553"/>
      <c r="O2925" s="1553"/>
      <c r="P2925" s="1555"/>
      <c r="Q2925" s="1556"/>
      <c r="R2925" s="1557"/>
      <c r="S2925" s="1558"/>
      <c r="T2925" s="1556"/>
      <c r="U2925" s="1558"/>
      <c r="V2925" s="1559"/>
      <c r="W2925" s="1511"/>
      <c r="X2925" s="1552"/>
      <c r="Y2925" s="1552"/>
      <c r="Z2925" s="1511"/>
      <c r="AA2925" s="1504"/>
      <c r="AB2925" s="1560"/>
    </row>
    <row r="2926" spans="1:28" ht="18" customHeight="1" x14ac:dyDescent="0.25">
      <c r="A2926" s="1492"/>
      <c r="B2926" s="119"/>
      <c r="C2926" s="115"/>
      <c r="D2926" s="1492"/>
      <c r="E2926" s="1492"/>
      <c r="F2926" s="1492"/>
      <c r="G2926" s="1492"/>
      <c r="H2926" s="1493"/>
      <c r="I2926" s="1511"/>
      <c r="J2926" s="1552"/>
      <c r="K2926" s="1552"/>
      <c r="L2926" s="1570"/>
      <c r="M2926" s="1562"/>
      <c r="N2926" s="1561"/>
      <c r="O2926" s="1561"/>
      <c r="P2926" s="1563"/>
      <c r="Q2926" s="1564"/>
      <c r="R2926" s="1565"/>
      <c r="S2926" s="1566"/>
      <c r="T2926" s="1564"/>
      <c r="U2926" s="1567"/>
      <c r="V2926" s="1568"/>
      <c r="W2926" s="1494"/>
      <c r="X2926" s="1503"/>
      <c r="Y2926" s="1503"/>
      <c r="Z2926" s="1494"/>
      <c r="AA2926" s="1504"/>
      <c r="AB2926" s="1560"/>
    </row>
    <row r="2927" spans="1:28" s="352" customFormat="1" ht="18" customHeight="1" x14ac:dyDescent="0.2">
      <c r="A2927" s="88"/>
      <c r="B2927" s="75"/>
      <c r="C2927" s="88"/>
      <c r="D2927" s="2165"/>
      <c r="E2927" s="2166"/>
      <c r="F2927" s="411"/>
      <c r="G2927" s="242"/>
      <c r="H2927" s="412"/>
      <c r="I2927" s="159"/>
      <c r="J2927" s="121"/>
      <c r="K2927" s="159"/>
      <c r="L2927" s="75"/>
      <c r="M2927" s="88"/>
      <c r="N2927" s="88"/>
      <c r="O2927" s="75"/>
      <c r="P2927" s="180"/>
      <c r="Q2927" s="174"/>
      <c r="R2927" s="413"/>
      <c r="S2927" s="74"/>
      <c r="T2927" s="88"/>
      <c r="U2927" s="74"/>
      <c r="V2927" s="74"/>
      <c r="W2927" s="74"/>
      <c r="X2927" s="74"/>
      <c r="Y2927" s="121"/>
      <c r="Z2927" s="74"/>
      <c r="AA2927" s="414"/>
      <c r="AB2927" s="416"/>
    </row>
    <row r="2928" spans="1:28" s="352" customFormat="1" ht="18" customHeight="1" x14ac:dyDescent="0.2">
      <c r="A2928" s="88"/>
      <c r="B2928" s="418"/>
      <c r="C2928" s="88"/>
      <c r="D2928" s="88"/>
      <c r="E2928" s="88"/>
      <c r="F2928" s="411"/>
      <c r="G2928" s="242"/>
      <c r="H2928" s="412"/>
      <c r="I2928" s="159"/>
      <c r="J2928" s="121"/>
      <c r="K2928" s="159"/>
      <c r="L2928" s="75"/>
      <c r="M2928" s="88"/>
      <c r="N2928" s="88"/>
      <c r="O2928" s="75"/>
      <c r="P2928" s="180"/>
      <c r="Q2928" s="174"/>
      <c r="R2928" s="413"/>
      <c r="S2928" s="74"/>
      <c r="T2928" s="88"/>
      <c r="U2928" s="74"/>
      <c r="V2928" s="74"/>
      <c r="W2928" s="74"/>
      <c r="X2928" s="74"/>
      <c r="Y2928" s="121"/>
      <c r="Z2928" s="74"/>
      <c r="AA2928" s="414"/>
      <c r="AB2928" s="410"/>
    </row>
    <row r="2929" spans="1:28" s="352" customFormat="1" ht="18" customHeight="1" x14ac:dyDescent="0.2">
      <c r="A2929" s="1147"/>
      <c r="B2929" s="1989"/>
      <c r="C2929" s="1147"/>
      <c r="D2929" s="1147"/>
      <c r="E2929" s="1147"/>
      <c r="F2929" s="1147"/>
      <c r="G2929" s="1147"/>
      <c r="H2929" s="1990"/>
      <c r="I2929" s="1991"/>
      <c r="J2929" s="1868"/>
      <c r="K2929" s="1992"/>
      <c r="L2929" s="1989"/>
      <c r="M2929" s="1147"/>
      <c r="N2929" s="1147"/>
      <c r="O2929" s="1989"/>
      <c r="P2929" s="1867"/>
      <c r="Q2929" s="1993"/>
      <c r="R2929" s="1994"/>
      <c r="S2929" s="1991"/>
      <c r="T2929" s="1147"/>
      <c r="U2929" s="1991"/>
      <c r="V2929" s="1991"/>
      <c r="W2929" s="1991"/>
      <c r="X2929" s="1991"/>
      <c r="Y2929" s="1868"/>
      <c r="Z2929" s="1991"/>
      <c r="AA2929" s="1995"/>
      <c r="AB2929" s="1849">
        <f>SUM(AB2915:AB2928)</f>
        <v>18</v>
      </c>
    </row>
    <row r="2930" spans="1:28" s="352" customFormat="1" ht="18" customHeight="1" x14ac:dyDescent="0.2">
      <c r="A2930" s="2788" t="s">
        <v>76</v>
      </c>
      <c r="B2930" s="2788"/>
      <c r="C2930" s="2779" t="s">
        <v>77</v>
      </c>
      <c r="D2930" s="2779"/>
      <c r="E2930" s="2779"/>
      <c r="F2930" s="2779"/>
      <c r="G2930" s="2779"/>
      <c r="H2930" s="2779"/>
      <c r="I2930" s="424" t="s">
        <v>78</v>
      </c>
      <c r="J2930" s="424"/>
      <c r="K2930" s="424"/>
      <c r="L2930" s="424"/>
      <c r="M2930" s="424"/>
      <c r="N2930" s="424"/>
      <c r="AB2930" s="425"/>
    </row>
    <row r="2931" spans="1:28" s="352" customFormat="1" ht="18" customHeight="1" x14ac:dyDescent="0.2">
      <c r="A2931" s="424"/>
      <c r="B2931" s="426"/>
      <c r="C2931" s="424"/>
      <c r="D2931" s="424"/>
      <c r="E2931" s="424"/>
      <c r="F2931" s="424"/>
      <c r="G2931" s="424"/>
      <c r="H2931" s="424"/>
      <c r="I2931" s="424" t="s">
        <v>79</v>
      </c>
      <c r="J2931" s="424"/>
      <c r="K2931" s="424"/>
      <c r="L2931" s="424"/>
      <c r="M2931" s="424"/>
      <c r="N2931" s="424"/>
      <c r="AB2931" s="425"/>
    </row>
    <row r="2932" spans="1:28" s="352" customFormat="1" ht="18" customHeight="1" x14ac:dyDescent="0.2">
      <c r="A2932" s="424"/>
      <c r="B2932" s="426"/>
      <c r="C2932" s="424"/>
      <c r="D2932" s="424"/>
      <c r="E2932" s="424"/>
      <c r="F2932" s="424"/>
      <c r="G2932" s="424"/>
      <c r="H2932" s="424"/>
      <c r="I2932" s="424" t="s">
        <v>80</v>
      </c>
      <c r="J2932" s="424"/>
      <c r="K2932" s="424"/>
      <c r="L2932" s="424"/>
      <c r="M2932" s="424"/>
      <c r="N2932" s="424"/>
      <c r="AB2932" s="425"/>
    </row>
    <row r="2933" spans="1:28" s="352" customFormat="1" ht="18" customHeight="1" x14ac:dyDescent="0.2">
      <c r="A2933" s="424"/>
      <c r="B2933" s="426"/>
      <c r="C2933" s="424"/>
      <c r="D2933" s="424"/>
      <c r="E2933" s="424"/>
      <c r="F2933" s="424"/>
      <c r="G2933" s="424"/>
      <c r="H2933" s="424"/>
      <c r="I2933" s="424" t="s">
        <v>81</v>
      </c>
      <c r="J2933" s="424"/>
      <c r="K2933" s="424"/>
      <c r="L2933" s="424"/>
      <c r="M2933" s="424"/>
      <c r="N2933" s="424"/>
      <c r="AB2933" s="425"/>
    </row>
    <row r="2934" spans="1:28" s="352" customFormat="1" ht="18" customHeight="1" x14ac:dyDescent="0.2">
      <c r="A2934" s="424"/>
      <c r="B2934" s="426"/>
      <c r="C2934" s="424"/>
      <c r="D2934" s="424"/>
      <c r="E2934" s="424"/>
      <c r="F2934" s="424"/>
      <c r="G2934" s="424"/>
      <c r="H2934" s="424"/>
      <c r="I2934" s="424" t="s">
        <v>88</v>
      </c>
      <c r="J2934" s="424"/>
      <c r="K2934" s="424"/>
      <c r="L2934" s="424"/>
      <c r="M2934" s="424"/>
      <c r="N2934" s="424"/>
      <c r="AB2934" s="425"/>
    </row>
    <row r="2935" spans="1:28" s="352" customFormat="1" ht="18" customHeight="1" x14ac:dyDescent="0.2">
      <c r="A2935" s="338"/>
      <c r="B2935" s="338"/>
      <c r="C2935" s="338"/>
      <c r="D2935" s="338"/>
      <c r="E2935" s="338"/>
      <c r="F2935" s="338"/>
      <c r="G2935" s="338"/>
      <c r="H2935" s="338"/>
      <c r="I2935" s="338"/>
      <c r="J2935" s="338"/>
      <c r="K2935" s="338"/>
      <c r="L2935" s="338"/>
      <c r="M2935" s="338"/>
      <c r="N2935" s="338"/>
      <c r="O2935" s="338"/>
      <c r="P2935" s="338"/>
      <c r="Q2935" s="338"/>
      <c r="R2935" s="338"/>
      <c r="S2935" s="338"/>
      <c r="T2935" s="338"/>
      <c r="U2935" s="338"/>
      <c r="V2935" s="338"/>
      <c r="W2935" s="338"/>
      <c r="X2935" s="338"/>
      <c r="Y2935" s="338"/>
      <c r="Z2935" s="338"/>
      <c r="AA2935" s="2774" t="s">
        <v>0</v>
      </c>
      <c r="AB2935" s="2774"/>
    </row>
    <row r="2936" spans="1:28" s="352" customFormat="1" ht="18" customHeight="1" x14ac:dyDescent="0.2">
      <c r="A2936" s="2703" t="s">
        <v>1</v>
      </c>
      <c r="B2936" s="2703"/>
      <c r="C2936" s="2703"/>
      <c r="D2936" s="2703"/>
      <c r="E2936" s="2703"/>
      <c r="F2936" s="2703"/>
      <c r="G2936" s="2703"/>
      <c r="H2936" s="2703"/>
      <c r="I2936" s="2703"/>
      <c r="J2936" s="2703"/>
      <c r="K2936" s="2703"/>
      <c r="L2936" s="2703"/>
      <c r="M2936" s="2703"/>
      <c r="N2936" s="2703"/>
      <c r="O2936" s="2703"/>
      <c r="P2936" s="2703"/>
      <c r="Q2936" s="2703"/>
      <c r="R2936" s="2703"/>
      <c r="S2936" s="2703"/>
      <c r="T2936" s="2703"/>
      <c r="U2936" s="2703"/>
      <c r="V2936" s="2703"/>
      <c r="W2936" s="2703"/>
      <c r="X2936" s="2703"/>
      <c r="Y2936" s="2703"/>
      <c r="Z2936" s="2703"/>
      <c r="AA2936" s="2703"/>
      <c r="AB2936" s="2703"/>
    </row>
    <row r="2937" spans="1:28" s="352" customFormat="1" ht="18" customHeight="1" x14ac:dyDescent="0.2">
      <c r="A2937" s="2780" t="s">
        <v>322</v>
      </c>
      <c r="B2937" s="2780"/>
      <c r="C2937" s="2780"/>
      <c r="D2937" s="2780"/>
      <c r="E2937" s="2780"/>
      <c r="F2937" s="2780"/>
      <c r="G2937" s="2780"/>
      <c r="H2937" s="2780"/>
      <c r="I2937" s="2780"/>
      <c r="J2937" s="2780"/>
      <c r="K2937" s="2780"/>
      <c r="L2937" s="2780"/>
      <c r="M2937" s="2780"/>
      <c r="N2937" s="2780"/>
      <c r="O2937" s="2780"/>
      <c r="P2937" s="2780"/>
      <c r="Q2937" s="2780"/>
      <c r="R2937" s="2780"/>
      <c r="S2937" s="2780"/>
      <c r="T2937" s="2780"/>
      <c r="U2937" s="2780"/>
      <c r="V2937" s="2780"/>
      <c r="W2937" s="2780"/>
      <c r="X2937" s="2780"/>
      <c r="Y2937" s="2780"/>
      <c r="Z2937" s="2780"/>
      <c r="AA2937" s="2780"/>
      <c r="AB2937" s="2780"/>
    </row>
    <row r="2938" spans="1:28" s="352" customFormat="1" ht="18" customHeight="1" x14ac:dyDescent="0.2">
      <c r="A2938" s="2686" t="s">
        <v>2</v>
      </c>
      <c r="B2938" s="360"/>
      <c r="C2938" s="2686" t="s">
        <v>3</v>
      </c>
      <c r="D2938" s="360"/>
      <c r="E2938" s="360"/>
      <c r="F2938" s="2693" t="s">
        <v>4</v>
      </c>
      <c r="G2938" s="2693"/>
      <c r="H2938" s="2693"/>
      <c r="I2938" s="2694"/>
      <c r="J2938" s="2694"/>
      <c r="K2938" s="2695"/>
      <c r="L2938" s="361"/>
      <c r="M2938" s="2679" t="s">
        <v>5</v>
      </c>
      <c r="N2938" s="2679"/>
      <c r="O2938" s="2679"/>
      <c r="P2938" s="2679"/>
      <c r="Q2938" s="2696"/>
      <c r="R2938" s="2696"/>
      <c r="S2938" s="2696"/>
      <c r="T2938" s="2696"/>
      <c r="U2938" s="2696"/>
      <c r="V2938" s="2697"/>
      <c r="W2938" s="362" t="s">
        <v>6</v>
      </c>
      <c r="X2938" s="363" t="s">
        <v>7</v>
      </c>
      <c r="Y2938" s="364"/>
      <c r="Z2938" s="364"/>
      <c r="AA2938" s="363"/>
      <c r="AB2938" s="365"/>
    </row>
    <row r="2939" spans="1:28" s="352" customFormat="1" ht="18" customHeight="1" x14ac:dyDescent="0.2">
      <c r="A2939" s="2687"/>
      <c r="B2939" s="367"/>
      <c r="C2939" s="2687"/>
      <c r="D2939" s="2158" t="s">
        <v>9</v>
      </c>
      <c r="E2939" s="368" t="s">
        <v>10</v>
      </c>
      <c r="F2939" s="2698" t="s">
        <v>11</v>
      </c>
      <c r="G2939" s="2694"/>
      <c r="H2939" s="2695"/>
      <c r="I2939" s="360"/>
      <c r="J2939" s="369" t="s">
        <v>12</v>
      </c>
      <c r="K2939" s="360"/>
      <c r="L2939" s="2679" t="s">
        <v>2</v>
      </c>
      <c r="M2939" s="2162"/>
      <c r="N2939" s="2162"/>
      <c r="O2939" s="2162"/>
      <c r="P2939" s="371"/>
      <c r="Q2939" s="372" t="s">
        <v>13</v>
      </c>
      <c r="R2939" s="373" t="s">
        <v>12</v>
      </c>
      <c r="S2939" s="2162" t="s">
        <v>6</v>
      </c>
      <c r="T2939" s="2682" t="s">
        <v>14</v>
      </c>
      <c r="U2939" s="2683"/>
      <c r="V2939" s="375" t="s">
        <v>7</v>
      </c>
      <c r="W2939" s="376" t="s">
        <v>15</v>
      </c>
      <c r="X2939" s="377" t="s">
        <v>16</v>
      </c>
      <c r="Y2939" s="377" t="s">
        <v>17</v>
      </c>
      <c r="Z2939" s="377" t="s">
        <v>18</v>
      </c>
      <c r="AA2939" s="377"/>
      <c r="AB2939" s="378" t="s">
        <v>19</v>
      </c>
    </row>
    <row r="2940" spans="1:28" s="352" customFormat="1" ht="18" customHeight="1" x14ac:dyDescent="0.2">
      <c r="A2940" s="2687"/>
      <c r="B2940" s="2158" t="s">
        <v>23</v>
      </c>
      <c r="C2940" s="2687"/>
      <c r="D2940" s="2158" t="s">
        <v>24</v>
      </c>
      <c r="E2940" s="368" t="s">
        <v>25</v>
      </c>
      <c r="F2940" s="2699"/>
      <c r="G2940" s="2700"/>
      <c r="H2940" s="2701"/>
      <c r="I2940" s="2158" t="s">
        <v>26</v>
      </c>
      <c r="J2940" s="379" t="s">
        <v>15</v>
      </c>
      <c r="K2940" s="2159" t="s">
        <v>6</v>
      </c>
      <c r="L2940" s="2680"/>
      <c r="M2940" s="2163" t="s">
        <v>27</v>
      </c>
      <c r="N2940" s="2163" t="s">
        <v>10</v>
      </c>
      <c r="O2940" s="382" t="s">
        <v>10</v>
      </c>
      <c r="P2940" s="383" t="s">
        <v>28</v>
      </c>
      <c r="Q2940" s="384" t="s">
        <v>29</v>
      </c>
      <c r="R2940" s="383" t="s">
        <v>15</v>
      </c>
      <c r="S2940" s="385" t="s">
        <v>15</v>
      </c>
      <c r="T2940" s="2684"/>
      <c r="U2940" s="2685"/>
      <c r="V2940" s="375" t="s">
        <v>30</v>
      </c>
      <c r="W2940" s="376" t="s">
        <v>31</v>
      </c>
      <c r="X2940" s="377" t="s">
        <v>30</v>
      </c>
      <c r="Y2940" s="377" t="s">
        <v>32</v>
      </c>
      <c r="Z2940" s="377" t="s">
        <v>7</v>
      </c>
      <c r="AA2940" s="377" t="s">
        <v>33</v>
      </c>
      <c r="AB2940" s="378" t="s">
        <v>34</v>
      </c>
    </row>
    <row r="2941" spans="1:28" s="352" customFormat="1" ht="18" customHeight="1" x14ac:dyDescent="0.2">
      <c r="A2941" s="2687"/>
      <c r="B2941" s="2158" t="s">
        <v>39</v>
      </c>
      <c r="C2941" s="2687"/>
      <c r="D2941" s="2158" t="s">
        <v>40</v>
      </c>
      <c r="E2941" s="368" t="s">
        <v>41</v>
      </c>
      <c r="F2941" s="2686" t="s">
        <v>42</v>
      </c>
      <c r="G2941" s="2686" t="s">
        <v>43</v>
      </c>
      <c r="H2941" s="2688" t="s">
        <v>44</v>
      </c>
      <c r="I2941" s="2158" t="s">
        <v>45</v>
      </c>
      <c r="J2941" s="379" t="s">
        <v>46</v>
      </c>
      <c r="K2941" s="2159" t="s">
        <v>47</v>
      </c>
      <c r="L2941" s="2680"/>
      <c r="M2941" s="2163" t="s">
        <v>30</v>
      </c>
      <c r="N2941" s="2163" t="s">
        <v>30</v>
      </c>
      <c r="O2941" s="382" t="s">
        <v>25</v>
      </c>
      <c r="P2941" s="383" t="s">
        <v>30</v>
      </c>
      <c r="Q2941" s="384" t="s">
        <v>48</v>
      </c>
      <c r="R2941" s="383" t="s">
        <v>49</v>
      </c>
      <c r="S2941" s="385" t="s">
        <v>30</v>
      </c>
      <c r="T2941" s="386" t="s">
        <v>50</v>
      </c>
      <c r="U2941" s="2161" t="s">
        <v>13</v>
      </c>
      <c r="V2941" s="375" t="s">
        <v>51</v>
      </c>
      <c r="W2941" s="376" t="s">
        <v>52</v>
      </c>
      <c r="X2941" s="377" t="s">
        <v>53</v>
      </c>
      <c r="Y2941" s="377" t="s">
        <v>54</v>
      </c>
      <c r="Z2941" s="377" t="s">
        <v>55</v>
      </c>
      <c r="AA2941" s="377" t="s">
        <v>56</v>
      </c>
      <c r="AB2941" s="378" t="s">
        <v>57</v>
      </c>
    </row>
    <row r="2942" spans="1:28" s="352" customFormat="1" ht="18" customHeight="1" x14ac:dyDescent="0.2">
      <c r="A2942" s="2687"/>
      <c r="B2942" s="2158" t="s">
        <v>61</v>
      </c>
      <c r="C2942" s="2687"/>
      <c r="D2942" s="2158" t="s">
        <v>62</v>
      </c>
      <c r="E2942" s="368" t="s">
        <v>63</v>
      </c>
      <c r="F2942" s="2687"/>
      <c r="G2942" s="2687"/>
      <c r="H2942" s="2689"/>
      <c r="I2942" s="2158" t="s">
        <v>64</v>
      </c>
      <c r="J2942" s="379" t="s">
        <v>59</v>
      </c>
      <c r="K2942" s="2159" t="s">
        <v>59</v>
      </c>
      <c r="L2942" s="2680"/>
      <c r="M2942" s="2163"/>
      <c r="N2942" s="2163"/>
      <c r="O2942" s="382" t="s">
        <v>41</v>
      </c>
      <c r="P2942" s="383" t="s">
        <v>65</v>
      </c>
      <c r="Q2942" s="384" t="s">
        <v>66</v>
      </c>
      <c r="R2942" s="383" t="s">
        <v>67</v>
      </c>
      <c r="S2942" s="385" t="s">
        <v>59</v>
      </c>
      <c r="T2942" s="387" t="s">
        <v>68</v>
      </c>
      <c r="U2942" s="375" t="s">
        <v>14</v>
      </c>
      <c r="V2942" s="375" t="s">
        <v>14</v>
      </c>
      <c r="W2942" s="376" t="s">
        <v>30</v>
      </c>
      <c r="X2942" s="388" t="s">
        <v>69</v>
      </c>
      <c r="Y2942" s="388" t="s">
        <v>70</v>
      </c>
      <c r="Z2942" s="377" t="s">
        <v>71</v>
      </c>
      <c r="AA2942" s="377" t="s">
        <v>72</v>
      </c>
      <c r="AB2942" s="378" t="s">
        <v>59</v>
      </c>
    </row>
    <row r="2943" spans="1:28" s="352" customFormat="1" ht="18" customHeight="1" x14ac:dyDescent="0.2">
      <c r="A2943" s="2692"/>
      <c r="B2943" s="390"/>
      <c r="C2943" s="2692"/>
      <c r="D2943" s="390"/>
      <c r="E2943" s="2160"/>
      <c r="F2943" s="390"/>
      <c r="G2943" s="390"/>
      <c r="H2943" s="391"/>
      <c r="I2943" s="2160"/>
      <c r="J2943" s="392"/>
      <c r="K2943" s="393"/>
      <c r="L2943" s="2681"/>
      <c r="M2943" s="2164"/>
      <c r="N2943" s="2164"/>
      <c r="O2943" s="2164" t="s">
        <v>63</v>
      </c>
      <c r="P2943" s="395"/>
      <c r="Q2943" s="396" t="s">
        <v>72</v>
      </c>
      <c r="R2943" s="397" t="s">
        <v>59</v>
      </c>
      <c r="S2943" s="398"/>
      <c r="T2943" s="397" t="s">
        <v>73</v>
      </c>
      <c r="U2943" s="398" t="s">
        <v>59</v>
      </c>
      <c r="V2943" s="399" t="s">
        <v>59</v>
      </c>
      <c r="W2943" s="400" t="s">
        <v>59</v>
      </c>
      <c r="X2943" s="401" t="s">
        <v>59</v>
      </c>
      <c r="Y2943" s="401" t="s">
        <v>59</v>
      </c>
      <c r="Z2943" s="401" t="s">
        <v>59</v>
      </c>
      <c r="AA2943" s="402"/>
      <c r="AB2943" s="403"/>
    </row>
    <row r="2944" spans="1:28" s="352" customFormat="1" ht="18" customHeight="1" x14ac:dyDescent="0.2">
      <c r="A2944" s="82">
        <v>1</v>
      </c>
      <c r="B2944" s="240">
        <v>74308</v>
      </c>
      <c r="C2944" s="82">
        <v>1892</v>
      </c>
      <c r="D2944" s="82" t="s">
        <v>84</v>
      </c>
      <c r="E2944" s="82">
        <v>4</v>
      </c>
      <c r="F2944" s="1578">
        <v>0</v>
      </c>
      <c r="G2944" s="1578">
        <v>0</v>
      </c>
      <c r="H2944" s="1579">
        <v>40</v>
      </c>
      <c r="I2944" s="70">
        <v>40</v>
      </c>
      <c r="J2944" s="1586">
        <v>3000</v>
      </c>
      <c r="K2944" s="123">
        <f>J2944*I2944</f>
        <v>120000</v>
      </c>
      <c r="L2944" s="53"/>
      <c r="M2944" s="82"/>
      <c r="N2944" s="82"/>
      <c r="O2944" s="53"/>
      <c r="P2944" s="358"/>
      <c r="Q2944" s="197"/>
      <c r="R2944" s="444"/>
      <c r="S2944" s="70"/>
      <c r="T2944" s="82"/>
      <c r="U2944" s="70"/>
      <c r="V2944" s="70"/>
      <c r="W2944" s="70"/>
      <c r="X2944" s="123">
        <f>K2944</f>
        <v>120000</v>
      </c>
      <c r="Y2944" s="123">
        <v>0</v>
      </c>
      <c r="Z2944" s="123">
        <f>X2944</f>
        <v>120000</v>
      </c>
      <c r="AA2944" s="464">
        <v>0.3</v>
      </c>
      <c r="AB2944" s="465">
        <f>Z2944*AA2944/100</f>
        <v>360</v>
      </c>
    </row>
    <row r="2945" spans="1:28" ht="18" customHeight="1" x14ac:dyDescent="0.2">
      <c r="A2945" s="69">
        <v>2</v>
      </c>
      <c r="B2945" s="155">
        <v>33996</v>
      </c>
      <c r="C2945" s="69">
        <v>345</v>
      </c>
      <c r="D2945" s="69" t="s">
        <v>84</v>
      </c>
      <c r="E2945" s="69">
        <v>4</v>
      </c>
      <c r="F2945" s="1600">
        <v>0</v>
      </c>
      <c r="G2945" s="1600">
        <v>1</v>
      </c>
      <c r="H2945" s="1601">
        <v>17.2</v>
      </c>
      <c r="I2945" s="71">
        <v>117.2</v>
      </c>
      <c r="J2945" s="1604">
        <v>3000</v>
      </c>
      <c r="K2945" s="71">
        <f>J2945*I2945</f>
        <v>351600</v>
      </c>
      <c r="L2945" s="155"/>
      <c r="M2945" s="69"/>
      <c r="N2945" s="69"/>
      <c r="O2945" s="155"/>
      <c r="P2945" s="1590"/>
      <c r="Q2945" s="156"/>
      <c r="R2945" s="157"/>
      <c r="S2945" s="125"/>
      <c r="T2945" s="69"/>
      <c r="U2945" s="125"/>
      <c r="V2945" s="125"/>
      <c r="W2945" s="125"/>
      <c r="X2945" s="71">
        <f>K2945</f>
        <v>351600</v>
      </c>
      <c r="Y2945" s="71">
        <v>0</v>
      </c>
      <c r="Z2945" s="71">
        <f>X2945</f>
        <v>351600</v>
      </c>
      <c r="AA2945" s="84">
        <v>0.3</v>
      </c>
      <c r="AB2945" s="1591">
        <f>Z2945*AA2945/100</f>
        <v>1054.8</v>
      </c>
    </row>
    <row r="2946" spans="1:28" ht="18" customHeight="1" x14ac:dyDescent="0.2">
      <c r="A2946" s="146">
        <v>3</v>
      </c>
      <c r="B2946" s="113">
        <v>33997</v>
      </c>
      <c r="C2946" s="146">
        <v>346</v>
      </c>
      <c r="D2946" s="115" t="s">
        <v>84</v>
      </c>
      <c r="E2946" s="146">
        <v>4</v>
      </c>
      <c r="F2946" s="1602">
        <v>0</v>
      </c>
      <c r="G2946" s="1602">
        <v>1</v>
      </c>
      <c r="H2946" s="1603">
        <v>9.1999999999999993</v>
      </c>
      <c r="I2946" s="117">
        <v>109.2</v>
      </c>
      <c r="J2946" s="1605">
        <v>3000</v>
      </c>
      <c r="K2946" s="117">
        <f>J2946*I2946</f>
        <v>327600</v>
      </c>
      <c r="L2946" s="113"/>
      <c r="M2946" s="146"/>
      <c r="N2946" s="146"/>
      <c r="O2946" s="113"/>
      <c r="P2946" s="1575"/>
      <c r="Q2946" s="132"/>
      <c r="R2946" s="133"/>
      <c r="S2946" s="127"/>
      <c r="T2946" s="146"/>
      <c r="U2946" s="127"/>
      <c r="V2946" s="127"/>
      <c r="W2946" s="127"/>
      <c r="X2946" s="117">
        <f>K2946</f>
        <v>327600</v>
      </c>
      <c r="Y2946" s="108">
        <v>0</v>
      </c>
      <c r="Z2946" s="117">
        <f>X2946</f>
        <v>327600</v>
      </c>
      <c r="AA2946" s="149">
        <v>0.3</v>
      </c>
      <c r="AB2946" s="1505">
        <f>Z2946*AA2946/100</f>
        <v>982.8</v>
      </c>
    </row>
    <row r="2947" spans="1:28" s="352" customFormat="1" ht="18" customHeight="1" x14ac:dyDescent="0.2">
      <c r="A2947" s="2166"/>
      <c r="B2947" s="61"/>
      <c r="C2947" s="2166"/>
      <c r="D2947" s="2166"/>
      <c r="E2947" s="2166"/>
      <c r="F2947" s="2166"/>
      <c r="G2947" s="2166"/>
      <c r="H2947" s="407"/>
      <c r="I2947" s="77"/>
      <c r="J2947" s="2168"/>
      <c r="K2947" s="2168"/>
      <c r="L2947" s="61"/>
      <c r="M2947" s="2166"/>
      <c r="N2947" s="2166"/>
      <c r="O2947" s="61"/>
      <c r="P2947" s="177"/>
      <c r="Q2947" s="196"/>
      <c r="R2947" s="408"/>
      <c r="S2947" s="77"/>
      <c r="T2947" s="2166"/>
      <c r="U2947" s="77"/>
      <c r="V2947" s="77"/>
      <c r="W2947" s="77"/>
      <c r="X2947" s="2168"/>
      <c r="Y2947" s="2168"/>
      <c r="Z2947" s="77"/>
      <c r="AA2947" s="2170"/>
      <c r="AB2947" s="416"/>
    </row>
    <row r="2948" spans="1:28" s="352" customFormat="1" ht="18" customHeight="1" x14ac:dyDescent="0.2">
      <c r="A2948" s="2166"/>
      <c r="B2948" s="61"/>
      <c r="C2948" s="2166"/>
      <c r="D2948" s="2166"/>
      <c r="E2948" s="2166"/>
      <c r="F2948" s="2166"/>
      <c r="G2948" s="2166"/>
      <c r="H2948" s="407"/>
      <c r="I2948" s="77"/>
      <c r="J2948" s="2168"/>
      <c r="K2948" s="2168"/>
      <c r="L2948" s="488"/>
      <c r="M2948" s="488"/>
      <c r="N2948" s="488"/>
      <c r="O2948" s="488"/>
      <c r="P2948" s="819" t="s">
        <v>134</v>
      </c>
      <c r="Q2948" s="819"/>
      <c r="R2948" s="820"/>
      <c r="S2948" s="820"/>
      <c r="T2948" s="819"/>
      <c r="U2948" s="820"/>
      <c r="V2948" s="821"/>
      <c r="W2948" s="77"/>
      <c r="X2948" s="2168"/>
      <c r="Y2948" s="2168"/>
      <c r="Z2948" s="77"/>
      <c r="AA2948" s="2170"/>
      <c r="AB2948" s="410"/>
    </row>
    <row r="2949" spans="1:28" s="352" customFormat="1" ht="18" customHeight="1" x14ac:dyDescent="0.2">
      <c r="A2949" s="2166"/>
      <c r="B2949" s="61"/>
      <c r="C2949" s="2166"/>
      <c r="D2949" s="2166"/>
      <c r="E2949" s="2166"/>
      <c r="F2949" s="2166"/>
      <c r="G2949" s="2166"/>
      <c r="H2949" s="407"/>
      <c r="I2949" s="77"/>
      <c r="J2949" s="2168"/>
      <c r="K2949" s="78"/>
      <c r="L2949" s="61"/>
      <c r="M2949" s="2166"/>
      <c r="N2949" s="2166"/>
      <c r="O2949" s="61"/>
      <c r="P2949" s="177"/>
      <c r="Q2949" s="196"/>
      <c r="R2949" s="408"/>
      <c r="S2949" s="77"/>
      <c r="T2949" s="2166"/>
      <c r="U2949" s="77"/>
      <c r="V2949" s="77"/>
      <c r="W2949" s="77"/>
      <c r="X2949" s="77"/>
      <c r="Y2949" s="2168"/>
      <c r="Z2949" s="77"/>
      <c r="AA2949" s="2170"/>
      <c r="AB2949" s="410"/>
    </row>
    <row r="2950" spans="1:28" s="352" customFormat="1" ht="18" customHeight="1" x14ac:dyDescent="0.2">
      <c r="A2950" s="2166"/>
      <c r="B2950" s="61"/>
      <c r="C2950" s="2166"/>
      <c r="D2950" s="2166"/>
      <c r="E2950" s="2166"/>
      <c r="F2950" s="2166"/>
      <c r="G2950" s="2166"/>
      <c r="H2950" s="407"/>
      <c r="I2950" s="77"/>
      <c r="J2950" s="2168"/>
      <c r="K2950" s="78"/>
      <c r="L2950" s="61"/>
      <c r="M2950" s="2166"/>
      <c r="N2950" s="2166"/>
      <c r="O2950" s="61"/>
      <c r="P2950" s="177"/>
      <c r="Q2950" s="196"/>
      <c r="R2950" s="408"/>
      <c r="S2950" s="77"/>
      <c r="T2950" s="2166"/>
      <c r="U2950" s="77"/>
      <c r="V2950" s="77"/>
      <c r="W2950" s="77"/>
      <c r="X2950" s="77"/>
      <c r="Y2950" s="2168"/>
      <c r="Z2950" s="77"/>
      <c r="AA2950" s="2170"/>
      <c r="AB2950" s="410"/>
    </row>
    <row r="2951" spans="1:28" ht="18" customHeight="1" x14ac:dyDescent="0.2">
      <c r="A2951" s="146"/>
      <c r="B2951" s="1577" t="s">
        <v>325</v>
      </c>
      <c r="C2951" s="146"/>
      <c r="D2951" s="146"/>
      <c r="E2951" s="146"/>
      <c r="F2951" s="146"/>
      <c r="G2951" s="146"/>
      <c r="H2951" s="1574"/>
      <c r="I2951" s="127"/>
      <c r="J2951" s="108"/>
      <c r="K2951" s="1592"/>
      <c r="L2951" s="113"/>
      <c r="M2951" s="146"/>
      <c r="N2951" s="146"/>
      <c r="O2951" s="113"/>
      <c r="P2951" s="1575"/>
      <c r="Q2951" s="132"/>
      <c r="R2951" s="133"/>
      <c r="S2951" s="127"/>
      <c r="T2951" s="146"/>
      <c r="U2951" s="127"/>
      <c r="V2951" s="127"/>
      <c r="W2951" s="127"/>
      <c r="X2951" s="127"/>
      <c r="Y2951" s="108"/>
      <c r="Z2951" s="127"/>
      <c r="AA2951" s="149"/>
      <c r="AB2951" s="1505"/>
    </row>
    <row r="2952" spans="1:28" ht="18" customHeight="1" x14ac:dyDescent="0.2">
      <c r="A2952" s="115"/>
      <c r="B2952" s="1599" t="s">
        <v>326</v>
      </c>
      <c r="C2952" s="115"/>
      <c r="D2952" s="115"/>
      <c r="E2952" s="146"/>
      <c r="F2952" s="1593"/>
      <c r="G2952" s="1594"/>
      <c r="H2952" s="1595"/>
      <c r="I2952" s="1596"/>
      <c r="J2952" s="117"/>
      <c r="K2952" s="1596"/>
      <c r="L2952" s="119"/>
      <c r="M2952" s="115"/>
      <c r="N2952" s="115"/>
      <c r="O2952" s="119"/>
      <c r="P2952" s="1597"/>
      <c r="Q2952" s="134"/>
      <c r="R2952" s="189"/>
      <c r="S2952" s="128"/>
      <c r="T2952" s="115"/>
      <c r="U2952" s="128"/>
      <c r="V2952" s="128"/>
      <c r="W2952" s="128"/>
      <c r="X2952" s="128"/>
      <c r="Y2952" s="117"/>
      <c r="Z2952" s="128"/>
      <c r="AA2952" s="86"/>
      <c r="AB2952" s="1598"/>
    </row>
    <row r="2953" spans="1:28" s="352" customFormat="1" ht="18" customHeight="1" x14ac:dyDescent="0.2">
      <c r="A2953" s="88"/>
      <c r="B2953" s="75"/>
      <c r="C2953" s="88"/>
      <c r="D2953" s="231"/>
      <c r="E2953" s="2166"/>
      <c r="F2953" s="411"/>
      <c r="G2953" s="242"/>
      <c r="H2953" s="412"/>
      <c r="I2953" s="159"/>
      <c r="J2953" s="121"/>
      <c r="K2953" s="159"/>
      <c r="L2953" s="75"/>
      <c r="M2953" s="88"/>
      <c r="N2953" s="88"/>
      <c r="O2953" s="75"/>
      <c r="P2953" s="180"/>
      <c r="Q2953" s="174"/>
      <c r="R2953" s="413"/>
      <c r="S2953" s="74"/>
      <c r="T2953" s="88"/>
      <c r="U2953" s="74"/>
      <c r="V2953" s="74"/>
      <c r="W2953" s="74"/>
      <c r="X2953" s="74"/>
      <c r="Y2953" s="121"/>
      <c r="Z2953" s="74"/>
      <c r="AA2953" s="417"/>
      <c r="AB2953" s="410"/>
    </row>
    <row r="2954" spans="1:28" s="352" customFormat="1" ht="18" customHeight="1" x14ac:dyDescent="0.2">
      <c r="A2954" s="88"/>
      <c r="B2954" s="75"/>
      <c r="C2954" s="88"/>
      <c r="D2954" s="88"/>
      <c r="E2954" s="2166"/>
      <c r="F2954" s="411"/>
      <c r="G2954" s="242"/>
      <c r="H2954" s="412"/>
      <c r="I2954" s="159"/>
      <c r="J2954" s="121"/>
      <c r="K2954" s="159"/>
      <c r="L2954" s="75"/>
      <c r="M2954" s="88"/>
      <c r="N2954" s="88"/>
      <c r="O2954" s="75"/>
      <c r="P2954" s="180"/>
      <c r="Q2954" s="174"/>
      <c r="R2954" s="413"/>
      <c r="S2954" s="74"/>
      <c r="T2954" s="88"/>
      <c r="U2954" s="74"/>
      <c r="V2954" s="74"/>
      <c r="W2954" s="74"/>
      <c r="X2954" s="74"/>
      <c r="Y2954" s="121"/>
      <c r="Z2954" s="74"/>
      <c r="AA2954" s="414"/>
      <c r="AB2954" s="416"/>
    </row>
    <row r="2955" spans="1:28" s="352" customFormat="1" ht="18" customHeight="1" x14ac:dyDescent="0.2">
      <c r="A2955" s="88"/>
      <c r="B2955" s="1588" t="s">
        <v>314</v>
      </c>
      <c r="C2955" s="88"/>
      <c r="D2955" s="88"/>
      <c r="E2955" s="2166"/>
      <c r="F2955" s="411"/>
      <c r="G2955" s="242"/>
      <c r="H2955" s="412"/>
      <c r="I2955" s="159"/>
      <c r="J2955" s="121"/>
      <c r="K2955" s="159"/>
      <c r="L2955" s="75"/>
      <c r="M2955" s="88"/>
      <c r="N2955" s="88"/>
      <c r="O2955" s="75"/>
      <c r="P2955" s="180"/>
      <c r="Q2955" s="174"/>
      <c r="R2955" s="413"/>
      <c r="S2955" s="74"/>
      <c r="T2955" s="88"/>
      <c r="U2955" s="74"/>
      <c r="V2955" s="74"/>
      <c r="W2955" s="74"/>
      <c r="X2955" s="74"/>
      <c r="Y2955" s="121"/>
      <c r="Z2955" s="74"/>
      <c r="AA2955" s="414"/>
      <c r="AB2955" s="415"/>
    </row>
    <row r="2956" spans="1:28" ht="18" customHeight="1" x14ac:dyDescent="0.2">
      <c r="A2956" s="146">
        <v>1</v>
      </c>
      <c r="B2956" s="1573">
        <v>23113</v>
      </c>
      <c r="C2956" s="146">
        <v>1037</v>
      </c>
      <c r="D2956" s="69" t="s">
        <v>84</v>
      </c>
      <c r="E2956" s="146">
        <v>4</v>
      </c>
      <c r="F2956" s="146">
        <v>0</v>
      </c>
      <c r="G2956" s="146">
        <v>0</v>
      </c>
      <c r="H2956" s="1574">
        <v>53.3</v>
      </c>
      <c r="I2956" s="127">
        <v>53.3</v>
      </c>
      <c r="J2956" s="1587">
        <v>3000</v>
      </c>
      <c r="K2956" s="117">
        <f>J2956*I2956</f>
        <v>159900</v>
      </c>
      <c r="L2956" s="113"/>
      <c r="M2956" s="146"/>
      <c r="N2956" s="146"/>
      <c r="O2956" s="113"/>
      <c r="P2956" s="1575"/>
      <c r="Q2956" s="132"/>
      <c r="R2956" s="133"/>
      <c r="S2956" s="127"/>
      <c r="T2956" s="146"/>
      <c r="U2956" s="127"/>
      <c r="V2956" s="127"/>
      <c r="W2956" s="127"/>
      <c r="X2956" s="117"/>
      <c r="Y2956" s="108"/>
      <c r="Z2956" s="117"/>
      <c r="AA2956" s="149"/>
      <c r="AB2956" s="1505"/>
    </row>
    <row r="2957" spans="1:28" s="352" customFormat="1" ht="18" customHeight="1" x14ac:dyDescent="0.2">
      <c r="A2957" s="88"/>
      <c r="B2957" s="418"/>
      <c r="C2957" s="88"/>
      <c r="D2957" s="88"/>
      <c r="E2957" s="88"/>
      <c r="F2957" s="411"/>
      <c r="G2957" s="242"/>
      <c r="H2957" s="412"/>
      <c r="I2957" s="159"/>
      <c r="J2957" s="121"/>
      <c r="K2957" s="159"/>
      <c r="L2957" s="75"/>
      <c r="M2957" s="88"/>
      <c r="N2957" s="88"/>
      <c r="O2957" s="75"/>
      <c r="P2957" s="180"/>
      <c r="Q2957" s="174"/>
      <c r="R2957" s="413"/>
      <c r="S2957" s="74"/>
      <c r="T2957" s="88"/>
      <c r="U2957" s="74"/>
      <c r="V2957" s="74"/>
      <c r="W2957" s="74"/>
      <c r="X2957" s="74"/>
      <c r="Y2957" s="121"/>
      <c r="Z2957" s="74"/>
      <c r="AA2957" s="414"/>
      <c r="AB2957" s="410"/>
    </row>
    <row r="2958" spans="1:28" s="352" customFormat="1" ht="18" customHeight="1" x14ac:dyDescent="0.2">
      <c r="A2958" s="1147"/>
      <c r="B2958" s="1989"/>
      <c r="C2958" s="1147"/>
      <c r="D2958" s="1147"/>
      <c r="E2958" s="1147"/>
      <c r="F2958" s="1147"/>
      <c r="G2958" s="1147"/>
      <c r="H2958" s="1990"/>
      <c r="I2958" s="1991"/>
      <c r="J2958" s="1868"/>
      <c r="K2958" s="1992"/>
      <c r="L2958" s="1989"/>
      <c r="M2958" s="1147"/>
      <c r="N2958" s="1147"/>
      <c r="O2958" s="1989"/>
      <c r="P2958" s="1867"/>
      <c r="Q2958" s="1993"/>
      <c r="R2958" s="1994"/>
      <c r="S2958" s="1991"/>
      <c r="T2958" s="1147"/>
      <c r="U2958" s="1991"/>
      <c r="V2958" s="1991"/>
      <c r="W2958" s="1991"/>
      <c r="X2958" s="1991"/>
      <c r="Y2958" s="1868"/>
      <c r="Z2958" s="1991"/>
      <c r="AA2958" s="1995"/>
      <c r="AB2958" s="1849">
        <f>SUM(AB2944:AB2957)</f>
        <v>2397.6</v>
      </c>
    </row>
    <row r="2959" spans="1:28" s="352" customFormat="1" ht="18" customHeight="1" x14ac:dyDescent="0.2">
      <c r="A2959" s="2788" t="s">
        <v>76</v>
      </c>
      <c r="B2959" s="2788"/>
      <c r="C2959" s="2779" t="s">
        <v>77</v>
      </c>
      <c r="D2959" s="2779"/>
      <c r="E2959" s="2779"/>
      <c r="F2959" s="2779"/>
      <c r="G2959" s="2779"/>
      <c r="H2959" s="2779"/>
      <c r="I2959" s="424" t="s">
        <v>78</v>
      </c>
      <c r="J2959" s="424"/>
      <c r="K2959" s="424"/>
      <c r="L2959" s="424"/>
      <c r="M2959" s="424"/>
      <c r="N2959" s="424"/>
      <c r="AB2959" s="425"/>
    </row>
    <row r="2960" spans="1:28" s="352" customFormat="1" ht="18" customHeight="1" x14ac:dyDescent="0.2">
      <c r="A2960" s="424"/>
      <c r="B2960" s="426"/>
      <c r="C2960" s="424"/>
      <c r="D2960" s="424"/>
      <c r="E2960" s="424"/>
      <c r="F2960" s="424"/>
      <c r="G2960" s="424"/>
      <c r="H2960" s="424"/>
      <c r="I2960" s="424" t="s">
        <v>79</v>
      </c>
      <c r="J2960" s="424"/>
      <c r="K2960" s="424"/>
      <c r="L2960" s="424"/>
      <c r="M2960" s="424"/>
      <c r="N2960" s="424"/>
      <c r="AB2960" s="425"/>
    </row>
    <row r="2961" spans="1:28" s="352" customFormat="1" ht="18" customHeight="1" x14ac:dyDescent="0.2">
      <c r="A2961" s="424"/>
      <c r="B2961" s="426"/>
      <c r="C2961" s="424"/>
      <c r="D2961" s="424"/>
      <c r="E2961" s="424"/>
      <c r="F2961" s="424"/>
      <c r="G2961" s="424"/>
      <c r="H2961" s="424"/>
      <c r="I2961" s="424" t="s">
        <v>80</v>
      </c>
      <c r="J2961" s="424"/>
      <c r="K2961" s="424"/>
      <c r="L2961" s="424"/>
      <c r="M2961" s="424"/>
      <c r="N2961" s="424"/>
      <c r="AB2961" s="425"/>
    </row>
    <row r="2962" spans="1:28" s="352" customFormat="1" ht="18" customHeight="1" x14ac:dyDescent="0.2">
      <c r="A2962" s="424"/>
      <c r="B2962" s="426"/>
      <c r="C2962" s="424"/>
      <c r="D2962" s="424"/>
      <c r="E2962" s="424"/>
      <c r="F2962" s="424"/>
      <c r="G2962" s="424"/>
      <c r="H2962" s="424"/>
      <c r="I2962" s="424" t="s">
        <v>81</v>
      </c>
      <c r="J2962" s="424"/>
      <c r="K2962" s="424"/>
      <c r="L2962" s="424"/>
      <c r="M2962" s="424"/>
      <c r="N2962" s="424"/>
      <c r="AB2962" s="425"/>
    </row>
    <row r="2963" spans="1:28" s="352" customFormat="1" ht="18" customHeight="1" x14ac:dyDescent="0.2">
      <c r="A2963" s="424"/>
      <c r="B2963" s="426"/>
      <c r="C2963" s="424"/>
      <c r="D2963" s="424"/>
      <c r="E2963" s="424"/>
      <c r="F2963" s="424"/>
      <c r="G2963" s="424"/>
      <c r="H2963" s="424"/>
      <c r="I2963" s="424" t="s">
        <v>88</v>
      </c>
      <c r="J2963" s="424"/>
      <c r="K2963" s="424"/>
      <c r="L2963" s="424"/>
      <c r="M2963" s="424"/>
      <c r="N2963" s="424"/>
      <c r="AB2963" s="425"/>
    </row>
    <row r="2964" spans="1:28" s="352" customFormat="1" ht="18" customHeight="1" x14ac:dyDescent="0.2">
      <c r="A2964" s="338"/>
      <c r="B2964" s="338"/>
      <c r="C2964" s="338"/>
      <c r="D2964" s="338"/>
      <c r="E2964" s="338"/>
      <c r="F2964" s="338"/>
      <c r="G2964" s="338"/>
      <c r="H2964" s="338"/>
      <c r="I2964" s="338"/>
      <c r="J2964" s="338"/>
      <c r="K2964" s="338"/>
      <c r="L2964" s="338"/>
      <c r="M2964" s="338"/>
      <c r="N2964" s="338"/>
      <c r="O2964" s="338"/>
      <c r="P2964" s="338"/>
      <c r="Q2964" s="338"/>
      <c r="R2964" s="338"/>
      <c r="S2964" s="338"/>
      <c r="T2964" s="338"/>
      <c r="U2964" s="338"/>
      <c r="V2964" s="338"/>
      <c r="W2964" s="338"/>
      <c r="X2964" s="338"/>
      <c r="Y2964" s="338"/>
      <c r="Z2964" s="338"/>
      <c r="AA2964" s="2774" t="s">
        <v>0</v>
      </c>
      <c r="AB2964" s="2774"/>
    </row>
    <row r="2965" spans="1:28" s="352" customFormat="1" ht="18" customHeight="1" x14ac:dyDescent="0.2">
      <c r="A2965" s="2703" t="s">
        <v>1</v>
      </c>
      <c r="B2965" s="2703"/>
      <c r="C2965" s="2703"/>
      <c r="D2965" s="2703"/>
      <c r="E2965" s="2703"/>
      <c r="F2965" s="2703"/>
      <c r="G2965" s="2703"/>
      <c r="H2965" s="2703"/>
      <c r="I2965" s="2703"/>
      <c r="J2965" s="2703"/>
      <c r="K2965" s="2703"/>
      <c r="L2965" s="2703"/>
      <c r="M2965" s="2703"/>
      <c r="N2965" s="2703"/>
      <c r="O2965" s="2703"/>
      <c r="P2965" s="2703"/>
      <c r="Q2965" s="2703"/>
      <c r="R2965" s="2703"/>
      <c r="S2965" s="2703"/>
      <c r="T2965" s="2703"/>
      <c r="U2965" s="2703"/>
      <c r="V2965" s="2703"/>
      <c r="W2965" s="2703"/>
      <c r="X2965" s="2703"/>
      <c r="Y2965" s="2703"/>
      <c r="Z2965" s="2703"/>
      <c r="AA2965" s="2703"/>
      <c r="AB2965" s="2703"/>
    </row>
    <row r="2966" spans="1:28" s="352" customFormat="1" ht="18" customHeight="1" x14ac:dyDescent="0.2">
      <c r="A2966" s="2777" t="s">
        <v>323</v>
      </c>
      <c r="B2966" s="2777"/>
      <c r="C2966" s="2777"/>
      <c r="D2966" s="2777"/>
      <c r="E2966" s="2777"/>
      <c r="F2966" s="2777"/>
      <c r="G2966" s="2777"/>
      <c r="H2966" s="2777"/>
      <c r="I2966" s="2777"/>
      <c r="J2966" s="2777"/>
      <c r="K2966" s="2777"/>
      <c r="L2966" s="2777"/>
      <c r="M2966" s="2777"/>
      <c r="N2966" s="2777"/>
      <c r="O2966" s="2777"/>
      <c r="P2966" s="2777"/>
      <c r="Q2966" s="2777"/>
      <c r="R2966" s="2777"/>
      <c r="S2966" s="2777"/>
      <c r="T2966" s="2777"/>
      <c r="U2966" s="2777"/>
      <c r="V2966" s="2777"/>
      <c r="W2966" s="2777"/>
      <c r="X2966" s="2777"/>
      <c r="Y2966" s="2777"/>
      <c r="Z2966" s="2777"/>
      <c r="AA2966" s="2777"/>
      <c r="AB2966" s="2777"/>
    </row>
    <row r="2967" spans="1:28" s="352" customFormat="1" ht="18" customHeight="1" x14ac:dyDescent="0.2">
      <c r="A2967" s="2686" t="s">
        <v>2</v>
      </c>
      <c r="B2967" s="360"/>
      <c r="C2967" s="2686" t="s">
        <v>3</v>
      </c>
      <c r="D2967" s="360"/>
      <c r="E2967" s="360"/>
      <c r="F2967" s="2693" t="s">
        <v>4</v>
      </c>
      <c r="G2967" s="2693"/>
      <c r="H2967" s="2693"/>
      <c r="I2967" s="2694"/>
      <c r="J2967" s="2694"/>
      <c r="K2967" s="2695"/>
      <c r="L2967" s="361"/>
      <c r="M2967" s="2679" t="s">
        <v>5</v>
      </c>
      <c r="N2967" s="2679"/>
      <c r="O2967" s="2679"/>
      <c r="P2967" s="2679"/>
      <c r="Q2967" s="2696"/>
      <c r="R2967" s="2696"/>
      <c r="S2967" s="2696"/>
      <c r="T2967" s="2696"/>
      <c r="U2967" s="2696"/>
      <c r="V2967" s="2697"/>
      <c r="W2967" s="362" t="s">
        <v>6</v>
      </c>
      <c r="X2967" s="363" t="s">
        <v>7</v>
      </c>
      <c r="Y2967" s="364"/>
      <c r="Z2967" s="364"/>
      <c r="AA2967" s="363"/>
      <c r="AB2967" s="365"/>
    </row>
    <row r="2968" spans="1:28" s="352" customFormat="1" ht="18" customHeight="1" x14ac:dyDescent="0.2">
      <c r="A2968" s="2687"/>
      <c r="B2968" s="367"/>
      <c r="C2968" s="2687"/>
      <c r="D2968" s="2158" t="s">
        <v>9</v>
      </c>
      <c r="E2968" s="368" t="s">
        <v>10</v>
      </c>
      <c r="F2968" s="2698" t="s">
        <v>11</v>
      </c>
      <c r="G2968" s="2694"/>
      <c r="H2968" s="2695"/>
      <c r="I2968" s="360"/>
      <c r="J2968" s="369" t="s">
        <v>12</v>
      </c>
      <c r="K2968" s="360"/>
      <c r="L2968" s="2679" t="s">
        <v>2</v>
      </c>
      <c r="M2968" s="2162"/>
      <c r="N2968" s="2162"/>
      <c r="O2968" s="2162"/>
      <c r="P2968" s="371"/>
      <c r="Q2968" s="372" t="s">
        <v>13</v>
      </c>
      <c r="R2968" s="373" t="s">
        <v>12</v>
      </c>
      <c r="S2968" s="2162" t="s">
        <v>6</v>
      </c>
      <c r="T2968" s="2682" t="s">
        <v>14</v>
      </c>
      <c r="U2968" s="2683"/>
      <c r="V2968" s="375" t="s">
        <v>7</v>
      </c>
      <c r="W2968" s="376" t="s">
        <v>15</v>
      </c>
      <c r="X2968" s="377" t="s">
        <v>16</v>
      </c>
      <c r="Y2968" s="377" t="s">
        <v>17</v>
      </c>
      <c r="Z2968" s="377" t="s">
        <v>18</v>
      </c>
      <c r="AA2968" s="377"/>
      <c r="AB2968" s="378" t="s">
        <v>19</v>
      </c>
    </row>
    <row r="2969" spans="1:28" s="352" customFormat="1" ht="18" customHeight="1" x14ac:dyDescent="0.2">
      <c r="A2969" s="2687"/>
      <c r="B2969" s="2158" t="s">
        <v>23</v>
      </c>
      <c r="C2969" s="2687"/>
      <c r="D2969" s="2158" t="s">
        <v>24</v>
      </c>
      <c r="E2969" s="368" t="s">
        <v>25</v>
      </c>
      <c r="F2969" s="2699"/>
      <c r="G2969" s="2700"/>
      <c r="H2969" s="2701"/>
      <c r="I2969" s="2158" t="s">
        <v>26</v>
      </c>
      <c r="J2969" s="379" t="s">
        <v>15</v>
      </c>
      <c r="K2969" s="2159" t="s">
        <v>6</v>
      </c>
      <c r="L2969" s="2680"/>
      <c r="M2969" s="2163" t="s">
        <v>27</v>
      </c>
      <c r="N2969" s="2163" t="s">
        <v>10</v>
      </c>
      <c r="O2969" s="382" t="s">
        <v>10</v>
      </c>
      <c r="P2969" s="383" t="s">
        <v>28</v>
      </c>
      <c r="Q2969" s="384" t="s">
        <v>29</v>
      </c>
      <c r="R2969" s="383" t="s">
        <v>15</v>
      </c>
      <c r="S2969" s="385" t="s">
        <v>15</v>
      </c>
      <c r="T2969" s="2684"/>
      <c r="U2969" s="2685"/>
      <c r="V2969" s="375" t="s">
        <v>30</v>
      </c>
      <c r="W2969" s="376" t="s">
        <v>31</v>
      </c>
      <c r="X2969" s="377" t="s">
        <v>30</v>
      </c>
      <c r="Y2969" s="377" t="s">
        <v>32</v>
      </c>
      <c r="Z2969" s="377" t="s">
        <v>7</v>
      </c>
      <c r="AA2969" s="377" t="s">
        <v>33</v>
      </c>
      <c r="AB2969" s="378" t="s">
        <v>34</v>
      </c>
    </row>
    <row r="2970" spans="1:28" s="352" customFormat="1" ht="18" customHeight="1" x14ac:dyDescent="0.2">
      <c r="A2970" s="2687"/>
      <c r="B2970" s="2158" t="s">
        <v>39</v>
      </c>
      <c r="C2970" s="2687"/>
      <c r="D2970" s="2158" t="s">
        <v>40</v>
      </c>
      <c r="E2970" s="368" t="s">
        <v>41</v>
      </c>
      <c r="F2970" s="2686" t="s">
        <v>42</v>
      </c>
      <c r="G2970" s="2686" t="s">
        <v>43</v>
      </c>
      <c r="H2970" s="2688" t="s">
        <v>44</v>
      </c>
      <c r="I2970" s="2158" t="s">
        <v>45</v>
      </c>
      <c r="J2970" s="379" t="s">
        <v>46</v>
      </c>
      <c r="K2970" s="2159" t="s">
        <v>47</v>
      </c>
      <c r="L2970" s="2680"/>
      <c r="M2970" s="2163" t="s">
        <v>30</v>
      </c>
      <c r="N2970" s="2163" t="s">
        <v>30</v>
      </c>
      <c r="O2970" s="382" t="s">
        <v>25</v>
      </c>
      <c r="P2970" s="383" t="s">
        <v>30</v>
      </c>
      <c r="Q2970" s="384" t="s">
        <v>48</v>
      </c>
      <c r="R2970" s="383" t="s">
        <v>49</v>
      </c>
      <c r="S2970" s="385" t="s">
        <v>30</v>
      </c>
      <c r="T2970" s="386" t="s">
        <v>50</v>
      </c>
      <c r="U2970" s="2161" t="s">
        <v>13</v>
      </c>
      <c r="V2970" s="375" t="s">
        <v>51</v>
      </c>
      <c r="W2970" s="376" t="s">
        <v>52</v>
      </c>
      <c r="X2970" s="377" t="s">
        <v>53</v>
      </c>
      <c r="Y2970" s="377" t="s">
        <v>54</v>
      </c>
      <c r="Z2970" s="377" t="s">
        <v>55</v>
      </c>
      <c r="AA2970" s="377" t="s">
        <v>56</v>
      </c>
      <c r="AB2970" s="378" t="s">
        <v>57</v>
      </c>
    </row>
    <row r="2971" spans="1:28" s="352" customFormat="1" ht="18" customHeight="1" x14ac:dyDescent="0.2">
      <c r="A2971" s="2687"/>
      <c r="B2971" s="2158" t="s">
        <v>61</v>
      </c>
      <c r="C2971" s="2687"/>
      <c r="D2971" s="2158" t="s">
        <v>62</v>
      </c>
      <c r="E2971" s="368" t="s">
        <v>63</v>
      </c>
      <c r="F2971" s="2687"/>
      <c r="G2971" s="2687"/>
      <c r="H2971" s="2689"/>
      <c r="I2971" s="2158" t="s">
        <v>64</v>
      </c>
      <c r="J2971" s="379" t="s">
        <v>59</v>
      </c>
      <c r="K2971" s="2159" t="s">
        <v>59</v>
      </c>
      <c r="L2971" s="2680"/>
      <c r="M2971" s="2163"/>
      <c r="N2971" s="2163"/>
      <c r="O2971" s="382" t="s">
        <v>41</v>
      </c>
      <c r="P2971" s="383" t="s">
        <v>65</v>
      </c>
      <c r="Q2971" s="384" t="s">
        <v>66</v>
      </c>
      <c r="R2971" s="383" t="s">
        <v>67</v>
      </c>
      <c r="S2971" s="385" t="s">
        <v>59</v>
      </c>
      <c r="T2971" s="387" t="s">
        <v>68</v>
      </c>
      <c r="U2971" s="375" t="s">
        <v>14</v>
      </c>
      <c r="V2971" s="375" t="s">
        <v>14</v>
      </c>
      <c r="W2971" s="376" t="s">
        <v>30</v>
      </c>
      <c r="X2971" s="388" t="s">
        <v>69</v>
      </c>
      <c r="Y2971" s="388" t="s">
        <v>70</v>
      </c>
      <c r="Z2971" s="377" t="s">
        <v>71</v>
      </c>
      <c r="AA2971" s="377" t="s">
        <v>72</v>
      </c>
      <c r="AB2971" s="378" t="s">
        <v>59</v>
      </c>
    </row>
    <row r="2972" spans="1:28" s="352" customFormat="1" ht="18" customHeight="1" x14ac:dyDescent="0.2">
      <c r="A2972" s="2692"/>
      <c r="B2972" s="390"/>
      <c r="C2972" s="2692"/>
      <c r="D2972" s="390"/>
      <c r="E2972" s="2160"/>
      <c r="F2972" s="390"/>
      <c r="G2972" s="390"/>
      <c r="H2972" s="391"/>
      <c r="I2972" s="2160"/>
      <c r="J2972" s="392"/>
      <c r="K2972" s="393"/>
      <c r="L2972" s="2681"/>
      <c r="M2972" s="2164"/>
      <c r="N2972" s="2164"/>
      <c r="O2972" s="2164" t="s">
        <v>63</v>
      </c>
      <c r="P2972" s="395"/>
      <c r="Q2972" s="396" t="s">
        <v>72</v>
      </c>
      <c r="R2972" s="397" t="s">
        <v>59</v>
      </c>
      <c r="S2972" s="398"/>
      <c r="T2972" s="397" t="s">
        <v>73</v>
      </c>
      <c r="U2972" s="398" t="s">
        <v>59</v>
      </c>
      <c r="V2972" s="399" t="s">
        <v>59</v>
      </c>
      <c r="W2972" s="400" t="s">
        <v>59</v>
      </c>
      <c r="X2972" s="401" t="s">
        <v>59</v>
      </c>
      <c r="Y2972" s="401" t="s">
        <v>59</v>
      </c>
      <c r="Z2972" s="401" t="s">
        <v>59</v>
      </c>
      <c r="AA2972" s="402"/>
      <c r="AB2972" s="403"/>
    </row>
    <row r="2973" spans="1:28" s="352" customFormat="1" ht="18" customHeight="1" x14ac:dyDescent="0.2">
      <c r="A2973" s="82">
        <v>1</v>
      </c>
      <c r="B2973" s="240">
        <v>33999</v>
      </c>
      <c r="C2973" s="82">
        <v>348</v>
      </c>
      <c r="D2973" s="82" t="s">
        <v>84</v>
      </c>
      <c r="E2973" s="82">
        <v>4</v>
      </c>
      <c r="F2973" s="1578">
        <v>0</v>
      </c>
      <c r="G2973" s="1578">
        <v>0</v>
      </c>
      <c r="H2973" s="1579">
        <v>53.8</v>
      </c>
      <c r="I2973" s="1589">
        <f>F2973*400+G2973*100+H2973</f>
        <v>53.8</v>
      </c>
      <c r="J2973" s="1586">
        <v>3000</v>
      </c>
      <c r="K2973" s="121">
        <f>J2973*I2973</f>
        <v>161400</v>
      </c>
      <c r="L2973" s="53"/>
      <c r="M2973" s="82"/>
      <c r="N2973" s="82"/>
      <c r="O2973" s="53"/>
      <c r="P2973" s="358"/>
      <c r="Q2973" s="197"/>
      <c r="R2973" s="444"/>
      <c r="S2973" s="70"/>
      <c r="T2973" s="82"/>
      <c r="U2973" s="70"/>
      <c r="V2973" s="70"/>
      <c r="W2973" s="70"/>
      <c r="X2973" s="123">
        <f>K2973</f>
        <v>161400</v>
      </c>
      <c r="Y2973" s="123">
        <v>0</v>
      </c>
      <c r="Z2973" s="123">
        <f>X2973</f>
        <v>161400</v>
      </c>
      <c r="AA2973" s="464">
        <v>0.3</v>
      </c>
      <c r="AB2973" s="465">
        <f>Z2973*AA2973/100</f>
        <v>484.2</v>
      </c>
    </row>
    <row r="2974" spans="1:28" s="352" customFormat="1" ht="18" customHeight="1" x14ac:dyDescent="0.2">
      <c r="A2974" s="2166"/>
      <c r="B2974" s="240">
        <v>78698</v>
      </c>
      <c r="C2974" s="82">
        <v>1975</v>
      </c>
      <c r="D2974" s="82" t="s">
        <v>84</v>
      </c>
      <c r="E2974" s="82">
        <v>4</v>
      </c>
      <c r="F2974" s="1578">
        <v>0</v>
      </c>
      <c r="G2974" s="1578">
        <v>0</v>
      </c>
      <c r="H2974" s="1579">
        <v>52</v>
      </c>
      <c r="I2974" s="1589">
        <f t="shared" ref="I2974:I2975" si="140">F2974*400+G2974*100+H2974</f>
        <v>52</v>
      </c>
      <c r="J2974" s="1586">
        <v>3000</v>
      </c>
      <c r="K2974" s="121">
        <f t="shared" ref="K2974:K2975" si="141">J2974*I2974</f>
        <v>156000</v>
      </c>
      <c r="L2974" s="53"/>
      <c r="M2974" s="82"/>
      <c r="N2974" s="82"/>
      <c r="O2974" s="53"/>
      <c r="P2974" s="358"/>
      <c r="Q2974" s="197"/>
      <c r="R2974" s="444"/>
      <c r="S2974" s="70"/>
      <c r="T2974" s="82"/>
      <c r="U2974" s="70"/>
      <c r="V2974" s="70"/>
      <c r="W2974" s="70"/>
      <c r="X2974" s="123">
        <f t="shared" ref="X2974:X2975" si="142">K2974</f>
        <v>156000</v>
      </c>
      <c r="Y2974" s="123">
        <v>0</v>
      </c>
      <c r="Z2974" s="123">
        <f t="shared" ref="Z2974:Z2975" si="143">X2974</f>
        <v>156000</v>
      </c>
      <c r="AA2974" s="464">
        <v>0.3</v>
      </c>
      <c r="AB2974" s="465">
        <f t="shared" ref="AB2974:AB2975" si="144">Z2974*AA2974/100</f>
        <v>468</v>
      </c>
    </row>
    <row r="2975" spans="1:28" s="352" customFormat="1" ht="18" customHeight="1" x14ac:dyDescent="0.2">
      <c r="A2975" s="2166"/>
      <c r="B2975" s="240">
        <v>78697</v>
      </c>
      <c r="C2975" s="82">
        <v>1974</v>
      </c>
      <c r="D2975" s="82" t="s">
        <v>84</v>
      </c>
      <c r="E2975" s="82">
        <v>4</v>
      </c>
      <c r="F2975" s="1578">
        <v>0</v>
      </c>
      <c r="G2975" s="1578">
        <v>0</v>
      </c>
      <c r="H2975" s="1579">
        <v>52</v>
      </c>
      <c r="I2975" s="1589">
        <f t="shared" si="140"/>
        <v>52</v>
      </c>
      <c r="J2975" s="1586">
        <v>3000</v>
      </c>
      <c r="K2975" s="121">
        <f t="shared" si="141"/>
        <v>156000</v>
      </c>
      <c r="L2975" s="53"/>
      <c r="M2975" s="82"/>
      <c r="N2975" s="82"/>
      <c r="O2975" s="53"/>
      <c r="P2975" s="358"/>
      <c r="Q2975" s="197"/>
      <c r="R2975" s="444"/>
      <c r="S2975" s="70"/>
      <c r="T2975" s="82"/>
      <c r="U2975" s="70"/>
      <c r="V2975" s="70"/>
      <c r="W2975" s="70"/>
      <c r="X2975" s="123">
        <f t="shared" si="142"/>
        <v>156000</v>
      </c>
      <c r="Y2975" s="123">
        <v>0</v>
      </c>
      <c r="Z2975" s="123">
        <f t="shared" si="143"/>
        <v>156000</v>
      </c>
      <c r="AA2975" s="464">
        <v>0.3</v>
      </c>
      <c r="AB2975" s="465">
        <f t="shared" si="144"/>
        <v>468</v>
      </c>
    </row>
    <row r="2976" spans="1:28" s="352" customFormat="1" ht="18" customHeight="1" x14ac:dyDescent="0.2">
      <c r="A2976" s="2166"/>
      <c r="B2976" s="61"/>
      <c r="C2976" s="2166"/>
      <c r="D2976" s="2166"/>
      <c r="E2976" s="2166"/>
      <c r="F2976" s="2166"/>
      <c r="G2976" s="2166"/>
      <c r="H2976" s="407"/>
      <c r="I2976" s="77"/>
      <c r="J2976" s="2168"/>
      <c r="K2976" s="78"/>
      <c r="L2976" s="61"/>
      <c r="M2976" s="2166"/>
      <c r="N2976" s="2166"/>
      <c r="O2976" s="61"/>
      <c r="P2976" s="177"/>
      <c r="Q2976" s="196"/>
      <c r="R2976" s="408"/>
      <c r="S2976" s="77"/>
      <c r="T2976" s="2166"/>
      <c r="U2976" s="77"/>
      <c r="V2976" s="77"/>
      <c r="W2976" s="77"/>
      <c r="X2976" s="77"/>
      <c r="Y2976" s="2168"/>
      <c r="Z2976" s="77"/>
      <c r="AA2976" s="2170"/>
      <c r="AB2976" s="410"/>
    </row>
    <row r="2977" spans="1:28" s="352" customFormat="1" ht="18" customHeight="1" x14ac:dyDescent="0.2">
      <c r="A2977" s="2166"/>
      <c r="B2977" s="61"/>
      <c r="C2977" s="2166"/>
      <c r="D2977" s="2166"/>
      <c r="E2977" s="2166"/>
      <c r="F2977" s="2166"/>
      <c r="G2977" s="2166"/>
      <c r="H2977" s="407"/>
      <c r="I2977" s="77"/>
      <c r="J2977" s="2168"/>
      <c r="K2977" s="78"/>
      <c r="L2977" s="61"/>
      <c r="M2977" s="2166"/>
      <c r="N2977" s="2166"/>
      <c r="O2977" s="61"/>
      <c r="P2977" s="177"/>
      <c r="Q2977" s="196"/>
      <c r="R2977" s="408"/>
      <c r="S2977" s="77"/>
      <c r="T2977" s="2166"/>
      <c r="U2977" s="77"/>
      <c r="V2977" s="77"/>
      <c r="W2977" s="77"/>
      <c r="X2977" s="77"/>
      <c r="Y2977" s="2168"/>
      <c r="Z2977" s="77"/>
      <c r="AA2977" s="2170"/>
      <c r="AB2977" s="410"/>
    </row>
    <row r="2978" spans="1:28" s="352" customFormat="1" ht="18" customHeight="1" x14ac:dyDescent="0.2">
      <c r="A2978" s="2166"/>
      <c r="B2978" s="61"/>
      <c r="C2978" s="2166"/>
      <c r="D2978" s="2166"/>
      <c r="E2978" s="2166"/>
      <c r="F2978" s="2166"/>
      <c r="G2978" s="2166"/>
      <c r="H2978" s="407"/>
      <c r="I2978" s="77"/>
      <c r="J2978" s="2168"/>
      <c r="K2978" s="78"/>
      <c r="L2978" s="61"/>
      <c r="M2978" s="2166"/>
      <c r="N2978" s="2166"/>
      <c r="O2978" s="61"/>
      <c r="P2978" s="177"/>
      <c r="Q2978" s="196"/>
      <c r="R2978" s="408"/>
      <c r="S2978" s="77"/>
      <c r="T2978" s="2166"/>
      <c r="U2978" s="77"/>
      <c r="V2978" s="77"/>
      <c r="W2978" s="77"/>
      <c r="X2978" s="77"/>
      <c r="Y2978" s="2168"/>
      <c r="Z2978" s="77"/>
      <c r="AA2978" s="2170"/>
      <c r="AB2978" s="410"/>
    </row>
    <row r="2979" spans="1:28" s="352" customFormat="1" ht="18" customHeight="1" x14ac:dyDescent="0.2">
      <c r="A2979" s="88"/>
      <c r="B2979" s="75"/>
      <c r="C2979" s="88"/>
      <c r="D2979" s="88"/>
      <c r="E2979" s="2166"/>
      <c r="F2979" s="411"/>
      <c r="G2979" s="242"/>
      <c r="H2979" s="412"/>
      <c r="I2979" s="159"/>
      <c r="J2979" s="121"/>
      <c r="K2979" s="159"/>
      <c r="L2979" s="75"/>
      <c r="M2979" s="88"/>
      <c r="N2979" s="88"/>
      <c r="O2979" s="75"/>
      <c r="P2979" s="180"/>
      <c r="Q2979" s="174"/>
      <c r="R2979" s="413"/>
      <c r="S2979" s="74"/>
      <c r="T2979" s="88"/>
      <c r="U2979" s="74"/>
      <c r="V2979" s="74"/>
      <c r="W2979" s="74"/>
      <c r="X2979" s="74"/>
      <c r="Y2979" s="121"/>
      <c r="Z2979" s="74"/>
      <c r="AA2979" s="414"/>
      <c r="AB2979" s="415"/>
    </row>
    <row r="2980" spans="1:28" s="352" customFormat="1" ht="18" customHeight="1" x14ac:dyDescent="0.2">
      <c r="A2980" s="88"/>
      <c r="B2980" s="75"/>
      <c r="C2980" s="88"/>
      <c r="D2980" s="231"/>
      <c r="E2980" s="2166"/>
      <c r="F2980" s="411"/>
      <c r="G2980" s="242"/>
      <c r="H2980" s="412"/>
      <c r="I2980" s="159"/>
      <c r="J2980" s="121"/>
      <c r="K2980" s="159"/>
      <c r="L2980" s="75"/>
      <c r="M2980" s="88"/>
      <c r="N2980" s="88"/>
      <c r="O2980" s="75"/>
      <c r="P2980" s="180"/>
      <c r="Q2980" s="174"/>
      <c r="R2980" s="413"/>
      <c r="S2980" s="74"/>
      <c r="T2980" s="88"/>
      <c r="U2980" s="74"/>
      <c r="V2980" s="74"/>
      <c r="W2980" s="74"/>
      <c r="X2980" s="74"/>
      <c r="Y2980" s="121"/>
      <c r="Z2980" s="74"/>
      <c r="AA2980" s="417"/>
      <c r="AB2980" s="410"/>
    </row>
    <row r="2981" spans="1:28" s="352" customFormat="1" ht="18" customHeight="1" x14ac:dyDescent="0.2">
      <c r="A2981" s="88"/>
      <c r="B2981" s="75"/>
      <c r="C2981" s="88"/>
      <c r="D2981" s="88"/>
      <c r="E2981" s="2166"/>
      <c r="F2981" s="411"/>
      <c r="G2981" s="242"/>
      <c r="H2981" s="412"/>
      <c r="I2981" s="159"/>
      <c r="J2981" s="121"/>
      <c r="K2981" s="159"/>
      <c r="L2981" s="75"/>
      <c r="M2981" s="88"/>
      <c r="N2981" s="88"/>
      <c r="O2981" s="75"/>
      <c r="P2981" s="180"/>
      <c r="Q2981" s="174"/>
      <c r="R2981" s="413"/>
      <c r="S2981" s="74"/>
      <c r="T2981" s="88"/>
      <c r="U2981" s="74"/>
      <c r="V2981" s="74"/>
      <c r="W2981" s="74"/>
      <c r="X2981" s="74"/>
      <c r="Y2981" s="121"/>
      <c r="Z2981" s="74"/>
      <c r="AA2981" s="414"/>
      <c r="AB2981" s="416"/>
    </row>
    <row r="2982" spans="1:28" s="352" customFormat="1" ht="18" customHeight="1" x14ac:dyDescent="0.2">
      <c r="A2982" s="88"/>
      <c r="B2982" s="1588"/>
      <c r="C2982" s="88"/>
      <c r="D2982" s="88"/>
      <c r="E2982" s="2166"/>
      <c r="F2982" s="411"/>
      <c r="G2982" s="242"/>
      <c r="H2982" s="412"/>
      <c r="I2982" s="159"/>
      <c r="J2982" s="121"/>
      <c r="K2982" s="159"/>
      <c r="L2982" s="75"/>
      <c r="M2982" s="88"/>
      <c r="N2982" s="88"/>
      <c r="O2982" s="75"/>
      <c r="P2982" s="180"/>
      <c r="Q2982" s="174"/>
      <c r="R2982" s="413"/>
      <c r="S2982" s="74"/>
      <c r="T2982" s="88"/>
      <c r="U2982" s="74"/>
      <c r="V2982" s="74"/>
      <c r="W2982" s="74"/>
      <c r="X2982" s="74"/>
      <c r="Y2982" s="121"/>
      <c r="Z2982" s="74"/>
      <c r="AA2982" s="414"/>
      <c r="AB2982" s="415"/>
    </row>
    <row r="2983" spans="1:28" s="352" customFormat="1" ht="18" customHeight="1" x14ac:dyDescent="0.2">
      <c r="A2983" s="88"/>
      <c r="B2983" s="75"/>
      <c r="C2983" s="88"/>
      <c r="D2983" s="2165"/>
      <c r="E2983" s="2166"/>
      <c r="F2983" s="411"/>
      <c r="G2983" s="242"/>
      <c r="H2983" s="412"/>
      <c r="I2983" s="159"/>
      <c r="J2983" s="121"/>
      <c r="K2983" s="159"/>
      <c r="L2983" s="75"/>
      <c r="M2983" s="88"/>
      <c r="N2983" s="88"/>
      <c r="O2983" s="75"/>
      <c r="P2983" s="180"/>
      <c r="Q2983" s="174"/>
      <c r="R2983" s="413"/>
      <c r="S2983" s="74"/>
      <c r="T2983" s="88"/>
      <c r="U2983" s="74"/>
      <c r="V2983" s="74"/>
      <c r="W2983" s="74"/>
      <c r="X2983" s="74"/>
      <c r="Y2983" s="121"/>
      <c r="Z2983" s="74"/>
      <c r="AA2983" s="414"/>
      <c r="AB2983" s="410"/>
    </row>
    <row r="2984" spans="1:28" s="352" customFormat="1" ht="18" customHeight="1" x14ac:dyDescent="0.2">
      <c r="A2984" s="88"/>
      <c r="B2984" s="75"/>
      <c r="C2984" s="88"/>
      <c r="D2984" s="2165"/>
      <c r="E2984" s="2166"/>
      <c r="F2984" s="411"/>
      <c r="G2984" s="242"/>
      <c r="H2984" s="412"/>
      <c r="I2984" s="159"/>
      <c r="J2984" s="121"/>
      <c r="K2984" s="159"/>
      <c r="L2984" s="75"/>
      <c r="M2984" s="88"/>
      <c r="N2984" s="88"/>
      <c r="O2984" s="75"/>
      <c r="P2984" s="180"/>
      <c r="Q2984" s="174"/>
      <c r="R2984" s="413"/>
      <c r="S2984" s="74"/>
      <c r="T2984" s="88"/>
      <c r="U2984" s="74"/>
      <c r="V2984" s="74"/>
      <c r="W2984" s="74"/>
      <c r="X2984" s="74"/>
      <c r="Y2984" s="121"/>
      <c r="Z2984" s="74"/>
      <c r="AA2984" s="417"/>
      <c r="AB2984" s="410"/>
    </row>
    <row r="2985" spans="1:28" s="352" customFormat="1" ht="18" customHeight="1" x14ac:dyDescent="0.2">
      <c r="A2985" s="88"/>
      <c r="B2985" s="75"/>
      <c r="C2985" s="88"/>
      <c r="D2985" s="2165"/>
      <c r="E2985" s="2166"/>
      <c r="F2985" s="411"/>
      <c r="G2985" s="242"/>
      <c r="H2985" s="412"/>
      <c r="I2985" s="159"/>
      <c r="J2985" s="121"/>
      <c r="K2985" s="159"/>
      <c r="L2985" s="75"/>
      <c r="M2985" s="88"/>
      <c r="N2985" s="88"/>
      <c r="O2985" s="75"/>
      <c r="P2985" s="180"/>
      <c r="Q2985" s="174"/>
      <c r="R2985" s="413"/>
      <c r="S2985" s="74"/>
      <c r="T2985" s="88"/>
      <c r="U2985" s="74"/>
      <c r="V2985" s="74"/>
      <c r="W2985" s="74"/>
      <c r="X2985" s="74"/>
      <c r="Y2985" s="121"/>
      <c r="Z2985" s="74"/>
      <c r="AA2985" s="414"/>
      <c r="AB2985" s="416"/>
    </row>
    <row r="2986" spans="1:28" s="352" customFormat="1" ht="18" customHeight="1" x14ac:dyDescent="0.2">
      <c r="A2986" s="88"/>
      <c r="B2986" s="418"/>
      <c r="C2986" s="88"/>
      <c r="D2986" s="88"/>
      <c r="E2986" s="88"/>
      <c r="F2986" s="411"/>
      <c r="G2986" s="242"/>
      <c r="H2986" s="412"/>
      <c r="I2986" s="159"/>
      <c r="J2986" s="121"/>
      <c r="K2986" s="159"/>
      <c r="L2986" s="75"/>
      <c r="M2986" s="88"/>
      <c r="N2986" s="88"/>
      <c r="O2986" s="75"/>
      <c r="P2986" s="180"/>
      <c r="Q2986" s="174"/>
      <c r="R2986" s="413"/>
      <c r="S2986" s="74"/>
      <c r="T2986" s="88"/>
      <c r="U2986" s="74"/>
      <c r="V2986" s="74"/>
      <c r="W2986" s="74"/>
      <c r="X2986" s="74"/>
      <c r="Y2986" s="121"/>
      <c r="Z2986" s="74"/>
      <c r="AA2986" s="414"/>
      <c r="AB2986" s="410"/>
    </row>
    <row r="2987" spans="1:28" s="352" customFormat="1" ht="18" customHeight="1" x14ac:dyDescent="0.2">
      <c r="A2987" s="221"/>
      <c r="B2987" s="223"/>
      <c r="C2987" s="221"/>
      <c r="D2987" s="221"/>
      <c r="E2987" s="221"/>
      <c r="F2987" s="221"/>
      <c r="G2987" s="221"/>
      <c r="H2987" s="419"/>
      <c r="I2987" s="201"/>
      <c r="J2987" s="202"/>
      <c r="K2987" s="222"/>
      <c r="L2987" s="223"/>
      <c r="M2987" s="221"/>
      <c r="N2987" s="221"/>
      <c r="O2987" s="223"/>
      <c r="P2987" s="227"/>
      <c r="Q2987" s="420"/>
      <c r="R2987" s="421"/>
      <c r="S2987" s="201"/>
      <c r="T2987" s="221"/>
      <c r="U2987" s="201"/>
      <c r="V2987" s="201"/>
      <c r="W2987" s="201"/>
      <c r="X2987" s="201"/>
      <c r="Y2987" s="202"/>
      <c r="Z2987" s="201"/>
      <c r="AA2987" s="422"/>
      <c r="AB2987" s="423">
        <f>SUM(AB2973:AB2986)</f>
        <v>1420.2</v>
      </c>
    </row>
    <row r="2988" spans="1:28" s="352" customFormat="1" ht="18" customHeight="1" x14ac:dyDescent="0.2">
      <c r="A2988" s="2788" t="s">
        <v>76</v>
      </c>
      <c r="B2988" s="2788"/>
      <c r="C2988" s="2779" t="s">
        <v>77</v>
      </c>
      <c r="D2988" s="2779"/>
      <c r="E2988" s="2779"/>
      <c r="F2988" s="2779"/>
      <c r="G2988" s="2779"/>
      <c r="H2988" s="2779"/>
      <c r="I2988" s="424" t="s">
        <v>78</v>
      </c>
      <c r="J2988" s="424"/>
      <c r="K2988" s="424"/>
      <c r="L2988" s="424"/>
      <c r="M2988" s="424"/>
      <c r="N2988" s="424"/>
      <c r="AB2988" s="425"/>
    </row>
    <row r="2989" spans="1:28" s="352" customFormat="1" ht="18" customHeight="1" x14ac:dyDescent="0.2">
      <c r="A2989" s="424"/>
      <c r="B2989" s="426"/>
      <c r="C2989" s="424"/>
      <c r="D2989" s="424"/>
      <c r="E2989" s="424"/>
      <c r="F2989" s="424"/>
      <c r="G2989" s="424"/>
      <c r="H2989" s="424"/>
      <c r="I2989" s="424" t="s">
        <v>79</v>
      </c>
      <c r="J2989" s="424"/>
      <c r="K2989" s="424"/>
      <c r="L2989" s="424"/>
      <c r="M2989" s="424"/>
      <c r="N2989" s="424"/>
      <c r="AB2989" s="425"/>
    </row>
    <row r="2990" spans="1:28" s="352" customFormat="1" ht="18" customHeight="1" x14ac:dyDescent="0.2">
      <c r="A2990" s="424"/>
      <c r="B2990" s="426"/>
      <c r="C2990" s="424"/>
      <c r="D2990" s="424"/>
      <c r="E2990" s="424"/>
      <c r="F2990" s="424"/>
      <c r="G2990" s="424"/>
      <c r="H2990" s="424"/>
      <c r="I2990" s="424" t="s">
        <v>80</v>
      </c>
      <c r="J2990" s="424"/>
      <c r="K2990" s="424"/>
      <c r="L2990" s="424"/>
      <c r="M2990" s="424"/>
      <c r="N2990" s="424"/>
      <c r="AB2990" s="425"/>
    </row>
    <row r="2991" spans="1:28" s="352" customFormat="1" ht="18" customHeight="1" x14ac:dyDescent="0.2">
      <c r="A2991" s="424"/>
      <c r="B2991" s="426"/>
      <c r="C2991" s="424"/>
      <c r="D2991" s="424"/>
      <c r="E2991" s="424"/>
      <c r="F2991" s="424"/>
      <c r="G2991" s="424"/>
      <c r="H2991" s="424"/>
      <c r="I2991" s="424" t="s">
        <v>81</v>
      </c>
      <c r="J2991" s="424"/>
      <c r="K2991" s="424"/>
      <c r="L2991" s="424"/>
      <c r="M2991" s="424"/>
      <c r="N2991" s="424"/>
      <c r="AB2991" s="425"/>
    </row>
    <row r="2992" spans="1:28" s="352" customFormat="1" ht="18" customHeight="1" x14ac:dyDescent="0.2">
      <c r="A2992" s="424"/>
      <c r="B2992" s="426"/>
      <c r="C2992" s="424"/>
      <c r="D2992" s="424"/>
      <c r="E2992" s="424"/>
      <c r="F2992" s="424"/>
      <c r="G2992" s="424"/>
      <c r="H2992" s="424"/>
      <c r="I2992" s="424" t="s">
        <v>88</v>
      </c>
      <c r="J2992" s="424"/>
      <c r="K2992" s="424"/>
      <c r="L2992" s="424"/>
      <c r="M2992" s="424"/>
      <c r="N2992" s="424"/>
      <c r="AB2992" s="425"/>
    </row>
    <row r="2993" spans="1:28" s="352" customFormat="1" ht="18" customHeight="1" x14ac:dyDescent="0.2">
      <c r="A2993" s="338"/>
      <c r="B2993" s="338"/>
      <c r="C2993" s="338"/>
      <c r="D2993" s="338"/>
      <c r="E2993" s="338"/>
      <c r="F2993" s="338"/>
      <c r="G2993" s="338"/>
      <c r="H2993" s="338"/>
      <c r="I2993" s="338"/>
      <c r="J2993" s="338"/>
      <c r="K2993" s="338"/>
      <c r="L2993" s="338"/>
      <c r="M2993" s="338"/>
      <c r="N2993" s="338"/>
      <c r="O2993" s="338"/>
      <c r="P2993" s="338"/>
      <c r="Q2993" s="338"/>
      <c r="R2993" s="338"/>
      <c r="S2993" s="338"/>
      <c r="T2993" s="338"/>
      <c r="U2993" s="338"/>
      <c r="V2993" s="338"/>
      <c r="W2993" s="338"/>
      <c r="X2993" s="338"/>
      <c r="Y2993" s="338"/>
      <c r="Z2993" s="338"/>
      <c r="AA2993" s="2774" t="s">
        <v>0</v>
      </c>
      <c r="AB2993" s="2774"/>
    </row>
    <row r="2994" spans="1:28" s="352" customFormat="1" ht="18" customHeight="1" x14ac:dyDescent="0.2">
      <c r="A2994" s="2703" t="s">
        <v>1</v>
      </c>
      <c r="B2994" s="2703"/>
      <c r="C2994" s="2703"/>
      <c r="D2994" s="2703"/>
      <c r="E2994" s="2703"/>
      <c r="F2994" s="2703"/>
      <c r="G2994" s="2703"/>
      <c r="H2994" s="2703"/>
      <c r="I2994" s="2703"/>
      <c r="J2994" s="2703"/>
      <c r="K2994" s="2703"/>
      <c r="L2994" s="2703"/>
      <c r="M2994" s="2703"/>
      <c r="N2994" s="2703"/>
      <c r="O2994" s="2703"/>
      <c r="P2994" s="2703"/>
      <c r="Q2994" s="2703"/>
      <c r="R2994" s="2703"/>
      <c r="S2994" s="2703"/>
      <c r="T2994" s="2703"/>
      <c r="U2994" s="2703"/>
      <c r="V2994" s="2703"/>
      <c r="W2994" s="2703"/>
      <c r="X2994" s="2703"/>
      <c r="Y2994" s="2703"/>
      <c r="Z2994" s="2703"/>
      <c r="AA2994" s="2703"/>
      <c r="AB2994" s="2703"/>
    </row>
    <row r="2995" spans="1:28" s="352" customFormat="1" ht="18" customHeight="1" x14ac:dyDescent="0.2">
      <c r="A2995" s="2780" t="s">
        <v>319</v>
      </c>
      <c r="B2995" s="2780"/>
      <c r="C2995" s="2780"/>
      <c r="D2995" s="2780"/>
      <c r="E2995" s="2780"/>
      <c r="F2995" s="2780"/>
      <c r="G2995" s="2780"/>
      <c r="H2995" s="2780"/>
      <c r="I2995" s="2780"/>
      <c r="J2995" s="2780"/>
      <c r="K2995" s="2780"/>
      <c r="L2995" s="2780"/>
      <c r="M2995" s="2780"/>
      <c r="N2995" s="2780"/>
      <c r="O2995" s="2780"/>
      <c r="P2995" s="2780"/>
      <c r="Q2995" s="2780"/>
      <c r="R2995" s="2780"/>
      <c r="S2995" s="2780"/>
      <c r="T2995" s="2780"/>
      <c r="U2995" s="2780"/>
      <c r="V2995" s="2780"/>
      <c r="W2995" s="2780"/>
      <c r="X2995" s="2780"/>
      <c r="Y2995" s="2780"/>
      <c r="Z2995" s="2780"/>
      <c r="AA2995" s="2780"/>
      <c r="AB2995" s="2780"/>
    </row>
    <row r="2996" spans="1:28" s="352" customFormat="1" ht="18" customHeight="1" x14ac:dyDescent="0.2">
      <c r="A2996" s="2686" t="s">
        <v>2</v>
      </c>
      <c r="B2996" s="360"/>
      <c r="C2996" s="2686" t="s">
        <v>3</v>
      </c>
      <c r="D2996" s="360"/>
      <c r="E2996" s="360"/>
      <c r="F2996" s="2693" t="s">
        <v>4</v>
      </c>
      <c r="G2996" s="2693"/>
      <c r="H2996" s="2693"/>
      <c r="I2996" s="2694"/>
      <c r="J2996" s="2694"/>
      <c r="K2996" s="2695"/>
      <c r="L2996" s="361"/>
      <c r="M2996" s="2679" t="s">
        <v>5</v>
      </c>
      <c r="N2996" s="2679"/>
      <c r="O2996" s="2679"/>
      <c r="P2996" s="2679"/>
      <c r="Q2996" s="2696"/>
      <c r="R2996" s="2696"/>
      <c r="S2996" s="2696"/>
      <c r="T2996" s="2696"/>
      <c r="U2996" s="2696"/>
      <c r="V2996" s="2697"/>
      <c r="W2996" s="362" t="s">
        <v>6</v>
      </c>
      <c r="X2996" s="363" t="s">
        <v>7</v>
      </c>
      <c r="Y2996" s="364"/>
      <c r="Z2996" s="364"/>
      <c r="AA2996" s="363"/>
      <c r="AB2996" s="365"/>
    </row>
    <row r="2997" spans="1:28" s="352" customFormat="1" ht="18" customHeight="1" x14ac:dyDescent="0.2">
      <c r="A2997" s="2687"/>
      <c r="B2997" s="367"/>
      <c r="C2997" s="2687"/>
      <c r="D2997" s="2158" t="s">
        <v>9</v>
      </c>
      <c r="E2997" s="368" t="s">
        <v>10</v>
      </c>
      <c r="F2997" s="2698" t="s">
        <v>11</v>
      </c>
      <c r="G2997" s="2694"/>
      <c r="H2997" s="2695"/>
      <c r="I2997" s="360"/>
      <c r="J2997" s="369" t="s">
        <v>12</v>
      </c>
      <c r="K2997" s="360"/>
      <c r="L2997" s="2679" t="s">
        <v>2</v>
      </c>
      <c r="M2997" s="2162"/>
      <c r="N2997" s="2162"/>
      <c r="O2997" s="2162"/>
      <c r="P2997" s="371"/>
      <c r="Q2997" s="372" t="s">
        <v>13</v>
      </c>
      <c r="R2997" s="373" t="s">
        <v>12</v>
      </c>
      <c r="S2997" s="2162" t="s">
        <v>6</v>
      </c>
      <c r="T2997" s="2682" t="s">
        <v>14</v>
      </c>
      <c r="U2997" s="2683"/>
      <c r="V2997" s="375" t="s">
        <v>7</v>
      </c>
      <c r="W2997" s="376" t="s">
        <v>15</v>
      </c>
      <c r="X2997" s="377" t="s">
        <v>16</v>
      </c>
      <c r="Y2997" s="377" t="s">
        <v>17</v>
      </c>
      <c r="Z2997" s="377" t="s">
        <v>18</v>
      </c>
      <c r="AA2997" s="377"/>
      <c r="AB2997" s="378" t="s">
        <v>19</v>
      </c>
    </row>
    <row r="2998" spans="1:28" s="352" customFormat="1" ht="18" customHeight="1" x14ac:dyDescent="0.2">
      <c r="A2998" s="2687"/>
      <c r="B2998" s="2158" t="s">
        <v>23</v>
      </c>
      <c r="C2998" s="2687"/>
      <c r="D2998" s="2158" t="s">
        <v>24</v>
      </c>
      <c r="E2998" s="368" t="s">
        <v>25</v>
      </c>
      <c r="F2998" s="2699"/>
      <c r="G2998" s="2700"/>
      <c r="H2998" s="2701"/>
      <c r="I2998" s="2158" t="s">
        <v>26</v>
      </c>
      <c r="J2998" s="379" t="s">
        <v>15</v>
      </c>
      <c r="K2998" s="2159" t="s">
        <v>6</v>
      </c>
      <c r="L2998" s="2680"/>
      <c r="M2998" s="2163" t="s">
        <v>27</v>
      </c>
      <c r="N2998" s="2163" t="s">
        <v>10</v>
      </c>
      <c r="O2998" s="382" t="s">
        <v>10</v>
      </c>
      <c r="P2998" s="383" t="s">
        <v>28</v>
      </c>
      <c r="Q2998" s="384" t="s">
        <v>29</v>
      </c>
      <c r="R2998" s="383" t="s">
        <v>15</v>
      </c>
      <c r="S2998" s="385" t="s">
        <v>15</v>
      </c>
      <c r="T2998" s="2684"/>
      <c r="U2998" s="2685"/>
      <c r="V2998" s="375" t="s">
        <v>30</v>
      </c>
      <c r="W2998" s="376" t="s">
        <v>31</v>
      </c>
      <c r="X2998" s="377" t="s">
        <v>30</v>
      </c>
      <c r="Y2998" s="377" t="s">
        <v>32</v>
      </c>
      <c r="Z2998" s="377" t="s">
        <v>7</v>
      </c>
      <c r="AA2998" s="377" t="s">
        <v>33</v>
      </c>
      <c r="AB2998" s="378" t="s">
        <v>34</v>
      </c>
    </row>
    <row r="2999" spans="1:28" s="352" customFormat="1" ht="18" customHeight="1" x14ac:dyDescent="0.2">
      <c r="A2999" s="2687"/>
      <c r="B2999" s="2158" t="s">
        <v>39</v>
      </c>
      <c r="C2999" s="2687"/>
      <c r="D2999" s="2158" t="s">
        <v>40</v>
      </c>
      <c r="E2999" s="368" t="s">
        <v>41</v>
      </c>
      <c r="F2999" s="2686" t="s">
        <v>42</v>
      </c>
      <c r="G2999" s="2686" t="s">
        <v>43</v>
      </c>
      <c r="H2999" s="2688" t="s">
        <v>44</v>
      </c>
      <c r="I2999" s="2158" t="s">
        <v>45</v>
      </c>
      <c r="J2999" s="379" t="s">
        <v>46</v>
      </c>
      <c r="K2999" s="2159" t="s">
        <v>47</v>
      </c>
      <c r="L2999" s="2680"/>
      <c r="M2999" s="2163" t="s">
        <v>30</v>
      </c>
      <c r="N2999" s="2163" t="s">
        <v>30</v>
      </c>
      <c r="O2999" s="382" t="s">
        <v>25</v>
      </c>
      <c r="P2999" s="383" t="s">
        <v>30</v>
      </c>
      <c r="Q2999" s="384" t="s">
        <v>48</v>
      </c>
      <c r="R2999" s="383" t="s">
        <v>49</v>
      </c>
      <c r="S2999" s="385" t="s">
        <v>30</v>
      </c>
      <c r="T2999" s="386" t="s">
        <v>50</v>
      </c>
      <c r="U2999" s="2161" t="s">
        <v>13</v>
      </c>
      <c r="V2999" s="375" t="s">
        <v>51</v>
      </c>
      <c r="W2999" s="376" t="s">
        <v>52</v>
      </c>
      <c r="X2999" s="377" t="s">
        <v>53</v>
      </c>
      <c r="Y2999" s="377" t="s">
        <v>54</v>
      </c>
      <c r="Z2999" s="377" t="s">
        <v>55</v>
      </c>
      <c r="AA2999" s="377" t="s">
        <v>56</v>
      </c>
      <c r="AB2999" s="378" t="s">
        <v>57</v>
      </c>
    </row>
    <row r="3000" spans="1:28" s="352" customFormat="1" ht="18" customHeight="1" x14ac:dyDescent="0.2">
      <c r="A3000" s="2687"/>
      <c r="B3000" s="2158" t="s">
        <v>61</v>
      </c>
      <c r="C3000" s="2687"/>
      <c r="D3000" s="2158" t="s">
        <v>62</v>
      </c>
      <c r="E3000" s="368" t="s">
        <v>63</v>
      </c>
      <c r="F3000" s="2687"/>
      <c r="G3000" s="2687"/>
      <c r="H3000" s="2689"/>
      <c r="I3000" s="2158" t="s">
        <v>64</v>
      </c>
      <c r="J3000" s="379" t="s">
        <v>59</v>
      </c>
      <c r="K3000" s="2159" t="s">
        <v>59</v>
      </c>
      <c r="L3000" s="2680"/>
      <c r="M3000" s="2163"/>
      <c r="N3000" s="2163"/>
      <c r="O3000" s="382" t="s">
        <v>41</v>
      </c>
      <c r="P3000" s="383" t="s">
        <v>65</v>
      </c>
      <c r="Q3000" s="384" t="s">
        <v>66</v>
      </c>
      <c r="R3000" s="383" t="s">
        <v>67</v>
      </c>
      <c r="S3000" s="385" t="s">
        <v>59</v>
      </c>
      <c r="T3000" s="387" t="s">
        <v>68</v>
      </c>
      <c r="U3000" s="375" t="s">
        <v>14</v>
      </c>
      <c r="V3000" s="375" t="s">
        <v>14</v>
      </c>
      <c r="W3000" s="376" t="s">
        <v>30</v>
      </c>
      <c r="X3000" s="388" t="s">
        <v>69</v>
      </c>
      <c r="Y3000" s="388" t="s">
        <v>70</v>
      </c>
      <c r="Z3000" s="377" t="s">
        <v>71</v>
      </c>
      <c r="AA3000" s="377" t="s">
        <v>72</v>
      </c>
      <c r="AB3000" s="378" t="s">
        <v>59</v>
      </c>
    </row>
    <row r="3001" spans="1:28" s="352" customFormat="1" ht="18" customHeight="1" x14ac:dyDescent="0.2">
      <c r="A3001" s="2692"/>
      <c r="B3001" s="390"/>
      <c r="C3001" s="2692"/>
      <c r="D3001" s="390"/>
      <c r="E3001" s="2160"/>
      <c r="F3001" s="390"/>
      <c r="G3001" s="390"/>
      <c r="H3001" s="391"/>
      <c r="I3001" s="2160"/>
      <c r="J3001" s="392"/>
      <c r="K3001" s="393"/>
      <c r="L3001" s="2681"/>
      <c r="M3001" s="2164"/>
      <c r="N3001" s="2164"/>
      <c r="O3001" s="2164" t="s">
        <v>63</v>
      </c>
      <c r="P3001" s="395"/>
      <c r="Q3001" s="396" t="s">
        <v>72</v>
      </c>
      <c r="R3001" s="397" t="s">
        <v>59</v>
      </c>
      <c r="S3001" s="398"/>
      <c r="T3001" s="397" t="s">
        <v>73</v>
      </c>
      <c r="U3001" s="398" t="s">
        <v>59</v>
      </c>
      <c r="V3001" s="399" t="s">
        <v>59</v>
      </c>
      <c r="W3001" s="400" t="s">
        <v>59</v>
      </c>
      <c r="X3001" s="401" t="s">
        <v>59</v>
      </c>
      <c r="Y3001" s="401" t="s">
        <v>59</v>
      </c>
      <c r="Z3001" s="401" t="s">
        <v>59</v>
      </c>
      <c r="AA3001" s="402"/>
      <c r="AB3001" s="403"/>
    </row>
    <row r="3002" spans="1:28" s="352" customFormat="1" ht="18" customHeight="1" x14ac:dyDescent="0.2">
      <c r="A3002" s="82">
        <v>1</v>
      </c>
      <c r="B3002" s="240">
        <v>34066</v>
      </c>
      <c r="C3002" s="82">
        <v>355</v>
      </c>
      <c r="D3002" s="82" t="s">
        <v>84</v>
      </c>
      <c r="E3002" s="82">
        <v>4</v>
      </c>
      <c r="F3002" s="1578">
        <v>0</v>
      </c>
      <c r="G3002" s="1578">
        <v>0</v>
      </c>
      <c r="H3002" s="1579">
        <v>1.5</v>
      </c>
      <c r="I3002" s="123">
        <f>H3002</f>
        <v>1.5</v>
      </c>
      <c r="J3002" s="1580">
        <v>3000</v>
      </c>
      <c r="K3002" s="123">
        <f>J3002*I3002</f>
        <v>4500</v>
      </c>
      <c r="L3002" s="53"/>
      <c r="M3002" s="82"/>
      <c r="N3002" s="82"/>
      <c r="O3002" s="53"/>
      <c r="P3002" s="358"/>
      <c r="Q3002" s="197"/>
      <c r="R3002" s="444"/>
      <c r="S3002" s="70"/>
      <c r="T3002" s="82"/>
      <c r="U3002" s="70"/>
      <c r="V3002" s="70"/>
      <c r="W3002" s="70"/>
      <c r="X3002" s="123">
        <f>K3002</f>
        <v>4500</v>
      </c>
      <c r="Y3002" s="123">
        <v>0</v>
      </c>
      <c r="Z3002" s="123">
        <f>X3002</f>
        <v>4500</v>
      </c>
      <c r="AA3002" s="464">
        <v>0.3</v>
      </c>
      <c r="AB3002" s="465">
        <f>Z3002*AA3002/100</f>
        <v>13.5</v>
      </c>
    </row>
    <row r="3003" spans="1:28" s="352" customFormat="1" ht="18" customHeight="1" x14ac:dyDescent="0.2">
      <c r="A3003" s="2166"/>
      <c r="B3003" s="61"/>
      <c r="C3003" s="2166"/>
      <c r="D3003" s="2166"/>
      <c r="E3003" s="2166"/>
      <c r="F3003" s="2166"/>
      <c r="G3003" s="2166"/>
      <c r="H3003" s="407"/>
      <c r="I3003" s="77"/>
      <c r="J3003" s="2168"/>
      <c r="K3003" s="2168"/>
      <c r="L3003" s="488"/>
      <c r="M3003" s="488"/>
      <c r="N3003" s="488"/>
      <c r="O3003" s="488"/>
      <c r="P3003" s="819"/>
      <c r="Q3003" s="819"/>
      <c r="R3003" s="820"/>
      <c r="S3003" s="820"/>
      <c r="T3003" s="819"/>
      <c r="U3003" s="820"/>
      <c r="V3003" s="821"/>
      <c r="W3003" s="77"/>
      <c r="X3003" s="2168"/>
      <c r="Y3003" s="2168"/>
      <c r="Z3003" s="77"/>
      <c r="AA3003" s="2170"/>
      <c r="AB3003" s="410"/>
    </row>
    <row r="3004" spans="1:28" s="352" customFormat="1" ht="18" customHeight="1" x14ac:dyDescent="0.2">
      <c r="A3004" s="2166"/>
      <c r="B3004" s="61"/>
      <c r="C3004" s="2166"/>
      <c r="D3004" s="2166"/>
      <c r="E3004" s="2166"/>
      <c r="F3004" s="2166"/>
      <c r="G3004" s="2166"/>
      <c r="H3004" s="407"/>
      <c r="I3004" s="77"/>
      <c r="J3004" s="2168"/>
      <c r="K3004" s="78"/>
      <c r="L3004" s="61"/>
      <c r="M3004" s="2166"/>
      <c r="N3004" s="2166"/>
      <c r="O3004" s="61"/>
      <c r="P3004" s="177"/>
      <c r="Q3004" s="196"/>
      <c r="R3004" s="408"/>
      <c r="S3004" s="77"/>
      <c r="T3004" s="2166"/>
      <c r="U3004" s="77"/>
      <c r="V3004" s="77"/>
      <c r="W3004" s="77"/>
      <c r="X3004" s="77"/>
      <c r="Y3004" s="2168"/>
      <c r="Z3004" s="77"/>
      <c r="AA3004" s="2170"/>
      <c r="AB3004" s="410"/>
    </row>
    <row r="3005" spans="1:28" s="352" customFormat="1" ht="18" customHeight="1" x14ac:dyDescent="0.2">
      <c r="A3005" s="2166"/>
      <c r="B3005" s="61"/>
      <c r="C3005" s="2166"/>
      <c r="D3005" s="2166"/>
      <c r="E3005" s="2166"/>
      <c r="F3005" s="2166"/>
      <c r="G3005" s="2166"/>
      <c r="H3005" s="407"/>
      <c r="I3005" s="77"/>
      <c r="J3005" s="2168"/>
      <c r="K3005" s="78"/>
      <c r="L3005" s="61"/>
      <c r="M3005" s="2166"/>
      <c r="N3005" s="2166"/>
      <c r="O3005" s="61"/>
      <c r="P3005" s="177"/>
      <c r="Q3005" s="196"/>
      <c r="R3005" s="408"/>
      <c r="S3005" s="77"/>
      <c r="T3005" s="2166"/>
      <c r="U3005" s="77"/>
      <c r="V3005" s="77"/>
      <c r="W3005" s="77"/>
      <c r="X3005" s="77"/>
      <c r="Y3005" s="2168"/>
      <c r="Z3005" s="77"/>
      <c r="AA3005" s="2170"/>
      <c r="AB3005" s="410"/>
    </row>
    <row r="3006" spans="1:28" s="352" customFormat="1" ht="18" customHeight="1" x14ac:dyDescent="0.2">
      <c r="A3006" s="2166"/>
      <c r="B3006" s="61"/>
      <c r="C3006" s="2166"/>
      <c r="D3006" s="2166"/>
      <c r="E3006" s="2166"/>
      <c r="F3006" s="2166"/>
      <c r="G3006" s="2166"/>
      <c r="H3006" s="407"/>
      <c r="I3006" s="77"/>
      <c r="J3006" s="2168"/>
      <c r="K3006" s="78"/>
      <c r="L3006" s="61"/>
      <c r="M3006" s="2166"/>
      <c r="N3006" s="2166"/>
      <c r="O3006" s="61"/>
      <c r="P3006" s="177"/>
      <c r="Q3006" s="196"/>
      <c r="R3006" s="408"/>
      <c r="S3006" s="77"/>
      <c r="T3006" s="2166"/>
      <c r="U3006" s="77"/>
      <c r="V3006" s="77"/>
      <c r="W3006" s="77"/>
      <c r="X3006" s="77"/>
      <c r="Y3006" s="2168"/>
      <c r="Z3006" s="77"/>
      <c r="AA3006" s="2170"/>
      <c r="AB3006" s="410"/>
    </row>
    <row r="3007" spans="1:28" s="352" customFormat="1" ht="18" customHeight="1" x14ac:dyDescent="0.2">
      <c r="A3007" s="2166"/>
      <c r="B3007" s="61"/>
      <c r="C3007" s="2166"/>
      <c r="D3007" s="2166"/>
      <c r="E3007" s="2166"/>
      <c r="F3007" s="2166"/>
      <c r="G3007" s="2166"/>
      <c r="H3007" s="407"/>
      <c r="I3007" s="77"/>
      <c r="J3007" s="2168"/>
      <c r="K3007" s="78"/>
      <c r="L3007" s="61"/>
      <c r="M3007" s="2166"/>
      <c r="N3007" s="2166"/>
      <c r="O3007" s="61"/>
      <c r="P3007" s="177"/>
      <c r="Q3007" s="196"/>
      <c r="R3007" s="408"/>
      <c r="S3007" s="77"/>
      <c r="T3007" s="2166"/>
      <c r="U3007" s="77"/>
      <c r="V3007" s="77"/>
      <c r="W3007" s="77"/>
      <c r="X3007" s="77"/>
      <c r="Y3007" s="2168"/>
      <c r="Z3007" s="77"/>
      <c r="AA3007" s="2170"/>
      <c r="AB3007" s="410"/>
    </row>
    <row r="3008" spans="1:28" s="352" customFormat="1" ht="18" customHeight="1" x14ac:dyDescent="0.2">
      <c r="A3008" s="2166"/>
      <c r="B3008" s="61"/>
      <c r="C3008" s="2166"/>
      <c r="D3008" s="2166"/>
      <c r="E3008" s="2166"/>
      <c r="F3008" s="2166"/>
      <c r="G3008" s="2166"/>
      <c r="H3008" s="407"/>
      <c r="I3008" s="77"/>
      <c r="J3008" s="2168"/>
      <c r="K3008" s="78"/>
      <c r="L3008" s="61"/>
      <c r="M3008" s="2166"/>
      <c r="N3008" s="2166"/>
      <c r="O3008" s="61"/>
      <c r="P3008" s="177"/>
      <c r="Q3008" s="196"/>
      <c r="R3008" s="408"/>
      <c r="S3008" s="77"/>
      <c r="T3008" s="2166"/>
      <c r="U3008" s="77"/>
      <c r="V3008" s="77"/>
      <c r="W3008" s="77"/>
      <c r="X3008" s="77"/>
      <c r="Y3008" s="2168"/>
      <c r="Z3008" s="77"/>
      <c r="AA3008" s="2170"/>
      <c r="AB3008" s="410"/>
    </row>
    <row r="3009" spans="1:28" s="352" customFormat="1" ht="18" customHeight="1" x14ac:dyDescent="0.2">
      <c r="A3009" s="88"/>
      <c r="B3009" s="75"/>
      <c r="C3009" s="88"/>
      <c r="D3009" s="88"/>
      <c r="E3009" s="2166"/>
      <c r="F3009" s="411"/>
      <c r="G3009" s="242"/>
      <c r="H3009" s="412"/>
      <c r="I3009" s="159"/>
      <c r="J3009" s="121"/>
      <c r="K3009" s="159"/>
      <c r="L3009" s="75"/>
      <c r="M3009" s="88"/>
      <c r="N3009" s="88"/>
      <c r="O3009" s="75"/>
      <c r="P3009" s="180"/>
      <c r="Q3009" s="174"/>
      <c r="R3009" s="413"/>
      <c r="S3009" s="74"/>
      <c r="T3009" s="88"/>
      <c r="U3009" s="74"/>
      <c r="V3009" s="74"/>
      <c r="W3009" s="74"/>
      <c r="X3009" s="74"/>
      <c r="Y3009" s="121"/>
      <c r="Z3009" s="74"/>
      <c r="AA3009" s="414"/>
      <c r="AB3009" s="415"/>
    </row>
    <row r="3010" spans="1:28" s="352" customFormat="1" ht="18" customHeight="1" x14ac:dyDescent="0.2">
      <c r="A3010" s="88"/>
      <c r="B3010" s="75"/>
      <c r="C3010" s="88"/>
      <c r="D3010" s="231"/>
      <c r="E3010" s="2166"/>
      <c r="F3010" s="411"/>
      <c r="G3010" s="242"/>
      <c r="H3010" s="412"/>
      <c r="I3010" s="159"/>
      <c r="J3010" s="121"/>
      <c r="K3010" s="159"/>
      <c r="L3010" s="75"/>
      <c r="M3010" s="88"/>
      <c r="N3010" s="88"/>
      <c r="O3010" s="75"/>
      <c r="P3010" s="180"/>
      <c r="Q3010" s="174"/>
      <c r="R3010" s="413"/>
      <c r="S3010" s="74"/>
      <c r="T3010" s="88"/>
      <c r="U3010" s="74"/>
      <c r="V3010" s="74"/>
      <c r="W3010" s="74"/>
      <c r="X3010" s="74"/>
      <c r="Y3010" s="121"/>
      <c r="Z3010" s="74"/>
      <c r="AA3010" s="417"/>
      <c r="AB3010" s="410"/>
    </row>
    <row r="3011" spans="1:28" s="352" customFormat="1" ht="18" customHeight="1" x14ac:dyDescent="0.2">
      <c r="A3011" s="88"/>
      <c r="B3011" s="75"/>
      <c r="C3011" s="88"/>
      <c r="D3011" s="88"/>
      <c r="E3011" s="2166"/>
      <c r="F3011" s="411"/>
      <c r="G3011" s="242"/>
      <c r="H3011" s="412"/>
      <c r="I3011" s="159"/>
      <c r="J3011" s="121"/>
      <c r="K3011" s="159"/>
      <c r="L3011" s="75"/>
      <c r="M3011" s="88"/>
      <c r="N3011" s="88"/>
      <c r="O3011" s="75"/>
      <c r="P3011" s="180"/>
      <c r="Q3011" s="174"/>
      <c r="R3011" s="413"/>
      <c r="S3011" s="74"/>
      <c r="T3011" s="88"/>
      <c r="U3011" s="74"/>
      <c r="V3011" s="74"/>
      <c r="W3011" s="74"/>
      <c r="X3011" s="74"/>
      <c r="Y3011" s="121"/>
      <c r="Z3011" s="74"/>
      <c r="AA3011" s="414"/>
      <c r="AB3011" s="416"/>
    </row>
    <row r="3012" spans="1:28" s="352" customFormat="1" ht="18" customHeight="1" x14ac:dyDescent="0.2">
      <c r="A3012" s="88"/>
      <c r="B3012" s="1576" t="s">
        <v>314</v>
      </c>
      <c r="C3012" s="88"/>
      <c r="D3012" s="88"/>
      <c r="E3012" s="2166"/>
      <c r="F3012" s="411"/>
      <c r="G3012" s="242"/>
      <c r="H3012" s="412"/>
      <c r="I3012" s="159"/>
      <c r="J3012" s="121"/>
      <c r="K3012" s="159"/>
      <c r="L3012" s="75"/>
      <c r="M3012" s="88"/>
      <c r="N3012" s="88"/>
      <c r="O3012" s="75"/>
      <c r="P3012" s="180"/>
      <c r="Q3012" s="174"/>
      <c r="R3012" s="413"/>
      <c r="S3012" s="74"/>
      <c r="T3012" s="88"/>
      <c r="U3012" s="74"/>
      <c r="V3012" s="74"/>
      <c r="W3012" s="74"/>
      <c r="X3012" s="74"/>
      <c r="Y3012" s="121"/>
      <c r="Z3012" s="74"/>
      <c r="AA3012" s="414"/>
      <c r="AB3012" s="415"/>
    </row>
    <row r="3013" spans="1:28" ht="18" customHeight="1" x14ac:dyDescent="0.2">
      <c r="A3013" s="146">
        <v>2</v>
      </c>
      <c r="B3013" s="1573">
        <v>74302</v>
      </c>
      <c r="C3013" s="146">
        <v>1887</v>
      </c>
      <c r="D3013" s="69" t="s">
        <v>84</v>
      </c>
      <c r="E3013" s="146">
        <v>4</v>
      </c>
      <c r="F3013" s="146">
        <v>0</v>
      </c>
      <c r="G3013" s="146">
        <v>0</v>
      </c>
      <c r="H3013" s="1574">
        <v>55.9</v>
      </c>
      <c r="I3013" s="117">
        <f t="shared" ref="I3013:I3014" si="145">H3013</f>
        <v>55.9</v>
      </c>
      <c r="J3013" s="108">
        <v>3000</v>
      </c>
      <c r="K3013" s="117">
        <f>J3013*I3013</f>
        <v>167700</v>
      </c>
      <c r="L3013" s="1577" t="s">
        <v>315</v>
      </c>
      <c r="M3013" s="146"/>
      <c r="N3013" s="146"/>
      <c r="O3013" s="113"/>
      <c r="P3013" s="1575"/>
      <c r="Q3013" s="132"/>
      <c r="R3013" s="133"/>
      <c r="S3013" s="127"/>
      <c r="T3013" s="146"/>
      <c r="U3013" s="127"/>
      <c r="V3013" s="127"/>
      <c r="W3013" s="127"/>
      <c r="X3013" s="117"/>
      <c r="Y3013" s="108"/>
      <c r="Z3013" s="117"/>
      <c r="AA3013" s="149"/>
      <c r="AB3013" s="1505"/>
    </row>
    <row r="3014" spans="1:28" ht="18" customHeight="1" x14ac:dyDescent="0.2">
      <c r="A3014" s="146">
        <v>3</v>
      </c>
      <c r="B3014" s="1573">
        <v>74303</v>
      </c>
      <c r="C3014" s="146">
        <v>1888</v>
      </c>
      <c r="D3014" s="69" t="s">
        <v>84</v>
      </c>
      <c r="E3014" s="146">
        <v>4</v>
      </c>
      <c r="F3014" s="146">
        <v>0</v>
      </c>
      <c r="G3014" s="146">
        <v>0</v>
      </c>
      <c r="H3014" s="1574">
        <v>67.400000000000006</v>
      </c>
      <c r="I3014" s="117">
        <f t="shared" si="145"/>
        <v>67.400000000000006</v>
      </c>
      <c r="J3014" s="108">
        <v>3001</v>
      </c>
      <c r="K3014" s="117">
        <f>J3014*I3014</f>
        <v>202267.40000000002</v>
      </c>
      <c r="L3014" s="1577" t="s">
        <v>316</v>
      </c>
      <c r="M3014" s="146"/>
      <c r="N3014" s="146"/>
      <c r="O3014" s="113"/>
      <c r="P3014" s="1575"/>
      <c r="Q3014" s="132"/>
      <c r="R3014" s="133"/>
      <c r="S3014" s="127"/>
      <c r="T3014" s="146"/>
      <c r="U3014" s="127"/>
      <c r="V3014" s="127"/>
      <c r="W3014" s="127"/>
      <c r="X3014" s="117"/>
      <c r="Y3014" s="108"/>
      <c r="Z3014" s="117"/>
      <c r="AA3014" s="149"/>
      <c r="AB3014" s="1505"/>
    </row>
    <row r="3015" spans="1:28" s="352" customFormat="1" ht="18" customHeight="1" x14ac:dyDescent="0.2">
      <c r="A3015" s="88"/>
      <c r="B3015" s="75"/>
      <c r="C3015" s="88"/>
      <c r="D3015" s="2165"/>
      <c r="E3015" s="2166"/>
      <c r="F3015" s="411"/>
      <c r="G3015" s="242"/>
      <c r="H3015" s="412"/>
      <c r="I3015" s="159"/>
      <c r="J3015" s="121"/>
      <c r="K3015" s="159"/>
      <c r="L3015" s="75"/>
      <c r="M3015" s="88"/>
      <c r="N3015" s="88"/>
      <c r="O3015" s="75"/>
      <c r="P3015" s="180"/>
      <c r="Q3015" s="174"/>
      <c r="R3015" s="413"/>
      <c r="S3015" s="74"/>
      <c r="T3015" s="88"/>
      <c r="U3015" s="74"/>
      <c r="V3015" s="74"/>
      <c r="W3015" s="74"/>
      <c r="X3015" s="74"/>
      <c r="Y3015" s="121"/>
      <c r="Z3015" s="74"/>
      <c r="AA3015" s="414"/>
      <c r="AB3015" s="410"/>
    </row>
    <row r="3016" spans="1:28" s="352" customFormat="1" ht="18" customHeight="1" x14ac:dyDescent="0.2">
      <c r="A3016" s="1147"/>
      <c r="B3016" s="1989"/>
      <c r="C3016" s="1147"/>
      <c r="D3016" s="1147"/>
      <c r="E3016" s="1147"/>
      <c r="F3016" s="1147"/>
      <c r="G3016" s="1147"/>
      <c r="H3016" s="1990"/>
      <c r="I3016" s="1991"/>
      <c r="J3016" s="1868"/>
      <c r="K3016" s="1992"/>
      <c r="L3016" s="1989"/>
      <c r="M3016" s="1147"/>
      <c r="N3016" s="1147"/>
      <c r="O3016" s="1989"/>
      <c r="P3016" s="1867"/>
      <c r="Q3016" s="1993"/>
      <c r="R3016" s="1994"/>
      <c r="S3016" s="1991"/>
      <c r="T3016" s="1147"/>
      <c r="U3016" s="1991"/>
      <c r="V3016" s="1991"/>
      <c r="W3016" s="1991"/>
      <c r="X3016" s="1991"/>
      <c r="Y3016" s="1868"/>
      <c r="Z3016" s="1991"/>
      <c r="AA3016" s="1995"/>
      <c r="AB3016" s="1849">
        <f>SUM(AB3002:AB3015)</f>
        <v>13.5</v>
      </c>
    </row>
    <row r="3017" spans="1:28" s="352" customFormat="1" ht="18" customHeight="1" x14ac:dyDescent="0.2">
      <c r="A3017" s="2788" t="s">
        <v>76</v>
      </c>
      <c r="B3017" s="2788"/>
      <c r="C3017" s="2779" t="s">
        <v>77</v>
      </c>
      <c r="D3017" s="2779"/>
      <c r="E3017" s="2779"/>
      <c r="F3017" s="2779"/>
      <c r="G3017" s="2779"/>
      <c r="H3017" s="2779"/>
      <c r="I3017" s="424" t="s">
        <v>78</v>
      </c>
      <c r="J3017" s="424"/>
      <c r="K3017" s="424"/>
      <c r="L3017" s="424"/>
      <c r="M3017" s="424"/>
      <c r="N3017" s="424"/>
      <c r="AB3017" s="425"/>
    </row>
    <row r="3018" spans="1:28" s="352" customFormat="1" ht="18" customHeight="1" x14ac:dyDescent="0.2">
      <c r="A3018" s="424"/>
      <c r="B3018" s="426"/>
      <c r="C3018" s="424"/>
      <c r="D3018" s="424"/>
      <c r="E3018" s="424"/>
      <c r="F3018" s="424"/>
      <c r="G3018" s="424"/>
      <c r="H3018" s="424"/>
      <c r="I3018" s="424" t="s">
        <v>79</v>
      </c>
      <c r="J3018" s="424"/>
      <c r="K3018" s="424"/>
      <c r="L3018" s="424"/>
      <c r="M3018" s="424"/>
      <c r="N3018" s="424"/>
      <c r="AB3018" s="425"/>
    </row>
    <row r="3019" spans="1:28" s="352" customFormat="1" ht="18" customHeight="1" x14ac:dyDescent="0.2">
      <c r="A3019" s="424"/>
      <c r="B3019" s="426"/>
      <c r="C3019" s="424"/>
      <c r="D3019" s="424"/>
      <c r="E3019" s="424"/>
      <c r="F3019" s="424"/>
      <c r="G3019" s="424"/>
      <c r="H3019" s="424"/>
      <c r="I3019" s="424" t="s">
        <v>80</v>
      </c>
      <c r="J3019" s="424"/>
      <c r="K3019" s="424"/>
      <c r="L3019" s="424"/>
      <c r="M3019" s="424"/>
      <c r="N3019" s="424"/>
      <c r="AB3019" s="425"/>
    </row>
    <row r="3020" spans="1:28" s="352" customFormat="1" ht="18" customHeight="1" x14ac:dyDescent="0.2">
      <c r="A3020" s="424"/>
      <c r="B3020" s="426"/>
      <c r="C3020" s="424"/>
      <c r="D3020" s="424"/>
      <c r="E3020" s="424"/>
      <c r="F3020" s="424"/>
      <c r="G3020" s="424"/>
      <c r="H3020" s="424"/>
      <c r="I3020" s="424" t="s">
        <v>81</v>
      </c>
      <c r="J3020" s="424"/>
      <c r="K3020" s="424"/>
      <c r="L3020" s="424"/>
      <c r="M3020" s="424"/>
      <c r="N3020" s="424"/>
      <c r="AB3020" s="425"/>
    </row>
    <row r="3021" spans="1:28" s="352" customFormat="1" ht="18" customHeight="1" x14ac:dyDescent="0.2">
      <c r="A3021" s="424"/>
      <c r="B3021" s="426"/>
      <c r="C3021" s="424"/>
      <c r="D3021" s="424"/>
      <c r="E3021" s="424"/>
      <c r="F3021" s="424"/>
      <c r="G3021" s="424"/>
      <c r="H3021" s="424"/>
      <c r="I3021" s="424" t="s">
        <v>88</v>
      </c>
      <c r="J3021" s="424"/>
      <c r="K3021" s="424"/>
      <c r="L3021" s="424"/>
      <c r="M3021" s="424"/>
      <c r="N3021" s="424"/>
      <c r="AB3021" s="425"/>
    </row>
    <row r="3022" spans="1:28" s="352" customFormat="1" ht="18" customHeight="1" x14ac:dyDescent="0.2">
      <c r="A3022" s="338"/>
      <c r="B3022" s="338"/>
      <c r="C3022" s="338"/>
      <c r="D3022" s="338"/>
      <c r="E3022" s="338"/>
      <c r="F3022" s="338"/>
      <c r="G3022" s="338"/>
      <c r="H3022" s="338"/>
      <c r="I3022" s="338"/>
      <c r="J3022" s="338"/>
      <c r="K3022" s="338"/>
      <c r="L3022" s="338"/>
      <c r="M3022" s="338"/>
      <c r="N3022" s="338"/>
      <c r="O3022" s="338"/>
      <c r="P3022" s="338"/>
      <c r="Q3022" s="338"/>
      <c r="R3022" s="338"/>
      <c r="S3022" s="338"/>
      <c r="T3022" s="338"/>
      <c r="U3022" s="338"/>
      <c r="V3022" s="338"/>
      <c r="W3022" s="338"/>
      <c r="X3022" s="338"/>
      <c r="Y3022" s="338"/>
      <c r="Z3022" s="338"/>
      <c r="AA3022" s="2774" t="s">
        <v>0</v>
      </c>
      <c r="AB3022" s="2774"/>
    </row>
    <row r="3023" spans="1:28" s="352" customFormat="1" ht="18" customHeight="1" x14ac:dyDescent="0.2">
      <c r="A3023" s="2703" t="s">
        <v>1</v>
      </c>
      <c r="B3023" s="2703"/>
      <c r="C3023" s="2703"/>
      <c r="D3023" s="2703"/>
      <c r="E3023" s="2703"/>
      <c r="F3023" s="2703"/>
      <c r="G3023" s="2703"/>
      <c r="H3023" s="2703"/>
      <c r="I3023" s="2703"/>
      <c r="J3023" s="2703"/>
      <c r="K3023" s="2703"/>
      <c r="L3023" s="2703"/>
      <c r="M3023" s="2703"/>
      <c r="N3023" s="2703"/>
      <c r="O3023" s="2703"/>
      <c r="P3023" s="2703"/>
      <c r="Q3023" s="2703"/>
      <c r="R3023" s="2703"/>
      <c r="S3023" s="2703"/>
      <c r="T3023" s="2703"/>
      <c r="U3023" s="2703"/>
      <c r="V3023" s="2703"/>
      <c r="W3023" s="2703"/>
      <c r="X3023" s="2703"/>
      <c r="Y3023" s="2703"/>
      <c r="Z3023" s="2703"/>
      <c r="AA3023" s="2703"/>
      <c r="AB3023" s="2703"/>
    </row>
    <row r="3024" spans="1:28" s="352" customFormat="1" ht="18" customHeight="1" x14ac:dyDescent="0.2">
      <c r="A3024" s="2777" t="s">
        <v>324</v>
      </c>
      <c r="B3024" s="2777"/>
      <c r="C3024" s="2777"/>
      <c r="D3024" s="2777"/>
      <c r="E3024" s="2777"/>
      <c r="F3024" s="2777"/>
      <c r="G3024" s="2777"/>
      <c r="H3024" s="2777"/>
      <c r="I3024" s="2777"/>
      <c r="J3024" s="2777"/>
      <c r="K3024" s="2777"/>
      <c r="L3024" s="2777"/>
      <c r="M3024" s="2777"/>
      <c r="N3024" s="2777"/>
      <c r="O3024" s="2777"/>
      <c r="P3024" s="2777"/>
      <c r="Q3024" s="2777"/>
      <c r="R3024" s="2777"/>
      <c r="S3024" s="2777"/>
      <c r="T3024" s="2777"/>
      <c r="U3024" s="2777"/>
      <c r="V3024" s="2777"/>
      <c r="W3024" s="2777"/>
      <c r="X3024" s="2777"/>
      <c r="Y3024" s="2777"/>
      <c r="Z3024" s="2777"/>
      <c r="AA3024" s="2777"/>
      <c r="AB3024" s="2777"/>
    </row>
    <row r="3025" spans="1:28" s="352" customFormat="1" ht="18" customHeight="1" x14ac:dyDescent="0.2">
      <c r="A3025" s="2686" t="s">
        <v>2</v>
      </c>
      <c r="B3025" s="360"/>
      <c r="C3025" s="2686" t="s">
        <v>3</v>
      </c>
      <c r="D3025" s="360"/>
      <c r="E3025" s="360"/>
      <c r="F3025" s="2693" t="s">
        <v>4</v>
      </c>
      <c r="G3025" s="2693"/>
      <c r="H3025" s="2693"/>
      <c r="I3025" s="2694"/>
      <c r="J3025" s="2694"/>
      <c r="K3025" s="2695"/>
      <c r="L3025" s="361"/>
      <c r="M3025" s="2679" t="s">
        <v>5</v>
      </c>
      <c r="N3025" s="2679"/>
      <c r="O3025" s="2679"/>
      <c r="P3025" s="2679"/>
      <c r="Q3025" s="2696"/>
      <c r="R3025" s="2696"/>
      <c r="S3025" s="2696"/>
      <c r="T3025" s="2696"/>
      <c r="U3025" s="2696"/>
      <c r="V3025" s="2697"/>
      <c r="W3025" s="362" t="s">
        <v>6</v>
      </c>
      <c r="X3025" s="363" t="s">
        <v>7</v>
      </c>
      <c r="Y3025" s="364"/>
      <c r="Z3025" s="364"/>
      <c r="AA3025" s="363"/>
      <c r="AB3025" s="365"/>
    </row>
    <row r="3026" spans="1:28" s="352" customFormat="1" ht="18" customHeight="1" x14ac:dyDescent="0.2">
      <c r="A3026" s="2687"/>
      <c r="B3026" s="367"/>
      <c r="C3026" s="2687"/>
      <c r="D3026" s="2158" t="s">
        <v>9</v>
      </c>
      <c r="E3026" s="368" t="s">
        <v>10</v>
      </c>
      <c r="F3026" s="2698" t="s">
        <v>11</v>
      </c>
      <c r="G3026" s="2694"/>
      <c r="H3026" s="2695"/>
      <c r="I3026" s="360"/>
      <c r="J3026" s="369" t="s">
        <v>12</v>
      </c>
      <c r="K3026" s="360"/>
      <c r="L3026" s="2679" t="s">
        <v>2</v>
      </c>
      <c r="M3026" s="2162"/>
      <c r="N3026" s="2162"/>
      <c r="O3026" s="2162"/>
      <c r="P3026" s="371"/>
      <c r="Q3026" s="372" t="s">
        <v>13</v>
      </c>
      <c r="R3026" s="373" t="s">
        <v>12</v>
      </c>
      <c r="S3026" s="2162" t="s">
        <v>6</v>
      </c>
      <c r="T3026" s="2682" t="s">
        <v>14</v>
      </c>
      <c r="U3026" s="2683"/>
      <c r="V3026" s="375" t="s">
        <v>7</v>
      </c>
      <c r="W3026" s="376" t="s">
        <v>15</v>
      </c>
      <c r="X3026" s="377" t="s">
        <v>16</v>
      </c>
      <c r="Y3026" s="377" t="s">
        <v>17</v>
      </c>
      <c r="Z3026" s="377" t="s">
        <v>18</v>
      </c>
      <c r="AA3026" s="377"/>
      <c r="AB3026" s="378" t="s">
        <v>19</v>
      </c>
    </row>
    <row r="3027" spans="1:28" s="352" customFormat="1" ht="18" customHeight="1" x14ac:dyDescent="0.2">
      <c r="A3027" s="2687"/>
      <c r="B3027" s="2158" t="s">
        <v>23</v>
      </c>
      <c r="C3027" s="2687"/>
      <c r="D3027" s="2158" t="s">
        <v>24</v>
      </c>
      <c r="E3027" s="368" t="s">
        <v>25</v>
      </c>
      <c r="F3027" s="2699"/>
      <c r="G3027" s="2700"/>
      <c r="H3027" s="2701"/>
      <c r="I3027" s="2158" t="s">
        <v>26</v>
      </c>
      <c r="J3027" s="379" t="s">
        <v>15</v>
      </c>
      <c r="K3027" s="2159" t="s">
        <v>6</v>
      </c>
      <c r="L3027" s="2680"/>
      <c r="M3027" s="2163" t="s">
        <v>27</v>
      </c>
      <c r="N3027" s="2163" t="s">
        <v>10</v>
      </c>
      <c r="O3027" s="382" t="s">
        <v>10</v>
      </c>
      <c r="P3027" s="383" t="s">
        <v>28</v>
      </c>
      <c r="Q3027" s="384" t="s">
        <v>29</v>
      </c>
      <c r="R3027" s="383" t="s">
        <v>15</v>
      </c>
      <c r="S3027" s="385" t="s">
        <v>15</v>
      </c>
      <c r="T3027" s="2684"/>
      <c r="U3027" s="2685"/>
      <c r="V3027" s="375" t="s">
        <v>30</v>
      </c>
      <c r="W3027" s="376" t="s">
        <v>31</v>
      </c>
      <c r="X3027" s="377" t="s">
        <v>30</v>
      </c>
      <c r="Y3027" s="377" t="s">
        <v>32</v>
      </c>
      <c r="Z3027" s="377" t="s">
        <v>7</v>
      </c>
      <c r="AA3027" s="377" t="s">
        <v>33</v>
      </c>
      <c r="AB3027" s="378" t="s">
        <v>34</v>
      </c>
    </row>
    <row r="3028" spans="1:28" s="352" customFormat="1" ht="18" customHeight="1" x14ac:dyDescent="0.2">
      <c r="A3028" s="2687"/>
      <c r="B3028" s="2158" t="s">
        <v>39</v>
      </c>
      <c r="C3028" s="2687"/>
      <c r="D3028" s="2158" t="s">
        <v>40</v>
      </c>
      <c r="E3028" s="368" t="s">
        <v>41</v>
      </c>
      <c r="F3028" s="2686" t="s">
        <v>42</v>
      </c>
      <c r="G3028" s="2686" t="s">
        <v>43</v>
      </c>
      <c r="H3028" s="2688" t="s">
        <v>44</v>
      </c>
      <c r="I3028" s="2158" t="s">
        <v>45</v>
      </c>
      <c r="J3028" s="379" t="s">
        <v>46</v>
      </c>
      <c r="K3028" s="2159" t="s">
        <v>47</v>
      </c>
      <c r="L3028" s="2680"/>
      <c r="M3028" s="2163" t="s">
        <v>30</v>
      </c>
      <c r="N3028" s="2163" t="s">
        <v>30</v>
      </c>
      <c r="O3028" s="382" t="s">
        <v>25</v>
      </c>
      <c r="P3028" s="383" t="s">
        <v>30</v>
      </c>
      <c r="Q3028" s="384" t="s">
        <v>48</v>
      </c>
      <c r="R3028" s="383" t="s">
        <v>49</v>
      </c>
      <c r="S3028" s="385" t="s">
        <v>30</v>
      </c>
      <c r="T3028" s="386" t="s">
        <v>50</v>
      </c>
      <c r="U3028" s="2161" t="s">
        <v>13</v>
      </c>
      <c r="V3028" s="375" t="s">
        <v>51</v>
      </c>
      <c r="W3028" s="376" t="s">
        <v>52</v>
      </c>
      <c r="X3028" s="377" t="s">
        <v>53</v>
      </c>
      <c r="Y3028" s="377" t="s">
        <v>54</v>
      </c>
      <c r="Z3028" s="377" t="s">
        <v>55</v>
      </c>
      <c r="AA3028" s="377" t="s">
        <v>56</v>
      </c>
      <c r="AB3028" s="378" t="s">
        <v>57</v>
      </c>
    </row>
    <row r="3029" spans="1:28" s="352" customFormat="1" ht="18" customHeight="1" x14ac:dyDescent="0.2">
      <c r="A3029" s="2687"/>
      <c r="B3029" s="2158" t="s">
        <v>61</v>
      </c>
      <c r="C3029" s="2687"/>
      <c r="D3029" s="2158" t="s">
        <v>62</v>
      </c>
      <c r="E3029" s="368" t="s">
        <v>63</v>
      </c>
      <c r="F3029" s="2687"/>
      <c r="G3029" s="2687"/>
      <c r="H3029" s="2689"/>
      <c r="I3029" s="2158" t="s">
        <v>64</v>
      </c>
      <c r="J3029" s="379" t="s">
        <v>59</v>
      </c>
      <c r="K3029" s="2159" t="s">
        <v>59</v>
      </c>
      <c r="L3029" s="2680"/>
      <c r="M3029" s="2163"/>
      <c r="N3029" s="2163"/>
      <c r="O3029" s="382" t="s">
        <v>41</v>
      </c>
      <c r="P3029" s="383" t="s">
        <v>65</v>
      </c>
      <c r="Q3029" s="384" t="s">
        <v>66</v>
      </c>
      <c r="R3029" s="383" t="s">
        <v>67</v>
      </c>
      <c r="S3029" s="385" t="s">
        <v>59</v>
      </c>
      <c r="T3029" s="387" t="s">
        <v>68</v>
      </c>
      <c r="U3029" s="375" t="s">
        <v>14</v>
      </c>
      <c r="V3029" s="375" t="s">
        <v>14</v>
      </c>
      <c r="W3029" s="376" t="s">
        <v>30</v>
      </c>
      <c r="X3029" s="388" t="s">
        <v>69</v>
      </c>
      <c r="Y3029" s="388" t="s">
        <v>70</v>
      </c>
      <c r="Z3029" s="377" t="s">
        <v>71</v>
      </c>
      <c r="AA3029" s="377" t="s">
        <v>72</v>
      </c>
      <c r="AB3029" s="378" t="s">
        <v>59</v>
      </c>
    </row>
    <row r="3030" spans="1:28" s="352" customFormat="1" ht="18" customHeight="1" x14ac:dyDescent="0.2">
      <c r="A3030" s="2692"/>
      <c r="B3030" s="390"/>
      <c r="C3030" s="2692"/>
      <c r="D3030" s="390"/>
      <c r="E3030" s="2160"/>
      <c r="F3030" s="390"/>
      <c r="G3030" s="390"/>
      <c r="H3030" s="391"/>
      <c r="I3030" s="2160"/>
      <c r="J3030" s="392"/>
      <c r="K3030" s="393"/>
      <c r="L3030" s="2681"/>
      <c r="M3030" s="2164"/>
      <c r="N3030" s="2164"/>
      <c r="O3030" s="2164" t="s">
        <v>63</v>
      </c>
      <c r="P3030" s="395"/>
      <c r="Q3030" s="396" t="s">
        <v>72</v>
      </c>
      <c r="R3030" s="397" t="s">
        <v>59</v>
      </c>
      <c r="S3030" s="398"/>
      <c r="T3030" s="397" t="s">
        <v>73</v>
      </c>
      <c r="U3030" s="398" t="s">
        <v>59</v>
      </c>
      <c r="V3030" s="399" t="s">
        <v>59</v>
      </c>
      <c r="W3030" s="400" t="s">
        <v>59</v>
      </c>
      <c r="X3030" s="401" t="s">
        <v>59</v>
      </c>
      <c r="Y3030" s="401" t="s">
        <v>59</v>
      </c>
      <c r="Z3030" s="401" t="s">
        <v>59</v>
      </c>
      <c r="AA3030" s="402"/>
      <c r="AB3030" s="403"/>
    </row>
    <row r="3031" spans="1:28" s="352" customFormat="1" ht="18" customHeight="1" x14ac:dyDescent="0.2">
      <c r="A3031" s="82">
        <v>1</v>
      </c>
      <c r="B3031" s="240">
        <v>34070</v>
      </c>
      <c r="C3031" s="82">
        <v>359</v>
      </c>
      <c r="D3031" s="82" t="s">
        <v>84</v>
      </c>
      <c r="E3031" s="82">
        <v>4</v>
      </c>
      <c r="F3031" s="1578">
        <v>0</v>
      </c>
      <c r="G3031" s="1578">
        <v>0</v>
      </c>
      <c r="H3031" s="1579">
        <v>42.3</v>
      </c>
      <c r="I3031" s="1589">
        <f>F3031*400+G3031*100+H3031</f>
        <v>42.3</v>
      </c>
      <c r="J3031" s="1586">
        <v>3000</v>
      </c>
      <c r="K3031" s="121">
        <f>J3031*I3031</f>
        <v>126899.99999999999</v>
      </c>
      <c r="L3031" s="53"/>
      <c r="M3031" s="82"/>
      <c r="N3031" s="82"/>
      <c r="O3031" s="53"/>
      <c r="P3031" s="358"/>
      <c r="Q3031" s="197"/>
      <c r="R3031" s="444"/>
      <c r="S3031" s="70"/>
      <c r="T3031" s="82"/>
      <c r="U3031" s="70"/>
      <c r="V3031" s="70"/>
      <c r="W3031" s="70"/>
      <c r="X3031" s="123">
        <f>K3031</f>
        <v>126899.99999999999</v>
      </c>
      <c r="Y3031" s="123">
        <v>0</v>
      </c>
      <c r="Z3031" s="123">
        <f>X3031</f>
        <v>126899.99999999999</v>
      </c>
      <c r="AA3031" s="464">
        <v>0.3</v>
      </c>
      <c r="AB3031" s="465">
        <f>Z3031*AA3031/100</f>
        <v>380.69999999999993</v>
      </c>
    </row>
    <row r="3032" spans="1:28" s="352" customFormat="1" ht="18" customHeight="1" x14ac:dyDescent="0.2">
      <c r="A3032" s="2166"/>
      <c r="B3032" s="240">
        <v>78987</v>
      </c>
      <c r="C3032" s="82">
        <v>1977</v>
      </c>
      <c r="D3032" s="82" t="s">
        <v>84</v>
      </c>
      <c r="E3032" s="82">
        <v>4</v>
      </c>
      <c r="F3032" s="1578">
        <v>0</v>
      </c>
      <c r="G3032" s="1578">
        <v>0</v>
      </c>
      <c r="H3032" s="1579">
        <v>40</v>
      </c>
      <c r="I3032" s="1589">
        <f t="shared" ref="I3032" si="146">F3032*400+G3032*100+H3032</f>
        <v>40</v>
      </c>
      <c r="J3032" s="1586">
        <v>3000</v>
      </c>
      <c r="K3032" s="121">
        <f t="shared" ref="K3032" si="147">J3032*I3032</f>
        <v>120000</v>
      </c>
      <c r="L3032" s="53"/>
      <c r="M3032" s="82"/>
      <c r="N3032" s="82"/>
      <c r="O3032" s="53"/>
      <c r="P3032" s="358"/>
      <c r="Q3032" s="197"/>
      <c r="R3032" s="444"/>
      <c r="S3032" s="70"/>
      <c r="T3032" s="82"/>
      <c r="U3032" s="70"/>
      <c r="V3032" s="70"/>
      <c r="W3032" s="70"/>
      <c r="X3032" s="123">
        <f t="shared" ref="X3032" si="148">K3032</f>
        <v>120000</v>
      </c>
      <c r="Y3032" s="123">
        <v>0</v>
      </c>
      <c r="Z3032" s="123">
        <f t="shared" ref="Z3032" si="149">X3032</f>
        <v>120000</v>
      </c>
      <c r="AA3032" s="464">
        <v>0.3</v>
      </c>
      <c r="AB3032" s="465">
        <f t="shared" ref="AB3032" si="150">Z3032*AA3032/100</f>
        <v>360</v>
      </c>
    </row>
    <row r="3033" spans="1:28" s="352" customFormat="1" ht="18" customHeight="1" x14ac:dyDescent="0.2">
      <c r="A3033" s="2166"/>
      <c r="B3033" s="61"/>
      <c r="C3033" s="2166"/>
      <c r="D3033" s="2166"/>
      <c r="E3033" s="2166"/>
      <c r="F3033" s="2166"/>
      <c r="G3033" s="2166"/>
      <c r="H3033" s="407"/>
      <c r="I3033" s="77"/>
      <c r="J3033" s="2168"/>
      <c r="K3033" s="78"/>
      <c r="L3033" s="61"/>
      <c r="M3033" s="2166"/>
      <c r="N3033" s="2166"/>
      <c r="O3033" s="61"/>
      <c r="P3033" s="177"/>
      <c r="Q3033" s="196"/>
      <c r="R3033" s="408"/>
      <c r="S3033" s="77"/>
      <c r="T3033" s="2166"/>
      <c r="U3033" s="77"/>
      <c r="V3033" s="77"/>
      <c r="W3033" s="77"/>
      <c r="X3033" s="77"/>
      <c r="Y3033" s="2168"/>
      <c r="Z3033" s="77"/>
      <c r="AA3033" s="2170"/>
      <c r="AB3033" s="410"/>
    </row>
    <row r="3034" spans="1:28" s="352" customFormat="1" ht="18" customHeight="1" x14ac:dyDescent="0.2">
      <c r="A3034" s="2166"/>
      <c r="B3034" s="61"/>
      <c r="C3034" s="2166"/>
      <c r="D3034" s="2166"/>
      <c r="E3034" s="2166"/>
      <c r="F3034" s="2166"/>
      <c r="G3034" s="2166"/>
      <c r="H3034" s="407"/>
      <c r="I3034" s="77"/>
      <c r="J3034" s="2168"/>
      <c r="K3034" s="78"/>
      <c r="L3034" s="61"/>
      <c r="M3034" s="2166"/>
      <c r="N3034" s="2166"/>
      <c r="O3034" s="61"/>
      <c r="P3034" s="177"/>
      <c r="Q3034" s="196"/>
      <c r="R3034" s="408"/>
      <c r="S3034" s="77"/>
      <c r="T3034" s="2166"/>
      <c r="U3034" s="77"/>
      <c r="V3034" s="77"/>
      <c r="W3034" s="77"/>
      <c r="X3034" s="77"/>
      <c r="Y3034" s="2168"/>
      <c r="Z3034" s="77"/>
      <c r="AA3034" s="2170"/>
      <c r="AB3034" s="410"/>
    </row>
    <row r="3035" spans="1:28" s="352" customFormat="1" ht="18" customHeight="1" x14ac:dyDescent="0.2">
      <c r="A3035" s="2166"/>
      <c r="B3035" s="61"/>
      <c r="C3035" s="2166"/>
      <c r="D3035" s="2166"/>
      <c r="E3035" s="2166"/>
      <c r="F3035" s="2166"/>
      <c r="G3035" s="2166"/>
      <c r="H3035" s="407"/>
      <c r="I3035" s="77"/>
      <c r="J3035" s="2168"/>
      <c r="K3035" s="78"/>
      <c r="L3035" s="61"/>
      <c r="M3035" s="2166"/>
      <c r="N3035" s="2166"/>
      <c r="O3035" s="61"/>
      <c r="P3035" s="177"/>
      <c r="Q3035" s="196"/>
      <c r="R3035" s="408"/>
      <c r="S3035" s="77"/>
      <c r="T3035" s="2166"/>
      <c r="U3035" s="77"/>
      <c r="V3035" s="77"/>
      <c r="W3035" s="77"/>
      <c r="X3035" s="77"/>
      <c r="Y3035" s="2168"/>
      <c r="Z3035" s="77"/>
      <c r="AA3035" s="2170"/>
      <c r="AB3035" s="410"/>
    </row>
    <row r="3036" spans="1:28" s="352" customFormat="1" ht="18" customHeight="1" x14ac:dyDescent="0.2">
      <c r="A3036" s="88"/>
      <c r="B3036" s="75"/>
      <c r="C3036" s="88"/>
      <c r="D3036" s="88"/>
      <c r="E3036" s="2166"/>
      <c r="F3036" s="411"/>
      <c r="G3036" s="242"/>
      <c r="H3036" s="412"/>
      <c r="I3036" s="159"/>
      <c r="J3036" s="121"/>
      <c r="K3036" s="159"/>
      <c r="L3036" s="75"/>
      <c r="M3036" s="88"/>
      <c r="N3036" s="88"/>
      <c r="O3036" s="75"/>
      <c r="P3036" s="180"/>
      <c r="Q3036" s="174"/>
      <c r="R3036" s="413"/>
      <c r="S3036" s="74"/>
      <c r="T3036" s="88"/>
      <c r="U3036" s="74"/>
      <c r="V3036" s="74"/>
      <c r="W3036" s="74"/>
      <c r="X3036" s="74"/>
      <c r="Y3036" s="121"/>
      <c r="Z3036" s="74"/>
      <c r="AA3036" s="414"/>
      <c r="AB3036" s="415"/>
    </row>
    <row r="3037" spans="1:28" s="352" customFormat="1" ht="18" customHeight="1" x14ac:dyDescent="0.2">
      <c r="A3037" s="88"/>
      <c r="B3037" s="75"/>
      <c r="C3037" s="88"/>
      <c r="D3037" s="231"/>
      <c r="E3037" s="2166"/>
      <c r="F3037" s="411"/>
      <c r="G3037" s="242"/>
      <c r="H3037" s="412"/>
      <c r="I3037" s="159"/>
      <c r="J3037" s="121"/>
      <c r="K3037" s="159"/>
      <c r="L3037" s="75"/>
      <c r="M3037" s="88"/>
      <c r="N3037" s="88"/>
      <c r="O3037" s="75"/>
      <c r="P3037" s="180"/>
      <c r="Q3037" s="174"/>
      <c r="R3037" s="413"/>
      <c r="S3037" s="74"/>
      <c r="T3037" s="88"/>
      <c r="U3037" s="74"/>
      <c r="V3037" s="74"/>
      <c r="W3037" s="74"/>
      <c r="X3037" s="74"/>
      <c r="Y3037" s="121"/>
      <c r="Z3037" s="74"/>
      <c r="AA3037" s="417"/>
      <c r="AB3037" s="410"/>
    </row>
    <row r="3038" spans="1:28" s="352" customFormat="1" ht="18" customHeight="1" x14ac:dyDescent="0.2">
      <c r="A3038" s="88"/>
      <c r="B3038" s="75"/>
      <c r="C3038" s="88"/>
      <c r="D3038" s="88"/>
      <c r="E3038" s="2166"/>
      <c r="F3038" s="411"/>
      <c r="G3038" s="242"/>
      <c r="H3038" s="412"/>
      <c r="I3038" s="159"/>
      <c r="J3038" s="121"/>
      <c r="K3038" s="159"/>
      <c r="L3038" s="75"/>
      <c r="M3038" s="88"/>
      <c r="N3038" s="88"/>
      <c r="O3038" s="75"/>
      <c r="P3038" s="180"/>
      <c r="Q3038" s="174"/>
      <c r="R3038" s="413"/>
      <c r="S3038" s="74"/>
      <c r="T3038" s="88"/>
      <c r="U3038" s="74"/>
      <c r="V3038" s="74"/>
      <c r="W3038" s="74"/>
      <c r="X3038" s="74"/>
      <c r="Y3038" s="121"/>
      <c r="Z3038" s="74"/>
      <c r="AA3038" s="414"/>
      <c r="AB3038" s="416"/>
    </row>
    <row r="3039" spans="1:28" s="352" customFormat="1" ht="18" customHeight="1" x14ac:dyDescent="0.2">
      <c r="A3039" s="88"/>
      <c r="B3039" s="1588"/>
      <c r="C3039" s="88"/>
      <c r="D3039" s="88"/>
      <c r="E3039" s="2166"/>
      <c r="F3039" s="411"/>
      <c r="G3039" s="242"/>
      <c r="H3039" s="412"/>
      <c r="I3039" s="159"/>
      <c r="J3039" s="121"/>
      <c r="K3039" s="159"/>
      <c r="L3039" s="75"/>
      <c r="M3039" s="88"/>
      <c r="N3039" s="88"/>
      <c r="O3039" s="75"/>
      <c r="P3039" s="180"/>
      <c r="Q3039" s="174"/>
      <c r="R3039" s="413"/>
      <c r="S3039" s="74"/>
      <c r="T3039" s="88"/>
      <c r="U3039" s="74"/>
      <c r="V3039" s="74"/>
      <c r="W3039" s="74"/>
      <c r="X3039" s="74"/>
      <c r="Y3039" s="121"/>
      <c r="Z3039" s="74"/>
      <c r="AA3039" s="414"/>
      <c r="AB3039" s="415"/>
    </row>
    <row r="3040" spans="1:28" s="352" customFormat="1" ht="18" customHeight="1" x14ac:dyDescent="0.2">
      <c r="A3040" s="88"/>
      <c r="B3040" s="75"/>
      <c r="C3040" s="88"/>
      <c r="D3040" s="2165"/>
      <c r="E3040" s="2166"/>
      <c r="F3040" s="411"/>
      <c r="G3040" s="242"/>
      <c r="H3040" s="412"/>
      <c r="I3040" s="159"/>
      <c r="J3040" s="121"/>
      <c r="K3040" s="159"/>
      <c r="L3040" s="75"/>
      <c r="M3040" s="88"/>
      <c r="N3040" s="88"/>
      <c r="O3040" s="75"/>
      <c r="P3040" s="180"/>
      <c r="Q3040" s="174"/>
      <c r="R3040" s="413"/>
      <c r="S3040" s="74"/>
      <c r="T3040" s="88"/>
      <c r="U3040" s="74"/>
      <c r="V3040" s="74"/>
      <c r="W3040" s="74"/>
      <c r="X3040" s="74"/>
      <c r="Y3040" s="121"/>
      <c r="Z3040" s="74"/>
      <c r="AA3040" s="414"/>
      <c r="AB3040" s="410"/>
    </row>
    <row r="3041" spans="1:28" s="352" customFormat="1" ht="18" customHeight="1" x14ac:dyDescent="0.2">
      <c r="A3041" s="88"/>
      <c r="B3041" s="75"/>
      <c r="C3041" s="88"/>
      <c r="D3041" s="2165"/>
      <c r="E3041" s="2166"/>
      <c r="F3041" s="411"/>
      <c r="G3041" s="242"/>
      <c r="H3041" s="412"/>
      <c r="I3041" s="159"/>
      <c r="J3041" s="121"/>
      <c r="K3041" s="159"/>
      <c r="L3041" s="75"/>
      <c r="M3041" s="88"/>
      <c r="N3041" s="88"/>
      <c r="O3041" s="75"/>
      <c r="P3041" s="180"/>
      <c r="Q3041" s="174"/>
      <c r="R3041" s="413"/>
      <c r="S3041" s="74"/>
      <c r="T3041" s="88"/>
      <c r="U3041" s="74"/>
      <c r="V3041" s="74"/>
      <c r="W3041" s="74"/>
      <c r="X3041" s="74"/>
      <c r="Y3041" s="121"/>
      <c r="Z3041" s="74"/>
      <c r="AA3041" s="606"/>
      <c r="AB3041" s="410"/>
    </row>
    <row r="3042" spans="1:28" s="352" customFormat="1" ht="18" customHeight="1" x14ac:dyDescent="0.2">
      <c r="A3042" s="88"/>
      <c r="B3042" s="75"/>
      <c r="C3042" s="88"/>
      <c r="D3042" s="2165"/>
      <c r="E3042" s="2166"/>
      <c r="F3042" s="411"/>
      <c r="G3042" s="242"/>
      <c r="H3042" s="412"/>
      <c r="I3042" s="159"/>
      <c r="J3042" s="121"/>
      <c r="K3042" s="159"/>
      <c r="L3042" s="75"/>
      <c r="M3042" s="88"/>
      <c r="N3042" s="88"/>
      <c r="O3042" s="75"/>
      <c r="P3042" s="180"/>
      <c r="Q3042" s="174"/>
      <c r="R3042" s="413"/>
      <c r="S3042" s="74"/>
      <c r="T3042" s="88"/>
      <c r="U3042" s="74"/>
      <c r="V3042" s="74"/>
      <c r="W3042" s="74"/>
      <c r="X3042" s="74"/>
      <c r="Y3042" s="121"/>
      <c r="Z3042" s="74"/>
      <c r="AA3042" s="417"/>
      <c r="AB3042" s="410"/>
    </row>
    <row r="3043" spans="1:28" s="352" customFormat="1" ht="18" customHeight="1" x14ac:dyDescent="0.2">
      <c r="A3043" s="88"/>
      <c r="B3043" s="75"/>
      <c r="C3043" s="88"/>
      <c r="D3043" s="2165"/>
      <c r="E3043" s="2166"/>
      <c r="F3043" s="411"/>
      <c r="G3043" s="242"/>
      <c r="H3043" s="412"/>
      <c r="I3043" s="159"/>
      <c r="J3043" s="121"/>
      <c r="K3043" s="159"/>
      <c r="L3043" s="75"/>
      <c r="M3043" s="88"/>
      <c r="N3043" s="88"/>
      <c r="O3043" s="75"/>
      <c r="P3043" s="180"/>
      <c r="Q3043" s="174"/>
      <c r="R3043" s="413"/>
      <c r="S3043" s="74"/>
      <c r="T3043" s="88"/>
      <c r="U3043" s="74"/>
      <c r="V3043" s="74"/>
      <c r="W3043" s="74"/>
      <c r="X3043" s="74"/>
      <c r="Y3043" s="121"/>
      <c r="Z3043" s="74"/>
      <c r="AA3043" s="414"/>
      <c r="AB3043" s="416"/>
    </row>
    <row r="3044" spans="1:28" s="352" customFormat="1" ht="18" customHeight="1" x14ac:dyDescent="0.2">
      <c r="A3044" s="88"/>
      <c r="B3044" s="418"/>
      <c r="C3044" s="88"/>
      <c r="D3044" s="88"/>
      <c r="E3044" s="88"/>
      <c r="F3044" s="411"/>
      <c r="G3044" s="242"/>
      <c r="H3044" s="412"/>
      <c r="I3044" s="159"/>
      <c r="J3044" s="121"/>
      <c r="K3044" s="159"/>
      <c r="L3044" s="75"/>
      <c r="M3044" s="88"/>
      <c r="N3044" s="88"/>
      <c r="O3044" s="75"/>
      <c r="P3044" s="180"/>
      <c r="Q3044" s="174"/>
      <c r="R3044" s="413"/>
      <c r="S3044" s="74"/>
      <c r="T3044" s="88"/>
      <c r="U3044" s="74"/>
      <c r="V3044" s="74"/>
      <c r="W3044" s="74"/>
      <c r="X3044" s="74"/>
      <c r="Y3044" s="121"/>
      <c r="Z3044" s="74"/>
      <c r="AA3044" s="414"/>
      <c r="AB3044" s="410"/>
    </row>
    <row r="3045" spans="1:28" s="352" customFormat="1" ht="18" customHeight="1" x14ac:dyDescent="0.2">
      <c r="A3045" s="1147"/>
      <c r="B3045" s="1989"/>
      <c r="C3045" s="1147"/>
      <c r="D3045" s="1147"/>
      <c r="E3045" s="1147"/>
      <c r="F3045" s="1147"/>
      <c r="G3045" s="1147"/>
      <c r="H3045" s="1990"/>
      <c r="I3045" s="1991"/>
      <c r="J3045" s="1868"/>
      <c r="K3045" s="1992"/>
      <c r="L3045" s="1989"/>
      <c r="M3045" s="1147"/>
      <c r="N3045" s="1147"/>
      <c r="O3045" s="1989"/>
      <c r="P3045" s="1867"/>
      <c r="Q3045" s="1993"/>
      <c r="R3045" s="1994"/>
      <c r="S3045" s="1991"/>
      <c r="T3045" s="1147"/>
      <c r="U3045" s="1991"/>
      <c r="V3045" s="1991"/>
      <c r="W3045" s="1991"/>
      <c r="X3045" s="1991"/>
      <c r="Y3045" s="1868"/>
      <c r="Z3045" s="1991"/>
      <c r="AA3045" s="1995"/>
      <c r="AB3045" s="1849">
        <f>SUM(AB3031:AB3044)</f>
        <v>740.69999999999993</v>
      </c>
    </row>
    <row r="3046" spans="1:28" s="352" customFormat="1" ht="18" customHeight="1" x14ac:dyDescent="0.2">
      <c r="A3046" s="2788" t="s">
        <v>76</v>
      </c>
      <c r="B3046" s="2788"/>
      <c r="C3046" s="2779" t="s">
        <v>77</v>
      </c>
      <c r="D3046" s="2779"/>
      <c r="E3046" s="2779"/>
      <c r="F3046" s="2779"/>
      <c r="G3046" s="2779"/>
      <c r="H3046" s="2779"/>
      <c r="I3046" s="424" t="s">
        <v>78</v>
      </c>
      <c r="J3046" s="424"/>
      <c r="K3046" s="424"/>
      <c r="L3046" s="424"/>
      <c r="M3046" s="424"/>
      <c r="N3046" s="424"/>
      <c r="AB3046" s="425"/>
    </row>
    <row r="3047" spans="1:28" s="352" customFormat="1" ht="18" customHeight="1" x14ac:dyDescent="0.2">
      <c r="A3047" s="424"/>
      <c r="B3047" s="426"/>
      <c r="C3047" s="424"/>
      <c r="D3047" s="424"/>
      <c r="E3047" s="424"/>
      <c r="F3047" s="424"/>
      <c r="G3047" s="424"/>
      <c r="H3047" s="424"/>
      <c r="I3047" s="424" t="s">
        <v>79</v>
      </c>
      <c r="J3047" s="424"/>
      <c r="K3047" s="424"/>
      <c r="L3047" s="424"/>
      <c r="M3047" s="424"/>
      <c r="N3047" s="424"/>
      <c r="AB3047" s="425"/>
    </row>
    <row r="3048" spans="1:28" s="352" customFormat="1" ht="18" customHeight="1" x14ac:dyDescent="0.2">
      <c r="A3048" s="424"/>
      <c r="B3048" s="426"/>
      <c r="C3048" s="424"/>
      <c r="D3048" s="424"/>
      <c r="E3048" s="424"/>
      <c r="F3048" s="424"/>
      <c r="G3048" s="424"/>
      <c r="H3048" s="424"/>
      <c r="I3048" s="424" t="s">
        <v>80</v>
      </c>
      <c r="J3048" s="424"/>
      <c r="K3048" s="424"/>
      <c r="L3048" s="424"/>
      <c r="M3048" s="424"/>
      <c r="N3048" s="424"/>
      <c r="AB3048" s="425"/>
    </row>
    <row r="3049" spans="1:28" s="352" customFormat="1" ht="18" customHeight="1" x14ac:dyDescent="0.2">
      <c r="A3049" s="424"/>
      <c r="B3049" s="426"/>
      <c r="C3049" s="424"/>
      <c r="D3049" s="424"/>
      <c r="E3049" s="424"/>
      <c r="F3049" s="424"/>
      <c r="G3049" s="424"/>
      <c r="H3049" s="424"/>
      <c r="I3049" s="424" t="s">
        <v>81</v>
      </c>
      <c r="J3049" s="424"/>
      <c r="K3049" s="424"/>
      <c r="L3049" s="424"/>
      <c r="M3049" s="424"/>
      <c r="N3049" s="424"/>
      <c r="AB3049" s="425"/>
    </row>
    <row r="3050" spans="1:28" s="352" customFormat="1" ht="18" customHeight="1" x14ac:dyDescent="0.2">
      <c r="A3050" s="424"/>
      <c r="B3050" s="426"/>
      <c r="C3050" s="424"/>
      <c r="D3050" s="424"/>
      <c r="E3050" s="424"/>
      <c r="F3050" s="424"/>
      <c r="G3050" s="424"/>
      <c r="H3050" s="424"/>
      <c r="I3050" s="424" t="s">
        <v>88</v>
      </c>
      <c r="J3050" s="424"/>
      <c r="K3050" s="424"/>
      <c r="L3050" s="424"/>
      <c r="M3050" s="424"/>
      <c r="N3050" s="424"/>
      <c r="AB3050" s="425"/>
    </row>
    <row r="3051" spans="1:28" s="352" customFormat="1" ht="18" customHeight="1" x14ac:dyDescent="0.2">
      <c r="A3051" s="338"/>
      <c r="B3051" s="338"/>
      <c r="C3051" s="338"/>
      <c r="D3051" s="338"/>
      <c r="E3051" s="338"/>
      <c r="F3051" s="338"/>
      <c r="G3051" s="338"/>
      <c r="H3051" s="338"/>
      <c r="I3051" s="338"/>
      <c r="J3051" s="338"/>
      <c r="K3051" s="338"/>
      <c r="L3051" s="338"/>
      <c r="M3051" s="338"/>
      <c r="N3051" s="338"/>
      <c r="O3051" s="338"/>
      <c r="P3051" s="338"/>
      <c r="Q3051" s="338"/>
      <c r="R3051" s="338"/>
      <c r="S3051" s="338"/>
      <c r="T3051" s="338"/>
      <c r="U3051" s="338"/>
      <c r="V3051" s="338"/>
      <c r="W3051" s="338"/>
      <c r="X3051" s="338"/>
      <c r="Y3051" s="338"/>
      <c r="Z3051" s="338"/>
      <c r="AA3051" s="2774" t="s">
        <v>0</v>
      </c>
      <c r="AB3051" s="2774"/>
    </row>
    <row r="3052" spans="1:28" s="352" customFormat="1" ht="18" customHeight="1" x14ac:dyDescent="0.2">
      <c r="A3052" s="2703" t="s">
        <v>1</v>
      </c>
      <c r="B3052" s="2703"/>
      <c r="C3052" s="2703"/>
      <c r="D3052" s="2703"/>
      <c r="E3052" s="2703"/>
      <c r="F3052" s="2703"/>
      <c r="G3052" s="2703"/>
      <c r="H3052" s="2703"/>
      <c r="I3052" s="2703"/>
      <c r="J3052" s="2703"/>
      <c r="K3052" s="2703"/>
      <c r="L3052" s="2703"/>
      <c r="M3052" s="2703"/>
      <c r="N3052" s="2703"/>
      <c r="O3052" s="2703"/>
      <c r="P3052" s="2703"/>
      <c r="Q3052" s="2703"/>
      <c r="R3052" s="2703"/>
      <c r="S3052" s="2703"/>
      <c r="T3052" s="2703"/>
      <c r="U3052" s="2703"/>
      <c r="V3052" s="2703"/>
      <c r="W3052" s="2703"/>
      <c r="X3052" s="2703"/>
      <c r="Y3052" s="2703"/>
      <c r="Z3052" s="2703"/>
      <c r="AA3052" s="2703"/>
      <c r="AB3052" s="2703"/>
    </row>
    <row r="3053" spans="1:28" s="352" customFormat="1" ht="18" customHeight="1" x14ac:dyDescent="0.2">
      <c r="A3053" s="2780" t="s">
        <v>328</v>
      </c>
      <c r="B3053" s="2780"/>
      <c r="C3053" s="2780"/>
      <c r="D3053" s="2780"/>
      <c r="E3053" s="2780"/>
      <c r="F3053" s="2780"/>
      <c r="G3053" s="2780"/>
      <c r="H3053" s="2780"/>
      <c r="I3053" s="2780"/>
      <c r="J3053" s="2780"/>
      <c r="K3053" s="2780"/>
      <c r="L3053" s="2780"/>
      <c r="M3053" s="2780"/>
      <c r="N3053" s="2780"/>
      <c r="O3053" s="2780"/>
      <c r="P3053" s="2780"/>
      <c r="Q3053" s="2780"/>
      <c r="R3053" s="2780"/>
      <c r="S3053" s="2780"/>
      <c r="T3053" s="2780"/>
      <c r="U3053" s="2780"/>
      <c r="V3053" s="2780"/>
      <c r="W3053" s="2780"/>
      <c r="X3053" s="2780"/>
      <c r="Y3053" s="2780"/>
      <c r="Z3053" s="2780"/>
      <c r="AA3053" s="2780"/>
      <c r="AB3053" s="2780"/>
    </row>
    <row r="3054" spans="1:28" s="352" customFormat="1" ht="18" customHeight="1" x14ac:dyDescent="0.2">
      <c r="A3054" s="2686" t="s">
        <v>2</v>
      </c>
      <c r="B3054" s="360"/>
      <c r="C3054" s="2686" t="s">
        <v>3</v>
      </c>
      <c r="D3054" s="360"/>
      <c r="E3054" s="360"/>
      <c r="F3054" s="2693" t="s">
        <v>4</v>
      </c>
      <c r="G3054" s="2693"/>
      <c r="H3054" s="2693"/>
      <c r="I3054" s="2694"/>
      <c r="J3054" s="2694"/>
      <c r="K3054" s="2695"/>
      <c r="L3054" s="361"/>
      <c r="M3054" s="2679" t="s">
        <v>5</v>
      </c>
      <c r="N3054" s="2679"/>
      <c r="O3054" s="2679"/>
      <c r="P3054" s="2679"/>
      <c r="Q3054" s="2696"/>
      <c r="R3054" s="2696"/>
      <c r="S3054" s="2696"/>
      <c r="T3054" s="2696"/>
      <c r="U3054" s="2696"/>
      <c r="V3054" s="2697"/>
      <c r="W3054" s="362" t="s">
        <v>6</v>
      </c>
      <c r="X3054" s="363" t="s">
        <v>7</v>
      </c>
      <c r="Y3054" s="364"/>
      <c r="Z3054" s="364"/>
      <c r="AA3054" s="363"/>
      <c r="AB3054" s="365"/>
    </row>
    <row r="3055" spans="1:28" s="352" customFormat="1" ht="18" customHeight="1" x14ac:dyDescent="0.2">
      <c r="A3055" s="2687"/>
      <c r="B3055" s="367"/>
      <c r="C3055" s="2687"/>
      <c r="D3055" s="2158" t="s">
        <v>9</v>
      </c>
      <c r="E3055" s="368" t="s">
        <v>10</v>
      </c>
      <c r="F3055" s="2698" t="s">
        <v>11</v>
      </c>
      <c r="G3055" s="2694"/>
      <c r="H3055" s="2695"/>
      <c r="I3055" s="360"/>
      <c r="J3055" s="369" t="s">
        <v>12</v>
      </c>
      <c r="K3055" s="360"/>
      <c r="L3055" s="2679" t="s">
        <v>2</v>
      </c>
      <c r="M3055" s="2162"/>
      <c r="N3055" s="2162"/>
      <c r="O3055" s="2162"/>
      <c r="P3055" s="371"/>
      <c r="Q3055" s="372" t="s">
        <v>13</v>
      </c>
      <c r="R3055" s="373" t="s">
        <v>12</v>
      </c>
      <c r="S3055" s="2162" t="s">
        <v>6</v>
      </c>
      <c r="T3055" s="2682" t="s">
        <v>14</v>
      </c>
      <c r="U3055" s="2683"/>
      <c r="V3055" s="375" t="s">
        <v>7</v>
      </c>
      <c r="W3055" s="376" t="s">
        <v>15</v>
      </c>
      <c r="X3055" s="377" t="s">
        <v>16</v>
      </c>
      <c r="Y3055" s="377" t="s">
        <v>17</v>
      </c>
      <c r="Z3055" s="377" t="s">
        <v>18</v>
      </c>
      <c r="AA3055" s="377"/>
      <c r="AB3055" s="378" t="s">
        <v>19</v>
      </c>
    </row>
    <row r="3056" spans="1:28" s="352" customFormat="1" ht="18" customHeight="1" x14ac:dyDescent="0.2">
      <c r="A3056" s="2687"/>
      <c r="B3056" s="2158" t="s">
        <v>23</v>
      </c>
      <c r="C3056" s="2687"/>
      <c r="D3056" s="2158" t="s">
        <v>24</v>
      </c>
      <c r="E3056" s="368" t="s">
        <v>25</v>
      </c>
      <c r="F3056" s="2699"/>
      <c r="G3056" s="2700"/>
      <c r="H3056" s="2701"/>
      <c r="I3056" s="2158" t="s">
        <v>26</v>
      </c>
      <c r="J3056" s="379" t="s">
        <v>15</v>
      </c>
      <c r="K3056" s="2159" t="s">
        <v>6</v>
      </c>
      <c r="L3056" s="2680"/>
      <c r="M3056" s="2163" t="s">
        <v>27</v>
      </c>
      <c r="N3056" s="2163" t="s">
        <v>10</v>
      </c>
      <c r="O3056" s="382" t="s">
        <v>10</v>
      </c>
      <c r="P3056" s="383" t="s">
        <v>28</v>
      </c>
      <c r="Q3056" s="384" t="s">
        <v>29</v>
      </c>
      <c r="R3056" s="383" t="s">
        <v>15</v>
      </c>
      <c r="S3056" s="385" t="s">
        <v>15</v>
      </c>
      <c r="T3056" s="2684"/>
      <c r="U3056" s="2685"/>
      <c r="V3056" s="375" t="s">
        <v>30</v>
      </c>
      <c r="W3056" s="376" t="s">
        <v>31</v>
      </c>
      <c r="X3056" s="377" t="s">
        <v>30</v>
      </c>
      <c r="Y3056" s="377" t="s">
        <v>32</v>
      </c>
      <c r="Z3056" s="377" t="s">
        <v>7</v>
      </c>
      <c r="AA3056" s="377" t="s">
        <v>33</v>
      </c>
      <c r="AB3056" s="378" t="s">
        <v>34</v>
      </c>
    </row>
    <row r="3057" spans="1:28" s="352" customFormat="1" ht="18" customHeight="1" x14ac:dyDescent="0.2">
      <c r="A3057" s="2687"/>
      <c r="B3057" s="2158" t="s">
        <v>39</v>
      </c>
      <c r="C3057" s="2687"/>
      <c r="D3057" s="2158" t="s">
        <v>40</v>
      </c>
      <c r="E3057" s="368" t="s">
        <v>41</v>
      </c>
      <c r="F3057" s="2686" t="s">
        <v>42</v>
      </c>
      <c r="G3057" s="2686" t="s">
        <v>43</v>
      </c>
      <c r="H3057" s="2688" t="s">
        <v>44</v>
      </c>
      <c r="I3057" s="2158" t="s">
        <v>45</v>
      </c>
      <c r="J3057" s="379" t="s">
        <v>46</v>
      </c>
      <c r="K3057" s="2159" t="s">
        <v>47</v>
      </c>
      <c r="L3057" s="2680"/>
      <c r="M3057" s="2163" t="s">
        <v>30</v>
      </c>
      <c r="N3057" s="2163" t="s">
        <v>30</v>
      </c>
      <c r="O3057" s="382" t="s">
        <v>25</v>
      </c>
      <c r="P3057" s="383" t="s">
        <v>30</v>
      </c>
      <c r="Q3057" s="384" t="s">
        <v>48</v>
      </c>
      <c r="R3057" s="383" t="s">
        <v>49</v>
      </c>
      <c r="S3057" s="385" t="s">
        <v>30</v>
      </c>
      <c r="T3057" s="386" t="s">
        <v>50</v>
      </c>
      <c r="U3057" s="2161" t="s">
        <v>13</v>
      </c>
      <c r="V3057" s="375" t="s">
        <v>51</v>
      </c>
      <c r="W3057" s="376" t="s">
        <v>52</v>
      </c>
      <c r="X3057" s="377" t="s">
        <v>53</v>
      </c>
      <c r="Y3057" s="377" t="s">
        <v>54</v>
      </c>
      <c r="Z3057" s="377" t="s">
        <v>55</v>
      </c>
      <c r="AA3057" s="377" t="s">
        <v>56</v>
      </c>
      <c r="AB3057" s="378" t="s">
        <v>57</v>
      </c>
    </row>
    <row r="3058" spans="1:28" s="352" customFormat="1" ht="18" customHeight="1" x14ac:dyDescent="0.2">
      <c r="A3058" s="2687"/>
      <c r="B3058" s="2158" t="s">
        <v>61</v>
      </c>
      <c r="C3058" s="2687"/>
      <c r="D3058" s="2158" t="s">
        <v>62</v>
      </c>
      <c r="E3058" s="368" t="s">
        <v>63</v>
      </c>
      <c r="F3058" s="2687"/>
      <c r="G3058" s="2687"/>
      <c r="H3058" s="2689"/>
      <c r="I3058" s="2158" t="s">
        <v>64</v>
      </c>
      <c r="J3058" s="379" t="s">
        <v>59</v>
      </c>
      <c r="K3058" s="2159" t="s">
        <v>59</v>
      </c>
      <c r="L3058" s="2680"/>
      <c r="M3058" s="2163"/>
      <c r="N3058" s="2163"/>
      <c r="O3058" s="382" t="s">
        <v>41</v>
      </c>
      <c r="P3058" s="383" t="s">
        <v>65</v>
      </c>
      <c r="Q3058" s="384" t="s">
        <v>66</v>
      </c>
      <c r="R3058" s="383" t="s">
        <v>67</v>
      </c>
      <c r="S3058" s="385" t="s">
        <v>59</v>
      </c>
      <c r="T3058" s="387" t="s">
        <v>68</v>
      </c>
      <c r="U3058" s="375" t="s">
        <v>14</v>
      </c>
      <c r="V3058" s="375" t="s">
        <v>14</v>
      </c>
      <c r="W3058" s="376" t="s">
        <v>30</v>
      </c>
      <c r="X3058" s="388" t="s">
        <v>69</v>
      </c>
      <c r="Y3058" s="388" t="s">
        <v>70</v>
      </c>
      <c r="Z3058" s="377" t="s">
        <v>71</v>
      </c>
      <c r="AA3058" s="377" t="s">
        <v>72</v>
      </c>
      <c r="AB3058" s="378" t="s">
        <v>59</v>
      </c>
    </row>
    <row r="3059" spans="1:28" s="352" customFormat="1" ht="18" customHeight="1" x14ac:dyDescent="0.2">
      <c r="A3059" s="2692"/>
      <c r="B3059" s="390"/>
      <c r="C3059" s="2692"/>
      <c r="D3059" s="390"/>
      <c r="E3059" s="2160"/>
      <c r="F3059" s="390"/>
      <c r="G3059" s="390"/>
      <c r="H3059" s="391"/>
      <c r="I3059" s="2160"/>
      <c r="J3059" s="392"/>
      <c r="K3059" s="393"/>
      <c r="L3059" s="2681"/>
      <c r="M3059" s="2164"/>
      <c r="N3059" s="2164"/>
      <c r="O3059" s="2164" t="s">
        <v>63</v>
      </c>
      <c r="P3059" s="395"/>
      <c r="Q3059" s="396" t="s">
        <v>72</v>
      </c>
      <c r="R3059" s="397" t="s">
        <v>59</v>
      </c>
      <c r="S3059" s="398"/>
      <c r="T3059" s="397" t="s">
        <v>73</v>
      </c>
      <c r="U3059" s="398" t="s">
        <v>59</v>
      </c>
      <c r="V3059" s="399" t="s">
        <v>59</v>
      </c>
      <c r="W3059" s="400" t="s">
        <v>59</v>
      </c>
      <c r="X3059" s="401" t="s">
        <v>59</v>
      </c>
      <c r="Y3059" s="401" t="s">
        <v>59</v>
      </c>
      <c r="Z3059" s="401" t="s">
        <v>59</v>
      </c>
      <c r="AA3059" s="402"/>
      <c r="AB3059" s="403"/>
    </row>
    <row r="3060" spans="1:28" s="352" customFormat="1" ht="18" customHeight="1" x14ac:dyDescent="0.2">
      <c r="A3060" s="82">
        <v>1</v>
      </c>
      <c r="B3060" s="240">
        <v>33996</v>
      </c>
      <c r="C3060" s="82">
        <v>2244</v>
      </c>
      <c r="D3060" s="82" t="s">
        <v>84</v>
      </c>
      <c r="E3060" s="82">
        <v>4</v>
      </c>
      <c r="F3060" s="82">
        <v>0</v>
      </c>
      <c r="G3060" s="82">
        <v>1</v>
      </c>
      <c r="H3060" s="463">
        <v>17.2</v>
      </c>
      <c r="I3060" s="123">
        <v>117.2</v>
      </c>
      <c r="J3060" s="123">
        <v>3000</v>
      </c>
      <c r="K3060" s="123">
        <f>J3060*I3060</f>
        <v>351600</v>
      </c>
      <c r="L3060" s="53"/>
      <c r="M3060" s="82"/>
      <c r="N3060" s="82"/>
      <c r="O3060" s="53"/>
      <c r="P3060" s="358"/>
      <c r="Q3060" s="197"/>
      <c r="R3060" s="444"/>
      <c r="S3060" s="70"/>
      <c r="T3060" s="82"/>
      <c r="U3060" s="70"/>
      <c r="V3060" s="70"/>
      <c r="W3060" s="70"/>
      <c r="X3060" s="123">
        <f>K3060</f>
        <v>351600</v>
      </c>
      <c r="Y3060" s="123">
        <v>0</v>
      </c>
      <c r="Z3060" s="123">
        <f>X3060</f>
        <v>351600</v>
      </c>
      <c r="AA3060" s="464">
        <v>0.3</v>
      </c>
      <c r="AB3060" s="465">
        <f>Z3060*AA3060/100</f>
        <v>1054.8</v>
      </c>
    </row>
    <row r="3061" spans="1:28" s="352" customFormat="1" ht="18" customHeight="1" x14ac:dyDescent="0.2">
      <c r="A3061" s="2166">
        <v>2</v>
      </c>
      <c r="B3061" s="241">
        <v>33997</v>
      </c>
      <c r="C3061" s="2166">
        <v>2245</v>
      </c>
      <c r="D3061" s="88" t="s">
        <v>84</v>
      </c>
      <c r="E3061" s="2166">
        <v>4</v>
      </c>
      <c r="F3061" s="2166">
        <v>0</v>
      </c>
      <c r="G3061" s="2166">
        <v>1</v>
      </c>
      <c r="H3061" s="407">
        <v>9.1999999999999993</v>
      </c>
      <c r="I3061" s="121">
        <v>109.2</v>
      </c>
      <c r="J3061" s="2168">
        <v>3000</v>
      </c>
      <c r="K3061" s="121">
        <f>J3061*I3061</f>
        <v>327600</v>
      </c>
      <c r="L3061" s="61"/>
      <c r="M3061" s="2166"/>
      <c r="N3061" s="2166"/>
      <c r="O3061" s="61"/>
      <c r="P3061" s="177"/>
      <c r="Q3061" s="196"/>
      <c r="R3061" s="408"/>
      <c r="S3061" s="77"/>
      <c r="T3061" s="2166"/>
      <c r="U3061" s="77"/>
      <c r="V3061" s="77"/>
      <c r="W3061" s="77"/>
      <c r="X3061" s="121">
        <f>K3061</f>
        <v>327600</v>
      </c>
      <c r="Y3061" s="2168">
        <v>0</v>
      </c>
      <c r="Z3061" s="121">
        <f>X3061</f>
        <v>327600</v>
      </c>
      <c r="AA3061" s="2170">
        <v>0.3</v>
      </c>
      <c r="AB3061" s="410">
        <f>Z3061*AA3061/100</f>
        <v>982.8</v>
      </c>
    </row>
    <row r="3062" spans="1:28" s="352" customFormat="1" ht="18" customHeight="1" x14ac:dyDescent="0.2">
      <c r="A3062" s="2166"/>
      <c r="B3062" s="61"/>
      <c r="C3062" s="2166"/>
      <c r="D3062" s="88"/>
      <c r="E3062" s="2166"/>
      <c r="F3062" s="2166"/>
      <c r="G3062" s="2166"/>
      <c r="H3062" s="407"/>
      <c r="I3062" s="121"/>
      <c r="J3062" s="2168"/>
      <c r="K3062" s="121"/>
      <c r="L3062" s="61"/>
      <c r="M3062" s="2166"/>
      <c r="N3062" s="2166"/>
      <c r="O3062" s="61"/>
      <c r="P3062" s="177"/>
      <c r="Q3062" s="196"/>
      <c r="R3062" s="408"/>
      <c r="S3062" s="77"/>
      <c r="T3062" s="2166"/>
      <c r="U3062" s="77"/>
      <c r="V3062" s="77"/>
      <c r="W3062" s="77"/>
      <c r="X3062" s="121"/>
      <c r="Y3062" s="2168"/>
      <c r="Z3062" s="121"/>
      <c r="AA3062" s="2170"/>
      <c r="AB3062" s="410"/>
    </row>
    <row r="3063" spans="1:28" s="352" customFormat="1" ht="18" customHeight="1" x14ac:dyDescent="0.2">
      <c r="A3063" s="2166"/>
      <c r="B3063" s="61"/>
      <c r="C3063" s="2166"/>
      <c r="D3063" s="2166"/>
      <c r="E3063" s="2166"/>
      <c r="F3063" s="2166"/>
      <c r="G3063" s="2166"/>
      <c r="H3063" s="407"/>
      <c r="I3063" s="77"/>
      <c r="J3063" s="2168"/>
      <c r="K3063" s="2168"/>
      <c r="L3063" s="488"/>
      <c r="M3063" s="488"/>
      <c r="N3063" s="488"/>
      <c r="O3063" s="488"/>
      <c r="P3063" s="819"/>
      <c r="Q3063" s="819"/>
      <c r="R3063" s="820"/>
      <c r="S3063" s="820"/>
      <c r="T3063" s="819"/>
      <c r="U3063" s="820"/>
      <c r="V3063" s="821"/>
      <c r="W3063" s="77"/>
      <c r="X3063" s="2168"/>
      <c r="Y3063" s="2168"/>
      <c r="Z3063" s="77"/>
      <c r="AA3063" s="2170"/>
      <c r="AB3063" s="410"/>
    </row>
    <row r="3064" spans="1:28" s="352" customFormat="1" ht="18" customHeight="1" x14ac:dyDescent="0.2">
      <c r="A3064" s="2166"/>
      <c r="B3064" s="61"/>
      <c r="C3064" s="2166"/>
      <c r="D3064" s="2166"/>
      <c r="E3064" s="2166"/>
      <c r="F3064" s="2166"/>
      <c r="G3064" s="2166"/>
      <c r="H3064" s="407"/>
      <c r="I3064" s="77"/>
      <c r="J3064" s="2168"/>
      <c r="K3064" s="78"/>
      <c r="L3064" s="61"/>
      <c r="M3064" s="2166"/>
      <c r="N3064" s="2166"/>
      <c r="O3064" s="61"/>
      <c r="P3064" s="177"/>
      <c r="Q3064" s="196"/>
      <c r="R3064" s="408"/>
      <c r="S3064" s="77"/>
      <c r="T3064" s="2166"/>
      <c r="U3064" s="77"/>
      <c r="V3064" s="77"/>
      <c r="W3064" s="77"/>
      <c r="X3064" s="77"/>
      <c r="Y3064" s="2168"/>
      <c r="Z3064" s="77"/>
      <c r="AA3064" s="2170"/>
      <c r="AB3064" s="410"/>
    </row>
    <row r="3065" spans="1:28" s="352" customFormat="1" ht="18" customHeight="1" x14ac:dyDescent="0.2">
      <c r="A3065" s="2166"/>
      <c r="B3065" s="61"/>
      <c r="C3065" s="2166"/>
      <c r="D3065" s="2166"/>
      <c r="E3065" s="2166"/>
      <c r="F3065" s="2166"/>
      <c r="G3065" s="2166"/>
      <c r="H3065" s="407"/>
      <c r="I3065" s="77"/>
      <c r="J3065" s="2168"/>
      <c r="K3065" s="78"/>
      <c r="L3065" s="61"/>
      <c r="M3065" s="2166"/>
      <c r="N3065" s="2166"/>
      <c r="O3065" s="61"/>
      <c r="P3065" s="177"/>
      <c r="Q3065" s="196"/>
      <c r="R3065" s="408"/>
      <c r="S3065" s="77"/>
      <c r="T3065" s="2166"/>
      <c r="U3065" s="77"/>
      <c r="V3065" s="77"/>
      <c r="W3065" s="77"/>
      <c r="X3065" s="77"/>
      <c r="Y3065" s="2168"/>
      <c r="Z3065" s="77"/>
      <c r="AA3065" s="2170"/>
      <c r="AB3065" s="410"/>
    </row>
    <row r="3066" spans="1:28" s="352" customFormat="1" ht="18" customHeight="1" x14ac:dyDescent="0.2">
      <c r="A3066" s="2166"/>
      <c r="B3066" s="61"/>
      <c r="C3066" s="2166"/>
      <c r="D3066" s="2166"/>
      <c r="E3066" s="2166"/>
      <c r="F3066" s="2166"/>
      <c r="G3066" s="2166"/>
      <c r="H3066" s="407"/>
      <c r="I3066" s="77"/>
      <c r="J3066" s="2168"/>
      <c r="K3066" s="78"/>
      <c r="L3066" s="61"/>
      <c r="M3066" s="2166"/>
      <c r="N3066" s="2166"/>
      <c r="O3066" s="61"/>
      <c r="P3066" s="177"/>
      <c r="Q3066" s="196"/>
      <c r="R3066" s="408"/>
      <c r="S3066" s="77"/>
      <c r="T3066" s="2166"/>
      <c r="U3066" s="77"/>
      <c r="V3066" s="77"/>
      <c r="W3066" s="77"/>
      <c r="X3066" s="77"/>
      <c r="Y3066" s="2168"/>
      <c r="Z3066" s="77"/>
      <c r="AA3066" s="2170"/>
      <c r="AB3066" s="410"/>
    </row>
    <row r="3067" spans="1:28" s="352" customFormat="1" ht="18" customHeight="1" x14ac:dyDescent="0.2">
      <c r="A3067" s="88"/>
      <c r="B3067" s="75"/>
      <c r="C3067" s="88"/>
      <c r="D3067" s="88"/>
      <c r="E3067" s="2166"/>
      <c r="F3067" s="411"/>
      <c r="G3067" s="242"/>
      <c r="H3067" s="412"/>
      <c r="I3067" s="159"/>
      <c r="J3067" s="121"/>
      <c r="K3067" s="159"/>
      <c r="L3067" s="75"/>
      <c r="M3067" s="88"/>
      <c r="N3067" s="88"/>
      <c r="O3067" s="75"/>
      <c r="P3067" s="180"/>
      <c r="Q3067" s="174"/>
      <c r="R3067" s="413"/>
      <c r="S3067" s="74"/>
      <c r="T3067" s="88"/>
      <c r="U3067" s="74"/>
      <c r="V3067" s="74"/>
      <c r="W3067" s="74"/>
      <c r="X3067" s="74"/>
      <c r="Y3067" s="121"/>
      <c r="Z3067" s="74"/>
      <c r="AA3067" s="414"/>
      <c r="AB3067" s="415"/>
    </row>
    <row r="3068" spans="1:28" s="352" customFormat="1" ht="18" customHeight="1" x14ac:dyDescent="0.2">
      <c r="A3068" s="88"/>
      <c r="B3068" s="75"/>
      <c r="C3068" s="88"/>
      <c r="D3068" s="231"/>
      <c r="E3068" s="2166"/>
      <c r="F3068" s="411"/>
      <c r="G3068" s="242"/>
      <c r="H3068" s="412"/>
      <c r="I3068" s="159"/>
      <c r="J3068" s="121"/>
      <c r="K3068" s="159"/>
      <c r="L3068" s="75"/>
      <c r="M3068" s="88"/>
      <c r="N3068" s="88"/>
      <c r="O3068" s="75"/>
      <c r="P3068" s="180"/>
      <c r="Q3068" s="174"/>
      <c r="R3068" s="413"/>
      <c r="S3068" s="74"/>
      <c r="T3068" s="88"/>
      <c r="U3068" s="74"/>
      <c r="V3068" s="74"/>
      <c r="W3068" s="74"/>
      <c r="X3068" s="74"/>
      <c r="Y3068" s="121"/>
      <c r="Z3068" s="74"/>
      <c r="AA3068" s="417"/>
      <c r="AB3068" s="410"/>
    </row>
    <row r="3069" spans="1:28" s="352" customFormat="1" ht="18" customHeight="1" x14ac:dyDescent="0.2">
      <c r="A3069" s="88"/>
      <c r="B3069" s="75"/>
      <c r="C3069" s="88"/>
      <c r="D3069" s="88"/>
      <c r="E3069" s="2166"/>
      <c r="F3069" s="411"/>
      <c r="G3069" s="242"/>
      <c r="H3069" s="412"/>
      <c r="I3069" s="159"/>
      <c r="J3069" s="121"/>
      <c r="K3069" s="1606" t="s">
        <v>327</v>
      </c>
      <c r="L3069" s="75"/>
      <c r="M3069" s="88"/>
      <c r="N3069" s="88"/>
      <c r="O3069" s="75"/>
      <c r="P3069" s="180"/>
      <c r="Q3069" s="174"/>
      <c r="R3069" s="413"/>
      <c r="S3069" s="74"/>
      <c r="T3069" s="88"/>
      <c r="U3069" s="74"/>
      <c r="V3069" s="74"/>
      <c r="W3069" s="74"/>
      <c r="X3069" s="74"/>
      <c r="Y3069" s="121"/>
      <c r="Z3069" s="74"/>
      <c r="AA3069" s="414"/>
      <c r="AB3069" s="416"/>
    </row>
    <row r="3070" spans="1:28" s="352" customFormat="1" ht="18" customHeight="1" x14ac:dyDescent="0.2">
      <c r="A3070" s="88"/>
      <c r="B3070" s="75"/>
      <c r="C3070" s="88"/>
      <c r="D3070" s="88"/>
      <c r="E3070" s="2166"/>
      <c r="F3070" s="411"/>
      <c r="G3070" s="242"/>
      <c r="H3070" s="412"/>
      <c r="I3070" s="159"/>
      <c r="J3070" s="121"/>
      <c r="K3070" s="159"/>
      <c r="L3070" s="75"/>
      <c r="M3070" s="88"/>
      <c r="N3070" s="88"/>
      <c r="O3070" s="75"/>
      <c r="P3070" s="180"/>
      <c r="Q3070" s="174"/>
      <c r="R3070" s="413"/>
      <c r="S3070" s="74"/>
      <c r="T3070" s="88"/>
      <c r="U3070" s="74"/>
      <c r="V3070" s="74"/>
      <c r="W3070" s="74"/>
      <c r="X3070" s="74"/>
      <c r="Y3070" s="121"/>
      <c r="Z3070" s="74"/>
      <c r="AA3070" s="414"/>
      <c r="AB3070" s="415"/>
    </row>
    <row r="3071" spans="1:28" s="352" customFormat="1" ht="18" customHeight="1" x14ac:dyDescent="0.2">
      <c r="A3071" s="88"/>
      <c r="B3071" s="75"/>
      <c r="C3071" s="88"/>
      <c r="D3071" s="2165"/>
      <c r="E3071" s="2166"/>
      <c r="F3071" s="411"/>
      <c r="G3071" s="242"/>
      <c r="H3071" s="412"/>
      <c r="I3071" s="159"/>
      <c r="J3071" s="121"/>
      <c r="K3071" s="159"/>
      <c r="L3071" s="75"/>
      <c r="M3071" s="88"/>
      <c r="N3071" s="88"/>
      <c r="O3071" s="75"/>
      <c r="P3071" s="180"/>
      <c r="Q3071" s="174"/>
      <c r="R3071" s="413"/>
      <c r="S3071" s="74"/>
      <c r="T3071" s="88"/>
      <c r="U3071" s="74"/>
      <c r="V3071" s="74"/>
      <c r="W3071" s="74"/>
      <c r="X3071" s="74"/>
      <c r="Y3071" s="121"/>
      <c r="Z3071" s="74"/>
      <c r="AA3071" s="414"/>
      <c r="AB3071" s="410"/>
    </row>
    <row r="3072" spans="1:28" s="352" customFormat="1" ht="18" customHeight="1" x14ac:dyDescent="0.2">
      <c r="A3072" s="88"/>
      <c r="B3072" s="75"/>
      <c r="C3072" s="88"/>
      <c r="D3072" s="2165"/>
      <c r="E3072" s="2166"/>
      <c r="F3072" s="411"/>
      <c r="G3072" s="242"/>
      <c r="H3072" s="412"/>
      <c r="I3072" s="159"/>
      <c r="J3072" s="121"/>
      <c r="K3072" s="159"/>
      <c r="L3072" s="75"/>
      <c r="M3072" s="88"/>
      <c r="N3072" s="88"/>
      <c r="O3072" s="75"/>
      <c r="P3072" s="180"/>
      <c r="Q3072" s="174"/>
      <c r="R3072" s="413"/>
      <c r="S3072" s="74"/>
      <c r="T3072" s="88"/>
      <c r="U3072" s="74"/>
      <c r="V3072" s="74"/>
      <c r="W3072" s="74"/>
      <c r="X3072" s="74"/>
      <c r="Y3072" s="121"/>
      <c r="Z3072" s="74"/>
      <c r="AA3072" s="414"/>
      <c r="AB3072" s="416"/>
    </row>
    <row r="3073" spans="1:28" s="352" customFormat="1" ht="18" customHeight="1" x14ac:dyDescent="0.2">
      <c r="A3073" s="88"/>
      <c r="B3073" s="418"/>
      <c r="C3073" s="88"/>
      <c r="D3073" s="88"/>
      <c r="E3073" s="88"/>
      <c r="F3073" s="411"/>
      <c r="G3073" s="242"/>
      <c r="H3073" s="412"/>
      <c r="I3073" s="159"/>
      <c r="J3073" s="121"/>
      <c r="K3073" s="159"/>
      <c r="L3073" s="75"/>
      <c r="M3073" s="88"/>
      <c r="N3073" s="88"/>
      <c r="O3073" s="75"/>
      <c r="P3073" s="180"/>
      <c r="Q3073" s="174"/>
      <c r="R3073" s="413"/>
      <c r="S3073" s="74"/>
      <c r="T3073" s="88"/>
      <c r="U3073" s="74"/>
      <c r="V3073" s="74"/>
      <c r="W3073" s="74"/>
      <c r="X3073" s="74"/>
      <c r="Y3073" s="121"/>
      <c r="Z3073" s="74"/>
      <c r="AA3073" s="414"/>
      <c r="AB3073" s="410"/>
    </row>
    <row r="3074" spans="1:28" s="352" customFormat="1" ht="18" customHeight="1" x14ac:dyDescent="0.2">
      <c r="A3074" s="1147"/>
      <c r="B3074" s="1989"/>
      <c r="C3074" s="1147"/>
      <c r="D3074" s="1147"/>
      <c r="E3074" s="1147"/>
      <c r="F3074" s="1147"/>
      <c r="G3074" s="1147"/>
      <c r="H3074" s="1990"/>
      <c r="I3074" s="1991"/>
      <c r="J3074" s="1868"/>
      <c r="K3074" s="1992"/>
      <c r="L3074" s="1989"/>
      <c r="M3074" s="1147"/>
      <c r="N3074" s="1147"/>
      <c r="O3074" s="1989"/>
      <c r="P3074" s="1867"/>
      <c r="Q3074" s="1993"/>
      <c r="R3074" s="1994"/>
      <c r="S3074" s="1991"/>
      <c r="T3074" s="1147"/>
      <c r="U3074" s="1991"/>
      <c r="V3074" s="1991"/>
      <c r="W3074" s="1991"/>
      <c r="X3074" s="1991"/>
      <c r="Y3074" s="1868"/>
      <c r="Z3074" s="1991"/>
      <c r="AA3074" s="1995"/>
      <c r="AB3074" s="1849">
        <f>SUM(AB3060:AB3073)</f>
        <v>2037.6</v>
      </c>
    </row>
    <row r="3075" spans="1:28" s="352" customFormat="1" ht="18" customHeight="1" x14ac:dyDescent="0.2">
      <c r="A3075" s="2788" t="s">
        <v>76</v>
      </c>
      <c r="B3075" s="2788"/>
      <c r="C3075" s="2779" t="s">
        <v>77</v>
      </c>
      <c r="D3075" s="2779"/>
      <c r="E3075" s="2779"/>
      <c r="F3075" s="2779"/>
      <c r="G3075" s="2779"/>
      <c r="H3075" s="2779"/>
      <c r="I3075" s="424" t="s">
        <v>78</v>
      </c>
      <c r="J3075" s="424"/>
      <c r="K3075" s="424"/>
      <c r="L3075" s="424"/>
      <c r="M3075" s="424"/>
      <c r="N3075" s="424"/>
      <c r="AB3075" s="425"/>
    </row>
    <row r="3076" spans="1:28" s="352" customFormat="1" ht="18" customHeight="1" x14ac:dyDescent="0.2">
      <c r="A3076" s="424"/>
      <c r="B3076" s="426"/>
      <c r="C3076" s="424"/>
      <c r="D3076" s="424"/>
      <c r="E3076" s="424"/>
      <c r="F3076" s="424"/>
      <c r="G3076" s="424"/>
      <c r="H3076" s="424"/>
      <c r="I3076" s="424" t="s">
        <v>79</v>
      </c>
      <c r="J3076" s="424"/>
      <c r="K3076" s="424"/>
      <c r="L3076" s="424"/>
      <c r="M3076" s="424"/>
      <c r="N3076" s="424"/>
      <c r="AB3076" s="425"/>
    </row>
    <row r="3077" spans="1:28" s="352" customFormat="1" ht="18" customHeight="1" x14ac:dyDescent="0.2">
      <c r="A3077" s="424"/>
      <c r="B3077" s="426"/>
      <c r="C3077" s="424"/>
      <c r="D3077" s="424"/>
      <c r="E3077" s="424"/>
      <c r="F3077" s="424"/>
      <c r="G3077" s="424"/>
      <c r="H3077" s="424"/>
      <c r="I3077" s="424" t="s">
        <v>80</v>
      </c>
      <c r="J3077" s="424"/>
      <c r="K3077" s="424"/>
      <c r="L3077" s="424"/>
      <c r="M3077" s="424"/>
      <c r="N3077" s="424"/>
      <c r="AB3077" s="425"/>
    </row>
    <row r="3078" spans="1:28" s="352" customFormat="1" ht="18" customHeight="1" x14ac:dyDescent="0.2">
      <c r="A3078" s="424"/>
      <c r="B3078" s="426"/>
      <c r="C3078" s="424"/>
      <c r="D3078" s="424"/>
      <c r="E3078" s="424"/>
      <c r="F3078" s="424"/>
      <c r="G3078" s="424"/>
      <c r="H3078" s="424"/>
      <c r="I3078" s="424" t="s">
        <v>81</v>
      </c>
      <c r="J3078" s="424"/>
      <c r="K3078" s="424"/>
      <c r="L3078" s="424"/>
      <c r="M3078" s="424"/>
      <c r="N3078" s="424"/>
      <c r="AB3078" s="425"/>
    </row>
    <row r="3079" spans="1:28" s="352" customFormat="1" ht="18" customHeight="1" x14ac:dyDescent="0.2">
      <c r="A3079" s="424"/>
      <c r="B3079" s="426"/>
      <c r="C3079" s="424"/>
      <c r="D3079" s="424"/>
      <c r="E3079" s="424"/>
      <c r="F3079" s="424"/>
      <c r="G3079" s="424"/>
      <c r="H3079" s="424"/>
      <c r="I3079" s="424" t="s">
        <v>88</v>
      </c>
      <c r="J3079" s="424"/>
      <c r="K3079" s="424"/>
      <c r="L3079" s="424"/>
      <c r="M3079" s="424"/>
      <c r="N3079" s="424"/>
      <c r="AB3079" s="425"/>
    </row>
    <row r="3080" spans="1:28" s="352" customFormat="1" ht="18" customHeight="1" x14ac:dyDescent="0.2">
      <c r="A3080" s="338"/>
      <c r="B3080" s="338"/>
      <c r="C3080" s="338"/>
      <c r="D3080" s="338"/>
      <c r="E3080" s="338"/>
      <c r="F3080" s="338"/>
      <c r="G3080" s="338"/>
      <c r="H3080" s="338"/>
      <c r="I3080" s="338"/>
      <c r="J3080" s="338"/>
      <c r="K3080" s="338"/>
      <c r="L3080" s="338"/>
      <c r="M3080" s="338"/>
      <c r="N3080" s="338"/>
      <c r="O3080" s="338"/>
      <c r="P3080" s="338"/>
      <c r="Q3080" s="338"/>
      <c r="R3080" s="338"/>
      <c r="S3080" s="338"/>
      <c r="T3080" s="338"/>
      <c r="U3080" s="338"/>
      <c r="V3080" s="338"/>
      <c r="W3080" s="338"/>
      <c r="X3080" s="338"/>
      <c r="Y3080" s="338"/>
      <c r="Z3080" s="338"/>
      <c r="AA3080" s="2774" t="s">
        <v>0</v>
      </c>
      <c r="AB3080" s="2774"/>
    </row>
    <row r="3081" spans="1:28" s="352" customFormat="1" ht="18" customHeight="1" x14ac:dyDescent="0.2">
      <c r="A3081" s="2703" t="s">
        <v>1</v>
      </c>
      <c r="B3081" s="2703"/>
      <c r="C3081" s="2703"/>
      <c r="D3081" s="2703"/>
      <c r="E3081" s="2703"/>
      <c r="F3081" s="2703"/>
      <c r="G3081" s="2703"/>
      <c r="H3081" s="2703"/>
      <c r="I3081" s="2703"/>
      <c r="J3081" s="2703"/>
      <c r="K3081" s="2703"/>
      <c r="L3081" s="2703"/>
      <c r="M3081" s="2703"/>
      <c r="N3081" s="2703"/>
      <c r="O3081" s="2703"/>
      <c r="P3081" s="2703"/>
      <c r="Q3081" s="2703"/>
      <c r="R3081" s="2703"/>
      <c r="S3081" s="2703"/>
      <c r="T3081" s="2703"/>
      <c r="U3081" s="2703"/>
      <c r="V3081" s="2703"/>
      <c r="W3081" s="2703"/>
      <c r="X3081" s="2703"/>
      <c r="Y3081" s="2703"/>
      <c r="Z3081" s="2703"/>
      <c r="AA3081" s="2703"/>
      <c r="AB3081" s="2703"/>
    </row>
    <row r="3082" spans="1:28" s="352" customFormat="1" ht="18" customHeight="1" x14ac:dyDescent="0.2">
      <c r="A3082" s="2780" t="s">
        <v>688</v>
      </c>
      <c r="B3082" s="2780"/>
      <c r="C3082" s="2780"/>
      <c r="D3082" s="2780"/>
      <c r="E3082" s="2780"/>
      <c r="F3082" s="2780"/>
      <c r="G3082" s="2780"/>
      <c r="H3082" s="2780"/>
      <c r="I3082" s="2780"/>
      <c r="J3082" s="2780"/>
      <c r="K3082" s="2780"/>
      <c r="L3082" s="2780"/>
      <c r="M3082" s="2780"/>
      <c r="N3082" s="2780"/>
      <c r="O3082" s="2780"/>
      <c r="P3082" s="2780"/>
      <c r="Q3082" s="2780"/>
      <c r="R3082" s="2780"/>
      <c r="S3082" s="2780"/>
      <c r="T3082" s="2780"/>
      <c r="U3082" s="2780"/>
      <c r="V3082" s="2780"/>
      <c r="W3082" s="2780"/>
      <c r="X3082" s="2780"/>
      <c r="Y3082" s="2780"/>
      <c r="Z3082" s="2780"/>
      <c r="AA3082" s="2780"/>
      <c r="AB3082" s="2780"/>
    </row>
    <row r="3083" spans="1:28" s="352" customFormat="1" ht="18" customHeight="1" x14ac:dyDescent="0.2">
      <c r="A3083" s="2686" t="s">
        <v>2</v>
      </c>
      <c r="B3083" s="360"/>
      <c r="C3083" s="2686" t="s">
        <v>3</v>
      </c>
      <c r="D3083" s="360"/>
      <c r="E3083" s="360"/>
      <c r="F3083" s="2693" t="s">
        <v>4</v>
      </c>
      <c r="G3083" s="2693"/>
      <c r="H3083" s="2693"/>
      <c r="I3083" s="2694"/>
      <c r="J3083" s="2694"/>
      <c r="K3083" s="2695"/>
      <c r="L3083" s="361"/>
      <c r="M3083" s="2679" t="s">
        <v>5</v>
      </c>
      <c r="N3083" s="2679"/>
      <c r="O3083" s="2679"/>
      <c r="P3083" s="2679"/>
      <c r="Q3083" s="2696"/>
      <c r="R3083" s="2696"/>
      <c r="S3083" s="2696"/>
      <c r="T3083" s="2696"/>
      <c r="U3083" s="2696"/>
      <c r="V3083" s="2697"/>
      <c r="W3083" s="362" t="s">
        <v>6</v>
      </c>
      <c r="X3083" s="363" t="s">
        <v>7</v>
      </c>
      <c r="Y3083" s="364"/>
      <c r="Z3083" s="364"/>
      <c r="AA3083" s="363"/>
      <c r="AB3083" s="365"/>
    </row>
    <row r="3084" spans="1:28" s="352" customFormat="1" ht="18" customHeight="1" x14ac:dyDescent="0.2">
      <c r="A3084" s="2687"/>
      <c r="B3084" s="367"/>
      <c r="C3084" s="2687"/>
      <c r="D3084" s="2158" t="s">
        <v>9</v>
      </c>
      <c r="E3084" s="368" t="s">
        <v>10</v>
      </c>
      <c r="F3084" s="2698" t="s">
        <v>11</v>
      </c>
      <c r="G3084" s="2694"/>
      <c r="H3084" s="2695"/>
      <c r="I3084" s="360"/>
      <c r="J3084" s="369" t="s">
        <v>12</v>
      </c>
      <c r="K3084" s="360"/>
      <c r="L3084" s="2679" t="s">
        <v>2</v>
      </c>
      <c r="M3084" s="2162"/>
      <c r="N3084" s="2162"/>
      <c r="O3084" s="2162"/>
      <c r="P3084" s="371"/>
      <c r="Q3084" s="372" t="s">
        <v>13</v>
      </c>
      <c r="R3084" s="373" t="s">
        <v>12</v>
      </c>
      <c r="S3084" s="2162" t="s">
        <v>6</v>
      </c>
      <c r="T3084" s="2682" t="s">
        <v>14</v>
      </c>
      <c r="U3084" s="2683"/>
      <c r="V3084" s="375" t="s">
        <v>7</v>
      </c>
      <c r="W3084" s="376" t="s">
        <v>15</v>
      </c>
      <c r="X3084" s="377" t="s">
        <v>16</v>
      </c>
      <c r="Y3084" s="377" t="s">
        <v>17</v>
      </c>
      <c r="Z3084" s="377" t="s">
        <v>18</v>
      </c>
      <c r="AA3084" s="377"/>
      <c r="AB3084" s="378" t="s">
        <v>19</v>
      </c>
    </row>
    <row r="3085" spans="1:28" s="352" customFormat="1" ht="18" customHeight="1" x14ac:dyDescent="0.2">
      <c r="A3085" s="2687"/>
      <c r="B3085" s="2158" t="s">
        <v>23</v>
      </c>
      <c r="C3085" s="2687"/>
      <c r="D3085" s="2158" t="s">
        <v>24</v>
      </c>
      <c r="E3085" s="368" t="s">
        <v>25</v>
      </c>
      <c r="F3085" s="2699"/>
      <c r="G3085" s="2700"/>
      <c r="H3085" s="2701"/>
      <c r="I3085" s="2158" t="s">
        <v>26</v>
      </c>
      <c r="J3085" s="379" t="s">
        <v>15</v>
      </c>
      <c r="K3085" s="2159" t="s">
        <v>6</v>
      </c>
      <c r="L3085" s="2680"/>
      <c r="M3085" s="2163" t="s">
        <v>27</v>
      </c>
      <c r="N3085" s="2163" t="s">
        <v>10</v>
      </c>
      <c r="O3085" s="382" t="s">
        <v>10</v>
      </c>
      <c r="P3085" s="383" t="s">
        <v>28</v>
      </c>
      <c r="Q3085" s="384" t="s">
        <v>29</v>
      </c>
      <c r="R3085" s="383" t="s">
        <v>15</v>
      </c>
      <c r="S3085" s="385" t="s">
        <v>15</v>
      </c>
      <c r="T3085" s="2684"/>
      <c r="U3085" s="2685"/>
      <c r="V3085" s="375" t="s">
        <v>30</v>
      </c>
      <c r="W3085" s="376" t="s">
        <v>31</v>
      </c>
      <c r="X3085" s="377" t="s">
        <v>30</v>
      </c>
      <c r="Y3085" s="377" t="s">
        <v>32</v>
      </c>
      <c r="Z3085" s="377" t="s">
        <v>7</v>
      </c>
      <c r="AA3085" s="377" t="s">
        <v>33</v>
      </c>
      <c r="AB3085" s="378" t="s">
        <v>34</v>
      </c>
    </row>
    <row r="3086" spans="1:28" s="352" customFormat="1" ht="18" customHeight="1" x14ac:dyDescent="0.2">
      <c r="A3086" s="2687"/>
      <c r="B3086" s="2158" t="s">
        <v>39</v>
      </c>
      <c r="C3086" s="2687"/>
      <c r="D3086" s="2158" t="s">
        <v>40</v>
      </c>
      <c r="E3086" s="368" t="s">
        <v>41</v>
      </c>
      <c r="F3086" s="2686" t="s">
        <v>42</v>
      </c>
      <c r="G3086" s="2686" t="s">
        <v>43</v>
      </c>
      <c r="H3086" s="2688" t="s">
        <v>44</v>
      </c>
      <c r="I3086" s="2158" t="s">
        <v>45</v>
      </c>
      <c r="J3086" s="379" t="s">
        <v>46</v>
      </c>
      <c r="K3086" s="2159" t="s">
        <v>47</v>
      </c>
      <c r="L3086" s="2680"/>
      <c r="M3086" s="2163" t="s">
        <v>30</v>
      </c>
      <c r="N3086" s="2163" t="s">
        <v>30</v>
      </c>
      <c r="O3086" s="382" t="s">
        <v>25</v>
      </c>
      <c r="P3086" s="383" t="s">
        <v>30</v>
      </c>
      <c r="Q3086" s="384" t="s">
        <v>48</v>
      </c>
      <c r="R3086" s="383" t="s">
        <v>49</v>
      </c>
      <c r="S3086" s="385" t="s">
        <v>30</v>
      </c>
      <c r="T3086" s="386" t="s">
        <v>50</v>
      </c>
      <c r="U3086" s="2161" t="s">
        <v>13</v>
      </c>
      <c r="V3086" s="375" t="s">
        <v>51</v>
      </c>
      <c r="W3086" s="376" t="s">
        <v>52</v>
      </c>
      <c r="X3086" s="377" t="s">
        <v>53</v>
      </c>
      <c r="Y3086" s="377" t="s">
        <v>54</v>
      </c>
      <c r="Z3086" s="377" t="s">
        <v>55</v>
      </c>
      <c r="AA3086" s="377" t="s">
        <v>56</v>
      </c>
      <c r="AB3086" s="378" t="s">
        <v>57</v>
      </c>
    </row>
    <row r="3087" spans="1:28" s="352" customFormat="1" ht="18" customHeight="1" x14ac:dyDescent="0.2">
      <c r="A3087" s="2687"/>
      <c r="B3087" s="2158" t="s">
        <v>61</v>
      </c>
      <c r="C3087" s="2687"/>
      <c r="D3087" s="2158" t="s">
        <v>62</v>
      </c>
      <c r="E3087" s="368" t="s">
        <v>63</v>
      </c>
      <c r="F3087" s="2687"/>
      <c r="G3087" s="2687"/>
      <c r="H3087" s="2689"/>
      <c r="I3087" s="2158" t="s">
        <v>64</v>
      </c>
      <c r="J3087" s="379" t="s">
        <v>59</v>
      </c>
      <c r="K3087" s="2159" t="s">
        <v>59</v>
      </c>
      <c r="L3087" s="2680"/>
      <c r="M3087" s="2163"/>
      <c r="N3087" s="2163"/>
      <c r="O3087" s="382" t="s">
        <v>41</v>
      </c>
      <c r="P3087" s="383" t="s">
        <v>65</v>
      </c>
      <c r="Q3087" s="384" t="s">
        <v>66</v>
      </c>
      <c r="R3087" s="383" t="s">
        <v>67</v>
      </c>
      <c r="S3087" s="385" t="s">
        <v>59</v>
      </c>
      <c r="T3087" s="387" t="s">
        <v>68</v>
      </c>
      <c r="U3087" s="375" t="s">
        <v>14</v>
      </c>
      <c r="V3087" s="375" t="s">
        <v>14</v>
      </c>
      <c r="W3087" s="376" t="s">
        <v>30</v>
      </c>
      <c r="X3087" s="388" t="s">
        <v>69</v>
      </c>
      <c r="Y3087" s="388" t="s">
        <v>70</v>
      </c>
      <c r="Z3087" s="377" t="s">
        <v>71</v>
      </c>
      <c r="AA3087" s="377" t="s">
        <v>72</v>
      </c>
      <c r="AB3087" s="378" t="s">
        <v>59</v>
      </c>
    </row>
    <row r="3088" spans="1:28" s="352" customFormat="1" ht="18" customHeight="1" x14ac:dyDescent="0.2">
      <c r="A3088" s="2692"/>
      <c r="B3088" s="390"/>
      <c r="C3088" s="2692"/>
      <c r="D3088" s="390"/>
      <c r="E3088" s="2160"/>
      <c r="F3088" s="390"/>
      <c r="G3088" s="390"/>
      <c r="H3088" s="391"/>
      <c r="I3088" s="2160"/>
      <c r="J3088" s="392"/>
      <c r="K3088" s="393"/>
      <c r="L3088" s="2681"/>
      <c r="M3088" s="2164"/>
      <c r="N3088" s="2164"/>
      <c r="O3088" s="2164" t="s">
        <v>63</v>
      </c>
      <c r="P3088" s="395"/>
      <c r="Q3088" s="396" t="s">
        <v>72</v>
      </c>
      <c r="R3088" s="397" t="s">
        <v>59</v>
      </c>
      <c r="S3088" s="398"/>
      <c r="T3088" s="397" t="s">
        <v>73</v>
      </c>
      <c r="U3088" s="398" t="s">
        <v>59</v>
      </c>
      <c r="V3088" s="399" t="s">
        <v>59</v>
      </c>
      <c r="W3088" s="400" t="s">
        <v>59</v>
      </c>
      <c r="X3088" s="401" t="s">
        <v>59</v>
      </c>
      <c r="Y3088" s="401" t="s">
        <v>59</v>
      </c>
      <c r="Z3088" s="401" t="s">
        <v>59</v>
      </c>
      <c r="AA3088" s="402"/>
      <c r="AB3088" s="403"/>
    </row>
    <row r="3089" spans="1:28" s="352" customFormat="1" ht="18" customHeight="1" x14ac:dyDescent="0.2">
      <c r="A3089" s="82">
        <v>1</v>
      </c>
      <c r="B3089" s="53">
        <v>62779</v>
      </c>
      <c r="C3089" s="82">
        <v>1779</v>
      </c>
      <c r="D3089" s="82" t="s">
        <v>107</v>
      </c>
      <c r="E3089" s="82">
        <v>2</v>
      </c>
      <c r="F3089" s="82">
        <v>0</v>
      </c>
      <c r="G3089" s="82">
        <v>1</v>
      </c>
      <c r="H3089" s="463">
        <v>0</v>
      </c>
      <c r="I3089" s="70">
        <f>F3089*400+G3089*100+H3089</f>
        <v>100</v>
      </c>
      <c r="J3089" s="123">
        <v>2300</v>
      </c>
      <c r="K3089" s="124">
        <f>SUM(I3089*J3089)</f>
        <v>230000</v>
      </c>
      <c r="L3089" s="53">
        <v>1</v>
      </c>
      <c r="M3089" s="82">
        <v>103</v>
      </c>
      <c r="N3089" s="82" t="s">
        <v>74</v>
      </c>
      <c r="O3089" s="53">
        <v>2</v>
      </c>
      <c r="P3089" s="358">
        <v>77.349999999999994</v>
      </c>
      <c r="Q3089" s="197" t="s">
        <v>75</v>
      </c>
      <c r="R3089" s="444">
        <v>9050</v>
      </c>
      <c r="S3089" s="70">
        <f>+P3089*R3089</f>
        <v>700017.5</v>
      </c>
      <c r="T3089" s="82">
        <v>3</v>
      </c>
      <c r="U3089" s="70">
        <f>+S3089*0.03</f>
        <v>21000.524999999998</v>
      </c>
      <c r="V3089" s="70">
        <f>+S3089-U3089</f>
        <v>679016.97499999998</v>
      </c>
      <c r="W3089" s="70">
        <f>K3089+V3089</f>
        <v>909016.97499999998</v>
      </c>
      <c r="X3089" s="70">
        <f>W3089</f>
        <v>909016.97499999998</v>
      </c>
      <c r="Y3089" s="123"/>
      <c r="Z3089" s="70">
        <f>+X3089</f>
        <v>909016.97499999998</v>
      </c>
      <c r="AA3089" s="464">
        <v>0.02</v>
      </c>
      <c r="AB3089" s="406">
        <f>+Z3089*AA3089/100</f>
        <v>181.80339499999999</v>
      </c>
    </row>
    <row r="3090" spans="1:28" s="352" customFormat="1" ht="18" customHeight="1" x14ac:dyDescent="0.2">
      <c r="A3090" s="2166"/>
      <c r="B3090" s="61"/>
      <c r="C3090" s="2166"/>
      <c r="D3090" s="2166"/>
      <c r="E3090" s="2166"/>
      <c r="F3090" s="2166"/>
      <c r="G3090" s="2166"/>
      <c r="H3090" s="407"/>
      <c r="I3090" s="77"/>
      <c r="J3090" s="2168"/>
      <c r="K3090" s="78"/>
      <c r="L3090" s="61"/>
      <c r="M3090" s="2166"/>
      <c r="N3090" s="2166"/>
      <c r="O3090" s="61"/>
      <c r="P3090" s="177"/>
      <c r="Q3090" s="196"/>
      <c r="R3090" s="408"/>
      <c r="S3090" s="77"/>
      <c r="T3090" s="2166"/>
      <c r="U3090" s="77"/>
      <c r="V3090" s="77"/>
      <c r="W3090" s="77"/>
      <c r="X3090" s="77"/>
      <c r="Y3090" s="2168"/>
      <c r="Z3090" s="77"/>
      <c r="AA3090" s="2170"/>
      <c r="AB3090" s="410"/>
    </row>
    <row r="3091" spans="1:28" s="352" customFormat="1" ht="18" customHeight="1" x14ac:dyDescent="0.2">
      <c r="A3091" s="2166"/>
      <c r="B3091" s="61"/>
      <c r="C3091" s="2166"/>
      <c r="D3091" s="2166"/>
      <c r="E3091" s="2166"/>
      <c r="F3091" s="2166"/>
      <c r="G3091" s="2166"/>
      <c r="H3091" s="407"/>
      <c r="I3091" s="77"/>
      <c r="J3091" s="2168"/>
      <c r="K3091" s="78"/>
      <c r="L3091" s="61"/>
      <c r="M3091" s="2166"/>
      <c r="N3091" s="2166"/>
      <c r="O3091" s="61"/>
      <c r="P3091" s="177"/>
      <c r="Q3091" s="196"/>
      <c r="R3091" s="408"/>
      <c r="S3091" s="77"/>
      <c r="T3091" s="2166"/>
      <c r="U3091" s="77"/>
      <c r="V3091" s="77"/>
      <c r="W3091" s="77"/>
      <c r="X3091" s="77"/>
      <c r="Y3091" s="2168"/>
      <c r="Z3091" s="77"/>
      <c r="AA3091" s="2170"/>
      <c r="AB3091" s="410"/>
    </row>
    <row r="3092" spans="1:28" s="352" customFormat="1" ht="18" customHeight="1" x14ac:dyDescent="0.2">
      <c r="A3092" s="2166"/>
      <c r="B3092" s="61"/>
      <c r="C3092" s="2166"/>
      <c r="D3092" s="2166"/>
      <c r="E3092" s="2166"/>
      <c r="F3092" s="2166"/>
      <c r="G3092" s="2166"/>
      <c r="H3092" s="407"/>
      <c r="I3092" s="77"/>
      <c r="J3092" s="2168"/>
      <c r="K3092" s="78"/>
      <c r="L3092" s="61"/>
      <c r="M3092" s="2166"/>
      <c r="N3092" s="2166"/>
      <c r="O3092" s="61"/>
      <c r="P3092" s="177"/>
      <c r="Q3092" s="196"/>
      <c r="R3092" s="408"/>
      <c r="S3092" s="77"/>
      <c r="T3092" s="2166"/>
      <c r="U3092" s="77"/>
      <c r="V3092" s="77"/>
      <c r="W3092" s="77"/>
      <c r="X3092" s="77"/>
      <c r="Y3092" s="2168"/>
      <c r="Z3092" s="77"/>
      <c r="AA3092" s="2170"/>
      <c r="AB3092" s="410"/>
    </row>
    <row r="3093" spans="1:28" s="352" customFormat="1" ht="18" customHeight="1" x14ac:dyDescent="0.2">
      <c r="A3093" s="2166"/>
      <c r="B3093" s="61"/>
      <c r="C3093" s="2166"/>
      <c r="D3093" s="2166"/>
      <c r="E3093" s="2166"/>
      <c r="F3093" s="2166"/>
      <c r="G3093" s="2166"/>
      <c r="H3093" s="407"/>
      <c r="I3093" s="77"/>
      <c r="J3093" s="2168"/>
      <c r="K3093" s="78"/>
      <c r="L3093" s="61"/>
      <c r="M3093" s="2166"/>
      <c r="N3093" s="2166"/>
      <c r="O3093" s="61"/>
      <c r="P3093" s="177"/>
      <c r="Q3093" s="196"/>
      <c r="R3093" s="408"/>
      <c r="S3093" s="77"/>
      <c r="T3093" s="2166"/>
      <c r="U3093" s="77"/>
      <c r="V3093" s="77"/>
      <c r="W3093" s="77"/>
      <c r="X3093" s="77"/>
      <c r="Y3093" s="2168"/>
      <c r="Z3093" s="77"/>
      <c r="AA3093" s="2170"/>
      <c r="AB3093" s="410"/>
    </row>
    <row r="3094" spans="1:28" s="352" customFormat="1" ht="18" customHeight="1" x14ac:dyDescent="0.2">
      <c r="A3094" s="2166"/>
      <c r="B3094" s="61"/>
      <c r="C3094" s="2166"/>
      <c r="D3094" s="2166"/>
      <c r="E3094" s="2166"/>
      <c r="F3094" s="2166"/>
      <c r="G3094" s="2166"/>
      <c r="H3094" s="407"/>
      <c r="I3094" s="77"/>
      <c r="J3094" s="2168"/>
      <c r="K3094" s="78"/>
      <c r="L3094" s="61"/>
      <c r="M3094" s="2166"/>
      <c r="N3094" s="2166"/>
      <c r="O3094" s="61"/>
      <c r="P3094" s="177"/>
      <c r="Q3094" s="196"/>
      <c r="R3094" s="408"/>
      <c r="S3094" s="77"/>
      <c r="T3094" s="2166"/>
      <c r="U3094" s="77"/>
      <c r="V3094" s="77"/>
      <c r="W3094" s="77"/>
      <c r="X3094" s="77"/>
      <c r="Y3094" s="2168"/>
      <c r="Z3094" s="77"/>
      <c r="AA3094" s="2170"/>
      <c r="AB3094" s="410"/>
    </row>
    <row r="3095" spans="1:28" s="352" customFormat="1" ht="18" customHeight="1" x14ac:dyDescent="0.2">
      <c r="A3095" s="2166"/>
      <c r="B3095" s="61"/>
      <c r="C3095" s="2166"/>
      <c r="D3095" s="2166"/>
      <c r="E3095" s="2166"/>
      <c r="F3095" s="2166"/>
      <c r="G3095" s="2166"/>
      <c r="H3095" s="407"/>
      <c r="I3095" s="77"/>
      <c r="J3095" s="2168"/>
      <c r="K3095" s="78"/>
      <c r="L3095" s="61"/>
      <c r="M3095" s="2166"/>
      <c r="N3095" s="2166"/>
      <c r="O3095" s="61"/>
      <c r="P3095" s="177"/>
      <c r="Q3095" s="196"/>
      <c r="R3095" s="408"/>
      <c r="S3095" s="77"/>
      <c r="T3095" s="2166"/>
      <c r="U3095" s="77"/>
      <c r="V3095" s="77"/>
      <c r="W3095" s="77"/>
      <c r="X3095" s="77"/>
      <c r="Y3095" s="2168"/>
      <c r="Z3095" s="77"/>
      <c r="AA3095" s="2170"/>
      <c r="AB3095" s="410"/>
    </row>
    <row r="3096" spans="1:28" s="352" customFormat="1" ht="18" customHeight="1" x14ac:dyDescent="0.2">
      <c r="A3096" s="2166"/>
      <c r="B3096" s="61"/>
      <c r="C3096" s="2166"/>
      <c r="D3096" s="2166"/>
      <c r="E3096" s="2166"/>
      <c r="F3096" s="467"/>
      <c r="G3096" s="61"/>
      <c r="H3096" s="407"/>
      <c r="I3096" s="78"/>
      <c r="J3096" s="2168"/>
      <c r="K3096" s="78"/>
      <c r="L3096" s="61"/>
      <c r="M3096" s="2166"/>
      <c r="N3096" s="2166"/>
      <c r="O3096" s="61"/>
      <c r="P3096" s="177"/>
      <c r="Q3096" s="196"/>
      <c r="R3096" s="408"/>
      <c r="S3096" s="77"/>
      <c r="T3096" s="2166"/>
      <c r="U3096" s="77"/>
      <c r="V3096" s="77"/>
      <c r="W3096" s="77"/>
      <c r="X3096" s="77"/>
      <c r="Y3096" s="2168"/>
      <c r="Z3096" s="77"/>
      <c r="AA3096" s="2170"/>
      <c r="AB3096" s="416"/>
    </row>
    <row r="3097" spans="1:28" s="352" customFormat="1" ht="18" customHeight="1" x14ac:dyDescent="0.2">
      <c r="A3097" s="88"/>
      <c r="B3097" s="75"/>
      <c r="C3097" s="88"/>
      <c r="D3097" s="88"/>
      <c r="E3097" s="2166"/>
      <c r="F3097" s="411"/>
      <c r="G3097" s="242"/>
      <c r="H3097" s="412"/>
      <c r="I3097" s="159"/>
      <c r="J3097" s="121"/>
      <c r="K3097" s="159"/>
      <c r="L3097" s="75"/>
      <c r="M3097" s="88"/>
      <c r="N3097" s="88"/>
      <c r="O3097" s="75"/>
      <c r="P3097" s="180"/>
      <c r="Q3097" s="174"/>
      <c r="R3097" s="413"/>
      <c r="S3097" s="74"/>
      <c r="T3097" s="88"/>
      <c r="U3097" s="74"/>
      <c r="V3097" s="74"/>
      <c r="W3097" s="74"/>
      <c r="X3097" s="74"/>
      <c r="Y3097" s="121"/>
      <c r="Z3097" s="74"/>
      <c r="AA3097" s="414"/>
      <c r="AB3097" s="416"/>
    </row>
    <row r="3098" spans="1:28" s="352" customFormat="1" ht="18" customHeight="1" x14ac:dyDescent="0.2">
      <c r="A3098" s="88"/>
      <c r="B3098" s="75"/>
      <c r="C3098" s="88"/>
      <c r="D3098" s="88"/>
      <c r="E3098" s="2166"/>
      <c r="F3098" s="411"/>
      <c r="G3098" s="242"/>
      <c r="H3098" s="412"/>
      <c r="I3098" s="159"/>
      <c r="J3098" s="121"/>
      <c r="K3098" s="159"/>
      <c r="L3098" s="75"/>
      <c r="M3098" s="88"/>
      <c r="N3098" s="88"/>
      <c r="O3098" s="75"/>
      <c r="P3098" s="180"/>
      <c r="Q3098" s="174"/>
      <c r="R3098" s="413"/>
      <c r="S3098" s="74"/>
      <c r="T3098" s="88"/>
      <c r="U3098" s="74"/>
      <c r="V3098" s="74"/>
      <c r="W3098" s="74"/>
      <c r="X3098" s="74"/>
      <c r="Y3098" s="121"/>
      <c r="Z3098" s="74"/>
      <c r="AA3098" s="414"/>
      <c r="AB3098" s="415"/>
    </row>
    <row r="3099" spans="1:28" s="352" customFormat="1" ht="18" customHeight="1" x14ac:dyDescent="0.2">
      <c r="A3099" s="88"/>
      <c r="B3099" s="75"/>
      <c r="C3099" s="88"/>
      <c r="D3099" s="231"/>
      <c r="E3099" s="2166"/>
      <c r="F3099" s="411"/>
      <c r="G3099" s="242"/>
      <c r="H3099" s="412"/>
      <c r="I3099" s="159"/>
      <c r="J3099" s="121"/>
      <c r="K3099" s="159"/>
      <c r="L3099" s="75"/>
      <c r="M3099" s="88"/>
      <c r="N3099" s="88"/>
      <c r="O3099" s="75"/>
      <c r="P3099" s="180"/>
      <c r="Q3099" s="174"/>
      <c r="R3099" s="413"/>
      <c r="S3099" s="74"/>
      <c r="T3099" s="88"/>
      <c r="U3099" s="74"/>
      <c r="V3099" s="74"/>
      <c r="W3099" s="74"/>
      <c r="X3099" s="74"/>
      <c r="Y3099" s="121"/>
      <c r="Z3099" s="74"/>
      <c r="AA3099" s="417"/>
      <c r="AB3099" s="410"/>
    </row>
    <row r="3100" spans="1:28" s="352" customFormat="1" ht="18" customHeight="1" x14ac:dyDescent="0.2">
      <c r="A3100" s="88"/>
      <c r="B3100" s="75"/>
      <c r="C3100" s="88"/>
      <c r="D3100" s="2165"/>
      <c r="E3100" s="2166"/>
      <c r="F3100" s="411"/>
      <c r="G3100" s="242"/>
      <c r="H3100" s="412"/>
      <c r="I3100" s="159"/>
      <c r="J3100" s="121"/>
      <c r="K3100" s="159"/>
      <c r="L3100" s="75"/>
      <c r="M3100" s="88"/>
      <c r="N3100" s="88"/>
      <c r="O3100" s="75"/>
      <c r="P3100" s="180"/>
      <c r="Q3100" s="174"/>
      <c r="R3100" s="413"/>
      <c r="S3100" s="74"/>
      <c r="T3100" s="88"/>
      <c r="U3100" s="74"/>
      <c r="V3100" s="74"/>
      <c r="W3100" s="74"/>
      <c r="X3100" s="74"/>
      <c r="Y3100" s="121"/>
      <c r="Z3100" s="74"/>
      <c r="AA3100" s="414"/>
      <c r="AB3100" s="410"/>
    </row>
    <row r="3101" spans="1:28" s="352" customFormat="1" ht="18" customHeight="1" x14ac:dyDescent="0.2">
      <c r="A3101" s="88"/>
      <c r="B3101" s="75"/>
      <c r="C3101" s="88"/>
      <c r="D3101" s="2165"/>
      <c r="E3101" s="2166"/>
      <c r="F3101" s="411"/>
      <c r="G3101" s="242"/>
      <c r="H3101" s="412"/>
      <c r="I3101" s="159"/>
      <c r="J3101" s="121"/>
      <c r="K3101" s="159"/>
      <c r="L3101" s="75"/>
      <c r="M3101" s="88"/>
      <c r="N3101" s="88"/>
      <c r="O3101" s="75"/>
      <c r="P3101" s="180"/>
      <c r="Q3101" s="174"/>
      <c r="R3101" s="413"/>
      <c r="S3101" s="74"/>
      <c r="T3101" s="88"/>
      <c r="U3101" s="74"/>
      <c r="V3101" s="74"/>
      <c r="W3101" s="74"/>
      <c r="X3101" s="74"/>
      <c r="Y3101" s="121"/>
      <c r="Z3101" s="74"/>
      <c r="AA3101" s="414"/>
      <c r="AB3101" s="416"/>
    </row>
    <row r="3102" spans="1:28" s="352" customFormat="1" ht="18" customHeight="1" x14ac:dyDescent="0.2">
      <c r="A3102" s="88"/>
      <c r="B3102" s="418"/>
      <c r="C3102" s="88"/>
      <c r="D3102" s="88"/>
      <c r="E3102" s="88"/>
      <c r="F3102" s="411"/>
      <c r="G3102" s="242"/>
      <c r="H3102" s="412"/>
      <c r="I3102" s="159"/>
      <c r="J3102" s="121"/>
      <c r="K3102" s="159"/>
      <c r="L3102" s="75"/>
      <c r="M3102" s="88"/>
      <c r="N3102" s="88"/>
      <c r="O3102" s="75"/>
      <c r="P3102" s="180"/>
      <c r="Q3102" s="174"/>
      <c r="R3102" s="413"/>
      <c r="S3102" s="74"/>
      <c r="T3102" s="88"/>
      <c r="U3102" s="74"/>
      <c r="V3102" s="74"/>
      <c r="W3102" s="74"/>
      <c r="X3102" s="74"/>
      <c r="Y3102" s="121"/>
      <c r="Z3102" s="74"/>
      <c r="AA3102" s="414"/>
      <c r="AB3102" s="410"/>
    </row>
    <row r="3103" spans="1:28" s="352" customFormat="1" ht="18" customHeight="1" x14ac:dyDescent="0.2">
      <c r="A3103" s="1147"/>
      <c r="B3103" s="1989"/>
      <c r="C3103" s="1147"/>
      <c r="D3103" s="1147"/>
      <c r="E3103" s="1147"/>
      <c r="F3103" s="1147"/>
      <c r="G3103" s="1147"/>
      <c r="H3103" s="1990"/>
      <c r="I3103" s="1991"/>
      <c r="J3103" s="1868"/>
      <c r="K3103" s="1992"/>
      <c r="L3103" s="1989"/>
      <c r="M3103" s="1147"/>
      <c r="N3103" s="1147"/>
      <c r="O3103" s="1989"/>
      <c r="P3103" s="1867"/>
      <c r="Q3103" s="1993"/>
      <c r="R3103" s="1994"/>
      <c r="S3103" s="1991"/>
      <c r="T3103" s="1147"/>
      <c r="U3103" s="1991"/>
      <c r="V3103" s="1991"/>
      <c r="W3103" s="1991"/>
      <c r="X3103" s="1991"/>
      <c r="Y3103" s="1868"/>
      <c r="Z3103" s="1991"/>
      <c r="AA3103" s="1995"/>
      <c r="AB3103" s="1849">
        <f>SUM(AB3089:AB3102)</f>
        <v>181.80339499999999</v>
      </c>
    </row>
    <row r="3104" spans="1:28" s="352" customFormat="1" ht="18" customHeight="1" x14ac:dyDescent="0.2">
      <c r="A3104" s="2788" t="s">
        <v>76</v>
      </c>
      <c r="B3104" s="2788"/>
      <c r="C3104" s="2779" t="s">
        <v>77</v>
      </c>
      <c r="D3104" s="2779"/>
      <c r="E3104" s="2779"/>
      <c r="F3104" s="2779"/>
      <c r="G3104" s="2779"/>
      <c r="H3104" s="2779"/>
      <c r="I3104" s="424" t="s">
        <v>78</v>
      </c>
      <c r="J3104" s="424"/>
      <c r="K3104" s="424"/>
      <c r="L3104" s="424"/>
      <c r="M3104" s="424"/>
      <c r="N3104" s="424"/>
      <c r="AB3104" s="425"/>
    </row>
    <row r="3105" spans="1:28" s="352" customFormat="1" ht="18" customHeight="1" x14ac:dyDescent="0.2">
      <c r="A3105" s="424"/>
      <c r="B3105" s="426"/>
      <c r="C3105" s="424"/>
      <c r="D3105" s="424"/>
      <c r="E3105" s="424"/>
      <c r="F3105" s="424"/>
      <c r="G3105" s="424"/>
      <c r="H3105" s="424"/>
      <c r="I3105" s="424" t="s">
        <v>79</v>
      </c>
      <c r="J3105" s="424"/>
      <c r="K3105" s="424"/>
      <c r="L3105" s="424"/>
      <c r="M3105" s="424"/>
      <c r="N3105" s="424"/>
      <c r="AB3105" s="425"/>
    </row>
    <row r="3106" spans="1:28" s="352" customFormat="1" ht="18" customHeight="1" x14ac:dyDescent="0.2">
      <c r="A3106" s="424"/>
      <c r="B3106" s="426"/>
      <c r="C3106" s="424"/>
      <c r="D3106" s="424"/>
      <c r="E3106" s="424"/>
      <c r="F3106" s="424"/>
      <c r="G3106" s="424"/>
      <c r="H3106" s="424"/>
      <c r="I3106" s="424" t="s">
        <v>80</v>
      </c>
      <c r="J3106" s="424"/>
      <c r="K3106" s="424"/>
      <c r="L3106" s="424"/>
      <c r="M3106" s="424"/>
      <c r="N3106" s="424"/>
      <c r="AB3106" s="425"/>
    </row>
    <row r="3107" spans="1:28" s="352" customFormat="1" ht="18" customHeight="1" x14ac:dyDescent="0.2">
      <c r="A3107" s="424"/>
      <c r="B3107" s="426"/>
      <c r="C3107" s="424"/>
      <c r="D3107" s="424"/>
      <c r="E3107" s="424"/>
      <c r="F3107" s="424"/>
      <c r="G3107" s="424"/>
      <c r="H3107" s="424"/>
      <c r="I3107" s="424" t="s">
        <v>81</v>
      </c>
      <c r="J3107" s="424"/>
      <c r="K3107" s="424"/>
      <c r="L3107" s="424"/>
      <c r="M3107" s="424"/>
      <c r="N3107" s="424"/>
      <c r="AB3107" s="425"/>
    </row>
    <row r="3108" spans="1:28" s="352" customFormat="1" ht="18" customHeight="1" x14ac:dyDescent="0.2">
      <c r="A3108" s="424"/>
      <c r="B3108" s="426"/>
      <c r="C3108" s="424"/>
      <c r="D3108" s="424"/>
      <c r="E3108" s="424"/>
      <c r="F3108" s="424"/>
      <c r="G3108" s="424"/>
      <c r="H3108" s="424"/>
      <c r="I3108" s="424" t="s">
        <v>88</v>
      </c>
      <c r="J3108" s="424"/>
      <c r="K3108" s="424"/>
      <c r="L3108" s="424"/>
      <c r="M3108" s="424"/>
      <c r="N3108" s="424"/>
      <c r="AB3108" s="425"/>
    </row>
    <row r="3109" spans="1:28" s="352" customFormat="1" ht="18" customHeight="1" x14ac:dyDescent="0.2">
      <c r="A3109" s="338"/>
      <c r="B3109" s="338"/>
      <c r="C3109" s="338"/>
      <c r="D3109" s="338"/>
      <c r="E3109" s="338"/>
      <c r="F3109" s="338"/>
      <c r="G3109" s="338"/>
      <c r="H3109" s="338"/>
      <c r="I3109" s="338"/>
      <c r="J3109" s="338"/>
      <c r="K3109" s="338"/>
      <c r="L3109" s="338"/>
      <c r="M3109" s="338"/>
      <c r="N3109" s="338"/>
      <c r="O3109" s="338"/>
      <c r="P3109" s="338"/>
      <c r="Q3109" s="338"/>
      <c r="R3109" s="338"/>
      <c r="S3109" s="338"/>
      <c r="T3109" s="338"/>
      <c r="U3109" s="338"/>
      <c r="V3109" s="338"/>
      <c r="W3109" s="338"/>
      <c r="X3109" s="338"/>
      <c r="Y3109" s="338"/>
      <c r="Z3109" s="338"/>
      <c r="AA3109" s="2774" t="s">
        <v>0</v>
      </c>
      <c r="AB3109" s="2774"/>
    </row>
    <row r="3110" spans="1:28" s="352" customFormat="1" ht="18" customHeight="1" x14ac:dyDescent="0.2">
      <c r="A3110" s="2703" t="s">
        <v>1</v>
      </c>
      <c r="B3110" s="2703"/>
      <c r="C3110" s="2703"/>
      <c r="D3110" s="2703"/>
      <c r="E3110" s="2703"/>
      <c r="F3110" s="2703"/>
      <c r="G3110" s="2703"/>
      <c r="H3110" s="2703"/>
      <c r="I3110" s="2703"/>
      <c r="J3110" s="2703"/>
      <c r="K3110" s="2703"/>
      <c r="L3110" s="2703"/>
      <c r="M3110" s="2703"/>
      <c r="N3110" s="2703"/>
      <c r="O3110" s="2703"/>
      <c r="P3110" s="2703"/>
      <c r="Q3110" s="2703"/>
      <c r="R3110" s="2703"/>
      <c r="S3110" s="2703"/>
      <c r="T3110" s="2703"/>
      <c r="U3110" s="2703"/>
      <c r="V3110" s="2703"/>
      <c r="W3110" s="2703"/>
      <c r="X3110" s="2703"/>
      <c r="Y3110" s="2703"/>
      <c r="Z3110" s="2703"/>
      <c r="AA3110" s="2703"/>
      <c r="AB3110" s="2703"/>
    </row>
    <row r="3111" spans="1:28" s="352" customFormat="1" ht="18" customHeight="1" x14ac:dyDescent="0.2">
      <c r="A3111" s="2780" t="s">
        <v>689</v>
      </c>
      <c r="B3111" s="2780"/>
      <c r="C3111" s="2780"/>
      <c r="D3111" s="2780"/>
      <c r="E3111" s="2780"/>
      <c r="F3111" s="2780"/>
      <c r="G3111" s="2780"/>
      <c r="H3111" s="2780"/>
      <c r="I3111" s="2780"/>
      <c r="J3111" s="2780"/>
      <c r="K3111" s="2780"/>
      <c r="L3111" s="2780"/>
      <c r="M3111" s="2780"/>
      <c r="N3111" s="2780"/>
      <c r="O3111" s="2780"/>
      <c r="P3111" s="2780"/>
      <c r="Q3111" s="2780"/>
      <c r="R3111" s="2780"/>
      <c r="S3111" s="2780"/>
      <c r="T3111" s="2780"/>
      <c r="U3111" s="2780"/>
      <c r="V3111" s="2780"/>
      <c r="W3111" s="2780"/>
      <c r="X3111" s="2780"/>
      <c r="Y3111" s="2780"/>
      <c r="Z3111" s="2780"/>
      <c r="AA3111" s="2780"/>
      <c r="AB3111" s="2780"/>
    </row>
    <row r="3112" spans="1:28" s="352" customFormat="1" ht="18" customHeight="1" x14ac:dyDescent="0.2">
      <c r="A3112" s="2686" t="s">
        <v>2</v>
      </c>
      <c r="B3112" s="360"/>
      <c r="C3112" s="2686" t="s">
        <v>3</v>
      </c>
      <c r="D3112" s="360"/>
      <c r="E3112" s="360"/>
      <c r="F3112" s="2693" t="s">
        <v>4</v>
      </c>
      <c r="G3112" s="2693"/>
      <c r="H3112" s="2693"/>
      <c r="I3112" s="2694"/>
      <c r="J3112" s="2694"/>
      <c r="K3112" s="2695"/>
      <c r="L3112" s="361"/>
      <c r="M3112" s="2679" t="s">
        <v>5</v>
      </c>
      <c r="N3112" s="2679"/>
      <c r="O3112" s="2679"/>
      <c r="P3112" s="2679"/>
      <c r="Q3112" s="2696"/>
      <c r="R3112" s="2696"/>
      <c r="S3112" s="2696"/>
      <c r="T3112" s="2696"/>
      <c r="U3112" s="2696"/>
      <c r="V3112" s="2697"/>
      <c r="W3112" s="362" t="s">
        <v>6</v>
      </c>
      <c r="X3112" s="363" t="s">
        <v>7</v>
      </c>
      <c r="Y3112" s="364"/>
      <c r="Z3112" s="364"/>
      <c r="AA3112" s="363"/>
      <c r="AB3112" s="365"/>
    </row>
    <row r="3113" spans="1:28" s="352" customFormat="1" ht="18" customHeight="1" x14ac:dyDescent="0.2">
      <c r="A3113" s="2687"/>
      <c r="B3113" s="367"/>
      <c r="C3113" s="2687"/>
      <c r="D3113" s="2158" t="s">
        <v>9</v>
      </c>
      <c r="E3113" s="368" t="s">
        <v>10</v>
      </c>
      <c r="F3113" s="2698" t="s">
        <v>11</v>
      </c>
      <c r="G3113" s="2694"/>
      <c r="H3113" s="2695"/>
      <c r="I3113" s="360"/>
      <c r="J3113" s="369" t="s">
        <v>12</v>
      </c>
      <c r="K3113" s="360"/>
      <c r="L3113" s="2679" t="s">
        <v>2</v>
      </c>
      <c r="M3113" s="2162"/>
      <c r="N3113" s="2162"/>
      <c r="O3113" s="2162"/>
      <c r="P3113" s="371"/>
      <c r="Q3113" s="372" t="s">
        <v>13</v>
      </c>
      <c r="R3113" s="373" t="s">
        <v>12</v>
      </c>
      <c r="S3113" s="2162" t="s">
        <v>6</v>
      </c>
      <c r="T3113" s="2682" t="s">
        <v>14</v>
      </c>
      <c r="U3113" s="2683"/>
      <c r="V3113" s="375" t="s">
        <v>7</v>
      </c>
      <c r="W3113" s="376" t="s">
        <v>15</v>
      </c>
      <c r="X3113" s="377" t="s">
        <v>16</v>
      </c>
      <c r="Y3113" s="377" t="s">
        <v>17</v>
      </c>
      <c r="Z3113" s="377" t="s">
        <v>18</v>
      </c>
      <c r="AA3113" s="377"/>
      <c r="AB3113" s="378" t="s">
        <v>19</v>
      </c>
    </row>
    <row r="3114" spans="1:28" s="352" customFormat="1" ht="18" customHeight="1" x14ac:dyDescent="0.2">
      <c r="A3114" s="2687"/>
      <c r="B3114" s="2158" t="s">
        <v>23</v>
      </c>
      <c r="C3114" s="2687"/>
      <c r="D3114" s="2158" t="s">
        <v>24</v>
      </c>
      <c r="E3114" s="368" t="s">
        <v>25</v>
      </c>
      <c r="F3114" s="2699"/>
      <c r="G3114" s="2700"/>
      <c r="H3114" s="2701"/>
      <c r="I3114" s="2158" t="s">
        <v>26</v>
      </c>
      <c r="J3114" s="379" t="s">
        <v>15</v>
      </c>
      <c r="K3114" s="2159" t="s">
        <v>6</v>
      </c>
      <c r="L3114" s="2680"/>
      <c r="M3114" s="2163" t="s">
        <v>27</v>
      </c>
      <c r="N3114" s="2163" t="s">
        <v>10</v>
      </c>
      <c r="O3114" s="382" t="s">
        <v>10</v>
      </c>
      <c r="P3114" s="383" t="s">
        <v>28</v>
      </c>
      <c r="Q3114" s="384" t="s">
        <v>29</v>
      </c>
      <c r="R3114" s="383" t="s">
        <v>15</v>
      </c>
      <c r="S3114" s="385" t="s">
        <v>15</v>
      </c>
      <c r="T3114" s="2684"/>
      <c r="U3114" s="2685"/>
      <c r="V3114" s="375" t="s">
        <v>30</v>
      </c>
      <c r="W3114" s="376" t="s">
        <v>31</v>
      </c>
      <c r="X3114" s="377" t="s">
        <v>30</v>
      </c>
      <c r="Y3114" s="377" t="s">
        <v>32</v>
      </c>
      <c r="Z3114" s="377" t="s">
        <v>7</v>
      </c>
      <c r="AA3114" s="377" t="s">
        <v>33</v>
      </c>
      <c r="AB3114" s="378" t="s">
        <v>34</v>
      </c>
    </row>
    <row r="3115" spans="1:28" s="352" customFormat="1" ht="18" customHeight="1" x14ac:dyDescent="0.2">
      <c r="A3115" s="2687"/>
      <c r="B3115" s="2158" t="s">
        <v>39</v>
      </c>
      <c r="C3115" s="2687"/>
      <c r="D3115" s="2158" t="s">
        <v>40</v>
      </c>
      <c r="E3115" s="368" t="s">
        <v>41</v>
      </c>
      <c r="F3115" s="2686" t="s">
        <v>42</v>
      </c>
      <c r="G3115" s="2686" t="s">
        <v>43</v>
      </c>
      <c r="H3115" s="2688" t="s">
        <v>44</v>
      </c>
      <c r="I3115" s="2158" t="s">
        <v>45</v>
      </c>
      <c r="J3115" s="379" t="s">
        <v>46</v>
      </c>
      <c r="K3115" s="2159" t="s">
        <v>47</v>
      </c>
      <c r="L3115" s="2680"/>
      <c r="M3115" s="2163" t="s">
        <v>30</v>
      </c>
      <c r="N3115" s="2163" t="s">
        <v>30</v>
      </c>
      <c r="O3115" s="382" t="s">
        <v>25</v>
      </c>
      <c r="P3115" s="383" t="s">
        <v>30</v>
      </c>
      <c r="Q3115" s="384" t="s">
        <v>48</v>
      </c>
      <c r="R3115" s="383" t="s">
        <v>49</v>
      </c>
      <c r="S3115" s="385" t="s">
        <v>30</v>
      </c>
      <c r="T3115" s="386" t="s">
        <v>50</v>
      </c>
      <c r="U3115" s="2161" t="s">
        <v>13</v>
      </c>
      <c r="V3115" s="375" t="s">
        <v>51</v>
      </c>
      <c r="W3115" s="376" t="s">
        <v>52</v>
      </c>
      <c r="X3115" s="377" t="s">
        <v>53</v>
      </c>
      <c r="Y3115" s="377" t="s">
        <v>54</v>
      </c>
      <c r="Z3115" s="377" t="s">
        <v>55</v>
      </c>
      <c r="AA3115" s="377" t="s">
        <v>56</v>
      </c>
      <c r="AB3115" s="378" t="s">
        <v>57</v>
      </c>
    </row>
    <row r="3116" spans="1:28" s="352" customFormat="1" ht="18" customHeight="1" x14ac:dyDescent="0.2">
      <c r="A3116" s="2687"/>
      <c r="B3116" s="2158" t="s">
        <v>61</v>
      </c>
      <c r="C3116" s="2687"/>
      <c r="D3116" s="2158" t="s">
        <v>62</v>
      </c>
      <c r="E3116" s="368" t="s">
        <v>63</v>
      </c>
      <c r="F3116" s="2687"/>
      <c r="G3116" s="2687"/>
      <c r="H3116" s="2689"/>
      <c r="I3116" s="2158" t="s">
        <v>64</v>
      </c>
      <c r="J3116" s="379" t="s">
        <v>59</v>
      </c>
      <c r="K3116" s="2159" t="s">
        <v>59</v>
      </c>
      <c r="L3116" s="2680"/>
      <c r="M3116" s="2163"/>
      <c r="N3116" s="2163"/>
      <c r="O3116" s="382" t="s">
        <v>41</v>
      </c>
      <c r="P3116" s="383" t="s">
        <v>65</v>
      </c>
      <c r="Q3116" s="384" t="s">
        <v>66</v>
      </c>
      <c r="R3116" s="383" t="s">
        <v>67</v>
      </c>
      <c r="S3116" s="385" t="s">
        <v>59</v>
      </c>
      <c r="T3116" s="387" t="s">
        <v>68</v>
      </c>
      <c r="U3116" s="375" t="s">
        <v>14</v>
      </c>
      <c r="V3116" s="375" t="s">
        <v>14</v>
      </c>
      <c r="W3116" s="376" t="s">
        <v>30</v>
      </c>
      <c r="X3116" s="388" t="s">
        <v>69</v>
      </c>
      <c r="Y3116" s="388" t="s">
        <v>70</v>
      </c>
      <c r="Z3116" s="377" t="s">
        <v>71</v>
      </c>
      <c r="AA3116" s="377" t="s">
        <v>72</v>
      </c>
      <c r="AB3116" s="378" t="s">
        <v>59</v>
      </c>
    </row>
    <row r="3117" spans="1:28" s="352" customFormat="1" ht="18" customHeight="1" x14ac:dyDescent="0.2">
      <c r="A3117" s="2692"/>
      <c r="B3117" s="390"/>
      <c r="C3117" s="2692"/>
      <c r="D3117" s="390"/>
      <c r="E3117" s="2160"/>
      <c r="F3117" s="390"/>
      <c r="G3117" s="390"/>
      <c r="H3117" s="391"/>
      <c r="I3117" s="2160"/>
      <c r="J3117" s="392"/>
      <c r="K3117" s="393"/>
      <c r="L3117" s="2681"/>
      <c r="M3117" s="2164"/>
      <c r="N3117" s="2164"/>
      <c r="O3117" s="2164" t="s">
        <v>63</v>
      </c>
      <c r="P3117" s="395"/>
      <c r="Q3117" s="396" t="s">
        <v>72</v>
      </c>
      <c r="R3117" s="397" t="s">
        <v>59</v>
      </c>
      <c r="S3117" s="398"/>
      <c r="T3117" s="397" t="s">
        <v>73</v>
      </c>
      <c r="U3117" s="398" t="s">
        <v>59</v>
      </c>
      <c r="V3117" s="399" t="s">
        <v>59</v>
      </c>
      <c r="W3117" s="400" t="s">
        <v>59</v>
      </c>
      <c r="X3117" s="401" t="s">
        <v>59</v>
      </c>
      <c r="Y3117" s="401" t="s">
        <v>59</v>
      </c>
      <c r="Z3117" s="401" t="s">
        <v>59</v>
      </c>
      <c r="AA3117" s="402"/>
      <c r="AB3117" s="403"/>
    </row>
    <row r="3118" spans="1:28" s="352" customFormat="1" ht="18" customHeight="1" x14ac:dyDescent="0.2">
      <c r="A3118" s="82">
        <v>1</v>
      </c>
      <c r="B3118" s="53">
        <v>23179</v>
      </c>
      <c r="C3118" s="82">
        <v>653</v>
      </c>
      <c r="D3118" s="82" t="s">
        <v>107</v>
      </c>
      <c r="E3118" s="82">
        <v>2</v>
      </c>
      <c r="F3118" s="82">
        <v>0</v>
      </c>
      <c r="G3118" s="82">
        <v>2</v>
      </c>
      <c r="H3118" s="463">
        <v>22</v>
      </c>
      <c r="I3118" s="70">
        <f>F3118*400+G3118*100+H3118</f>
        <v>222</v>
      </c>
      <c r="J3118" s="123">
        <v>3000</v>
      </c>
      <c r="K3118" s="124">
        <f>SUM(I3118*J3118)</f>
        <v>666000</v>
      </c>
      <c r="L3118" s="53"/>
      <c r="N3118" s="82"/>
      <c r="O3118" s="53"/>
      <c r="P3118" s="358"/>
      <c r="Q3118" s="197"/>
      <c r="R3118" s="444"/>
      <c r="S3118" s="123"/>
      <c r="T3118" s="82"/>
      <c r="U3118" s="70"/>
      <c r="V3118" s="70"/>
      <c r="W3118" s="70"/>
      <c r="X3118" s="70">
        <f>K3118</f>
        <v>666000</v>
      </c>
      <c r="Y3118" s="123"/>
      <c r="Z3118" s="70">
        <f>X3118</f>
        <v>666000</v>
      </c>
      <c r="AA3118" s="464">
        <v>0.6</v>
      </c>
      <c r="AB3118" s="406">
        <f>+Z3118*AA3118/100</f>
        <v>3996</v>
      </c>
    </row>
    <row r="3119" spans="1:28" s="352" customFormat="1" ht="18" customHeight="1" x14ac:dyDescent="0.2">
      <c r="A3119" s="2166"/>
      <c r="B3119" s="61"/>
      <c r="C3119" s="2166"/>
      <c r="D3119" s="2166"/>
      <c r="E3119" s="2166"/>
      <c r="F3119" s="2166"/>
      <c r="G3119" s="2166"/>
      <c r="H3119" s="407"/>
      <c r="I3119" s="77"/>
      <c r="J3119" s="2168"/>
      <c r="K3119" s="78"/>
      <c r="L3119" s="61"/>
      <c r="M3119" s="2166"/>
      <c r="N3119" s="2166"/>
      <c r="O3119" s="61"/>
      <c r="P3119" s="177"/>
      <c r="Q3119" s="196"/>
      <c r="R3119" s="408"/>
      <c r="S3119" s="2166"/>
      <c r="T3119" s="2166"/>
      <c r="U3119" s="77"/>
      <c r="V3119" s="77"/>
      <c r="W3119" s="77"/>
      <c r="X3119" s="77"/>
      <c r="Y3119" s="2168"/>
      <c r="Z3119" s="77"/>
      <c r="AA3119" s="2170"/>
      <c r="AB3119" s="410"/>
    </row>
    <row r="3120" spans="1:28" s="352" customFormat="1" ht="18" customHeight="1" x14ac:dyDescent="0.2">
      <c r="A3120" s="2166"/>
      <c r="B3120" s="61"/>
      <c r="C3120" s="2166"/>
      <c r="D3120" s="2166"/>
      <c r="E3120" s="2166"/>
      <c r="F3120" s="2166"/>
      <c r="G3120" s="2166"/>
      <c r="H3120" s="407"/>
      <c r="I3120" s="77"/>
      <c r="J3120" s="2168"/>
      <c r="K3120" s="78"/>
      <c r="L3120" s="61"/>
      <c r="M3120" s="2166"/>
      <c r="N3120" s="2166"/>
      <c r="O3120" s="61"/>
      <c r="P3120" s="177"/>
      <c r="Q3120" s="196"/>
      <c r="R3120" s="408"/>
      <c r="S3120" s="77"/>
      <c r="T3120" s="2166"/>
      <c r="U3120" s="77"/>
      <c r="V3120" s="77"/>
      <c r="W3120" s="77"/>
      <c r="X3120" s="77"/>
      <c r="Y3120" s="2168"/>
      <c r="Z3120" s="77"/>
      <c r="AA3120" s="2170"/>
      <c r="AB3120" s="410"/>
    </row>
    <row r="3121" spans="1:28" s="352" customFormat="1" ht="18" customHeight="1" x14ac:dyDescent="0.2">
      <c r="A3121" s="2166"/>
      <c r="B3121" s="61"/>
      <c r="C3121" s="2166"/>
      <c r="D3121" s="2166"/>
      <c r="E3121" s="2166"/>
      <c r="F3121" s="2166"/>
      <c r="G3121" s="2166"/>
      <c r="H3121" s="407"/>
      <c r="I3121" s="77"/>
      <c r="J3121" s="2168"/>
      <c r="K3121" s="78"/>
      <c r="L3121" s="61"/>
      <c r="M3121" s="2166"/>
      <c r="N3121" s="2166"/>
      <c r="O3121" s="61"/>
      <c r="P3121" s="177"/>
      <c r="Q3121" s="196"/>
      <c r="R3121" s="408"/>
      <c r="S3121" s="77"/>
      <c r="T3121" s="2166"/>
      <c r="U3121" s="77"/>
      <c r="V3121" s="77"/>
      <c r="W3121" s="77"/>
      <c r="X3121" s="77"/>
      <c r="Y3121" s="2168"/>
      <c r="Z3121" s="77"/>
      <c r="AA3121" s="2170"/>
      <c r="AB3121" s="410"/>
    </row>
    <row r="3122" spans="1:28" s="352" customFormat="1" ht="18" customHeight="1" x14ac:dyDescent="0.2">
      <c r="A3122" s="2166"/>
      <c r="B3122" s="61"/>
      <c r="C3122" s="2166"/>
      <c r="D3122" s="2166"/>
      <c r="E3122" s="2166"/>
      <c r="F3122" s="2166"/>
      <c r="G3122" s="2166"/>
      <c r="H3122" s="407"/>
      <c r="I3122" s="77"/>
      <c r="J3122" s="2168"/>
      <c r="K3122" s="78"/>
      <c r="L3122" s="61"/>
      <c r="M3122" s="2166"/>
      <c r="N3122" s="2166"/>
      <c r="O3122" s="61"/>
      <c r="P3122" s="177"/>
      <c r="Q3122" s="196"/>
      <c r="R3122" s="408"/>
      <c r="S3122" s="77"/>
      <c r="T3122" s="2166"/>
      <c r="U3122" s="77"/>
      <c r="V3122" s="77"/>
      <c r="W3122" s="77"/>
      <c r="X3122" s="77"/>
      <c r="Y3122" s="2168"/>
      <c r="Z3122" s="77"/>
      <c r="AA3122" s="2170"/>
      <c r="AB3122" s="410"/>
    </row>
    <row r="3123" spans="1:28" s="352" customFormat="1" ht="18" customHeight="1" x14ac:dyDescent="0.2">
      <c r="A3123" s="2166"/>
      <c r="B3123" s="61"/>
      <c r="C3123" s="2166"/>
      <c r="D3123" s="2166"/>
      <c r="E3123" s="2166"/>
      <c r="F3123" s="2166"/>
      <c r="G3123" s="2166"/>
      <c r="H3123" s="407"/>
      <c r="I3123" s="77"/>
      <c r="J3123" s="2168"/>
      <c r="K3123" s="78"/>
      <c r="L3123" s="61"/>
      <c r="M3123" s="2166"/>
      <c r="N3123" s="2166"/>
      <c r="O3123" s="61"/>
      <c r="P3123" s="177"/>
      <c r="Q3123" s="196"/>
      <c r="R3123" s="408"/>
      <c r="S3123" s="77"/>
      <c r="T3123" s="2166"/>
      <c r="U3123" s="77"/>
      <c r="V3123" s="77"/>
      <c r="W3123" s="77"/>
      <c r="X3123" s="77"/>
      <c r="Y3123" s="2168"/>
      <c r="Z3123" s="77"/>
      <c r="AA3123" s="2170"/>
      <c r="AB3123" s="410"/>
    </row>
    <row r="3124" spans="1:28" s="352" customFormat="1" ht="18" customHeight="1" x14ac:dyDescent="0.2">
      <c r="A3124" s="2166"/>
      <c r="B3124" s="61"/>
      <c r="C3124" s="2166"/>
      <c r="D3124" s="2166"/>
      <c r="E3124" s="2166"/>
      <c r="F3124" s="2166"/>
      <c r="G3124" s="2166"/>
      <c r="H3124" s="407"/>
      <c r="I3124" s="77"/>
      <c r="J3124" s="2168"/>
      <c r="K3124" s="78"/>
      <c r="L3124" s="61"/>
      <c r="M3124" s="2166"/>
      <c r="N3124" s="2166"/>
      <c r="O3124" s="61"/>
      <c r="P3124" s="177"/>
      <c r="Q3124" s="196"/>
      <c r="R3124" s="408"/>
      <c r="S3124" s="77"/>
      <c r="T3124" s="2166"/>
      <c r="U3124" s="77"/>
      <c r="V3124" s="77"/>
      <c r="W3124" s="77"/>
      <c r="X3124" s="77"/>
      <c r="Y3124" s="2168"/>
      <c r="Z3124" s="77"/>
      <c r="AA3124" s="2170"/>
      <c r="AB3124" s="410"/>
    </row>
    <row r="3125" spans="1:28" s="352" customFormat="1" ht="18" customHeight="1" x14ac:dyDescent="0.2">
      <c r="A3125" s="2166"/>
      <c r="B3125" s="61"/>
      <c r="C3125" s="2166"/>
      <c r="D3125" s="2166"/>
      <c r="E3125" s="2166"/>
      <c r="F3125" s="467"/>
      <c r="G3125" s="61"/>
      <c r="H3125" s="407"/>
      <c r="I3125" s="78"/>
      <c r="J3125" s="2168"/>
      <c r="K3125" s="78"/>
      <c r="L3125" s="61"/>
      <c r="M3125" s="2166"/>
      <c r="N3125" s="2166"/>
      <c r="O3125" s="61"/>
      <c r="P3125" s="177"/>
      <c r="Q3125" s="196"/>
      <c r="R3125" s="408"/>
      <c r="S3125" s="77"/>
      <c r="T3125" s="2166"/>
      <c r="U3125" s="77"/>
      <c r="V3125" s="77"/>
      <c r="W3125" s="77"/>
      <c r="X3125" s="77"/>
      <c r="Y3125" s="2168"/>
      <c r="Z3125" s="77"/>
      <c r="AA3125" s="2170"/>
      <c r="AB3125" s="416"/>
    </row>
    <row r="3126" spans="1:28" s="352" customFormat="1" ht="18" customHeight="1" x14ac:dyDescent="0.2">
      <c r="A3126" s="88"/>
      <c r="B3126" s="75"/>
      <c r="C3126" s="88"/>
      <c r="D3126" s="88"/>
      <c r="E3126" s="2166"/>
      <c r="F3126" s="411"/>
      <c r="G3126" s="242"/>
      <c r="H3126" s="412"/>
      <c r="I3126" s="159"/>
      <c r="J3126" s="121"/>
      <c r="K3126" s="159"/>
      <c r="L3126" s="75"/>
      <c r="M3126" s="88"/>
      <c r="N3126" s="88"/>
      <c r="O3126" s="75"/>
      <c r="P3126" s="180"/>
      <c r="Q3126" s="174"/>
      <c r="R3126" s="413"/>
      <c r="S3126" s="74"/>
      <c r="T3126" s="88"/>
      <c r="U3126" s="74"/>
      <c r="V3126" s="74"/>
      <c r="W3126" s="74"/>
      <c r="X3126" s="74"/>
      <c r="Y3126" s="121"/>
      <c r="Z3126" s="74"/>
      <c r="AA3126" s="414"/>
      <c r="AB3126" s="416"/>
    </row>
    <row r="3127" spans="1:28" s="352" customFormat="1" ht="18" customHeight="1" x14ac:dyDescent="0.2">
      <c r="A3127" s="88"/>
      <c r="B3127" s="75"/>
      <c r="C3127" s="88"/>
      <c r="D3127" s="88"/>
      <c r="E3127" s="2166"/>
      <c r="F3127" s="411"/>
      <c r="G3127" s="242"/>
      <c r="H3127" s="412"/>
      <c r="I3127" s="159"/>
      <c r="J3127" s="121"/>
      <c r="K3127" s="159"/>
      <c r="L3127" s="75"/>
      <c r="M3127" s="88"/>
      <c r="N3127" s="88"/>
      <c r="O3127" s="75"/>
      <c r="P3127" s="180"/>
      <c r="Q3127" s="174"/>
      <c r="R3127" s="413"/>
      <c r="S3127" s="74"/>
      <c r="T3127" s="88"/>
      <c r="U3127" s="74"/>
      <c r="V3127" s="74"/>
      <c r="W3127" s="74"/>
      <c r="X3127" s="74"/>
      <c r="Y3127" s="121"/>
      <c r="Z3127" s="74"/>
      <c r="AA3127" s="414"/>
      <c r="AB3127" s="415"/>
    </row>
    <row r="3128" spans="1:28" s="352" customFormat="1" ht="18" customHeight="1" x14ac:dyDescent="0.2">
      <c r="A3128" s="88"/>
      <c r="B3128" s="75"/>
      <c r="C3128" s="88"/>
      <c r="D3128" s="231"/>
      <c r="E3128" s="2166"/>
      <c r="F3128" s="411"/>
      <c r="G3128" s="242"/>
      <c r="H3128" s="412"/>
      <c r="I3128" s="159"/>
      <c r="J3128" s="121"/>
      <c r="K3128" s="159"/>
      <c r="L3128" s="75"/>
      <c r="M3128" s="88"/>
      <c r="N3128" s="88"/>
      <c r="O3128" s="75"/>
      <c r="P3128" s="180"/>
      <c r="Q3128" s="174"/>
      <c r="R3128" s="413"/>
      <c r="S3128" s="74"/>
      <c r="T3128" s="88"/>
      <c r="U3128" s="74"/>
      <c r="V3128" s="74"/>
      <c r="W3128" s="74"/>
      <c r="X3128" s="74"/>
      <c r="Y3128" s="121"/>
      <c r="Z3128" s="74"/>
      <c r="AA3128" s="417"/>
      <c r="AB3128" s="410"/>
    </row>
    <row r="3129" spans="1:28" s="352" customFormat="1" ht="18" customHeight="1" x14ac:dyDescent="0.2">
      <c r="A3129" s="88"/>
      <c r="B3129" s="75"/>
      <c r="C3129" s="88"/>
      <c r="D3129" s="2165"/>
      <c r="E3129" s="2166"/>
      <c r="F3129" s="411"/>
      <c r="G3129" s="242"/>
      <c r="H3129" s="412"/>
      <c r="I3129" s="159"/>
      <c r="J3129" s="121"/>
      <c r="K3129" s="159"/>
      <c r="L3129" s="75"/>
      <c r="M3129" s="88"/>
      <c r="N3129" s="88"/>
      <c r="O3129" s="75"/>
      <c r="P3129" s="180"/>
      <c r="Q3129" s="174"/>
      <c r="R3129" s="413"/>
      <c r="S3129" s="74"/>
      <c r="T3129" s="88"/>
      <c r="U3129" s="74"/>
      <c r="V3129" s="74"/>
      <c r="W3129" s="74"/>
      <c r="X3129" s="74"/>
      <c r="Y3129" s="121"/>
      <c r="Z3129" s="74"/>
      <c r="AA3129" s="417"/>
      <c r="AB3129" s="410"/>
    </row>
    <row r="3130" spans="1:28" s="352" customFormat="1" ht="18" customHeight="1" x14ac:dyDescent="0.2">
      <c r="A3130" s="88"/>
      <c r="B3130" s="75"/>
      <c r="C3130" s="88"/>
      <c r="D3130" s="2165"/>
      <c r="E3130" s="2166"/>
      <c r="F3130" s="411"/>
      <c r="G3130" s="242"/>
      <c r="H3130" s="412"/>
      <c r="I3130" s="159"/>
      <c r="J3130" s="121"/>
      <c r="K3130" s="159"/>
      <c r="L3130" s="75"/>
      <c r="M3130" s="88"/>
      <c r="N3130" s="88"/>
      <c r="O3130" s="75"/>
      <c r="P3130" s="180"/>
      <c r="Q3130" s="174"/>
      <c r="R3130" s="413"/>
      <c r="S3130" s="74"/>
      <c r="T3130" s="88"/>
      <c r="U3130" s="74"/>
      <c r="V3130" s="74"/>
      <c r="W3130" s="74"/>
      <c r="X3130" s="74"/>
      <c r="Y3130" s="121"/>
      <c r="Z3130" s="74"/>
      <c r="AA3130" s="414"/>
      <c r="AB3130" s="416"/>
    </row>
    <row r="3131" spans="1:28" s="352" customFormat="1" ht="18" customHeight="1" x14ac:dyDescent="0.2">
      <c r="A3131" s="88"/>
      <c r="B3131" s="418"/>
      <c r="C3131" s="88"/>
      <c r="D3131" s="88"/>
      <c r="E3131" s="88"/>
      <c r="F3131" s="411"/>
      <c r="G3131" s="242"/>
      <c r="H3131" s="412"/>
      <c r="I3131" s="159"/>
      <c r="J3131" s="121"/>
      <c r="K3131" s="159"/>
      <c r="L3131" s="75"/>
      <c r="M3131" s="88"/>
      <c r="N3131" s="88"/>
      <c r="O3131" s="75"/>
      <c r="P3131" s="180"/>
      <c r="Q3131" s="174"/>
      <c r="R3131" s="413"/>
      <c r="S3131" s="74"/>
      <c r="T3131" s="88"/>
      <c r="U3131" s="74"/>
      <c r="V3131" s="74"/>
      <c r="W3131" s="74"/>
      <c r="X3131" s="74"/>
      <c r="Y3131" s="121"/>
      <c r="Z3131" s="74"/>
      <c r="AA3131" s="414"/>
      <c r="AB3131" s="410"/>
    </row>
    <row r="3132" spans="1:28" s="352" customFormat="1" ht="18" customHeight="1" x14ac:dyDescent="0.2">
      <c r="A3132" s="1147"/>
      <c r="B3132" s="1989"/>
      <c r="C3132" s="1147"/>
      <c r="D3132" s="1147"/>
      <c r="E3132" s="1147"/>
      <c r="F3132" s="1147"/>
      <c r="G3132" s="1147"/>
      <c r="H3132" s="1990"/>
      <c r="I3132" s="1991"/>
      <c r="J3132" s="1868"/>
      <c r="K3132" s="1992"/>
      <c r="L3132" s="1989"/>
      <c r="M3132" s="1147"/>
      <c r="N3132" s="1147"/>
      <c r="O3132" s="1989"/>
      <c r="P3132" s="1867"/>
      <c r="Q3132" s="1993"/>
      <c r="R3132" s="1994"/>
      <c r="S3132" s="1991"/>
      <c r="T3132" s="1147"/>
      <c r="U3132" s="1991"/>
      <c r="V3132" s="1991"/>
      <c r="W3132" s="1991"/>
      <c r="X3132" s="1991"/>
      <c r="Y3132" s="1868"/>
      <c r="Z3132" s="1991"/>
      <c r="AA3132" s="1995"/>
      <c r="AB3132" s="1849">
        <f>SUM(AB3118:AB3131)</f>
        <v>3996</v>
      </c>
    </row>
    <row r="3133" spans="1:28" s="352" customFormat="1" ht="18" customHeight="1" x14ac:dyDescent="0.2">
      <c r="A3133" s="2788" t="s">
        <v>76</v>
      </c>
      <c r="B3133" s="2788"/>
      <c r="C3133" s="2779" t="s">
        <v>77</v>
      </c>
      <c r="D3133" s="2779"/>
      <c r="E3133" s="2779"/>
      <c r="F3133" s="2779"/>
      <c r="G3133" s="2779"/>
      <c r="H3133" s="2779"/>
      <c r="I3133" s="424" t="s">
        <v>78</v>
      </c>
      <c r="J3133" s="424"/>
      <c r="K3133" s="424"/>
      <c r="L3133" s="424"/>
      <c r="M3133" s="424"/>
      <c r="N3133" s="424"/>
      <c r="AB3133" s="425"/>
    </row>
    <row r="3134" spans="1:28" s="352" customFormat="1" ht="18" customHeight="1" x14ac:dyDescent="0.2">
      <c r="A3134" s="424"/>
      <c r="B3134" s="426"/>
      <c r="C3134" s="424"/>
      <c r="D3134" s="424"/>
      <c r="E3134" s="424"/>
      <c r="F3134" s="424"/>
      <c r="G3134" s="424"/>
      <c r="H3134" s="424"/>
      <c r="I3134" s="424" t="s">
        <v>79</v>
      </c>
      <c r="J3134" s="424"/>
      <c r="K3134" s="424"/>
      <c r="L3134" s="424"/>
      <c r="M3134" s="424"/>
      <c r="N3134" s="424"/>
      <c r="AB3134" s="425"/>
    </row>
    <row r="3135" spans="1:28" s="352" customFormat="1" ht="18" customHeight="1" x14ac:dyDescent="0.2">
      <c r="A3135" s="424"/>
      <c r="B3135" s="426"/>
      <c r="C3135" s="424"/>
      <c r="D3135" s="424"/>
      <c r="E3135" s="424"/>
      <c r="F3135" s="424"/>
      <c r="G3135" s="424"/>
      <c r="H3135" s="424"/>
      <c r="I3135" s="424" t="s">
        <v>80</v>
      </c>
      <c r="J3135" s="424"/>
      <c r="K3135" s="424"/>
      <c r="L3135" s="424"/>
      <c r="M3135" s="424"/>
      <c r="N3135" s="424"/>
      <c r="AB3135" s="425"/>
    </row>
    <row r="3136" spans="1:28" s="352" customFormat="1" ht="18" customHeight="1" x14ac:dyDescent="0.2">
      <c r="A3136" s="424"/>
      <c r="B3136" s="426"/>
      <c r="C3136" s="424"/>
      <c r="D3136" s="424"/>
      <c r="E3136" s="424"/>
      <c r="F3136" s="424"/>
      <c r="G3136" s="424"/>
      <c r="H3136" s="424"/>
      <c r="I3136" s="424" t="s">
        <v>81</v>
      </c>
      <c r="J3136" s="424"/>
      <c r="K3136" s="424"/>
      <c r="L3136" s="424"/>
      <c r="M3136" s="424"/>
      <c r="N3136" s="424"/>
      <c r="AB3136" s="425"/>
    </row>
    <row r="3137" spans="1:28" s="352" customFormat="1" ht="18" customHeight="1" x14ac:dyDescent="0.2">
      <c r="A3137" s="424"/>
      <c r="B3137" s="426"/>
      <c r="C3137" s="424"/>
      <c r="D3137" s="424"/>
      <c r="E3137" s="424"/>
      <c r="F3137" s="424"/>
      <c r="G3137" s="424"/>
      <c r="H3137" s="424"/>
      <c r="I3137" s="424" t="s">
        <v>88</v>
      </c>
      <c r="J3137" s="424"/>
      <c r="K3137" s="424"/>
      <c r="L3137" s="424"/>
      <c r="M3137" s="424"/>
      <c r="N3137" s="424"/>
      <c r="AB3137" s="425"/>
    </row>
    <row r="3138" spans="1:28" s="580" customFormat="1" ht="18" customHeight="1" x14ac:dyDescent="0.2">
      <c r="A3138" s="1"/>
      <c r="B3138" s="1"/>
      <c r="C3138" s="1"/>
      <c r="D3138" s="1"/>
      <c r="E3138" s="1"/>
      <c r="F3138" s="1"/>
      <c r="G3138" s="1"/>
      <c r="H3138" s="1"/>
      <c r="I3138" s="1"/>
      <c r="J3138" s="1"/>
      <c r="K3138" s="1"/>
      <c r="L3138" s="1"/>
      <c r="M3138" s="1"/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"/>
      <c r="Y3138" s="1"/>
      <c r="Z3138" s="1"/>
      <c r="AA3138" s="2776" t="s">
        <v>0</v>
      </c>
      <c r="AB3138" s="2776"/>
    </row>
    <row r="3139" spans="1:28" s="580" customFormat="1" ht="18" customHeight="1" x14ac:dyDescent="0.2">
      <c r="A3139" s="2707" t="s">
        <v>1</v>
      </c>
      <c r="B3139" s="2707"/>
      <c r="C3139" s="2707"/>
      <c r="D3139" s="2707"/>
      <c r="E3139" s="2707"/>
      <c r="F3139" s="2707"/>
      <c r="G3139" s="2707"/>
      <c r="H3139" s="2707"/>
      <c r="I3139" s="2707"/>
      <c r="J3139" s="2707"/>
      <c r="K3139" s="2707"/>
      <c r="L3139" s="2707"/>
      <c r="M3139" s="2707"/>
      <c r="N3139" s="2707"/>
      <c r="O3139" s="2707"/>
      <c r="P3139" s="2707"/>
      <c r="Q3139" s="2707"/>
      <c r="R3139" s="2707"/>
      <c r="S3139" s="2707"/>
      <c r="T3139" s="2707"/>
      <c r="U3139" s="2707"/>
      <c r="V3139" s="2707"/>
      <c r="W3139" s="2707"/>
      <c r="X3139" s="2707"/>
      <c r="Y3139" s="2707"/>
      <c r="Z3139" s="2707"/>
      <c r="AA3139" s="2707"/>
      <c r="AB3139" s="2707"/>
    </row>
    <row r="3140" spans="1:28" s="580" customFormat="1" ht="18" customHeight="1" x14ac:dyDescent="0.2">
      <c r="A3140" s="2783" t="s">
        <v>690</v>
      </c>
      <c r="B3140" s="2783"/>
      <c r="C3140" s="2783"/>
      <c r="D3140" s="2783"/>
      <c r="E3140" s="2783"/>
      <c r="F3140" s="2783"/>
      <c r="G3140" s="2783"/>
      <c r="H3140" s="2783"/>
      <c r="I3140" s="2783"/>
      <c r="J3140" s="2783"/>
      <c r="K3140" s="2783"/>
      <c r="L3140" s="2783"/>
      <c r="M3140" s="2783"/>
      <c r="N3140" s="2783"/>
      <c r="O3140" s="2783"/>
      <c r="P3140" s="2783"/>
      <c r="Q3140" s="2783"/>
      <c r="R3140" s="2783"/>
      <c r="S3140" s="2783"/>
      <c r="T3140" s="2783"/>
      <c r="U3140" s="2783"/>
      <c r="V3140" s="2783"/>
      <c r="W3140" s="2783"/>
      <c r="X3140" s="2783"/>
      <c r="Y3140" s="2783"/>
      <c r="Z3140" s="2783"/>
      <c r="AA3140" s="2783"/>
      <c r="AB3140" s="2783"/>
    </row>
    <row r="3141" spans="1:28" s="580" customFormat="1" ht="18" customHeight="1" x14ac:dyDescent="0.2">
      <c r="A3141" s="2709" t="s">
        <v>2</v>
      </c>
      <c r="B3141" s="160"/>
      <c r="C3141" s="2709" t="s">
        <v>3</v>
      </c>
      <c r="D3141" s="160"/>
      <c r="E3141" s="160"/>
      <c r="F3141" s="2712" t="s">
        <v>4</v>
      </c>
      <c r="G3141" s="2712"/>
      <c r="H3141" s="2712"/>
      <c r="I3141" s="2713"/>
      <c r="J3141" s="2713"/>
      <c r="K3141" s="2714"/>
      <c r="L3141" s="2"/>
      <c r="M3141" s="2715" t="s">
        <v>5</v>
      </c>
      <c r="N3141" s="2715"/>
      <c r="O3141" s="2715"/>
      <c r="P3141" s="2715"/>
      <c r="Q3141" s="2716"/>
      <c r="R3141" s="2716"/>
      <c r="S3141" s="2716"/>
      <c r="T3141" s="2716"/>
      <c r="U3141" s="2716"/>
      <c r="V3141" s="2717"/>
      <c r="W3141" s="161" t="s">
        <v>6</v>
      </c>
      <c r="X3141" s="162" t="s">
        <v>7</v>
      </c>
      <c r="Y3141" s="163"/>
      <c r="Z3141" s="163"/>
      <c r="AA3141" s="162"/>
      <c r="AB3141" s="206"/>
    </row>
    <row r="3142" spans="1:28" s="580" customFormat="1" ht="18" customHeight="1" x14ac:dyDescent="0.2">
      <c r="A3142" s="2710"/>
      <c r="B3142" s="4"/>
      <c r="C3142" s="2710"/>
      <c r="D3142" s="2154" t="s">
        <v>9</v>
      </c>
      <c r="E3142" s="207" t="s">
        <v>10</v>
      </c>
      <c r="F3142" s="2718" t="s">
        <v>11</v>
      </c>
      <c r="G3142" s="2713"/>
      <c r="H3142" s="2714"/>
      <c r="I3142" s="160"/>
      <c r="J3142" s="208" t="s">
        <v>12</v>
      </c>
      <c r="K3142" s="160"/>
      <c r="L3142" s="2715" t="s">
        <v>2</v>
      </c>
      <c r="M3142" s="141"/>
      <c r="N3142" s="141"/>
      <c r="O3142" s="141"/>
      <c r="P3142" s="164"/>
      <c r="Q3142" s="209" t="s">
        <v>13</v>
      </c>
      <c r="R3142" s="210" t="s">
        <v>12</v>
      </c>
      <c r="S3142" s="141" t="s">
        <v>6</v>
      </c>
      <c r="T3142" s="2724" t="s">
        <v>14</v>
      </c>
      <c r="U3142" s="2725"/>
      <c r="V3142" s="165" t="s">
        <v>7</v>
      </c>
      <c r="W3142" s="166" t="s">
        <v>15</v>
      </c>
      <c r="X3142" s="5" t="s">
        <v>16</v>
      </c>
      <c r="Y3142" s="5" t="s">
        <v>17</v>
      </c>
      <c r="Z3142" s="5" t="s">
        <v>18</v>
      </c>
      <c r="AA3142" s="5"/>
      <c r="AB3142" s="55" t="s">
        <v>19</v>
      </c>
    </row>
    <row r="3143" spans="1:28" s="580" customFormat="1" ht="18" customHeight="1" x14ac:dyDescent="0.2">
      <c r="A3143" s="2710"/>
      <c r="B3143" s="2154" t="s">
        <v>23</v>
      </c>
      <c r="C3143" s="2710"/>
      <c r="D3143" s="2154" t="s">
        <v>24</v>
      </c>
      <c r="E3143" s="207" t="s">
        <v>25</v>
      </c>
      <c r="F3143" s="2719"/>
      <c r="G3143" s="2720"/>
      <c r="H3143" s="2721"/>
      <c r="I3143" s="2154" t="s">
        <v>26</v>
      </c>
      <c r="J3143" s="211" t="s">
        <v>15</v>
      </c>
      <c r="K3143" s="2157" t="s">
        <v>6</v>
      </c>
      <c r="L3143" s="2722"/>
      <c r="M3143" s="142" t="s">
        <v>27</v>
      </c>
      <c r="N3143" s="142" t="s">
        <v>10</v>
      </c>
      <c r="O3143" s="212" t="s">
        <v>10</v>
      </c>
      <c r="P3143" s="213" t="s">
        <v>28</v>
      </c>
      <c r="Q3143" s="214" t="s">
        <v>29</v>
      </c>
      <c r="R3143" s="213" t="s">
        <v>15</v>
      </c>
      <c r="S3143" s="8" t="s">
        <v>15</v>
      </c>
      <c r="T3143" s="2726"/>
      <c r="U3143" s="2727"/>
      <c r="V3143" s="165" t="s">
        <v>30</v>
      </c>
      <c r="W3143" s="166" t="s">
        <v>31</v>
      </c>
      <c r="X3143" s="5" t="s">
        <v>30</v>
      </c>
      <c r="Y3143" s="5" t="s">
        <v>32</v>
      </c>
      <c r="Z3143" s="5" t="s">
        <v>7</v>
      </c>
      <c r="AA3143" s="5" t="s">
        <v>33</v>
      </c>
      <c r="AB3143" s="55" t="s">
        <v>34</v>
      </c>
    </row>
    <row r="3144" spans="1:28" s="580" customFormat="1" ht="18" customHeight="1" x14ac:dyDescent="0.2">
      <c r="A3144" s="2710"/>
      <c r="B3144" s="2154" t="s">
        <v>39</v>
      </c>
      <c r="C3144" s="2710"/>
      <c r="D3144" s="2154" t="s">
        <v>40</v>
      </c>
      <c r="E3144" s="207" t="s">
        <v>41</v>
      </c>
      <c r="F3144" s="2709" t="s">
        <v>42</v>
      </c>
      <c r="G3144" s="2709" t="s">
        <v>43</v>
      </c>
      <c r="H3144" s="2728" t="s">
        <v>44</v>
      </c>
      <c r="I3144" s="2154" t="s">
        <v>45</v>
      </c>
      <c r="J3144" s="211" t="s">
        <v>46</v>
      </c>
      <c r="K3144" s="2157" t="s">
        <v>47</v>
      </c>
      <c r="L3144" s="2722"/>
      <c r="M3144" s="142" t="s">
        <v>30</v>
      </c>
      <c r="N3144" s="142" t="s">
        <v>30</v>
      </c>
      <c r="O3144" s="212" t="s">
        <v>25</v>
      </c>
      <c r="P3144" s="213" t="s">
        <v>30</v>
      </c>
      <c r="Q3144" s="214" t="s">
        <v>48</v>
      </c>
      <c r="R3144" s="213" t="s">
        <v>49</v>
      </c>
      <c r="S3144" s="8" t="s">
        <v>30</v>
      </c>
      <c r="T3144" s="215" t="s">
        <v>50</v>
      </c>
      <c r="U3144" s="2156" t="s">
        <v>13</v>
      </c>
      <c r="V3144" s="165" t="s">
        <v>51</v>
      </c>
      <c r="W3144" s="166" t="s">
        <v>52</v>
      </c>
      <c r="X3144" s="5" t="s">
        <v>53</v>
      </c>
      <c r="Y3144" s="5" t="s">
        <v>54</v>
      </c>
      <c r="Z3144" s="5" t="s">
        <v>55</v>
      </c>
      <c r="AA3144" s="5" t="s">
        <v>56</v>
      </c>
      <c r="AB3144" s="55" t="s">
        <v>57</v>
      </c>
    </row>
    <row r="3145" spans="1:28" s="580" customFormat="1" ht="18" customHeight="1" x14ac:dyDescent="0.2">
      <c r="A3145" s="2710"/>
      <c r="B3145" s="2154" t="s">
        <v>61</v>
      </c>
      <c r="C3145" s="2710"/>
      <c r="D3145" s="2154" t="s">
        <v>62</v>
      </c>
      <c r="E3145" s="207" t="s">
        <v>63</v>
      </c>
      <c r="F3145" s="2710"/>
      <c r="G3145" s="2710"/>
      <c r="H3145" s="2729"/>
      <c r="I3145" s="2154" t="s">
        <v>64</v>
      </c>
      <c r="J3145" s="211" t="s">
        <v>59</v>
      </c>
      <c r="K3145" s="2157" t="s">
        <v>59</v>
      </c>
      <c r="L3145" s="2722"/>
      <c r="M3145" s="142"/>
      <c r="N3145" s="142"/>
      <c r="O3145" s="212" t="s">
        <v>41</v>
      </c>
      <c r="P3145" s="213" t="s">
        <v>65</v>
      </c>
      <c r="Q3145" s="214" t="s">
        <v>66</v>
      </c>
      <c r="R3145" s="213" t="s">
        <v>67</v>
      </c>
      <c r="S3145" s="8" t="s">
        <v>59</v>
      </c>
      <c r="T3145" s="216" t="s">
        <v>68</v>
      </c>
      <c r="U3145" s="165" t="s">
        <v>14</v>
      </c>
      <c r="V3145" s="165" t="s">
        <v>14</v>
      </c>
      <c r="W3145" s="166" t="s">
        <v>30</v>
      </c>
      <c r="X3145" s="167" t="s">
        <v>69</v>
      </c>
      <c r="Y3145" s="167" t="s">
        <v>70</v>
      </c>
      <c r="Z3145" s="5" t="s">
        <v>71</v>
      </c>
      <c r="AA3145" s="5" t="s">
        <v>72</v>
      </c>
      <c r="AB3145" s="55" t="s">
        <v>59</v>
      </c>
    </row>
    <row r="3146" spans="1:28" s="580" customFormat="1" ht="18" customHeight="1" x14ac:dyDescent="0.2">
      <c r="A3146" s="2711"/>
      <c r="B3146" s="9"/>
      <c r="C3146" s="2711"/>
      <c r="D3146" s="9"/>
      <c r="E3146" s="2155"/>
      <c r="F3146" s="9"/>
      <c r="G3146" s="9"/>
      <c r="H3146" s="10"/>
      <c r="I3146" s="2155"/>
      <c r="J3146" s="217"/>
      <c r="K3146" s="168"/>
      <c r="L3146" s="2723"/>
      <c r="M3146" s="143"/>
      <c r="N3146" s="143"/>
      <c r="O3146" s="143" t="s">
        <v>63</v>
      </c>
      <c r="P3146" s="218"/>
      <c r="Q3146" s="219" t="s">
        <v>72</v>
      </c>
      <c r="R3146" s="220" t="s">
        <v>59</v>
      </c>
      <c r="S3146" s="169"/>
      <c r="T3146" s="220" t="s">
        <v>73</v>
      </c>
      <c r="U3146" s="169" t="s">
        <v>59</v>
      </c>
      <c r="V3146" s="170" t="s">
        <v>59</v>
      </c>
      <c r="W3146" s="171" t="s">
        <v>59</v>
      </c>
      <c r="X3146" s="172" t="s">
        <v>59</v>
      </c>
      <c r="Y3146" s="172" t="s">
        <v>59</v>
      </c>
      <c r="Z3146" s="172" t="s">
        <v>59</v>
      </c>
      <c r="AA3146" s="11"/>
      <c r="AB3146" s="56"/>
    </row>
    <row r="3147" spans="1:28" s="580" customFormat="1" ht="18" customHeight="1" x14ac:dyDescent="0.2">
      <c r="A3147" s="82">
        <v>1</v>
      </c>
      <c r="B3147" s="99">
        <v>23181</v>
      </c>
      <c r="C3147" s="51">
        <v>655</v>
      </c>
      <c r="D3147" s="51" t="s">
        <v>84</v>
      </c>
      <c r="E3147" s="69">
        <v>4</v>
      </c>
      <c r="F3147" s="51">
        <v>0</v>
      </c>
      <c r="G3147" s="51">
        <v>1</v>
      </c>
      <c r="H3147" s="823">
        <v>18</v>
      </c>
      <c r="I3147" s="70">
        <f>F3147*400+G3147*100+H3147</f>
        <v>118</v>
      </c>
      <c r="J3147" s="71">
        <v>3000</v>
      </c>
      <c r="K3147" s="123">
        <f>SUM(I3147*J3147)</f>
        <v>354000</v>
      </c>
      <c r="L3147" s="1283"/>
      <c r="M3147" s="1283"/>
      <c r="N3147" s="1283"/>
      <c r="O3147" s="1283"/>
      <c r="P3147" s="1284"/>
      <c r="Q3147" s="1284"/>
      <c r="R3147" s="1285"/>
      <c r="S3147" s="1285"/>
      <c r="T3147" s="1284"/>
      <c r="U3147" s="1285"/>
      <c r="V3147" s="1286"/>
      <c r="W3147" s="70">
        <f>K3147</f>
        <v>354000</v>
      </c>
      <c r="X3147" s="123">
        <f>W3147</f>
        <v>354000</v>
      </c>
      <c r="Y3147" s="71"/>
      <c r="Z3147" s="70">
        <f>+X3147</f>
        <v>354000</v>
      </c>
      <c r="AA3147" s="84">
        <v>0.6</v>
      </c>
      <c r="AB3147" s="825">
        <f>+Z3147*AA3147/100</f>
        <v>2124</v>
      </c>
    </row>
    <row r="3148" spans="1:28" s="580" customFormat="1" ht="18" customHeight="1" x14ac:dyDescent="0.2">
      <c r="A3148" s="88"/>
      <c r="B3148" s="81"/>
      <c r="C3148" s="54"/>
      <c r="D3148" s="54"/>
      <c r="E3148" s="115"/>
      <c r="F3148" s="54"/>
      <c r="G3148" s="54"/>
      <c r="H3148" s="158"/>
      <c r="I3148" s="74"/>
      <c r="J3148" s="117"/>
      <c r="K3148" s="121"/>
      <c r="L3148" s="1287"/>
      <c r="M3148" s="1287"/>
      <c r="N3148" s="1287"/>
      <c r="O3148" s="1287"/>
      <c r="P3148" s="1288"/>
      <c r="Q3148" s="1288"/>
      <c r="R3148" s="1289"/>
      <c r="S3148" s="1289"/>
      <c r="T3148" s="1288"/>
      <c r="U3148" s="1289"/>
      <c r="V3148" s="1290"/>
      <c r="W3148" s="74"/>
      <c r="X3148" s="121"/>
      <c r="Y3148" s="117"/>
      <c r="Z3148" s="74"/>
      <c r="AA3148" s="86"/>
      <c r="AB3148" s="1291"/>
    </row>
    <row r="3149" spans="1:28" s="580" customFormat="1" ht="18" customHeight="1" x14ac:dyDescent="0.2">
      <c r="A3149" s="88"/>
      <c r="B3149" s="81"/>
      <c r="C3149" s="54"/>
      <c r="D3149" s="54"/>
      <c r="E3149" s="115"/>
      <c r="F3149" s="54"/>
      <c r="G3149" s="54"/>
      <c r="H3149" s="158"/>
      <c r="I3149" s="74"/>
      <c r="J3149" s="117"/>
      <c r="K3149" s="121"/>
      <c r="L3149" s="1287"/>
      <c r="M3149" s="1287"/>
      <c r="N3149" s="1287"/>
      <c r="O3149" s="1287"/>
      <c r="P3149" s="1288"/>
      <c r="Q3149" s="1288"/>
      <c r="R3149" s="1289"/>
      <c r="S3149" s="1289"/>
      <c r="T3149" s="1288"/>
      <c r="U3149" s="1289"/>
      <c r="V3149" s="1290"/>
      <c r="W3149" s="74"/>
      <c r="X3149" s="121"/>
      <c r="Y3149" s="117"/>
      <c r="Z3149" s="74"/>
      <c r="AA3149" s="86"/>
      <c r="AB3149" s="831"/>
    </row>
    <row r="3150" spans="1:28" s="580" customFormat="1" ht="18" customHeight="1" x14ac:dyDescent="0.2">
      <c r="A3150" s="88"/>
      <c r="B3150" s="81"/>
      <c r="C3150" s="54"/>
      <c r="D3150" s="54"/>
      <c r="E3150" s="115"/>
      <c r="F3150" s="54"/>
      <c r="G3150" s="54"/>
      <c r="H3150" s="158"/>
      <c r="I3150" s="74"/>
      <c r="J3150" s="117"/>
      <c r="K3150" s="121"/>
      <c r="L3150" s="1287"/>
      <c r="M3150" s="1287"/>
      <c r="N3150" s="1287"/>
      <c r="O3150" s="1287"/>
      <c r="P3150" s="1288"/>
      <c r="Q3150" s="1288"/>
      <c r="R3150" s="1289"/>
      <c r="S3150" s="1289"/>
      <c r="T3150" s="1288"/>
      <c r="U3150" s="1289"/>
      <c r="V3150" s="1290"/>
      <c r="W3150" s="74"/>
      <c r="X3150" s="121"/>
      <c r="Y3150" s="117"/>
      <c r="Z3150" s="74"/>
      <c r="AA3150" s="86"/>
      <c r="AB3150" s="1292"/>
    </row>
    <row r="3151" spans="1:28" s="580" customFormat="1" ht="18" customHeight="1" x14ac:dyDescent="0.2">
      <c r="A3151" s="2166"/>
      <c r="B3151" s="100"/>
      <c r="C3151" s="105"/>
      <c r="D3151" s="105"/>
      <c r="E3151" s="146"/>
      <c r="F3151" s="105"/>
      <c r="G3151" s="105"/>
      <c r="H3151" s="126"/>
      <c r="I3151" s="77"/>
      <c r="J3151" s="108"/>
      <c r="K3151" s="78"/>
      <c r="L3151" s="61"/>
      <c r="M3151" s="105"/>
      <c r="N3151" s="105"/>
      <c r="O3151" s="113"/>
      <c r="P3151" s="131"/>
      <c r="Q3151" s="132"/>
      <c r="R3151" s="133"/>
      <c r="S3151" s="77"/>
      <c r="T3151" s="105"/>
      <c r="U3151" s="127"/>
      <c r="V3151" s="77"/>
      <c r="W3151" s="77"/>
      <c r="X3151" s="77"/>
      <c r="Y3151" s="108"/>
      <c r="Z3151" s="77"/>
      <c r="AA3151" s="149"/>
      <c r="AB3151" s="831"/>
    </row>
    <row r="3152" spans="1:28" s="580" customFormat="1" ht="18" customHeight="1" x14ac:dyDescent="0.2">
      <c r="A3152" s="2166"/>
      <c r="B3152" s="100"/>
      <c r="C3152" s="105"/>
      <c r="D3152" s="105"/>
      <c r="E3152" s="146"/>
      <c r="F3152" s="105"/>
      <c r="G3152" s="105"/>
      <c r="H3152" s="126"/>
      <c r="I3152" s="77"/>
      <c r="J3152" s="108"/>
      <c r="K3152" s="78"/>
      <c r="L3152" s="61"/>
      <c r="M3152" s="105"/>
      <c r="N3152" s="105"/>
      <c r="O3152" s="113"/>
      <c r="P3152" s="131"/>
      <c r="Q3152" s="132"/>
      <c r="R3152" s="133"/>
      <c r="S3152" s="77"/>
      <c r="T3152" s="105"/>
      <c r="U3152" s="127"/>
      <c r="V3152" s="77"/>
      <c r="W3152" s="77"/>
      <c r="X3152" s="77"/>
      <c r="Y3152" s="108"/>
      <c r="Z3152" s="77"/>
      <c r="AA3152" s="149"/>
      <c r="AB3152" s="831"/>
    </row>
    <row r="3153" spans="1:28" s="580" customFormat="1" ht="18" customHeight="1" x14ac:dyDescent="0.2">
      <c r="A3153" s="2166"/>
      <c r="B3153" s="100"/>
      <c r="C3153" s="105"/>
      <c r="D3153" s="105"/>
      <c r="E3153" s="146"/>
      <c r="F3153" s="105"/>
      <c r="G3153" s="105"/>
      <c r="H3153" s="126"/>
      <c r="I3153" s="77"/>
      <c r="J3153" s="108"/>
      <c r="K3153" s="78"/>
      <c r="L3153" s="61"/>
      <c r="M3153" s="105"/>
      <c r="N3153" s="105"/>
      <c r="O3153" s="113"/>
      <c r="P3153" s="131"/>
      <c r="Q3153" s="132"/>
      <c r="R3153" s="133"/>
      <c r="S3153" s="77"/>
      <c r="T3153" s="105"/>
      <c r="U3153" s="127"/>
      <c r="V3153" s="77"/>
      <c r="W3153" s="77"/>
      <c r="X3153" s="77"/>
      <c r="Y3153" s="108"/>
      <c r="Z3153" s="77"/>
      <c r="AA3153" s="149"/>
      <c r="AB3153" s="831"/>
    </row>
    <row r="3154" spans="1:28" s="580" customFormat="1" ht="18" customHeight="1" x14ac:dyDescent="0.2">
      <c r="A3154" s="2166"/>
      <c r="B3154" s="100"/>
      <c r="C3154" s="105"/>
      <c r="D3154" s="105"/>
      <c r="E3154" s="146"/>
      <c r="F3154" s="105"/>
      <c r="G3154" s="105"/>
      <c r="H3154" s="126"/>
      <c r="I3154" s="77"/>
      <c r="J3154" s="108"/>
      <c r="K3154" s="78"/>
      <c r="L3154" s="61"/>
      <c r="M3154" s="105"/>
      <c r="N3154" s="105"/>
      <c r="O3154" s="113"/>
      <c r="P3154" s="131"/>
      <c r="Q3154" s="132"/>
      <c r="R3154" s="133"/>
      <c r="S3154" s="77"/>
      <c r="T3154" s="105"/>
      <c r="U3154" s="127"/>
      <c r="V3154" s="77"/>
      <c r="W3154" s="77"/>
      <c r="X3154" s="77"/>
      <c r="Y3154" s="108"/>
      <c r="Z3154" s="77"/>
      <c r="AA3154" s="149"/>
      <c r="AB3154" s="831"/>
    </row>
    <row r="3155" spans="1:28" s="580" customFormat="1" ht="18" customHeight="1" x14ac:dyDescent="0.2">
      <c r="A3155" s="54"/>
      <c r="B3155" s="81"/>
      <c r="C3155" s="54"/>
      <c r="D3155" s="54"/>
      <c r="E3155" s="146"/>
      <c r="F3155" s="1293"/>
      <c r="G3155" s="52"/>
      <c r="H3155" s="1294"/>
      <c r="I3155" s="159"/>
      <c r="J3155" s="117"/>
      <c r="K3155" s="159"/>
      <c r="L3155" s="75"/>
      <c r="M3155" s="54"/>
      <c r="N3155" s="54"/>
      <c r="O3155" s="119"/>
      <c r="P3155" s="200"/>
      <c r="Q3155" s="134"/>
      <c r="R3155" s="189"/>
      <c r="S3155" s="74"/>
      <c r="T3155" s="54"/>
      <c r="U3155" s="128"/>
      <c r="V3155" s="74"/>
      <c r="W3155" s="74"/>
      <c r="X3155" s="74"/>
      <c r="Y3155" s="117"/>
      <c r="Z3155" s="74"/>
      <c r="AA3155" s="86"/>
      <c r="AB3155" s="1291"/>
    </row>
    <row r="3156" spans="1:28" s="580" customFormat="1" ht="18" customHeight="1" x14ac:dyDescent="0.2">
      <c r="A3156" s="54"/>
      <c r="B3156" s="81"/>
      <c r="C3156" s="54"/>
      <c r="D3156" s="54"/>
      <c r="E3156" s="146"/>
      <c r="F3156" s="1293"/>
      <c r="G3156" s="52"/>
      <c r="H3156" s="1294"/>
      <c r="I3156" s="159"/>
      <c r="J3156" s="117"/>
      <c r="K3156" s="159"/>
      <c r="L3156" s="75"/>
      <c r="M3156" s="54"/>
      <c r="N3156" s="54"/>
      <c r="O3156" s="119"/>
      <c r="P3156" s="200"/>
      <c r="Q3156" s="134"/>
      <c r="R3156" s="189"/>
      <c r="S3156" s="74"/>
      <c r="T3156" s="54"/>
      <c r="U3156" s="128"/>
      <c r="V3156" s="74"/>
      <c r="W3156" s="74"/>
      <c r="X3156" s="74"/>
      <c r="Y3156" s="117"/>
      <c r="Z3156" s="74"/>
      <c r="AA3156" s="86"/>
      <c r="AB3156" s="1291"/>
    </row>
    <row r="3157" spans="1:28" s="580" customFormat="1" ht="18" customHeight="1" x14ac:dyDescent="0.2">
      <c r="A3157" s="54"/>
      <c r="B3157" s="81"/>
      <c r="C3157" s="54"/>
      <c r="D3157" s="1296"/>
      <c r="E3157" s="146"/>
      <c r="F3157" s="1293"/>
      <c r="G3157" s="52"/>
      <c r="H3157" s="1294"/>
      <c r="I3157" s="159"/>
      <c r="J3157" s="117"/>
      <c r="K3157" s="159"/>
      <c r="L3157" s="75"/>
      <c r="M3157" s="54"/>
      <c r="N3157" s="54"/>
      <c r="O3157" s="119"/>
      <c r="P3157" s="200"/>
      <c r="Q3157" s="134"/>
      <c r="R3157" s="189"/>
      <c r="S3157" s="74"/>
      <c r="T3157" s="54"/>
      <c r="U3157" s="128"/>
      <c r="V3157" s="74"/>
      <c r="W3157" s="74"/>
      <c r="X3157" s="74"/>
      <c r="Y3157" s="117"/>
      <c r="Z3157" s="74"/>
      <c r="AA3157" s="86"/>
      <c r="AB3157" s="831"/>
    </row>
    <row r="3158" spans="1:28" s="580" customFormat="1" ht="18" customHeight="1" x14ac:dyDescent="0.2">
      <c r="A3158" s="54"/>
      <c r="B3158" s="81"/>
      <c r="C3158" s="54"/>
      <c r="D3158" s="1296"/>
      <c r="E3158" s="146"/>
      <c r="F3158" s="1293"/>
      <c r="G3158" s="52"/>
      <c r="H3158" s="1294"/>
      <c r="I3158" s="159"/>
      <c r="J3158" s="117"/>
      <c r="K3158" s="159"/>
      <c r="L3158" s="75"/>
      <c r="M3158" s="54"/>
      <c r="N3158" s="54"/>
      <c r="O3158" s="119"/>
      <c r="P3158" s="200"/>
      <c r="Q3158" s="134"/>
      <c r="R3158" s="189"/>
      <c r="S3158" s="74"/>
      <c r="T3158" s="54"/>
      <c r="U3158" s="128"/>
      <c r="V3158" s="74"/>
      <c r="W3158" s="74"/>
      <c r="X3158" s="74"/>
      <c r="Y3158" s="117"/>
      <c r="Z3158" s="74"/>
      <c r="AA3158" s="91"/>
      <c r="AB3158" s="831"/>
    </row>
    <row r="3159" spans="1:28" s="580" customFormat="1" ht="18" customHeight="1" x14ac:dyDescent="0.2">
      <c r="A3159" s="54"/>
      <c r="B3159" s="81"/>
      <c r="C3159" s="54"/>
      <c r="D3159" s="1296"/>
      <c r="E3159" s="146"/>
      <c r="F3159" s="1293"/>
      <c r="G3159" s="52"/>
      <c r="H3159" s="1294"/>
      <c r="I3159" s="159"/>
      <c r="J3159" s="117"/>
      <c r="K3159" s="159"/>
      <c r="L3159" s="75"/>
      <c r="M3159" s="54"/>
      <c r="N3159" s="54"/>
      <c r="O3159" s="119"/>
      <c r="P3159" s="200"/>
      <c r="Q3159" s="134"/>
      <c r="R3159" s="189"/>
      <c r="S3159" s="74"/>
      <c r="T3159" s="54"/>
      <c r="U3159" s="128"/>
      <c r="V3159" s="74"/>
      <c r="W3159" s="74"/>
      <c r="X3159" s="74"/>
      <c r="Y3159" s="117"/>
      <c r="Z3159" s="74"/>
      <c r="AA3159" s="86"/>
      <c r="AB3159" s="1292"/>
    </row>
    <row r="3160" spans="1:28" s="580" customFormat="1" ht="18" customHeight="1" x14ac:dyDescent="0.2">
      <c r="A3160" s="54"/>
      <c r="B3160" s="960"/>
      <c r="C3160" s="54"/>
      <c r="D3160" s="54"/>
      <c r="E3160" s="115"/>
      <c r="F3160" s="1293"/>
      <c r="G3160" s="52"/>
      <c r="H3160" s="1294"/>
      <c r="I3160" s="159"/>
      <c r="J3160" s="117"/>
      <c r="K3160" s="159"/>
      <c r="L3160" s="75"/>
      <c r="M3160" s="54"/>
      <c r="N3160" s="54"/>
      <c r="O3160" s="119"/>
      <c r="P3160" s="200"/>
      <c r="Q3160" s="134"/>
      <c r="R3160" s="189"/>
      <c r="S3160" s="74"/>
      <c r="T3160" s="54"/>
      <c r="U3160" s="128"/>
      <c r="V3160" s="74"/>
      <c r="W3160" s="74"/>
      <c r="X3160" s="74"/>
      <c r="Y3160" s="117"/>
      <c r="Z3160" s="74"/>
      <c r="AA3160" s="86"/>
      <c r="AB3160" s="831"/>
    </row>
    <row r="3161" spans="1:28" s="2219" customFormat="1" ht="18" customHeight="1" x14ac:dyDescent="0.2">
      <c r="A3161" s="1147"/>
      <c r="B3161" s="2265"/>
      <c r="C3161" s="2138"/>
      <c r="D3161" s="2138"/>
      <c r="E3161" s="2266"/>
      <c r="F3161" s="2138"/>
      <c r="G3161" s="2138"/>
      <c r="H3161" s="2267"/>
      <c r="I3161" s="1991"/>
      <c r="J3161" s="2268"/>
      <c r="K3161" s="1992"/>
      <c r="L3161" s="1989"/>
      <c r="M3161" s="2138"/>
      <c r="N3161" s="2138"/>
      <c r="O3161" s="2269"/>
      <c r="P3161" s="2139"/>
      <c r="Q3161" s="2270"/>
      <c r="R3161" s="2271"/>
      <c r="S3161" s="1991"/>
      <c r="T3161" s="2138"/>
      <c r="U3161" s="2272"/>
      <c r="V3161" s="1991"/>
      <c r="W3161" s="1991"/>
      <c r="X3161" s="1991"/>
      <c r="Y3161" s="2268"/>
      <c r="Z3161" s="1991"/>
      <c r="AA3161" s="2273"/>
      <c r="AB3161" s="2274">
        <f>SUM(AB3147:AB3160)</f>
        <v>2124</v>
      </c>
    </row>
    <row r="3162" spans="1:28" s="580" customFormat="1" ht="18" customHeight="1" x14ac:dyDescent="0.2">
      <c r="A3162" s="2792" t="s">
        <v>76</v>
      </c>
      <c r="B3162" s="2792"/>
      <c r="C3162" s="2773" t="s">
        <v>77</v>
      </c>
      <c r="D3162" s="2773"/>
      <c r="E3162" s="2773"/>
      <c r="F3162" s="2773"/>
      <c r="G3162" s="2773"/>
      <c r="H3162" s="2773"/>
      <c r="I3162" s="224" t="s">
        <v>78</v>
      </c>
      <c r="J3162" s="224"/>
      <c r="K3162" s="224"/>
      <c r="L3162" s="224"/>
      <c r="M3162" s="224"/>
      <c r="N3162" s="224"/>
      <c r="AB3162" s="225"/>
    </row>
    <row r="3163" spans="1:28" s="580" customFormat="1" ht="18" customHeight="1" x14ac:dyDescent="0.2">
      <c r="A3163" s="224"/>
      <c r="B3163" s="226"/>
      <c r="C3163" s="224"/>
      <c r="D3163" s="224"/>
      <c r="E3163" s="224"/>
      <c r="F3163" s="224"/>
      <c r="G3163" s="224"/>
      <c r="H3163" s="224"/>
      <c r="I3163" s="224" t="s">
        <v>79</v>
      </c>
      <c r="J3163" s="224"/>
      <c r="K3163" s="224"/>
      <c r="L3163" s="224"/>
      <c r="M3163" s="224"/>
      <c r="N3163" s="224"/>
      <c r="AB3163" s="225"/>
    </row>
    <row r="3164" spans="1:28" s="580" customFormat="1" ht="18" customHeight="1" x14ac:dyDescent="0.2">
      <c r="A3164" s="224"/>
      <c r="B3164" s="226"/>
      <c r="C3164" s="224"/>
      <c r="D3164" s="224"/>
      <c r="E3164" s="224"/>
      <c r="F3164" s="224"/>
      <c r="G3164" s="224"/>
      <c r="H3164" s="224"/>
      <c r="I3164" s="224" t="s">
        <v>80</v>
      </c>
      <c r="J3164" s="224"/>
      <c r="K3164" s="224"/>
      <c r="L3164" s="224"/>
      <c r="M3164" s="224"/>
      <c r="N3164" s="224"/>
      <c r="AB3164" s="225"/>
    </row>
    <row r="3165" spans="1:28" s="580" customFormat="1" ht="18" customHeight="1" x14ac:dyDescent="0.2">
      <c r="A3165" s="224"/>
      <c r="B3165" s="226"/>
      <c r="C3165" s="224"/>
      <c r="D3165" s="224"/>
      <c r="E3165" s="224"/>
      <c r="F3165" s="224"/>
      <c r="G3165" s="224"/>
      <c r="H3165" s="224"/>
      <c r="I3165" s="224" t="s">
        <v>81</v>
      </c>
      <c r="J3165" s="224"/>
      <c r="K3165" s="224"/>
      <c r="L3165" s="224"/>
      <c r="M3165" s="224"/>
      <c r="N3165" s="224"/>
      <c r="AB3165" s="225"/>
    </row>
    <row r="3166" spans="1:28" s="580" customFormat="1" ht="18" customHeight="1" x14ac:dyDescent="0.2">
      <c r="A3166" s="224"/>
      <c r="B3166" s="226"/>
      <c r="C3166" s="224"/>
      <c r="D3166" s="224"/>
      <c r="E3166" s="224"/>
      <c r="F3166" s="224"/>
      <c r="G3166" s="224"/>
      <c r="H3166" s="224"/>
      <c r="I3166" s="224" t="s">
        <v>88</v>
      </c>
      <c r="J3166" s="224"/>
      <c r="K3166" s="224"/>
      <c r="L3166" s="224"/>
      <c r="M3166" s="224"/>
      <c r="N3166" s="224"/>
      <c r="AB3166" s="225"/>
    </row>
    <row r="3167" spans="1:28" s="580" customFormat="1" ht="18" customHeight="1" x14ac:dyDescent="0.2">
      <c r="A3167" s="1"/>
      <c r="B3167" s="1"/>
      <c r="C3167" s="1"/>
      <c r="D3167" s="1"/>
      <c r="E3167" s="1"/>
      <c r="F3167" s="1"/>
      <c r="G3167" s="1"/>
      <c r="H3167" s="1"/>
      <c r="I3167" s="1"/>
      <c r="J3167" s="1"/>
      <c r="K3167" s="1"/>
      <c r="L3167" s="1"/>
      <c r="M3167" s="1"/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"/>
      <c r="Y3167" s="1"/>
      <c r="Z3167" s="1"/>
      <c r="AA3167" s="2776" t="s">
        <v>0</v>
      </c>
      <c r="AB3167" s="2776"/>
    </row>
    <row r="3168" spans="1:28" s="580" customFormat="1" ht="18" customHeight="1" x14ac:dyDescent="0.2">
      <c r="A3168" s="2707" t="s">
        <v>1</v>
      </c>
      <c r="B3168" s="2707"/>
      <c r="C3168" s="2707"/>
      <c r="D3168" s="2707"/>
      <c r="E3168" s="2707"/>
      <c r="F3168" s="2707"/>
      <c r="G3168" s="2707"/>
      <c r="H3168" s="2707"/>
      <c r="I3168" s="2707"/>
      <c r="J3168" s="2707"/>
      <c r="K3168" s="2707"/>
      <c r="L3168" s="2707"/>
      <c r="M3168" s="2707"/>
      <c r="N3168" s="2707"/>
      <c r="O3168" s="2707"/>
      <c r="P3168" s="2707"/>
      <c r="Q3168" s="2707"/>
      <c r="R3168" s="2707"/>
      <c r="S3168" s="2707"/>
      <c r="T3168" s="2707"/>
      <c r="U3168" s="2707"/>
      <c r="V3168" s="2707"/>
      <c r="W3168" s="2707"/>
      <c r="X3168" s="2707"/>
      <c r="Y3168" s="2707"/>
      <c r="Z3168" s="2707"/>
      <c r="AA3168" s="2707"/>
      <c r="AB3168" s="2707"/>
    </row>
    <row r="3169" spans="1:28" s="580" customFormat="1" ht="18" customHeight="1" x14ac:dyDescent="0.2">
      <c r="A3169" s="2783" t="s">
        <v>691</v>
      </c>
      <c r="B3169" s="2783"/>
      <c r="C3169" s="2783"/>
      <c r="D3169" s="2783"/>
      <c r="E3169" s="2783"/>
      <c r="F3169" s="2783"/>
      <c r="G3169" s="2783"/>
      <c r="H3169" s="2783"/>
      <c r="I3169" s="2783"/>
      <c r="J3169" s="2783"/>
      <c r="K3169" s="2783"/>
      <c r="L3169" s="2783"/>
      <c r="M3169" s="2783"/>
      <c r="N3169" s="2783"/>
      <c r="O3169" s="2783"/>
      <c r="P3169" s="2783"/>
      <c r="Q3169" s="2783"/>
      <c r="R3169" s="2783"/>
      <c r="S3169" s="2783"/>
      <c r="T3169" s="2783"/>
      <c r="U3169" s="2783"/>
      <c r="V3169" s="2783"/>
      <c r="W3169" s="2783"/>
      <c r="X3169" s="2783"/>
      <c r="Y3169" s="2783"/>
      <c r="Z3169" s="2783"/>
      <c r="AA3169" s="2783"/>
      <c r="AB3169" s="2783"/>
    </row>
    <row r="3170" spans="1:28" s="580" customFormat="1" ht="18" customHeight="1" x14ac:dyDescent="0.2">
      <c r="A3170" s="2709" t="s">
        <v>2</v>
      </c>
      <c r="B3170" s="160"/>
      <c r="C3170" s="2709" t="s">
        <v>3</v>
      </c>
      <c r="D3170" s="160"/>
      <c r="E3170" s="160"/>
      <c r="F3170" s="2712" t="s">
        <v>4</v>
      </c>
      <c r="G3170" s="2712"/>
      <c r="H3170" s="2712"/>
      <c r="I3170" s="2713"/>
      <c r="J3170" s="2713"/>
      <c r="K3170" s="2714"/>
      <c r="L3170" s="2"/>
      <c r="M3170" s="2715" t="s">
        <v>5</v>
      </c>
      <c r="N3170" s="2715"/>
      <c r="O3170" s="2715"/>
      <c r="P3170" s="2715"/>
      <c r="Q3170" s="2716"/>
      <c r="R3170" s="2716"/>
      <c r="S3170" s="2716"/>
      <c r="T3170" s="2716"/>
      <c r="U3170" s="2716"/>
      <c r="V3170" s="2717"/>
      <c r="W3170" s="161" t="s">
        <v>6</v>
      </c>
      <c r="X3170" s="162" t="s">
        <v>7</v>
      </c>
      <c r="Y3170" s="163"/>
      <c r="Z3170" s="163"/>
      <c r="AA3170" s="162"/>
      <c r="AB3170" s="206"/>
    </row>
    <row r="3171" spans="1:28" s="580" customFormat="1" ht="18" customHeight="1" x14ac:dyDescent="0.2">
      <c r="A3171" s="2710"/>
      <c r="B3171" s="4"/>
      <c r="C3171" s="2710"/>
      <c r="D3171" s="2154" t="s">
        <v>9</v>
      </c>
      <c r="E3171" s="207" t="s">
        <v>10</v>
      </c>
      <c r="F3171" s="2718" t="s">
        <v>11</v>
      </c>
      <c r="G3171" s="2713"/>
      <c r="H3171" s="2714"/>
      <c r="I3171" s="160"/>
      <c r="J3171" s="208" t="s">
        <v>12</v>
      </c>
      <c r="K3171" s="160"/>
      <c r="L3171" s="2715" t="s">
        <v>2</v>
      </c>
      <c r="M3171" s="141"/>
      <c r="N3171" s="141"/>
      <c r="O3171" s="141"/>
      <c r="P3171" s="164"/>
      <c r="Q3171" s="209" t="s">
        <v>13</v>
      </c>
      <c r="R3171" s="210" t="s">
        <v>12</v>
      </c>
      <c r="S3171" s="141" t="s">
        <v>6</v>
      </c>
      <c r="T3171" s="2724" t="s">
        <v>14</v>
      </c>
      <c r="U3171" s="2725"/>
      <c r="V3171" s="165" t="s">
        <v>7</v>
      </c>
      <c r="W3171" s="166" t="s">
        <v>15</v>
      </c>
      <c r="X3171" s="5" t="s">
        <v>16</v>
      </c>
      <c r="Y3171" s="5" t="s">
        <v>17</v>
      </c>
      <c r="Z3171" s="5" t="s">
        <v>18</v>
      </c>
      <c r="AA3171" s="5"/>
      <c r="AB3171" s="55" t="s">
        <v>19</v>
      </c>
    </row>
    <row r="3172" spans="1:28" s="580" customFormat="1" ht="18" customHeight="1" x14ac:dyDescent="0.2">
      <c r="A3172" s="2710"/>
      <c r="B3172" s="2154" t="s">
        <v>23</v>
      </c>
      <c r="C3172" s="2710"/>
      <c r="D3172" s="2154" t="s">
        <v>24</v>
      </c>
      <c r="E3172" s="207" t="s">
        <v>25</v>
      </c>
      <c r="F3172" s="2719"/>
      <c r="G3172" s="2720"/>
      <c r="H3172" s="2721"/>
      <c r="I3172" s="2154" t="s">
        <v>26</v>
      </c>
      <c r="J3172" s="211" t="s">
        <v>15</v>
      </c>
      <c r="K3172" s="2157" t="s">
        <v>6</v>
      </c>
      <c r="L3172" s="2722"/>
      <c r="M3172" s="142" t="s">
        <v>27</v>
      </c>
      <c r="N3172" s="142" t="s">
        <v>10</v>
      </c>
      <c r="O3172" s="212" t="s">
        <v>10</v>
      </c>
      <c r="P3172" s="213" t="s">
        <v>28</v>
      </c>
      <c r="Q3172" s="214" t="s">
        <v>29</v>
      </c>
      <c r="R3172" s="213" t="s">
        <v>15</v>
      </c>
      <c r="S3172" s="8" t="s">
        <v>15</v>
      </c>
      <c r="T3172" s="2726"/>
      <c r="U3172" s="2727"/>
      <c r="V3172" s="165" t="s">
        <v>30</v>
      </c>
      <c r="W3172" s="166" t="s">
        <v>31</v>
      </c>
      <c r="X3172" s="5" t="s">
        <v>30</v>
      </c>
      <c r="Y3172" s="5" t="s">
        <v>32</v>
      </c>
      <c r="Z3172" s="5" t="s">
        <v>7</v>
      </c>
      <c r="AA3172" s="5" t="s">
        <v>33</v>
      </c>
      <c r="AB3172" s="55" t="s">
        <v>34</v>
      </c>
    </row>
    <row r="3173" spans="1:28" s="580" customFormat="1" ht="18" customHeight="1" x14ac:dyDescent="0.2">
      <c r="A3173" s="2710"/>
      <c r="B3173" s="2154" t="s">
        <v>39</v>
      </c>
      <c r="C3173" s="2710"/>
      <c r="D3173" s="2154" t="s">
        <v>40</v>
      </c>
      <c r="E3173" s="207" t="s">
        <v>41</v>
      </c>
      <c r="F3173" s="2709" t="s">
        <v>42</v>
      </c>
      <c r="G3173" s="2709" t="s">
        <v>43</v>
      </c>
      <c r="H3173" s="2728" t="s">
        <v>44</v>
      </c>
      <c r="I3173" s="2154" t="s">
        <v>45</v>
      </c>
      <c r="J3173" s="211" t="s">
        <v>46</v>
      </c>
      <c r="K3173" s="2157" t="s">
        <v>47</v>
      </c>
      <c r="L3173" s="2722"/>
      <c r="M3173" s="142" t="s">
        <v>30</v>
      </c>
      <c r="N3173" s="142" t="s">
        <v>30</v>
      </c>
      <c r="O3173" s="212" t="s">
        <v>25</v>
      </c>
      <c r="P3173" s="213" t="s">
        <v>30</v>
      </c>
      <c r="Q3173" s="214" t="s">
        <v>48</v>
      </c>
      <c r="R3173" s="213" t="s">
        <v>49</v>
      </c>
      <c r="S3173" s="8" t="s">
        <v>30</v>
      </c>
      <c r="T3173" s="215" t="s">
        <v>50</v>
      </c>
      <c r="U3173" s="2156" t="s">
        <v>13</v>
      </c>
      <c r="V3173" s="165" t="s">
        <v>51</v>
      </c>
      <c r="W3173" s="166" t="s">
        <v>52</v>
      </c>
      <c r="X3173" s="5" t="s">
        <v>53</v>
      </c>
      <c r="Y3173" s="5" t="s">
        <v>54</v>
      </c>
      <c r="Z3173" s="5" t="s">
        <v>55</v>
      </c>
      <c r="AA3173" s="5" t="s">
        <v>56</v>
      </c>
      <c r="AB3173" s="55" t="s">
        <v>57</v>
      </c>
    </row>
    <row r="3174" spans="1:28" s="580" customFormat="1" ht="18" customHeight="1" x14ac:dyDescent="0.2">
      <c r="A3174" s="2710"/>
      <c r="B3174" s="2154" t="s">
        <v>61</v>
      </c>
      <c r="C3174" s="2710"/>
      <c r="D3174" s="2154" t="s">
        <v>62</v>
      </c>
      <c r="E3174" s="207" t="s">
        <v>63</v>
      </c>
      <c r="F3174" s="2710"/>
      <c r="G3174" s="2710"/>
      <c r="H3174" s="2729"/>
      <c r="I3174" s="2154" t="s">
        <v>64</v>
      </c>
      <c r="J3174" s="211" t="s">
        <v>59</v>
      </c>
      <c r="K3174" s="2157" t="s">
        <v>59</v>
      </c>
      <c r="L3174" s="2722"/>
      <c r="M3174" s="142"/>
      <c r="N3174" s="142"/>
      <c r="O3174" s="212" t="s">
        <v>41</v>
      </c>
      <c r="P3174" s="213" t="s">
        <v>65</v>
      </c>
      <c r="Q3174" s="214" t="s">
        <v>66</v>
      </c>
      <c r="R3174" s="213" t="s">
        <v>67</v>
      </c>
      <c r="S3174" s="8" t="s">
        <v>59</v>
      </c>
      <c r="T3174" s="216" t="s">
        <v>68</v>
      </c>
      <c r="U3174" s="165" t="s">
        <v>14</v>
      </c>
      <c r="V3174" s="165" t="s">
        <v>14</v>
      </c>
      <c r="W3174" s="166" t="s">
        <v>30</v>
      </c>
      <c r="X3174" s="167" t="s">
        <v>69</v>
      </c>
      <c r="Y3174" s="167" t="s">
        <v>70</v>
      </c>
      <c r="Z3174" s="5" t="s">
        <v>71</v>
      </c>
      <c r="AA3174" s="5" t="s">
        <v>72</v>
      </c>
      <c r="AB3174" s="55" t="s">
        <v>59</v>
      </c>
    </row>
    <row r="3175" spans="1:28" s="580" customFormat="1" ht="18" customHeight="1" x14ac:dyDescent="0.2">
      <c r="A3175" s="2711"/>
      <c r="B3175" s="9"/>
      <c r="C3175" s="2711"/>
      <c r="D3175" s="9"/>
      <c r="E3175" s="2155"/>
      <c r="F3175" s="9"/>
      <c r="G3175" s="9"/>
      <c r="H3175" s="10"/>
      <c r="I3175" s="2155"/>
      <c r="J3175" s="217"/>
      <c r="K3175" s="168"/>
      <c r="L3175" s="2723"/>
      <c r="M3175" s="143"/>
      <c r="N3175" s="143"/>
      <c r="O3175" s="143" t="s">
        <v>63</v>
      </c>
      <c r="P3175" s="218"/>
      <c r="Q3175" s="219" t="s">
        <v>72</v>
      </c>
      <c r="R3175" s="220" t="s">
        <v>59</v>
      </c>
      <c r="S3175" s="169"/>
      <c r="T3175" s="220" t="s">
        <v>73</v>
      </c>
      <c r="U3175" s="169" t="s">
        <v>59</v>
      </c>
      <c r="V3175" s="170" t="s">
        <v>59</v>
      </c>
      <c r="W3175" s="171" t="s">
        <v>59</v>
      </c>
      <c r="X3175" s="172" t="s">
        <v>59</v>
      </c>
      <c r="Y3175" s="172" t="s">
        <v>59</v>
      </c>
      <c r="Z3175" s="172" t="s">
        <v>59</v>
      </c>
      <c r="AA3175" s="11"/>
      <c r="AB3175" s="56"/>
    </row>
    <row r="3176" spans="1:28" s="580" customFormat="1" ht="18" customHeight="1" x14ac:dyDescent="0.2">
      <c r="A3176" s="82">
        <v>1</v>
      </c>
      <c r="B3176" s="99">
        <v>28975</v>
      </c>
      <c r="C3176" s="51">
        <v>797</v>
      </c>
      <c r="D3176" s="51" t="s">
        <v>84</v>
      </c>
      <c r="E3176" s="69">
        <v>4</v>
      </c>
      <c r="F3176" s="51">
        <v>0</v>
      </c>
      <c r="G3176" s="51">
        <v>0</v>
      </c>
      <c r="H3176" s="823">
        <v>63</v>
      </c>
      <c r="I3176" s="70">
        <f>F3176*400+G3176*100+H3176</f>
        <v>63</v>
      </c>
      <c r="J3176" s="71">
        <v>1000</v>
      </c>
      <c r="K3176" s="123">
        <f>SUM(I3176*J3176)</f>
        <v>63000</v>
      </c>
      <c r="L3176" s="1283"/>
      <c r="M3176" s="1283"/>
      <c r="N3176" s="1283"/>
      <c r="O3176" s="1283"/>
      <c r="P3176" s="1284"/>
      <c r="Q3176" s="1284"/>
      <c r="R3176" s="1285"/>
      <c r="S3176" s="1285"/>
      <c r="T3176" s="1284"/>
      <c r="U3176" s="1285"/>
      <c r="V3176" s="1286"/>
      <c r="W3176" s="70">
        <f>K3176</f>
        <v>63000</v>
      </c>
      <c r="X3176" s="123">
        <f>W3176</f>
        <v>63000</v>
      </c>
      <c r="Y3176" s="71"/>
      <c r="Z3176" s="70">
        <f>+X3176</f>
        <v>63000</v>
      </c>
      <c r="AA3176" s="84">
        <v>0.3</v>
      </c>
      <c r="AB3176" s="1306">
        <f>+Z3176*AA3176/100</f>
        <v>189</v>
      </c>
    </row>
    <row r="3177" spans="1:28" s="580" customFormat="1" ht="18" customHeight="1" x14ac:dyDescent="0.2">
      <c r="A3177" s="231">
        <v>2</v>
      </c>
      <c r="B3177" s="81">
        <v>69725</v>
      </c>
      <c r="C3177" s="54">
        <v>2028</v>
      </c>
      <c r="D3177" s="54" t="s">
        <v>84</v>
      </c>
      <c r="E3177" s="115">
        <v>4</v>
      </c>
      <c r="F3177" s="54">
        <v>0</v>
      </c>
      <c r="G3177" s="54">
        <v>0</v>
      </c>
      <c r="H3177" s="158">
        <v>50</v>
      </c>
      <c r="I3177" s="74">
        <f t="shared" ref="I3177:I3178" si="151">F3177*400+G3177*100+H3177</f>
        <v>50</v>
      </c>
      <c r="J3177" s="117">
        <v>1000</v>
      </c>
      <c r="K3177" s="121">
        <f t="shared" ref="K3177:K3178" si="152">SUM(I3177*J3177)</f>
        <v>50000</v>
      </c>
      <c r="L3177" s="1287"/>
      <c r="M3177" s="1287"/>
      <c r="N3177" s="1287"/>
      <c r="O3177" s="1287"/>
      <c r="P3177" s="1288"/>
      <c r="Q3177" s="1288"/>
      <c r="R3177" s="1289"/>
      <c r="S3177" s="1289"/>
      <c r="T3177" s="1288"/>
      <c r="U3177" s="1289"/>
      <c r="V3177" s="1290"/>
      <c r="W3177" s="74">
        <f t="shared" ref="W3177:W3178" si="153">K3177</f>
        <v>50000</v>
      </c>
      <c r="X3177" s="121">
        <f t="shared" ref="X3177:X3178" si="154">W3177</f>
        <v>50000</v>
      </c>
      <c r="Y3177" s="117"/>
      <c r="Z3177" s="74">
        <f t="shared" ref="Z3177:Z3178" si="155">+X3177</f>
        <v>50000</v>
      </c>
      <c r="AA3177" s="86">
        <v>0.3</v>
      </c>
      <c r="AB3177" s="831">
        <f t="shared" ref="AB3177:AB3178" si="156">+Z3177*AA3177/100</f>
        <v>150</v>
      </c>
    </row>
    <row r="3178" spans="1:28" s="580" customFormat="1" ht="18" customHeight="1" x14ac:dyDescent="0.2">
      <c r="A3178" s="88">
        <v>3</v>
      </c>
      <c r="B3178" s="100">
        <v>69726</v>
      </c>
      <c r="C3178" s="105">
        <v>2029</v>
      </c>
      <c r="D3178" s="105" t="s">
        <v>84</v>
      </c>
      <c r="E3178" s="146">
        <v>4</v>
      </c>
      <c r="F3178" s="105">
        <v>0</v>
      </c>
      <c r="G3178" s="105">
        <v>0</v>
      </c>
      <c r="H3178" s="126">
        <v>50</v>
      </c>
      <c r="I3178" s="77">
        <f t="shared" si="151"/>
        <v>50</v>
      </c>
      <c r="J3178" s="108">
        <v>1000</v>
      </c>
      <c r="K3178" s="2168">
        <f t="shared" si="152"/>
        <v>50000</v>
      </c>
      <c r="L3178" s="1307"/>
      <c r="M3178" s="1307"/>
      <c r="N3178" s="1307"/>
      <c r="O3178" s="1307"/>
      <c r="P3178" s="1308"/>
      <c r="Q3178" s="1308"/>
      <c r="R3178" s="1309"/>
      <c r="S3178" s="1309"/>
      <c r="T3178" s="1308"/>
      <c r="U3178" s="1309"/>
      <c r="V3178" s="1310"/>
      <c r="W3178" s="77">
        <f t="shared" si="153"/>
        <v>50000</v>
      </c>
      <c r="X3178" s="2168">
        <f t="shared" si="154"/>
        <v>50000</v>
      </c>
      <c r="Y3178" s="108"/>
      <c r="Z3178" s="77">
        <f t="shared" si="155"/>
        <v>50000</v>
      </c>
      <c r="AA3178" s="149">
        <v>0.3</v>
      </c>
      <c r="AB3178" s="832">
        <f t="shared" si="156"/>
        <v>150</v>
      </c>
    </row>
    <row r="3179" spans="1:28" s="580" customFormat="1" ht="18" customHeight="1" x14ac:dyDescent="0.2">
      <c r="A3179" s="2166"/>
      <c r="B3179" s="100"/>
      <c r="C3179" s="105"/>
      <c r="D3179" s="105"/>
      <c r="E3179" s="146"/>
      <c r="F3179" s="105"/>
      <c r="G3179" s="105"/>
      <c r="H3179" s="126"/>
      <c r="I3179" s="77"/>
      <c r="J3179" s="108"/>
      <c r="K3179" s="2168"/>
      <c r="L3179" s="1307"/>
      <c r="M3179" s="1307"/>
      <c r="N3179" s="1307"/>
      <c r="O3179" s="1307"/>
      <c r="P3179" s="1308"/>
      <c r="Q3179" s="1308"/>
      <c r="R3179" s="1309"/>
      <c r="S3179" s="1309"/>
      <c r="T3179" s="1308"/>
      <c r="U3179" s="1309"/>
      <c r="V3179" s="1310"/>
      <c r="W3179" s="77"/>
      <c r="X3179" s="2168"/>
      <c r="Y3179" s="108"/>
      <c r="Z3179" s="77"/>
      <c r="AA3179" s="149"/>
      <c r="AB3179" s="831"/>
    </row>
    <row r="3180" spans="1:28" s="580" customFormat="1" ht="18" customHeight="1" x14ac:dyDescent="0.2">
      <c r="A3180" s="2166"/>
      <c r="B3180" s="100"/>
      <c r="C3180" s="105"/>
      <c r="D3180" s="105"/>
      <c r="E3180" s="146"/>
      <c r="F3180" s="105"/>
      <c r="G3180" s="105"/>
      <c r="H3180" s="126"/>
      <c r="I3180" s="77"/>
      <c r="J3180" s="108"/>
      <c r="K3180" s="78"/>
      <c r="L3180" s="61"/>
      <c r="M3180" s="105"/>
      <c r="N3180" s="105"/>
      <c r="O3180" s="113"/>
      <c r="P3180" s="131"/>
      <c r="Q3180" s="132"/>
      <c r="R3180" s="133"/>
      <c r="S3180" s="77"/>
      <c r="T3180" s="105"/>
      <c r="U3180" s="127"/>
      <c r="V3180" s="77"/>
      <c r="W3180" s="77"/>
      <c r="X3180" s="77"/>
      <c r="Y3180" s="108"/>
      <c r="Z3180" s="77"/>
      <c r="AA3180" s="149"/>
      <c r="AB3180" s="831"/>
    </row>
    <row r="3181" spans="1:28" s="580" customFormat="1" ht="18" customHeight="1" x14ac:dyDescent="0.2">
      <c r="A3181" s="2166"/>
      <c r="B3181" s="100"/>
      <c r="C3181" s="105"/>
      <c r="D3181" s="105"/>
      <c r="E3181" s="146"/>
      <c r="F3181" s="105"/>
      <c r="G3181" s="105"/>
      <c r="H3181" s="126"/>
      <c r="I3181" s="77"/>
      <c r="J3181" s="108"/>
      <c r="K3181" s="78"/>
      <c r="L3181" s="61"/>
      <c r="M3181" s="105"/>
      <c r="N3181" s="105"/>
      <c r="O3181" s="113"/>
      <c r="P3181" s="131"/>
      <c r="Q3181" s="132"/>
      <c r="R3181" s="133"/>
      <c r="S3181" s="77"/>
      <c r="T3181" s="105"/>
      <c r="U3181" s="127"/>
      <c r="V3181" s="77"/>
      <c r="W3181" s="77"/>
      <c r="X3181" s="77"/>
      <c r="Y3181" s="108"/>
      <c r="Z3181" s="77"/>
      <c r="AA3181" s="149"/>
      <c r="AB3181" s="831"/>
    </row>
    <row r="3182" spans="1:28" s="580" customFormat="1" ht="18" customHeight="1" x14ac:dyDescent="0.2">
      <c r="A3182" s="2166"/>
      <c r="B3182" s="100"/>
      <c r="C3182" s="105"/>
      <c r="D3182" s="105"/>
      <c r="E3182" s="146"/>
      <c r="F3182" s="105"/>
      <c r="G3182" s="105"/>
      <c r="H3182" s="126"/>
      <c r="I3182" s="77"/>
      <c r="J3182" s="108"/>
      <c r="K3182" s="78"/>
      <c r="L3182" s="61"/>
      <c r="M3182" s="105"/>
      <c r="N3182" s="105"/>
      <c r="O3182" s="113"/>
      <c r="P3182" s="131"/>
      <c r="Q3182" s="132"/>
      <c r="R3182" s="133"/>
      <c r="S3182" s="77"/>
      <c r="T3182" s="105"/>
      <c r="U3182" s="127"/>
      <c r="V3182" s="77"/>
      <c r="W3182" s="77"/>
      <c r="X3182" s="77"/>
      <c r="Y3182" s="108"/>
      <c r="Z3182" s="77"/>
      <c r="AA3182" s="149"/>
      <c r="AB3182" s="831"/>
    </row>
    <row r="3183" spans="1:28" s="580" customFormat="1" ht="18" customHeight="1" x14ac:dyDescent="0.2">
      <c r="A3183" s="2166"/>
      <c r="B3183" s="100"/>
      <c r="C3183" s="105"/>
      <c r="D3183" s="105"/>
      <c r="E3183" s="146"/>
      <c r="F3183" s="1311"/>
      <c r="G3183" s="100"/>
      <c r="H3183" s="126"/>
      <c r="I3183" s="78"/>
      <c r="J3183" s="108"/>
      <c r="K3183" s="78"/>
      <c r="L3183" s="61"/>
      <c r="M3183" s="105"/>
      <c r="N3183" s="105"/>
      <c r="O3183" s="113"/>
      <c r="P3183" s="131"/>
      <c r="Q3183" s="132"/>
      <c r="R3183" s="133"/>
      <c r="S3183" s="77"/>
      <c r="T3183" s="105"/>
      <c r="U3183" s="127"/>
      <c r="V3183" s="77"/>
      <c r="W3183" s="77"/>
      <c r="X3183" s="77"/>
      <c r="Y3183" s="108"/>
      <c r="Z3183" s="77"/>
      <c r="AA3183" s="149"/>
      <c r="AB3183" s="1291"/>
    </row>
    <row r="3184" spans="1:28" s="580" customFormat="1" ht="18" customHeight="1" x14ac:dyDescent="0.2">
      <c r="A3184" s="2166"/>
      <c r="B3184" s="100"/>
      <c r="C3184" s="105"/>
      <c r="D3184" s="105"/>
      <c r="E3184" s="146"/>
      <c r="F3184" s="1311"/>
      <c r="G3184" s="100"/>
      <c r="H3184" s="126"/>
      <c r="I3184" s="78"/>
      <c r="J3184" s="108"/>
      <c r="K3184" s="78"/>
      <c r="L3184" s="61"/>
      <c r="M3184" s="105"/>
      <c r="N3184" s="105"/>
      <c r="O3184" s="113"/>
      <c r="P3184" s="131"/>
      <c r="Q3184" s="132"/>
      <c r="R3184" s="133"/>
      <c r="S3184" s="77"/>
      <c r="T3184" s="105"/>
      <c r="U3184" s="127"/>
      <c r="V3184" s="77"/>
      <c r="W3184" s="77"/>
      <c r="X3184" s="77"/>
      <c r="Y3184" s="108"/>
      <c r="Z3184" s="77"/>
      <c r="AA3184" s="149"/>
      <c r="AB3184" s="1291"/>
    </row>
    <row r="3185" spans="1:28" s="580" customFormat="1" ht="18" customHeight="1" x14ac:dyDescent="0.2">
      <c r="A3185" s="54"/>
      <c r="B3185" s="81"/>
      <c r="C3185" s="54"/>
      <c r="D3185" s="54"/>
      <c r="E3185" s="146"/>
      <c r="F3185" s="1293"/>
      <c r="G3185" s="52"/>
      <c r="H3185" s="1294"/>
      <c r="I3185" s="159"/>
      <c r="J3185" s="117"/>
      <c r="K3185" s="159"/>
      <c r="L3185" s="75"/>
      <c r="M3185" s="54"/>
      <c r="N3185" s="54"/>
      <c r="O3185" s="119"/>
      <c r="P3185" s="200"/>
      <c r="Q3185" s="134"/>
      <c r="R3185" s="189"/>
      <c r="S3185" s="74"/>
      <c r="T3185" s="54"/>
      <c r="U3185" s="128"/>
      <c r="V3185" s="74"/>
      <c r="W3185" s="74"/>
      <c r="X3185" s="74"/>
      <c r="Y3185" s="117"/>
      <c r="Z3185" s="74"/>
      <c r="AA3185" s="86"/>
      <c r="AB3185" s="1291"/>
    </row>
    <row r="3186" spans="1:28" s="580" customFormat="1" ht="18" customHeight="1" x14ac:dyDescent="0.2">
      <c r="A3186" s="54"/>
      <c r="B3186" s="81"/>
      <c r="C3186" s="54"/>
      <c r="D3186" s="1295"/>
      <c r="E3186" s="146"/>
      <c r="F3186" s="1293"/>
      <c r="G3186" s="52"/>
      <c r="H3186" s="1294"/>
      <c r="I3186" s="159"/>
      <c r="J3186" s="117"/>
      <c r="K3186" s="159"/>
      <c r="L3186" s="75"/>
      <c r="M3186" s="54"/>
      <c r="N3186" s="54"/>
      <c r="O3186" s="119"/>
      <c r="P3186" s="200"/>
      <c r="Q3186" s="134"/>
      <c r="R3186" s="189"/>
      <c r="S3186" s="74"/>
      <c r="T3186" s="54"/>
      <c r="U3186" s="128"/>
      <c r="V3186" s="74"/>
      <c r="W3186" s="74"/>
      <c r="X3186" s="74"/>
      <c r="Y3186" s="117"/>
      <c r="Z3186" s="74"/>
      <c r="AA3186" s="91"/>
      <c r="AB3186" s="831"/>
    </row>
    <row r="3187" spans="1:28" s="580" customFormat="1" ht="18" customHeight="1" x14ac:dyDescent="0.2">
      <c r="A3187" s="54"/>
      <c r="B3187" s="81"/>
      <c r="C3187" s="54"/>
      <c r="D3187" s="1296"/>
      <c r="E3187" s="146"/>
      <c r="F3187" s="1293"/>
      <c r="G3187" s="52"/>
      <c r="H3187" s="1294"/>
      <c r="I3187" s="159"/>
      <c r="J3187" s="117"/>
      <c r="K3187" s="159"/>
      <c r="L3187" s="75"/>
      <c r="M3187" s="54"/>
      <c r="N3187" s="54"/>
      <c r="O3187" s="119"/>
      <c r="P3187" s="200"/>
      <c r="Q3187" s="134"/>
      <c r="R3187" s="189"/>
      <c r="S3187" s="74"/>
      <c r="T3187" s="54"/>
      <c r="U3187" s="128"/>
      <c r="V3187" s="74"/>
      <c r="W3187" s="74"/>
      <c r="X3187" s="74"/>
      <c r="Y3187" s="117"/>
      <c r="Z3187" s="74"/>
      <c r="AA3187" s="91"/>
      <c r="AB3187" s="831"/>
    </row>
    <row r="3188" spans="1:28" s="580" customFormat="1" ht="18" customHeight="1" x14ac:dyDescent="0.2">
      <c r="A3188" s="54"/>
      <c r="B3188" s="81"/>
      <c r="C3188" s="54"/>
      <c r="D3188" s="1296"/>
      <c r="E3188" s="146"/>
      <c r="F3188" s="1293"/>
      <c r="G3188" s="52"/>
      <c r="H3188" s="1294"/>
      <c r="I3188" s="159"/>
      <c r="J3188" s="117"/>
      <c r="K3188" s="159"/>
      <c r="L3188" s="75"/>
      <c r="M3188" s="54"/>
      <c r="N3188" s="54"/>
      <c r="O3188" s="119"/>
      <c r="P3188" s="200"/>
      <c r="Q3188" s="134"/>
      <c r="R3188" s="189"/>
      <c r="S3188" s="74"/>
      <c r="T3188" s="54"/>
      <c r="U3188" s="128"/>
      <c r="V3188" s="74"/>
      <c r="W3188" s="74"/>
      <c r="X3188" s="74"/>
      <c r="Y3188" s="117"/>
      <c r="Z3188" s="74"/>
      <c r="AA3188" s="86"/>
      <c r="AB3188" s="1292"/>
    </row>
    <row r="3189" spans="1:28" s="580" customFormat="1" ht="18" customHeight="1" x14ac:dyDescent="0.2">
      <c r="A3189" s="54"/>
      <c r="B3189" s="960"/>
      <c r="C3189" s="54"/>
      <c r="D3189" s="54"/>
      <c r="E3189" s="115"/>
      <c r="F3189" s="1293"/>
      <c r="G3189" s="52"/>
      <c r="H3189" s="1294"/>
      <c r="I3189" s="159"/>
      <c r="J3189" s="117"/>
      <c r="K3189" s="159"/>
      <c r="L3189" s="75"/>
      <c r="M3189" s="54"/>
      <c r="N3189" s="54"/>
      <c r="O3189" s="119"/>
      <c r="P3189" s="200"/>
      <c r="Q3189" s="134"/>
      <c r="R3189" s="189"/>
      <c r="S3189" s="74"/>
      <c r="T3189" s="54"/>
      <c r="U3189" s="128"/>
      <c r="V3189" s="74"/>
      <c r="W3189" s="74"/>
      <c r="X3189" s="74"/>
      <c r="Y3189" s="117"/>
      <c r="Z3189" s="74"/>
      <c r="AA3189" s="86"/>
      <c r="AB3189" s="831"/>
    </row>
    <row r="3190" spans="1:28" s="580" customFormat="1" ht="18" customHeight="1" x14ac:dyDescent="0.2">
      <c r="A3190" s="1312" t="s">
        <v>308</v>
      </c>
      <c r="B3190" s="1313"/>
      <c r="C3190" s="1313"/>
      <c r="D3190" s="1313"/>
      <c r="E3190" s="1313"/>
      <c r="F3190" s="1313"/>
      <c r="G3190" s="1313"/>
      <c r="H3190" s="1313"/>
      <c r="I3190" s="1313"/>
      <c r="J3190" s="1313"/>
      <c r="K3190" s="1313"/>
      <c r="L3190" s="1313"/>
      <c r="M3190" s="1313"/>
      <c r="N3190" s="1313"/>
      <c r="O3190" s="1313"/>
      <c r="P3190" s="1313"/>
      <c r="Q3190" s="1313"/>
      <c r="R3190" s="1313"/>
      <c r="S3190" s="1313"/>
      <c r="T3190" s="1313"/>
      <c r="U3190" s="1313"/>
      <c r="V3190" s="1313"/>
      <c r="W3190" s="1313"/>
      <c r="X3190" s="1313"/>
      <c r="Y3190" s="1313"/>
      <c r="Z3190" s="1314"/>
      <c r="AA3190" s="203"/>
      <c r="AB3190" s="1297">
        <f>SUM(AB3176:AB3189)</f>
        <v>489</v>
      </c>
    </row>
    <row r="3191" spans="1:28" s="580" customFormat="1" ht="18" customHeight="1" x14ac:dyDescent="0.2">
      <c r="A3191" s="2792" t="s">
        <v>76</v>
      </c>
      <c r="B3191" s="2792"/>
      <c r="C3191" s="2773" t="s">
        <v>77</v>
      </c>
      <c r="D3191" s="2773"/>
      <c r="E3191" s="2773"/>
      <c r="F3191" s="2773"/>
      <c r="G3191" s="2773"/>
      <c r="H3191" s="2773"/>
      <c r="I3191" s="224" t="s">
        <v>78</v>
      </c>
      <c r="J3191" s="224"/>
      <c r="K3191" s="224"/>
      <c r="L3191" s="224"/>
      <c r="M3191" s="224"/>
      <c r="N3191" s="224"/>
      <c r="AB3191" s="225"/>
    </row>
    <row r="3192" spans="1:28" s="580" customFormat="1" ht="18" customHeight="1" x14ac:dyDescent="0.2">
      <c r="A3192" s="224"/>
      <c r="B3192" s="226"/>
      <c r="C3192" s="224"/>
      <c r="D3192" s="224"/>
      <c r="E3192" s="224"/>
      <c r="F3192" s="224"/>
      <c r="G3192" s="224"/>
      <c r="H3192" s="224"/>
      <c r="I3192" s="224" t="s">
        <v>79</v>
      </c>
      <c r="J3192" s="224"/>
      <c r="K3192" s="224"/>
      <c r="L3192" s="224"/>
      <c r="M3192" s="224"/>
      <c r="N3192" s="224"/>
      <c r="AB3192" s="225"/>
    </row>
    <row r="3193" spans="1:28" s="580" customFormat="1" ht="18" customHeight="1" x14ac:dyDescent="0.2">
      <c r="A3193" s="224"/>
      <c r="B3193" s="226"/>
      <c r="C3193" s="224"/>
      <c r="D3193" s="224"/>
      <c r="E3193" s="224"/>
      <c r="F3193" s="224"/>
      <c r="G3193" s="224"/>
      <c r="H3193" s="224"/>
      <c r="I3193" s="224" t="s">
        <v>80</v>
      </c>
      <c r="J3193" s="224"/>
      <c r="K3193" s="224"/>
      <c r="L3193" s="224"/>
      <c r="M3193" s="224"/>
      <c r="N3193" s="224"/>
      <c r="AB3193" s="225"/>
    </row>
    <row r="3194" spans="1:28" s="580" customFormat="1" ht="18" customHeight="1" x14ac:dyDescent="0.2">
      <c r="A3194" s="224"/>
      <c r="B3194" s="226"/>
      <c r="C3194" s="224"/>
      <c r="D3194" s="224"/>
      <c r="E3194" s="224"/>
      <c r="F3194" s="224"/>
      <c r="G3194" s="224"/>
      <c r="H3194" s="224"/>
      <c r="I3194" s="224" t="s">
        <v>81</v>
      </c>
      <c r="J3194" s="224"/>
      <c r="K3194" s="224"/>
      <c r="L3194" s="224"/>
      <c r="M3194" s="224"/>
      <c r="N3194" s="224"/>
      <c r="AB3194" s="225"/>
    </row>
    <row r="3195" spans="1:28" s="580" customFormat="1" ht="18" customHeight="1" x14ac:dyDescent="0.2">
      <c r="A3195" s="224"/>
      <c r="B3195" s="226"/>
      <c r="C3195" s="224"/>
      <c r="D3195" s="224"/>
      <c r="E3195" s="224"/>
      <c r="F3195" s="224"/>
      <c r="G3195" s="224"/>
      <c r="H3195" s="224"/>
      <c r="I3195" s="224" t="s">
        <v>88</v>
      </c>
      <c r="J3195" s="224"/>
      <c r="K3195" s="224"/>
      <c r="L3195" s="224"/>
      <c r="M3195" s="224"/>
      <c r="N3195" s="224"/>
      <c r="AB3195" s="225"/>
    </row>
    <row r="3196" spans="1:28" s="580" customFormat="1" ht="18" customHeight="1" x14ac:dyDescent="0.2">
      <c r="A3196" s="1"/>
      <c r="B3196" s="1"/>
      <c r="C3196" s="1"/>
      <c r="D3196" s="1"/>
      <c r="E3196" s="1"/>
      <c r="F3196" s="1"/>
      <c r="G3196" s="1"/>
      <c r="H3196" s="1"/>
      <c r="I3196" s="1"/>
      <c r="J3196" s="1"/>
      <c r="K3196" s="1"/>
      <c r="L3196" s="1"/>
      <c r="M3196" s="1"/>
      <c r="N3196" s="1"/>
      <c r="O3196" s="1"/>
      <c r="P3196" s="1"/>
      <c r="Q3196" s="1"/>
      <c r="R3196" s="1"/>
      <c r="S3196" s="1"/>
      <c r="T3196" s="1"/>
      <c r="U3196" s="1"/>
      <c r="V3196" s="1"/>
      <c r="W3196" s="1"/>
      <c r="X3196" s="1"/>
      <c r="Y3196" s="1"/>
      <c r="Z3196" s="1"/>
      <c r="AA3196" s="2776" t="s">
        <v>0</v>
      </c>
      <c r="AB3196" s="2776"/>
    </row>
    <row r="3197" spans="1:28" s="580" customFormat="1" ht="18" customHeight="1" x14ac:dyDescent="0.2">
      <c r="A3197" s="2707" t="s">
        <v>1</v>
      </c>
      <c r="B3197" s="2707"/>
      <c r="C3197" s="2707"/>
      <c r="D3197" s="2707"/>
      <c r="E3197" s="2707"/>
      <c r="F3197" s="2707"/>
      <c r="G3197" s="2707"/>
      <c r="H3197" s="2707"/>
      <c r="I3197" s="2707"/>
      <c r="J3197" s="2707"/>
      <c r="K3197" s="2707"/>
      <c r="L3197" s="2707"/>
      <c r="M3197" s="2707"/>
      <c r="N3197" s="2707"/>
      <c r="O3197" s="2707"/>
      <c r="P3197" s="2707"/>
      <c r="Q3197" s="2707"/>
      <c r="R3197" s="2707"/>
      <c r="S3197" s="2707"/>
      <c r="T3197" s="2707"/>
      <c r="U3197" s="2707"/>
      <c r="V3197" s="2707"/>
      <c r="W3197" s="2707"/>
      <c r="X3197" s="2707"/>
      <c r="Y3197" s="2707"/>
      <c r="Z3197" s="2707"/>
      <c r="AA3197" s="2707"/>
      <c r="AB3197" s="2707"/>
    </row>
    <row r="3198" spans="1:28" s="580" customFormat="1" ht="18" customHeight="1" x14ac:dyDescent="0.2">
      <c r="A3198" s="2783" t="s">
        <v>692</v>
      </c>
      <c r="B3198" s="2783"/>
      <c r="C3198" s="2783"/>
      <c r="D3198" s="2783"/>
      <c r="E3198" s="2783"/>
      <c r="F3198" s="2783"/>
      <c r="G3198" s="2783"/>
      <c r="H3198" s="2783"/>
      <c r="I3198" s="2783"/>
      <c r="J3198" s="2783"/>
      <c r="K3198" s="2783"/>
      <c r="L3198" s="2783"/>
      <c r="M3198" s="2783"/>
      <c r="N3198" s="2783"/>
      <c r="O3198" s="2783"/>
      <c r="P3198" s="2783"/>
      <c r="Q3198" s="2783"/>
      <c r="R3198" s="2783"/>
      <c r="S3198" s="2783"/>
      <c r="T3198" s="2783"/>
      <c r="U3198" s="2783"/>
      <c r="V3198" s="2783"/>
      <c r="W3198" s="2783"/>
      <c r="X3198" s="2783"/>
      <c r="Y3198" s="2783"/>
      <c r="Z3198" s="2783"/>
      <c r="AA3198" s="2783"/>
      <c r="AB3198" s="2783"/>
    </row>
    <row r="3199" spans="1:28" s="580" customFormat="1" ht="18" customHeight="1" x14ac:dyDescent="0.2">
      <c r="A3199" s="2709" t="s">
        <v>2</v>
      </c>
      <c r="B3199" s="160"/>
      <c r="C3199" s="2709" t="s">
        <v>3</v>
      </c>
      <c r="D3199" s="160"/>
      <c r="E3199" s="160"/>
      <c r="F3199" s="2712" t="s">
        <v>4</v>
      </c>
      <c r="G3199" s="2712"/>
      <c r="H3199" s="2712"/>
      <c r="I3199" s="2713"/>
      <c r="J3199" s="2713"/>
      <c r="K3199" s="2714"/>
      <c r="L3199" s="2"/>
      <c r="M3199" s="2715" t="s">
        <v>5</v>
      </c>
      <c r="N3199" s="2715"/>
      <c r="O3199" s="2715"/>
      <c r="P3199" s="2715"/>
      <c r="Q3199" s="2716"/>
      <c r="R3199" s="2716"/>
      <c r="S3199" s="2716"/>
      <c r="T3199" s="2716"/>
      <c r="U3199" s="2716"/>
      <c r="V3199" s="2717"/>
      <c r="W3199" s="161" t="s">
        <v>6</v>
      </c>
      <c r="X3199" s="162" t="s">
        <v>7</v>
      </c>
      <c r="Y3199" s="163"/>
      <c r="Z3199" s="163"/>
      <c r="AA3199" s="162"/>
      <c r="AB3199" s="206"/>
    </row>
    <row r="3200" spans="1:28" s="580" customFormat="1" ht="18" customHeight="1" x14ac:dyDescent="0.2">
      <c r="A3200" s="2710"/>
      <c r="B3200" s="4"/>
      <c r="C3200" s="2710"/>
      <c r="D3200" s="2154" t="s">
        <v>9</v>
      </c>
      <c r="E3200" s="207" t="s">
        <v>10</v>
      </c>
      <c r="F3200" s="2718" t="s">
        <v>11</v>
      </c>
      <c r="G3200" s="2713"/>
      <c r="H3200" s="2714"/>
      <c r="I3200" s="160"/>
      <c r="J3200" s="208" t="s">
        <v>12</v>
      </c>
      <c r="K3200" s="160"/>
      <c r="L3200" s="2715" t="s">
        <v>2</v>
      </c>
      <c r="M3200" s="141"/>
      <c r="N3200" s="141"/>
      <c r="O3200" s="141"/>
      <c r="P3200" s="164"/>
      <c r="Q3200" s="209" t="s">
        <v>13</v>
      </c>
      <c r="R3200" s="210" t="s">
        <v>12</v>
      </c>
      <c r="S3200" s="141" t="s">
        <v>6</v>
      </c>
      <c r="T3200" s="2724" t="s">
        <v>14</v>
      </c>
      <c r="U3200" s="2725"/>
      <c r="V3200" s="165" t="s">
        <v>7</v>
      </c>
      <c r="W3200" s="166" t="s">
        <v>15</v>
      </c>
      <c r="X3200" s="5" t="s">
        <v>16</v>
      </c>
      <c r="Y3200" s="5" t="s">
        <v>17</v>
      </c>
      <c r="Z3200" s="5" t="s">
        <v>18</v>
      </c>
      <c r="AA3200" s="5"/>
      <c r="AB3200" s="55" t="s">
        <v>19</v>
      </c>
    </row>
    <row r="3201" spans="1:28" s="580" customFormat="1" ht="18" customHeight="1" x14ac:dyDescent="0.2">
      <c r="A3201" s="2710"/>
      <c r="B3201" s="2154" t="s">
        <v>23</v>
      </c>
      <c r="C3201" s="2710"/>
      <c r="D3201" s="2154" t="s">
        <v>24</v>
      </c>
      <c r="E3201" s="207" t="s">
        <v>25</v>
      </c>
      <c r="F3201" s="2719"/>
      <c r="G3201" s="2720"/>
      <c r="H3201" s="2721"/>
      <c r="I3201" s="2154" t="s">
        <v>26</v>
      </c>
      <c r="J3201" s="211" t="s">
        <v>15</v>
      </c>
      <c r="K3201" s="2157" t="s">
        <v>6</v>
      </c>
      <c r="L3201" s="2722"/>
      <c r="M3201" s="142" t="s">
        <v>27</v>
      </c>
      <c r="N3201" s="142" t="s">
        <v>10</v>
      </c>
      <c r="O3201" s="212" t="s">
        <v>10</v>
      </c>
      <c r="P3201" s="213" t="s">
        <v>28</v>
      </c>
      <c r="Q3201" s="214" t="s">
        <v>29</v>
      </c>
      <c r="R3201" s="213" t="s">
        <v>15</v>
      </c>
      <c r="S3201" s="8" t="s">
        <v>15</v>
      </c>
      <c r="T3201" s="2726"/>
      <c r="U3201" s="2727"/>
      <c r="V3201" s="165" t="s">
        <v>30</v>
      </c>
      <c r="W3201" s="166" t="s">
        <v>31</v>
      </c>
      <c r="X3201" s="5" t="s">
        <v>30</v>
      </c>
      <c r="Y3201" s="5" t="s">
        <v>32</v>
      </c>
      <c r="Z3201" s="5" t="s">
        <v>7</v>
      </c>
      <c r="AA3201" s="5" t="s">
        <v>33</v>
      </c>
      <c r="AB3201" s="55" t="s">
        <v>34</v>
      </c>
    </row>
    <row r="3202" spans="1:28" s="580" customFormat="1" ht="18" customHeight="1" x14ac:dyDescent="0.2">
      <c r="A3202" s="2710"/>
      <c r="B3202" s="2154" t="s">
        <v>39</v>
      </c>
      <c r="C3202" s="2710"/>
      <c r="D3202" s="2154" t="s">
        <v>40</v>
      </c>
      <c r="E3202" s="207" t="s">
        <v>41</v>
      </c>
      <c r="F3202" s="2709" t="s">
        <v>42</v>
      </c>
      <c r="G3202" s="2709" t="s">
        <v>43</v>
      </c>
      <c r="H3202" s="2728" t="s">
        <v>44</v>
      </c>
      <c r="I3202" s="2154" t="s">
        <v>45</v>
      </c>
      <c r="J3202" s="211" t="s">
        <v>46</v>
      </c>
      <c r="K3202" s="2157" t="s">
        <v>47</v>
      </c>
      <c r="L3202" s="2722"/>
      <c r="M3202" s="142" t="s">
        <v>30</v>
      </c>
      <c r="N3202" s="142" t="s">
        <v>30</v>
      </c>
      <c r="O3202" s="212" t="s">
        <v>25</v>
      </c>
      <c r="P3202" s="213" t="s">
        <v>30</v>
      </c>
      <c r="Q3202" s="214" t="s">
        <v>48</v>
      </c>
      <c r="R3202" s="213" t="s">
        <v>49</v>
      </c>
      <c r="S3202" s="8" t="s">
        <v>30</v>
      </c>
      <c r="T3202" s="215" t="s">
        <v>50</v>
      </c>
      <c r="U3202" s="2156" t="s">
        <v>13</v>
      </c>
      <c r="V3202" s="165" t="s">
        <v>51</v>
      </c>
      <c r="W3202" s="166" t="s">
        <v>52</v>
      </c>
      <c r="X3202" s="5" t="s">
        <v>53</v>
      </c>
      <c r="Y3202" s="5" t="s">
        <v>54</v>
      </c>
      <c r="Z3202" s="5" t="s">
        <v>55</v>
      </c>
      <c r="AA3202" s="5" t="s">
        <v>56</v>
      </c>
      <c r="AB3202" s="55" t="s">
        <v>57</v>
      </c>
    </row>
    <row r="3203" spans="1:28" s="580" customFormat="1" ht="18" customHeight="1" x14ac:dyDescent="0.2">
      <c r="A3203" s="2710"/>
      <c r="B3203" s="2154" t="s">
        <v>61</v>
      </c>
      <c r="C3203" s="2710"/>
      <c r="D3203" s="2154" t="s">
        <v>62</v>
      </c>
      <c r="E3203" s="207" t="s">
        <v>63</v>
      </c>
      <c r="F3203" s="2710"/>
      <c r="G3203" s="2710"/>
      <c r="H3203" s="2729"/>
      <c r="I3203" s="2154" t="s">
        <v>64</v>
      </c>
      <c r="J3203" s="211" t="s">
        <v>59</v>
      </c>
      <c r="K3203" s="2157" t="s">
        <v>59</v>
      </c>
      <c r="L3203" s="2722"/>
      <c r="M3203" s="142"/>
      <c r="N3203" s="142"/>
      <c r="O3203" s="212" t="s">
        <v>41</v>
      </c>
      <c r="P3203" s="213" t="s">
        <v>65</v>
      </c>
      <c r="Q3203" s="214" t="s">
        <v>66</v>
      </c>
      <c r="R3203" s="213" t="s">
        <v>67</v>
      </c>
      <c r="S3203" s="8" t="s">
        <v>59</v>
      </c>
      <c r="T3203" s="216" t="s">
        <v>68</v>
      </c>
      <c r="U3203" s="165" t="s">
        <v>14</v>
      </c>
      <c r="V3203" s="165" t="s">
        <v>14</v>
      </c>
      <c r="W3203" s="166" t="s">
        <v>30</v>
      </c>
      <c r="X3203" s="167" t="s">
        <v>69</v>
      </c>
      <c r="Y3203" s="167" t="s">
        <v>70</v>
      </c>
      <c r="Z3203" s="5" t="s">
        <v>71</v>
      </c>
      <c r="AA3203" s="5" t="s">
        <v>72</v>
      </c>
      <c r="AB3203" s="55" t="s">
        <v>59</v>
      </c>
    </row>
    <row r="3204" spans="1:28" s="580" customFormat="1" ht="18" customHeight="1" x14ac:dyDescent="0.2">
      <c r="A3204" s="2711"/>
      <c r="B3204" s="9"/>
      <c r="C3204" s="2711"/>
      <c r="D3204" s="9"/>
      <c r="E3204" s="2155"/>
      <c r="F3204" s="9"/>
      <c r="G3204" s="9"/>
      <c r="H3204" s="10"/>
      <c r="I3204" s="2155"/>
      <c r="J3204" s="217"/>
      <c r="K3204" s="168"/>
      <c r="L3204" s="2723"/>
      <c r="M3204" s="143"/>
      <c r="N3204" s="143"/>
      <c r="O3204" s="143" t="s">
        <v>63</v>
      </c>
      <c r="P3204" s="218"/>
      <c r="Q3204" s="219" t="s">
        <v>72</v>
      </c>
      <c r="R3204" s="220" t="s">
        <v>59</v>
      </c>
      <c r="S3204" s="169"/>
      <c r="T3204" s="220" t="s">
        <v>73</v>
      </c>
      <c r="U3204" s="169" t="s">
        <v>59</v>
      </c>
      <c r="V3204" s="170" t="s">
        <v>59</v>
      </c>
      <c r="W3204" s="171" t="s">
        <v>59</v>
      </c>
      <c r="X3204" s="172" t="s">
        <v>59</v>
      </c>
      <c r="Y3204" s="172" t="s">
        <v>59</v>
      </c>
      <c r="Z3204" s="172" t="s">
        <v>59</v>
      </c>
      <c r="AA3204" s="11"/>
      <c r="AB3204" s="56"/>
    </row>
    <row r="3205" spans="1:28" s="580" customFormat="1" ht="18" customHeight="1" x14ac:dyDescent="0.2">
      <c r="A3205" s="82">
        <v>1</v>
      </c>
      <c r="B3205" s="99">
        <v>59497</v>
      </c>
      <c r="C3205" s="51">
        <v>1716</v>
      </c>
      <c r="D3205" s="51" t="s">
        <v>107</v>
      </c>
      <c r="E3205" s="69">
        <v>1</v>
      </c>
      <c r="F3205" s="51">
        <v>0</v>
      </c>
      <c r="G3205" s="51">
        <v>0</v>
      </c>
      <c r="H3205" s="823">
        <v>80</v>
      </c>
      <c r="I3205" s="70">
        <f>F3205*400+G3205*100+H3205</f>
        <v>80</v>
      </c>
      <c r="J3205" s="71">
        <v>1000</v>
      </c>
      <c r="K3205" s="123">
        <f>SUM(I3205*J3205)</f>
        <v>80000</v>
      </c>
      <c r="L3205" s="1283"/>
      <c r="M3205" s="1283"/>
      <c r="N3205" s="1283"/>
      <c r="O3205" s="1283"/>
      <c r="P3205" s="1284"/>
      <c r="Q3205" s="1284"/>
      <c r="R3205" s="1285"/>
      <c r="S3205" s="1285"/>
      <c r="T3205" s="1284"/>
      <c r="U3205" s="1285"/>
      <c r="V3205" s="1286"/>
      <c r="W3205" s="70">
        <f>K3205</f>
        <v>80000</v>
      </c>
      <c r="X3205" s="123">
        <f>W3205</f>
        <v>80000</v>
      </c>
      <c r="Y3205" s="71"/>
      <c r="Z3205" s="70">
        <f>+X3205</f>
        <v>80000</v>
      </c>
      <c r="AA3205" s="84">
        <v>0.6</v>
      </c>
      <c r="AB3205" s="1306">
        <f>+Z3205*AA3205/100</f>
        <v>480</v>
      </c>
    </row>
    <row r="3206" spans="1:28" s="580" customFormat="1" ht="18" customHeight="1" x14ac:dyDescent="0.2">
      <c r="A3206" s="2166"/>
      <c r="B3206" s="100"/>
      <c r="C3206" s="105"/>
      <c r="D3206" s="105"/>
      <c r="E3206" s="146"/>
      <c r="F3206" s="105"/>
      <c r="G3206" s="105"/>
      <c r="H3206" s="126"/>
      <c r="I3206" s="77"/>
      <c r="J3206" s="108"/>
      <c r="K3206" s="2168"/>
      <c r="L3206" s="1307"/>
      <c r="M3206" s="1307"/>
      <c r="N3206" s="1307"/>
      <c r="O3206" s="1307"/>
      <c r="P3206" s="1308"/>
      <c r="Q3206" s="1308"/>
      <c r="R3206" s="1309"/>
      <c r="S3206" s="1309"/>
      <c r="T3206" s="1308"/>
      <c r="U3206" s="1309"/>
      <c r="V3206" s="1310"/>
      <c r="W3206" s="77"/>
      <c r="X3206" s="2168"/>
      <c r="Y3206" s="108"/>
      <c r="Z3206" s="77"/>
      <c r="AA3206" s="149"/>
      <c r="AB3206" s="832"/>
    </row>
    <row r="3207" spans="1:28" s="580" customFormat="1" ht="18" customHeight="1" x14ac:dyDescent="0.2">
      <c r="A3207" s="88"/>
      <c r="B3207" s="81"/>
      <c r="C3207" s="54"/>
      <c r="D3207" s="54"/>
      <c r="E3207" s="115"/>
      <c r="F3207" s="54"/>
      <c r="G3207" s="54"/>
      <c r="H3207" s="158"/>
      <c r="I3207" s="77"/>
      <c r="J3207" s="108"/>
      <c r="K3207" s="2168"/>
      <c r="L3207" s="61"/>
      <c r="M3207" s="105"/>
      <c r="N3207" s="105"/>
      <c r="O3207" s="113"/>
      <c r="P3207" s="131"/>
      <c r="Q3207" s="132"/>
      <c r="R3207" s="133"/>
      <c r="S3207" s="77"/>
      <c r="T3207" s="105"/>
      <c r="U3207" s="127"/>
      <c r="V3207" s="77"/>
      <c r="W3207" s="77"/>
      <c r="X3207" s="2168"/>
      <c r="Y3207" s="108"/>
      <c r="Z3207" s="77"/>
      <c r="AA3207" s="149"/>
      <c r="AB3207" s="832"/>
    </row>
    <row r="3208" spans="1:28" s="580" customFormat="1" ht="18" customHeight="1" x14ac:dyDescent="0.2">
      <c r="A3208" s="88"/>
      <c r="B3208" s="81"/>
      <c r="C3208" s="54"/>
      <c r="D3208" s="54"/>
      <c r="E3208" s="115"/>
      <c r="F3208" s="54"/>
      <c r="G3208" s="54"/>
      <c r="H3208" s="158"/>
      <c r="I3208" s="77"/>
      <c r="J3208" s="108"/>
      <c r="K3208" s="2168"/>
      <c r="L3208" s="61"/>
      <c r="M3208" s="105"/>
      <c r="N3208" s="105"/>
      <c r="O3208" s="113"/>
      <c r="P3208" s="131"/>
      <c r="Q3208" s="132"/>
      <c r="R3208" s="133"/>
      <c r="S3208" s="77"/>
      <c r="T3208" s="105"/>
      <c r="U3208" s="127"/>
      <c r="V3208" s="77"/>
      <c r="W3208" s="77"/>
      <c r="X3208" s="2168"/>
      <c r="Y3208" s="108"/>
      <c r="Z3208" s="77"/>
      <c r="AA3208" s="149"/>
      <c r="AB3208" s="832"/>
    </row>
    <row r="3209" spans="1:28" s="580" customFormat="1" ht="18" customHeight="1" x14ac:dyDescent="0.2">
      <c r="A3209" s="2166"/>
      <c r="B3209" s="100"/>
      <c r="C3209" s="105"/>
      <c r="D3209" s="105"/>
      <c r="E3209" s="146"/>
      <c r="F3209" s="105"/>
      <c r="G3209" s="105"/>
      <c r="H3209" s="126"/>
      <c r="I3209" s="77"/>
      <c r="J3209" s="108"/>
      <c r="K3209" s="78"/>
      <c r="L3209" s="61"/>
      <c r="M3209" s="105"/>
      <c r="N3209" s="105"/>
      <c r="O3209" s="113"/>
      <c r="P3209" s="131"/>
      <c r="Q3209" s="132"/>
      <c r="R3209" s="133"/>
      <c r="S3209" s="77"/>
      <c r="T3209" s="105"/>
      <c r="U3209" s="127"/>
      <c r="V3209" s="77"/>
      <c r="W3209" s="77"/>
      <c r="X3209" s="77"/>
      <c r="Y3209" s="108"/>
      <c r="Z3209" s="77"/>
      <c r="AA3209" s="149"/>
      <c r="AB3209" s="831"/>
    </row>
    <row r="3210" spans="1:28" s="580" customFormat="1" ht="18" customHeight="1" x14ac:dyDescent="0.2">
      <c r="A3210" s="2166"/>
      <c r="B3210" s="100"/>
      <c r="C3210" s="105"/>
      <c r="D3210" s="105"/>
      <c r="E3210" s="146"/>
      <c r="F3210" s="105"/>
      <c r="G3210" s="105"/>
      <c r="H3210" s="126"/>
      <c r="I3210" s="77"/>
      <c r="J3210" s="108"/>
      <c r="K3210" s="78"/>
      <c r="L3210" s="61"/>
      <c r="M3210" s="105"/>
      <c r="N3210" s="105"/>
      <c r="O3210" s="113"/>
      <c r="P3210" s="131"/>
      <c r="Q3210" s="132"/>
      <c r="R3210" s="133"/>
      <c r="S3210" s="77"/>
      <c r="T3210" s="105"/>
      <c r="U3210" s="127"/>
      <c r="V3210" s="77"/>
      <c r="W3210" s="77"/>
      <c r="X3210" s="77"/>
      <c r="Y3210" s="108"/>
      <c r="Z3210" s="77"/>
      <c r="AA3210" s="149"/>
      <c r="AB3210" s="831"/>
    </row>
    <row r="3211" spans="1:28" s="580" customFormat="1" ht="18" customHeight="1" x14ac:dyDescent="0.2">
      <c r="A3211" s="2166"/>
      <c r="B3211" s="100"/>
      <c r="C3211" s="105"/>
      <c r="D3211" s="105"/>
      <c r="E3211" s="146"/>
      <c r="F3211" s="105"/>
      <c r="G3211" s="105"/>
      <c r="H3211" s="126"/>
      <c r="I3211" s="77"/>
      <c r="J3211" s="108"/>
      <c r="K3211" s="78"/>
      <c r="L3211" s="61"/>
      <c r="M3211" s="105"/>
      <c r="N3211" s="105"/>
      <c r="O3211" s="113"/>
      <c r="P3211" s="131"/>
      <c r="Q3211" s="132"/>
      <c r="R3211" s="133"/>
      <c r="S3211" s="77"/>
      <c r="T3211" s="105"/>
      <c r="U3211" s="127"/>
      <c r="V3211" s="77"/>
      <c r="W3211" s="77"/>
      <c r="X3211" s="77"/>
      <c r="Y3211" s="108"/>
      <c r="Z3211" s="77"/>
      <c r="AA3211" s="149"/>
      <c r="AB3211" s="831"/>
    </row>
    <row r="3212" spans="1:28" s="580" customFormat="1" ht="18" customHeight="1" x14ac:dyDescent="0.2">
      <c r="A3212" s="54"/>
      <c r="B3212" s="81"/>
      <c r="C3212" s="54"/>
      <c r="D3212" s="54"/>
      <c r="E3212" s="146"/>
      <c r="F3212" s="1293"/>
      <c r="G3212" s="52"/>
      <c r="H3212" s="1294"/>
      <c r="I3212" s="159"/>
      <c r="J3212" s="117"/>
      <c r="K3212" s="159"/>
      <c r="L3212" s="75"/>
      <c r="M3212" s="54"/>
      <c r="N3212" s="54"/>
      <c r="O3212" s="119"/>
      <c r="P3212" s="200"/>
      <c r="Q3212" s="134"/>
      <c r="R3212" s="189"/>
      <c r="S3212" s="74"/>
      <c r="T3212" s="54"/>
      <c r="U3212" s="128"/>
      <c r="V3212" s="74"/>
      <c r="W3212" s="74"/>
      <c r="X3212" s="74"/>
      <c r="Y3212" s="117"/>
      <c r="Z3212" s="74"/>
      <c r="AA3212" s="86"/>
      <c r="AB3212" s="1291"/>
    </row>
    <row r="3213" spans="1:28" s="580" customFormat="1" ht="18" customHeight="1" x14ac:dyDescent="0.2">
      <c r="A3213" s="54"/>
      <c r="B3213" s="81"/>
      <c r="C3213" s="54"/>
      <c r="D3213" s="54"/>
      <c r="E3213" s="146"/>
      <c r="F3213" s="1293"/>
      <c r="G3213" s="52"/>
      <c r="H3213" s="1294"/>
      <c r="I3213" s="159"/>
      <c r="J3213" s="117"/>
      <c r="K3213" s="159"/>
      <c r="L3213" s="75"/>
      <c r="M3213" s="54"/>
      <c r="N3213" s="54"/>
      <c r="O3213" s="119"/>
      <c r="P3213" s="200"/>
      <c r="Q3213" s="134"/>
      <c r="R3213" s="189"/>
      <c r="S3213" s="74"/>
      <c r="T3213" s="54"/>
      <c r="U3213" s="128"/>
      <c r="V3213" s="74"/>
      <c r="W3213" s="74"/>
      <c r="X3213" s="74"/>
      <c r="Y3213" s="117"/>
      <c r="Z3213" s="74"/>
      <c r="AA3213" s="86"/>
      <c r="AB3213" s="1292"/>
    </row>
    <row r="3214" spans="1:28" s="580" customFormat="1" ht="18" customHeight="1" x14ac:dyDescent="0.2">
      <c r="A3214" s="54"/>
      <c r="B3214" s="81"/>
      <c r="C3214" s="54"/>
      <c r="D3214" s="54"/>
      <c r="E3214" s="146"/>
      <c r="F3214" s="1293"/>
      <c r="G3214" s="52"/>
      <c r="H3214" s="1294"/>
      <c r="I3214" s="159"/>
      <c r="J3214" s="117"/>
      <c r="K3214" s="159"/>
      <c r="L3214" s="75"/>
      <c r="M3214" s="54"/>
      <c r="N3214" s="54"/>
      <c r="O3214" s="119"/>
      <c r="P3214" s="200"/>
      <c r="Q3214" s="134"/>
      <c r="R3214" s="189"/>
      <c r="S3214" s="74"/>
      <c r="T3214" s="54"/>
      <c r="U3214" s="128"/>
      <c r="V3214" s="74"/>
      <c r="W3214" s="74"/>
      <c r="X3214" s="74"/>
      <c r="Y3214" s="117"/>
      <c r="Z3214" s="74"/>
      <c r="AA3214" s="86"/>
      <c r="AB3214" s="1291"/>
    </row>
    <row r="3215" spans="1:28" s="580" customFormat="1" ht="18" customHeight="1" x14ac:dyDescent="0.2">
      <c r="A3215" s="54"/>
      <c r="B3215" s="81"/>
      <c r="C3215" s="54"/>
      <c r="D3215" s="1295"/>
      <c r="E3215" s="146"/>
      <c r="F3215" s="1293"/>
      <c r="G3215" s="52"/>
      <c r="H3215" s="1294"/>
      <c r="I3215" s="159"/>
      <c r="J3215" s="117"/>
      <c r="K3215" s="159"/>
      <c r="L3215" s="75"/>
      <c r="M3215" s="54"/>
      <c r="N3215" s="54"/>
      <c r="O3215" s="119"/>
      <c r="P3215" s="200"/>
      <c r="Q3215" s="134"/>
      <c r="R3215" s="189"/>
      <c r="S3215" s="74"/>
      <c r="T3215" s="54"/>
      <c r="U3215" s="128"/>
      <c r="V3215" s="74"/>
      <c r="W3215" s="74"/>
      <c r="X3215" s="74"/>
      <c r="Y3215" s="117"/>
      <c r="Z3215" s="74"/>
      <c r="AA3215" s="91"/>
      <c r="AB3215" s="831"/>
    </row>
    <row r="3216" spans="1:28" s="580" customFormat="1" ht="18" customHeight="1" x14ac:dyDescent="0.2">
      <c r="A3216" s="54"/>
      <c r="B3216" s="81"/>
      <c r="C3216" s="54"/>
      <c r="D3216" s="1296"/>
      <c r="E3216" s="146"/>
      <c r="F3216" s="1293"/>
      <c r="G3216" s="52"/>
      <c r="H3216" s="1294"/>
      <c r="I3216" s="159"/>
      <c r="J3216" s="117"/>
      <c r="K3216" s="159"/>
      <c r="L3216" s="75"/>
      <c r="M3216" s="54"/>
      <c r="N3216" s="54"/>
      <c r="O3216" s="119"/>
      <c r="P3216" s="200"/>
      <c r="Q3216" s="134"/>
      <c r="R3216" s="189"/>
      <c r="S3216" s="74"/>
      <c r="T3216" s="54"/>
      <c r="U3216" s="128"/>
      <c r="V3216" s="74"/>
      <c r="W3216" s="74"/>
      <c r="X3216" s="74"/>
      <c r="Y3216" s="117"/>
      <c r="Z3216" s="74"/>
      <c r="AA3216" s="91"/>
      <c r="AB3216" s="831"/>
    </row>
    <row r="3217" spans="1:28" s="580" customFormat="1" ht="18" customHeight="1" x14ac:dyDescent="0.2">
      <c r="A3217" s="54"/>
      <c r="B3217" s="81"/>
      <c r="C3217" s="54"/>
      <c r="D3217" s="1296"/>
      <c r="E3217" s="146"/>
      <c r="F3217" s="1293"/>
      <c r="G3217" s="52"/>
      <c r="H3217" s="1294"/>
      <c r="I3217" s="159"/>
      <c r="J3217" s="117"/>
      <c r="K3217" s="159"/>
      <c r="L3217" s="75"/>
      <c r="M3217" s="54"/>
      <c r="N3217" s="54"/>
      <c r="O3217" s="119"/>
      <c r="P3217" s="200"/>
      <c r="Q3217" s="134"/>
      <c r="R3217" s="189"/>
      <c r="S3217" s="74"/>
      <c r="T3217" s="54"/>
      <c r="U3217" s="128"/>
      <c r="V3217" s="74"/>
      <c r="W3217" s="74"/>
      <c r="X3217" s="74"/>
      <c r="Y3217" s="117"/>
      <c r="Z3217" s="74"/>
      <c r="AA3217" s="86"/>
      <c r="AB3217" s="1292"/>
    </row>
    <row r="3218" spans="1:28" s="580" customFormat="1" ht="18" customHeight="1" x14ac:dyDescent="0.2">
      <c r="A3218" s="54"/>
      <c r="B3218" s="960"/>
      <c r="C3218" s="54"/>
      <c r="D3218" s="54"/>
      <c r="E3218" s="115"/>
      <c r="F3218" s="1293"/>
      <c r="G3218" s="52"/>
      <c r="H3218" s="1294"/>
      <c r="I3218" s="159"/>
      <c r="J3218" s="117"/>
      <c r="K3218" s="159"/>
      <c r="L3218" s="75"/>
      <c r="M3218" s="54"/>
      <c r="N3218" s="54"/>
      <c r="O3218" s="119"/>
      <c r="P3218" s="200"/>
      <c r="Q3218" s="134"/>
      <c r="R3218" s="189"/>
      <c r="S3218" s="74"/>
      <c r="T3218" s="54"/>
      <c r="U3218" s="128"/>
      <c r="V3218" s="74"/>
      <c r="W3218" s="74"/>
      <c r="X3218" s="74"/>
      <c r="Y3218" s="117"/>
      <c r="Z3218" s="74"/>
      <c r="AA3218" s="86"/>
      <c r="AB3218" s="831"/>
    </row>
    <row r="3219" spans="1:28" s="2219" customFormat="1" ht="18" customHeight="1" x14ac:dyDescent="0.2">
      <c r="A3219" s="1147"/>
      <c r="B3219" s="2265"/>
      <c r="C3219" s="2138"/>
      <c r="D3219" s="2138"/>
      <c r="E3219" s="2266"/>
      <c r="F3219" s="2138"/>
      <c r="G3219" s="2138"/>
      <c r="H3219" s="2267"/>
      <c r="I3219" s="1991"/>
      <c r="J3219" s="2268"/>
      <c r="K3219" s="1992"/>
      <c r="L3219" s="1989"/>
      <c r="M3219" s="2138"/>
      <c r="N3219" s="2138"/>
      <c r="O3219" s="2269"/>
      <c r="P3219" s="2139"/>
      <c r="Q3219" s="2270"/>
      <c r="R3219" s="2271"/>
      <c r="S3219" s="1991"/>
      <c r="T3219" s="2138"/>
      <c r="U3219" s="2272"/>
      <c r="V3219" s="1991"/>
      <c r="W3219" s="1991"/>
      <c r="X3219" s="1991"/>
      <c r="Y3219" s="2268"/>
      <c r="Z3219" s="1991"/>
      <c r="AA3219" s="2273"/>
      <c r="AB3219" s="2274">
        <f>SUM(AB3205:AB3218)</f>
        <v>480</v>
      </c>
    </row>
    <row r="3220" spans="1:28" s="580" customFormat="1" ht="18" customHeight="1" x14ac:dyDescent="0.2">
      <c r="A3220" s="2792" t="s">
        <v>76</v>
      </c>
      <c r="B3220" s="2792"/>
      <c r="C3220" s="2773" t="s">
        <v>77</v>
      </c>
      <c r="D3220" s="2773"/>
      <c r="E3220" s="2773"/>
      <c r="F3220" s="2773"/>
      <c r="G3220" s="2773"/>
      <c r="H3220" s="2773"/>
      <c r="I3220" s="224" t="s">
        <v>78</v>
      </c>
      <c r="J3220" s="224"/>
      <c r="K3220" s="224"/>
      <c r="L3220" s="224"/>
      <c r="M3220" s="224"/>
      <c r="N3220" s="224"/>
      <c r="AB3220" s="225"/>
    </row>
    <row r="3221" spans="1:28" s="580" customFormat="1" ht="18" customHeight="1" x14ac:dyDescent="0.2">
      <c r="A3221" s="224"/>
      <c r="B3221" s="226"/>
      <c r="C3221" s="224"/>
      <c r="D3221" s="224"/>
      <c r="E3221" s="224"/>
      <c r="F3221" s="224"/>
      <c r="G3221" s="224"/>
      <c r="H3221" s="224"/>
      <c r="I3221" s="224" t="s">
        <v>79</v>
      </c>
      <c r="J3221" s="224"/>
      <c r="K3221" s="224"/>
      <c r="L3221" s="224"/>
      <c r="M3221" s="224"/>
      <c r="N3221" s="224"/>
      <c r="AB3221" s="225"/>
    </row>
    <row r="3222" spans="1:28" s="580" customFormat="1" ht="18" customHeight="1" x14ac:dyDescent="0.2">
      <c r="A3222" s="224"/>
      <c r="B3222" s="226"/>
      <c r="C3222" s="224"/>
      <c r="D3222" s="224"/>
      <c r="E3222" s="224"/>
      <c r="F3222" s="224"/>
      <c r="G3222" s="224"/>
      <c r="H3222" s="224"/>
      <c r="I3222" s="224" t="s">
        <v>80</v>
      </c>
      <c r="J3222" s="224"/>
      <c r="K3222" s="224"/>
      <c r="L3222" s="224"/>
      <c r="M3222" s="224"/>
      <c r="N3222" s="224"/>
      <c r="AB3222" s="225"/>
    </row>
    <row r="3223" spans="1:28" s="580" customFormat="1" ht="18" customHeight="1" x14ac:dyDescent="0.2">
      <c r="A3223" s="224"/>
      <c r="B3223" s="226"/>
      <c r="C3223" s="224"/>
      <c r="D3223" s="224"/>
      <c r="E3223" s="224"/>
      <c r="F3223" s="224"/>
      <c r="G3223" s="224"/>
      <c r="H3223" s="224"/>
      <c r="I3223" s="224" t="s">
        <v>81</v>
      </c>
      <c r="J3223" s="224"/>
      <c r="K3223" s="224"/>
      <c r="L3223" s="224"/>
      <c r="M3223" s="224"/>
      <c r="N3223" s="224"/>
      <c r="AB3223" s="225"/>
    </row>
    <row r="3224" spans="1:28" s="580" customFormat="1" ht="18" customHeight="1" x14ac:dyDescent="0.2">
      <c r="A3224" s="224"/>
      <c r="B3224" s="226"/>
      <c r="C3224" s="224"/>
      <c r="D3224" s="224"/>
      <c r="E3224" s="224"/>
      <c r="F3224" s="224"/>
      <c r="G3224" s="224"/>
      <c r="H3224" s="224"/>
      <c r="I3224" s="224" t="s">
        <v>88</v>
      </c>
      <c r="J3224" s="224"/>
      <c r="K3224" s="224"/>
      <c r="L3224" s="224"/>
      <c r="M3224" s="224"/>
      <c r="N3224" s="224"/>
      <c r="AB3224" s="225"/>
    </row>
    <row r="3225" spans="1:28" s="352" customFormat="1" ht="18" customHeight="1" x14ac:dyDescent="0.2">
      <c r="A3225" s="338"/>
      <c r="B3225" s="338"/>
      <c r="C3225" s="338"/>
      <c r="D3225" s="338"/>
      <c r="E3225" s="338"/>
      <c r="F3225" s="338"/>
      <c r="G3225" s="338"/>
      <c r="H3225" s="338"/>
      <c r="I3225" s="338"/>
      <c r="J3225" s="338"/>
      <c r="K3225" s="338"/>
      <c r="L3225" s="338"/>
      <c r="M3225" s="338"/>
      <c r="N3225" s="338"/>
      <c r="O3225" s="338"/>
      <c r="P3225" s="338"/>
      <c r="Q3225" s="338"/>
      <c r="R3225" s="338"/>
      <c r="S3225" s="338"/>
      <c r="T3225" s="338"/>
      <c r="U3225" s="338"/>
      <c r="V3225" s="338"/>
      <c r="W3225" s="338"/>
      <c r="X3225" s="338"/>
      <c r="Y3225" s="338"/>
      <c r="Z3225" s="338"/>
      <c r="AA3225" s="2774" t="s">
        <v>0</v>
      </c>
      <c r="AB3225" s="2774"/>
    </row>
    <row r="3226" spans="1:28" s="352" customFormat="1" ht="18" customHeight="1" x14ac:dyDescent="0.2">
      <c r="A3226" s="2703" t="s">
        <v>1</v>
      </c>
      <c r="B3226" s="2703"/>
      <c r="C3226" s="2703"/>
      <c r="D3226" s="2703"/>
      <c r="E3226" s="2703"/>
      <c r="F3226" s="2703"/>
      <c r="G3226" s="2703"/>
      <c r="H3226" s="2703"/>
      <c r="I3226" s="2703"/>
      <c r="J3226" s="2703"/>
      <c r="K3226" s="2703"/>
      <c r="L3226" s="2703"/>
      <c r="M3226" s="2703"/>
      <c r="N3226" s="2703"/>
      <c r="O3226" s="2703"/>
      <c r="P3226" s="2703"/>
      <c r="Q3226" s="2703"/>
      <c r="R3226" s="2703"/>
      <c r="S3226" s="2703"/>
      <c r="T3226" s="2703"/>
      <c r="U3226" s="2703"/>
      <c r="V3226" s="2703"/>
      <c r="W3226" s="2703"/>
      <c r="X3226" s="2703"/>
      <c r="Y3226" s="2703"/>
      <c r="Z3226" s="2703"/>
      <c r="AA3226" s="2703"/>
      <c r="AB3226" s="2703"/>
    </row>
    <row r="3227" spans="1:28" s="352" customFormat="1" ht="18" customHeight="1" x14ac:dyDescent="0.2">
      <c r="A3227" s="2780" t="s">
        <v>693</v>
      </c>
      <c r="B3227" s="2780"/>
      <c r="C3227" s="2780"/>
      <c r="D3227" s="2780"/>
      <c r="E3227" s="2780"/>
      <c r="F3227" s="2780"/>
      <c r="G3227" s="2780"/>
      <c r="H3227" s="2780"/>
      <c r="I3227" s="2780"/>
      <c r="J3227" s="2780"/>
      <c r="K3227" s="2780"/>
      <c r="L3227" s="2780"/>
      <c r="M3227" s="2780"/>
      <c r="N3227" s="2780"/>
      <c r="O3227" s="2780"/>
      <c r="P3227" s="2780"/>
      <c r="Q3227" s="2780"/>
      <c r="R3227" s="2780"/>
      <c r="S3227" s="2780"/>
      <c r="T3227" s="2780"/>
      <c r="U3227" s="2780"/>
      <c r="V3227" s="2780"/>
      <c r="W3227" s="2780"/>
      <c r="X3227" s="2780"/>
      <c r="Y3227" s="2780"/>
      <c r="Z3227" s="2780"/>
      <c r="AA3227" s="2780"/>
      <c r="AB3227" s="2780"/>
    </row>
    <row r="3228" spans="1:28" s="352" customFormat="1" ht="18" customHeight="1" x14ac:dyDescent="0.2">
      <c r="A3228" s="2686" t="s">
        <v>2</v>
      </c>
      <c r="B3228" s="360"/>
      <c r="C3228" s="2686" t="s">
        <v>3</v>
      </c>
      <c r="D3228" s="360"/>
      <c r="E3228" s="360"/>
      <c r="F3228" s="2693" t="s">
        <v>4</v>
      </c>
      <c r="G3228" s="2693"/>
      <c r="H3228" s="2693"/>
      <c r="I3228" s="2694"/>
      <c r="J3228" s="2694"/>
      <c r="K3228" s="2695"/>
      <c r="L3228" s="361"/>
      <c r="M3228" s="2679" t="s">
        <v>5</v>
      </c>
      <c r="N3228" s="2679"/>
      <c r="O3228" s="2679"/>
      <c r="P3228" s="2679"/>
      <c r="Q3228" s="2696"/>
      <c r="R3228" s="2696"/>
      <c r="S3228" s="2696"/>
      <c r="T3228" s="2696"/>
      <c r="U3228" s="2696"/>
      <c r="V3228" s="2697"/>
      <c r="W3228" s="362" t="s">
        <v>6</v>
      </c>
      <c r="X3228" s="363" t="s">
        <v>7</v>
      </c>
      <c r="Y3228" s="364"/>
      <c r="Z3228" s="364"/>
      <c r="AA3228" s="363"/>
      <c r="AB3228" s="365"/>
    </row>
    <row r="3229" spans="1:28" s="352" customFormat="1" ht="18" customHeight="1" x14ac:dyDescent="0.2">
      <c r="A3229" s="2687"/>
      <c r="B3229" s="367"/>
      <c r="C3229" s="2687"/>
      <c r="D3229" s="2158" t="s">
        <v>9</v>
      </c>
      <c r="E3229" s="368" t="s">
        <v>10</v>
      </c>
      <c r="F3229" s="2698" t="s">
        <v>11</v>
      </c>
      <c r="G3229" s="2694"/>
      <c r="H3229" s="2695"/>
      <c r="I3229" s="360"/>
      <c r="J3229" s="369" t="s">
        <v>12</v>
      </c>
      <c r="K3229" s="360"/>
      <c r="L3229" s="2679" t="s">
        <v>2</v>
      </c>
      <c r="M3229" s="2162"/>
      <c r="N3229" s="2162"/>
      <c r="O3229" s="2162"/>
      <c r="P3229" s="371"/>
      <c r="Q3229" s="372" t="s">
        <v>13</v>
      </c>
      <c r="R3229" s="373" t="s">
        <v>12</v>
      </c>
      <c r="S3229" s="2162" t="s">
        <v>6</v>
      </c>
      <c r="T3229" s="2682" t="s">
        <v>14</v>
      </c>
      <c r="U3229" s="2683"/>
      <c r="V3229" s="375" t="s">
        <v>7</v>
      </c>
      <c r="W3229" s="376" t="s">
        <v>15</v>
      </c>
      <c r="X3229" s="377" t="s">
        <v>16</v>
      </c>
      <c r="Y3229" s="377" t="s">
        <v>17</v>
      </c>
      <c r="Z3229" s="377" t="s">
        <v>18</v>
      </c>
      <c r="AA3229" s="377"/>
      <c r="AB3229" s="378" t="s">
        <v>19</v>
      </c>
    </row>
    <row r="3230" spans="1:28" s="352" customFormat="1" ht="18" customHeight="1" x14ac:dyDescent="0.2">
      <c r="A3230" s="2687"/>
      <c r="B3230" s="2158" t="s">
        <v>23</v>
      </c>
      <c r="C3230" s="2687"/>
      <c r="D3230" s="2158" t="s">
        <v>24</v>
      </c>
      <c r="E3230" s="368" t="s">
        <v>25</v>
      </c>
      <c r="F3230" s="2699"/>
      <c r="G3230" s="2700"/>
      <c r="H3230" s="2701"/>
      <c r="I3230" s="2158" t="s">
        <v>26</v>
      </c>
      <c r="J3230" s="379" t="s">
        <v>15</v>
      </c>
      <c r="K3230" s="2159" t="s">
        <v>6</v>
      </c>
      <c r="L3230" s="2680"/>
      <c r="M3230" s="2163" t="s">
        <v>27</v>
      </c>
      <c r="N3230" s="2163" t="s">
        <v>10</v>
      </c>
      <c r="O3230" s="382" t="s">
        <v>10</v>
      </c>
      <c r="P3230" s="383" t="s">
        <v>28</v>
      </c>
      <c r="Q3230" s="384" t="s">
        <v>29</v>
      </c>
      <c r="R3230" s="383" t="s">
        <v>15</v>
      </c>
      <c r="S3230" s="385" t="s">
        <v>15</v>
      </c>
      <c r="T3230" s="2684"/>
      <c r="U3230" s="2685"/>
      <c r="V3230" s="375" t="s">
        <v>30</v>
      </c>
      <c r="W3230" s="376" t="s">
        <v>31</v>
      </c>
      <c r="X3230" s="377" t="s">
        <v>30</v>
      </c>
      <c r="Y3230" s="377" t="s">
        <v>32</v>
      </c>
      <c r="Z3230" s="377" t="s">
        <v>7</v>
      </c>
      <c r="AA3230" s="377" t="s">
        <v>33</v>
      </c>
      <c r="AB3230" s="378" t="s">
        <v>34</v>
      </c>
    </row>
    <row r="3231" spans="1:28" s="352" customFormat="1" ht="18" customHeight="1" x14ac:dyDescent="0.2">
      <c r="A3231" s="2687"/>
      <c r="B3231" s="2158" t="s">
        <v>39</v>
      </c>
      <c r="C3231" s="2687"/>
      <c r="D3231" s="2158" t="s">
        <v>40</v>
      </c>
      <c r="E3231" s="368" t="s">
        <v>41</v>
      </c>
      <c r="F3231" s="2686" t="s">
        <v>42</v>
      </c>
      <c r="G3231" s="2686" t="s">
        <v>43</v>
      </c>
      <c r="H3231" s="2688" t="s">
        <v>44</v>
      </c>
      <c r="I3231" s="2158" t="s">
        <v>45</v>
      </c>
      <c r="J3231" s="379" t="s">
        <v>46</v>
      </c>
      <c r="K3231" s="2159" t="s">
        <v>47</v>
      </c>
      <c r="L3231" s="2680"/>
      <c r="M3231" s="2163" t="s">
        <v>30</v>
      </c>
      <c r="N3231" s="2163" t="s">
        <v>30</v>
      </c>
      <c r="O3231" s="382" t="s">
        <v>25</v>
      </c>
      <c r="P3231" s="383" t="s">
        <v>30</v>
      </c>
      <c r="Q3231" s="384" t="s">
        <v>48</v>
      </c>
      <c r="R3231" s="383" t="s">
        <v>49</v>
      </c>
      <c r="S3231" s="385" t="s">
        <v>30</v>
      </c>
      <c r="T3231" s="386" t="s">
        <v>50</v>
      </c>
      <c r="U3231" s="2161" t="s">
        <v>13</v>
      </c>
      <c r="V3231" s="375" t="s">
        <v>51</v>
      </c>
      <c r="W3231" s="376" t="s">
        <v>52</v>
      </c>
      <c r="X3231" s="377" t="s">
        <v>53</v>
      </c>
      <c r="Y3231" s="377" t="s">
        <v>54</v>
      </c>
      <c r="Z3231" s="377" t="s">
        <v>55</v>
      </c>
      <c r="AA3231" s="377" t="s">
        <v>56</v>
      </c>
      <c r="AB3231" s="378" t="s">
        <v>57</v>
      </c>
    </row>
    <row r="3232" spans="1:28" s="352" customFormat="1" ht="18" customHeight="1" x14ac:dyDescent="0.2">
      <c r="A3232" s="2687"/>
      <c r="B3232" s="2158" t="s">
        <v>61</v>
      </c>
      <c r="C3232" s="2687"/>
      <c r="D3232" s="2158" t="s">
        <v>62</v>
      </c>
      <c r="E3232" s="368" t="s">
        <v>63</v>
      </c>
      <c r="F3232" s="2687"/>
      <c r="G3232" s="2687"/>
      <c r="H3232" s="2689"/>
      <c r="I3232" s="2158" t="s">
        <v>64</v>
      </c>
      <c r="J3232" s="379" t="s">
        <v>59</v>
      </c>
      <c r="K3232" s="2159" t="s">
        <v>59</v>
      </c>
      <c r="L3232" s="2680"/>
      <c r="M3232" s="2163"/>
      <c r="N3232" s="2163"/>
      <c r="O3232" s="382" t="s">
        <v>41</v>
      </c>
      <c r="P3232" s="383" t="s">
        <v>65</v>
      </c>
      <c r="Q3232" s="384" t="s">
        <v>66</v>
      </c>
      <c r="R3232" s="383" t="s">
        <v>67</v>
      </c>
      <c r="S3232" s="385" t="s">
        <v>59</v>
      </c>
      <c r="T3232" s="387" t="s">
        <v>68</v>
      </c>
      <c r="U3232" s="375" t="s">
        <v>14</v>
      </c>
      <c r="V3232" s="375" t="s">
        <v>14</v>
      </c>
      <c r="W3232" s="376" t="s">
        <v>30</v>
      </c>
      <c r="X3232" s="388" t="s">
        <v>69</v>
      </c>
      <c r="Y3232" s="388" t="s">
        <v>70</v>
      </c>
      <c r="Z3232" s="377" t="s">
        <v>71</v>
      </c>
      <c r="AA3232" s="377" t="s">
        <v>72</v>
      </c>
      <c r="AB3232" s="378" t="s">
        <v>59</v>
      </c>
    </row>
    <row r="3233" spans="1:28" s="352" customFormat="1" ht="18" customHeight="1" x14ac:dyDescent="0.2">
      <c r="A3233" s="2692"/>
      <c r="B3233" s="390"/>
      <c r="C3233" s="2692"/>
      <c r="D3233" s="390"/>
      <c r="E3233" s="2160"/>
      <c r="F3233" s="390"/>
      <c r="G3233" s="390"/>
      <c r="H3233" s="391"/>
      <c r="I3233" s="2160"/>
      <c r="J3233" s="392"/>
      <c r="K3233" s="393"/>
      <c r="L3233" s="2681"/>
      <c r="M3233" s="2164"/>
      <c r="N3233" s="2164"/>
      <c r="O3233" s="2164" t="s">
        <v>63</v>
      </c>
      <c r="P3233" s="395"/>
      <c r="Q3233" s="396" t="s">
        <v>72</v>
      </c>
      <c r="R3233" s="397" t="s">
        <v>59</v>
      </c>
      <c r="S3233" s="398"/>
      <c r="T3233" s="397" t="s">
        <v>73</v>
      </c>
      <c r="U3233" s="398" t="s">
        <v>59</v>
      </c>
      <c r="V3233" s="399" t="s">
        <v>59</v>
      </c>
      <c r="W3233" s="400" t="s">
        <v>59</v>
      </c>
      <c r="X3233" s="401" t="s">
        <v>59</v>
      </c>
      <c r="Y3233" s="401" t="s">
        <v>59</v>
      </c>
      <c r="Z3233" s="401" t="s">
        <v>59</v>
      </c>
      <c r="AA3233" s="402"/>
      <c r="AB3233" s="403"/>
    </row>
    <row r="3234" spans="1:28" s="352" customFormat="1" ht="18" customHeight="1" x14ac:dyDescent="0.2">
      <c r="A3234" s="53">
        <v>1</v>
      </c>
      <c r="B3234" s="41">
        <v>41346</v>
      </c>
      <c r="C3234" s="41">
        <v>1239</v>
      </c>
      <c r="D3234" s="41" t="s">
        <v>84</v>
      </c>
      <c r="E3234" s="15">
        <v>5</v>
      </c>
      <c r="F3234" s="41">
        <v>0</v>
      </c>
      <c r="G3234" s="41">
        <v>2</v>
      </c>
      <c r="H3234" s="267">
        <v>15</v>
      </c>
      <c r="I3234" s="296">
        <f>F3234*400+G3234*100+H3234</f>
        <v>215</v>
      </c>
      <c r="J3234" s="306">
        <v>2300</v>
      </c>
      <c r="K3234" s="297">
        <f>SUM(I3234*J3234)</f>
        <v>494500</v>
      </c>
      <c r="L3234" s="45">
        <v>1</v>
      </c>
      <c r="M3234" s="61">
        <v>401</v>
      </c>
      <c r="N3234" s="50" t="s">
        <v>74</v>
      </c>
      <c r="O3234" s="50">
        <v>2</v>
      </c>
      <c r="P3234" s="337">
        <f>20.25*7.98</f>
        <v>161.595</v>
      </c>
      <c r="Q3234" s="62" t="s">
        <v>75</v>
      </c>
      <c r="R3234" s="296">
        <v>8000</v>
      </c>
      <c r="S3234" s="296">
        <f>+P3234*R3234</f>
        <v>1292760</v>
      </c>
      <c r="T3234" s="298">
        <v>3</v>
      </c>
      <c r="U3234" s="299">
        <f>+S3234*0.03</f>
        <v>38782.799999999996</v>
      </c>
      <c r="V3234" s="299">
        <f>SUM(S3234-U3234)</f>
        <v>1253977.2</v>
      </c>
      <c r="W3234" s="296">
        <f>K3234+V3234</f>
        <v>1748477.2</v>
      </c>
      <c r="X3234" s="299">
        <f>W3234</f>
        <v>1748477.2</v>
      </c>
      <c r="Y3234" s="296"/>
      <c r="Z3234" s="296">
        <f>+X3234</f>
        <v>1748477.2</v>
      </c>
      <c r="AA3234" s="494">
        <v>0.02</v>
      </c>
      <c r="AB3234" s="406">
        <f>+Z3234*AA3234/100</f>
        <v>349.69544000000002</v>
      </c>
    </row>
    <row r="3235" spans="1:28" s="352" customFormat="1" ht="18" customHeight="1" x14ac:dyDescent="0.25">
      <c r="A3235" s="242"/>
      <c r="B3235" s="269"/>
      <c r="C3235" s="285"/>
      <c r="D3235" s="273"/>
      <c r="E3235" s="273"/>
      <c r="F3235" s="268"/>
      <c r="G3235" s="269"/>
      <c r="H3235" s="266"/>
      <c r="I3235" s="296"/>
      <c r="J3235" s="324"/>
      <c r="K3235" s="330"/>
      <c r="L3235" s="269">
        <v>2</v>
      </c>
      <c r="M3235" s="242">
        <v>504</v>
      </c>
      <c r="N3235" s="269" t="s">
        <v>74</v>
      </c>
      <c r="O3235" s="50">
        <v>3</v>
      </c>
      <c r="P3235" s="337">
        <f>13.55*5.15</f>
        <v>69.782500000000013</v>
      </c>
      <c r="Q3235" s="62" t="s">
        <v>75</v>
      </c>
      <c r="R3235" s="296">
        <v>3100</v>
      </c>
      <c r="S3235" s="296">
        <f>+P3235*R3235</f>
        <v>216325.75000000003</v>
      </c>
      <c r="T3235" s="298">
        <v>3</v>
      </c>
      <c r="U3235" s="299">
        <f>+S3235*0.03</f>
        <v>6489.7725000000009</v>
      </c>
      <c r="V3235" s="299">
        <f>SUM(S3235-U3235)</f>
        <v>209835.97750000004</v>
      </c>
      <c r="W3235" s="296">
        <f>K3235+V3235</f>
        <v>209835.97750000004</v>
      </c>
      <c r="X3235" s="299">
        <f>W3235</f>
        <v>209835.97750000004</v>
      </c>
      <c r="Y3235" s="296"/>
      <c r="Z3235" s="296">
        <f>+X3235</f>
        <v>209835.97750000004</v>
      </c>
      <c r="AA3235" s="494">
        <v>0.02</v>
      </c>
      <c r="AB3235" s="415">
        <f>+Z3235*AA3235/100</f>
        <v>41.96719550000001</v>
      </c>
    </row>
    <row r="3236" spans="1:28" s="352" customFormat="1" ht="18" customHeight="1" x14ac:dyDescent="0.2">
      <c r="A3236" s="75"/>
      <c r="B3236" s="88"/>
      <c r="C3236" s="88"/>
      <c r="D3236" s="88"/>
      <c r="E3236" s="88"/>
      <c r="F3236" s="88"/>
      <c r="G3236" s="88"/>
      <c r="H3236" s="495"/>
      <c r="I3236" s="77"/>
      <c r="J3236" s="2168"/>
      <c r="K3236" s="78"/>
      <c r="L3236" s="75"/>
      <c r="M3236" s="61"/>
      <c r="N3236" s="61"/>
      <c r="O3236" s="61"/>
      <c r="P3236" s="173"/>
      <c r="Q3236" s="174"/>
      <c r="R3236" s="408"/>
      <c r="S3236" s="77"/>
      <c r="T3236" s="135"/>
      <c r="U3236" s="74"/>
      <c r="V3236" s="74"/>
      <c r="W3236" s="77"/>
      <c r="X3236" s="74"/>
      <c r="Y3236" s="77"/>
      <c r="Z3236" s="77"/>
      <c r="AA3236" s="2170"/>
      <c r="AB3236" s="415"/>
    </row>
    <row r="3237" spans="1:28" s="352" customFormat="1" ht="18" customHeight="1" x14ac:dyDescent="0.2">
      <c r="A3237" s="61"/>
      <c r="B3237" s="88"/>
      <c r="C3237" s="88"/>
      <c r="D3237" s="88"/>
      <c r="E3237" s="88"/>
      <c r="F3237" s="88"/>
      <c r="G3237" s="88"/>
      <c r="H3237" s="495"/>
      <c r="I3237" s="77"/>
      <c r="J3237" s="2168"/>
      <c r="K3237" s="78"/>
      <c r="L3237" s="75"/>
      <c r="M3237" s="61"/>
      <c r="N3237" s="61"/>
      <c r="O3237" s="61"/>
      <c r="P3237" s="173"/>
      <c r="Q3237" s="174"/>
      <c r="R3237" s="408"/>
      <c r="S3237" s="77"/>
      <c r="T3237" s="135"/>
      <c r="U3237" s="74"/>
      <c r="V3237" s="74"/>
      <c r="W3237" s="77"/>
      <c r="X3237" s="74"/>
      <c r="Y3237" s="77"/>
      <c r="Z3237" s="77"/>
      <c r="AA3237" s="2170"/>
      <c r="AB3237" s="415"/>
    </row>
    <row r="3238" spans="1:28" s="352" customFormat="1" ht="18" customHeight="1" x14ac:dyDescent="0.2">
      <c r="A3238" s="61"/>
      <c r="B3238" s="88"/>
      <c r="C3238" s="88"/>
      <c r="D3238" s="88"/>
      <c r="E3238" s="88"/>
      <c r="F3238" s="88"/>
      <c r="G3238" s="88"/>
      <c r="H3238" s="495"/>
      <c r="I3238" s="77"/>
      <c r="J3238" s="2168"/>
      <c r="K3238" s="78"/>
      <c r="L3238" s="75"/>
      <c r="M3238" s="61"/>
      <c r="N3238" s="61"/>
      <c r="O3238" s="61"/>
      <c r="P3238" s="173"/>
      <c r="Q3238" s="174"/>
      <c r="R3238" s="408"/>
      <c r="S3238" s="77"/>
      <c r="T3238" s="135"/>
      <c r="U3238" s="74"/>
      <c r="V3238" s="74"/>
      <c r="W3238" s="77"/>
      <c r="X3238" s="74"/>
      <c r="Y3238" s="77"/>
      <c r="Z3238" s="77"/>
      <c r="AA3238" s="2170"/>
      <c r="AB3238" s="415"/>
    </row>
    <row r="3239" spans="1:28" s="352" customFormat="1" ht="18" customHeight="1" x14ac:dyDescent="0.2">
      <c r="A3239" s="61"/>
      <c r="B3239" s="88"/>
      <c r="C3239" s="88"/>
      <c r="D3239" s="88"/>
      <c r="E3239" s="88"/>
      <c r="F3239" s="88"/>
      <c r="G3239" s="88"/>
      <c r="H3239" s="495"/>
      <c r="I3239" s="77"/>
      <c r="J3239" s="2168"/>
      <c r="K3239" s="78"/>
      <c r="L3239" s="75"/>
      <c r="M3239" s="61"/>
      <c r="N3239" s="61"/>
      <c r="O3239" s="61"/>
      <c r="P3239" s="173"/>
      <c r="Q3239" s="174"/>
      <c r="R3239" s="408"/>
      <c r="S3239" s="77"/>
      <c r="T3239" s="135"/>
      <c r="U3239" s="74"/>
      <c r="V3239" s="74"/>
      <c r="W3239" s="77"/>
      <c r="X3239" s="74"/>
      <c r="Y3239" s="77"/>
      <c r="Z3239" s="77"/>
      <c r="AA3239" s="2170"/>
      <c r="AB3239" s="415"/>
    </row>
    <row r="3240" spans="1:28" s="352" customFormat="1" ht="18" customHeight="1" x14ac:dyDescent="0.2">
      <c r="A3240" s="61"/>
      <c r="B3240" s="88"/>
      <c r="C3240" s="88"/>
      <c r="D3240" s="88"/>
      <c r="E3240" s="88"/>
      <c r="F3240" s="88"/>
      <c r="G3240" s="88"/>
      <c r="H3240" s="495"/>
      <c r="I3240" s="77"/>
      <c r="J3240" s="2168"/>
      <c r="K3240" s="78"/>
      <c r="L3240" s="75"/>
      <c r="M3240" s="61"/>
      <c r="N3240" s="61"/>
      <c r="O3240" s="61"/>
      <c r="P3240" s="173"/>
      <c r="Q3240" s="174"/>
      <c r="R3240" s="408"/>
      <c r="S3240" s="77"/>
      <c r="T3240" s="135"/>
      <c r="U3240" s="74"/>
      <c r="V3240" s="74"/>
      <c r="W3240" s="77"/>
      <c r="X3240" s="74"/>
      <c r="Y3240" s="77"/>
      <c r="Z3240" s="77"/>
      <c r="AA3240" s="2170"/>
      <c r="AB3240" s="415"/>
    </row>
    <row r="3241" spans="1:28" s="352" customFormat="1" ht="18" customHeight="1" x14ac:dyDescent="0.2">
      <c r="A3241" s="61"/>
      <c r="B3241" s="88"/>
      <c r="C3241" s="88"/>
      <c r="D3241" s="88"/>
      <c r="E3241" s="88"/>
      <c r="F3241" s="88"/>
      <c r="G3241" s="88"/>
      <c r="H3241" s="495"/>
      <c r="I3241" s="77"/>
      <c r="J3241" s="2168"/>
      <c r="K3241" s="78"/>
      <c r="L3241" s="75"/>
      <c r="M3241" s="61"/>
      <c r="N3241" s="61"/>
      <c r="O3241" s="61"/>
      <c r="P3241" s="173"/>
      <c r="Q3241" s="174"/>
      <c r="R3241" s="408"/>
      <c r="S3241" s="77"/>
      <c r="T3241" s="135"/>
      <c r="U3241" s="74"/>
      <c r="V3241" s="74"/>
      <c r="W3241" s="77"/>
      <c r="X3241" s="74"/>
      <c r="Y3241" s="77"/>
      <c r="Z3241" s="77"/>
      <c r="AA3241" s="2170"/>
      <c r="AB3241" s="415"/>
    </row>
    <row r="3242" spans="1:28" s="352" customFormat="1" ht="18" customHeight="1" x14ac:dyDescent="0.2">
      <c r="A3242" s="242"/>
      <c r="B3242" s="2166"/>
      <c r="C3242" s="2166"/>
      <c r="D3242" s="2166"/>
      <c r="E3242" s="2166"/>
      <c r="F3242" s="2166"/>
      <c r="G3242" s="2166"/>
      <c r="H3242" s="407"/>
      <c r="I3242" s="77"/>
      <c r="J3242" s="2168"/>
      <c r="K3242" s="78"/>
      <c r="L3242" s="75"/>
      <c r="M3242" s="61"/>
      <c r="N3242" s="61"/>
      <c r="O3242" s="61"/>
      <c r="P3242" s="173"/>
      <c r="Q3242" s="174"/>
      <c r="R3242" s="408"/>
      <c r="S3242" s="77"/>
      <c r="T3242" s="135"/>
      <c r="U3242" s="74"/>
      <c r="V3242" s="74"/>
      <c r="W3242" s="77"/>
      <c r="X3242" s="74"/>
      <c r="Y3242" s="77"/>
      <c r="Z3242" s="77"/>
      <c r="AA3242" s="2170"/>
      <c r="AB3242" s="416"/>
    </row>
    <row r="3243" spans="1:28" s="352" customFormat="1" ht="18" customHeight="1" x14ac:dyDescent="0.2">
      <c r="A3243" s="2166"/>
      <c r="B3243" s="177"/>
      <c r="C3243" s="177"/>
      <c r="D3243" s="2166"/>
      <c r="E3243" s="2166"/>
      <c r="F3243" s="2166"/>
      <c r="G3243" s="2166"/>
      <c r="H3243" s="2171"/>
      <c r="I3243" s="2168"/>
      <c r="J3243" s="178"/>
      <c r="K3243" s="2168"/>
      <c r="L3243" s="2166"/>
      <c r="M3243" s="2166"/>
      <c r="N3243" s="2166"/>
      <c r="O3243" s="2166"/>
      <c r="P3243" s="2171"/>
      <c r="Q3243" s="2167"/>
      <c r="R3243" s="437"/>
      <c r="S3243" s="2168"/>
      <c r="T3243" s="179"/>
      <c r="U3243" s="178"/>
      <c r="V3243" s="2168"/>
      <c r="W3243" s="2168"/>
      <c r="X3243" s="470"/>
      <c r="Y3243" s="470"/>
      <c r="Z3243" s="471"/>
      <c r="AA3243" s="471"/>
      <c r="AB3243" s="466"/>
    </row>
    <row r="3244" spans="1:28" s="352" customFormat="1" ht="18" customHeight="1" x14ac:dyDescent="0.2">
      <c r="A3244" s="2166"/>
      <c r="B3244" s="177"/>
      <c r="C3244" s="177"/>
      <c r="D3244" s="2166"/>
      <c r="E3244" s="2166"/>
      <c r="F3244" s="2166"/>
      <c r="G3244" s="2166"/>
      <c r="H3244" s="2171"/>
      <c r="I3244" s="2168"/>
      <c r="J3244" s="178"/>
      <c r="K3244" s="2168"/>
      <c r="L3244" s="2166"/>
      <c r="M3244" s="2166"/>
      <c r="N3244" s="2166"/>
      <c r="O3244" s="2166"/>
      <c r="P3244" s="2171"/>
      <c r="Q3244" s="2167"/>
      <c r="R3244" s="437"/>
      <c r="S3244" s="2168"/>
      <c r="T3244" s="179"/>
      <c r="U3244" s="178"/>
      <c r="V3244" s="2168"/>
      <c r="W3244" s="2168"/>
      <c r="X3244" s="470"/>
      <c r="Y3244" s="470"/>
      <c r="Z3244" s="471"/>
      <c r="AA3244" s="471"/>
      <c r="AB3244" s="466"/>
    </row>
    <row r="3245" spans="1:28" s="352" customFormat="1" ht="18" customHeight="1" x14ac:dyDescent="0.2">
      <c r="A3245" s="2166"/>
      <c r="B3245" s="177"/>
      <c r="C3245" s="177"/>
      <c r="D3245" s="2166"/>
      <c r="E3245" s="2166"/>
      <c r="F3245" s="2166"/>
      <c r="G3245" s="2166"/>
      <c r="H3245" s="2171"/>
      <c r="I3245" s="2168"/>
      <c r="J3245" s="178"/>
      <c r="K3245" s="2168"/>
      <c r="L3245" s="2166"/>
      <c r="M3245" s="2166"/>
      <c r="N3245" s="2166"/>
      <c r="O3245" s="2166"/>
      <c r="P3245" s="2171"/>
      <c r="Q3245" s="2167"/>
      <c r="R3245" s="437"/>
      <c r="S3245" s="2168"/>
      <c r="T3245" s="179"/>
      <c r="U3245" s="178"/>
      <c r="V3245" s="2168"/>
      <c r="W3245" s="2168"/>
      <c r="X3245" s="470"/>
      <c r="Y3245" s="470"/>
      <c r="Z3245" s="471"/>
      <c r="AA3245" s="471"/>
      <c r="AB3245" s="466"/>
    </row>
    <row r="3246" spans="1:28" s="352" customFormat="1" ht="18" customHeight="1" x14ac:dyDescent="0.2">
      <c r="A3246" s="2166"/>
      <c r="B3246" s="177"/>
      <c r="C3246" s="177"/>
      <c r="D3246" s="2166"/>
      <c r="E3246" s="2166"/>
      <c r="F3246" s="2166"/>
      <c r="G3246" s="2166"/>
      <c r="H3246" s="2171"/>
      <c r="I3246" s="2168"/>
      <c r="J3246" s="178"/>
      <c r="K3246" s="2168"/>
      <c r="L3246" s="2166"/>
      <c r="M3246" s="2166"/>
      <c r="N3246" s="2166"/>
      <c r="O3246" s="2166"/>
      <c r="P3246" s="2171"/>
      <c r="Q3246" s="2167"/>
      <c r="R3246" s="437"/>
      <c r="S3246" s="2168"/>
      <c r="T3246" s="179"/>
      <c r="U3246" s="178"/>
      <c r="V3246" s="2168"/>
      <c r="W3246" s="2168"/>
      <c r="X3246" s="470"/>
      <c r="Y3246" s="470"/>
      <c r="Z3246" s="471"/>
      <c r="AA3246" s="471"/>
      <c r="AB3246" s="466"/>
    </row>
    <row r="3247" spans="1:28" s="352" customFormat="1" ht="18" customHeight="1" x14ac:dyDescent="0.2">
      <c r="A3247" s="88"/>
      <c r="B3247" s="180"/>
      <c r="C3247" s="180"/>
      <c r="D3247" s="88"/>
      <c r="E3247" s="88"/>
      <c r="F3247" s="88"/>
      <c r="G3247" s="88"/>
      <c r="H3247" s="120"/>
      <c r="I3247" s="121"/>
      <c r="J3247" s="181"/>
      <c r="K3247" s="121"/>
      <c r="L3247" s="88"/>
      <c r="M3247" s="88"/>
      <c r="N3247" s="88"/>
      <c r="O3247" s="88"/>
      <c r="P3247" s="88"/>
      <c r="Q3247" s="129"/>
      <c r="R3247" s="445"/>
      <c r="S3247" s="121"/>
      <c r="T3247" s="182"/>
      <c r="U3247" s="181"/>
      <c r="V3247" s="121"/>
      <c r="W3247" s="121"/>
      <c r="X3247" s="472"/>
      <c r="Y3247" s="472"/>
      <c r="Z3247" s="473"/>
      <c r="AA3247" s="473"/>
      <c r="AB3247" s="410"/>
    </row>
    <row r="3248" spans="1:28" s="352" customFormat="1" ht="18" customHeight="1" x14ac:dyDescent="0.2">
      <c r="A3248" s="1850"/>
      <c r="B3248" s="1850"/>
      <c r="C3248" s="1850"/>
      <c r="D3248" s="1850"/>
      <c r="E3248" s="1850"/>
      <c r="F3248" s="1850"/>
      <c r="G3248" s="1850"/>
      <c r="H3248" s="1851"/>
      <c r="I3248" s="1852"/>
      <c r="J3248" s="1853"/>
      <c r="K3248" s="1852"/>
      <c r="L3248" s="1852"/>
      <c r="M3248" s="1852"/>
      <c r="N3248" s="1852"/>
      <c r="O3248" s="1852"/>
      <c r="P3248" s="1852"/>
      <c r="Q3248" s="1852"/>
      <c r="R3248" s="1854"/>
      <c r="S3248" s="1852"/>
      <c r="T3248" s="1855"/>
      <c r="U3248" s="1853"/>
      <c r="V3248" s="1852"/>
      <c r="W3248" s="1852"/>
      <c r="X3248" s="1856"/>
      <c r="Y3248" s="1856"/>
      <c r="Z3248" s="1857"/>
      <c r="AA3248" s="1857"/>
      <c r="AB3248" s="1847">
        <f>SUM(AB3234:AB3235)</f>
        <v>391.66263550000002</v>
      </c>
    </row>
    <row r="3249" spans="1:28" s="352" customFormat="1" ht="18" customHeight="1" x14ac:dyDescent="0.2">
      <c r="A3249" s="2778" t="s">
        <v>76</v>
      </c>
      <c r="B3249" s="2778"/>
      <c r="C3249" s="2779" t="s">
        <v>77</v>
      </c>
      <c r="D3249" s="2779"/>
      <c r="E3249" s="2779"/>
      <c r="F3249" s="2779"/>
      <c r="G3249" s="2779"/>
      <c r="H3249" s="2779"/>
      <c r="I3249" s="424" t="s">
        <v>78</v>
      </c>
      <c r="J3249" s="424"/>
      <c r="K3249" s="424"/>
      <c r="L3249" s="424"/>
      <c r="M3249" s="424"/>
      <c r="N3249" s="424"/>
      <c r="AB3249" s="425"/>
    </row>
    <row r="3250" spans="1:28" s="352" customFormat="1" ht="18" customHeight="1" x14ac:dyDescent="0.2">
      <c r="A3250" s="424"/>
      <c r="B3250" s="426"/>
      <c r="C3250" s="424"/>
      <c r="D3250" s="424"/>
      <c r="E3250" s="424"/>
      <c r="F3250" s="424"/>
      <c r="G3250" s="424"/>
      <c r="H3250" s="424"/>
      <c r="I3250" s="424" t="s">
        <v>79</v>
      </c>
      <c r="J3250" s="424"/>
      <c r="K3250" s="424"/>
      <c r="L3250" s="424"/>
      <c r="M3250" s="424"/>
      <c r="N3250" s="424"/>
      <c r="AB3250" s="425"/>
    </row>
    <row r="3251" spans="1:28" s="352" customFormat="1" ht="18" customHeight="1" x14ac:dyDescent="0.2">
      <c r="A3251" s="424"/>
      <c r="B3251" s="426"/>
      <c r="C3251" s="424"/>
      <c r="D3251" s="424"/>
      <c r="E3251" s="424"/>
      <c r="F3251" s="424"/>
      <c r="G3251" s="424"/>
      <c r="H3251" s="424"/>
      <c r="I3251" s="424" t="s">
        <v>80</v>
      </c>
      <c r="J3251" s="424"/>
      <c r="K3251" s="424"/>
      <c r="L3251" s="424"/>
      <c r="M3251" s="424"/>
      <c r="N3251" s="424"/>
      <c r="AB3251" s="425"/>
    </row>
    <row r="3252" spans="1:28" s="352" customFormat="1" ht="18" customHeight="1" x14ac:dyDescent="0.2">
      <c r="A3252" s="424"/>
      <c r="B3252" s="426"/>
      <c r="C3252" s="424"/>
      <c r="D3252" s="424"/>
      <c r="E3252" s="424"/>
      <c r="F3252" s="424"/>
      <c r="G3252" s="424"/>
      <c r="H3252" s="424"/>
      <c r="I3252" s="424" t="s">
        <v>81</v>
      </c>
      <c r="J3252" s="424"/>
      <c r="K3252" s="424"/>
      <c r="L3252" s="424"/>
      <c r="M3252" s="424"/>
      <c r="N3252" s="424"/>
      <c r="AB3252" s="425"/>
    </row>
    <row r="3253" spans="1:28" s="352" customFormat="1" ht="18" customHeight="1" x14ac:dyDescent="0.2">
      <c r="A3253" s="424"/>
      <c r="B3253" s="426"/>
      <c r="C3253" s="424"/>
      <c r="D3253" s="424"/>
      <c r="E3253" s="424"/>
      <c r="F3253" s="424"/>
      <c r="G3253" s="424"/>
      <c r="H3253" s="424"/>
      <c r="I3253" s="424" t="s">
        <v>88</v>
      </c>
      <c r="J3253" s="424"/>
      <c r="K3253" s="424"/>
      <c r="L3253" s="424"/>
      <c r="M3253" s="424"/>
      <c r="N3253" s="424"/>
      <c r="AB3253" s="425"/>
    </row>
    <row r="3254" spans="1:28" s="352" customFormat="1" ht="18" customHeight="1" x14ac:dyDescent="0.2">
      <c r="A3254" s="338"/>
      <c r="B3254" s="338"/>
      <c r="C3254" s="338"/>
      <c r="D3254" s="338"/>
      <c r="E3254" s="338"/>
      <c r="F3254" s="338"/>
      <c r="G3254" s="338"/>
      <c r="H3254" s="338"/>
      <c r="I3254" s="338"/>
      <c r="J3254" s="338"/>
      <c r="K3254" s="338"/>
      <c r="L3254" s="338"/>
      <c r="M3254" s="338"/>
      <c r="N3254" s="338"/>
      <c r="O3254" s="338"/>
      <c r="P3254" s="338"/>
      <c r="Q3254" s="338"/>
      <c r="R3254" s="338"/>
      <c r="S3254" s="338"/>
      <c r="T3254" s="338"/>
      <c r="U3254" s="338"/>
      <c r="V3254" s="338"/>
      <c r="W3254" s="338"/>
      <c r="X3254" s="338"/>
      <c r="Y3254" s="338"/>
      <c r="Z3254" s="338"/>
      <c r="AA3254" s="2774" t="s">
        <v>0</v>
      </c>
      <c r="AB3254" s="2774"/>
    </row>
    <row r="3255" spans="1:28" s="352" customFormat="1" ht="18" customHeight="1" x14ac:dyDescent="0.2">
      <c r="A3255" s="2703" t="s">
        <v>1</v>
      </c>
      <c r="B3255" s="2703"/>
      <c r="C3255" s="2703"/>
      <c r="D3255" s="2703"/>
      <c r="E3255" s="2703"/>
      <c r="F3255" s="2703"/>
      <c r="G3255" s="2703"/>
      <c r="H3255" s="2703"/>
      <c r="I3255" s="2703"/>
      <c r="J3255" s="2703"/>
      <c r="K3255" s="2703"/>
      <c r="L3255" s="2703"/>
      <c r="M3255" s="2703"/>
      <c r="N3255" s="2703"/>
      <c r="O3255" s="2703"/>
      <c r="P3255" s="2703"/>
      <c r="Q3255" s="2703"/>
      <c r="R3255" s="2703"/>
      <c r="S3255" s="2703"/>
      <c r="T3255" s="2703"/>
      <c r="U3255" s="2703"/>
      <c r="V3255" s="2703"/>
      <c r="W3255" s="2703"/>
      <c r="X3255" s="2703"/>
      <c r="Y3255" s="2703"/>
      <c r="Z3255" s="2703"/>
      <c r="AA3255" s="2703"/>
      <c r="AB3255" s="2703"/>
    </row>
    <row r="3256" spans="1:28" s="352" customFormat="1" ht="18" customHeight="1" x14ac:dyDescent="0.2">
      <c r="A3256" s="2780" t="s">
        <v>694</v>
      </c>
      <c r="B3256" s="2780"/>
      <c r="C3256" s="2780"/>
      <c r="D3256" s="2780"/>
      <c r="E3256" s="2780"/>
      <c r="F3256" s="2780"/>
      <c r="G3256" s="2780"/>
      <c r="H3256" s="2780"/>
      <c r="I3256" s="2780"/>
      <c r="J3256" s="2780"/>
      <c r="K3256" s="2780"/>
      <c r="L3256" s="2780"/>
      <c r="M3256" s="2780"/>
      <c r="N3256" s="2780"/>
      <c r="O3256" s="2780"/>
      <c r="P3256" s="2780"/>
      <c r="Q3256" s="2780"/>
      <c r="R3256" s="2780"/>
      <c r="S3256" s="2780"/>
      <c r="T3256" s="2780"/>
      <c r="U3256" s="2780"/>
      <c r="V3256" s="2780"/>
      <c r="W3256" s="2780"/>
      <c r="X3256" s="2780"/>
      <c r="Y3256" s="2780"/>
      <c r="Z3256" s="2780"/>
      <c r="AA3256" s="2780"/>
      <c r="AB3256" s="2780"/>
    </row>
    <row r="3257" spans="1:28" s="352" customFormat="1" ht="18" customHeight="1" x14ac:dyDescent="0.2">
      <c r="A3257" s="2686" t="s">
        <v>2</v>
      </c>
      <c r="B3257" s="360"/>
      <c r="C3257" s="2686" t="s">
        <v>3</v>
      </c>
      <c r="D3257" s="360"/>
      <c r="E3257" s="360"/>
      <c r="F3257" s="2693" t="s">
        <v>4</v>
      </c>
      <c r="G3257" s="2693"/>
      <c r="H3257" s="2693"/>
      <c r="I3257" s="2694"/>
      <c r="J3257" s="2694"/>
      <c r="K3257" s="2695"/>
      <c r="L3257" s="361"/>
      <c r="M3257" s="2679" t="s">
        <v>5</v>
      </c>
      <c r="N3257" s="2679"/>
      <c r="O3257" s="2679"/>
      <c r="P3257" s="2679"/>
      <c r="Q3257" s="2696"/>
      <c r="R3257" s="2696"/>
      <c r="S3257" s="2696"/>
      <c r="T3257" s="2696"/>
      <c r="U3257" s="2696"/>
      <c r="V3257" s="2697"/>
      <c r="W3257" s="362" t="s">
        <v>6</v>
      </c>
      <c r="X3257" s="363" t="s">
        <v>7</v>
      </c>
      <c r="Y3257" s="364"/>
      <c r="Z3257" s="364"/>
      <c r="AA3257" s="363"/>
      <c r="AB3257" s="365"/>
    </row>
    <row r="3258" spans="1:28" s="352" customFormat="1" ht="18" customHeight="1" x14ac:dyDescent="0.2">
      <c r="A3258" s="2687"/>
      <c r="B3258" s="367"/>
      <c r="C3258" s="2687"/>
      <c r="D3258" s="2158" t="s">
        <v>9</v>
      </c>
      <c r="E3258" s="368" t="s">
        <v>10</v>
      </c>
      <c r="F3258" s="2698" t="s">
        <v>11</v>
      </c>
      <c r="G3258" s="2694"/>
      <c r="H3258" s="2695"/>
      <c r="I3258" s="360"/>
      <c r="J3258" s="369" t="s">
        <v>12</v>
      </c>
      <c r="K3258" s="360"/>
      <c r="L3258" s="2679" t="s">
        <v>2</v>
      </c>
      <c r="M3258" s="2162"/>
      <c r="N3258" s="2162"/>
      <c r="O3258" s="2162"/>
      <c r="P3258" s="371"/>
      <c r="Q3258" s="372" t="s">
        <v>13</v>
      </c>
      <c r="R3258" s="373" t="s">
        <v>12</v>
      </c>
      <c r="S3258" s="2162" t="s">
        <v>6</v>
      </c>
      <c r="T3258" s="2682" t="s">
        <v>14</v>
      </c>
      <c r="U3258" s="2683"/>
      <c r="V3258" s="375" t="s">
        <v>7</v>
      </c>
      <c r="W3258" s="376" t="s">
        <v>15</v>
      </c>
      <c r="X3258" s="377" t="s">
        <v>16</v>
      </c>
      <c r="Y3258" s="377" t="s">
        <v>17</v>
      </c>
      <c r="Z3258" s="377" t="s">
        <v>18</v>
      </c>
      <c r="AA3258" s="377"/>
      <c r="AB3258" s="378" t="s">
        <v>19</v>
      </c>
    </row>
    <row r="3259" spans="1:28" s="352" customFormat="1" ht="18" customHeight="1" x14ac:dyDescent="0.2">
      <c r="A3259" s="2687"/>
      <c r="B3259" s="2158" t="s">
        <v>23</v>
      </c>
      <c r="C3259" s="2687"/>
      <c r="D3259" s="2158" t="s">
        <v>24</v>
      </c>
      <c r="E3259" s="368" t="s">
        <v>25</v>
      </c>
      <c r="F3259" s="2699"/>
      <c r="G3259" s="2700"/>
      <c r="H3259" s="2701"/>
      <c r="I3259" s="2158" t="s">
        <v>26</v>
      </c>
      <c r="J3259" s="379" t="s">
        <v>15</v>
      </c>
      <c r="K3259" s="2159" t="s">
        <v>6</v>
      </c>
      <c r="L3259" s="2680"/>
      <c r="M3259" s="2163" t="s">
        <v>27</v>
      </c>
      <c r="N3259" s="2163" t="s">
        <v>10</v>
      </c>
      <c r="O3259" s="382" t="s">
        <v>10</v>
      </c>
      <c r="P3259" s="383" t="s">
        <v>28</v>
      </c>
      <c r="Q3259" s="384" t="s">
        <v>29</v>
      </c>
      <c r="R3259" s="383" t="s">
        <v>15</v>
      </c>
      <c r="S3259" s="385" t="s">
        <v>15</v>
      </c>
      <c r="T3259" s="2684"/>
      <c r="U3259" s="2685"/>
      <c r="V3259" s="375" t="s">
        <v>30</v>
      </c>
      <c r="W3259" s="376" t="s">
        <v>31</v>
      </c>
      <c r="X3259" s="377" t="s">
        <v>30</v>
      </c>
      <c r="Y3259" s="377" t="s">
        <v>32</v>
      </c>
      <c r="Z3259" s="377" t="s">
        <v>7</v>
      </c>
      <c r="AA3259" s="377" t="s">
        <v>33</v>
      </c>
      <c r="AB3259" s="378" t="s">
        <v>34</v>
      </c>
    </row>
    <row r="3260" spans="1:28" s="352" customFormat="1" ht="18" customHeight="1" x14ac:dyDescent="0.2">
      <c r="A3260" s="2687"/>
      <c r="B3260" s="2158" t="s">
        <v>39</v>
      </c>
      <c r="C3260" s="2687"/>
      <c r="D3260" s="2158" t="s">
        <v>40</v>
      </c>
      <c r="E3260" s="368" t="s">
        <v>41</v>
      </c>
      <c r="F3260" s="2686" t="s">
        <v>42</v>
      </c>
      <c r="G3260" s="2686" t="s">
        <v>43</v>
      </c>
      <c r="H3260" s="2688" t="s">
        <v>44</v>
      </c>
      <c r="I3260" s="2158" t="s">
        <v>45</v>
      </c>
      <c r="J3260" s="379" t="s">
        <v>46</v>
      </c>
      <c r="K3260" s="2159" t="s">
        <v>47</v>
      </c>
      <c r="L3260" s="2680"/>
      <c r="M3260" s="2163" t="s">
        <v>30</v>
      </c>
      <c r="N3260" s="2163" t="s">
        <v>30</v>
      </c>
      <c r="O3260" s="382" t="s">
        <v>25</v>
      </c>
      <c r="P3260" s="383" t="s">
        <v>30</v>
      </c>
      <c r="Q3260" s="384" t="s">
        <v>48</v>
      </c>
      <c r="R3260" s="383" t="s">
        <v>49</v>
      </c>
      <c r="S3260" s="385" t="s">
        <v>30</v>
      </c>
      <c r="T3260" s="386" t="s">
        <v>50</v>
      </c>
      <c r="U3260" s="2161" t="s">
        <v>13</v>
      </c>
      <c r="V3260" s="375" t="s">
        <v>51</v>
      </c>
      <c r="W3260" s="376" t="s">
        <v>52</v>
      </c>
      <c r="X3260" s="377" t="s">
        <v>53</v>
      </c>
      <c r="Y3260" s="377" t="s">
        <v>54</v>
      </c>
      <c r="Z3260" s="377" t="s">
        <v>55</v>
      </c>
      <c r="AA3260" s="377" t="s">
        <v>56</v>
      </c>
      <c r="AB3260" s="378" t="s">
        <v>57</v>
      </c>
    </row>
    <row r="3261" spans="1:28" s="352" customFormat="1" ht="18" customHeight="1" x14ac:dyDescent="0.2">
      <c r="A3261" s="2687"/>
      <c r="B3261" s="2158" t="s">
        <v>61</v>
      </c>
      <c r="C3261" s="2687"/>
      <c r="D3261" s="2158" t="s">
        <v>62</v>
      </c>
      <c r="E3261" s="368" t="s">
        <v>63</v>
      </c>
      <c r="F3261" s="2687"/>
      <c r="G3261" s="2687"/>
      <c r="H3261" s="2689"/>
      <c r="I3261" s="2158" t="s">
        <v>64</v>
      </c>
      <c r="J3261" s="379" t="s">
        <v>59</v>
      </c>
      <c r="K3261" s="2159" t="s">
        <v>59</v>
      </c>
      <c r="L3261" s="2680"/>
      <c r="M3261" s="2163"/>
      <c r="N3261" s="2163"/>
      <c r="O3261" s="382" t="s">
        <v>41</v>
      </c>
      <c r="P3261" s="383" t="s">
        <v>65</v>
      </c>
      <c r="Q3261" s="384" t="s">
        <v>66</v>
      </c>
      <c r="R3261" s="383" t="s">
        <v>67</v>
      </c>
      <c r="S3261" s="385" t="s">
        <v>59</v>
      </c>
      <c r="T3261" s="387" t="s">
        <v>68</v>
      </c>
      <c r="U3261" s="375" t="s">
        <v>14</v>
      </c>
      <c r="V3261" s="375" t="s">
        <v>14</v>
      </c>
      <c r="W3261" s="376" t="s">
        <v>30</v>
      </c>
      <c r="X3261" s="388" t="s">
        <v>69</v>
      </c>
      <c r="Y3261" s="388" t="s">
        <v>70</v>
      </c>
      <c r="Z3261" s="377" t="s">
        <v>71</v>
      </c>
      <c r="AA3261" s="377" t="s">
        <v>72</v>
      </c>
      <c r="AB3261" s="378" t="s">
        <v>59</v>
      </c>
    </row>
    <row r="3262" spans="1:28" s="352" customFormat="1" ht="18" customHeight="1" x14ac:dyDescent="0.2">
      <c r="A3262" s="2692"/>
      <c r="B3262" s="390"/>
      <c r="C3262" s="2692"/>
      <c r="D3262" s="390"/>
      <c r="E3262" s="2160"/>
      <c r="F3262" s="390"/>
      <c r="G3262" s="390"/>
      <c r="H3262" s="391"/>
      <c r="I3262" s="2160"/>
      <c r="J3262" s="392"/>
      <c r="K3262" s="393"/>
      <c r="L3262" s="2681"/>
      <c r="M3262" s="2164"/>
      <c r="N3262" s="2164"/>
      <c r="O3262" s="2164" t="s">
        <v>63</v>
      </c>
      <c r="P3262" s="395"/>
      <c r="Q3262" s="396" t="s">
        <v>72</v>
      </c>
      <c r="R3262" s="397" t="s">
        <v>59</v>
      </c>
      <c r="S3262" s="398"/>
      <c r="T3262" s="397" t="s">
        <v>73</v>
      </c>
      <c r="U3262" s="398" t="s">
        <v>59</v>
      </c>
      <c r="V3262" s="399" t="s">
        <v>59</v>
      </c>
      <c r="W3262" s="400" t="s">
        <v>59</v>
      </c>
      <c r="X3262" s="401" t="s">
        <v>59</v>
      </c>
      <c r="Y3262" s="401" t="s">
        <v>59</v>
      </c>
      <c r="Z3262" s="401" t="s">
        <v>59</v>
      </c>
      <c r="AA3262" s="402"/>
      <c r="AB3262" s="403"/>
    </row>
    <row r="3263" spans="1:28" s="352" customFormat="1" ht="18" customHeight="1" x14ac:dyDescent="0.2">
      <c r="A3263" s="82">
        <v>1</v>
      </c>
      <c r="B3263" s="53">
        <v>32163</v>
      </c>
      <c r="C3263" s="82">
        <v>971</v>
      </c>
      <c r="D3263" s="82" t="s">
        <v>107</v>
      </c>
      <c r="E3263" s="82">
        <v>2</v>
      </c>
      <c r="F3263" s="82">
        <v>0</v>
      </c>
      <c r="G3263" s="82">
        <v>1</v>
      </c>
      <c r="H3263" s="463">
        <v>57</v>
      </c>
      <c r="I3263" s="70">
        <f>F3263*400+G3263*100+H3263</f>
        <v>157</v>
      </c>
      <c r="J3263" s="123">
        <v>1600</v>
      </c>
      <c r="K3263" s="124">
        <f>SUM(I3263*J3263)</f>
        <v>251200</v>
      </c>
      <c r="L3263" s="53"/>
      <c r="N3263" s="82"/>
      <c r="O3263" s="53"/>
      <c r="P3263" s="358"/>
      <c r="Q3263" s="197"/>
      <c r="R3263" s="444"/>
      <c r="S3263" s="123"/>
      <c r="T3263" s="82"/>
      <c r="U3263" s="70"/>
      <c r="V3263" s="70"/>
      <c r="W3263" s="70"/>
      <c r="X3263" s="70">
        <f>K3263</f>
        <v>251200</v>
      </c>
      <c r="Y3263" s="123"/>
      <c r="Z3263" s="70">
        <f>X3263</f>
        <v>251200</v>
      </c>
      <c r="AA3263" s="464">
        <v>0.6</v>
      </c>
      <c r="AB3263" s="406">
        <f>+Z3263*AA3263/100</f>
        <v>1507.2</v>
      </c>
    </row>
    <row r="3264" spans="1:28" s="352" customFormat="1" ht="18" customHeight="1" x14ac:dyDescent="0.2">
      <c r="A3264" s="2166"/>
      <c r="B3264" s="61"/>
      <c r="C3264" s="2166"/>
      <c r="D3264" s="2166"/>
      <c r="E3264" s="2166"/>
      <c r="F3264" s="2166"/>
      <c r="G3264" s="2166"/>
      <c r="H3264" s="407"/>
      <c r="I3264" s="77"/>
      <c r="J3264" s="2168"/>
      <c r="K3264" s="78"/>
      <c r="L3264" s="61"/>
      <c r="M3264" s="2166"/>
      <c r="N3264" s="2166"/>
      <c r="O3264" s="61"/>
      <c r="P3264" s="177"/>
      <c r="Q3264" s="196"/>
      <c r="R3264" s="408"/>
      <c r="S3264" s="2166"/>
      <c r="T3264" s="2166"/>
      <c r="U3264" s="77"/>
      <c r="V3264" s="77"/>
      <c r="W3264" s="77"/>
      <c r="X3264" s="77"/>
      <c r="Y3264" s="2168"/>
      <c r="Z3264" s="77"/>
      <c r="AA3264" s="2170"/>
      <c r="AB3264" s="410"/>
    </row>
    <row r="3265" spans="1:28" s="352" customFormat="1" ht="18" customHeight="1" x14ac:dyDescent="0.2">
      <c r="A3265" s="2166"/>
      <c r="B3265" s="61"/>
      <c r="C3265" s="2166"/>
      <c r="D3265" s="2166"/>
      <c r="E3265" s="2166"/>
      <c r="F3265" s="2166"/>
      <c r="G3265" s="2166"/>
      <c r="H3265" s="407"/>
      <c r="I3265" s="77"/>
      <c r="J3265" s="2168"/>
      <c r="K3265" s="78"/>
      <c r="L3265" s="61"/>
      <c r="M3265" s="2166"/>
      <c r="N3265" s="2166"/>
      <c r="O3265" s="61"/>
      <c r="P3265" s="177"/>
      <c r="Q3265" s="196"/>
      <c r="R3265" s="408"/>
      <c r="S3265" s="77"/>
      <c r="T3265" s="2166"/>
      <c r="U3265" s="77"/>
      <c r="V3265" s="77"/>
      <c r="W3265" s="77"/>
      <c r="X3265" s="77"/>
      <c r="Y3265" s="2168"/>
      <c r="Z3265" s="77"/>
      <c r="AA3265" s="2170"/>
      <c r="AB3265" s="410"/>
    </row>
    <row r="3266" spans="1:28" s="352" customFormat="1" ht="18" customHeight="1" x14ac:dyDescent="0.2">
      <c r="A3266" s="2166"/>
      <c r="B3266" s="61"/>
      <c r="C3266" s="2166"/>
      <c r="D3266" s="2166"/>
      <c r="E3266" s="2166"/>
      <c r="F3266" s="2166"/>
      <c r="G3266" s="2166"/>
      <c r="H3266" s="407"/>
      <c r="I3266" s="77"/>
      <c r="J3266" s="2168"/>
      <c r="K3266" s="78"/>
      <c r="L3266" s="61"/>
      <c r="M3266" s="2166"/>
      <c r="N3266" s="2166"/>
      <c r="O3266" s="61"/>
      <c r="P3266" s="177"/>
      <c r="Q3266" s="196"/>
      <c r="R3266" s="408"/>
      <c r="S3266" s="77"/>
      <c r="T3266" s="2166"/>
      <c r="U3266" s="77"/>
      <c r="V3266" s="77"/>
      <c r="W3266" s="77"/>
      <c r="X3266" s="77"/>
      <c r="Y3266" s="2168"/>
      <c r="Z3266" s="77"/>
      <c r="AA3266" s="2170"/>
      <c r="AB3266" s="410"/>
    </row>
    <row r="3267" spans="1:28" s="352" customFormat="1" ht="18" customHeight="1" x14ac:dyDescent="0.2">
      <c r="A3267" s="2166"/>
      <c r="B3267" s="61"/>
      <c r="C3267" s="2166"/>
      <c r="D3267" s="2166"/>
      <c r="E3267" s="2166"/>
      <c r="F3267" s="2166"/>
      <c r="G3267" s="2166"/>
      <c r="H3267" s="407"/>
      <c r="I3267" s="77"/>
      <c r="J3267" s="2168"/>
      <c r="K3267" s="78"/>
      <c r="L3267" s="61"/>
      <c r="M3267" s="2166"/>
      <c r="N3267" s="2166"/>
      <c r="O3267" s="61"/>
      <c r="P3267" s="177"/>
      <c r="Q3267" s="196"/>
      <c r="R3267" s="408"/>
      <c r="S3267" s="77"/>
      <c r="T3267" s="2166"/>
      <c r="U3267" s="77"/>
      <c r="V3267" s="77"/>
      <c r="W3267" s="77"/>
      <c r="X3267" s="77"/>
      <c r="Y3267" s="2168"/>
      <c r="Z3267" s="77"/>
      <c r="AA3267" s="2170"/>
      <c r="AB3267" s="410"/>
    </row>
    <row r="3268" spans="1:28" s="352" customFormat="1" ht="18" customHeight="1" x14ac:dyDescent="0.2">
      <c r="A3268" s="2166"/>
      <c r="B3268" s="61"/>
      <c r="C3268" s="2166"/>
      <c r="D3268" s="2166"/>
      <c r="E3268" s="2166"/>
      <c r="F3268" s="2166"/>
      <c r="G3268" s="2166"/>
      <c r="H3268" s="407"/>
      <c r="I3268" s="77"/>
      <c r="J3268" s="2168"/>
      <c r="K3268" s="78"/>
      <c r="L3268" s="61"/>
      <c r="M3268" s="2166"/>
      <c r="N3268" s="2166"/>
      <c r="O3268" s="61"/>
      <c r="P3268" s="177"/>
      <c r="Q3268" s="196"/>
      <c r="R3268" s="408"/>
      <c r="S3268" s="77"/>
      <c r="T3268" s="2166"/>
      <c r="U3268" s="77"/>
      <c r="V3268" s="77"/>
      <c r="W3268" s="77"/>
      <c r="X3268" s="77"/>
      <c r="Y3268" s="2168"/>
      <c r="Z3268" s="77"/>
      <c r="AA3268" s="2170"/>
      <c r="AB3268" s="410"/>
    </row>
    <row r="3269" spans="1:28" s="352" customFormat="1" ht="18" customHeight="1" x14ac:dyDescent="0.2">
      <c r="A3269" s="2166"/>
      <c r="B3269" s="61"/>
      <c r="C3269" s="2166"/>
      <c r="D3269" s="2166"/>
      <c r="E3269" s="2166"/>
      <c r="F3269" s="2166"/>
      <c r="G3269" s="2166"/>
      <c r="H3269" s="407"/>
      <c r="I3269" s="77"/>
      <c r="J3269" s="2168"/>
      <c r="K3269" s="78"/>
      <c r="L3269" s="61"/>
      <c r="M3269" s="2166"/>
      <c r="N3269" s="2166"/>
      <c r="O3269" s="61"/>
      <c r="P3269" s="177"/>
      <c r="Q3269" s="196"/>
      <c r="R3269" s="408"/>
      <c r="S3269" s="77"/>
      <c r="T3269" s="2166"/>
      <c r="U3269" s="77"/>
      <c r="V3269" s="77"/>
      <c r="W3269" s="77"/>
      <c r="X3269" s="77"/>
      <c r="Y3269" s="2168"/>
      <c r="Z3269" s="77"/>
      <c r="AA3269" s="2170"/>
      <c r="AB3269" s="410"/>
    </row>
    <row r="3270" spans="1:28" s="352" customFormat="1" ht="18" customHeight="1" x14ac:dyDescent="0.2">
      <c r="A3270" s="2166"/>
      <c r="B3270" s="61"/>
      <c r="C3270" s="2166"/>
      <c r="D3270" s="2166"/>
      <c r="E3270" s="2166"/>
      <c r="F3270" s="467"/>
      <c r="G3270" s="61"/>
      <c r="H3270" s="407"/>
      <c r="I3270" s="78"/>
      <c r="J3270" s="2168"/>
      <c r="K3270" s="78"/>
      <c r="L3270" s="61"/>
      <c r="M3270" s="2166"/>
      <c r="N3270" s="2166"/>
      <c r="O3270" s="61"/>
      <c r="P3270" s="177"/>
      <c r="Q3270" s="196"/>
      <c r="R3270" s="408"/>
      <c r="S3270" s="77"/>
      <c r="T3270" s="2166"/>
      <c r="U3270" s="77"/>
      <c r="V3270" s="77"/>
      <c r="W3270" s="77"/>
      <c r="X3270" s="77"/>
      <c r="Y3270" s="2168"/>
      <c r="Z3270" s="77"/>
      <c r="AA3270" s="2170"/>
      <c r="AB3270" s="416"/>
    </row>
    <row r="3271" spans="1:28" s="352" customFormat="1" ht="18" customHeight="1" x14ac:dyDescent="0.2">
      <c r="A3271" s="88"/>
      <c r="B3271" s="75"/>
      <c r="C3271" s="88"/>
      <c r="D3271" s="88"/>
      <c r="E3271" s="2166"/>
      <c r="F3271" s="411"/>
      <c r="G3271" s="242"/>
      <c r="H3271" s="412"/>
      <c r="I3271" s="159"/>
      <c r="J3271" s="121"/>
      <c r="K3271" s="159"/>
      <c r="L3271" s="75"/>
      <c r="M3271" s="88"/>
      <c r="N3271" s="88"/>
      <c r="O3271" s="75"/>
      <c r="P3271" s="180"/>
      <c r="Q3271" s="174"/>
      <c r="R3271" s="413"/>
      <c r="S3271" s="74"/>
      <c r="T3271" s="88"/>
      <c r="U3271" s="74"/>
      <c r="V3271" s="74"/>
      <c r="W3271" s="74"/>
      <c r="X3271" s="74"/>
      <c r="Y3271" s="121"/>
      <c r="Z3271" s="74"/>
      <c r="AA3271" s="414"/>
      <c r="AB3271" s="416"/>
    </row>
    <row r="3272" spans="1:28" s="352" customFormat="1" ht="18" customHeight="1" x14ac:dyDescent="0.2">
      <c r="A3272" s="88"/>
      <c r="B3272" s="75"/>
      <c r="C3272" s="88"/>
      <c r="D3272" s="88"/>
      <c r="E3272" s="2166"/>
      <c r="F3272" s="411"/>
      <c r="G3272" s="242"/>
      <c r="H3272" s="412"/>
      <c r="I3272" s="159"/>
      <c r="J3272" s="121"/>
      <c r="K3272" s="159"/>
      <c r="L3272" s="75"/>
      <c r="M3272" s="88"/>
      <c r="N3272" s="88"/>
      <c r="O3272" s="75"/>
      <c r="P3272" s="180"/>
      <c r="Q3272" s="174"/>
      <c r="R3272" s="413"/>
      <c r="S3272" s="74"/>
      <c r="T3272" s="88"/>
      <c r="U3272" s="74"/>
      <c r="V3272" s="74"/>
      <c r="W3272" s="74"/>
      <c r="X3272" s="74"/>
      <c r="Y3272" s="121"/>
      <c r="Z3272" s="74"/>
      <c r="AA3272" s="414"/>
      <c r="AB3272" s="415"/>
    </row>
    <row r="3273" spans="1:28" s="352" customFormat="1" ht="18" customHeight="1" x14ac:dyDescent="0.2">
      <c r="A3273" s="88"/>
      <c r="B3273" s="75"/>
      <c r="C3273" s="88"/>
      <c r="D3273" s="231"/>
      <c r="E3273" s="2166"/>
      <c r="F3273" s="411"/>
      <c r="G3273" s="242"/>
      <c r="H3273" s="412"/>
      <c r="I3273" s="159"/>
      <c r="J3273" s="121"/>
      <c r="K3273" s="159"/>
      <c r="L3273" s="75"/>
      <c r="M3273" s="88"/>
      <c r="N3273" s="88"/>
      <c r="O3273" s="75"/>
      <c r="P3273" s="180"/>
      <c r="Q3273" s="174"/>
      <c r="R3273" s="413"/>
      <c r="S3273" s="74"/>
      <c r="T3273" s="88"/>
      <c r="U3273" s="74"/>
      <c r="V3273" s="74"/>
      <c r="W3273" s="74"/>
      <c r="X3273" s="74"/>
      <c r="Y3273" s="121"/>
      <c r="Z3273" s="74"/>
      <c r="AA3273" s="417"/>
      <c r="AB3273" s="410"/>
    </row>
    <row r="3274" spans="1:28" s="352" customFormat="1" ht="18" customHeight="1" x14ac:dyDescent="0.2">
      <c r="A3274" s="88"/>
      <c r="B3274" s="75"/>
      <c r="C3274" s="88"/>
      <c r="D3274" s="2165"/>
      <c r="E3274" s="2166"/>
      <c r="F3274" s="411"/>
      <c r="G3274" s="242"/>
      <c r="H3274" s="412"/>
      <c r="I3274" s="159"/>
      <c r="J3274" s="121"/>
      <c r="K3274" s="159"/>
      <c r="L3274" s="75"/>
      <c r="M3274" s="88"/>
      <c r="N3274" s="88"/>
      <c r="O3274" s="75"/>
      <c r="P3274" s="180"/>
      <c r="Q3274" s="174"/>
      <c r="R3274" s="413"/>
      <c r="S3274" s="74"/>
      <c r="T3274" s="88"/>
      <c r="U3274" s="74"/>
      <c r="V3274" s="74"/>
      <c r="W3274" s="74"/>
      <c r="X3274" s="74"/>
      <c r="Y3274" s="121"/>
      <c r="Z3274" s="74"/>
      <c r="AA3274" s="414"/>
      <c r="AB3274" s="410"/>
    </row>
    <row r="3275" spans="1:28" s="352" customFormat="1" ht="18" customHeight="1" x14ac:dyDescent="0.2">
      <c r="A3275" s="88"/>
      <c r="B3275" s="75"/>
      <c r="C3275" s="88"/>
      <c r="D3275" s="2165"/>
      <c r="E3275" s="2166"/>
      <c r="F3275" s="411"/>
      <c r="G3275" s="242"/>
      <c r="H3275" s="412"/>
      <c r="I3275" s="159"/>
      <c r="J3275" s="121"/>
      <c r="K3275" s="159"/>
      <c r="L3275" s="75"/>
      <c r="M3275" s="88"/>
      <c r="N3275" s="88"/>
      <c r="O3275" s="75"/>
      <c r="P3275" s="180"/>
      <c r="Q3275" s="174"/>
      <c r="R3275" s="413"/>
      <c r="S3275" s="74"/>
      <c r="T3275" s="88"/>
      <c r="U3275" s="74"/>
      <c r="V3275" s="74"/>
      <c r="W3275" s="74"/>
      <c r="X3275" s="74"/>
      <c r="Y3275" s="121"/>
      <c r="Z3275" s="74"/>
      <c r="AA3275" s="414"/>
      <c r="AB3275" s="416"/>
    </row>
    <row r="3276" spans="1:28" s="352" customFormat="1" ht="18" customHeight="1" x14ac:dyDescent="0.2">
      <c r="A3276" s="88"/>
      <c r="B3276" s="418"/>
      <c r="C3276" s="88"/>
      <c r="D3276" s="88"/>
      <c r="E3276" s="88"/>
      <c r="F3276" s="411"/>
      <c r="G3276" s="242"/>
      <c r="H3276" s="412"/>
      <c r="I3276" s="159"/>
      <c r="J3276" s="121"/>
      <c r="K3276" s="159"/>
      <c r="L3276" s="75"/>
      <c r="M3276" s="88"/>
      <c r="N3276" s="88"/>
      <c r="O3276" s="75"/>
      <c r="P3276" s="180"/>
      <c r="Q3276" s="174"/>
      <c r="R3276" s="413"/>
      <c r="S3276" s="74"/>
      <c r="T3276" s="88"/>
      <c r="U3276" s="74"/>
      <c r="V3276" s="74"/>
      <c r="W3276" s="74"/>
      <c r="X3276" s="74"/>
      <c r="Y3276" s="121"/>
      <c r="Z3276" s="74"/>
      <c r="AA3276" s="414"/>
      <c r="AB3276" s="410"/>
    </row>
    <row r="3277" spans="1:28" s="352" customFormat="1" ht="18" customHeight="1" x14ac:dyDescent="0.2">
      <c r="A3277" s="1147"/>
      <c r="B3277" s="1989"/>
      <c r="C3277" s="1147"/>
      <c r="D3277" s="1147"/>
      <c r="E3277" s="1147"/>
      <c r="F3277" s="1147"/>
      <c r="G3277" s="1147"/>
      <c r="H3277" s="1990"/>
      <c r="I3277" s="1991"/>
      <c r="J3277" s="1868"/>
      <c r="K3277" s="1992"/>
      <c r="L3277" s="1989"/>
      <c r="M3277" s="1147"/>
      <c r="N3277" s="1147"/>
      <c r="O3277" s="1989"/>
      <c r="P3277" s="1867"/>
      <c r="Q3277" s="1993"/>
      <c r="R3277" s="1994"/>
      <c r="S3277" s="1991"/>
      <c r="T3277" s="1147"/>
      <c r="U3277" s="1991"/>
      <c r="V3277" s="1991"/>
      <c r="W3277" s="1991"/>
      <c r="X3277" s="1991"/>
      <c r="Y3277" s="1868"/>
      <c r="Z3277" s="1991"/>
      <c r="AA3277" s="1995"/>
      <c r="AB3277" s="1849">
        <f>SUM(AB3263:AB3276)</f>
        <v>1507.2</v>
      </c>
    </row>
    <row r="3278" spans="1:28" s="352" customFormat="1" ht="18" customHeight="1" x14ac:dyDescent="0.2">
      <c r="A3278" s="2788" t="s">
        <v>76</v>
      </c>
      <c r="B3278" s="2788"/>
      <c r="C3278" s="2779" t="s">
        <v>77</v>
      </c>
      <c r="D3278" s="2779"/>
      <c r="E3278" s="2779"/>
      <c r="F3278" s="2779"/>
      <c r="G3278" s="2779"/>
      <c r="H3278" s="2779"/>
      <c r="I3278" s="424" t="s">
        <v>78</v>
      </c>
      <c r="J3278" s="424"/>
      <c r="K3278" s="424"/>
      <c r="L3278" s="424"/>
      <c r="M3278" s="424"/>
      <c r="N3278" s="424"/>
      <c r="AB3278" s="425"/>
    </row>
    <row r="3279" spans="1:28" s="352" customFormat="1" ht="18" customHeight="1" x14ac:dyDescent="0.2">
      <c r="A3279" s="424"/>
      <c r="B3279" s="426"/>
      <c r="C3279" s="424"/>
      <c r="D3279" s="424"/>
      <c r="E3279" s="424"/>
      <c r="F3279" s="424"/>
      <c r="G3279" s="424"/>
      <c r="H3279" s="424"/>
      <c r="I3279" s="424" t="s">
        <v>79</v>
      </c>
      <c r="J3279" s="424"/>
      <c r="K3279" s="424"/>
      <c r="L3279" s="424"/>
      <c r="M3279" s="424"/>
      <c r="N3279" s="424"/>
      <c r="AB3279" s="425"/>
    </row>
    <row r="3280" spans="1:28" s="352" customFormat="1" ht="18" customHeight="1" x14ac:dyDescent="0.2">
      <c r="A3280" s="424"/>
      <c r="B3280" s="426"/>
      <c r="C3280" s="424"/>
      <c r="D3280" s="424"/>
      <c r="E3280" s="424"/>
      <c r="F3280" s="424"/>
      <c r="G3280" s="424"/>
      <c r="H3280" s="424"/>
      <c r="I3280" s="424" t="s">
        <v>80</v>
      </c>
      <c r="J3280" s="424"/>
      <c r="K3280" s="424"/>
      <c r="L3280" s="424"/>
      <c r="M3280" s="424"/>
      <c r="N3280" s="424"/>
      <c r="AB3280" s="425"/>
    </row>
    <row r="3281" spans="1:28" s="352" customFormat="1" ht="18" customHeight="1" x14ac:dyDescent="0.2">
      <c r="A3281" s="424"/>
      <c r="B3281" s="426"/>
      <c r="C3281" s="424"/>
      <c r="D3281" s="424"/>
      <c r="E3281" s="424"/>
      <c r="F3281" s="424"/>
      <c r="G3281" s="424"/>
      <c r="H3281" s="424"/>
      <c r="I3281" s="424" t="s">
        <v>81</v>
      </c>
      <c r="J3281" s="424"/>
      <c r="K3281" s="424"/>
      <c r="L3281" s="424"/>
      <c r="M3281" s="424"/>
      <c r="N3281" s="424"/>
      <c r="AB3281" s="425"/>
    </row>
    <row r="3282" spans="1:28" s="352" customFormat="1" ht="18" customHeight="1" x14ac:dyDescent="0.2">
      <c r="A3282" s="424"/>
      <c r="B3282" s="426"/>
      <c r="C3282" s="424"/>
      <c r="D3282" s="424"/>
      <c r="E3282" s="424"/>
      <c r="F3282" s="424"/>
      <c r="G3282" s="424"/>
      <c r="H3282" s="424"/>
      <c r="I3282" s="424" t="s">
        <v>88</v>
      </c>
      <c r="J3282" s="424"/>
      <c r="K3282" s="424"/>
      <c r="L3282" s="424"/>
      <c r="M3282" s="424"/>
      <c r="N3282" s="424"/>
      <c r="AB3282" s="425"/>
    </row>
    <row r="3283" spans="1:28" s="352" customFormat="1" ht="18" customHeight="1" x14ac:dyDescent="0.2">
      <c r="A3283" s="338"/>
      <c r="B3283" s="338"/>
      <c r="C3283" s="338"/>
      <c r="D3283" s="338"/>
      <c r="E3283" s="338"/>
      <c r="F3283" s="338"/>
      <c r="G3283" s="338"/>
      <c r="H3283" s="338"/>
      <c r="I3283" s="338"/>
      <c r="J3283" s="338"/>
      <c r="K3283" s="338"/>
      <c r="L3283" s="338"/>
      <c r="M3283" s="338"/>
      <c r="N3283" s="338"/>
      <c r="O3283" s="338"/>
      <c r="P3283" s="338"/>
      <c r="Q3283" s="338"/>
      <c r="R3283" s="338"/>
      <c r="S3283" s="338"/>
      <c r="T3283" s="338"/>
      <c r="U3283" s="338"/>
      <c r="V3283" s="338"/>
      <c r="W3283" s="338"/>
      <c r="X3283" s="338"/>
      <c r="Y3283" s="338"/>
      <c r="Z3283" s="338"/>
      <c r="AA3283" s="2774" t="s">
        <v>0</v>
      </c>
      <c r="AB3283" s="2774"/>
    </row>
    <row r="3284" spans="1:28" s="352" customFormat="1" ht="18" customHeight="1" x14ac:dyDescent="0.2">
      <c r="A3284" s="2703" t="s">
        <v>1</v>
      </c>
      <c r="B3284" s="2703"/>
      <c r="C3284" s="2703"/>
      <c r="D3284" s="2703"/>
      <c r="E3284" s="2703"/>
      <c r="F3284" s="2703"/>
      <c r="G3284" s="2703"/>
      <c r="H3284" s="2703"/>
      <c r="I3284" s="2703"/>
      <c r="J3284" s="2703"/>
      <c r="K3284" s="2703"/>
      <c r="L3284" s="2703"/>
      <c r="M3284" s="2703"/>
      <c r="N3284" s="2703"/>
      <c r="O3284" s="2703"/>
      <c r="P3284" s="2703"/>
      <c r="Q3284" s="2703"/>
      <c r="R3284" s="2703"/>
      <c r="S3284" s="2703"/>
      <c r="T3284" s="2703"/>
      <c r="U3284" s="2703"/>
      <c r="V3284" s="2703"/>
      <c r="W3284" s="2703"/>
      <c r="X3284" s="2703"/>
      <c r="Y3284" s="2703"/>
      <c r="Z3284" s="2703"/>
      <c r="AA3284" s="2703"/>
      <c r="AB3284" s="2703"/>
    </row>
    <row r="3285" spans="1:28" s="352" customFormat="1" ht="18" customHeight="1" x14ac:dyDescent="0.2">
      <c r="A3285" s="2780" t="s">
        <v>695</v>
      </c>
      <c r="B3285" s="2780"/>
      <c r="C3285" s="2780"/>
      <c r="D3285" s="2780"/>
      <c r="E3285" s="2780"/>
      <c r="F3285" s="2780"/>
      <c r="G3285" s="2780"/>
      <c r="H3285" s="2780"/>
      <c r="I3285" s="2780"/>
      <c r="J3285" s="2780"/>
      <c r="K3285" s="2780"/>
      <c r="L3285" s="2780"/>
      <c r="M3285" s="2780"/>
      <c r="N3285" s="2780"/>
      <c r="O3285" s="2780"/>
      <c r="P3285" s="2780"/>
      <c r="Q3285" s="2780"/>
      <c r="R3285" s="2780"/>
      <c r="S3285" s="2780"/>
      <c r="T3285" s="2780"/>
      <c r="U3285" s="2780"/>
      <c r="V3285" s="2780"/>
      <c r="W3285" s="2780"/>
      <c r="X3285" s="2780"/>
      <c r="Y3285" s="2780"/>
      <c r="Z3285" s="2780"/>
      <c r="AA3285" s="2780"/>
      <c r="AB3285" s="2780"/>
    </row>
    <row r="3286" spans="1:28" s="352" customFormat="1" ht="18" customHeight="1" x14ac:dyDescent="0.2">
      <c r="A3286" s="2686" t="s">
        <v>2</v>
      </c>
      <c r="B3286" s="360"/>
      <c r="C3286" s="2686" t="s">
        <v>3</v>
      </c>
      <c r="D3286" s="360"/>
      <c r="E3286" s="360"/>
      <c r="F3286" s="2693" t="s">
        <v>4</v>
      </c>
      <c r="G3286" s="2693"/>
      <c r="H3286" s="2693"/>
      <c r="I3286" s="2694"/>
      <c r="J3286" s="2694"/>
      <c r="K3286" s="2695"/>
      <c r="L3286" s="361"/>
      <c r="M3286" s="2679" t="s">
        <v>5</v>
      </c>
      <c r="N3286" s="2679"/>
      <c r="O3286" s="2679"/>
      <c r="P3286" s="2679"/>
      <c r="Q3286" s="2696"/>
      <c r="R3286" s="2696"/>
      <c r="S3286" s="2696"/>
      <c r="T3286" s="2696"/>
      <c r="U3286" s="2696"/>
      <c r="V3286" s="2697"/>
      <c r="W3286" s="362" t="s">
        <v>6</v>
      </c>
      <c r="X3286" s="363" t="s">
        <v>7</v>
      </c>
      <c r="Y3286" s="364"/>
      <c r="Z3286" s="364"/>
      <c r="AA3286" s="363"/>
      <c r="AB3286" s="365"/>
    </row>
    <row r="3287" spans="1:28" s="352" customFormat="1" ht="18" customHeight="1" x14ac:dyDescent="0.2">
      <c r="A3287" s="2687"/>
      <c r="B3287" s="367"/>
      <c r="C3287" s="2687"/>
      <c r="D3287" s="2158" t="s">
        <v>9</v>
      </c>
      <c r="E3287" s="368" t="s">
        <v>10</v>
      </c>
      <c r="F3287" s="2698" t="s">
        <v>11</v>
      </c>
      <c r="G3287" s="2694"/>
      <c r="H3287" s="2695"/>
      <c r="I3287" s="360"/>
      <c r="J3287" s="369" t="s">
        <v>12</v>
      </c>
      <c r="K3287" s="360"/>
      <c r="L3287" s="2679" t="s">
        <v>2</v>
      </c>
      <c r="M3287" s="2162"/>
      <c r="N3287" s="2162"/>
      <c r="O3287" s="2162"/>
      <c r="P3287" s="371"/>
      <c r="Q3287" s="372" t="s">
        <v>13</v>
      </c>
      <c r="R3287" s="373" t="s">
        <v>12</v>
      </c>
      <c r="S3287" s="2162" t="s">
        <v>6</v>
      </c>
      <c r="T3287" s="2682" t="s">
        <v>14</v>
      </c>
      <c r="U3287" s="2683"/>
      <c r="V3287" s="375" t="s">
        <v>7</v>
      </c>
      <c r="W3287" s="376" t="s">
        <v>15</v>
      </c>
      <c r="X3287" s="377" t="s">
        <v>16</v>
      </c>
      <c r="Y3287" s="377" t="s">
        <v>17</v>
      </c>
      <c r="Z3287" s="377" t="s">
        <v>18</v>
      </c>
      <c r="AA3287" s="377"/>
      <c r="AB3287" s="378" t="s">
        <v>19</v>
      </c>
    </row>
    <row r="3288" spans="1:28" s="352" customFormat="1" ht="18" customHeight="1" x14ac:dyDescent="0.2">
      <c r="A3288" s="2687"/>
      <c r="B3288" s="2158" t="s">
        <v>23</v>
      </c>
      <c r="C3288" s="2687"/>
      <c r="D3288" s="2158" t="s">
        <v>24</v>
      </c>
      <c r="E3288" s="368" t="s">
        <v>25</v>
      </c>
      <c r="F3288" s="2699"/>
      <c r="G3288" s="2700"/>
      <c r="H3288" s="2701"/>
      <c r="I3288" s="2158" t="s">
        <v>26</v>
      </c>
      <c r="J3288" s="379" t="s">
        <v>15</v>
      </c>
      <c r="K3288" s="2159" t="s">
        <v>6</v>
      </c>
      <c r="L3288" s="2680"/>
      <c r="M3288" s="2163" t="s">
        <v>27</v>
      </c>
      <c r="N3288" s="2163" t="s">
        <v>10</v>
      </c>
      <c r="O3288" s="382" t="s">
        <v>10</v>
      </c>
      <c r="P3288" s="383" t="s">
        <v>28</v>
      </c>
      <c r="Q3288" s="384" t="s">
        <v>29</v>
      </c>
      <c r="R3288" s="383" t="s">
        <v>15</v>
      </c>
      <c r="S3288" s="385" t="s">
        <v>15</v>
      </c>
      <c r="T3288" s="2684"/>
      <c r="U3288" s="2685"/>
      <c r="V3288" s="375" t="s">
        <v>30</v>
      </c>
      <c r="W3288" s="376" t="s">
        <v>31</v>
      </c>
      <c r="X3288" s="377" t="s">
        <v>30</v>
      </c>
      <c r="Y3288" s="377" t="s">
        <v>32</v>
      </c>
      <c r="Z3288" s="377" t="s">
        <v>7</v>
      </c>
      <c r="AA3288" s="377" t="s">
        <v>33</v>
      </c>
      <c r="AB3288" s="378" t="s">
        <v>34</v>
      </c>
    </row>
    <row r="3289" spans="1:28" s="352" customFormat="1" ht="18" customHeight="1" x14ac:dyDescent="0.2">
      <c r="A3289" s="2687"/>
      <c r="B3289" s="2158" t="s">
        <v>39</v>
      </c>
      <c r="C3289" s="2687"/>
      <c r="D3289" s="2158" t="s">
        <v>40</v>
      </c>
      <c r="E3289" s="368" t="s">
        <v>41</v>
      </c>
      <c r="F3289" s="2686" t="s">
        <v>42</v>
      </c>
      <c r="G3289" s="2686" t="s">
        <v>43</v>
      </c>
      <c r="H3289" s="2688" t="s">
        <v>44</v>
      </c>
      <c r="I3289" s="2158" t="s">
        <v>45</v>
      </c>
      <c r="J3289" s="379" t="s">
        <v>46</v>
      </c>
      <c r="K3289" s="2159" t="s">
        <v>47</v>
      </c>
      <c r="L3289" s="2680"/>
      <c r="M3289" s="2163" t="s">
        <v>30</v>
      </c>
      <c r="N3289" s="2163" t="s">
        <v>30</v>
      </c>
      <c r="O3289" s="382" t="s">
        <v>25</v>
      </c>
      <c r="P3289" s="383" t="s">
        <v>30</v>
      </c>
      <c r="Q3289" s="384" t="s">
        <v>48</v>
      </c>
      <c r="R3289" s="383" t="s">
        <v>49</v>
      </c>
      <c r="S3289" s="385" t="s">
        <v>30</v>
      </c>
      <c r="T3289" s="386" t="s">
        <v>50</v>
      </c>
      <c r="U3289" s="2161" t="s">
        <v>13</v>
      </c>
      <c r="V3289" s="375" t="s">
        <v>51</v>
      </c>
      <c r="W3289" s="376" t="s">
        <v>52</v>
      </c>
      <c r="X3289" s="377" t="s">
        <v>53</v>
      </c>
      <c r="Y3289" s="377" t="s">
        <v>54</v>
      </c>
      <c r="Z3289" s="377" t="s">
        <v>55</v>
      </c>
      <c r="AA3289" s="377" t="s">
        <v>56</v>
      </c>
      <c r="AB3289" s="378" t="s">
        <v>57</v>
      </c>
    </row>
    <row r="3290" spans="1:28" s="352" customFormat="1" ht="18" customHeight="1" x14ac:dyDescent="0.2">
      <c r="A3290" s="2687"/>
      <c r="B3290" s="2158" t="s">
        <v>61</v>
      </c>
      <c r="C3290" s="2687"/>
      <c r="D3290" s="2158" t="s">
        <v>62</v>
      </c>
      <c r="E3290" s="368" t="s">
        <v>63</v>
      </c>
      <c r="F3290" s="2687"/>
      <c r="G3290" s="2687"/>
      <c r="H3290" s="2689"/>
      <c r="I3290" s="2158" t="s">
        <v>64</v>
      </c>
      <c r="J3290" s="379" t="s">
        <v>59</v>
      </c>
      <c r="K3290" s="2159" t="s">
        <v>59</v>
      </c>
      <c r="L3290" s="2680"/>
      <c r="M3290" s="2163"/>
      <c r="N3290" s="2163"/>
      <c r="O3290" s="382" t="s">
        <v>41</v>
      </c>
      <c r="P3290" s="383" t="s">
        <v>65</v>
      </c>
      <c r="Q3290" s="384" t="s">
        <v>66</v>
      </c>
      <c r="R3290" s="383" t="s">
        <v>67</v>
      </c>
      <c r="S3290" s="385" t="s">
        <v>59</v>
      </c>
      <c r="T3290" s="387" t="s">
        <v>68</v>
      </c>
      <c r="U3290" s="375" t="s">
        <v>14</v>
      </c>
      <c r="V3290" s="375" t="s">
        <v>14</v>
      </c>
      <c r="W3290" s="376" t="s">
        <v>30</v>
      </c>
      <c r="X3290" s="388" t="s">
        <v>69</v>
      </c>
      <c r="Y3290" s="388" t="s">
        <v>70</v>
      </c>
      <c r="Z3290" s="377" t="s">
        <v>71</v>
      </c>
      <c r="AA3290" s="377" t="s">
        <v>72</v>
      </c>
      <c r="AB3290" s="378" t="s">
        <v>59</v>
      </c>
    </row>
    <row r="3291" spans="1:28" s="352" customFormat="1" ht="18" customHeight="1" x14ac:dyDescent="0.2">
      <c r="A3291" s="2692"/>
      <c r="B3291" s="390"/>
      <c r="C3291" s="2692"/>
      <c r="D3291" s="390"/>
      <c r="E3291" s="2160"/>
      <c r="F3291" s="390"/>
      <c r="G3291" s="390"/>
      <c r="H3291" s="391"/>
      <c r="I3291" s="2160"/>
      <c r="J3291" s="392"/>
      <c r="K3291" s="393"/>
      <c r="L3291" s="2681"/>
      <c r="M3291" s="2164"/>
      <c r="N3291" s="2164"/>
      <c r="O3291" s="2164" t="s">
        <v>63</v>
      </c>
      <c r="P3291" s="395"/>
      <c r="Q3291" s="396" t="s">
        <v>72</v>
      </c>
      <c r="R3291" s="397" t="s">
        <v>59</v>
      </c>
      <c r="S3291" s="398"/>
      <c r="T3291" s="397" t="s">
        <v>73</v>
      </c>
      <c r="U3291" s="398" t="s">
        <v>59</v>
      </c>
      <c r="V3291" s="399" t="s">
        <v>59</v>
      </c>
      <c r="W3291" s="400" t="s">
        <v>59</v>
      </c>
      <c r="X3291" s="401" t="s">
        <v>59</v>
      </c>
      <c r="Y3291" s="401" t="s">
        <v>59</v>
      </c>
      <c r="Z3291" s="401" t="s">
        <v>59</v>
      </c>
      <c r="AA3291" s="402"/>
      <c r="AB3291" s="403"/>
    </row>
    <row r="3292" spans="1:28" s="352" customFormat="1" ht="18" customHeight="1" x14ac:dyDescent="0.2">
      <c r="A3292" s="82">
        <v>1</v>
      </c>
      <c r="B3292" s="53">
        <v>34937</v>
      </c>
      <c r="C3292" s="82">
        <v>2293</v>
      </c>
      <c r="D3292" s="82" t="s">
        <v>107</v>
      </c>
      <c r="E3292" s="82">
        <v>2</v>
      </c>
      <c r="F3292" s="82">
        <v>0</v>
      </c>
      <c r="G3292" s="82">
        <v>0</v>
      </c>
      <c r="H3292" s="463">
        <v>93</v>
      </c>
      <c r="I3292" s="70">
        <f>F3292*400+G3292*100+H3292</f>
        <v>93</v>
      </c>
      <c r="J3292" s="123">
        <v>1600</v>
      </c>
      <c r="K3292" s="124">
        <f>SUM(I3292*J3292)</f>
        <v>148800</v>
      </c>
      <c r="L3292" s="53"/>
      <c r="N3292" s="82"/>
      <c r="O3292" s="53"/>
      <c r="P3292" s="358"/>
      <c r="Q3292" s="197"/>
      <c r="R3292" s="444"/>
      <c r="S3292" s="123"/>
      <c r="T3292" s="82"/>
      <c r="U3292" s="70"/>
      <c r="V3292" s="70"/>
      <c r="W3292" s="70"/>
      <c r="X3292" s="70">
        <f>K3292</f>
        <v>148800</v>
      </c>
      <c r="Y3292" s="123"/>
      <c r="Z3292" s="70">
        <f>X3292</f>
        <v>148800</v>
      </c>
      <c r="AA3292" s="464">
        <v>0.6</v>
      </c>
      <c r="AB3292" s="406">
        <f>+Z3292*AA3292/100</f>
        <v>892.8</v>
      </c>
    </row>
    <row r="3293" spans="1:28" s="352" customFormat="1" ht="18" customHeight="1" x14ac:dyDescent="0.2">
      <c r="A3293" s="2166"/>
      <c r="B3293" s="61"/>
      <c r="C3293" s="2166"/>
      <c r="D3293" s="2166"/>
      <c r="E3293" s="2166"/>
      <c r="F3293" s="2166"/>
      <c r="G3293" s="2166"/>
      <c r="H3293" s="407"/>
      <c r="I3293" s="77"/>
      <c r="J3293" s="2168"/>
      <c r="K3293" s="78"/>
      <c r="L3293" s="61"/>
      <c r="M3293" s="2166"/>
      <c r="N3293" s="2166"/>
      <c r="O3293" s="61"/>
      <c r="P3293" s="177"/>
      <c r="Q3293" s="196"/>
      <c r="R3293" s="408"/>
      <c r="S3293" s="2166"/>
      <c r="T3293" s="2166"/>
      <c r="U3293" s="77"/>
      <c r="V3293" s="77"/>
      <c r="W3293" s="77"/>
      <c r="X3293" s="77"/>
      <c r="Y3293" s="2168"/>
      <c r="Z3293" s="77"/>
      <c r="AA3293" s="2170"/>
      <c r="AB3293" s="410"/>
    </row>
    <row r="3294" spans="1:28" s="352" customFormat="1" ht="18" customHeight="1" x14ac:dyDescent="0.2">
      <c r="A3294" s="2166"/>
      <c r="B3294" s="61"/>
      <c r="C3294" s="2166"/>
      <c r="D3294" s="2166"/>
      <c r="E3294" s="2166"/>
      <c r="F3294" s="2166"/>
      <c r="G3294" s="2166"/>
      <c r="H3294" s="407"/>
      <c r="I3294" s="77"/>
      <c r="J3294" s="2168"/>
      <c r="K3294" s="78"/>
      <c r="L3294" s="61"/>
      <c r="M3294" s="2166"/>
      <c r="N3294" s="2166"/>
      <c r="O3294" s="61"/>
      <c r="P3294" s="177"/>
      <c r="Q3294" s="196"/>
      <c r="R3294" s="408"/>
      <c r="S3294" s="77"/>
      <c r="T3294" s="2166"/>
      <c r="U3294" s="77"/>
      <c r="V3294" s="77"/>
      <c r="W3294" s="77"/>
      <c r="X3294" s="77"/>
      <c r="Y3294" s="2168"/>
      <c r="Z3294" s="77"/>
      <c r="AA3294" s="2170"/>
      <c r="AB3294" s="410"/>
    </row>
    <row r="3295" spans="1:28" s="352" customFormat="1" ht="18" customHeight="1" x14ac:dyDescent="0.2">
      <c r="A3295" s="2166"/>
      <c r="B3295" s="61"/>
      <c r="C3295" s="2166"/>
      <c r="D3295" s="2166"/>
      <c r="E3295" s="2166"/>
      <c r="F3295" s="2166"/>
      <c r="G3295" s="2166"/>
      <c r="H3295" s="407"/>
      <c r="I3295" s="77"/>
      <c r="J3295" s="2168"/>
      <c r="K3295" s="78"/>
      <c r="L3295" s="61"/>
      <c r="M3295" s="2166"/>
      <c r="N3295" s="2166"/>
      <c r="O3295" s="61"/>
      <c r="P3295" s="177"/>
      <c r="Q3295" s="196"/>
      <c r="R3295" s="408"/>
      <c r="S3295" s="77"/>
      <c r="T3295" s="2166"/>
      <c r="U3295" s="77"/>
      <c r="V3295" s="77"/>
      <c r="W3295" s="77"/>
      <c r="X3295" s="77"/>
      <c r="Y3295" s="2168"/>
      <c r="Z3295" s="77"/>
      <c r="AA3295" s="2170"/>
      <c r="AB3295" s="410"/>
    </row>
    <row r="3296" spans="1:28" s="352" customFormat="1" ht="18" customHeight="1" x14ac:dyDescent="0.2">
      <c r="A3296" s="2166"/>
      <c r="B3296" s="61"/>
      <c r="C3296" s="2166"/>
      <c r="D3296" s="2166"/>
      <c r="E3296" s="2166"/>
      <c r="F3296" s="2166"/>
      <c r="G3296" s="2166"/>
      <c r="H3296" s="407"/>
      <c r="I3296" s="77"/>
      <c r="J3296" s="2168"/>
      <c r="K3296" s="78"/>
      <c r="L3296" s="61"/>
      <c r="M3296" s="2166"/>
      <c r="N3296" s="2166"/>
      <c r="O3296" s="61"/>
      <c r="P3296" s="177"/>
      <c r="Q3296" s="196"/>
      <c r="R3296" s="408"/>
      <c r="S3296" s="77"/>
      <c r="T3296" s="2166"/>
      <c r="U3296" s="77"/>
      <c r="V3296" s="77"/>
      <c r="W3296" s="77"/>
      <c r="X3296" s="77"/>
      <c r="Y3296" s="2168"/>
      <c r="Z3296" s="77"/>
      <c r="AA3296" s="2170"/>
      <c r="AB3296" s="410"/>
    </row>
    <row r="3297" spans="1:28" s="352" customFormat="1" ht="18" customHeight="1" x14ac:dyDescent="0.2">
      <c r="A3297" s="2166"/>
      <c r="B3297" s="61"/>
      <c r="C3297" s="2166"/>
      <c r="D3297" s="2166"/>
      <c r="E3297" s="2166"/>
      <c r="F3297" s="2166"/>
      <c r="G3297" s="2166"/>
      <c r="H3297" s="407"/>
      <c r="I3297" s="77"/>
      <c r="J3297" s="2168"/>
      <c r="K3297" s="78"/>
      <c r="L3297" s="61"/>
      <c r="M3297" s="2166"/>
      <c r="N3297" s="2166"/>
      <c r="O3297" s="61"/>
      <c r="P3297" s="177"/>
      <c r="Q3297" s="196"/>
      <c r="R3297" s="408"/>
      <c r="S3297" s="77"/>
      <c r="T3297" s="2166"/>
      <c r="U3297" s="77"/>
      <c r="V3297" s="77"/>
      <c r="W3297" s="77"/>
      <c r="X3297" s="77"/>
      <c r="Y3297" s="2168"/>
      <c r="Z3297" s="77"/>
      <c r="AA3297" s="2170"/>
      <c r="AB3297" s="410"/>
    </row>
    <row r="3298" spans="1:28" s="352" customFormat="1" ht="18" customHeight="1" x14ac:dyDescent="0.2">
      <c r="A3298" s="2166"/>
      <c r="B3298" s="61"/>
      <c r="C3298" s="2166"/>
      <c r="D3298" s="2166"/>
      <c r="E3298" s="2166"/>
      <c r="F3298" s="2166"/>
      <c r="G3298" s="2166"/>
      <c r="H3298" s="407"/>
      <c r="I3298" s="77"/>
      <c r="J3298" s="2168"/>
      <c r="K3298" s="78"/>
      <c r="L3298" s="61"/>
      <c r="M3298" s="2166"/>
      <c r="N3298" s="2166"/>
      <c r="O3298" s="61"/>
      <c r="P3298" s="177"/>
      <c r="Q3298" s="196"/>
      <c r="R3298" s="408"/>
      <c r="S3298" s="77"/>
      <c r="T3298" s="2166"/>
      <c r="U3298" s="77"/>
      <c r="V3298" s="77"/>
      <c r="W3298" s="77"/>
      <c r="X3298" s="77"/>
      <c r="Y3298" s="2168"/>
      <c r="Z3298" s="77"/>
      <c r="AA3298" s="2170"/>
      <c r="AB3298" s="410"/>
    </row>
    <row r="3299" spans="1:28" s="352" customFormat="1" ht="18" customHeight="1" x14ac:dyDescent="0.2">
      <c r="A3299" s="2166"/>
      <c r="B3299" s="61"/>
      <c r="C3299" s="2166"/>
      <c r="D3299" s="2166"/>
      <c r="E3299" s="2166"/>
      <c r="F3299" s="467"/>
      <c r="G3299" s="61"/>
      <c r="H3299" s="407"/>
      <c r="I3299" s="78"/>
      <c r="J3299" s="2168"/>
      <c r="K3299" s="78"/>
      <c r="L3299" s="61"/>
      <c r="M3299" s="2166"/>
      <c r="N3299" s="2166"/>
      <c r="O3299" s="61"/>
      <c r="P3299" s="177"/>
      <c r="Q3299" s="196"/>
      <c r="R3299" s="408"/>
      <c r="S3299" s="77"/>
      <c r="T3299" s="2166"/>
      <c r="U3299" s="77"/>
      <c r="V3299" s="77"/>
      <c r="W3299" s="77"/>
      <c r="X3299" s="77"/>
      <c r="Y3299" s="2168"/>
      <c r="Z3299" s="77"/>
      <c r="AA3299" s="2170"/>
      <c r="AB3299" s="416"/>
    </row>
    <row r="3300" spans="1:28" s="352" customFormat="1" ht="18" customHeight="1" x14ac:dyDescent="0.2">
      <c r="A3300" s="88"/>
      <c r="B3300" s="75"/>
      <c r="C3300" s="88"/>
      <c r="D3300" s="88"/>
      <c r="E3300" s="2166"/>
      <c r="F3300" s="411"/>
      <c r="G3300" s="242"/>
      <c r="H3300" s="412"/>
      <c r="I3300" s="159"/>
      <c r="J3300" s="121"/>
      <c r="K3300" s="159"/>
      <c r="L3300" s="75"/>
      <c r="M3300" s="88"/>
      <c r="N3300" s="88"/>
      <c r="O3300" s="75"/>
      <c r="P3300" s="180"/>
      <c r="Q3300" s="174"/>
      <c r="R3300" s="413"/>
      <c r="S3300" s="74"/>
      <c r="T3300" s="88"/>
      <c r="U3300" s="74"/>
      <c r="V3300" s="74"/>
      <c r="W3300" s="74"/>
      <c r="X3300" s="74"/>
      <c r="Y3300" s="121"/>
      <c r="Z3300" s="74"/>
      <c r="AA3300" s="414"/>
      <c r="AB3300" s="416"/>
    </row>
    <row r="3301" spans="1:28" s="352" customFormat="1" ht="18" customHeight="1" x14ac:dyDescent="0.2">
      <c r="A3301" s="88"/>
      <c r="B3301" s="75"/>
      <c r="C3301" s="88"/>
      <c r="D3301" s="88"/>
      <c r="E3301" s="2166"/>
      <c r="F3301" s="411"/>
      <c r="G3301" s="242"/>
      <c r="H3301" s="412"/>
      <c r="I3301" s="159"/>
      <c r="J3301" s="121"/>
      <c r="K3301" s="159"/>
      <c r="L3301" s="75"/>
      <c r="M3301" s="88"/>
      <c r="N3301" s="88"/>
      <c r="O3301" s="75"/>
      <c r="P3301" s="180"/>
      <c r="Q3301" s="174"/>
      <c r="R3301" s="413"/>
      <c r="S3301" s="74"/>
      <c r="T3301" s="88"/>
      <c r="U3301" s="74"/>
      <c r="V3301" s="74"/>
      <c r="W3301" s="74"/>
      <c r="X3301" s="74"/>
      <c r="Y3301" s="121"/>
      <c r="Z3301" s="74"/>
      <c r="AA3301" s="414"/>
      <c r="AB3301" s="415"/>
    </row>
    <row r="3302" spans="1:28" s="352" customFormat="1" ht="18" customHeight="1" x14ac:dyDescent="0.2">
      <c r="A3302" s="88"/>
      <c r="B3302" s="75"/>
      <c r="C3302" s="88"/>
      <c r="D3302" s="231"/>
      <c r="E3302" s="2166"/>
      <c r="F3302" s="411"/>
      <c r="G3302" s="242"/>
      <c r="H3302" s="412"/>
      <c r="I3302" s="159"/>
      <c r="J3302" s="121"/>
      <c r="K3302" s="159"/>
      <c r="L3302" s="75"/>
      <c r="M3302" s="88"/>
      <c r="N3302" s="88"/>
      <c r="O3302" s="75"/>
      <c r="P3302" s="180"/>
      <c r="Q3302" s="174"/>
      <c r="R3302" s="413"/>
      <c r="S3302" s="74"/>
      <c r="T3302" s="88"/>
      <c r="U3302" s="74"/>
      <c r="V3302" s="74"/>
      <c r="W3302" s="74"/>
      <c r="X3302" s="74"/>
      <c r="Y3302" s="121"/>
      <c r="Z3302" s="74"/>
      <c r="AA3302" s="417"/>
      <c r="AB3302" s="410"/>
    </row>
    <row r="3303" spans="1:28" s="352" customFormat="1" ht="18" customHeight="1" x14ac:dyDescent="0.2">
      <c r="A3303" s="88"/>
      <c r="B3303" s="75"/>
      <c r="C3303" s="88"/>
      <c r="D3303" s="2165"/>
      <c r="E3303" s="2166"/>
      <c r="F3303" s="411"/>
      <c r="G3303" s="242"/>
      <c r="H3303" s="412"/>
      <c r="I3303" s="159"/>
      <c r="J3303" s="121"/>
      <c r="K3303" s="159"/>
      <c r="L3303" s="75"/>
      <c r="M3303" s="88"/>
      <c r="N3303" s="88"/>
      <c r="O3303" s="75"/>
      <c r="P3303" s="180"/>
      <c r="Q3303" s="174"/>
      <c r="R3303" s="413"/>
      <c r="S3303" s="74"/>
      <c r="T3303" s="88"/>
      <c r="U3303" s="74"/>
      <c r="V3303" s="74"/>
      <c r="W3303" s="74"/>
      <c r="X3303" s="74"/>
      <c r="Y3303" s="121"/>
      <c r="Z3303" s="74"/>
      <c r="AA3303" s="417"/>
      <c r="AB3303" s="410"/>
    </row>
    <row r="3304" spans="1:28" s="352" customFormat="1" ht="18" customHeight="1" x14ac:dyDescent="0.2">
      <c r="A3304" s="88"/>
      <c r="B3304" s="75"/>
      <c r="C3304" s="88"/>
      <c r="D3304" s="2165"/>
      <c r="E3304" s="2166"/>
      <c r="F3304" s="411"/>
      <c r="G3304" s="242"/>
      <c r="H3304" s="412"/>
      <c r="I3304" s="159"/>
      <c r="J3304" s="121"/>
      <c r="K3304" s="159"/>
      <c r="L3304" s="75"/>
      <c r="M3304" s="88"/>
      <c r="N3304" s="88"/>
      <c r="O3304" s="75"/>
      <c r="P3304" s="180"/>
      <c r="Q3304" s="174"/>
      <c r="R3304" s="413"/>
      <c r="S3304" s="74"/>
      <c r="T3304" s="88"/>
      <c r="U3304" s="74"/>
      <c r="V3304" s="74"/>
      <c r="W3304" s="74"/>
      <c r="X3304" s="74"/>
      <c r="Y3304" s="121"/>
      <c r="Z3304" s="74"/>
      <c r="AA3304" s="414"/>
      <c r="AB3304" s="416"/>
    </row>
    <row r="3305" spans="1:28" s="352" customFormat="1" ht="18" customHeight="1" x14ac:dyDescent="0.2">
      <c r="A3305" s="88"/>
      <c r="B3305" s="418"/>
      <c r="C3305" s="88"/>
      <c r="D3305" s="88"/>
      <c r="E3305" s="88"/>
      <c r="F3305" s="411"/>
      <c r="G3305" s="242"/>
      <c r="H3305" s="412"/>
      <c r="I3305" s="159"/>
      <c r="J3305" s="121"/>
      <c r="K3305" s="159"/>
      <c r="L3305" s="75"/>
      <c r="M3305" s="88"/>
      <c r="N3305" s="88"/>
      <c r="O3305" s="75"/>
      <c r="P3305" s="180"/>
      <c r="Q3305" s="174"/>
      <c r="R3305" s="413"/>
      <c r="S3305" s="74"/>
      <c r="T3305" s="88"/>
      <c r="U3305" s="74"/>
      <c r="V3305" s="74"/>
      <c r="W3305" s="74"/>
      <c r="X3305" s="74"/>
      <c r="Y3305" s="121"/>
      <c r="Z3305" s="74"/>
      <c r="AA3305" s="414"/>
      <c r="AB3305" s="410"/>
    </row>
    <row r="3306" spans="1:28" s="352" customFormat="1" ht="18" customHeight="1" x14ac:dyDescent="0.2">
      <c r="A3306" s="1147"/>
      <c r="B3306" s="1989"/>
      <c r="C3306" s="1147"/>
      <c r="D3306" s="1147"/>
      <c r="E3306" s="1147"/>
      <c r="F3306" s="1147"/>
      <c r="G3306" s="1147"/>
      <c r="H3306" s="1990"/>
      <c r="I3306" s="1991"/>
      <c r="J3306" s="1868"/>
      <c r="K3306" s="1992"/>
      <c r="L3306" s="1989"/>
      <c r="M3306" s="1147"/>
      <c r="N3306" s="1147"/>
      <c r="O3306" s="1989"/>
      <c r="P3306" s="1867"/>
      <c r="Q3306" s="1993"/>
      <c r="R3306" s="1994"/>
      <c r="S3306" s="1991"/>
      <c r="T3306" s="1147"/>
      <c r="U3306" s="1991"/>
      <c r="V3306" s="1991"/>
      <c r="W3306" s="1991"/>
      <c r="X3306" s="1991"/>
      <c r="Y3306" s="1868"/>
      <c r="Z3306" s="1991"/>
      <c r="AA3306" s="1995"/>
      <c r="AB3306" s="1849">
        <f>SUM(AB3292:AB3305)</f>
        <v>892.8</v>
      </c>
    </row>
    <row r="3307" spans="1:28" s="352" customFormat="1" ht="18" customHeight="1" x14ac:dyDescent="0.2">
      <c r="A3307" s="2788" t="s">
        <v>76</v>
      </c>
      <c r="B3307" s="2788"/>
      <c r="C3307" s="2779" t="s">
        <v>77</v>
      </c>
      <c r="D3307" s="2779"/>
      <c r="E3307" s="2779"/>
      <c r="F3307" s="2779"/>
      <c r="G3307" s="2779"/>
      <c r="H3307" s="2779"/>
      <c r="I3307" s="424" t="s">
        <v>78</v>
      </c>
      <c r="J3307" s="424"/>
      <c r="K3307" s="424"/>
      <c r="L3307" s="424"/>
      <c r="M3307" s="424"/>
      <c r="N3307" s="424"/>
      <c r="AB3307" s="425"/>
    </row>
    <row r="3308" spans="1:28" s="352" customFormat="1" ht="18" customHeight="1" x14ac:dyDescent="0.2">
      <c r="A3308" s="424"/>
      <c r="B3308" s="426"/>
      <c r="C3308" s="424"/>
      <c r="D3308" s="424"/>
      <c r="E3308" s="424"/>
      <c r="F3308" s="424"/>
      <c r="G3308" s="424"/>
      <c r="H3308" s="424"/>
      <c r="I3308" s="424" t="s">
        <v>79</v>
      </c>
      <c r="J3308" s="424"/>
      <c r="K3308" s="424"/>
      <c r="L3308" s="424"/>
      <c r="M3308" s="424"/>
      <c r="N3308" s="424"/>
      <c r="AB3308" s="425"/>
    </row>
    <row r="3309" spans="1:28" s="352" customFormat="1" ht="18" customHeight="1" x14ac:dyDescent="0.2">
      <c r="A3309" s="424"/>
      <c r="B3309" s="426"/>
      <c r="C3309" s="424"/>
      <c r="D3309" s="424"/>
      <c r="E3309" s="424"/>
      <c r="F3309" s="424"/>
      <c r="G3309" s="424"/>
      <c r="H3309" s="424"/>
      <c r="I3309" s="424" t="s">
        <v>80</v>
      </c>
      <c r="J3309" s="424"/>
      <c r="K3309" s="424"/>
      <c r="L3309" s="424"/>
      <c r="M3309" s="424"/>
      <c r="N3309" s="424"/>
      <c r="AB3309" s="425"/>
    </row>
    <row r="3310" spans="1:28" s="352" customFormat="1" ht="18" customHeight="1" x14ac:dyDescent="0.2">
      <c r="A3310" s="424"/>
      <c r="B3310" s="426"/>
      <c r="C3310" s="424"/>
      <c r="D3310" s="424"/>
      <c r="E3310" s="424"/>
      <c r="F3310" s="424"/>
      <c r="G3310" s="424"/>
      <c r="H3310" s="424"/>
      <c r="I3310" s="424" t="s">
        <v>81</v>
      </c>
      <c r="J3310" s="424"/>
      <c r="K3310" s="424"/>
      <c r="L3310" s="424"/>
      <c r="M3310" s="424"/>
      <c r="N3310" s="424"/>
      <c r="AB3310" s="425"/>
    </row>
    <row r="3311" spans="1:28" s="352" customFormat="1" ht="18" customHeight="1" x14ac:dyDescent="0.2">
      <c r="A3311" s="424"/>
      <c r="B3311" s="426"/>
      <c r="C3311" s="424"/>
      <c r="D3311" s="424"/>
      <c r="E3311" s="424"/>
      <c r="F3311" s="424"/>
      <c r="G3311" s="424"/>
      <c r="H3311" s="424"/>
      <c r="I3311" s="424" t="s">
        <v>88</v>
      </c>
      <c r="J3311" s="424"/>
      <c r="K3311" s="424"/>
      <c r="L3311" s="424"/>
      <c r="M3311" s="424"/>
      <c r="N3311" s="424"/>
      <c r="AB3311" s="425"/>
    </row>
    <row r="3312" spans="1:28" s="352" customFormat="1" ht="18" customHeight="1" x14ac:dyDescent="0.2">
      <c r="A3312" s="338"/>
      <c r="B3312" s="338"/>
      <c r="C3312" s="338"/>
      <c r="D3312" s="338"/>
      <c r="E3312" s="338"/>
      <c r="F3312" s="338"/>
      <c r="G3312" s="338"/>
      <c r="H3312" s="338"/>
      <c r="I3312" s="338"/>
      <c r="J3312" s="338"/>
      <c r="K3312" s="338"/>
      <c r="L3312" s="338"/>
      <c r="M3312" s="338"/>
      <c r="N3312" s="338"/>
      <c r="O3312" s="338"/>
      <c r="P3312" s="338"/>
      <c r="Q3312" s="338"/>
      <c r="R3312" s="338"/>
      <c r="S3312" s="338"/>
      <c r="T3312" s="338"/>
      <c r="U3312" s="338"/>
      <c r="V3312" s="338"/>
      <c r="W3312" s="338"/>
      <c r="X3312" s="338"/>
      <c r="Y3312" s="338"/>
      <c r="Z3312" s="338"/>
      <c r="AA3312" s="2774" t="s">
        <v>0</v>
      </c>
      <c r="AB3312" s="2774"/>
    </row>
    <row r="3313" spans="1:28" s="352" customFormat="1" ht="18" customHeight="1" x14ac:dyDescent="0.2">
      <c r="A3313" s="2703" t="s">
        <v>1</v>
      </c>
      <c r="B3313" s="2703"/>
      <c r="C3313" s="2703"/>
      <c r="D3313" s="2703"/>
      <c r="E3313" s="2703"/>
      <c r="F3313" s="2703"/>
      <c r="G3313" s="2703"/>
      <c r="H3313" s="2703"/>
      <c r="I3313" s="2703"/>
      <c r="J3313" s="2703"/>
      <c r="K3313" s="2703"/>
      <c r="L3313" s="2703"/>
      <c r="M3313" s="2703"/>
      <c r="N3313" s="2703"/>
      <c r="O3313" s="2703"/>
      <c r="P3313" s="2703"/>
      <c r="Q3313" s="2703"/>
      <c r="R3313" s="2703"/>
      <c r="S3313" s="2703"/>
      <c r="T3313" s="2703"/>
      <c r="U3313" s="2703"/>
      <c r="V3313" s="2703"/>
      <c r="W3313" s="2703"/>
      <c r="X3313" s="2703"/>
      <c r="Y3313" s="2703"/>
      <c r="Z3313" s="2703"/>
      <c r="AA3313" s="2703"/>
      <c r="AB3313" s="2703"/>
    </row>
    <row r="3314" spans="1:28" s="352" customFormat="1" ht="18" customHeight="1" x14ac:dyDescent="0.2">
      <c r="A3314" s="2780" t="s">
        <v>700</v>
      </c>
      <c r="B3314" s="2780"/>
      <c r="C3314" s="2780"/>
      <c r="D3314" s="2780"/>
      <c r="E3314" s="2780"/>
      <c r="F3314" s="2780"/>
      <c r="G3314" s="2780"/>
      <c r="H3314" s="2780"/>
      <c r="I3314" s="2780"/>
      <c r="J3314" s="2780"/>
      <c r="K3314" s="2780"/>
      <c r="L3314" s="2780"/>
      <c r="M3314" s="2780"/>
      <c r="N3314" s="2780"/>
      <c r="O3314" s="2780"/>
      <c r="P3314" s="2780"/>
      <c r="Q3314" s="2780"/>
      <c r="R3314" s="2780"/>
      <c r="S3314" s="2780"/>
      <c r="T3314" s="2780"/>
      <c r="U3314" s="2780"/>
      <c r="V3314" s="2780"/>
      <c r="W3314" s="2780"/>
      <c r="X3314" s="2780"/>
      <c r="Y3314" s="2780"/>
      <c r="Z3314" s="2780"/>
      <c r="AA3314" s="2780"/>
      <c r="AB3314" s="2780"/>
    </row>
    <row r="3315" spans="1:28" s="352" customFormat="1" ht="18" customHeight="1" x14ac:dyDescent="0.2">
      <c r="A3315" s="2686" t="s">
        <v>2</v>
      </c>
      <c r="B3315" s="360"/>
      <c r="C3315" s="2686" t="s">
        <v>3</v>
      </c>
      <c r="D3315" s="360"/>
      <c r="E3315" s="360"/>
      <c r="F3315" s="2693" t="s">
        <v>4</v>
      </c>
      <c r="G3315" s="2693"/>
      <c r="H3315" s="2693"/>
      <c r="I3315" s="2694"/>
      <c r="J3315" s="2694"/>
      <c r="K3315" s="2695"/>
      <c r="L3315" s="361"/>
      <c r="M3315" s="2679" t="s">
        <v>5</v>
      </c>
      <c r="N3315" s="2679"/>
      <c r="O3315" s="2679"/>
      <c r="P3315" s="2679"/>
      <c r="Q3315" s="2696"/>
      <c r="R3315" s="2696"/>
      <c r="S3315" s="2696"/>
      <c r="T3315" s="2696"/>
      <c r="U3315" s="2696"/>
      <c r="V3315" s="2697"/>
      <c r="W3315" s="362" t="s">
        <v>6</v>
      </c>
      <c r="X3315" s="363" t="s">
        <v>7</v>
      </c>
      <c r="Y3315" s="364"/>
      <c r="Z3315" s="364"/>
      <c r="AA3315" s="363"/>
      <c r="AB3315" s="365"/>
    </row>
    <row r="3316" spans="1:28" s="352" customFormat="1" ht="18" customHeight="1" x14ac:dyDescent="0.2">
      <c r="A3316" s="2687"/>
      <c r="B3316" s="367"/>
      <c r="C3316" s="2687"/>
      <c r="D3316" s="2158" t="s">
        <v>9</v>
      </c>
      <c r="E3316" s="368" t="s">
        <v>10</v>
      </c>
      <c r="F3316" s="2698" t="s">
        <v>11</v>
      </c>
      <c r="G3316" s="2694"/>
      <c r="H3316" s="2695"/>
      <c r="I3316" s="360"/>
      <c r="J3316" s="369" t="s">
        <v>12</v>
      </c>
      <c r="K3316" s="360"/>
      <c r="L3316" s="2679" t="s">
        <v>2</v>
      </c>
      <c r="M3316" s="2162"/>
      <c r="N3316" s="2162"/>
      <c r="O3316" s="2162"/>
      <c r="P3316" s="371"/>
      <c r="Q3316" s="372" t="s">
        <v>13</v>
      </c>
      <c r="R3316" s="373" t="s">
        <v>12</v>
      </c>
      <c r="S3316" s="2162" t="s">
        <v>6</v>
      </c>
      <c r="T3316" s="2682" t="s">
        <v>14</v>
      </c>
      <c r="U3316" s="2683"/>
      <c r="V3316" s="375" t="s">
        <v>7</v>
      </c>
      <c r="W3316" s="376" t="s">
        <v>15</v>
      </c>
      <c r="X3316" s="377" t="s">
        <v>16</v>
      </c>
      <c r="Y3316" s="377" t="s">
        <v>17</v>
      </c>
      <c r="Z3316" s="377" t="s">
        <v>18</v>
      </c>
      <c r="AA3316" s="377"/>
      <c r="AB3316" s="378" t="s">
        <v>19</v>
      </c>
    </row>
    <row r="3317" spans="1:28" s="352" customFormat="1" ht="18" customHeight="1" x14ac:dyDescent="0.2">
      <c r="A3317" s="2687"/>
      <c r="B3317" s="2158" t="s">
        <v>23</v>
      </c>
      <c r="C3317" s="2687"/>
      <c r="D3317" s="2158" t="s">
        <v>24</v>
      </c>
      <c r="E3317" s="368" t="s">
        <v>25</v>
      </c>
      <c r="F3317" s="2699"/>
      <c r="G3317" s="2700"/>
      <c r="H3317" s="2701"/>
      <c r="I3317" s="2158" t="s">
        <v>26</v>
      </c>
      <c r="J3317" s="379" t="s">
        <v>15</v>
      </c>
      <c r="K3317" s="2159" t="s">
        <v>6</v>
      </c>
      <c r="L3317" s="2680"/>
      <c r="M3317" s="2163" t="s">
        <v>27</v>
      </c>
      <c r="N3317" s="2163" t="s">
        <v>10</v>
      </c>
      <c r="O3317" s="382" t="s">
        <v>10</v>
      </c>
      <c r="P3317" s="383" t="s">
        <v>28</v>
      </c>
      <c r="Q3317" s="384" t="s">
        <v>29</v>
      </c>
      <c r="R3317" s="383" t="s">
        <v>15</v>
      </c>
      <c r="S3317" s="385" t="s">
        <v>15</v>
      </c>
      <c r="T3317" s="2684"/>
      <c r="U3317" s="2685"/>
      <c r="V3317" s="375" t="s">
        <v>30</v>
      </c>
      <c r="W3317" s="376" t="s">
        <v>31</v>
      </c>
      <c r="X3317" s="377" t="s">
        <v>30</v>
      </c>
      <c r="Y3317" s="377" t="s">
        <v>32</v>
      </c>
      <c r="Z3317" s="377" t="s">
        <v>7</v>
      </c>
      <c r="AA3317" s="377" t="s">
        <v>33</v>
      </c>
      <c r="AB3317" s="378" t="s">
        <v>34</v>
      </c>
    </row>
    <row r="3318" spans="1:28" s="352" customFormat="1" ht="18" customHeight="1" x14ac:dyDescent="0.2">
      <c r="A3318" s="2687"/>
      <c r="B3318" s="2158" t="s">
        <v>39</v>
      </c>
      <c r="C3318" s="2687"/>
      <c r="D3318" s="2158" t="s">
        <v>40</v>
      </c>
      <c r="E3318" s="368" t="s">
        <v>41</v>
      </c>
      <c r="F3318" s="2686" t="s">
        <v>42</v>
      </c>
      <c r="G3318" s="2686" t="s">
        <v>43</v>
      </c>
      <c r="H3318" s="2688" t="s">
        <v>44</v>
      </c>
      <c r="I3318" s="2158" t="s">
        <v>45</v>
      </c>
      <c r="J3318" s="379" t="s">
        <v>46</v>
      </c>
      <c r="K3318" s="2159" t="s">
        <v>47</v>
      </c>
      <c r="L3318" s="2680"/>
      <c r="M3318" s="2163" t="s">
        <v>30</v>
      </c>
      <c r="N3318" s="2163" t="s">
        <v>30</v>
      </c>
      <c r="O3318" s="382" t="s">
        <v>25</v>
      </c>
      <c r="P3318" s="383" t="s">
        <v>30</v>
      </c>
      <c r="Q3318" s="384" t="s">
        <v>48</v>
      </c>
      <c r="R3318" s="383" t="s">
        <v>49</v>
      </c>
      <c r="S3318" s="385" t="s">
        <v>30</v>
      </c>
      <c r="T3318" s="386" t="s">
        <v>50</v>
      </c>
      <c r="U3318" s="2161" t="s">
        <v>13</v>
      </c>
      <c r="V3318" s="375" t="s">
        <v>51</v>
      </c>
      <c r="W3318" s="376" t="s">
        <v>52</v>
      </c>
      <c r="X3318" s="377" t="s">
        <v>53</v>
      </c>
      <c r="Y3318" s="377" t="s">
        <v>54</v>
      </c>
      <c r="Z3318" s="377" t="s">
        <v>55</v>
      </c>
      <c r="AA3318" s="377" t="s">
        <v>56</v>
      </c>
      <c r="AB3318" s="378" t="s">
        <v>57</v>
      </c>
    </row>
    <row r="3319" spans="1:28" s="352" customFormat="1" ht="18" customHeight="1" x14ac:dyDescent="0.2">
      <c r="A3319" s="2687"/>
      <c r="B3319" s="2158" t="s">
        <v>61</v>
      </c>
      <c r="C3319" s="2687"/>
      <c r="D3319" s="2158" t="s">
        <v>62</v>
      </c>
      <c r="E3319" s="368" t="s">
        <v>63</v>
      </c>
      <c r="F3319" s="2687"/>
      <c r="G3319" s="2687"/>
      <c r="H3319" s="2689"/>
      <c r="I3319" s="2158" t="s">
        <v>64</v>
      </c>
      <c r="J3319" s="379" t="s">
        <v>59</v>
      </c>
      <c r="K3319" s="2159" t="s">
        <v>59</v>
      </c>
      <c r="L3319" s="2680"/>
      <c r="M3319" s="2163"/>
      <c r="N3319" s="2163"/>
      <c r="O3319" s="382" t="s">
        <v>41</v>
      </c>
      <c r="P3319" s="383" t="s">
        <v>65</v>
      </c>
      <c r="Q3319" s="384" t="s">
        <v>66</v>
      </c>
      <c r="R3319" s="383" t="s">
        <v>67</v>
      </c>
      <c r="S3319" s="385" t="s">
        <v>59</v>
      </c>
      <c r="T3319" s="387" t="s">
        <v>68</v>
      </c>
      <c r="U3319" s="375" t="s">
        <v>14</v>
      </c>
      <c r="V3319" s="375" t="s">
        <v>14</v>
      </c>
      <c r="W3319" s="376" t="s">
        <v>30</v>
      </c>
      <c r="X3319" s="388" t="s">
        <v>69</v>
      </c>
      <c r="Y3319" s="388" t="s">
        <v>70</v>
      </c>
      <c r="Z3319" s="377" t="s">
        <v>71</v>
      </c>
      <c r="AA3319" s="377" t="s">
        <v>72</v>
      </c>
      <c r="AB3319" s="378" t="s">
        <v>59</v>
      </c>
    </row>
    <row r="3320" spans="1:28" s="352" customFormat="1" ht="18" customHeight="1" x14ac:dyDescent="0.2">
      <c r="A3320" s="2692"/>
      <c r="B3320" s="390"/>
      <c r="C3320" s="2692"/>
      <c r="D3320" s="390"/>
      <c r="E3320" s="2160"/>
      <c r="F3320" s="390"/>
      <c r="G3320" s="390"/>
      <c r="H3320" s="391"/>
      <c r="I3320" s="2160"/>
      <c r="J3320" s="392"/>
      <c r="K3320" s="393"/>
      <c r="L3320" s="2681"/>
      <c r="M3320" s="2164"/>
      <c r="N3320" s="2164"/>
      <c r="O3320" s="2164" t="s">
        <v>63</v>
      </c>
      <c r="P3320" s="395"/>
      <c r="Q3320" s="396" t="s">
        <v>72</v>
      </c>
      <c r="R3320" s="397" t="s">
        <v>59</v>
      </c>
      <c r="S3320" s="398"/>
      <c r="T3320" s="397" t="s">
        <v>73</v>
      </c>
      <c r="U3320" s="398" t="s">
        <v>59</v>
      </c>
      <c r="V3320" s="399" t="s">
        <v>59</v>
      </c>
      <c r="W3320" s="400" t="s">
        <v>59</v>
      </c>
      <c r="X3320" s="401" t="s">
        <v>59</v>
      </c>
      <c r="Y3320" s="401" t="s">
        <v>59</v>
      </c>
      <c r="Z3320" s="401" t="s">
        <v>59</v>
      </c>
      <c r="AA3320" s="402"/>
      <c r="AB3320" s="403"/>
    </row>
    <row r="3321" spans="1:28" s="352" customFormat="1" ht="18" customHeight="1" x14ac:dyDescent="0.2">
      <c r="A3321" s="82">
        <v>1</v>
      </c>
      <c r="B3321" s="41">
        <v>30188</v>
      </c>
      <c r="C3321" s="41">
        <v>121</v>
      </c>
      <c r="D3321" s="41" t="s">
        <v>107</v>
      </c>
      <c r="E3321" s="41">
        <v>4</v>
      </c>
      <c r="F3321" s="41">
        <v>0</v>
      </c>
      <c r="G3321" s="41">
        <v>1</v>
      </c>
      <c r="H3321" s="267">
        <v>0</v>
      </c>
      <c r="I3321" s="302">
        <f>F3321*400+G3321*100+H3321</f>
        <v>100</v>
      </c>
      <c r="J3321" s="310">
        <v>3000</v>
      </c>
      <c r="K3321" s="303">
        <f>SUM(I3321*J3321)</f>
        <v>300000</v>
      </c>
      <c r="L3321" s="16"/>
      <c r="M3321" s="82"/>
      <c r="N3321" s="41"/>
      <c r="O3321" s="16">
        <v>4</v>
      </c>
      <c r="P3321" s="404"/>
      <c r="Q3321" s="14"/>
      <c r="R3321" s="302"/>
      <c r="S3321" s="302"/>
      <c r="T3321" s="41"/>
      <c r="U3321" s="302"/>
      <c r="V3321" s="302"/>
      <c r="W3321" s="302">
        <f>K3321+V3321</f>
        <v>300000</v>
      </c>
      <c r="X3321" s="302">
        <f>W3321</f>
        <v>300000</v>
      </c>
      <c r="Y3321" s="310"/>
      <c r="Z3321" s="302">
        <f>+X3321</f>
        <v>300000</v>
      </c>
      <c r="AA3321" s="405">
        <v>0.6</v>
      </c>
      <c r="AB3321" s="465">
        <f>+Z3321*AA3321/100</f>
        <v>1800</v>
      </c>
    </row>
    <row r="3322" spans="1:28" s="352" customFormat="1" ht="18" customHeight="1" x14ac:dyDescent="0.2">
      <c r="A3322" s="2166"/>
      <c r="B3322" s="61"/>
      <c r="C3322" s="2166"/>
      <c r="D3322" s="2166"/>
      <c r="E3322" s="2166"/>
      <c r="F3322" s="2166"/>
      <c r="G3322" s="2166"/>
      <c r="H3322" s="407"/>
      <c r="I3322" s="77"/>
      <c r="J3322" s="2168"/>
      <c r="K3322" s="2168"/>
      <c r="L3322" s="488"/>
      <c r="M3322" s="488"/>
      <c r="N3322" s="488"/>
      <c r="O3322" s="488"/>
      <c r="P3322" s="819"/>
      <c r="Q3322" s="819"/>
      <c r="R3322" s="820"/>
      <c r="S3322" s="820"/>
      <c r="T3322" s="819"/>
      <c r="U3322" s="820"/>
      <c r="V3322" s="821"/>
      <c r="W3322" s="77"/>
      <c r="X3322" s="2168"/>
      <c r="Y3322" s="2168"/>
      <c r="Z3322" s="77"/>
      <c r="AA3322" s="2170"/>
      <c r="AB3322" s="416"/>
    </row>
    <row r="3323" spans="1:28" s="352" customFormat="1" ht="18" customHeight="1" x14ac:dyDescent="0.2">
      <c r="A3323" s="88"/>
      <c r="B3323" s="75"/>
      <c r="C3323" s="88"/>
      <c r="D3323" s="88"/>
      <c r="E3323" s="88"/>
      <c r="F3323" s="88"/>
      <c r="G3323" s="88"/>
      <c r="H3323" s="495"/>
      <c r="I3323" s="74"/>
      <c r="J3323" s="121"/>
      <c r="K3323" s="159"/>
      <c r="L3323" s="75"/>
      <c r="M3323" s="88"/>
      <c r="N3323" s="88"/>
      <c r="O3323" s="75"/>
      <c r="P3323" s="180"/>
      <c r="Q3323" s="174"/>
      <c r="R3323" s="413"/>
      <c r="S3323" s="74"/>
      <c r="T3323" s="88"/>
      <c r="U3323" s="74"/>
      <c r="V3323" s="74"/>
      <c r="W3323" s="74"/>
      <c r="X3323" s="74"/>
      <c r="Y3323" s="121"/>
      <c r="Z3323" s="74"/>
      <c r="AA3323" s="414"/>
      <c r="AB3323" s="410"/>
    </row>
    <row r="3324" spans="1:28" s="352" customFormat="1" ht="18" customHeight="1" x14ac:dyDescent="0.2">
      <c r="A3324" s="2166"/>
      <c r="B3324" s="61"/>
      <c r="C3324" s="2166"/>
      <c r="D3324" s="2166"/>
      <c r="E3324" s="2166"/>
      <c r="F3324" s="2166"/>
      <c r="G3324" s="2166"/>
      <c r="H3324" s="407"/>
      <c r="I3324" s="74"/>
      <c r="J3324" s="121"/>
      <c r="K3324" s="159"/>
      <c r="L3324" s="61"/>
      <c r="M3324" s="2166"/>
      <c r="N3324" s="2166"/>
      <c r="O3324" s="61"/>
      <c r="P3324" s="177"/>
      <c r="Q3324" s="196"/>
      <c r="R3324" s="408"/>
      <c r="S3324" s="77"/>
      <c r="T3324" s="2166"/>
      <c r="U3324" s="77"/>
      <c r="V3324" s="77"/>
      <c r="W3324" s="77"/>
      <c r="X3324" s="77"/>
      <c r="Y3324" s="2168"/>
      <c r="Z3324" s="77"/>
      <c r="AA3324" s="2170"/>
      <c r="AB3324" s="410"/>
    </row>
    <row r="3325" spans="1:28" s="352" customFormat="1" ht="18" customHeight="1" x14ac:dyDescent="0.2">
      <c r="A3325" s="2166"/>
      <c r="B3325" s="61"/>
      <c r="C3325" s="2166"/>
      <c r="D3325" s="2166"/>
      <c r="E3325" s="2166"/>
      <c r="F3325" s="2166"/>
      <c r="G3325" s="2166"/>
      <c r="H3325" s="407"/>
      <c r="I3325" s="77"/>
      <c r="J3325" s="2168"/>
      <c r="K3325" s="78"/>
      <c r="L3325" s="61"/>
      <c r="M3325" s="2166"/>
      <c r="N3325" s="2166"/>
      <c r="O3325" s="61"/>
      <c r="P3325" s="177"/>
      <c r="Q3325" s="196"/>
      <c r="R3325" s="408"/>
      <c r="S3325" s="77"/>
      <c r="T3325" s="2166"/>
      <c r="U3325" s="77"/>
      <c r="V3325" s="77"/>
      <c r="W3325" s="77"/>
      <c r="X3325" s="77"/>
      <c r="Y3325" s="2168"/>
      <c r="Z3325" s="77"/>
      <c r="AA3325" s="2170"/>
      <c r="AB3325" s="410"/>
    </row>
    <row r="3326" spans="1:28" s="352" customFormat="1" ht="18" customHeight="1" x14ac:dyDescent="0.2">
      <c r="A3326" s="2166"/>
      <c r="B3326" s="61"/>
      <c r="C3326" s="2166"/>
      <c r="D3326" s="2166"/>
      <c r="E3326" s="2166"/>
      <c r="F3326" s="2166"/>
      <c r="G3326" s="2166"/>
      <c r="H3326" s="407"/>
      <c r="I3326" s="77"/>
      <c r="J3326" s="2168"/>
      <c r="K3326" s="78"/>
      <c r="L3326" s="61"/>
      <c r="M3326" s="2166"/>
      <c r="N3326" s="2166"/>
      <c r="O3326" s="61"/>
      <c r="P3326" s="177"/>
      <c r="Q3326" s="196"/>
      <c r="R3326" s="408"/>
      <c r="S3326" s="77"/>
      <c r="T3326" s="2166"/>
      <c r="U3326" s="77"/>
      <c r="V3326" s="77"/>
      <c r="W3326" s="77"/>
      <c r="X3326" s="77"/>
      <c r="Y3326" s="2168"/>
      <c r="Z3326" s="77"/>
      <c r="AA3326" s="2170"/>
      <c r="AB3326" s="410"/>
    </row>
    <row r="3327" spans="1:28" s="352" customFormat="1" ht="18" customHeight="1" x14ac:dyDescent="0.2">
      <c r="A3327" s="2166"/>
      <c r="B3327" s="61"/>
      <c r="C3327" s="2166"/>
      <c r="D3327" s="2166"/>
      <c r="E3327" s="2166"/>
      <c r="F3327" s="2166"/>
      <c r="G3327" s="2166"/>
      <c r="H3327" s="407"/>
      <c r="I3327" s="77"/>
      <c r="J3327" s="2168"/>
      <c r="K3327" s="78"/>
      <c r="L3327" s="61"/>
      <c r="M3327" s="2166"/>
      <c r="N3327" s="2166"/>
      <c r="O3327" s="61"/>
      <c r="P3327" s="177"/>
      <c r="Q3327" s="196"/>
      <c r="R3327" s="408"/>
      <c r="S3327" s="77"/>
      <c r="T3327" s="2166"/>
      <c r="U3327" s="77"/>
      <c r="V3327" s="77"/>
      <c r="W3327" s="77"/>
      <c r="X3327" s="77"/>
      <c r="Y3327" s="2168"/>
      <c r="Z3327" s="77"/>
      <c r="AA3327" s="2170"/>
      <c r="AB3327" s="410"/>
    </row>
    <row r="3328" spans="1:28" s="352" customFormat="1" ht="18" customHeight="1" x14ac:dyDescent="0.2">
      <c r="A3328" s="2166"/>
      <c r="B3328" s="61"/>
      <c r="C3328" s="2166"/>
      <c r="D3328" s="2166"/>
      <c r="E3328" s="2166"/>
      <c r="F3328" s="2166"/>
      <c r="G3328" s="2166"/>
      <c r="H3328" s="407"/>
      <c r="I3328" s="77"/>
      <c r="J3328" s="2168"/>
      <c r="K3328" s="78"/>
      <c r="L3328" s="61"/>
      <c r="M3328" s="2166"/>
      <c r="N3328" s="2166"/>
      <c r="O3328" s="61"/>
      <c r="P3328" s="177"/>
      <c r="Q3328" s="196"/>
      <c r="R3328" s="408"/>
      <c r="S3328" s="77"/>
      <c r="T3328" s="2166"/>
      <c r="U3328" s="77"/>
      <c r="V3328" s="77"/>
      <c r="W3328" s="77"/>
      <c r="X3328" s="77"/>
      <c r="Y3328" s="2168"/>
      <c r="Z3328" s="77"/>
      <c r="AA3328" s="2170"/>
      <c r="AB3328" s="410"/>
    </row>
    <row r="3329" spans="1:28" s="352" customFormat="1" ht="18" customHeight="1" x14ac:dyDescent="0.2">
      <c r="A3329" s="2166"/>
      <c r="B3329" s="61"/>
      <c r="C3329" s="2166"/>
      <c r="D3329" s="2166"/>
      <c r="E3329" s="2166"/>
      <c r="F3329" s="2166"/>
      <c r="G3329" s="2166"/>
      <c r="H3329" s="407"/>
      <c r="I3329" s="77"/>
      <c r="J3329" s="2168"/>
      <c r="K3329" s="78"/>
      <c r="L3329" s="61"/>
      <c r="M3329" s="2166"/>
      <c r="N3329" s="2166"/>
      <c r="O3329" s="61"/>
      <c r="P3329" s="177"/>
      <c r="Q3329" s="196"/>
      <c r="R3329" s="408"/>
      <c r="S3329" s="77"/>
      <c r="T3329" s="2166"/>
      <c r="U3329" s="77"/>
      <c r="V3329" s="77"/>
      <c r="W3329" s="77"/>
      <c r="X3329" s="77"/>
      <c r="Y3329" s="2168"/>
      <c r="Z3329" s="77"/>
      <c r="AA3329" s="2170"/>
      <c r="AB3329" s="410"/>
    </row>
    <row r="3330" spans="1:28" s="352" customFormat="1" ht="18" customHeight="1" x14ac:dyDescent="0.2">
      <c r="A3330" s="2166"/>
      <c r="B3330" s="61"/>
      <c r="C3330" s="2166"/>
      <c r="D3330" s="2166"/>
      <c r="E3330" s="2166"/>
      <c r="F3330" s="2166"/>
      <c r="G3330" s="2166"/>
      <c r="H3330" s="407"/>
      <c r="I3330" s="77"/>
      <c r="J3330" s="2168"/>
      <c r="K3330" s="78"/>
      <c r="L3330" s="61"/>
      <c r="M3330" s="2166"/>
      <c r="N3330" s="2166"/>
      <c r="O3330" s="61"/>
      <c r="P3330" s="177"/>
      <c r="Q3330" s="196"/>
      <c r="R3330" s="408"/>
      <c r="S3330" s="77"/>
      <c r="T3330" s="2166"/>
      <c r="U3330" s="77"/>
      <c r="V3330" s="77"/>
      <c r="W3330" s="77"/>
      <c r="X3330" s="77"/>
      <c r="Y3330" s="2168"/>
      <c r="Z3330" s="77"/>
      <c r="AA3330" s="2170"/>
      <c r="AB3330" s="410"/>
    </row>
    <row r="3331" spans="1:28" s="352" customFormat="1" ht="18" customHeight="1" x14ac:dyDescent="0.2">
      <c r="A3331" s="88"/>
      <c r="B3331" s="75"/>
      <c r="C3331" s="88"/>
      <c r="D3331" s="88"/>
      <c r="E3331" s="2166"/>
      <c r="F3331" s="411"/>
      <c r="G3331" s="242"/>
      <c r="H3331" s="412"/>
      <c r="I3331" s="159"/>
      <c r="J3331" s="121"/>
      <c r="K3331" s="159"/>
      <c r="L3331" s="75"/>
      <c r="M3331" s="88"/>
      <c r="N3331" s="88"/>
      <c r="O3331" s="75"/>
      <c r="P3331" s="180"/>
      <c r="Q3331" s="174"/>
      <c r="R3331" s="413"/>
      <c r="S3331" s="74"/>
      <c r="T3331" s="88"/>
      <c r="U3331" s="74"/>
      <c r="V3331" s="74"/>
      <c r="W3331" s="74"/>
      <c r="X3331" s="74"/>
      <c r="Y3331" s="121"/>
      <c r="Z3331" s="74"/>
      <c r="AA3331" s="414"/>
      <c r="AB3331" s="416"/>
    </row>
    <row r="3332" spans="1:28" s="352" customFormat="1" ht="18" customHeight="1" x14ac:dyDescent="0.2">
      <c r="A3332" s="88"/>
      <c r="B3332" s="75"/>
      <c r="C3332" s="88"/>
      <c r="D3332" s="88"/>
      <c r="E3332" s="2166"/>
      <c r="F3332" s="411"/>
      <c r="G3332" s="242"/>
      <c r="H3332" s="412"/>
      <c r="I3332" s="159"/>
      <c r="J3332" s="121"/>
      <c r="K3332" s="159"/>
      <c r="L3332" s="75"/>
      <c r="M3332" s="88"/>
      <c r="N3332" s="88"/>
      <c r="O3332" s="75"/>
      <c r="P3332" s="180"/>
      <c r="Q3332" s="174"/>
      <c r="R3332" s="413"/>
      <c r="S3332" s="74"/>
      <c r="T3332" s="88"/>
      <c r="U3332" s="74"/>
      <c r="V3332" s="74"/>
      <c r="W3332" s="74"/>
      <c r="X3332" s="74"/>
      <c r="Y3332" s="121"/>
      <c r="Z3332" s="74"/>
      <c r="AA3332" s="414"/>
      <c r="AB3332" s="416"/>
    </row>
    <row r="3333" spans="1:28" s="352" customFormat="1" ht="18" customHeight="1" x14ac:dyDescent="0.2">
      <c r="A3333" s="88"/>
      <c r="B3333" s="75"/>
      <c r="C3333" s="88"/>
      <c r="D3333" s="2165"/>
      <c r="E3333" s="2166"/>
      <c r="F3333" s="411"/>
      <c r="G3333" s="242"/>
      <c r="H3333" s="412"/>
      <c r="I3333" s="159"/>
      <c r="J3333" s="121"/>
      <c r="K3333" s="159"/>
      <c r="L3333" s="75"/>
      <c r="M3333" s="88"/>
      <c r="N3333" s="88"/>
      <c r="O3333" s="75"/>
      <c r="P3333" s="180"/>
      <c r="Q3333" s="174"/>
      <c r="R3333" s="413"/>
      <c r="S3333" s="74"/>
      <c r="T3333" s="88"/>
      <c r="U3333" s="74"/>
      <c r="V3333" s="74"/>
      <c r="W3333" s="74"/>
      <c r="X3333" s="74"/>
      <c r="Y3333" s="121"/>
      <c r="Z3333" s="74"/>
      <c r="AA3333" s="414"/>
      <c r="AB3333" s="416"/>
    </row>
    <row r="3334" spans="1:28" s="352" customFormat="1" ht="18" customHeight="1" x14ac:dyDescent="0.2">
      <c r="A3334" s="88"/>
      <c r="B3334" s="418"/>
      <c r="C3334" s="88"/>
      <c r="D3334" s="88"/>
      <c r="E3334" s="88"/>
      <c r="F3334" s="411"/>
      <c r="G3334" s="242"/>
      <c r="H3334" s="412"/>
      <c r="I3334" s="159"/>
      <c r="J3334" s="121"/>
      <c r="K3334" s="159"/>
      <c r="L3334" s="75"/>
      <c r="M3334" s="88"/>
      <c r="N3334" s="88"/>
      <c r="O3334" s="75"/>
      <c r="P3334" s="180"/>
      <c r="Q3334" s="174"/>
      <c r="R3334" s="413"/>
      <c r="S3334" s="74"/>
      <c r="T3334" s="88"/>
      <c r="U3334" s="74"/>
      <c r="V3334" s="74"/>
      <c r="W3334" s="74"/>
      <c r="X3334" s="74"/>
      <c r="Y3334" s="121"/>
      <c r="Z3334" s="74"/>
      <c r="AA3334" s="414"/>
      <c r="AB3334" s="410"/>
    </row>
    <row r="3335" spans="1:28" s="352" customFormat="1" ht="18" customHeight="1" x14ac:dyDescent="0.2">
      <c r="A3335" s="1147"/>
      <c r="B3335" s="1989"/>
      <c r="C3335" s="1147"/>
      <c r="D3335" s="1147"/>
      <c r="E3335" s="1147"/>
      <c r="F3335" s="1147"/>
      <c r="G3335" s="1147"/>
      <c r="H3335" s="1990"/>
      <c r="I3335" s="1991"/>
      <c r="J3335" s="1868"/>
      <c r="K3335" s="1992"/>
      <c r="L3335" s="1989"/>
      <c r="M3335" s="1147"/>
      <c r="N3335" s="1147"/>
      <c r="O3335" s="1989"/>
      <c r="P3335" s="1867"/>
      <c r="Q3335" s="1993"/>
      <c r="R3335" s="1994"/>
      <c r="S3335" s="1991"/>
      <c r="T3335" s="1147"/>
      <c r="U3335" s="1991"/>
      <c r="V3335" s="1991"/>
      <c r="W3335" s="1991"/>
      <c r="X3335" s="1991"/>
      <c r="Y3335" s="1868"/>
      <c r="Z3335" s="1991"/>
      <c r="AA3335" s="1995"/>
      <c r="AB3335" s="1849">
        <f>SUM(AB3321:AB3334)</f>
        <v>1800</v>
      </c>
    </row>
    <row r="3336" spans="1:28" s="352" customFormat="1" ht="18" customHeight="1" x14ac:dyDescent="0.2">
      <c r="A3336" s="2788" t="s">
        <v>76</v>
      </c>
      <c r="B3336" s="2788"/>
      <c r="C3336" s="2779" t="s">
        <v>77</v>
      </c>
      <c r="D3336" s="2779"/>
      <c r="E3336" s="2779"/>
      <c r="F3336" s="2779"/>
      <c r="G3336" s="2779"/>
      <c r="H3336" s="2779"/>
      <c r="I3336" s="424" t="s">
        <v>78</v>
      </c>
      <c r="J3336" s="424"/>
      <c r="K3336" s="424"/>
      <c r="L3336" s="424"/>
      <c r="M3336" s="424"/>
      <c r="N3336" s="424"/>
      <c r="AB3336" s="425"/>
    </row>
    <row r="3337" spans="1:28" s="352" customFormat="1" ht="18" customHeight="1" x14ac:dyDescent="0.2">
      <c r="A3337" s="424"/>
      <c r="B3337" s="426"/>
      <c r="C3337" s="424"/>
      <c r="D3337" s="424"/>
      <c r="E3337" s="424"/>
      <c r="F3337" s="424"/>
      <c r="G3337" s="424"/>
      <c r="H3337" s="424"/>
      <c r="I3337" s="424" t="s">
        <v>79</v>
      </c>
      <c r="J3337" s="424"/>
      <c r="K3337" s="424"/>
      <c r="L3337" s="424"/>
      <c r="M3337" s="424"/>
      <c r="N3337" s="424"/>
      <c r="AB3337" s="425"/>
    </row>
    <row r="3338" spans="1:28" s="352" customFormat="1" ht="18" customHeight="1" x14ac:dyDescent="0.2">
      <c r="A3338" s="424"/>
      <c r="B3338" s="426"/>
      <c r="C3338" s="424"/>
      <c r="D3338" s="424"/>
      <c r="E3338" s="424"/>
      <c r="F3338" s="424"/>
      <c r="G3338" s="424"/>
      <c r="H3338" s="424"/>
      <c r="I3338" s="424" t="s">
        <v>80</v>
      </c>
      <c r="J3338" s="424"/>
      <c r="K3338" s="424"/>
      <c r="L3338" s="424"/>
      <c r="M3338" s="424"/>
      <c r="N3338" s="424"/>
      <c r="AB3338" s="425"/>
    </row>
    <row r="3339" spans="1:28" s="352" customFormat="1" ht="18" customHeight="1" x14ac:dyDescent="0.2">
      <c r="A3339" s="424"/>
      <c r="B3339" s="426"/>
      <c r="C3339" s="424"/>
      <c r="D3339" s="424"/>
      <c r="E3339" s="424"/>
      <c r="F3339" s="424"/>
      <c r="G3339" s="424"/>
      <c r="H3339" s="424"/>
      <c r="I3339" s="424" t="s">
        <v>81</v>
      </c>
      <c r="J3339" s="424"/>
      <c r="K3339" s="424"/>
      <c r="L3339" s="424"/>
      <c r="M3339" s="424"/>
      <c r="N3339" s="424"/>
      <c r="AB3339" s="425"/>
    </row>
    <row r="3340" spans="1:28" s="352" customFormat="1" ht="18" customHeight="1" x14ac:dyDescent="0.2">
      <c r="A3340" s="424"/>
      <c r="B3340" s="426"/>
      <c r="C3340" s="424"/>
      <c r="D3340" s="424"/>
      <c r="E3340" s="424"/>
      <c r="F3340" s="424"/>
      <c r="G3340" s="424"/>
      <c r="H3340" s="424"/>
      <c r="I3340" s="424" t="s">
        <v>88</v>
      </c>
      <c r="J3340" s="424"/>
      <c r="K3340" s="424"/>
      <c r="L3340" s="424"/>
      <c r="M3340" s="424"/>
      <c r="N3340" s="424"/>
      <c r="AB3340" s="425"/>
    </row>
    <row r="3341" spans="1:28" s="352" customFormat="1" ht="18" customHeight="1" x14ac:dyDescent="0.2">
      <c r="A3341" s="338"/>
      <c r="B3341" s="338"/>
      <c r="C3341" s="338"/>
      <c r="D3341" s="338"/>
      <c r="E3341" s="338"/>
      <c r="F3341" s="338"/>
      <c r="G3341" s="338"/>
      <c r="H3341" s="338"/>
      <c r="I3341" s="338"/>
      <c r="J3341" s="338"/>
      <c r="K3341" s="338"/>
      <c r="L3341" s="338"/>
      <c r="M3341" s="338"/>
      <c r="N3341" s="338"/>
      <c r="O3341" s="338"/>
      <c r="P3341" s="338"/>
      <c r="Q3341" s="338"/>
      <c r="R3341" s="338"/>
      <c r="S3341" s="338"/>
      <c r="T3341" s="338"/>
      <c r="U3341" s="338"/>
      <c r="V3341" s="338"/>
      <c r="W3341" s="338"/>
      <c r="X3341" s="338"/>
      <c r="Y3341" s="338"/>
      <c r="Z3341" s="338"/>
      <c r="AA3341" s="2774" t="s">
        <v>0</v>
      </c>
      <c r="AB3341" s="2774"/>
    </row>
    <row r="3342" spans="1:28" s="352" customFormat="1" ht="18" customHeight="1" x14ac:dyDescent="0.2">
      <c r="A3342" s="2703" t="s">
        <v>1</v>
      </c>
      <c r="B3342" s="2703"/>
      <c r="C3342" s="2703"/>
      <c r="D3342" s="2703"/>
      <c r="E3342" s="2703"/>
      <c r="F3342" s="2703"/>
      <c r="G3342" s="2703"/>
      <c r="H3342" s="2703"/>
      <c r="I3342" s="2703"/>
      <c r="J3342" s="2703"/>
      <c r="K3342" s="2703"/>
      <c r="L3342" s="2703"/>
      <c r="M3342" s="2703"/>
      <c r="N3342" s="2703"/>
      <c r="O3342" s="2703"/>
      <c r="P3342" s="2703"/>
      <c r="Q3342" s="2703"/>
      <c r="R3342" s="2703"/>
      <c r="S3342" s="2703"/>
      <c r="T3342" s="2703"/>
      <c r="U3342" s="2703"/>
      <c r="V3342" s="2703"/>
      <c r="W3342" s="2703"/>
      <c r="X3342" s="2703"/>
      <c r="Y3342" s="2703"/>
      <c r="Z3342" s="2703"/>
      <c r="AA3342" s="2703"/>
      <c r="AB3342" s="2703"/>
    </row>
    <row r="3343" spans="1:28" s="352" customFormat="1" ht="18" customHeight="1" x14ac:dyDescent="0.2">
      <c r="A3343" s="2777" t="s">
        <v>696</v>
      </c>
      <c r="B3343" s="2777"/>
      <c r="C3343" s="2777"/>
      <c r="D3343" s="2777"/>
      <c r="E3343" s="2777"/>
      <c r="F3343" s="2777"/>
      <c r="G3343" s="2777"/>
      <c r="H3343" s="2777"/>
      <c r="I3343" s="2777"/>
      <c r="J3343" s="2777"/>
      <c r="K3343" s="2777"/>
      <c r="L3343" s="2777"/>
      <c r="M3343" s="2777"/>
      <c r="N3343" s="2777"/>
      <c r="O3343" s="2777"/>
      <c r="P3343" s="2777"/>
      <c r="Q3343" s="2777"/>
      <c r="R3343" s="2777"/>
      <c r="S3343" s="2777"/>
      <c r="T3343" s="2777"/>
      <c r="U3343" s="2777"/>
      <c r="V3343" s="2777"/>
      <c r="W3343" s="2777"/>
      <c r="X3343" s="2777"/>
      <c r="Y3343" s="2777"/>
      <c r="Z3343" s="2777"/>
      <c r="AA3343" s="2777"/>
      <c r="AB3343" s="2777"/>
    </row>
    <row r="3344" spans="1:28" s="352" customFormat="1" ht="18" customHeight="1" x14ac:dyDescent="0.2">
      <c r="A3344" s="2686" t="s">
        <v>2</v>
      </c>
      <c r="B3344" s="360"/>
      <c r="C3344" s="2686" t="s">
        <v>3</v>
      </c>
      <c r="D3344" s="360"/>
      <c r="E3344" s="360"/>
      <c r="F3344" s="2693" t="s">
        <v>4</v>
      </c>
      <c r="G3344" s="2693"/>
      <c r="H3344" s="2693"/>
      <c r="I3344" s="2694"/>
      <c r="J3344" s="2694"/>
      <c r="K3344" s="2695"/>
      <c r="L3344" s="361"/>
      <c r="M3344" s="2679" t="s">
        <v>5</v>
      </c>
      <c r="N3344" s="2679"/>
      <c r="O3344" s="2679"/>
      <c r="P3344" s="2679"/>
      <c r="Q3344" s="2696"/>
      <c r="R3344" s="2696"/>
      <c r="S3344" s="2696"/>
      <c r="T3344" s="2696"/>
      <c r="U3344" s="2696"/>
      <c r="V3344" s="2697"/>
      <c r="W3344" s="362" t="s">
        <v>6</v>
      </c>
      <c r="X3344" s="363" t="s">
        <v>7</v>
      </c>
      <c r="Y3344" s="364"/>
      <c r="Z3344" s="364"/>
      <c r="AA3344" s="363"/>
      <c r="AB3344" s="365"/>
    </row>
    <row r="3345" spans="1:29" s="352" customFormat="1" ht="18" customHeight="1" x14ac:dyDescent="0.2">
      <c r="A3345" s="2687"/>
      <c r="B3345" s="367"/>
      <c r="C3345" s="2687"/>
      <c r="D3345" s="2158" t="s">
        <v>9</v>
      </c>
      <c r="E3345" s="368" t="s">
        <v>10</v>
      </c>
      <c r="F3345" s="2698" t="s">
        <v>11</v>
      </c>
      <c r="G3345" s="2694"/>
      <c r="H3345" s="2695"/>
      <c r="I3345" s="360"/>
      <c r="J3345" s="369" t="s">
        <v>12</v>
      </c>
      <c r="K3345" s="360"/>
      <c r="L3345" s="2679" t="s">
        <v>2</v>
      </c>
      <c r="M3345" s="2162"/>
      <c r="N3345" s="2162"/>
      <c r="O3345" s="2162"/>
      <c r="P3345" s="371"/>
      <c r="Q3345" s="372" t="s">
        <v>13</v>
      </c>
      <c r="R3345" s="373" t="s">
        <v>12</v>
      </c>
      <c r="S3345" s="2162" t="s">
        <v>6</v>
      </c>
      <c r="T3345" s="2682" t="s">
        <v>14</v>
      </c>
      <c r="U3345" s="2683"/>
      <c r="V3345" s="375" t="s">
        <v>7</v>
      </c>
      <c r="W3345" s="376" t="s">
        <v>15</v>
      </c>
      <c r="X3345" s="377" t="s">
        <v>16</v>
      </c>
      <c r="Y3345" s="377" t="s">
        <v>17</v>
      </c>
      <c r="Z3345" s="377" t="s">
        <v>18</v>
      </c>
      <c r="AA3345" s="377"/>
      <c r="AB3345" s="378" t="s">
        <v>19</v>
      </c>
    </row>
    <row r="3346" spans="1:29" s="352" customFormat="1" ht="18" customHeight="1" x14ac:dyDescent="0.2">
      <c r="A3346" s="2687"/>
      <c r="B3346" s="2158" t="s">
        <v>23</v>
      </c>
      <c r="C3346" s="2687"/>
      <c r="D3346" s="2158" t="s">
        <v>24</v>
      </c>
      <c r="E3346" s="368" t="s">
        <v>25</v>
      </c>
      <c r="F3346" s="2699"/>
      <c r="G3346" s="2700"/>
      <c r="H3346" s="2701"/>
      <c r="I3346" s="2158" t="s">
        <v>26</v>
      </c>
      <c r="J3346" s="379" t="s">
        <v>15</v>
      </c>
      <c r="K3346" s="2159" t="s">
        <v>6</v>
      </c>
      <c r="L3346" s="2680"/>
      <c r="M3346" s="2163" t="s">
        <v>27</v>
      </c>
      <c r="N3346" s="2163" t="s">
        <v>10</v>
      </c>
      <c r="O3346" s="382" t="s">
        <v>10</v>
      </c>
      <c r="P3346" s="383" t="s">
        <v>28</v>
      </c>
      <c r="Q3346" s="384" t="s">
        <v>29</v>
      </c>
      <c r="R3346" s="383" t="s">
        <v>15</v>
      </c>
      <c r="S3346" s="385" t="s">
        <v>15</v>
      </c>
      <c r="T3346" s="2684"/>
      <c r="U3346" s="2685"/>
      <c r="V3346" s="375" t="s">
        <v>30</v>
      </c>
      <c r="W3346" s="376" t="s">
        <v>31</v>
      </c>
      <c r="X3346" s="377" t="s">
        <v>30</v>
      </c>
      <c r="Y3346" s="377" t="s">
        <v>32</v>
      </c>
      <c r="Z3346" s="377" t="s">
        <v>7</v>
      </c>
      <c r="AA3346" s="377" t="s">
        <v>33</v>
      </c>
      <c r="AB3346" s="378" t="s">
        <v>34</v>
      </c>
    </row>
    <row r="3347" spans="1:29" s="352" customFormat="1" ht="18" customHeight="1" x14ac:dyDescent="0.2">
      <c r="A3347" s="2687"/>
      <c r="B3347" s="2158" t="s">
        <v>39</v>
      </c>
      <c r="C3347" s="2687"/>
      <c r="D3347" s="2158" t="s">
        <v>40</v>
      </c>
      <c r="E3347" s="368" t="s">
        <v>41</v>
      </c>
      <c r="F3347" s="2686" t="s">
        <v>42</v>
      </c>
      <c r="G3347" s="2686" t="s">
        <v>43</v>
      </c>
      <c r="H3347" s="2688" t="s">
        <v>44</v>
      </c>
      <c r="I3347" s="2158" t="s">
        <v>45</v>
      </c>
      <c r="J3347" s="379" t="s">
        <v>46</v>
      </c>
      <c r="K3347" s="2159" t="s">
        <v>47</v>
      </c>
      <c r="L3347" s="2680"/>
      <c r="M3347" s="2163" t="s">
        <v>30</v>
      </c>
      <c r="N3347" s="2163" t="s">
        <v>30</v>
      </c>
      <c r="O3347" s="382" t="s">
        <v>25</v>
      </c>
      <c r="P3347" s="383" t="s">
        <v>30</v>
      </c>
      <c r="Q3347" s="384" t="s">
        <v>48</v>
      </c>
      <c r="R3347" s="383" t="s">
        <v>49</v>
      </c>
      <c r="S3347" s="385" t="s">
        <v>30</v>
      </c>
      <c r="T3347" s="386" t="s">
        <v>50</v>
      </c>
      <c r="U3347" s="2161" t="s">
        <v>13</v>
      </c>
      <c r="V3347" s="375" t="s">
        <v>51</v>
      </c>
      <c r="W3347" s="376" t="s">
        <v>52</v>
      </c>
      <c r="X3347" s="377" t="s">
        <v>53</v>
      </c>
      <c r="Y3347" s="377" t="s">
        <v>54</v>
      </c>
      <c r="Z3347" s="377" t="s">
        <v>55</v>
      </c>
      <c r="AA3347" s="377" t="s">
        <v>56</v>
      </c>
      <c r="AB3347" s="378" t="s">
        <v>57</v>
      </c>
    </row>
    <row r="3348" spans="1:29" s="352" customFormat="1" ht="18" customHeight="1" x14ac:dyDescent="0.2">
      <c r="A3348" s="2687"/>
      <c r="B3348" s="2158" t="s">
        <v>61</v>
      </c>
      <c r="C3348" s="2687"/>
      <c r="D3348" s="2158" t="s">
        <v>62</v>
      </c>
      <c r="E3348" s="368" t="s">
        <v>63</v>
      </c>
      <c r="F3348" s="2687"/>
      <c r="G3348" s="2687"/>
      <c r="H3348" s="2689"/>
      <c r="I3348" s="2158" t="s">
        <v>64</v>
      </c>
      <c r="J3348" s="379" t="s">
        <v>59</v>
      </c>
      <c r="K3348" s="2159" t="s">
        <v>59</v>
      </c>
      <c r="L3348" s="2680"/>
      <c r="M3348" s="2163"/>
      <c r="N3348" s="2163"/>
      <c r="O3348" s="382" t="s">
        <v>41</v>
      </c>
      <c r="P3348" s="383" t="s">
        <v>65</v>
      </c>
      <c r="Q3348" s="384" t="s">
        <v>66</v>
      </c>
      <c r="R3348" s="383" t="s">
        <v>67</v>
      </c>
      <c r="S3348" s="385" t="s">
        <v>59</v>
      </c>
      <c r="T3348" s="387" t="s">
        <v>68</v>
      </c>
      <c r="U3348" s="375" t="s">
        <v>14</v>
      </c>
      <c r="V3348" s="375" t="s">
        <v>14</v>
      </c>
      <c r="W3348" s="376" t="s">
        <v>30</v>
      </c>
      <c r="X3348" s="388" t="s">
        <v>69</v>
      </c>
      <c r="Y3348" s="388" t="s">
        <v>70</v>
      </c>
      <c r="Z3348" s="377" t="s">
        <v>71</v>
      </c>
      <c r="AA3348" s="377" t="s">
        <v>72</v>
      </c>
      <c r="AB3348" s="378" t="s">
        <v>59</v>
      </c>
    </row>
    <row r="3349" spans="1:29" s="352" customFormat="1" ht="18" customHeight="1" x14ac:dyDescent="0.2">
      <c r="A3349" s="2692"/>
      <c r="B3349" s="390"/>
      <c r="C3349" s="2692"/>
      <c r="D3349" s="390"/>
      <c r="E3349" s="2160"/>
      <c r="F3349" s="390"/>
      <c r="G3349" s="390"/>
      <c r="H3349" s="391"/>
      <c r="I3349" s="2160"/>
      <c r="J3349" s="392"/>
      <c r="K3349" s="393"/>
      <c r="L3349" s="2681"/>
      <c r="M3349" s="2164"/>
      <c r="N3349" s="2164"/>
      <c r="O3349" s="2164" t="s">
        <v>63</v>
      </c>
      <c r="P3349" s="395"/>
      <c r="Q3349" s="396" t="s">
        <v>72</v>
      </c>
      <c r="R3349" s="397" t="s">
        <v>59</v>
      </c>
      <c r="S3349" s="398"/>
      <c r="T3349" s="397" t="s">
        <v>73</v>
      </c>
      <c r="U3349" s="398" t="s">
        <v>59</v>
      </c>
      <c r="V3349" s="399" t="s">
        <v>59</v>
      </c>
      <c r="W3349" s="400" t="s">
        <v>59</v>
      </c>
      <c r="X3349" s="401" t="s">
        <v>59</v>
      </c>
      <c r="Y3349" s="401" t="s">
        <v>59</v>
      </c>
      <c r="Z3349" s="401" t="s">
        <v>59</v>
      </c>
      <c r="AA3349" s="402"/>
      <c r="AB3349" s="403"/>
    </row>
    <row r="3350" spans="1:29" s="352" customFormat="1" ht="18" customHeight="1" x14ac:dyDescent="0.2">
      <c r="A3350" s="82">
        <v>1</v>
      </c>
      <c r="B3350" s="41">
        <v>23207</v>
      </c>
      <c r="C3350" s="41">
        <v>1469</v>
      </c>
      <c r="D3350" s="41" t="s">
        <v>107</v>
      </c>
      <c r="E3350" s="41">
        <v>4</v>
      </c>
      <c r="F3350" s="41">
        <v>0</v>
      </c>
      <c r="G3350" s="41">
        <v>1</v>
      </c>
      <c r="H3350" s="267">
        <v>15</v>
      </c>
      <c r="I3350" s="302">
        <f>F3350*400+G3350*100+H3350</f>
        <v>115</v>
      </c>
      <c r="J3350" s="310">
        <v>3000</v>
      </c>
      <c r="K3350" s="303">
        <f>SUM(I3350*J3350)</f>
        <v>345000</v>
      </c>
      <c r="L3350" s="16"/>
      <c r="M3350" s="82"/>
      <c r="N3350" s="41"/>
      <c r="O3350" s="16">
        <v>4</v>
      </c>
      <c r="P3350" s="404"/>
      <c r="Q3350" s="14"/>
      <c r="R3350" s="302"/>
      <c r="S3350" s="302"/>
      <c r="T3350" s="41"/>
      <c r="U3350" s="302"/>
      <c r="V3350" s="302"/>
      <c r="W3350" s="302">
        <f>K3350+V3350</f>
        <v>345000</v>
      </c>
      <c r="X3350" s="302">
        <f>W3350</f>
        <v>345000</v>
      </c>
      <c r="Y3350" s="310"/>
      <c r="Z3350" s="302">
        <f>+X3350</f>
        <v>345000</v>
      </c>
      <c r="AA3350" s="405">
        <v>0.3</v>
      </c>
      <c r="AB3350" s="465">
        <f>+Z3350*AA3350/100</f>
        <v>1035</v>
      </c>
      <c r="AC3350" s="352" t="s">
        <v>354</v>
      </c>
    </row>
    <row r="3351" spans="1:29" s="352" customFormat="1" ht="18" customHeight="1" x14ac:dyDescent="0.2">
      <c r="A3351" s="2166"/>
      <c r="B3351" s="61"/>
      <c r="C3351" s="2166"/>
      <c r="D3351" s="2166"/>
      <c r="E3351" s="2166"/>
      <c r="F3351" s="2166"/>
      <c r="G3351" s="2166"/>
      <c r="H3351" s="407"/>
      <c r="I3351" s="77"/>
      <c r="J3351" s="2168"/>
      <c r="K3351" s="2168"/>
      <c r="L3351" s="488"/>
      <c r="M3351" s="488"/>
      <c r="N3351" s="488"/>
      <c r="O3351" s="488"/>
      <c r="P3351" s="819"/>
      <c r="Q3351" s="819"/>
      <c r="R3351" s="820"/>
      <c r="S3351" s="820"/>
      <c r="T3351" s="819"/>
      <c r="U3351" s="820"/>
      <c r="V3351" s="821"/>
      <c r="W3351" s="77"/>
      <c r="X3351" s="2168"/>
      <c r="Y3351" s="2168"/>
      <c r="Z3351" s="77"/>
      <c r="AA3351" s="2170"/>
      <c r="AB3351" s="416"/>
    </row>
    <row r="3352" spans="1:29" s="352" customFormat="1" ht="18" customHeight="1" x14ac:dyDescent="0.2">
      <c r="A3352" s="88"/>
      <c r="B3352" s="75"/>
      <c r="C3352" s="88"/>
      <c r="D3352" s="88"/>
      <c r="E3352" s="88"/>
      <c r="F3352" s="88"/>
      <c r="G3352" s="88"/>
      <c r="H3352" s="495"/>
      <c r="I3352" s="74"/>
      <c r="J3352" s="121"/>
      <c r="K3352" s="159"/>
      <c r="L3352" s="75"/>
      <c r="M3352" s="88"/>
      <c r="N3352" s="88"/>
      <c r="O3352" s="75"/>
      <c r="P3352" s="180"/>
      <c r="Q3352" s="174"/>
      <c r="R3352" s="413"/>
      <c r="S3352" s="74"/>
      <c r="T3352" s="88"/>
      <c r="U3352" s="74"/>
      <c r="V3352" s="74"/>
      <c r="W3352" s="74"/>
      <c r="X3352" s="74"/>
      <c r="Y3352" s="121"/>
      <c r="Z3352" s="74"/>
      <c r="AA3352" s="414"/>
      <c r="AB3352" s="410"/>
    </row>
    <row r="3353" spans="1:29" s="352" customFormat="1" ht="18" customHeight="1" x14ac:dyDescent="0.2">
      <c r="A3353" s="2166"/>
      <c r="B3353" s="61"/>
      <c r="C3353" s="2166"/>
      <c r="D3353" s="2166"/>
      <c r="E3353" s="2166"/>
      <c r="F3353" s="2166"/>
      <c r="G3353" s="2166"/>
      <c r="H3353" s="407"/>
      <c r="I3353" s="74"/>
      <c r="J3353" s="121"/>
      <c r="K3353" s="159"/>
      <c r="L3353" s="61"/>
      <c r="M3353" s="2166"/>
      <c r="N3353" s="2166"/>
      <c r="O3353" s="61"/>
      <c r="P3353" s="177"/>
      <c r="Q3353" s="196"/>
      <c r="R3353" s="408"/>
      <c r="S3353" s="77"/>
      <c r="T3353" s="2166"/>
      <c r="U3353" s="77"/>
      <c r="V3353" s="77"/>
      <c r="W3353" s="77"/>
      <c r="X3353" s="77"/>
      <c r="Y3353" s="2168"/>
      <c r="Z3353" s="77"/>
      <c r="AA3353" s="2170"/>
      <c r="AB3353" s="410"/>
    </row>
    <row r="3354" spans="1:29" s="352" customFormat="1" ht="18" customHeight="1" x14ac:dyDescent="0.2">
      <c r="A3354" s="2166"/>
      <c r="B3354" s="61"/>
      <c r="C3354" s="2166"/>
      <c r="D3354" s="2166"/>
      <c r="E3354" s="2166"/>
      <c r="F3354" s="2166"/>
      <c r="G3354" s="2166"/>
      <c r="H3354" s="407"/>
      <c r="I3354" s="77"/>
      <c r="J3354" s="2168"/>
      <c r="K3354" s="78"/>
      <c r="L3354" s="61"/>
      <c r="M3354" s="2166"/>
      <c r="N3354" s="2166"/>
      <c r="O3354" s="61"/>
      <c r="P3354" s="177"/>
      <c r="Q3354" s="196"/>
      <c r="R3354" s="408"/>
      <c r="S3354" s="77"/>
      <c r="T3354" s="2166"/>
      <c r="U3354" s="77"/>
      <c r="V3354" s="77"/>
      <c r="W3354" s="77"/>
      <c r="X3354" s="77"/>
      <c r="Y3354" s="2168"/>
      <c r="Z3354" s="77"/>
      <c r="AA3354" s="2170"/>
      <c r="AB3354" s="410"/>
    </row>
    <row r="3355" spans="1:29" s="352" customFormat="1" ht="18" customHeight="1" x14ac:dyDescent="0.2">
      <c r="A3355" s="2166"/>
      <c r="B3355" s="61"/>
      <c r="C3355" s="2166"/>
      <c r="D3355" s="2166"/>
      <c r="E3355" s="2166"/>
      <c r="F3355" s="2166"/>
      <c r="G3355" s="2166"/>
      <c r="H3355" s="407"/>
      <c r="I3355" s="77"/>
      <c r="J3355" s="2168"/>
      <c r="K3355" s="78"/>
      <c r="L3355" s="61"/>
      <c r="M3355" s="2166"/>
      <c r="N3355" s="2166"/>
      <c r="O3355" s="61"/>
      <c r="P3355" s="177"/>
      <c r="Q3355" s="196"/>
      <c r="R3355" s="408"/>
      <c r="S3355" s="77"/>
      <c r="T3355" s="2166"/>
      <c r="U3355" s="77"/>
      <c r="V3355" s="77"/>
      <c r="W3355" s="77"/>
      <c r="X3355" s="77"/>
      <c r="Y3355" s="2168"/>
      <c r="Z3355" s="77"/>
      <c r="AA3355" s="2170"/>
      <c r="AB3355" s="410"/>
    </row>
    <row r="3356" spans="1:29" s="352" customFormat="1" ht="18" customHeight="1" x14ac:dyDescent="0.2">
      <c r="A3356" s="2166"/>
      <c r="B3356" s="61"/>
      <c r="C3356" s="2166"/>
      <c r="D3356" s="2166"/>
      <c r="E3356" s="2166"/>
      <c r="F3356" s="2166"/>
      <c r="G3356" s="2166"/>
      <c r="H3356" s="407"/>
      <c r="I3356" s="77"/>
      <c r="J3356" s="2168"/>
      <c r="K3356" s="78"/>
      <c r="L3356" s="61"/>
      <c r="M3356" s="2166"/>
      <c r="N3356" s="2166"/>
      <c r="O3356" s="61"/>
      <c r="P3356" s="177"/>
      <c r="Q3356" s="196"/>
      <c r="R3356" s="408"/>
      <c r="S3356" s="77"/>
      <c r="T3356" s="2166"/>
      <c r="U3356" s="77"/>
      <c r="V3356" s="77"/>
      <c r="W3356" s="77"/>
      <c r="X3356" s="77"/>
      <c r="Y3356" s="2168"/>
      <c r="Z3356" s="77"/>
      <c r="AA3356" s="2170"/>
      <c r="AB3356" s="410"/>
    </row>
    <row r="3357" spans="1:29" s="352" customFormat="1" ht="18" customHeight="1" x14ac:dyDescent="0.2">
      <c r="A3357" s="2166"/>
      <c r="B3357" s="61"/>
      <c r="C3357" s="2166"/>
      <c r="D3357" s="2166"/>
      <c r="E3357" s="2166"/>
      <c r="F3357" s="2166"/>
      <c r="G3357" s="2166"/>
      <c r="H3357" s="407"/>
      <c r="I3357" s="77"/>
      <c r="J3357" s="2168"/>
      <c r="K3357" s="78"/>
      <c r="L3357" s="61"/>
      <c r="M3357" s="2166"/>
      <c r="N3357" s="2166"/>
      <c r="O3357" s="61"/>
      <c r="P3357" s="177"/>
      <c r="Q3357" s="196"/>
      <c r="R3357" s="408"/>
      <c r="S3357" s="77"/>
      <c r="T3357" s="2166"/>
      <c r="U3357" s="77"/>
      <c r="V3357" s="77"/>
      <c r="W3357" s="77"/>
      <c r="X3357" s="77"/>
      <c r="Y3357" s="2168"/>
      <c r="Z3357" s="77"/>
      <c r="AA3357" s="2170"/>
      <c r="AB3357" s="410"/>
    </row>
    <row r="3358" spans="1:29" s="352" customFormat="1" ht="18" customHeight="1" x14ac:dyDescent="0.2">
      <c r="A3358" s="88"/>
      <c r="B3358" s="75"/>
      <c r="C3358" s="88"/>
      <c r="D3358" s="231"/>
      <c r="E3358" s="2166"/>
      <c r="F3358" s="411"/>
      <c r="G3358" s="242"/>
      <c r="H3358" s="412"/>
      <c r="I3358" s="159"/>
      <c r="J3358" s="121"/>
      <c r="K3358" s="159"/>
      <c r="L3358" s="75"/>
      <c r="M3358" s="88"/>
      <c r="N3358" s="88"/>
      <c r="O3358" s="75"/>
      <c r="P3358" s="180"/>
      <c r="Q3358" s="174"/>
      <c r="R3358" s="413"/>
      <c r="S3358" s="74"/>
      <c r="T3358" s="88"/>
      <c r="U3358" s="74"/>
      <c r="V3358" s="74"/>
      <c r="W3358" s="74"/>
      <c r="X3358" s="74"/>
      <c r="Y3358" s="121"/>
      <c r="Z3358" s="74"/>
      <c r="AA3358" s="417"/>
      <c r="AB3358" s="410"/>
    </row>
    <row r="3359" spans="1:29" s="352" customFormat="1" ht="18" customHeight="1" x14ac:dyDescent="0.2">
      <c r="A3359" s="88"/>
      <c r="B3359" s="75"/>
      <c r="C3359" s="88"/>
      <c r="D3359" s="2165"/>
      <c r="E3359" s="2166"/>
      <c r="F3359" s="411"/>
      <c r="G3359" s="242"/>
      <c r="H3359" s="412"/>
      <c r="I3359" s="159"/>
      <c r="J3359" s="121"/>
      <c r="K3359" s="159"/>
      <c r="L3359" s="75"/>
      <c r="M3359" s="88"/>
      <c r="N3359" s="88"/>
      <c r="O3359" s="75"/>
      <c r="P3359" s="180"/>
      <c r="Q3359" s="174"/>
      <c r="R3359" s="413"/>
      <c r="S3359" s="74"/>
      <c r="T3359" s="88"/>
      <c r="U3359" s="74"/>
      <c r="V3359" s="74"/>
      <c r="W3359" s="74"/>
      <c r="X3359" s="74"/>
      <c r="Y3359" s="121"/>
      <c r="Z3359" s="74"/>
      <c r="AA3359" s="414"/>
      <c r="AB3359" s="410"/>
    </row>
    <row r="3360" spans="1:29" s="352" customFormat="1" ht="18" customHeight="1" x14ac:dyDescent="0.2">
      <c r="A3360" s="88"/>
      <c r="B3360" s="75"/>
      <c r="C3360" s="88"/>
      <c r="D3360" s="2165"/>
      <c r="E3360" s="2166"/>
      <c r="F3360" s="411"/>
      <c r="G3360" s="242"/>
      <c r="H3360" s="412"/>
      <c r="I3360" s="159"/>
      <c r="J3360" s="121"/>
      <c r="K3360" s="159"/>
      <c r="L3360" s="75"/>
      <c r="M3360" s="88"/>
      <c r="N3360" s="88"/>
      <c r="O3360" s="75"/>
      <c r="P3360" s="180"/>
      <c r="Q3360" s="174"/>
      <c r="R3360" s="413"/>
      <c r="S3360" s="74"/>
      <c r="T3360" s="88"/>
      <c r="U3360" s="74"/>
      <c r="V3360" s="74"/>
      <c r="W3360" s="74"/>
      <c r="X3360" s="74"/>
      <c r="Y3360" s="121"/>
      <c r="Z3360" s="74"/>
      <c r="AA3360" s="417"/>
      <c r="AB3360" s="410"/>
    </row>
    <row r="3361" spans="1:28" s="352" customFormat="1" ht="18" customHeight="1" x14ac:dyDescent="0.2">
      <c r="A3361" s="88"/>
      <c r="B3361" s="75"/>
      <c r="C3361" s="88"/>
      <c r="D3361" s="2165"/>
      <c r="E3361" s="2166"/>
      <c r="F3361" s="411"/>
      <c r="G3361" s="242"/>
      <c r="H3361" s="412"/>
      <c r="I3361" s="159"/>
      <c r="J3361" s="121"/>
      <c r="K3361" s="159"/>
      <c r="L3361" s="75"/>
      <c r="M3361" s="88"/>
      <c r="N3361" s="88"/>
      <c r="O3361" s="75"/>
      <c r="P3361" s="180"/>
      <c r="Q3361" s="174"/>
      <c r="R3361" s="413"/>
      <c r="S3361" s="74"/>
      <c r="T3361" s="88"/>
      <c r="U3361" s="74"/>
      <c r="V3361" s="74"/>
      <c r="W3361" s="74"/>
      <c r="X3361" s="74"/>
      <c r="Y3361" s="121"/>
      <c r="Z3361" s="74"/>
      <c r="AA3361" s="606"/>
      <c r="AB3361" s="416"/>
    </row>
    <row r="3362" spans="1:28" s="352" customFormat="1" ht="18" customHeight="1" x14ac:dyDescent="0.2">
      <c r="A3362" s="88"/>
      <c r="B3362" s="75"/>
      <c r="C3362" s="88"/>
      <c r="D3362" s="2165"/>
      <c r="E3362" s="2166"/>
      <c r="F3362" s="411"/>
      <c r="G3362" s="242"/>
      <c r="H3362" s="412"/>
      <c r="I3362" s="159"/>
      <c r="J3362" s="121"/>
      <c r="K3362" s="159"/>
      <c r="L3362" s="75"/>
      <c r="M3362" s="88"/>
      <c r="N3362" s="88"/>
      <c r="O3362" s="75"/>
      <c r="P3362" s="180"/>
      <c r="Q3362" s="174"/>
      <c r="R3362" s="413"/>
      <c r="S3362" s="74"/>
      <c r="T3362" s="88"/>
      <c r="U3362" s="74"/>
      <c r="V3362" s="74"/>
      <c r="W3362" s="74"/>
      <c r="X3362" s="74"/>
      <c r="Y3362" s="121"/>
      <c r="Z3362" s="74"/>
      <c r="AA3362" s="414"/>
      <c r="AB3362" s="416"/>
    </row>
    <row r="3363" spans="1:28" s="352" customFormat="1" ht="18" customHeight="1" x14ac:dyDescent="0.2">
      <c r="A3363" s="88"/>
      <c r="B3363" s="418"/>
      <c r="C3363" s="88"/>
      <c r="D3363" s="88"/>
      <c r="E3363" s="88"/>
      <c r="F3363" s="411"/>
      <c r="G3363" s="242"/>
      <c r="H3363" s="412"/>
      <c r="I3363" s="159"/>
      <c r="J3363" s="121"/>
      <c r="K3363" s="159"/>
      <c r="L3363" s="75"/>
      <c r="M3363" s="88"/>
      <c r="N3363" s="88"/>
      <c r="O3363" s="75"/>
      <c r="P3363" s="180"/>
      <c r="Q3363" s="174"/>
      <c r="R3363" s="413"/>
      <c r="S3363" s="74"/>
      <c r="T3363" s="88"/>
      <c r="U3363" s="74"/>
      <c r="V3363" s="74"/>
      <c r="W3363" s="74"/>
      <c r="X3363" s="74"/>
      <c r="Y3363" s="121"/>
      <c r="Z3363" s="74"/>
      <c r="AA3363" s="414"/>
      <c r="AB3363" s="410"/>
    </row>
    <row r="3364" spans="1:28" s="352" customFormat="1" ht="18" customHeight="1" x14ac:dyDescent="0.2">
      <c r="A3364" s="1147"/>
      <c r="B3364" s="1989"/>
      <c r="C3364" s="1147"/>
      <c r="D3364" s="1147"/>
      <c r="E3364" s="1147"/>
      <c r="F3364" s="1147"/>
      <c r="G3364" s="1147"/>
      <c r="H3364" s="1990"/>
      <c r="I3364" s="1991"/>
      <c r="J3364" s="1868"/>
      <c r="K3364" s="1992"/>
      <c r="L3364" s="1989"/>
      <c r="M3364" s="1147"/>
      <c r="N3364" s="1147"/>
      <c r="O3364" s="1989"/>
      <c r="P3364" s="1867"/>
      <c r="Q3364" s="1993"/>
      <c r="R3364" s="1994"/>
      <c r="S3364" s="1991"/>
      <c r="T3364" s="1147"/>
      <c r="U3364" s="1991"/>
      <c r="V3364" s="1991"/>
      <c r="W3364" s="1991"/>
      <c r="X3364" s="1991"/>
      <c r="Y3364" s="1868"/>
      <c r="Z3364" s="1991"/>
      <c r="AA3364" s="1995"/>
      <c r="AB3364" s="1849">
        <f>SUM(AB3350:AB3363)</f>
        <v>1035</v>
      </c>
    </row>
    <row r="3365" spans="1:28" s="352" customFormat="1" ht="18" customHeight="1" x14ac:dyDescent="0.2">
      <c r="A3365" s="2788" t="s">
        <v>76</v>
      </c>
      <c r="B3365" s="2788"/>
      <c r="C3365" s="2779" t="s">
        <v>77</v>
      </c>
      <c r="D3365" s="2779"/>
      <c r="E3365" s="2779"/>
      <c r="F3365" s="2779"/>
      <c r="G3365" s="2779"/>
      <c r="H3365" s="2779"/>
      <c r="I3365" s="424" t="s">
        <v>78</v>
      </c>
      <c r="J3365" s="424"/>
      <c r="K3365" s="424"/>
      <c r="L3365" s="424"/>
      <c r="M3365" s="424"/>
      <c r="N3365" s="424"/>
      <c r="AB3365" s="425"/>
    </row>
    <row r="3366" spans="1:28" s="352" customFormat="1" ht="18" customHeight="1" x14ac:dyDescent="0.2">
      <c r="A3366" s="424"/>
      <c r="B3366" s="426"/>
      <c r="C3366" s="424"/>
      <c r="D3366" s="424"/>
      <c r="E3366" s="424"/>
      <c r="F3366" s="424"/>
      <c r="G3366" s="424"/>
      <c r="H3366" s="424"/>
      <c r="I3366" s="424" t="s">
        <v>79</v>
      </c>
      <c r="J3366" s="424"/>
      <c r="K3366" s="424"/>
      <c r="L3366" s="424"/>
      <c r="M3366" s="424"/>
      <c r="N3366" s="424"/>
      <c r="AB3366" s="425"/>
    </row>
    <row r="3367" spans="1:28" s="352" customFormat="1" ht="18" customHeight="1" x14ac:dyDescent="0.2">
      <c r="A3367" s="424"/>
      <c r="B3367" s="426"/>
      <c r="C3367" s="424"/>
      <c r="D3367" s="424"/>
      <c r="E3367" s="424"/>
      <c r="F3367" s="424"/>
      <c r="G3367" s="424"/>
      <c r="H3367" s="424"/>
      <c r="I3367" s="424" t="s">
        <v>80</v>
      </c>
      <c r="J3367" s="424"/>
      <c r="K3367" s="424"/>
      <c r="L3367" s="424"/>
      <c r="M3367" s="424"/>
      <c r="N3367" s="424"/>
      <c r="AB3367" s="425"/>
    </row>
    <row r="3368" spans="1:28" s="352" customFormat="1" ht="18" customHeight="1" x14ac:dyDescent="0.2">
      <c r="A3368" s="424"/>
      <c r="B3368" s="426"/>
      <c r="C3368" s="424"/>
      <c r="D3368" s="424"/>
      <c r="E3368" s="424"/>
      <c r="F3368" s="424"/>
      <c r="G3368" s="424"/>
      <c r="H3368" s="424"/>
      <c r="I3368" s="424" t="s">
        <v>81</v>
      </c>
      <c r="J3368" s="424"/>
      <c r="K3368" s="424"/>
      <c r="L3368" s="424"/>
      <c r="M3368" s="424"/>
      <c r="N3368" s="424"/>
      <c r="AB3368" s="425"/>
    </row>
    <row r="3369" spans="1:28" s="352" customFormat="1" ht="18" customHeight="1" x14ac:dyDescent="0.2">
      <c r="A3369" s="424"/>
      <c r="B3369" s="426"/>
      <c r="C3369" s="424"/>
      <c r="D3369" s="424"/>
      <c r="E3369" s="424"/>
      <c r="F3369" s="424"/>
      <c r="G3369" s="424"/>
      <c r="H3369" s="424"/>
      <c r="I3369" s="424" t="s">
        <v>88</v>
      </c>
      <c r="J3369" s="424"/>
      <c r="K3369" s="424"/>
      <c r="L3369" s="424"/>
      <c r="M3369" s="424"/>
      <c r="N3369" s="424"/>
      <c r="AB3369" s="425"/>
    </row>
    <row r="3370" spans="1:28" s="352" customFormat="1" ht="18" customHeight="1" x14ac:dyDescent="0.2">
      <c r="A3370" s="338"/>
      <c r="B3370" s="338"/>
      <c r="C3370" s="338"/>
      <c r="D3370" s="338"/>
      <c r="E3370" s="338"/>
      <c r="F3370" s="338"/>
      <c r="G3370" s="338"/>
      <c r="H3370" s="338"/>
      <c r="I3370" s="338"/>
      <c r="J3370" s="338"/>
      <c r="K3370" s="338"/>
      <c r="L3370" s="338"/>
      <c r="M3370" s="338"/>
      <c r="N3370" s="338"/>
      <c r="O3370" s="338"/>
      <c r="P3370" s="338"/>
      <c r="Q3370" s="338"/>
      <c r="R3370" s="338"/>
      <c r="S3370" s="338"/>
      <c r="T3370" s="338"/>
      <c r="U3370" s="338"/>
      <c r="V3370" s="338"/>
      <c r="W3370" s="338"/>
      <c r="X3370" s="338"/>
      <c r="Y3370" s="338"/>
      <c r="Z3370" s="338"/>
      <c r="AA3370" s="2774" t="s">
        <v>0</v>
      </c>
      <c r="AB3370" s="2774"/>
    </row>
    <row r="3371" spans="1:28" s="352" customFormat="1" ht="18" customHeight="1" x14ac:dyDescent="0.2">
      <c r="A3371" s="2703" t="s">
        <v>1</v>
      </c>
      <c r="B3371" s="2703"/>
      <c r="C3371" s="2703"/>
      <c r="D3371" s="2703"/>
      <c r="E3371" s="2703"/>
      <c r="F3371" s="2703"/>
      <c r="G3371" s="2703"/>
      <c r="H3371" s="2703"/>
      <c r="I3371" s="2703"/>
      <c r="J3371" s="2703"/>
      <c r="K3371" s="2703"/>
      <c r="L3371" s="2703"/>
      <c r="M3371" s="2703"/>
      <c r="N3371" s="2703"/>
      <c r="O3371" s="2703"/>
      <c r="P3371" s="2703"/>
      <c r="Q3371" s="2703"/>
      <c r="R3371" s="2703"/>
      <c r="S3371" s="2703"/>
      <c r="T3371" s="2703"/>
      <c r="U3371" s="2703"/>
      <c r="V3371" s="2703"/>
      <c r="W3371" s="2703"/>
      <c r="X3371" s="2703"/>
      <c r="Y3371" s="2703"/>
      <c r="Z3371" s="2703"/>
      <c r="AA3371" s="2703"/>
      <c r="AB3371" s="2703"/>
    </row>
    <row r="3372" spans="1:28" s="352" customFormat="1" ht="18" customHeight="1" x14ac:dyDescent="0.2">
      <c r="A3372" s="2777" t="s">
        <v>601</v>
      </c>
      <c r="B3372" s="2777"/>
      <c r="C3372" s="2777"/>
      <c r="D3372" s="2777"/>
      <c r="E3372" s="2777"/>
      <c r="F3372" s="2777"/>
      <c r="G3372" s="2777"/>
      <c r="H3372" s="2777"/>
      <c r="I3372" s="2777"/>
      <c r="J3372" s="2777"/>
      <c r="K3372" s="2777"/>
      <c r="L3372" s="2777"/>
      <c r="M3372" s="2777"/>
      <c r="N3372" s="2777"/>
      <c r="O3372" s="2777"/>
      <c r="P3372" s="2777"/>
      <c r="Q3372" s="2777"/>
      <c r="R3372" s="2777"/>
      <c r="S3372" s="2777"/>
      <c r="T3372" s="2777"/>
      <c r="U3372" s="2777"/>
      <c r="V3372" s="2777"/>
      <c r="W3372" s="2777"/>
      <c r="X3372" s="2777"/>
      <c r="Y3372" s="2777"/>
      <c r="Z3372" s="2777"/>
      <c r="AA3372" s="2777"/>
      <c r="AB3372" s="2777"/>
    </row>
    <row r="3373" spans="1:28" s="352" customFormat="1" ht="18" customHeight="1" x14ac:dyDescent="0.2">
      <c r="A3373" s="2686" t="s">
        <v>2</v>
      </c>
      <c r="B3373" s="360"/>
      <c r="C3373" s="2686" t="s">
        <v>3</v>
      </c>
      <c r="D3373" s="360"/>
      <c r="E3373" s="360"/>
      <c r="F3373" s="2693" t="s">
        <v>4</v>
      </c>
      <c r="G3373" s="2693"/>
      <c r="H3373" s="2693"/>
      <c r="I3373" s="2694"/>
      <c r="J3373" s="2694"/>
      <c r="K3373" s="2695"/>
      <c r="L3373" s="361"/>
      <c r="M3373" s="2679" t="s">
        <v>5</v>
      </c>
      <c r="N3373" s="2679"/>
      <c r="O3373" s="2679"/>
      <c r="P3373" s="2679"/>
      <c r="Q3373" s="2696"/>
      <c r="R3373" s="2696"/>
      <c r="S3373" s="2696"/>
      <c r="T3373" s="2696"/>
      <c r="U3373" s="2696"/>
      <c r="V3373" s="2697"/>
      <c r="W3373" s="362" t="s">
        <v>6</v>
      </c>
      <c r="X3373" s="363" t="s">
        <v>7</v>
      </c>
      <c r="Y3373" s="364"/>
      <c r="Z3373" s="364"/>
      <c r="AA3373" s="363"/>
      <c r="AB3373" s="365"/>
    </row>
    <row r="3374" spans="1:28" s="352" customFormat="1" ht="18" customHeight="1" x14ac:dyDescent="0.2">
      <c r="A3374" s="2687"/>
      <c r="B3374" s="367"/>
      <c r="C3374" s="2687"/>
      <c r="D3374" s="2158" t="s">
        <v>9</v>
      </c>
      <c r="E3374" s="368" t="s">
        <v>10</v>
      </c>
      <c r="F3374" s="2698" t="s">
        <v>11</v>
      </c>
      <c r="G3374" s="2694"/>
      <c r="H3374" s="2695"/>
      <c r="I3374" s="360"/>
      <c r="J3374" s="369" t="s">
        <v>12</v>
      </c>
      <c r="K3374" s="360"/>
      <c r="L3374" s="2679" t="s">
        <v>2</v>
      </c>
      <c r="M3374" s="2162"/>
      <c r="N3374" s="2162"/>
      <c r="O3374" s="2162"/>
      <c r="P3374" s="371"/>
      <c r="Q3374" s="372" t="s">
        <v>13</v>
      </c>
      <c r="R3374" s="373" t="s">
        <v>12</v>
      </c>
      <c r="S3374" s="2162" t="s">
        <v>6</v>
      </c>
      <c r="T3374" s="2682" t="s">
        <v>14</v>
      </c>
      <c r="U3374" s="2683"/>
      <c r="V3374" s="375" t="s">
        <v>7</v>
      </c>
      <c r="W3374" s="376" t="s">
        <v>15</v>
      </c>
      <c r="X3374" s="377" t="s">
        <v>16</v>
      </c>
      <c r="Y3374" s="377" t="s">
        <v>17</v>
      </c>
      <c r="Z3374" s="377" t="s">
        <v>18</v>
      </c>
      <c r="AA3374" s="377"/>
      <c r="AB3374" s="378" t="s">
        <v>19</v>
      </c>
    </row>
    <row r="3375" spans="1:28" s="352" customFormat="1" ht="18" customHeight="1" x14ac:dyDescent="0.2">
      <c r="A3375" s="2687"/>
      <c r="B3375" s="2158" t="s">
        <v>23</v>
      </c>
      <c r="C3375" s="2687"/>
      <c r="D3375" s="2158" t="s">
        <v>24</v>
      </c>
      <c r="E3375" s="368" t="s">
        <v>25</v>
      </c>
      <c r="F3375" s="2699"/>
      <c r="G3375" s="2700"/>
      <c r="H3375" s="2701"/>
      <c r="I3375" s="2158" t="s">
        <v>26</v>
      </c>
      <c r="J3375" s="379" t="s">
        <v>15</v>
      </c>
      <c r="K3375" s="2159" t="s">
        <v>6</v>
      </c>
      <c r="L3375" s="2680"/>
      <c r="M3375" s="2163" t="s">
        <v>27</v>
      </c>
      <c r="N3375" s="2163" t="s">
        <v>10</v>
      </c>
      <c r="O3375" s="382" t="s">
        <v>10</v>
      </c>
      <c r="P3375" s="383" t="s">
        <v>28</v>
      </c>
      <c r="Q3375" s="384" t="s">
        <v>29</v>
      </c>
      <c r="R3375" s="383" t="s">
        <v>15</v>
      </c>
      <c r="S3375" s="385" t="s">
        <v>15</v>
      </c>
      <c r="T3375" s="2684"/>
      <c r="U3375" s="2685"/>
      <c r="V3375" s="375" t="s">
        <v>30</v>
      </c>
      <c r="W3375" s="376" t="s">
        <v>31</v>
      </c>
      <c r="X3375" s="377" t="s">
        <v>30</v>
      </c>
      <c r="Y3375" s="377" t="s">
        <v>32</v>
      </c>
      <c r="Z3375" s="377" t="s">
        <v>7</v>
      </c>
      <c r="AA3375" s="377" t="s">
        <v>33</v>
      </c>
      <c r="AB3375" s="378" t="s">
        <v>34</v>
      </c>
    </row>
    <row r="3376" spans="1:28" s="352" customFormat="1" ht="18" customHeight="1" x14ac:dyDescent="0.2">
      <c r="A3376" s="2687"/>
      <c r="B3376" s="2158" t="s">
        <v>39</v>
      </c>
      <c r="C3376" s="2687"/>
      <c r="D3376" s="2158" t="s">
        <v>40</v>
      </c>
      <c r="E3376" s="368" t="s">
        <v>41</v>
      </c>
      <c r="F3376" s="2686" t="s">
        <v>42</v>
      </c>
      <c r="G3376" s="2686" t="s">
        <v>43</v>
      </c>
      <c r="H3376" s="2688" t="s">
        <v>44</v>
      </c>
      <c r="I3376" s="2158" t="s">
        <v>45</v>
      </c>
      <c r="J3376" s="379" t="s">
        <v>46</v>
      </c>
      <c r="K3376" s="2159" t="s">
        <v>47</v>
      </c>
      <c r="L3376" s="2680"/>
      <c r="M3376" s="2163" t="s">
        <v>30</v>
      </c>
      <c r="N3376" s="2163" t="s">
        <v>30</v>
      </c>
      <c r="O3376" s="382" t="s">
        <v>25</v>
      </c>
      <c r="P3376" s="383" t="s">
        <v>30</v>
      </c>
      <c r="Q3376" s="384" t="s">
        <v>48</v>
      </c>
      <c r="R3376" s="383" t="s">
        <v>49</v>
      </c>
      <c r="S3376" s="385" t="s">
        <v>30</v>
      </c>
      <c r="T3376" s="386" t="s">
        <v>50</v>
      </c>
      <c r="U3376" s="2161" t="s">
        <v>13</v>
      </c>
      <c r="V3376" s="375" t="s">
        <v>51</v>
      </c>
      <c r="W3376" s="376" t="s">
        <v>52</v>
      </c>
      <c r="X3376" s="377" t="s">
        <v>53</v>
      </c>
      <c r="Y3376" s="377" t="s">
        <v>54</v>
      </c>
      <c r="Z3376" s="377" t="s">
        <v>55</v>
      </c>
      <c r="AA3376" s="377" t="s">
        <v>56</v>
      </c>
      <c r="AB3376" s="378" t="s">
        <v>57</v>
      </c>
    </row>
    <row r="3377" spans="1:28" s="352" customFormat="1" ht="18" customHeight="1" x14ac:dyDescent="0.2">
      <c r="A3377" s="2687"/>
      <c r="B3377" s="2158" t="s">
        <v>61</v>
      </c>
      <c r="C3377" s="2687"/>
      <c r="D3377" s="2158" t="s">
        <v>62</v>
      </c>
      <c r="E3377" s="368" t="s">
        <v>63</v>
      </c>
      <c r="F3377" s="2687"/>
      <c r="G3377" s="2687"/>
      <c r="H3377" s="2689"/>
      <c r="I3377" s="2158" t="s">
        <v>64</v>
      </c>
      <c r="J3377" s="379" t="s">
        <v>59</v>
      </c>
      <c r="K3377" s="2159" t="s">
        <v>59</v>
      </c>
      <c r="L3377" s="2680"/>
      <c r="M3377" s="2163"/>
      <c r="N3377" s="2163"/>
      <c r="O3377" s="382" t="s">
        <v>41</v>
      </c>
      <c r="P3377" s="383" t="s">
        <v>65</v>
      </c>
      <c r="Q3377" s="384" t="s">
        <v>66</v>
      </c>
      <c r="R3377" s="383" t="s">
        <v>67</v>
      </c>
      <c r="S3377" s="385" t="s">
        <v>59</v>
      </c>
      <c r="T3377" s="387" t="s">
        <v>68</v>
      </c>
      <c r="U3377" s="375" t="s">
        <v>14</v>
      </c>
      <c r="V3377" s="375" t="s">
        <v>14</v>
      </c>
      <c r="W3377" s="376" t="s">
        <v>30</v>
      </c>
      <c r="X3377" s="388" t="s">
        <v>69</v>
      </c>
      <c r="Y3377" s="388" t="s">
        <v>70</v>
      </c>
      <c r="Z3377" s="377" t="s">
        <v>71</v>
      </c>
      <c r="AA3377" s="377" t="s">
        <v>72</v>
      </c>
      <c r="AB3377" s="378" t="s">
        <v>59</v>
      </c>
    </row>
    <row r="3378" spans="1:28" s="352" customFormat="1" ht="18" customHeight="1" x14ac:dyDescent="0.2">
      <c r="A3378" s="2692"/>
      <c r="B3378" s="390"/>
      <c r="C3378" s="2692"/>
      <c r="D3378" s="390"/>
      <c r="E3378" s="2160"/>
      <c r="F3378" s="390"/>
      <c r="G3378" s="390"/>
      <c r="H3378" s="391"/>
      <c r="I3378" s="2160"/>
      <c r="J3378" s="392"/>
      <c r="K3378" s="393"/>
      <c r="L3378" s="2681"/>
      <c r="M3378" s="2164"/>
      <c r="N3378" s="2164"/>
      <c r="O3378" s="2164" t="s">
        <v>63</v>
      </c>
      <c r="P3378" s="395"/>
      <c r="Q3378" s="396" t="s">
        <v>72</v>
      </c>
      <c r="R3378" s="397" t="s">
        <v>59</v>
      </c>
      <c r="S3378" s="398"/>
      <c r="T3378" s="397" t="s">
        <v>73</v>
      </c>
      <c r="U3378" s="398" t="s">
        <v>59</v>
      </c>
      <c r="V3378" s="399" t="s">
        <v>59</v>
      </c>
      <c r="W3378" s="400" t="s">
        <v>59</v>
      </c>
      <c r="X3378" s="401" t="s">
        <v>59</v>
      </c>
      <c r="Y3378" s="401" t="s">
        <v>59</v>
      </c>
      <c r="Z3378" s="401" t="s">
        <v>59</v>
      </c>
      <c r="AA3378" s="402"/>
      <c r="AB3378" s="403"/>
    </row>
    <row r="3379" spans="1:28" s="352" customFormat="1" ht="18" customHeight="1" x14ac:dyDescent="0.25">
      <c r="A3379" s="82">
        <v>1</v>
      </c>
      <c r="B3379" s="333">
        <v>34003</v>
      </c>
      <c r="C3379" s="41">
        <v>2251</v>
      </c>
      <c r="D3379" s="41" t="s">
        <v>107</v>
      </c>
      <c r="E3379" s="41">
        <v>2</v>
      </c>
      <c r="F3379" s="41">
        <v>0</v>
      </c>
      <c r="G3379" s="41">
        <v>0</v>
      </c>
      <c r="H3379" s="267">
        <v>63.5</v>
      </c>
      <c r="I3379" s="302">
        <f>F3379*400+G3379*100+H3379</f>
        <v>63.5</v>
      </c>
      <c r="J3379" s="310">
        <v>3000</v>
      </c>
      <c r="K3379" s="303">
        <f>SUM(I3379*J3379)</f>
        <v>190500</v>
      </c>
      <c r="L3379" s="16">
        <v>245</v>
      </c>
      <c r="M3379" s="82">
        <v>103</v>
      </c>
      <c r="N3379" s="41" t="s">
        <v>74</v>
      </c>
      <c r="O3379" s="16">
        <v>2</v>
      </c>
      <c r="P3379" s="404">
        <v>80</v>
      </c>
      <c r="Q3379" s="14" t="s">
        <v>75</v>
      </c>
      <c r="R3379" s="302">
        <v>9050</v>
      </c>
      <c r="S3379" s="18">
        <f>R3379*P3379</f>
        <v>724000</v>
      </c>
      <c r="T3379" s="1959">
        <v>1</v>
      </c>
      <c r="U3379" s="1960">
        <f>S3379*0.01</f>
        <v>7240</v>
      </c>
      <c r="V3379" s="47">
        <f>S3379-U3379</f>
        <v>716760</v>
      </c>
      <c r="W3379" s="18">
        <f>K3379+V3379</f>
        <v>907260</v>
      </c>
      <c r="X3379" s="47">
        <f>W3379</f>
        <v>907260</v>
      </c>
      <c r="Y3379" s="310">
        <v>0</v>
      </c>
      <c r="Z3379" s="302">
        <f>+X3379</f>
        <v>907260</v>
      </c>
      <c r="AA3379" s="405">
        <v>0.02</v>
      </c>
      <c r="AB3379" s="465">
        <f>+Z3379*AA3379/100</f>
        <v>181.452</v>
      </c>
    </row>
    <row r="3380" spans="1:28" s="352" customFormat="1" ht="18" customHeight="1" x14ac:dyDescent="0.2">
      <c r="A3380" s="2166"/>
      <c r="B3380" s="61"/>
      <c r="C3380" s="2166"/>
      <c r="D3380" s="2166"/>
      <c r="E3380" s="2166">
        <v>1</v>
      </c>
      <c r="F3380" s="2166">
        <v>0</v>
      </c>
      <c r="G3380" s="2166">
        <v>0</v>
      </c>
      <c r="H3380" s="407">
        <v>50</v>
      </c>
      <c r="I3380" s="302">
        <f>F3380*400+G3380*100+H3380</f>
        <v>50</v>
      </c>
      <c r="J3380" s="310">
        <v>3000</v>
      </c>
      <c r="K3380" s="303">
        <f>SUM(I3380*J3380)</f>
        <v>150000</v>
      </c>
      <c r="L3380" s="488"/>
      <c r="M3380" s="488"/>
      <c r="N3380" s="41" t="s">
        <v>599</v>
      </c>
      <c r="O3380" s="16">
        <v>1</v>
      </c>
      <c r="P3380" s="819"/>
      <c r="Q3380" s="819"/>
      <c r="R3380" s="820"/>
      <c r="S3380" s="820"/>
      <c r="T3380" s="819"/>
      <c r="U3380" s="820"/>
      <c r="V3380" s="821"/>
      <c r="W3380" s="18">
        <f>K3380+V3380</f>
        <v>150000</v>
      </c>
      <c r="X3380" s="47">
        <f>W3380</f>
        <v>150000</v>
      </c>
      <c r="Y3380" s="2168" t="s">
        <v>87</v>
      </c>
      <c r="Z3380" s="77">
        <v>0</v>
      </c>
      <c r="AA3380" s="2170">
        <v>0.01</v>
      </c>
      <c r="AB3380" s="465">
        <f>+Z3380*AA3380/100</f>
        <v>0</v>
      </c>
    </row>
    <row r="3381" spans="1:28" s="352" customFormat="1" ht="18" customHeight="1" x14ac:dyDescent="0.2">
      <c r="A3381" s="88"/>
      <c r="B3381" s="75"/>
      <c r="C3381" s="88"/>
      <c r="D3381" s="88"/>
      <c r="E3381" s="88"/>
      <c r="F3381" s="88"/>
      <c r="G3381" s="88"/>
      <c r="H3381" s="495"/>
      <c r="I3381" s="74"/>
      <c r="J3381" s="121"/>
      <c r="K3381" s="159"/>
      <c r="L3381" s="75"/>
      <c r="M3381" s="88"/>
      <c r="N3381" s="88"/>
      <c r="O3381" s="75"/>
      <c r="P3381" s="180"/>
      <c r="Q3381" s="174"/>
      <c r="R3381" s="413"/>
      <c r="S3381" s="74"/>
      <c r="T3381" s="88"/>
      <c r="U3381" s="74"/>
      <c r="V3381" s="74"/>
      <c r="W3381" s="74"/>
      <c r="X3381" s="74"/>
      <c r="Y3381" s="121"/>
      <c r="Z3381" s="74"/>
      <c r="AA3381" s="414"/>
      <c r="AB3381" s="410"/>
    </row>
    <row r="3382" spans="1:28" s="352" customFormat="1" ht="18" customHeight="1" x14ac:dyDescent="0.2">
      <c r="A3382" s="2166"/>
      <c r="B3382" s="61"/>
      <c r="C3382" s="2166"/>
      <c r="D3382" s="2166"/>
      <c r="E3382" s="2166"/>
      <c r="F3382" s="2166"/>
      <c r="G3382" s="2166"/>
      <c r="H3382" s="407"/>
      <c r="I3382" s="74"/>
      <c r="J3382" s="121"/>
      <c r="K3382" s="159"/>
      <c r="L3382" s="61"/>
      <c r="M3382" s="2166"/>
      <c r="N3382" s="2166"/>
      <c r="O3382" s="61"/>
      <c r="P3382" s="177"/>
      <c r="Q3382" s="196"/>
      <c r="R3382" s="408"/>
      <c r="S3382" s="77"/>
      <c r="T3382" s="2166"/>
      <c r="U3382" s="77"/>
      <c r="V3382" s="77"/>
      <c r="W3382" s="77"/>
      <c r="X3382" s="77"/>
      <c r="Y3382" s="2168"/>
      <c r="Z3382" s="77"/>
      <c r="AA3382" s="2170"/>
      <c r="AB3382" s="410"/>
    </row>
    <row r="3383" spans="1:28" s="352" customFormat="1" ht="18" customHeight="1" x14ac:dyDescent="0.2">
      <c r="A3383" s="2166"/>
      <c r="B3383" s="61"/>
      <c r="C3383" s="2166"/>
      <c r="D3383" s="2166"/>
      <c r="E3383" s="2166"/>
      <c r="F3383" s="2166"/>
      <c r="G3383" s="2166"/>
      <c r="H3383" s="407"/>
      <c r="I3383" s="77"/>
      <c r="J3383" s="2168"/>
      <c r="K3383" s="78"/>
      <c r="L3383" s="61"/>
      <c r="M3383" s="2166"/>
      <c r="N3383" s="2166"/>
      <c r="O3383" s="61"/>
      <c r="P3383" s="177"/>
      <c r="Q3383" s="196"/>
      <c r="R3383" s="408"/>
      <c r="S3383" s="77"/>
      <c r="T3383" s="2166"/>
      <c r="U3383" s="77"/>
      <c r="V3383" s="77"/>
      <c r="W3383" s="77"/>
      <c r="X3383" s="77"/>
      <c r="Y3383" s="2168"/>
      <c r="Z3383" s="77"/>
      <c r="AA3383" s="2170"/>
      <c r="AB3383" s="410"/>
    </row>
    <row r="3384" spans="1:28" s="352" customFormat="1" ht="18" customHeight="1" x14ac:dyDescent="0.2">
      <c r="A3384" s="2166"/>
      <c r="B3384" s="61"/>
      <c r="C3384" s="2166"/>
      <c r="D3384" s="2166"/>
      <c r="E3384" s="2166"/>
      <c r="F3384" s="2166"/>
      <c r="G3384" s="2166"/>
      <c r="H3384" s="407"/>
      <c r="I3384" s="77"/>
      <c r="J3384" s="2168"/>
      <c r="K3384" s="78"/>
      <c r="L3384" s="61"/>
      <c r="M3384" s="2166"/>
      <c r="N3384" s="2166"/>
      <c r="O3384" s="61"/>
      <c r="P3384" s="177"/>
      <c r="Q3384" s="196"/>
      <c r="R3384" s="408"/>
      <c r="S3384" s="77"/>
      <c r="T3384" s="2166"/>
      <c r="U3384" s="77"/>
      <c r="V3384" s="77"/>
      <c r="W3384" s="77"/>
      <c r="X3384" s="77"/>
      <c r="Y3384" s="2168"/>
      <c r="Z3384" s="77"/>
      <c r="AA3384" s="2170"/>
      <c r="AB3384" s="410"/>
    </row>
    <row r="3385" spans="1:28" s="352" customFormat="1" ht="18" customHeight="1" x14ac:dyDescent="0.2">
      <c r="A3385" s="2166"/>
      <c r="B3385" s="61"/>
      <c r="C3385" s="2166"/>
      <c r="D3385" s="2166"/>
      <c r="E3385" s="2166"/>
      <c r="F3385" s="2166"/>
      <c r="G3385" s="2166"/>
      <c r="H3385" s="407"/>
      <c r="I3385" s="77"/>
      <c r="J3385" s="2168"/>
      <c r="K3385" s="78"/>
      <c r="L3385" s="61"/>
      <c r="M3385" s="2166"/>
      <c r="N3385" s="2166"/>
      <c r="O3385" s="61"/>
      <c r="P3385" s="177"/>
      <c r="Q3385" s="196"/>
      <c r="R3385" s="408"/>
      <c r="S3385" s="77"/>
      <c r="T3385" s="2166"/>
      <c r="U3385" s="77"/>
      <c r="V3385" s="77"/>
      <c r="W3385" s="77"/>
      <c r="X3385" s="77"/>
      <c r="Y3385" s="2168"/>
      <c r="Z3385" s="77"/>
      <c r="AA3385" s="2170"/>
      <c r="AB3385" s="410"/>
    </row>
    <row r="3386" spans="1:28" s="352" customFormat="1" ht="18" customHeight="1" x14ac:dyDescent="0.2">
      <c r="A3386" s="2166"/>
      <c r="B3386" s="61"/>
      <c r="C3386" s="2166"/>
      <c r="D3386" s="2166"/>
      <c r="E3386" s="2166"/>
      <c r="F3386" s="2166"/>
      <c r="G3386" s="2166"/>
      <c r="H3386" s="407"/>
      <c r="I3386" s="77"/>
      <c r="J3386" s="2168"/>
      <c r="K3386" s="78"/>
      <c r="L3386" s="61"/>
      <c r="M3386" s="2166"/>
      <c r="N3386" s="2166"/>
      <c r="O3386" s="61"/>
      <c r="P3386" s="177"/>
      <c r="Q3386" s="196"/>
      <c r="R3386" s="408"/>
      <c r="S3386" s="77"/>
      <c r="T3386" s="2166"/>
      <c r="U3386" s="77"/>
      <c r="V3386" s="77"/>
      <c r="W3386" s="77"/>
      <c r="X3386" s="77"/>
      <c r="Y3386" s="2168"/>
      <c r="Z3386" s="77"/>
      <c r="AA3386" s="2170"/>
      <c r="AB3386" s="410"/>
    </row>
    <row r="3387" spans="1:28" s="352" customFormat="1" ht="18" customHeight="1" x14ac:dyDescent="0.2">
      <c r="A3387" s="2166"/>
      <c r="B3387" s="61"/>
      <c r="C3387" s="2166"/>
      <c r="D3387" s="2166"/>
      <c r="E3387" s="2166"/>
      <c r="F3387" s="2166"/>
      <c r="G3387" s="2166"/>
      <c r="H3387" s="407"/>
      <c r="I3387" s="77"/>
      <c r="J3387" s="2168"/>
      <c r="K3387" s="78"/>
      <c r="L3387" s="61"/>
      <c r="M3387" s="2166"/>
      <c r="N3387" s="2166"/>
      <c r="O3387" s="61"/>
      <c r="P3387" s="177"/>
      <c r="Q3387" s="196"/>
      <c r="R3387" s="408"/>
      <c r="S3387" s="77"/>
      <c r="T3387" s="2166"/>
      <c r="U3387" s="77"/>
      <c r="V3387" s="77"/>
      <c r="W3387" s="77"/>
      <c r="X3387" s="77"/>
      <c r="Y3387" s="2168"/>
      <c r="Z3387" s="77"/>
      <c r="AA3387" s="2170"/>
      <c r="AB3387" s="410"/>
    </row>
    <row r="3388" spans="1:28" s="352" customFormat="1" ht="18" customHeight="1" x14ac:dyDescent="0.2">
      <c r="A3388" s="2166"/>
      <c r="B3388" s="61"/>
      <c r="C3388" s="2166"/>
      <c r="D3388" s="2166"/>
      <c r="E3388" s="2166"/>
      <c r="F3388" s="2166"/>
      <c r="G3388" s="2166"/>
      <c r="H3388" s="407"/>
      <c r="I3388" s="77"/>
      <c r="J3388" s="2168"/>
      <c r="K3388" s="78"/>
      <c r="L3388" s="61"/>
      <c r="M3388" s="2166"/>
      <c r="N3388" s="2166"/>
      <c r="O3388" s="61"/>
      <c r="P3388" s="177"/>
      <c r="Q3388" s="196"/>
      <c r="R3388" s="408"/>
      <c r="S3388" s="77"/>
      <c r="T3388" s="2166"/>
      <c r="U3388" s="77"/>
      <c r="V3388" s="77"/>
      <c r="W3388" s="77"/>
      <c r="X3388" s="77"/>
      <c r="Y3388" s="2168"/>
      <c r="Z3388" s="77"/>
      <c r="AA3388" s="2170"/>
      <c r="AB3388" s="410"/>
    </row>
    <row r="3389" spans="1:28" s="352" customFormat="1" ht="18" customHeight="1" x14ac:dyDescent="0.2">
      <c r="A3389" s="2166"/>
      <c r="B3389" s="61"/>
      <c r="C3389" s="2166"/>
      <c r="D3389" s="2166"/>
      <c r="E3389" s="2166"/>
      <c r="F3389" s="2166"/>
      <c r="G3389" s="2166"/>
      <c r="H3389" s="407"/>
      <c r="I3389" s="77"/>
      <c r="J3389" s="2168"/>
      <c r="K3389" s="78"/>
      <c r="L3389" s="61"/>
      <c r="M3389" s="2166"/>
      <c r="N3389" s="2166"/>
      <c r="O3389" s="61"/>
      <c r="P3389" s="177"/>
      <c r="Q3389" s="196"/>
      <c r="R3389" s="408"/>
      <c r="S3389" s="77"/>
      <c r="T3389" s="2166"/>
      <c r="U3389" s="77"/>
      <c r="V3389" s="77"/>
      <c r="W3389" s="77"/>
      <c r="X3389" s="77"/>
      <c r="Y3389" s="2168"/>
      <c r="Z3389" s="77"/>
      <c r="AA3389" s="2170"/>
      <c r="AB3389" s="410"/>
    </row>
    <row r="3390" spans="1:28" s="352" customFormat="1" ht="18" customHeight="1" x14ac:dyDescent="0.2">
      <c r="A3390" s="2166"/>
      <c r="B3390" s="61"/>
      <c r="C3390" s="2166"/>
      <c r="D3390" s="2166"/>
      <c r="E3390" s="2166"/>
      <c r="F3390" s="2166"/>
      <c r="G3390" s="2166"/>
      <c r="H3390" s="407"/>
      <c r="I3390" s="77"/>
      <c r="J3390" s="2168"/>
      <c r="K3390" s="78"/>
      <c r="L3390" s="61"/>
      <c r="M3390" s="2166"/>
      <c r="N3390" s="2166"/>
      <c r="O3390" s="61"/>
      <c r="P3390" s="177"/>
      <c r="Q3390" s="196"/>
      <c r="R3390" s="408"/>
      <c r="S3390" s="77"/>
      <c r="T3390" s="2166"/>
      <c r="U3390" s="77"/>
      <c r="V3390" s="77"/>
      <c r="W3390" s="77"/>
      <c r="X3390" s="77"/>
      <c r="Y3390" s="2168"/>
      <c r="Z3390" s="77"/>
      <c r="AA3390" s="2170"/>
      <c r="AB3390" s="410"/>
    </row>
    <row r="3391" spans="1:28" s="352" customFormat="1" ht="18" customHeight="1" x14ac:dyDescent="0.2">
      <c r="A3391" s="88"/>
      <c r="B3391" s="75"/>
      <c r="C3391" s="88"/>
      <c r="D3391" s="2165"/>
      <c r="E3391" s="2166"/>
      <c r="F3391" s="411"/>
      <c r="G3391" s="242"/>
      <c r="H3391" s="412"/>
      <c r="I3391" s="159"/>
      <c r="J3391" s="121"/>
      <c r="K3391" s="159"/>
      <c r="L3391" s="75"/>
      <c r="M3391" s="88"/>
      <c r="N3391" s="88"/>
      <c r="O3391" s="75"/>
      <c r="P3391" s="180"/>
      <c r="Q3391" s="174"/>
      <c r="R3391" s="413"/>
      <c r="S3391" s="74"/>
      <c r="T3391" s="88"/>
      <c r="U3391" s="74"/>
      <c r="V3391" s="74"/>
      <c r="W3391" s="74"/>
      <c r="X3391" s="74"/>
      <c r="Y3391" s="121"/>
      <c r="Z3391" s="74"/>
      <c r="AA3391" s="414"/>
      <c r="AB3391" s="416"/>
    </row>
    <row r="3392" spans="1:28" s="352" customFormat="1" ht="18" customHeight="1" x14ac:dyDescent="0.2">
      <c r="A3392" s="88"/>
      <c r="B3392" s="418"/>
      <c r="C3392" s="88"/>
      <c r="D3392" s="88"/>
      <c r="E3392" s="88"/>
      <c r="F3392" s="411"/>
      <c r="G3392" s="242"/>
      <c r="H3392" s="412"/>
      <c r="I3392" s="159"/>
      <c r="J3392" s="121"/>
      <c r="K3392" s="159"/>
      <c r="L3392" s="75"/>
      <c r="M3392" s="88"/>
      <c r="N3392" s="88"/>
      <c r="O3392" s="75"/>
      <c r="P3392" s="180"/>
      <c r="Q3392" s="174"/>
      <c r="R3392" s="413"/>
      <c r="S3392" s="74"/>
      <c r="T3392" s="88"/>
      <c r="U3392" s="74"/>
      <c r="V3392" s="74"/>
      <c r="W3392" s="74"/>
      <c r="X3392" s="74"/>
      <c r="Y3392" s="121"/>
      <c r="Z3392" s="74"/>
      <c r="AA3392" s="414"/>
      <c r="AB3392" s="410"/>
    </row>
    <row r="3393" spans="1:29" s="352" customFormat="1" ht="18" customHeight="1" x14ac:dyDescent="0.2">
      <c r="A3393" s="1147"/>
      <c r="B3393" s="1989"/>
      <c r="C3393" s="1147"/>
      <c r="D3393" s="1147"/>
      <c r="E3393" s="1147"/>
      <c r="F3393" s="1147"/>
      <c r="G3393" s="1147"/>
      <c r="H3393" s="1990"/>
      <c r="I3393" s="1991"/>
      <c r="J3393" s="1868"/>
      <c r="K3393" s="1992"/>
      <c r="L3393" s="1989"/>
      <c r="M3393" s="1147"/>
      <c r="N3393" s="1147"/>
      <c r="O3393" s="1989"/>
      <c r="P3393" s="1867"/>
      <c r="Q3393" s="1993"/>
      <c r="R3393" s="1994"/>
      <c r="S3393" s="1991"/>
      <c r="T3393" s="1147"/>
      <c r="U3393" s="1991"/>
      <c r="V3393" s="1991"/>
      <c r="W3393" s="1991"/>
      <c r="X3393" s="1991"/>
      <c r="Y3393" s="1868"/>
      <c r="Z3393" s="1991"/>
      <c r="AA3393" s="1995"/>
      <c r="AB3393" s="1849">
        <f>SUM(AB3379:AB3392)</f>
        <v>181.452</v>
      </c>
    </row>
    <row r="3394" spans="1:29" s="352" customFormat="1" ht="18" customHeight="1" x14ac:dyDescent="0.2">
      <c r="A3394" s="2788" t="s">
        <v>76</v>
      </c>
      <c r="B3394" s="2788"/>
      <c r="C3394" s="2779" t="s">
        <v>77</v>
      </c>
      <c r="D3394" s="2779"/>
      <c r="E3394" s="2779"/>
      <c r="F3394" s="2779"/>
      <c r="G3394" s="2779"/>
      <c r="H3394" s="2779"/>
      <c r="I3394" s="424" t="s">
        <v>78</v>
      </c>
      <c r="J3394" s="424"/>
      <c r="K3394" s="424"/>
      <c r="L3394" s="424"/>
      <c r="M3394" s="424"/>
      <c r="N3394" s="424"/>
      <c r="AB3394" s="425"/>
    </row>
    <row r="3395" spans="1:29" s="352" customFormat="1" ht="18" customHeight="1" x14ac:dyDescent="0.2">
      <c r="A3395" s="424"/>
      <c r="B3395" s="426"/>
      <c r="C3395" s="424"/>
      <c r="D3395" s="424"/>
      <c r="E3395" s="424"/>
      <c r="F3395" s="424"/>
      <c r="G3395" s="424"/>
      <c r="H3395" s="424"/>
      <c r="I3395" s="424" t="s">
        <v>79</v>
      </c>
      <c r="J3395" s="424"/>
      <c r="K3395" s="424"/>
      <c r="L3395" s="424"/>
      <c r="M3395" s="424"/>
      <c r="N3395" s="424"/>
      <c r="AB3395" s="425"/>
    </row>
    <row r="3396" spans="1:29" s="352" customFormat="1" ht="18" customHeight="1" x14ac:dyDescent="0.2">
      <c r="A3396" s="424"/>
      <c r="B3396" s="426"/>
      <c r="C3396" s="424"/>
      <c r="D3396" s="424"/>
      <c r="E3396" s="424"/>
      <c r="F3396" s="424"/>
      <c r="G3396" s="424"/>
      <c r="H3396" s="424"/>
      <c r="I3396" s="424" t="s">
        <v>80</v>
      </c>
      <c r="J3396" s="424"/>
      <c r="K3396" s="424"/>
      <c r="L3396" s="424"/>
      <c r="M3396" s="424"/>
      <c r="N3396" s="424"/>
      <c r="AB3396" s="425"/>
    </row>
    <row r="3397" spans="1:29" s="352" customFormat="1" ht="18" customHeight="1" x14ac:dyDescent="0.2">
      <c r="A3397" s="424"/>
      <c r="B3397" s="426"/>
      <c r="C3397" s="424"/>
      <c r="D3397" s="424"/>
      <c r="E3397" s="424"/>
      <c r="F3397" s="424"/>
      <c r="G3397" s="424"/>
      <c r="H3397" s="424"/>
      <c r="I3397" s="424" t="s">
        <v>81</v>
      </c>
      <c r="J3397" s="424"/>
      <c r="K3397" s="424"/>
      <c r="L3397" s="424"/>
      <c r="M3397" s="424"/>
      <c r="N3397" s="424"/>
      <c r="AB3397" s="425"/>
    </row>
    <row r="3398" spans="1:29" s="352" customFormat="1" ht="18" customHeight="1" x14ac:dyDescent="0.2">
      <c r="A3398" s="424"/>
      <c r="B3398" s="426"/>
      <c r="C3398" s="424"/>
      <c r="D3398" s="424"/>
      <c r="E3398" s="424"/>
      <c r="F3398" s="424"/>
      <c r="G3398" s="424"/>
      <c r="H3398" s="424"/>
      <c r="I3398" s="424" t="s">
        <v>88</v>
      </c>
      <c r="J3398" s="424"/>
      <c r="K3398" s="424"/>
      <c r="L3398" s="424"/>
      <c r="M3398" s="424"/>
      <c r="N3398" s="424"/>
      <c r="AB3398" s="425"/>
    </row>
    <row r="3399" spans="1:29" s="352" customFormat="1" ht="18" customHeight="1" x14ac:dyDescent="0.2">
      <c r="A3399" s="338"/>
      <c r="B3399" s="338"/>
      <c r="C3399" s="338"/>
      <c r="D3399" s="338"/>
      <c r="E3399" s="338"/>
      <c r="F3399" s="338"/>
      <c r="G3399" s="338"/>
      <c r="H3399" s="338"/>
      <c r="I3399" s="338"/>
      <c r="J3399" s="338"/>
      <c r="K3399" s="338"/>
      <c r="L3399" s="338"/>
      <c r="M3399" s="338"/>
      <c r="N3399" s="338"/>
      <c r="O3399" s="338"/>
      <c r="P3399" s="338"/>
      <c r="Q3399" s="338"/>
      <c r="R3399" s="338"/>
      <c r="S3399" s="338"/>
      <c r="T3399" s="338"/>
      <c r="U3399" s="338"/>
      <c r="V3399" s="338"/>
      <c r="W3399" s="338"/>
      <c r="X3399" s="338"/>
      <c r="Y3399" s="338"/>
      <c r="Z3399" s="338"/>
      <c r="AA3399" s="2774" t="s">
        <v>0</v>
      </c>
      <c r="AB3399" s="2774"/>
    </row>
    <row r="3400" spans="1:29" s="352" customFormat="1" ht="18" customHeight="1" x14ac:dyDescent="0.2">
      <c r="A3400" s="2703" t="s">
        <v>1</v>
      </c>
      <c r="B3400" s="2703"/>
      <c r="C3400" s="2703"/>
      <c r="D3400" s="2703"/>
      <c r="E3400" s="2703"/>
      <c r="F3400" s="2703"/>
      <c r="G3400" s="2703"/>
      <c r="H3400" s="2703"/>
      <c r="I3400" s="2703"/>
      <c r="J3400" s="2703"/>
      <c r="K3400" s="2703"/>
      <c r="L3400" s="2703"/>
      <c r="M3400" s="2703"/>
      <c r="N3400" s="2703"/>
      <c r="O3400" s="2703"/>
      <c r="P3400" s="2703"/>
      <c r="Q3400" s="2703"/>
      <c r="R3400" s="2703"/>
      <c r="S3400" s="2703"/>
      <c r="T3400" s="2703"/>
      <c r="U3400" s="2703"/>
      <c r="V3400" s="2703"/>
      <c r="W3400" s="2703"/>
      <c r="X3400" s="2703"/>
      <c r="Y3400" s="2703"/>
      <c r="Z3400" s="2703"/>
      <c r="AA3400" s="2703"/>
      <c r="AB3400" s="2703"/>
    </row>
    <row r="3401" spans="1:29" s="352" customFormat="1" ht="18" customHeight="1" x14ac:dyDescent="0.2">
      <c r="A3401" s="2794" t="s">
        <v>697</v>
      </c>
      <c r="B3401" s="2794"/>
      <c r="C3401" s="2794"/>
      <c r="D3401" s="2794"/>
      <c r="E3401" s="2794"/>
      <c r="F3401" s="2794"/>
      <c r="G3401" s="2794"/>
      <c r="H3401" s="2794"/>
      <c r="I3401" s="2794"/>
      <c r="J3401" s="2794"/>
      <c r="K3401" s="2794"/>
      <c r="L3401" s="2794"/>
      <c r="M3401" s="2794"/>
      <c r="N3401" s="2794"/>
      <c r="O3401" s="2794"/>
      <c r="P3401" s="2794"/>
      <c r="Q3401" s="2794"/>
      <c r="R3401" s="2794"/>
      <c r="S3401" s="2794"/>
      <c r="T3401" s="2794"/>
      <c r="U3401" s="2794"/>
      <c r="V3401" s="2794"/>
      <c r="W3401" s="2794"/>
      <c r="X3401" s="2794"/>
      <c r="Y3401" s="2794"/>
      <c r="Z3401" s="2794"/>
      <c r="AA3401" s="2794"/>
      <c r="AB3401" s="2794"/>
    </row>
    <row r="3402" spans="1:29" s="352" customFormat="1" ht="18" customHeight="1" x14ac:dyDescent="0.2">
      <c r="A3402" s="2686" t="s">
        <v>2</v>
      </c>
      <c r="B3402" s="360"/>
      <c r="C3402" s="2686" t="s">
        <v>3</v>
      </c>
      <c r="D3402" s="360"/>
      <c r="E3402" s="360"/>
      <c r="F3402" s="2693" t="s">
        <v>4</v>
      </c>
      <c r="G3402" s="2693"/>
      <c r="H3402" s="2693"/>
      <c r="I3402" s="2694"/>
      <c r="J3402" s="2694"/>
      <c r="K3402" s="2695"/>
      <c r="L3402" s="361"/>
      <c r="M3402" s="2679" t="s">
        <v>5</v>
      </c>
      <c r="N3402" s="2679"/>
      <c r="O3402" s="2679"/>
      <c r="P3402" s="2679"/>
      <c r="Q3402" s="2696"/>
      <c r="R3402" s="2696"/>
      <c r="S3402" s="2696"/>
      <c r="T3402" s="2696"/>
      <c r="U3402" s="2696"/>
      <c r="V3402" s="2697"/>
      <c r="W3402" s="362" t="s">
        <v>6</v>
      </c>
      <c r="X3402" s="363" t="s">
        <v>7</v>
      </c>
      <c r="Y3402" s="364"/>
      <c r="Z3402" s="364"/>
      <c r="AA3402" s="363"/>
      <c r="AB3402" s="365"/>
    </row>
    <row r="3403" spans="1:29" s="352" customFormat="1" ht="18" customHeight="1" x14ac:dyDescent="0.2">
      <c r="A3403" s="2687"/>
      <c r="B3403" s="367"/>
      <c r="C3403" s="2687"/>
      <c r="D3403" s="2158" t="s">
        <v>9</v>
      </c>
      <c r="E3403" s="368" t="s">
        <v>10</v>
      </c>
      <c r="F3403" s="2698" t="s">
        <v>11</v>
      </c>
      <c r="G3403" s="2694"/>
      <c r="H3403" s="2695"/>
      <c r="I3403" s="360"/>
      <c r="J3403" s="369" t="s">
        <v>12</v>
      </c>
      <c r="K3403" s="360"/>
      <c r="L3403" s="2679" t="s">
        <v>2</v>
      </c>
      <c r="M3403" s="2162"/>
      <c r="N3403" s="2162"/>
      <c r="O3403" s="2162"/>
      <c r="P3403" s="371"/>
      <c r="Q3403" s="372" t="s">
        <v>13</v>
      </c>
      <c r="R3403" s="373" t="s">
        <v>12</v>
      </c>
      <c r="S3403" s="2162" t="s">
        <v>6</v>
      </c>
      <c r="T3403" s="2682" t="s">
        <v>14</v>
      </c>
      <c r="U3403" s="2683"/>
      <c r="V3403" s="375" t="s">
        <v>7</v>
      </c>
      <c r="W3403" s="376" t="s">
        <v>15</v>
      </c>
      <c r="X3403" s="377" t="s">
        <v>16</v>
      </c>
      <c r="Y3403" s="377" t="s">
        <v>17</v>
      </c>
      <c r="Z3403" s="377" t="s">
        <v>18</v>
      </c>
      <c r="AA3403" s="377"/>
      <c r="AB3403" s="378" t="s">
        <v>19</v>
      </c>
    </row>
    <row r="3404" spans="1:29" s="352" customFormat="1" ht="18" customHeight="1" x14ac:dyDescent="0.2">
      <c r="A3404" s="2687"/>
      <c r="B3404" s="2158" t="s">
        <v>23</v>
      </c>
      <c r="C3404" s="2687"/>
      <c r="D3404" s="2158" t="s">
        <v>24</v>
      </c>
      <c r="E3404" s="368" t="s">
        <v>25</v>
      </c>
      <c r="F3404" s="2699"/>
      <c r="G3404" s="2700"/>
      <c r="H3404" s="2701"/>
      <c r="I3404" s="2158" t="s">
        <v>26</v>
      </c>
      <c r="J3404" s="379" t="s">
        <v>15</v>
      </c>
      <c r="K3404" s="2159" t="s">
        <v>6</v>
      </c>
      <c r="L3404" s="2680"/>
      <c r="M3404" s="2163" t="s">
        <v>27</v>
      </c>
      <c r="N3404" s="2163" t="s">
        <v>10</v>
      </c>
      <c r="O3404" s="382" t="s">
        <v>10</v>
      </c>
      <c r="P3404" s="383" t="s">
        <v>28</v>
      </c>
      <c r="Q3404" s="384" t="s">
        <v>29</v>
      </c>
      <c r="R3404" s="383" t="s">
        <v>15</v>
      </c>
      <c r="S3404" s="385" t="s">
        <v>15</v>
      </c>
      <c r="T3404" s="2684"/>
      <c r="U3404" s="2685"/>
      <c r="V3404" s="375" t="s">
        <v>30</v>
      </c>
      <c r="W3404" s="376" t="s">
        <v>31</v>
      </c>
      <c r="X3404" s="377" t="s">
        <v>30</v>
      </c>
      <c r="Y3404" s="377" t="s">
        <v>32</v>
      </c>
      <c r="Z3404" s="377" t="s">
        <v>7</v>
      </c>
      <c r="AA3404" s="377" t="s">
        <v>33</v>
      </c>
      <c r="AB3404" s="378" t="s">
        <v>34</v>
      </c>
    </row>
    <row r="3405" spans="1:29" s="352" customFormat="1" ht="18" customHeight="1" x14ac:dyDescent="0.2">
      <c r="A3405" s="2687"/>
      <c r="B3405" s="2158" t="s">
        <v>39</v>
      </c>
      <c r="C3405" s="2687"/>
      <c r="D3405" s="2158" t="s">
        <v>40</v>
      </c>
      <c r="E3405" s="368" t="s">
        <v>41</v>
      </c>
      <c r="F3405" s="2686" t="s">
        <v>42</v>
      </c>
      <c r="G3405" s="2686" t="s">
        <v>43</v>
      </c>
      <c r="H3405" s="2688" t="s">
        <v>44</v>
      </c>
      <c r="I3405" s="2158" t="s">
        <v>45</v>
      </c>
      <c r="J3405" s="379" t="s">
        <v>46</v>
      </c>
      <c r="K3405" s="2159" t="s">
        <v>47</v>
      </c>
      <c r="L3405" s="2680"/>
      <c r="M3405" s="2163" t="s">
        <v>30</v>
      </c>
      <c r="N3405" s="2163" t="s">
        <v>30</v>
      </c>
      <c r="O3405" s="382" t="s">
        <v>25</v>
      </c>
      <c r="P3405" s="383" t="s">
        <v>30</v>
      </c>
      <c r="Q3405" s="384" t="s">
        <v>48</v>
      </c>
      <c r="R3405" s="383" t="s">
        <v>49</v>
      </c>
      <c r="S3405" s="385" t="s">
        <v>30</v>
      </c>
      <c r="T3405" s="386" t="s">
        <v>50</v>
      </c>
      <c r="U3405" s="2161" t="s">
        <v>13</v>
      </c>
      <c r="V3405" s="375" t="s">
        <v>51</v>
      </c>
      <c r="W3405" s="376" t="s">
        <v>52</v>
      </c>
      <c r="X3405" s="377" t="s">
        <v>53</v>
      </c>
      <c r="Y3405" s="377" t="s">
        <v>54</v>
      </c>
      <c r="Z3405" s="377" t="s">
        <v>55</v>
      </c>
      <c r="AA3405" s="377" t="s">
        <v>56</v>
      </c>
      <c r="AB3405" s="378" t="s">
        <v>57</v>
      </c>
    </row>
    <row r="3406" spans="1:29" s="352" customFormat="1" ht="18" customHeight="1" x14ac:dyDescent="0.2">
      <c r="A3406" s="2687"/>
      <c r="B3406" s="2158" t="s">
        <v>61</v>
      </c>
      <c r="C3406" s="2687"/>
      <c r="D3406" s="2158" t="s">
        <v>62</v>
      </c>
      <c r="E3406" s="368" t="s">
        <v>63</v>
      </c>
      <c r="F3406" s="2687"/>
      <c r="G3406" s="2687"/>
      <c r="H3406" s="2689"/>
      <c r="I3406" s="2158" t="s">
        <v>64</v>
      </c>
      <c r="J3406" s="379" t="s">
        <v>59</v>
      </c>
      <c r="K3406" s="2159" t="s">
        <v>59</v>
      </c>
      <c r="L3406" s="2680"/>
      <c r="M3406" s="2163"/>
      <c r="N3406" s="2163"/>
      <c r="O3406" s="382" t="s">
        <v>41</v>
      </c>
      <c r="P3406" s="383" t="s">
        <v>65</v>
      </c>
      <c r="Q3406" s="384" t="s">
        <v>66</v>
      </c>
      <c r="R3406" s="383" t="s">
        <v>67</v>
      </c>
      <c r="S3406" s="385" t="s">
        <v>59</v>
      </c>
      <c r="T3406" s="387" t="s">
        <v>68</v>
      </c>
      <c r="U3406" s="375" t="s">
        <v>14</v>
      </c>
      <c r="V3406" s="375" t="s">
        <v>14</v>
      </c>
      <c r="W3406" s="376" t="s">
        <v>30</v>
      </c>
      <c r="X3406" s="388" t="s">
        <v>69</v>
      </c>
      <c r="Y3406" s="388" t="s">
        <v>70</v>
      </c>
      <c r="Z3406" s="377" t="s">
        <v>71</v>
      </c>
      <c r="AA3406" s="377" t="s">
        <v>72</v>
      </c>
      <c r="AB3406" s="378" t="s">
        <v>59</v>
      </c>
    </row>
    <row r="3407" spans="1:29" s="352" customFormat="1" ht="18" customHeight="1" x14ac:dyDescent="0.2">
      <c r="A3407" s="2692"/>
      <c r="B3407" s="390"/>
      <c r="C3407" s="2692"/>
      <c r="D3407" s="390"/>
      <c r="E3407" s="2160"/>
      <c r="F3407" s="390"/>
      <c r="G3407" s="390"/>
      <c r="H3407" s="391"/>
      <c r="I3407" s="2160"/>
      <c r="J3407" s="392"/>
      <c r="K3407" s="393"/>
      <c r="L3407" s="2681"/>
      <c r="M3407" s="2164"/>
      <c r="N3407" s="2164"/>
      <c r="O3407" s="2164" t="s">
        <v>63</v>
      </c>
      <c r="P3407" s="395"/>
      <c r="Q3407" s="396" t="s">
        <v>72</v>
      </c>
      <c r="R3407" s="397" t="s">
        <v>59</v>
      </c>
      <c r="S3407" s="398"/>
      <c r="T3407" s="397" t="s">
        <v>73</v>
      </c>
      <c r="U3407" s="398" t="s">
        <v>59</v>
      </c>
      <c r="V3407" s="399" t="s">
        <v>59</v>
      </c>
      <c r="W3407" s="400" t="s">
        <v>59</v>
      </c>
      <c r="X3407" s="401" t="s">
        <v>59</v>
      </c>
      <c r="Y3407" s="401" t="s">
        <v>59</v>
      </c>
      <c r="Z3407" s="401" t="s">
        <v>59</v>
      </c>
      <c r="AA3407" s="402"/>
      <c r="AB3407" s="403"/>
    </row>
    <row r="3408" spans="1:29" s="352" customFormat="1" ht="18" customHeight="1" x14ac:dyDescent="0.25">
      <c r="A3408" s="82">
        <v>1</v>
      </c>
      <c r="B3408" s="333">
        <v>4497</v>
      </c>
      <c r="C3408" s="41">
        <v>206</v>
      </c>
      <c r="D3408" s="41" t="s">
        <v>107</v>
      </c>
      <c r="E3408" s="41">
        <v>1</v>
      </c>
      <c r="F3408" s="41">
        <v>7</v>
      </c>
      <c r="G3408" s="41">
        <v>3</v>
      </c>
      <c r="H3408" s="267">
        <v>36</v>
      </c>
      <c r="I3408" s="2206">
        <f>F3408*400+G3408*100+H3408</f>
        <v>3136</v>
      </c>
      <c r="J3408" s="310">
        <v>280</v>
      </c>
      <c r="K3408" s="303">
        <f>SUM(I3408*J3408)</f>
        <v>878080</v>
      </c>
      <c r="L3408" s="16"/>
      <c r="M3408" s="82"/>
      <c r="N3408" s="41" t="s">
        <v>311</v>
      </c>
      <c r="O3408" s="16">
        <v>4</v>
      </c>
      <c r="P3408" s="404"/>
      <c r="Q3408" s="14"/>
      <c r="R3408" s="302"/>
      <c r="S3408" s="18"/>
      <c r="T3408" s="1959"/>
      <c r="U3408" s="1960"/>
      <c r="V3408" s="47"/>
      <c r="W3408" s="18">
        <f>K3408</f>
        <v>878080</v>
      </c>
      <c r="X3408" s="47">
        <f>W3408</f>
        <v>878080</v>
      </c>
      <c r="Y3408" s="310" t="s">
        <v>87</v>
      </c>
      <c r="Z3408" s="302">
        <v>0</v>
      </c>
      <c r="AA3408" s="405">
        <v>0.01</v>
      </c>
      <c r="AB3408" s="465">
        <f>+Z3408*AA3408/100</f>
        <v>0</v>
      </c>
      <c r="AC3408" s="352" t="s">
        <v>600</v>
      </c>
    </row>
    <row r="3409" spans="1:29" s="352" customFormat="1" ht="18" customHeight="1" x14ac:dyDescent="0.2">
      <c r="A3409" s="2166">
        <v>2</v>
      </c>
      <c r="B3409" s="61">
        <v>4518</v>
      </c>
      <c r="C3409" s="2166">
        <v>213</v>
      </c>
      <c r="D3409" s="41" t="s">
        <v>107</v>
      </c>
      <c r="E3409" s="2166">
        <v>1</v>
      </c>
      <c r="F3409" s="2166">
        <v>1</v>
      </c>
      <c r="G3409" s="2166">
        <v>2</v>
      </c>
      <c r="H3409" s="407">
        <v>36</v>
      </c>
      <c r="I3409" s="302">
        <f t="shared" ref="I3409:I3410" si="157">F3409*400+G3409*100+H3409</f>
        <v>636</v>
      </c>
      <c r="J3409" s="310">
        <v>280</v>
      </c>
      <c r="K3409" s="303">
        <f t="shared" ref="K3409:K3410" si="158">SUM(I3409*J3409)</f>
        <v>178080</v>
      </c>
      <c r="L3409" s="488"/>
      <c r="M3409" s="488"/>
      <c r="N3409" s="41" t="s">
        <v>311</v>
      </c>
      <c r="O3409" s="16">
        <v>1</v>
      </c>
      <c r="P3409" s="819"/>
      <c r="Q3409" s="819"/>
      <c r="R3409" s="820"/>
      <c r="S3409" s="820"/>
      <c r="T3409" s="819"/>
      <c r="U3409" s="820"/>
      <c r="V3409" s="821"/>
      <c r="W3409" s="18">
        <f t="shared" ref="W3409:W3410" si="159">K3409</f>
        <v>178080</v>
      </c>
      <c r="X3409" s="30">
        <f t="shared" ref="X3409:X3410" si="160">W3409</f>
        <v>178080</v>
      </c>
      <c r="Z3409" s="302">
        <v>0</v>
      </c>
      <c r="AA3409" s="405">
        <v>0.01</v>
      </c>
      <c r="AB3409" s="465">
        <f t="shared" ref="AB3409:AB3410" si="161">+Z3409*AA3409/100</f>
        <v>0</v>
      </c>
    </row>
    <row r="3410" spans="1:29" s="352" customFormat="1" ht="18" customHeight="1" x14ac:dyDescent="0.2">
      <c r="A3410" s="88">
        <v>3</v>
      </c>
      <c r="B3410" s="75">
        <v>48714</v>
      </c>
      <c r="C3410" s="88">
        <v>1525</v>
      </c>
      <c r="D3410" s="41" t="s">
        <v>107</v>
      </c>
      <c r="E3410" s="88">
        <v>4</v>
      </c>
      <c r="F3410" s="88">
        <v>0</v>
      </c>
      <c r="G3410" s="88">
        <v>2</v>
      </c>
      <c r="H3410" s="495">
        <v>87</v>
      </c>
      <c r="I3410" s="302">
        <f t="shared" si="157"/>
        <v>287</v>
      </c>
      <c r="J3410" s="310">
        <v>1400</v>
      </c>
      <c r="K3410" s="303">
        <f t="shared" si="158"/>
        <v>401800</v>
      </c>
      <c r="L3410" s="75"/>
      <c r="M3410" s="88"/>
      <c r="N3410" s="41" t="s">
        <v>602</v>
      </c>
      <c r="O3410" s="75">
        <v>1</v>
      </c>
      <c r="P3410" s="180"/>
      <c r="Q3410" s="174"/>
      <c r="R3410" s="413"/>
      <c r="S3410" s="74"/>
      <c r="T3410" s="88"/>
      <c r="U3410" s="74"/>
      <c r="V3410" s="74"/>
      <c r="W3410" s="18">
        <f t="shared" si="159"/>
        <v>401800</v>
      </c>
      <c r="X3410" s="47">
        <f t="shared" si="160"/>
        <v>401800</v>
      </c>
      <c r="Y3410" s="310">
        <v>0</v>
      </c>
      <c r="Z3410" s="302">
        <f>+X3410</f>
        <v>401800</v>
      </c>
      <c r="AA3410" s="405">
        <v>0.3</v>
      </c>
      <c r="AB3410" s="465">
        <f t="shared" si="161"/>
        <v>1205.4000000000001</v>
      </c>
      <c r="AC3410" s="352" t="s">
        <v>354</v>
      </c>
    </row>
    <row r="3411" spans="1:29" s="352" customFormat="1" ht="18" customHeight="1" x14ac:dyDescent="0.2">
      <c r="A3411" s="2166"/>
      <c r="B3411" s="61"/>
      <c r="C3411" s="2166"/>
      <c r="D3411" s="2166"/>
      <c r="E3411" s="2166"/>
      <c r="F3411" s="2166"/>
      <c r="G3411" s="2166"/>
      <c r="H3411" s="407"/>
      <c r="I3411" s="74"/>
      <c r="J3411" s="121"/>
      <c r="K3411" s="159"/>
      <c r="L3411" s="61"/>
      <c r="M3411" s="2166"/>
      <c r="N3411" s="2166"/>
      <c r="O3411" s="61"/>
      <c r="P3411" s="177"/>
      <c r="Q3411" s="196"/>
      <c r="R3411" s="408"/>
      <c r="S3411" s="77"/>
      <c r="T3411" s="2166"/>
      <c r="U3411" s="77"/>
      <c r="V3411" s="77"/>
      <c r="W3411" s="77"/>
      <c r="X3411" s="77"/>
      <c r="Y3411" s="2168"/>
      <c r="Z3411" s="77"/>
      <c r="AA3411" s="2170"/>
      <c r="AB3411" s="410"/>
    </row>
    <row r="3412" spans="1:29" s="352" customFormat="1" ht="18" customHeight="1" x14ac:dyDescent="0.2">
      <c r="A3412" s="2166"/>
      <c r="B3412" s="61"/>
      <c r="C3412" s="2166"/>
      <c r="D3412" s="2166"/>
      <c r="E3412" s="2166"/>
      <c r="F3412" s="2166"/>
      <c r="G3412" s="2166"/>
      <c r="H3412" s="407"/>
      <c r="I3412" s="77"/>
      <c r="J3412" s="2168"/>
      <c r="K3412" s="78"/>
      <c r="L3412" s="61"/>
      <c r="M3412" s="2166"/>
      <c r="N3412" s="2166"/>
      <c r="O3412" s="61"/>
      <c r="P3412" s="177"/>
      <c r="Q3412" s="196"/>
      <c r="R3412" s="408"/>
      <c r="S3412" s="77"/>
      <c r="T3412" s="2166"/>
      <c r="U3412" s="77"/>
      <c r="V3412" s="77"/>
      <c r="W3412" s="77"/>
      <c r="X3412" s="77"/>
      <c r="Y3412" s="2168"/>
      <c r="Z3412" s="77"/>
      <c r="AA3412" s="2170"/>
      <c r="AB3412" s="410"/>
    </row>
    <row r="3413" spans="1:29" s="352" customFormat="1" ht="18" customHeight="1" x14ac:dyDescent="0.2">
      <c r="A3413" s="2166"/>
      <c r="B3413" s="61"/>
      <c r="C3413" s="2166"/>
      <c r="D3413" s="2166"/>
      <c r="E3413" s="2166"/>
      <c r="F3413" s="2166"/>
      <c r="G3413" s="2166"/>
      <c r="H3413" s="407"/>
      <c r="I3413" s="77"/>
      <c r="J3413" s="2168"/>
      <c r="K3413" s="78"/>
      <c r="L3413" s="61"/>
      <c r="M3413" s="2166"/>
      <c r="N3413" s="2166"/>
      <c r="O3413" s="61"/>
      <c r="P3413" s="177"/>
      <c r="Q3413" s="196"/>
      <c r="R3413" s="408"/>
      <c r="S3413" s="77"/>
      <c r="T3413" s="2166"/>
      <c r="U3413" s="77"/>
      <c r="V3413" s="77"/>
      <c r="W3413" s="77"/>
      <c r="X3413" s="77"/>
      <c r="Y3413" s="2168"/>
      <c r="Z3413" s="77"/>
      <c r="AA3413" s="2170"/>
      <c r="AB3413" s="410"/>
    </row>
    <row r="3414" spans="1:29" s="352" customFormat="1" ht="18" customHeight="1" x14ac:dyDescent="0.2">
      <c r="A3414" s="2166"/>
      <c r="B3414" s="61"/>
      <c r="C3414" s="2166"/>
      <c r="D3414" s="2166"/>
      <c r="E3414" s="2166"/>
      <c r="F3414" s="2166"/>
      <c r="G3414" s="2166"/>
      <c r="H3414" s="407"/>
      <c r="I3414" s="77"/>
      <c r="J3414" s="2168"/>
      <c r="K3414" s="78"/>
      <c r="L3414" s="61"/>
      <c r="M3414" s="2166"/>
      <c r="N3414" s="2166"/>
      <c r="O3414" s="61"/>
      <c r="P3414" s="177"/>
      <c r="Q3414" s="196"/>
      <c r="R3414" s="408"/>
      <c r="S3414" s="77"/>
      <c r="T3414" s="2166"/>
      <c r="U3414" s="77"/>
      <c r="V3414" s="77"/>
      <c r="W3414" s="77"/>
      <c r="X3414" s="77"/>
      <c r="Y3414" s="2168"/>
      <c r="Z3414" s="77"/>
      <c r="AA3414" s="2170"/>
      <c r="AB3414" s="410"/>
    </row>
    <row r="3415" spans="1:29" s="352" customFormat="1" ht="18" customHeight="1" x14ac:dyDescent="0.2">
      <c r="A3415" s="2166"/>
      <c r="B3415" s="61"/>
      <c r="C3415" s="2166"/>
      <c r="D3415" s="2166"/>
      <c r="E3415" s="2166"/>
      <c r="F3415" s="2166"/>
      <c r="G3415" s="2166"/>
      <c r="H3415" s="407"/>
      <c r="I3415" s="77"/>
      <c r="J3415" s="2168"/>
      <c r="K3415" s="78"/>
      <c r="L3415" s="61"/>
      <c r="M3415" s="2166"/>
      <c r="N3415" s="2166"/>
      <c r="O3415" s="61"/>
      <c r="P3415" s="177"/>
      <c r="Q3415" s="196"/>
      <c r="R3415" s="408"/>
      <c r="S3415" s="77"/>
      <c r="T3415" s="2166"/>
      <c r="U3415" s="77"/>
      <c r="V3415" s="77"/>
      <c r="W3415" s="77"/>
      <c r="X3415" s="77"/>
      <c r="Y3415" s="2168"/>
      <c r="Z3415" s="77"/>
      <c r="AA3415" s="2170"/>
      <c r="AB3415" s="410"/>
    </row>
    <row r="3416" spans="1:29" s="352" customFormat="1" ht="18" customHeight="1" x14ac:dyDescent="0.2">
      <c r="A3416" s="2166"/>
      <c r="B3416" s="61"/>
      <c r="C3416" s="2166"/>
      <c r="D3416" s="2166"/>
      <c r="E3416" s="2166"/>
      <c r="F3416" s="2166"/>
      <c r="G3416" s="2166"/>
      <c r="H3416" s="407"/>
      <c r="I3416" s="77"/>
      <c r="J3416" s="2168"/>
      <c r="K3416" s="78"/>
      <c r="L3416" s="61"/>
      <c r="M3416" s="2166"/>
      <c r="N3416" s="2166"/>
      <c r="O3416" s="61"/>
      <c r="P3416" s="177"/>
      <c r="Q3416" s="196"/>
      <c r="R3416" s="408"/>
      <c r="S3416" s="77"/>
      <c r="T3416" s="2166"/>
      <c r="U3416" s="77"/>
      <c r="V3416" s="77"/>
      <c r="W3416" s="77"/>
      <c r="X3416" s="77"/>
      <c r="Y3416" s="2168"/>
      <c r="Z3416" s="77"/>
      <c r="AA3416" s="2170"/>
      <c r="AB3416" s="410"/>
    </row>
    <row r="3417" spans="1:29" s="352" customFormat="1" ht="18" customHeight="1" x14ac:dyDescent="0.2">
      <c r="A3417" s="2166"/>
      <c r="B3417" s="61"/>
      <c r="C3417" s="2166"/>
      <c r="D3417" s="2166"/>
      <c r="E3417" s="2166"/>
      <c r="F3417" s="2166"/>
      <c r="G3417" s="2166"/>
      <c r="H3417" s="407"/>
      <c r="I3417" s="77"/>
      <c r="J3417" s="2168"/>
      <c r="K3417" s="78"/>
      <c r="L3417" s="61"/>
      <c r="M3417" s="2166"/>
      <c r="N3417" s="2166"/>
      <c r="O3417" s="61"/>
      <c r="P3417" s="177"/>
      <c r="Q3417" s="196"/>
      <c r="R3417" s="408"/>
      <c r="S3417" s="77"/>
      <c r="T3417" s="2166"/>
      <c r="U3417" s="77"/>
      <c r="V3417" s="77"/>
      <c r="W3417" s="77"/>
      <c r="X3417" s="77"/>
      <c r="Y3417" s="2168"/>
      <c r="Z3417" s="77"/>
      <c r="AA3417" s="2170"/>
      <c r="AB3417" s="410"/>
    </row>
    <row r="3418" spans="1:29" s="352" customFormat="1" ht="18" customHeight="1" x14ac:dyDescent="0.2">
      <c r="A3418" s="2166"/>
      <c r="B3418" s="61"/>
      <c r="C3418" s="2166"/>
      <c r="D3418" s="2166"/>
      <c r="E3418" s="2166"/>
      <c r="F3418" s="2166"/>
      <c r="G3418" s="2166"/>
      <c r="H3418" s="407"/>
      <c r="I3418" s="77"/>
      <c r="J3418" s="2168"/>
      <c r="K3418" s="78"/>
      <c r="L3418" s="61"/>
      <c r="M3418" s="2166"/>
      <c r="N3418" s="2166"/>
      <c r="O3418" s="61"/>
      <c r="P3418" s="177"/>
      <c r="Q3418" s="196"/>
      <c r="R3418" s="408"/>
      <c r="S3418" s="77"/>
      <c r="T3418" s="2166"/>
      <c r="U3418" s="77"/>
      <c r="V3418" s="77"/>
      <c r="W3418" s="77"/>
      <c r="X3418" s="77"/>
      <c r="Y3418" s="2168"/>
      <c r="Z3418" s="77"/>
      <c r="AA3418" s="2170"/>
      <c r="AB3418" s="410"/>
    </row>
    <row r="3419" spans="1:29" s="352" customFormat="1" ht="18" customHeight="1" x14ac:dyDescent="0.2">
      <c r="A3419" s="2166"/>
      <c r="B3419" s="61"/>
      <c r="C3419" s="2166"/>
      <c r="D3419" s="2166"/>
      <c r="E3419" s="2166"/>
      <c r="F3419" s="2166"/>
      <c r="G3419" s="2166"/>
      <c r="H3419" s="407"/>
      <c r="I3419" s="77"/>
      <c r="J3419" s="2168"/>
      <c r="K3419" s="78"/>
      <c r="L3419" s="61"/>
      <c r="M3419" s="2166"/>
      <c r="N3419" s="2166"/>
      <c r="O3419" s="61"/>
      <c r="P3419" s="177"/>
      <c r="Q3419" s="196"/>
      <c r="R3419" s="408"/>
      <c r="S3419" s="77"/>
      <c r="T3419" s="2166"/>
      <c r="U3419" s="77"/>
      <c r="V3419" s="77"/>
      <c r="W3419" s="77"/>
      <c r="X3419" s="77"/>
      <c r="Y3419" s="2168"/>
      <c r="Z3419" s="77"/>
      <c r="AA3419" s="2170"/>
      <c r="AB3419" s="410"/>
    </row>
    <row r="3420" spans="1:29" s="352" customFormat="1" ht="18" customHeight="1" x14ac:dyDescent="0.2">
      <c r="A3420" s="2166"/>
      <c r="B3420" s="61"/>
      <c r="C3420" s="2166"/>
      <c r="D3420" s="2166"/>
      <c r="E3420" s="2166"/>
      <c r="F3420" s="2166"/>
      <c r="G3420" s="2166"/>
      <c r="H3420" s="407"/>
      <c r="I3420" s="77"/>
      <c r="J3420" s="2168"/>
      <c r="K3420" s="78"/>
      <c r="L3420" s="61"/>
      <c r="M3420" s="2166"/>
      <c r="N3420" s="2166"/>
      <c r="O3420" s="61"/>
      <c r="P3420" s="177"/>
      <c r="Q3420" s="196"/>
      <c r="R3420" s="408"/>
      <c r="S3420" s="77"/>
      <c r="T3420" s="2166"/>
      <c r="U3420" s="77"/>
      <c r="V3420" s="77"/>
      <c r="W3420" s="77"/>
      <c r="X3420" s="77"/>
      <c r="Y3420" s="2168"/>
      <c r="Z3420" s="77"/>
      <c r="AA3420" s="2170"/>
      <c r="AB3420" s="410"/>
    </row>
    <row r="3421" spans="1:29" s="352" customFormat="1" ht="18" customHeight="1" x14ac:dyDescent="0.2">
      <c r="A3421" s="88"/>
      <c r="B3421" s="418"/>
      <c r="C3421" s="88"/>
      <c r="D3421" s="88"/>
      <c r="E3421" s="88"/>
      <c r="F3421" s="411"/>
      <c r="G3421" s="242"/>
      <c r="H3421" s="412"/>
      <c r="I3421" s="159"/>
      <c r="J3421" s="121"/>
      <c r="K3421" s="159"/>
      <c r="L3421" s="75"/>
      <c r="M3421" s="88"/>
      <c r="N3421" s="88"/>
      <c r="O3421" s="75"/>
      <c r="P3421" s="180"/>
      <c r="Q3421" s="174"/>
      <c r="R3421" s="413"/>
      <c r="S3421" s="74"/>
      <c r="T3421" s="88"/>
      <c r="U3421" s="74"/>
      <c r="V3421" s="74"/>
      <c r="W3421" s="74"/>
      <c r="X3421" s="74"/>
      <c r="Y3421" s="121"/>
      <c r="Z3421" s="74"/>
      <c r="AA3421" s="414"/>
      <c r="AB3421" s="410"/>
    </row>
    <row r="3422" spans="1:29" s="352" customFormat="1" ht="18" customHeight="1" x14ac:dyDescent="0.2">
      <c r="A3422" s="1147"/>
      <c r="B3422" s="1989"/>
      <c r="C3422" s="1147"/>
      <c r="D3422" s="1147"/>
      <c r="E3422" s="1147"/>
      <c r="F3422" s="1147"/>
      <c r="G3422" s="1147"/>
      <c r="H3422" s="1990"/>
      <c r="I3422" s="1991"/>
      <c r="J3422" s="1868"/>
      <c r="K3422" s="1992"/>
      <c r="L3422" s="1989"/>
      <c r="M3422" s="1147"/>
      <c r="N3422" s="1147"/>
      <c r="O3422" s="1989"/>
      <c r="P3422" s="1867"/>
      <c r="Q3422" s="1993"/>
      <c r="R3422" s="1994"/>
      <c r="S3422" s="1991"/>
      <c r="T3422" s="1147"/>
      <c r="U3422" s="1991"/>
      <c r="V3422" s="1991"/>
      <c r="W3422" s="1991"/>
      <c r="X3422" s="1991"/>
      <c r="Y3422" s="1868"/>
      <c r="Z3422" s="1991"/>
      <c r="AA3422" s="1995"/>
      <c r="AB3422" s="1849">
        <f>SUM(AB3408:AB3421)</f>
        <v>1205.4000000000001</v>
      </c>
    </row>
    <row r="3423" spans="1:29" s="352" customFormat="1" ht="18" customHeight="1" x14ac:dyDescent="0.2">
      <c r="A3423" s="2788" t="s">
        <v>76</v>
      </c>
      <c r="B3423" s="2788"/>
      <c r="C3423" s="2779" t="s">
        <v>77</v>
      </c>
      <c r="D3423" s="2779"/>
      <c r="E3423" s="2779"/>
      <c r="F3423" s="2779"/>
      <c r="G3423" s="2779"/>
      <c r="H3423" s="2779"/>
      <c r="I3423" s="424" t="s">
        <v>78</v>
      </c>
      <c r="J3423" s="424"/>
      <c r="K3423" s="424"/>
      <c r="L3423" s="424"/>
      <c r="M3423" s="424"/>
      <c r="N3423" s="424"/>
      <c r="AB3423" s="425"/>
    </row>
    <row r="3424" spans="1:29" s="352" customFormat="1" ht="18" customHeight="1" x14ac:dyDescent="0.2">
      <c r="A3424" s="424"/>
      <c r="B3424" s="426"/>
      <c r="C3424" s="424"/>
      <c r="D3424" s="424"/>
      <c r="E3424" s="424"/>
      <c r="F3424" s="424"/>
      <c r="G3424" s="424"/>
      <c r="H3424" s="424"/>
      <c r="I3424" s="424" t="s">
        <v>79</v>
      </c>
      <c r="J3424" s="424"/>
      <c r="K3424" s="424"/>
      <c r="L3424" s="424"/>
      <c r="M3424" s="424"/>
      <c r="N3424" s="424"/>
      <c r="AB3424" s="425"/>
    </row>
    <row r="3425" spans="1:28" s="352" customFormat="1" ht="18" customHeight="1" x14ac:dyDescent="0.2">
      <c r="A3425" s="424"/>
      <c r="B3425" s="426"/>
      <c r="C3425" s="424"/>
      <c r="D3425" s="424"/>
      <c r="E3425" s="424"/>
      <c r="F3425" s="424"/>
      <c r="G3425" s="424"/>
      <c r="H3425" s="424"/>
      <c r="I3425" s="424" t="s">
        <v>80</v>
      </c>
      <c r="J3425" s="424"/>
      <c r="K3425" s="424"/>
      <c r="L3425" s="424"/>
      <c r="M3425" s="424"/>
      <c r="N3425" s="424"/>
      <c r="AB3425" s="425"/>
    </row>
    <row r="3426" spans="1:28" s="352" customFormat="1" ht="18" customHeight="1" x14ac:dyDescent="0.2">
      <c r="A3426" s="424"/>
      <c r="B3426" s="426"/>
      <c r="C3426" s="424"/>
      <c r="D3426" s="424"/>
      <c r="E3426" s="424"/>
      <c r="F3426" s="424"/>
      <c r="G3426" s="424"/>
      <c r="H3426" s="424"/>
      <c r="I3426" s="424" t="s">
        <v>81</v>
      </c>
      <c r="J3426" s="424"/>
      <c r="K3426" s="424"/>
      <c r="L3426" s="424"/>
      <c r="M3426" s="424"/>
      <c r="N3426" s="424"/>
      <c r="AB3426" s="425"/>
    </row>
    <row r="3427" spans="1:28" s="352" customFormat="1" ht="18" customHeight="1" x14ac:dyDescent="0.2">
      <c r="A3427" s="424"/>
      <c r="B3427" s="426"/>
      <c r="C3427" s="424"/>
      <c r="D3427" s="424"/>
      <c r="E3427" s="424"/>
      <c r="F3427" s="424"/>
      <c r="G3427" s="424"/>
      <c r="H3427" s="424"/>
      <c r="I3427" s="424" t="s">
        <v>88</v>
      </c>
      <c r="J3427" s="424"/>
      <c r="K3427" s="424"/>
      <c r="L3427" s="424"/>
      <c r="M3427" s="424"/>
      <c r="N3427" s="424"/>
      <c r="AB3427" s="425"/>
    </row>
    <row r="3428" spans="1:28" s="580" customFormat="1" ht="18" customHeight="1" x14ac:dyDescent="0.2">
      <c r="A3428" s="1"/>
      <c r="B3428" s="1"/>
      <c r="C3428" s="1"/>
      <c r="D3428" s="1"/>
      <c r="E3428" s="1"/>
      <c r="F3428" s="1"/>
      <c r="G3428" s="1"/>
      <c r="H3428" s="1"/>
      <c r="I3428" s="1"/>
      <c r="J3428" s="1"/>
      <c r="K3428" s="1"/>
      <c r="L3428" s="1"/>
      <c r="M3428" s="1"/>
      <c r="N3428" s="1"/>
      <c r="O3428" s="1"/>
      <c r="P3428" s="1"/>
      <c r="Q3428" s="1"/>
      <c r="R3428" s="1"/>
      <c r="S3428" s="1"/>
      <c r="T3428" s="1"/>
      <c r="U3428" s="1"/>
      <c r="V3428" s="1"/>
      <c r="W3428" s="1"/>
      <c r="X3428" s="1"/>
      <c r="Y3428" s="1"/>
      <c r="Z3428" s="1"/>
      <c r="AA3428" s="2776" t="s">
        <v>0</v>
      </c>
      <c r="AB3428" s="2776"/>
    </row>
    <row r="3429" spans="1:28" s="580" customFormat="1" ht="18" customHeight="1" x14ac:dyDescent="0.2">
      <c r="A3429" s="2707" t="s">
        <v>1</v>
      </c>
      <c r="B3429" s="2707"/>
      <c r="C3429" s="2707"/>
      <c r="D3429" s="2707"/>
      <c r="E3429" s="2707"/>
      <c r="F3429" s="2707"/>
      <c r="G3429" s="2707"/>
      <c r="H3429" s="2707"/>
      <c r="I3429" s="2707"/>
      <c r="J3429" s="2707"/>
      <c r="K3429" s="2707"/>
      <c r="L3429" s="2707"/>
      <c r="M3429" s="2707"/>
      <c r="N3429" s="2707"/>
      <c r="O3429" s="2707"/>
      <c r="P3429" s="2707"/>
      <c r="Q3429" s="2707"/>
      <c r="R3429" s="2707"/>
      <c r="S3429" s="2707"/>
      <c r="T3429" s="2707"/>
      <c r="U3429" s="2707"/>
      <c r="V3429" s="2707"/>
      <c r="W3429" s="2707"/>
      <c r="X3429" s="2707"/>
      <c r="Y3429" s="2707"/>
      <c r="Z3429" s="2707"/>
      <c r="AA3429" s="2707"/>
      <c r="AB3429" s="2707"/>
    </row>
    <row r="3430" spans="1:28" s="580" customFormat="1" ht="18" customHeight="1" x14ac:dyDescent="0.2">
      <c r="A3430" s="2777" t="s">
        <v>698</v>
      </c>
      <c r="B3430" s="2777"/>
      <c r="C3430" s="2777"/>
      <c r="D3430" s="2777"/>
      <c r="E3430" s="2777"/>
      <c r="F3430" s="2777"/>
      <c r="G3430" s="2777"/>
      <c r="H3430" s="2777"/>
      <c r="I3430" s="2777"/>
      <c r="J3430" s="2777"/>
      <c r="K3430" s="2777"/>
      <c r="L3430" s="2777"/>
      <c r="M3430" s="2777"/>
      <c r="N3430" s="2777"/>
      <c r="O3430" s="2777"/>
      <c r="P3430" s="2777"/>
      <c r="Q3430" s="2777"/>
      <c r="R3430" s="2777"/>
      <c r="S3430" s="2777"/>
      <c r="T3430" s="2777"/>
      <c r="U3430" s="2777"/>
      <c r="V3430" s="2777"/>
      <c r="W3430" s="2777"/>
      <c r="X3430" s="2777"/>
      <c r="Y3430" s="2777"/>
      <c r="Z3430" s="2777"/>
      <c r="AA3430" s="2777"/>
      <c r="AB3430" s="2777"/>
    </row>
    <row r="3431" spans="1:28" s="580" customFormat="1" ht="18" customHeight="1" x14ac:dyDescent="0.2">
      <c r="A3431" s="2709" t="s">
        <v>2</v>
      </c>
      <c r="B3431" s="160"/>
      <c r="C3431" s="2709" t="s">
        <v>3</v>
      </c>
      <c r="D3431" s="160"/>
      <c r="E3431" s="160"/>
      <c r="F3431" s="2712" t="s">
        <v>4</v>
      </c>
      <c r="G3431" s="2712"/>
      <c r="H3431" s="2712"/>
      <c r="I3431" s="2713"/>
      <c r="J3431" s="2713"/>
      <c r="K3431" s="2714"/>
      <c r="L3431" s="2"/>
      <c r="M3431" s="2715" t="s">
        <v>5</v>
      </c>
      <c r="N3431" s="2715"/>
      <c r="O3431" s="2715"/>
      <c r="P3431" s="2715"/>
      <c r="Q3431" s="2716"/>
      <c r="R3431" s="2716"/>
      <c r="S3431" s="2716"/>
      <c r="T3431" s="2716"/>
      <c r="U3431" s="2716"/>
      <c r="V3431" s="2717"/>
      <c r="W3431" s="161" t="s">
        <v>6</v>
      </c>
      <c r="X3431" s="162" t="s">
        <v>7</v>
      </c>
      <c r="Y3431" s="163"/>
      <c r="Z3431" s="163"/>
      <c r="AA3431" s="162"/>
      <c r="AB3431" s="206"/>
    </row>
    <row r="3432" spans="1:28" s="580" customFormat="1" ht="18" customHeight="1" x14ac:dyDescent="0.2">
      <c r="A3432" s="2710"/>
      <c r="B3432" s="4"/>
      <c r="C3432" s="2710"/>
      <c r="D3432" s="2154" t="s">
        <v>9</v>
      </c>
      <c r="E3432" s="207" t="s">
        <v>10</v>
      </c>
      <c r="F3432" s="2718" t="s">
        <v>11</v>
      </c>
      <c r="G3432" s="2713"/>
      <c r="H3432" s="2714"/>
      <c r="I3432" s="160"/>
      <c r="J3432" s="208" t="s">
        <v>12</v>
      </c>
      <c r="K3432" s="160"/>
      <c r="L3432" s="2715" t="s">
        <v>2</v>
      </c>
      <c r="M3432" s="141"/>
      <c r="N3432" s="141"/>
      <c r="O3432" s="141"/>
      <c r="P3432" s="164"/>
      <c r="Q3432" s="209" t="s">
        <v>13</v>
      </c>
      <c r="R3432" s="210" t="s">
        <v>12</v>
      </c>
      <c r="S3432" s="141" t="s">
        <v>6</v>
      </c>
      <c r="T3432" s="2724" t="s">
        <v>14</v>
      </c>
      <c r="U3432" s="2725"/>
      <c r="V3432" s="165" t="s">
        <v>7</v>
      </c>
      <c r="W3432" s="166" t="s">
        <v>15</v>
      </c>
      <c r="X3432" s="5" t="s">
        <v>16</v>
      </c>
      <c r="Y3432" s="5" t="s">
        <v>17</v>
      </c>
      <c r="Z3432" s="5" t="s">
        <v>18</v>
      </c>
      <c r="AA3432" s="5"/>
      <c r="AB3432" s="55" t="s">
        <v>19</v>
      </c>
    </row>
    <row r="3433" spans="1:28" s="580" customFormat="1" ht="18" customHeight="1" x14ac:dyDescent="0.2">
      <c r="A3433" s="2710"/>
      <c r="B3433" s="2154" t="s">
        <v>23</v>
      </c>
      <c r="C3433" s="2710"/>
      <c r="D3433" s="2154" t="s">
        <v>24</v>
      </c>
      <c r="E3433" s="207" t="s">
        <v>25</v>
      </c>
      <c r="F3433" s="2719"/>
      <c r="G3433" s="2720"/>
      <c r="H3433" s="2721"/>
      <c r="I3433" s="2154" t="s">
        <v>26</v>
      </c>
      <c r="J3433" s="211" t="s">
        <v>15</v>
      </c>
      <c r="K3433" s="2157" t="s">
        <v>6</v>
      </c>
      <c r="L3433" s="2722"/>
      <c r="M3433" s="142" t="s">
        <v>27</v>
      </c>
      <c r="N3433" s="142" t="s">
        <v>10</v>
      </c>
      <c r="O3433" s="212" t="s">
        <v>10</v>
      </c>
      <c r="P3433" s="213" t="s">
        <v>28</v>
      </c>
      <c r="Q3433" s="214" t="s">
        <v>29</v>
      </c>
      <c r="R3433" s="213" t="s">
        <v>15</v>
      </c>
      <c r="S3433" s="8" t="s">
        <v>15</v>
      </c>
      <c r="T3433" s="2726"/>
      <c r="U3433" s="2727"/>
      <c r="V3433" s="165" t="s">
        <v>30</v>
      </c>
      <c r="W3433" s="166" t="s">
        <v>31</v>
      </c>
      <c r="X3433" s="5" t="s">
        <v>30</v>
      </c>
      <c r="Y3433" s="5" t="s">
        <v>32</v>
      </c>
      <c r="Z3433" s="5" t="s">
        <v>7</v>
      </c>
      <c r="AA3433" s="5" t="s">
        <v>33</v>
      </c>
      <c r="AB3433" s="55" t="s">
        <v>34</v>
      </c>
    </row>
    <row r="3434" spans="1:28" s="580" customFormat="1" ht="18" customHeight="1" x14ac:dyDescent="0.2">
      <c r="A3434" s="2710"/>
      <c r="B3434" s="2154" t="s">
        <v>39</v>
      </c>
      <c r="C3434" s="2710"/>
      <c r="D3434" s="2154" t="s">
        <v>40</v>
      </c>
      <c r="E3434" s="207" t="s">
        <v>41</v>
      </c>
      <c r="F3434" s="2709" t="s">
        <v>42</v>
      </c>
      <c r="G3434" s="2709" t="s">
        <v>43</v>
      </c>
      <c r="H3434" s="2728" t="s">
        <v>44</v>
      </c>
      <c r="I3434" s="2154" t="s">
        <v>45</v>
      </c>
      <c r="J3434" s="211" t="s">
        <v>46</v>
      </c>
      <c r="K3434" s="2157" t="s">
        <v>47</v>
      </c>
      <c r="L3434" s="2722"/>
      <c r="M3434" s="142" t="s">
        <v>30</v>
      </c>
      <c r="N3434" s="142" t="s">
        <v>30</v>
      </c>
      <c r="O3434" s="212" t="s">
        <v>25</v>
      </c>
      <c r="P3434" s="213" t="s">
        <v>30</v>
      </c>
      <c r="Q3434" s="214" t="s">
        <v>48</v>
      </c>
      <c r="R3434" s="213" t="s">
        <v>49</v>
      </c>
      <c r="S3434" s="8" t="s">
        <v>30</v>
      </c>
      <c r="T3434" s="215" t="s">
        <v>50</v>
      </c>
      <c r="U3434" s="2156" t="s">
        <v>13</v>
      </c>
      <c r="V3434" s="165" t="s">
        <v>51</v>
      </c>
      <c r="W3434" s="166" t="s">
        <v>52</v>
      </c>
      <c r="X3434" s="5" t="s">
        <v>53</v>
      </c>
      <c r="Y3434" s="5" t="s">
        <v>54</v>
      </c>
      <c r="Z3434" s="5" t="s">
        <v>55</v>
      </c>
      <c r="AA3434" s="5" t="s">
        <v>56</v>
      </c>
      <c r="AB3434" s="55" t="s">
        <v>57</v>
      </c>
    </row>
    <row r="3435" spans="1:28" s="580" customFormat="1" ht="18" customHeight="1" x14ac:dyDescent="0.2">
      <c r="A3435" s="2710"/>
      <c r="B3435" s="2154" t="s">
        <v>61</v>
      </c>
      <c r="C3435" s="2710"/>
      <c r="D3435" s="2154" t="s">
        <v>62</v>
      </c>
      <c r="E3435" s="207" t="s">
        <v>63</v>
      </c>
      <c r="F3435" s="2710"/>
      <c r="G3435" s="2710"/>
      <c r="H3435" s="2729"/>
      <c r="I3435" s="2154" t="s">
        <v>64</v>
      </c>
      <c r="J3435" s="211" t="s">
        <v>59</v>
      </c>
      <c r="K3435" s="2157" t="s">
        <v>59</v>
      </c>
      <c r="L3435" s="2722"/>
      <c r="M3435" s="142"/>
      <c r="N3435" s="142"/>
      <c r="O3435" s="212" t="s">
        <v>41</v>
      </c>
      <c r="P3435" s="213" t="s">
        <v>65</v>
      </c>
      <c r="Q3435" s="214" t="s">
        <v>66</v>
      </c>
      <c r="R3435" s="213" t="s">
        <v>67</v>
      </c>
      <c r="S3435" s="8" t="s">
        <v>59</v>
      </c>
      <c r="T3435" s="216" t="s">
        <v>68</v>
      </c>
      <c r="U3435" s="165" t="s">
        <v>14</v>
      </c>
      <c r="V3435" s="165" t="s">
        <v>14</v>
      </c>
      <c r="W3435" s="166" t="s">
        <v>30</v>
      </c>
      <c r="X3435" s="167" t="s">
        <v>69</v>
      </c>
      <c r="Y3435" s="167" t="s">
        <v>70</v>
      </c>
      <c r="Z3435" s="5" t="s">
        <v>71</v>
      </c>
      <c r="AA3435" s="5" t="s">
        <v>72</v>
      </c>
      <c r="AB3435" s="55" t="s">
        <v>59</v>
      </c>
    </row>
    <row r="3436" spans="1:28" s="580" customFormat="1" ht="18" customHeight="1" x14ac:dyDescent="0.2">
      <c r="A3436" s="2711"/>
      <c r="B3436" s="9"/>
      <c r="C3436" s="2711"/>
      <c r="D3436" s="9"/>
      <c r="E3436" s="2155"/>
      <c r="F3436" s="9"/>
      <c r="G3436" s="9"/>
      <c r="H3436" s="10"/>
      <c r="I3436" s="2155"/>
      <c r="J3436" s="217"/>
      <c r="K3436" s="168"/>
      <c r="L3436" s="2723"/>
      <c r="M3436" s="143"/>
      <c r="N3436" s="143"/>
      <c r="O3436" s="143" t="s">
        <v>63</v>
      </c>
      <c r="P3436" s="218"/>
      <c r="Q3436" s="219" t="s">
        <v>72</v>
      </c>
      <c r="R3436" s="220" t="s">
        <v>59</v>
      </c>
      <c r="S3436" s="169"/>
      <c r="T3436" s="220" t="s">
        <v>73</v>
      </c>
      <c r="U3436" s="169" t="s">
        <v>59</v>
      </c>
      <c r="V3436" s="170" t="s">
        <v>59</v>
      </c>
      <c r="W3436" s="171" t="s">
        <v>59</v>
      </c>
      <c r="X3436" s="172" t="s">
        <v>59</v>
      </c>
      <c r="Y3436" s="172" t="s">
        <v>59</v>
      </c>
      <c r="Z3436" s="172" t="s">
        <v>59</v>
      </c>
      <c r="AA3436" s="11"/>
      <c r="AB3436" s="56"/>
    </row>
    <row r="3437" spans="1:28" s="580" customFormat="1" ht="18" customHeight="1" x14ac:dyDescent="0.2">
      <c r="A3437" s="53">
        <v>1</v>
      </c>
      <c r="B3437" s="51">
        <v>27709</v>
      </c>
      <c r="C3437" s="51">
        <v>4</v>
      </c>
      <c r="D3437" s="51" t="s">
        <v>107</v>
      </c>
      <c r="E3437" s="69">
        <v>4</v>
      </c>
      <c r="F3437" s="51">
        <v>0</v>
      </c>
      <c r="G3437" s="51">
        <v>1</v>
      </c>
      <c r="H3437" s="823">
        <v>48</v>
      </c>
      <c r="I3437" s="70">
        <f>F3437*400+G3437*100+H3437</f>
        <v>148</v>
      </c>
      <c r="J3437" s="71">
        <v>3000</v>
      </c>
      <c r="K3437" s="124">
        <f>SUM(I3437*J3437)</f>
        <v>444000</v>
      </c>
      <c r="L3437" s="53"/>
      <c r="M3437" s="51"/>
      <c r="N3437" s="51"/>
      <c r="O3437" s="155"/>
      <c r="P3437" s="824"/>
      <c r="Q3437" s="156"/>
      <c r="R3437" s="157"/>
      <c r="S3437" s="70"/>
      <c r="T3437" s="51"/>
      <c r="U3437" s="125"/>
      <c r="V3437" s="70"/>
      <c r="W3437" s="70">
        <f>K3437+V3437</f>
        <v>444000</v>
      </c>
      <c r="X3437" s="70">
        <f>W3437</f>
        <v>444000</v>
      </c>
      <c r="Y3437" s="71"/>
      <c r="Z3437" s="70">
        <f>+X3437</f>
        <v>444000</v>
      </c>
      <c r="AA3437" s="84">
        <v>0.3</v>
      </c>
      <c r="AB3437" s="825">
        <f>+Z3437*AA3437/100</f>
        <v>1332</v>
      </c>
    </row>
    <row r="3438" spans="1:28" s="580" customFormat="1" ht="18" customHeight="1" x14ac:dyDescent="0.2">
      <c r="A3438" s="61"/>
      <c r="B3438" s="105"/>
      <c r="C3438" s="105"/>
      <c r="D3438" s="105"/>
      <c r="E3438" s="146"/>
      <c r="F3438" s="105"/>
      <c r="G3438" s="105"/>
      <c r="H3438" s="126"/>
      <c r="I3438" s="77"/>
      <c r="J3438" s="108"/>
      <c r="K3438" s="78"/>
      <c r="L3438" s="61"/>
      <c r="M3438" s="105"/>
      <c r="N3438" s="105"/>
      <c r="O3438" s="113"/>
      <c r="P3438" s="131"/>
      <c r="Q3438" s="132"/>
      <c r="R3438" s="133"/>
      <c r="S3438" s="77"/>
      <c r="T3438" s="105"/>
      <c r="U3438" s="127"/>
      <c r="V3438" s="77"/>
      <c r="W3438" s="77"/>
      <c r="X3438" s="77"/>
      <c r="Y3438" s="108"/>
      <c r="Z3438" s="77"/>
      <c r="AA3438" s="149"/>
      <c r="AB3438" s="831"/>
    </row>
    <row r="3439" spans="1:28" s="580" customFormat="1" ht="18" customHeight="1" x14ac:dyDescent="0.2">
      <c r="A3439" s="75"/>
      <c r="B3439" s="54"/>
      <c r="C3439" s="54"/>
      <c r="D3439" s="54"/>
      <c r="E3439" s="115"/>
      <c r="F3439" s="54"/>
      <c r="G3439" s="54"/>
      <c r="H3439" s="158"/>
      <c r="I3439" s="74"/>
      <c r="J3439" s="117"/>
      <c r="K3439" s="159"/>
      <c r="L3439" s="75"/>
      <c r="M3439" s="54"/>
      <c r="N3439" s="54"/>
      <c r="O3439" s="119"/>
      <c r="P3439" s="200"/>
      <c r="Q3439" s="134"/>
      <c r="R3439" s="189"/>
      <c r="S3439" s="74"/>
      <c r="T3439" s="54"/>
      <c r="U3439" s="128"/>
      <c r="V3439" s="74"/>
      <c r="W3439" s="74"/>
      <c r="X3439" s="74"/>
      <c r="Y3439" s="117"/>
      <c r="Z3439" s="74"/>
      <c r="AA3439" s="86"/>
      <c r="AB3439" s="831"/>
    </row>
    <row r="3440" spans="1:28" s="580" customFormat="1" ht="18" customHeight="1" x14ac:dyDescent="0.2">
      <c r="A3440" s="75"/>
      <c r="B3440" s="54"/>
      <c r="C3440" s="54"/>
      <c r="D3440" s="54"/>
      <c r="E3440" s="115"/>
      <c r="F3440" s="54"/>
      <c r="G3440" s="54"/>
      <c r="H3440" s="158"/>
      <c r="I3440" s="74"/>
      <c r="J3440" s="117"/>
      <c r="K3440" s="159"/>
      <c r="L3440" s="75"/>
      <c r="M3440" s="54"/>
      <c r="N3440" s="54"/>
      <c r="O3440" s="119"/>
      <c r="P3440" s="200"/>
      <c r="Q3440" s="134"/>
      <c r="R3440" s="189"/>
      <c r="S3440" s="74"/>
      <c r="T3440" s="54"/>
      <c r="U3440" s="128"/>
      <c r="V3440" s="74"/>
      <c r="W3440" s="74"/>
      <c r="X3440" s="74"/>
      <c r="Y3440" s="117"/>
      <c r="Z3440" s="74"/>
      <c r="AA3440" s="86"/>
      <c r="AB3440" s="831"/>
    </row>
    <row r="3441" spans="1:28" s="580" customFormat="1" ht="18" customHeight="1" x14ac:dyDescent="0.2">
      <c r="A3441" s="75"/>
      <c r="B3441" s="54"/>
      <c r="C3441" s="54"/>
      <c r="D3441" s="54"/>
      <c r="E3441" s="115"/>
      <c r="F3441" s="54"/>
      <c r="G3441" s="54"/>
      <c r="H3441" s="158"/>
      <c r="I3441" s="74"/>
      <c r="J3441" s="117"/>
      <c r="K3441" s="159"/>
      <c r="L3441" s="75"/>
      <c r="M3441" s="54"/>
      <c r="N3441" s="54"/>
      <c r="O3441" s="119"/>
      <c r="P3441" s="200"/>
      <c r="Q3441" s="134"/>
      <c r="R3441" s="189"/>
      <c r="S3441" s="74"/>
      <c r="T3441" s="54"/>
      <c r="U3441" s="128"/>
      <c r="V3441" s="74"/>
      <c r="W3441" s="74"/>
      <c r="X3441" s="74"/>
      <c r="Y3441" s="117"/>
      <c r="Z3441" s="74"/>
      <c r="AA3441" s="86"/>
      <c r="AB3441" s="1292"/>
    </row>
    <row r="3442" spans="1:28" s="580" customFormat="1" ht="18" customHeight="1" x14ac:dyDescent="0.2">
      <c r="A3442" s="61"/>
      <c r="B3442" s="105"/>
      <c r="C3442" s="105"/>
      <c r="D3442" s="105"/>
      <c r="E3442" s="146"/>
      <c r="F3442" s="105"/>
      <c r="G3442" s="105"/>
      <c r="H3442" s="126"/>
      <c r="I3442" s="77"/>
      <c r="J3442" s="108"/>
      <c r="K3442" s="78"/>
      <c r="L3442" s="61"/>
      <c r="M3442" s="105"/>
      <c r="N3442" s="105"/>
      <c r="O3442" s="113"/>
      <c r="P3442" s="131"/>
      <c r="Q3442" s="132"/>
      <c r="R3442" s="133"/>
      <c r="S3442" s="77"/>
      <c r="T3442" s="105"/>
      <c r="U3442" s="127"/>
      <c r="V3442" s="77"/>
      <c r="W3442" s="77"/>
      <c r="X3442" s="77"/>
      <c r="Y3442" s="108"/>
      <c r="Z3442" s="77"/>
      <c r="AA3442" s="149"/>
      <c r="AB3442" s="831"/>
    </row>
    <row r="3443" spans="1:28" s="580" customFormat="1" ht="18" customHeight="1" x14ac:dyDescent="0.2">
      <c r="A3443" s="2166"/>
      <c r="B3443" s="177"/>
      <c r="C3443" s="177"/>
      <c r="D3443" s="2166"/>
      <c r="E3443" s="2166"/>
      <c r="F3443" s="2166"/>
      <c r="G3443" s="2166"/>
      <c r="H3443" s="2171"/>
      <c r="I3443" s="2168"/>
      <c r="J3443" s="178"/>
      <c r="K3443" s="826"/>
      <c r="L3443" s="2166"/>
      <c r="M3443" s="2166"/>
      <c r="N3443" s="2166"/>
      <c r="O3443" s="2166"/>
      <c r="P3443" s="2171"/>
      <c r="Q3443" s="2167"/>
      <c r="R3443" s="827"/>
      <c r="S3443" s="826"/>
      <c r="T3443" s="179"/>
      <c r="U3443" s="828"/>
      <c r="V3443" s="826"/>
      <c r="W3443" s="826"/>
      <c r="X3443" s="829"/>
      <c r="Y3443" s="829"/>
      <c r="Z3443" s="830"/>
      <c r="AA3443" s="830"/>
      <c r="AB3443" s="832"/>
    </row>
    <row r="3444" spans="1:28" s="580" customFormat="1" ht="18" customHeight="1" x14ac:dyDescent="0.2">
      <c r="A3444" s="2166"/>
      <c r="B3444" s="177"/>
      <c r="C3444" s="177"/>
      <c r="D3444" s="2166"/>
      <c r="E3444" s="2166"/>
      <c r="F3444" s="2166"/>
      <c r="G3444" s="2166"/>
      <c r="H3444" s="2171"/>
      <c r="I3444" s="2168"/>
      <c r="J3444" s="178"/>
      <c r="K3444" s="826"/>
      <c r="L3444" s="2166"/>
      <c r="M3444" s="2166"/>
      <c r="N3444" s="2166"/>
      <c r="O3444" s="2166"/>
      <c r="P3444" s="2171"/>
      <c r="Q3444" s="2167"/>
      <c r="R3444" s="827"/>
      <c r="S3444" s="826"/>
      <c r="T3444" s="179"/>
      <c r="U3444" s="828"/>
      <c r="V3444" s="826"/>
      <c r="W3444" s="826"/>
      <c r="X3444" s="829"/>
      <c r="Y3444" s="829"/>
      <c r="Z3444" s="830"/>
      <c r="AA3444" s="830"/>
      <c r="AB3444" s="832"/>
    </row>
    <row r="3445" spans="1:28" s="580" customFormat="1" ht="18" customHeight="1" x14ac:dyDescent="0.2">
      <c r="A3445" s="2166"/>
      <c r="B3445" s="177"/>
      <c r="C3445" s="177"/>
      <c r="D3445" s="2166"/>
      <c r="E3445" s="2166"/>
      <c r="F3445" s="2166"/>
      <c r="G3445" s="2166"/>
      <c r="H3445" s="2171"/>
      <c r="I3445" s="2168"/>
      <c r="J3445" s="178"/>
      <c r="K3445" s="826"/>
      <c r="L3445" s="2166"/>
      <c r="M3445" s="2166"/>
      <c r="N3445" s="2166"/>
      <c r="O3445" s="2166"/>
      <c r="P3445" s="2171"/>
      <c r="Q3445" s="2167"/>
      <c r="R3445" s="827"/>
      <c r="S3445" s="826"/>
      <c r="T3445" s="179"/>
      <c r="U3445" s="828"/>
      <c r="V3445" s="826"/>
      <c r="W3445" s="826"/>
      <c r="X3445" s="829"/>
      <c r="Y3445" s="829"/>
      <c r="Z3445" s="830"/>
      <c r="AA3445" s="830"/>
      <c r="AB3445" s="832"/>
    </row>
    <row r="3446" spans="1:28" s="580" customFormat="1" ht="18" customHeight="1" x14ac:dyDescent="0.2">
      <c r="A3446" s="2166"/>
      <c r="B3446" s="177"/>
      <c r="C3446" s="177"/>
      <c r="D3446" s="2166"/>
      <c r="E3446" s="2166"/>
      <c r="F3446" s="2166"/>
      <c r="G3446" s="2166"/>
      <c r="H3446" s="2171"/>
      <c r="I3446" s="2168"/>
      <c r="J3446" s="178"/>
      <c r="K3446" s="826"/>
      <c r="L3446" s="2166"/>
      <c r="M3446" s="2166"/>
      <c r="N3446" s="2166"/>
      <c r="O3446" s="2166"/>
      <c r="P3446" s="2171"/>
      <c r="Q3446" s="2167"/>
      <c r="R3446" s="827"/>
      <c r="S3446" s="826"/>
      <c r="T3446" s="179"/>
      <c r="U3446" s="828"/>
      <c r="V3446" s="826"/>
      <c r="W3446" s="826"/>
      <c r="X3446" s="829"/>
      <c r="Y3446" s="829"/>
      <c r="Z3446" s="830"/>
      <c r="AA3446" s="830"/>
      <c r="AB3446" s="832"/>
    </row>
    <row r="3447" spans="1:28" s="580" customFormat="1" ht="18" customHeight="1" x14ac:dyDescent="0.2">
      <c r="A3447" s="2166"/>
      <c r="B3447" s="177"/>
      <c r="C3447" s="177"/>
      <c r="D3447" s="2166"/>
      <c r="E3447" s="2166"/>
      <c r="F3447" s="2166"/>
      <c r="G3447" s="2166"/>
      <c r="H3447" s="2171"/>
      <c r="I3447" s="2168"/>
      <c r="J3447" s="178"/>
      <c r="K3447" s="826"/>
      <c r="L3447" s="2166"/>
      <c r="M3447" s="2166"/>
      <c r="N3447" s="2166"/>
      <c r="O3447" s="2166"/>
      <c r="P3447" s="2171"/>
      <c r="Q3447" s="2167"/>
      <c r="R3447" s="827"/>
      <c r="S3447" s="826"/>
      <c r="T3447" s="179"/>
      <c r="U3447" s="828"/>
      <c r="V3447" s="826"/>
      <c r="W3447" s="826"/>
      <c r="X3447" s="829"/>
      <c r="Y3447" s="829"/>
      <c r="Z3447" s="830"/>
      <c r="AA3447" s="830"/>
      <c r="AB3447" s="832"/>
    </row>
    <row r="3448" spans="1:28" s="580" customFormat="1" ht="18" customHeight="1" x14ac:dyDescent="0.2">
      <c r="A3448" s="2166"/>
      <c r="B3448" s="177"/>
      <c r="C3448" s="177"/>
      <c r="D3448" s="2166"/>
      <c r="E3448" s="2166"/>
      <c r="F3448" s="2166"/>
      <c r="G3448" s="2166"/>
      <c r="H3448" s="2171"/>
      <c r="I3448" s="2168"/>
      <c r="J3448" s="178"/>
      <c r="K3448" s="826"/>
      <c r="L3448" s="2166"/>
      <c r="M3448" s="2166"/>
      <c r="N3448" s="2166"/>
      <c r="O3448" s="2166"/>
      <c r="P3448" s="2171"/>
      <c r="Q3448" s="2167"/>
      <c r="R3448" s="827"/>
      <c r="S3448" s="826"/>
      <c r="T3448" s="179"/>
      <c r="U3448" s="828"/>
      <c r="V3448" s="826"/>
      <c r="W3448" s="826"/>
      <c r="X3448" s="829"/>
      <c r="Y3448" s="829"/>
      <c r="Z3448" s="830"/>
      <c r="AA3448" s="830"/>
      <c r="AB3448" s="832"/>
    </row>
    <row r="3449" spans="1:28" s="580" customFormat="1" ht="18" customHeight="1" x14ac:dyDescent="0.2">
      <c r="A3449" s="2166"/>
      <c r="B3449" s="177"/>
      <c r="C3449" s="177"/>
      <c r="D3449" s="2166"/>
      <c r="E3449" s="2166"/>
      <c r="F3449" s="2166"/>
      <c r="G3449" s="2166"/>
      <c r="H3449" s="2171"/>
      <c r="I3449" s="2168"/>
      <c r="J3449" s="178"/>
      <c r="K3449" s="826"/>
      <c r="L3449" s="2166"/>
      <c r="M3449" s="2166"/>
      <c r="N3449" s="2166"/>
      <c r="O3449" s="2166"/>
      <c r="P3449" s="2171"/>
      <c r="Q3449" s="2167"/>
      <c r="R3449" s="827"/>
      <c r="S3449" s="826"/>
      <c r="T3449" s="179"/>
      <c r="U3449" s="828"/>
      <c r="V3449" s="826"/>
      <c r="W3449" s="826"/>
      <c r="X3449" s="829"/>
      <c r="Y3449" s="829"/>
      <c r="Z3449" s="830"/>
      <c r="AA3449" s="830"/>
      <c r="AB3449" s="832"/>
    </row>
    <row r="3450" spans="1:28" s="580" customFormat="1" ht="18" customHeight="1" x14ac:dyDescent="0.2">
      <c r="A3450" s="88"/>
      <c r="B3450" s="180"/>
      <c r="C3450" s="180"/>
      <c r="D3450" s="88"/>
      <c r="E3450" s="88"/>
      <c r="F3450" s="88"/>
      <c r="G3450" s="88"/>
      <c r="H3450" s="120"/>
      <c r="I3450" s="121"/>
      <c r="J3450" s="181"/>
      <c r="K3450" s="833"/>
      <c r="L3450" s="88"/>
      <c r="M3450" s="88"/>
      <c r="N3450" s="88"/>
      <c r="O3450" s="88"/>
      <c r="P3450" s="88"/>
      <c r="Q3450" s="129"/>
      <c r="R3450" s="834"/>
      <c r="S3450" s="833"/>
      <c r="T3450" s="182"/>
      <c r="U3450" s="835"/>
      <c r="V3450" s="833"/>
      <c r="W3450" s="833"/>
      <c r="X3450" s="836"/>
      <c r="Y3450" s="836"/>
      <c r="Z3450" s="837"/>
      <c r="AA3450" s="837"/>
      <c r="AB3450" s="831"/>
    </row>
    <row r="3451" spans="1:28" s="2219" customFormat="1" ht="18" customHeight="1" x14ac:dyDescent="0.2">
      <c r="A3451" s="1850"/>
      <c r="B3451" s="1850"/>
      <c r="C3451" s="1850"/>
      <c r="D3451" s="1850"/>
      <c r="E3451" s="1850"/>
      <c r="F3451" s="1850"/>
      <c r="G3451" s="1850"/>
      <c r="H3451" s="1851"/>
      <c r="I3451" s="1852"/>
      <c r="J3451" s="1853"/>
      <c r="K3451" s="1929"/>
      <c r="L3451" s="1929"/>
      <c r="M3451" s="1929"/>
      <c r="N3451" s="1929"/>
      <c r="O3451" s="1929"/>
      <c r="P3451" s="1929"/>
      <c r="Q3451" s="1929"/>
      <c r="R3451" s="1930"/>
      <c r="S3451" s="1929"/>
      <c r="T3451" s="1855"/>
      <c r="U3451" s="1931"/>
      <c r="V3451" s="1929"/>
      <c r="W3451" s="1929"/>
      <c r="X3451" s="1932"/>
      <c r="Y3451" s="1932"/>
      <c r="Z3451" s="1933"/>
      <c r="AA3451" s="1933"/>
      <c r="AB3451" s="1934">
        <f>SUM(AB3437:AB3450)</f>
        <v>1332</v>
      </c>
    </row>
    <row r="3452" spans="1:28" s="580" customFormat="1" ht="18" customHeight="1" x14ac:dyDescent="0.2">
      <c r="A3452" s="2772" t="s">
        <v>76</v>
      </c>
      <c r="B3452" s="2772"/>
      <c r="C3452" s="2773" t="s">
        <v>77</v>
      </c>
      <c r="D3452" s="2773"/>
      <c r="E3452" s="2773"/>
      <c r="F3452" s="2773"/>
      <c r="G3452" s="2773"/>
      <c r="H3452" s="2773"/>
      <c r="I3452" s="224" t="s">
        <v>78</v>
      </c>
      <c r="J3452" s="224"/>
      <c r="K3452" s="224"/>
      <c r="L3452" s="224"/>
      <c r="M3452" s="224"/>
      <c r="N3452" s="224"/>
      <c r="AB3452" s="225"/>
    </row>
    <row r="3453" spans="1:28" s="580" customFormat="1" ht="18" customHeight="1" x14ac:dyDescent="0.2">
      <c r="A3453" s="224"/>
      <c r="B3453" s="226"/>
      <c r="C3453" s="224"/>
      <c r="D3453" s="224"/>
      <c r="E3453" s="224"/>
      <c r="F3453" s="224"/>
      <c r="G3453" s="224"/>
      <c r="H3453" s="224"/>
      <c r="I3453" s="224" t="s">
        <v>79</v>
      </c>
      <c r="J3453" s="224"/>
      <c r="K3453" s="224"/>
      <c r="L3453" s="224"/>
      <c r="M3453" s="224"/>
      <c r="N3453" s="224"/>
      <c r="AB3453" s="225"/>
    </row>
    <row r="3454" spans="1:28" s="580" customFormat="1" ht="18" customHeight="1" x14ac:dyDescent="0.2">
      <c r="A3454" s="224"/>
      <c r="B3454" s="226"/>
      <c r="C3454" s="224"/>
      <c r="D3454" s="224"/>
      <c r="E3454" s="224"/>
      <c r="F3454" s="224"/>
      <c r="G3454" s="224"/>
      <c r="H3454" s="224"/>
      <c r="I3454" s="224" t="s">
        <v>80</v>
      </c>
      <c r="J3454" s="224"/>
      <c r="K3454" s="224"/>
      <c r="L3454" s="224"/>
      <c r="M3454" s="224"/>
      <c r="N3454" s="224"/>
      <c r="AB3454" s="225"/>
    </row>
    <row r="3455" spans="1:28" s="580" customFormat="1" ht="18" customHeight="1" x14ac:dyDescent="0.2">
      <c r="A3455" s="224"/>
      <c r="B3455" s="226"/>
      <c r="C3455" s="224"/>
      <c r="D3455" s="224"/>
      <c r="E3455" s="224"/>
      <c r="F3455" s="224"/>
      <c r="G3455" s="224"/>
      <c r="H3455" s="224"/>
      <c r="I3455" s="224" t="s">
        <v>81</v>
      </c>
      <c r="J3455" s="224"/>
      <c r="K3455" s="224"/>
      <c r="L3455" s="224"/>
      <c r="M3455" s="224"/>
      <c r="N3455" s="224"/>
      <c r="AB3455" s="225"/>
    </row>
    <row r="3456" spans="1:28" s="580" customFormat="1" ht="18" customHeight="1" x14ac:dyDescent="0.2">
      <c r="A3456" s="224"/>
      <c r="B3456" s="226"/>
      <c r="C3456" s="224"/>
      <c r="D3456" s="224"/>
      <c r="E3456" s="224"/>
      <c r="F3456" s="224"/>
      <c r="G3456" s="224"/>
      <c r="H3456" s="224"/>
      <c r="I3456" s="224" t="s">
        <v>88</v>
      </c>
      <c r="J3456" s="224"/>
      <c r="K3456" s="224"/>
      <c r="L3456" s="224"/>
      <c r="M3456" s="224"/>
      <c r="N3456" s="224"/>
      <c r="AB3456" s="225"/>
    </row>
    <row r="3457" spans="1:28" s="580" customFormat="1" ht="18" customHeight="1" x14ac:dyDescent="0.2">
      <c r="A3457" s="1"/>
      <c r="B3457" s="1"/>
      <c r="C3457" s="1"/>
      <c r="D3457" s="1"/>
      <c r="E3457" s="1"/>
      <c r="F3457" s="1"/>
      <c r="G3457" s="1"/>
      <c r="H3457" s="1"/>
      <c r="I3457" s="1"/>
      <c r="J3457" s="1"/>
      <c r="K3457" s="1"/>
      <c r="L3457" s="1"/>
      <c r="M3457" s="1"/>
      <c r="N3457" s="1"/>
      <c r="O3457" s="1"/>
      <c r="P3457" s="1"/>
      <c r="Q3457" s="1"/>
      <c r="R3457" s="1"/>
      <c r="S3457" s="1"/>
      <c r="T3457" s="1"/>
      <c r="U3457" s="1"/>
      <c r="V3457" s="1"/>
      <c r="W3457" s="1"/>
      <c r="X3457" s="1"/>
      <c r="Y3457" s="1"/>
      <c r="Z3457" s="1"/>
      <c r="AA3457" s="2776" t="s">
        <v>0</v>
      </c>
      <c r="AB3457" s="2776"/>
    </row>
    <row r="3458" spans="1:28" s="580" customFormat="1" ht="18" customHeight="1" x14ac:dyDescent="0.2">
      <c r="A3458" s="2707" t="s">
        <v>1</v>
      </c>
      <c r="B3458" s="2707"/>
      <c r="C3458" s="2707"/>
      <c r="D3458" s="2707"/>
      <c r="E3458" s="2707"/>
      <c r="F3458" s="2707"/>
      <c r="G3458" s="2707"/>
      <c r="H3458" s="2707"/>
      <c r="I3458" s="2707"/>
      <c r="J3458" s="2707"/>
      <c r="K3458" s="2707"/>
      <c r="L3458" s="2707"/>
      <c r="M3458" s="2707"/>
      <c r="N3458" s="2707"/>
      <c r="O3458" s="2707"/>
      <c r="P3458" s="2707"/>
      <c r="Q3458" s="2707"/>
      <c r="R3458" s="2707"/>
      <c r="S3458" s="2707"/>
      <c r="T3458" s="2707"/>
      <c r="U3458" s="2707"/>
      <c r="V3458" s="2707"/>
      <c r="W3458" s="2707"/>
      <c r="X3458" s="2707"/>
      <c r="Y3458" s="2707"/>
      <c r="Z3458" s="2707"/>
      <c r="AA3458" s="2707"/>
      <c r="AB3458" s="2707"/>
    </row>
    <row r="3459" spans="1:28" s="580" customFormat="1" ht="18" customHeight="1" x14ac:dyDescent="0.2">
      <c r="A3459" s="2777" t="s">
        <v>702</v>
      </c>
      <c r="B3459" s="2777"/>
      <c r="C3459" s="2777"/>
      <c r="D3459" s="2777"/>
      <c r="E3459" s="2777"/>
      <c r="F3459" s="2777"/>
      <c r="G3459" s="2777"/>
      <c r="H3459" s="2777"/>
      <c r="I3459" s="2777"/>
      <c r="J3459" s="2777"/>
      <c r="K3459" s="2777"/>
      <c r="L3459" s="2777"/>
      <c r="M3459" s="2777"/>
      <c r="N3459" s="2777"/>
      <c r="O3459" s="2777"/>
      <c r="P3459" s="2777"/>
      <c r="Q3459" s="2777"/>
      <c r="R3459" s="2777"/>
      <c r="S3459" s="2777"/>
      <c r="T3459" s="2777"/>
      <c r="U3459" s="2777"/>
      <c r="V3459" s="2777"/>
      <c r="W3459" s="2777"/>
      <c r="X3459" s="2777"/>
      <c r="Y3459" s="2777"/>
      <c r="Z3459" s="2777"/>
      <c r="AA3459" s="2777"/>
      <c r="AB3459" s="2777"/>
    </row>
    <row r="3460" spans="1:28" s="580" customFormat="1" ht="18" customHeight="1" x14ac:dyDescent="0.2">
      <c r="A3460" s="2709" t="s">
        <v>2</v>
      </c>
      <c r="B3460" s="160"/>
      <c r="C3460" s="2709" t="s">
        <v>3</v>
      </c>
      <c r="D3460" s="160"/>
      <c r="E3460" s="160"/>
      <c r="F3460" s="2712" t="s">
        <v>4</v>
      </c>
      <c r="G3460" s="2712"/>
      <c r="H3460" s="2712"/>
      <c r="I3460" s="2713"/>
      <c r="J3460" s="2713"/>
      <c r="K3460" s="2714"/>
      <c r="L3460" s="2"/>
      <c r="M3460" s="2715" t="s">
        <v>5</v>
      </c>
      <c r="N3460" s="2715"/>
      <c r="O3460" s="2715"/>
      <c r="P3460" s="2715"/>
      <c r="Q3460" s="2716"/>
      <c r="R3460" s="2716"/>
      <c r="S3460" s="2716"/>
      <c r="T3460" s="2716"/>
      <c r="U3460" s="2716"/>
      <c r="V3460" s="2717"/>
      <c r="W3460" s="161" t="s">
        <v>6</v>
      </c>
      <c r="X3460" s="162" t="s">
        <v>7</v>
      </c>
      <c r="Y3460" s="163"/>
      <c r="Z3460" s="163"/>
      <c r="AA3460" s="162"/>
      <c r="AB3460" s="206"/>
    </row>
    <row r="3461" spans="1:28" s="580" customFormat="1" ht="18" customHeight="1" x14ac:dyDescent="0.2">
      <c r="A3461" s="2710"/>
      <c r="B3461" s="4"/>
      <c r="C3461" s="2710"/>
      <c r="D3461" s="2154" t="s">
        <v>9</v>
      </c>
      <c r="E3461" s="207" t="s">
        <v>10</v>
      </c>
      <c r="F3461" s="2718" t="s">
        <v>11</v>
      </c>
      <c r="G3461" s="2713"/>
      <c r="H3461" s="2714"/>
      <c r="I3461" s="160"/>
      <c r="J3461" s="208" t="s">
        <v>12</v>
      </c>
      <c r="K3461" s="160"/>
      <c r="L3461" s="2715" t="s">
        <v>2</v>
      </c>
      <c r="M3461" s="141"/>
      <c r="N3461" s="141"/>
      <c r="O3461" s="141"/>
      <c r="P3461" s="164"/>
      <c r="Q3461" s="209" t="s">
        <v>13</v>
      </c>
      <c r="R3461" s="210" t="s">
        <v>12</v>
      </c>
      <c r="S3461" s="141" t="s">
        <v>6</v>
      </c>
      <c r="T3461" s="2724" t="s">
        <v>14</v>
      </c>
      <c r="U3461" s="2725"/>
      <c r="V3461" s="165" t="s">
        <v>7</v>
      </c>
      <c r="W3461" s="166" t="s">
        <v>15</v>
      </c>
      <c r="X3461" s="5" t="s">
        <v>16</v>
      </c>
      <c r="Y3461" s="5" t="s">
        <v>17</v>
      </c>
      <c r="Z3461" s="5" t="s">
        <v>18</v>
      </c>
      <c r="AA3461" s="5"/>
      <c r="AB3461" s="55" t="s">
        <v>19</v>
      </c>
    </row>
    <row r="3462" spans="1:28" s="580" customFormat="1" ht="18" customHeight="1" x14ac:dyDescent="0.2">
      <c r="A3462" s="2710"/>
      <c r="B3462" s="2154" t="s">
        <v>23</v>
      </c>
      <c r="C3462" s="2710"/>
      <c r="D3462" s="2154" t="s">
        <v>24</v>
      </c>
      <c r="E3462" s="207" t="s">
        <v>25</v>
      </c>
      <c r="F3462" s="2719"/>
      <c r="G3462" s="2720"/>
      <c r="H3462" s="2721"/>
      <c r="I3462" s="2154" t="s">
        <v>26</v>
      </c>
      <c r="J3462" s="211" t="s">
        <v>15</v>
      </c>
      <c r="K3462" s="2157" t="s">
        <v>6</v>
      </c>
      <c r="L3462" s="2722"/>
      <c r="M3462" s="142" t="s">
        <v>27</v>
      </c>
      <c r="N3462" s="142" t="s">
        <v>10</v>
      </c>
      <c r="O3462" s="212" t="s">
        <v>10</v>
      </c>
      <c r="P3462" s="213" t="s">
        <v>28</v>
      </c>
      <c r="Q3462" s="214" t="s">
        <v>29</v>
      </c>
      <c r="R3462" s="213" t="s">
        <v>15</v>
      </c>
      <c r="S3462" s="8" t="s">
        <v>15</v>
      </c>
      <c r="T3462" s="2726"/>
      <c r="U3462" s="2727"/>
      <c r="V3462" s="165" t="s">
        <v>30</v>
      </c>
      <c r="W3462" s="166" t="s">
        <v>31</v>
      </c>
      <c r="X3462" s="5" t="s">
        <v>30</v>
      </c>
      <c r="Y3462" s="5" t="s">
        <v>32</v>
      </c>
      <c r="Z3462" s="5" t="s">
        <v>7</v>
      </c>
      <c r="AA3462" s="5" t="s">
        <v>33</v>
      </c>
      <c r="AB3462" s="55" t="s">
        <v>34</v>
      </c>
    </row>
    <row r="3463" spans="1:28" s="580" customFormat="1" ht="18" customHeight="1" x14ac:dyDescent="0.2">
      <c r="A3463" s="2710"/>
      <c r="B3463" s="2154" t="s">
        <v>39</v>
      </c>
      <c r="C3463" s="2710"/>
      <c r="D3463" s="2154" t="s">
        <v>40</v>
      </c>
      <c r="E3463" s="207" t="s">
        <v>41</v>
      </c>
      <c r="F3463" s="2709" t="s">
        <v>42</v>
      </c>
      <c r="G3463" s="2709" t="s">
        <v>43</v>
      </c>
      <c r="H3463" s="2728" t="s">
        <v>44</v>
      </c>
      <c r="I3463" s="2154" t="s">
        <v>45</v>
      </c>
      <c r="J3463" s="211" t="s">
        <v>46</v>
      </c>
      <c r="K3463" s="2157" t="s">
        <v>47</v>
      </c>
      <c r="L3463" s="2722"/>
      <c r="M3463" s="142" t="s">
        <v>30</v>
      </c>
      <c r="N3463" s="142" t="s">
        <v>30</v>
      </c>
      <c r="O3463" s="212" t="s">
        <v>25</v>
      </c>
      <c r="P3463" s="213" t="s">
        <v>30</v>
      </c>
      <c r="Q3463" s="214" t="s">
        <v>48</v>
      </c>
      <c r="R3463" s="213" t="s">
        <v>49</v>
      </c>
      <c r="S3463" s="8" t="s">
        <v>30</v>
      </c>
      <c r="T3463" s="215" t="s">
        <v>50</v>
      </c>
      <c r="U3463" s="2156" t="s">
        <v>13</v>
      </c>
      <c r="V3463" s="165" t="s">
        <v>51</v>
      </c>
      <c r="W3463" s="166" t="s">
        <v>52</v>
      </c>
      <c r="X3463" s="5" t="s">
        <v>53</v>
      </c>
      <c r="Y3463" s="5" t="s">
        <v>54</v>
      </c>
      <c r="Z3463" s="5" t="s">
        <v>55</v>
      </c>
      <c r="AA3463" s="5" t="s">
        <v>56</v>
      </c>
      <c r="AB3463" s="55" t="s">
        <v>57</v>
      </c>
    </row>
    <row r="3464" spans="1:28" s="580" customFormat="1" ht="18" customHeight="1" x14ac:dyDescent="0.2">
      <c r="A3464" s="2710"/>
      <c r="B3464" s="2154" t="s">
        <v>61</v>
      </c>
      <c r="C3464" s="2710"/>
      <c r="D3464" s="2154" t="s">
        <v>62</v>
      </c>
      <c r="E3464" s="207" t="s">
        <v>63</v>
      </c>
      <c r="F3464" s="2710"/>
      <c r="G3464" s="2710"/>
      <c r="H3464" s="2729"/>
      <c r="I3464" s="2154" t="s">
        <v>64</v>
      </c>
      <c r="J3464" s="211" t="s">
        <v>59</v>
      </c>
      <c r="K3464" s="2157" t="s">
        <v>59</v>
      </c>
      <c r="L3464" s="2722"/>
      <c r="M3464" s="142"/>
      <c r="N3464" s="142"/>
      <c r="O3464" s="212" t="s">
        <v>41</v>
      </c>
      <c r="P3464" s="213" t="s">
        <v>65</v>
      </c>
      <c r="Q3464" s="214" t="s">
        <v>66</v>
      </c>
      <c r="R3464" s="213" t="s">
        <v>67</v>
      </c>
      <c r="S3464" s="8" t="s">
        <v>59</v>
      </c>
      <c r="T3464" s="216" t="s">
        <v>68</v>
      </c>
      <c r="U3464" s="165" t="s">
        <v>14</v>
      </c>
      <c r="V3464" s="165" t="s">
        <v>14</v>
      </c>
      <c r="W3464" s="166" t="s">
        <v>30</v>
      </c>
      <c r="X3464" s="167" t="s">
        <v>69</v>
      </c>
      <c r="Y3464" s="167" t="s">
        <v>70</v>
      </c>
      <c r="Z3464" s="5" t="s">
        <v>71</v>
      </c>
      <c r="AA3464" s="5" t="s">
        <v>72</v>
      </c>
      <c r="AB3464" s="55" t="s">
        <v>59</v>
      </c>
    </row>
    <row r="3465" spans="1:28" s="580" customFormat="1" ht="18" customHeight="1" x14ac:dyDescent="0.2">
      <c r="A3465" s="2711"/>
      <c r="B3465" s="9"/>
      <c r="C3465" s="2711"/>
      <c r="D3465" s="9"/>
      <c r="E3465" s="2155"/>
      <c r="F3465" s="9"/>
      <c r="G3465" s="9"/>
      <c r="H3465" s="10"/>
      <c r="I3465" s="2155"/>
      <c r="J3465" s="217"/>
      <c r="K3465" s="168"/>
      <c r="L3465" s="2723"/>
      <c r="M3465" s="143"/>
      <c r="N3465" s="143"/>
      <c r="O3465" s="143" t="s">
        <v>63</v>
      </c>
      <c r="P3465" s="218"/>
      <c r="Q3465" s="219" t="s">
        <v>72</v>
      </c>
      <c r="R3465" s="220" t="s">
        <v>59</v>
      </c>
      <c r="S3465" s="169"/>
      <c r="T3465" s="220" t="s">
        <v>73</v>
      </c>
      <c r="U3465" s="169" t="s">
        <v>59</v>
      </c>
      <c r="V3465" s="170" t="s">
        <v>59</v>
      </c>
      <c r="W3465" s="171" t="s">
        <v>59</v>
      </c>
      <c r="X3465" s="172" t="s">
        <v>59</v>
      </c>
      <c r="Y3465" s="172" t="s">
        <v>59</v>
      </c>
      <c r="Z3465" s="172" t="s">
        <v>59</v>
      </c>
      <c r="AA3465" s="11"/>
      <c r="AB3465" s="56"/>
    </row>
    <row r="3466" spans="1:28" s="580" customFormat="1" ht="18" customHeight="1" x14ac:dyDescent="0.2">
      <c r="A3466" s="53">
        <v>1</v>
      </c>
      <c r="B3466" s="51">
        <v>27720</v>
      </c>
      <c r="C3466" s="51">
        <v>10</v>
      </c>
      <c r="D3466" s="51" t="s">
        <v>107</v>
      </c>
      <c r="E3466" s="69">
        <v>4</v>
      </c>
      <c r="F3466" s="51">
        <v>0</v>
      </c>
      <c r="G3466" s="51">
        <v>1</v>
      </c>
      <c r="H3466" s="823">
        <v>0</v>
      </c>
      <c r="I3466" s="70">
        <f>F3466*400+G3466*100+H3466</f>
        <v>100</v>
      </c>
      <c r="J3466" s="71">
        <v>3000</v>
      </c>
      <c r="K3466" s="124">
        <f>SUM(I3466*J3466)</f>
        <v>300000</v>
      </c>
      <c r="L3466" s="53"/>
      <c r="M3466" s="51"/>
      <c r="N3466" s="51"/>
      <c r="O3466" s="155"/>
      <c r="P3466" s="824"/>
      <c r="Q3466" s="156"/>
      <c r="R3466" s="157"/>
      <c r="S3466" s="70"/>
      <c r="T3466" s="51"/>
      <c r="U3466" s="125"/>
      <c r="V3466" s="70"/>
      <c r="W3466" s="70">
        <f>K3466+V3466</f>
        <v>300000</v>
      </c>
      <c r="X3466" s="70">
        <f>W3466</f>
        <v>300000</v>
      </c>
      <c r="Y3466" s="71"/>
      <c r="Z3466" s="70">
        <f>+X3466</f>
        <v>300000</v>
      </c>
      <c r="AA3466" s="84">
        <v>0.6</v>
      </c>
      <c r="AB3466" s="1306">
        <f>+Z3466*AA3466/100</f>
        <v>1800</v>
      </c>
    </row>
    <row r="3467" spans="1:28" s="580" customFormat="1" ht="18" customHeight="1" x14ac:dyDescent="0.2">
      <c r="A3467" s="75">
        <v>2</v>
      </c>
      <c r="B3467" s="54">
        <v>27721</v>
      </c>
      <c r="C3467" s="54">
        <v>11</v>
      </c>
      <c r="D3467" s="54" t="s">
        <v>107</v>
      </c>
      <c r="E3467" s="115">
        <v>4</v>
      </c>
      <c r="F3467" s="54">
        <v>0</v>
      </c>
      <c r="G3467" s="54">
        <v>1</v>
      </c>
      <c r="H3467" s="158">
        <v>0</v>
      </c>
      <c r="I3467" s="74">
        <f t="shared" ref="I3467:I3468" si="162">F3467*400+G3467*100+H3467</f>
        <v>100</v>
      </c>
      <c r="J3467" s="117">
        <v>3000</v>
      </c>
      <c r="K3467" s="159">
        <f t="shared" ref="K3467:K3468" si="163">SUM(I3467*J3467)</f>
        <v>300000</v>
      </c>
      <c r="L3467" s="75"/>
      <c r="M3467" s="54"/>
      <c r="N3467" s="54"/>
      <c r="O3467" s="119"/>
      <c r="P3467" s="200"/>
      <c r="Q3467" s="134"/>
      <c r="R3467" s="189"/>
      <c r="S3467" s="74"/>
      <c r="T3467" s="54"/>
      <c r="U3467" s="128"/>
      <c r="V3467" s="74"/>
      <c r="W3467" s="74">
        <f t="shared" ref="W3467:W3468" si="164">K3467+V3467</f>
        <v>300000</v>
      </c>
      <c r="X3467" s="74">
        <f t="shared" ref="X3467:X3468" si="165">W3467</f>
        <v>300000</v>
      </c>
      <c r="Y3467" s="117"/>
      <c r="Z3467" s="74">
        <f t="shared" ref="Z3467:Z3468" si="166">+X3467</f>
        <v>300000</v>
      </c>
      <c r="AA3467" s="86">
        <v>0.6</v>
      </c>
      <c r="AB3467" s="1292">
        <f t="shared" ref="AB3467:AB3468" si="167">+Z3467*AA3467/100</f>
        <v>1800</v>
      </c>
    </row>
    <row r="3468" spans="1:28" s="580" customFormat="1" ht="18" customHeight="1" x14ac:dyDescent="0.2">
      <c r="A3468" s="61">
        <v>3</v>
      </c>
      <c r="B3468" s="105">
        <v>27718</v>
      </c>
      <c r="C3468" s="105">
        <v>9</v>
      </c>
      <c r="D3468" s="105" t="s">
        <v>107</v>
      </c>
      <c r="E3468" s="146">
        <v>4</v>
      </c>
      <c r="F3468" s="105">
        <v>0</v>
      </c>
      <c r="G3468" s="105">
        <v>1</v>
      </c>
      <c r="H3468" s="126">
        <v>0</v>
      </c>
      <c r="I3468" s="77">
        <f t="shared" si="162"/>
        <v>100</v>
      </c>
      <c r="J3468" s="108">
        <v>3000</v>
      </c>
      <c r="K3468" s="78">
        <f t="shared" si="163"/>
        <v>300000</v>
      </c>
      <c r="L3468" s="61"/>
      <c r="M3468" s="105"/>
      <c r="N3468" s="105"/>
      <c r="O3468" s="113"/>
      <c r="P3468" s="131"/>
      <c r="Q3468" s="132"/>
      <c r="R3468" s="133"/>
      <c r="S3468" s="77"/>
      <c r="T3468" s="105"/>
      <c r="U3468" s="127"/>
      <c r="V3468" s="77"/>
      <c r="W3468" s="77">
        <f t="shared" si="164"/>
        <v>300000</v>
      </c>
      <c r="X3468" s="77">
        <f t="shared" si="165"/>
        <v>300000</v>
      </c>
      <c r="Y3468" s="108"/>
      <c r="Z3468" s="77">
        <f t="shared" si="166"/>
        <v>300000</v>
      </c>
      <c r="AA3468" s="149">
        <v>0.6</v>
      </c>
      <c r="AB3468" s="831">
        <f t="shared" si="167"/>
        <v>1800</v>
      </c>
    </row>
    <row r="3469" spans="1:28" s="580" customFormat="1" ht="18" customHeight="1" x14ac:dyDescent="0.2">
      <c r="A3469" s="75"/>
      <c r="B3469" s="54"/>
      <c r="C3469" s="54"/>
      <c r="D3469" s="54"/>
      <c r="E3469" s="115"/>
      <c r="F3469" s="54"/>
      <c r="G3469" s="54"/>
      <c r="H3469" s="158"/>
      <c r="I3469" s="74"/>
      <c r="J3469" s="117"/>
      <c r="K3469" s="159"/>
      <c r="L3469" s="75"/>
      <c r="M3469" s="54"/>
      <c r="N3469" s="54"/>
      <c r="O3469" s="119"/>
      <c r="P3469" s="200"/>
      <c r="Q3469" s="134"/>
      <c r="R3469" s="189"/>
      <c r="S3469" s="74"/>
      <c r="T3469" s="54"/>
      <c r="U3469" s="128"/>
      <c r="V3469" s="74"/>
      <c r="W3469" s="74"/>
      <c r="X3469" s="74"/>
      <c r="Y3469" s="117"/>
      <c r="Z3469" s="74"/>
      <c r="AA3469" s="86"/>
      <c r="AB3469" s="831"/>
    </row>
    <row r="3470" spans="1:28" s="580" customFormat="1" ht="18" customHeight="1" x14ac:dyDescent="0.2">
      <c r="A3470" s="75"/>
      <c r="B3470" s="54"/>
      <c r="C3470" s="54"/>
      <c r="D3470" s="54"/>
      <c r="E3470" s="115"/>
      <c r="F3470" s="54"/>
      <c r="G3470" s="54"/>
      <c r="H3470" s="158"/>
      <c r="I3470" s="74"/>
      <c r="J3470" s="117"/>
      <c r="K3470" s="159"/>
      <c r="L3470" s="75"/>
      <c r="M3470" s="54"/>
      <c r="N3470" s="54"/>
      <c r="O3470" s="119"/>
      <c r="P3470" s="200"/>
      <c r="Q3470" s="134"/>
      <c r="R3470" s="189"/>
      <c r="S3470" s="74"/>
      <c r="T3470" s="54"/>
      <c r="U3470" s="128"/>
      <c r="V3470" s="74"/>
      <c r="W3470" s="74"/>
      <c r="X3470" s="74"/>
      <c r="Y3470" s="117"/>
      <c r="Z3470" s="74"/>
      <c r="AA3470" s="86"/>
      <c r="AB3470" s="1292"/>
    </row>
    <row r="3471" spans="1:28" s="580" customFormat="1" ht="18" customHeight="1" x14ac:dyDescent="0.2">
      <c r="A3471" s="61"/>
      <c r="B3471" s="105"/>
      <c r="C3471" s="105"/>
      <c r="D3471" s="105"/>
      <c r="E3471" s="146"/>
      <c r="F3471" s="105"/>
      <c r="G3471" s="105"/>
      <c r="H3471" s="126"/>
      <c r="I3471" s="77"/>
      <c r="J3471" s="108"/>
      <c r="K3471" s="78"/>
      <c r="L3471" s="61"/>
      <c r="M3471" s="105"/>
      <c r="N3471" s="105"/>
      <c r="O3471" s="113"/>
      <c r="P3471" s="131"/>
      <c r="Q3471" s="132"/>
      <c r="R3471" s="133"/>
      <c r="S3471" s="77"/>
      <c r="T3471" s="105"/>
      <c r="U3471" s="127"/>
      <c r="V3471" s="77"/>
      <c r="W3471" s="77"/>
      <c r="X3471" s="77"/>
      <c r="Y3471" s="108"/>
      <c r="Z3471" s="77"/>
      <c r="AA3471" s="149"/>
      <c r="AB3471" s="831"/>
    </row>
    <row r="3472" spans="1:28" s="580" customFormat="1" ht="18" customHeight="1" x14ac:dyDescent="0.2">
      <c r="A3472" s="2166"/>
      <c r="B3472" s="177"/>
      <c r="C3472" s="177"/>
      <c r="D3472" s="2166"/>
      <c r="E3472" s="2166"/>
      <c r="F3472" s="2166"/>
      <c r="G3472" s="2166"/>
      <c r="H3472" s="2171"/>
      <c r="I3472" s="2168"/>
      <c r="J3472" s="178"/>
      <c r="K3472" s="826"/>
      <c r="L3472" s="2166"/>
      <c r="M3472" s="2166"/>
      <c r="N3472" s="2166"/>
      <c r="O3472" s="2166"/>
      <c r="P3472" s="2171"/>
      <c r="Q3472" s="2167"/>
      <c r="R3472" s="827"/>
      <c r="S3472" s="826"/>
      <c r="T3472" s="179"/>
      <c r="U3472" s="828"/>
      <c r="V3472" s="826"/>
      <c r="W3472" s="826"/>
      <c r="X3472" s="829"/>
      <c r="Y3472" s="829"/>
      <c r="Z3472" s="830"/>
      <c r="AA3472" s="830"/>
      <c r="AB3472" s="832"/>
    </row>
    <row r="3473" spans="1:28" s="580" customFormat="1" ht="18" customHeight="1" x14ac:dyDescent="0.2">
      <c r="A3473" s="2166"/>
      <c r="B3473" s="177"/>
      <c r="C3473" s="177"/>
      <c r="D3473" s="2166"/>
      <c r="E3473" s="2166"/>
      <c r="F3473" s="2166"/>
      <c r="G3473" s="2166"/>
      <c r="H3473" s="2171"/>
      <c r="I3473" s="2168"/>
      <c r="J3473" s="178"/>
      <c r="K3473" s="826"/>
      <c r="L3473" s="2166"/>
      <c r="M3473" s="2166"/>
      <c r="N3473" s="2166"/>
      <c r="O3473" s="2166"/>
      <c r="P3473" s="2171"/>
      <c r="Q3473" s="2167"/>
      <c r="R3473" s="827"/>
      <c r="S3473" s="826"/>
      <c r="T3473" s="179"/>
      <c r="U3473" s="828"/>
      <c r="V3473" s="826"/>
      <c r="W3473" s="826"/>
      <c r="X3473" s="829"/>
      <c r="Y3473" s="829"/>
      <c r="Z3473" s="830"/>
      <c r="AA3473" s="830"/>
      <c r="AB3473" s="832"/>
    </row>
    <row r="3474" spans="1:28" s="580" customFormat="1" ht="18" customHeight="1" x14ac:dyDescent="0.2">
      <c r="A3474" s="2166"/>
      <c r="B3474" s="177"/>
      <c r="C3474" s="177"/>
      <c r="D3474" s="2166"/>
      <c r="E3474" s="2166"/>
      <c r="F3474" s="2166"/>
      <c r="G3474" s="2166"/>
      <c r="H3474" s="2171"/>
      <c r="I3474" s="2168"/>
      <c r="J3474" s="178"/>
      <c r="K3474" s="826"/>
      <c r="L3474" s="2166"/>
      <c r="M3474" s="2166"/>
      <c r="N3474" s="2166"/>
      <c r="O3474" s="2166"/>
      <c r="P3474" s="2171"/>
      <c r="Q3474" s="2167"/>
      <c r="R3474" s="827"/>
      <c r="S3474" s="826"/>
      <c r="T3474" s="179"/>
      <c r="U3474" s="828"/>
      <c r="V3474" s="826"/>
      <c r="W3474" s="826"/>
      <c r="X3474" s="829"/>
      <c r="Y3474" s="829"/>
      <c r="Z3474" s="830"/>
      <c r="AA3474" s="830"/>
      <c r="AB3474" s="832"/>
    </row>
    <row r="3475" spans="1:28" s="580" customFormat="1" ht="18" customHeight="1" x14ac:dyDescent="0.2">
      <c r="A3475" s="2187"/>
      <c r="B3475" s="177"/>
      <c r="C3475" s="177"/>
      <c r="D3475" s="2187"/>
      <c r="E3475" s="2187"/>
      <c r="F3475" s="2187"/>
      <c r="G3475" s="2187"/>
      <c r="H3475" s="2190"/>
      <c r="I3475" s="2188"/>
      <c r="J3475" s="178"/>
      <c r="K3475" s="826"/>
      <c r="L3475" s="2187"/>
      <c r="M3475" s="2187"/>
      <c r="N3475" s="2187"/>
      <c r="O3475" s="2187"/>
      <c r="P3475" s="2190"/>
      <c r="Q3475" s="2189"/>
      <c r="R3475" s="827"/>
      <c r="S3475" s="826"/>
      <c r="T3475" s="179"/>
      <c r="U3475" s="828"/>
      <c r="V3475" s="826"/>
      <c r="W3475" s="826"/>
      <c r="X3475" s="829"/>
      <c r="Y3475" s="829"/>
      <c r="Z3475" s="830"/>
      <c r="AA3475" s="830"/>
      <c r="AB3475" s="832"/>
    </row>
    <row r="3476" spans="1:28" s="580" customFormat="1" ht="18" customHeight="1" x14ac:dyDescent="0.2">
      <c r="A3476" s="2187"/>
      <c r="B3476" s="177"/>
      <c r="C3476" s="177"/>
      <c r="D3476" s="2187"/>
      <c r="E3476" s="2187"/>
      <c r="F3476" s="2187"/>
      <c r="G3476" s="2187"/>
      <c r="H3476" s="2190"/>
      <c r="I3476" s="2188"/>
      <c r="J3476" s="178"/>
      <c r="K3476" s="826"/>
      <c r="L3476" s="2187"/>
      <c r="M3476" s="2187"/>
      <c r="N3476" s="2187"/>
      <c r="O3476" s="2187"/>
      <c r="P3476" s="2190"/>
      <c r="Q3476" s="2189"/>
      <c r="R3476" s="827"/>
      <c r="S3476" s="826"/>
      <c r="T3476" s="179"/>
      <c r="U3476" s="828"/>
      <c r="V3476" s="826"/>
      <c r="W3476" s="826"/>
      <c r="X3476" s="829"/>
      <c r="Y3476" s="829"/>
      <c r="Z3476" s="830"/>
      <c r="AA3476" s="830"/>
      <c r="AB3476" s="832"/>
    </row>
    <row r="3477" spans="1:28" s="580" customFormat="1" ht="18" customHeight="1" x14ac:dyDescent="0.2">
      <c r="A3477" s="2166"/>
      <c r="B3477" s="177"/>
      <c r="C3477" s="177"/>
      <c r="D3477" s="2166"/>
      <c r="E3477" s="2166"/>
      <c r="F3477" s="2166"/>
      <c r="G3477" s="2166"/>
      <c r="H3477" s="2171"/>
      <c r="I3477" s="2168"/>
      <c r="J3477" s="178"/>
      <c r="K3477" s="826"/>
      <c r="L3477" s="2166"/>
      <c r="M3477" s="2166"/>
      <c r="N3477" s="2166"/>
      <c r="O3477" s="2166"/>
      <c r="P3477" s="2171"/>
      <c r="Q3477" s="2167"/>
      <c r="R3477" s="827"/>
      <c r="S3477" s="826"/>
      <c r="T3477" s="179"/>
      <c r="U3477" s="828"/>
      <c r="V3477" s="826"/>
      <c r="W3477" s="826"/>
      <c r="X3477" s="829"/>
      <c r="Y3477" s="829"/>
      <c r="Z3477" s="830"/>
      <c r="AA3477" s="830"/>
      <c r="AB3477" s="832"/>
    </row>
    <row r="3478" spans="1:28" s="580" customFormat="1" ht="18" customHeight="1" x14ac:dyDescent="0.2">
      <c r="A3478" s="2166"/>
      <c r="B3478" s="177"/>
      <c r="C3478" s="177"/>
      <c r="D3478" s="2166"/>
      <c r="E3478" s="2166"/>
      <c r="F3478" s="2166"/>
      <c r="G3478" s="2166"/>
      <c r="H3478" s="2171"/>
      <c r="I3478" s="2168"/>
      <c r="J3478" s="178"/>
      <c r="K3478" s="826"/>
      <c r="L3478" s="2166"/>
      <c r="M3478" s="2166"/>
      <c r="N3478" s="2166"/>
      <c r="O3478" s="2166"/>
      <c r="P3478" s="2171"/>
      <c r="Q3478" s="2167"/>
      <c r="R3478" s="827"/>
      <c r="S3478" s="826"/>
      <c r="T3478" s="179"/>
      <c r="U3478" s="828"/>
      <c r="V3478" s="826"/>
      <c r="W3478" s="826"/>
      <c r="X3478" s="829"/>
      <c r="Y3478" s="829"/>
      <c r="Z3478" s="830"/>
      <c r="AA3478" s="830"/>
      <c r="AB3478" s="832"/>
    </row>
    <row r="3479" spans="1:28" s="580" customFormat="1" ht="18" customHeight="1" x14ac:dyDescent="0.2">
      <c r="A3479" s="88"/>
      <c r="B3479" s="180"/>
      <c r="C3479" s="180"/>
      <c r="D3479" s="88"/>
      <c r="E3479" s="88"/>
      <c r="F3479" s="88"/>
      <c r="G3479" s="88"/>
      <c r="H3479" s="120"/>
      <c r="I3479" s="121"/>
      <c r="J3479" s="181"/>
      <c r="K3479" s="833"/>
      <c r="L3479" s="88"/>
      <c r="M3479" s="88"/>
      <c r="N3479" s="88"/>
      <c r="O3479" s="88"/>
      <c r="P3479" s="88"/>
      <c r="Q3479" s="129"/>
      <c r="R3479" s="834"/>
      <c r="S3479" s="833"/>
      <c r="T3479" s="182"/>
      <c r="U3479" s="835"/>
      <c r="V3479" s="833"/>
      <c r="W3479" s="833"/>
      <c r="X3479" s="836"/>
      <c r="Y3479" s="836"/>
      <c r="Z3479" s="837"/>
      <c r="AA3479" s="837"/>
      <c r="AB3479" s="831"/>
    </row>
    <row r="3480" spans="1:28" s="2219" customFormat="1" ht="18" customHeight="1" x14ac:dyDescent="0.2">
      <c r="A3480" s="1850"/>
      <c r="B3480" s="1850"/>
      <c r="C3480" s="1850"/>
      <c r="D3480" s="1850"/>
      <c r="E3480" s="1850"/>
      <c r="F3480" s="1850"/>
      <c r="G3480" s="1850"/>
      <c r="H3480" s="1851"/>
      <c r="I3480" s="1852"/>
      <c r="J3480" s="1853"/>
      <c r="K3480" s="1929"/>
      <c r="L3480" s="1929"/>
      <c r="M3480" s="1929"/>
      <c r="N3480" s="1929"/>
      <c r="O3480" s="1929"/>
      <c r="P3480" s="1929"/>
      <c r="Q3480" s="1929"/>
      <c r="R3480" s="1930"/>
      <c r="S3480" s="1929"/>
      <c r="T3480" s="1855"/>
      <c r="U3480" s="1931"/>
      <c r="V3480" s="1929"/>
      <c r="W3480" s="1929"/>
      <c r="X3480" s="1932"/>
      <c r="Y3480" s="1932"/>
      <c r="Z3480" s="1933"/>
      <c r="AA3480" s="1933"/>
      <c r="AB3480" s="1934">
        <f>SUM(AB3466:AB3479)</f>
        <v>5400</v>
      </c>
    </row>
    <row r="3481" spans="1:28" s="580" customFormat="1" ht="18" customHeight="1" x14ac:dyDescent="0.2">
      <c r="A3481" s="2772" t="s">
        <v>76</v>
      </c>
      <c r="B3481" s="2772"/>
      <c r="C3481" s="2773" t="s">
        <v>77</v>
      </c>
      <c r="D3481" s="2773"/>
      <c r="E3481" s="2773"/>
      <c r="F3481" s="2773"/>
      <c r="G3481" s="2773"/>
      <c r="H3481" s="2773"/>
      <c r="I3481" s="224" t="s">
        <v>78</v>
      </c>
      <c r="J3481" s="224"/>
      <c r="K3481" s="224"/>
      <c r="L3481" s="224"/>
      <c r="M3481" s="224"/>
      <c r="N3481" s="224"/>
      <c r="AB3481" s="225"/>
    </row>
    <row r="3482" spans="1:28" s="580" customFormat="1" ht="18" customHeight="1" x14ac:dyDescent="0.2">
      <c r="A3482" s="224"/>
      <c r="B3482" s="226"/>
      <c r="C3482" s="224"/>
      <c r="D3482" s="224"/>
      <c r="E3482" s="224"/>
      <c r="F3482" s="224"/>
      <c r="G3482" s="224"/>
      <c r="H3482" s="224"/>
      <c r="I3482" s="224" t="s">
        <v>79</v>
      </c>
      <c r="J3482" s="224"/>
      <c r="K3482" s="224"/>
      <c r="L3482" s="224"/>
      <c r="M3482" s="224"/>
      <c r="N3482" s="224"/>
      <c r="AB3482" s="225"/>
    </row>
    <row r="3483" spans="1:28" s="580" customFormat="1" ht="18" customHeight="1" x14ac:dyDescent="0.2">
      <c r="A3483" s="224"/>
      <c r="B3483" s="226"/>
      <c r="C3483" s="224"/>
      <c r="D3483" s="224"/>
      <c r="E3483" s="224"/>
      <c r="F3483" s="224"/>
      <c r="G3483" s="224"/>
      <c r="H3483" s="224"/>
      <c r="I3483" s="224" t="s">
        <v>80</v>
      </c>
      <c r="J3483" s="224"/>
      <c r="K3483" s="224"/>
      <c r="L3483" s="224"/>
      <c r="M3483" s="224"/>
      <c r="N3483" s="224"/>
      <c r="AB3483" s="225"/>
    </row>
    <row r="3484" spans="1:28" s="580" customFormat="1" ht="18" customHeight="1" x14ac:dyDescent="0.2">
      <c r="A3484" s="224"/>
      <c r="B3484" s="226"/>
      <c r="C3484" s="224"/>
      <c r="D3484" s="224"/>
      <c r="E3484" s="224"/>
      <c r="F3484" s="224"/>
      <c r="G3484" s="224"/>
      <c r="H3484" s="224"/>
      <c r="I3484" s="224" t="s">
        <v>81</v>
      </c>
      <c r="J3484" s="224"/>
      <c r="K3484" s="224"/>
      <c r="L3484" s="224"/>
      <c r="M3484" s="224"/>
      <c r="N3484" s="224"/>
      <c r="AB3484" s="225"/>
    </row>
    <row r="3485" spans="1:28" s="580" customFormat="1" ht="18" customHeight="1" x14ac:dyDescent="0.2">
      <c r="A3485" s="224"/>
      <c r="B3485" s="226"/>
      <c r="C3485" s="224"/>
      <c r="D3485" s="224"/>
      <c r="E3485" s="224"/>
      <c r="F3485" s="224"/>
      <c r="G3485" s="224"/>
      <c r="H3485" s="224"/>
      <c r="I3485" s="224" t="s">
        <v>88</v>
      </c>
      <c r="J3485" s="224"/>
      <c r="K3485" s="224"/>
      <c r="L3485" s="224"/>
      <c r="M3485" s="224"/>
      <c r="N3485" s="224"/>
      <c r="AB3485" s="225"/>
    </row>
    <row r="3486" spans="1:28" s="580" customFormat="1" ht="18" customHeight="1" x14ac:dyDescent="0.2">
      <c r="A3486" s="1"/>
      <c r="B3486" s="1"/>
      <c r="C3486" s="1"/>
      <c r="D3486" s="1"/>
      <c r="E3486" s="1"/>
      <c r="F3486" s="1"/>
      <c r="G3486" s="1"/>
      <c r="H3486" s="1"/>
      <c r="I3486" s="1"/>
      <c r="J3486" s="1"/>
      <c r="K3486" s="1"/>
      <c r="L3486" s="1"/>
      <c r="M3486" s="1"/>
      <c r="N3486" s="1"/>
      <c r="O3486" s="1"/>
      <c r="P3486" s="1"/>
      <c r="Q3486" s="1"/>
      <c r="R3486" s="1"/>
      <c r="S3486" s="1"/>
      <c r="T3486" s="1"/>
      <c r="U3486" s="1"/>
      <c r="V3486" s="1"/>
      <c r="W3486" s="1"/>
      <c r="X3486" s="1"/>
      <c r="Y3486" s="1"/>
      <c r="Z3486" s="1"/>
      <c r="AA3486" s="2776" t="s">
        <v>0</v>
      </c>
      <c r="AB3486" s="2776"/>
    </row>
    <row r="3487" spans="1:28" s="580" customFormat="1" ht="18" customHeight="1" x14ac:dyDescent="0.2">
      <c r="A3487" s="2707" t="s">
        <v>1</v>
      </c>
      <c r="B3487" s="2707"/>
      <c r="C3487" s="2707"/>
      <c r="D3487" s="2707"/>
      <c r="E3487" s="2707"/>
      <c r="F3487" s="2707"/>
      <c r="G3487" s="2707"/>
      <c r="H3487" s="2707"/>
      <c r="I3487" s="2707"/>
      <c r="J3487" s="2707"/>
      <c r="K3487" s="2707"/>
      <c r="L3487" s="2707"/>
      <c r="M3487" s="2707"/>
      <c r="N3487" s="2707"/>
      <c r="O3487" s="2707"/>
      <c r="P3487" s="2707"/>
      <c r="Q3487" s="2707"/>
      <c r="R3487" s="2707"/>
      <c r="S3487" s="2707"/>
      <c r="T3487" s="2707"/>
      <c r="U3487" s="2707"/>
      <c r="V3487" s="2707"/>
      <c r="W3487" s="2707"/>
      <c r="X3487" s="2707"/>
      <c r="Y3487" s="2707"/>
      <c r="Z3487" s="2707"/>
      <c r="AA3487" s="2707"/>
      <c r="AB3487" s="2707"/>
    </row>
    <row r="3488" spans="1:28" s="580" customFormat="1" ht="18" customHeight="1" x14ac:dyDescent="0.2">
      <c r="A3488" s="2777" t="s">
        <v>703</v>
      </c>
      <c r="B3488" s="2777"/>
      <c r="C3488" s="2777"/>
      <c r="D3488" s="2777"/>
      <c r="E3488" s="2777"/>
      <c r="F3488" s="2777"/>
      <c r="G3488" s="2777"/>
      <c r="H3488" s="2777"/>
      <c r="I3488" s="2777"/>
      <c r="J3488" s="2777"/>
      <c r="K3488" s="2777"/>
      <c r="L3488" s="2777"/>
      <c r="M3488" s="2777"/>
      <c r="N3488" s="2777"/>
      <c r="O3488" s="2777"/>
      <c r="P3488" s="2777"/>
      <c r="Q3488" s="2777"/>
      <c r="R3488" s="2777"/>
      <c r="S3488" s="2777"/>
      <c r="T3488" s="2777"/>
      <c r="U3488" s="2777"/>
      <c r="V3488" s="2777"/>
      <c r="W3488" s="2777"/>
      <c r="X3488" s="2777"/>
      <c r="Y3488" s="2777"/>
      <c r="Z3488" s="2777"/>
      <c r="AA3488" s="2777"/>
      <c r="AB3488" s="2777"/>
    </row>
    <row r="3489" spans="1:28" s="580" customFormat="1" ht="18" customHeight="1" x14ac:dyDescent="0.2">
      <c r="A3489" s="2709" t="s">
        <v>2</v>
      </c>
      <c r="B3489" s="160"/>
      <c r="C3489" s="2709" t="s">
        <v>3</v>
      </c>
      <c r="D3489" s="160"/>
      <c r="E3489" s="160"/>
      <c r="F3489" s="2712" t="s">
        <v>4</v>
      </c>
      <c r="G3489" s="2712"/>
      <c r="H3489" s="2712"/>
      <c r="I3489" s="2713"/>
      <c r="J3489" s="2713"/>
      <c r="K3489" s="2714"/>
      <c r="L3489" s="2"/>
      <c r="M3489" s="2715" t="s">
        <v>5</v>
      </c>
      <c r="N3489" s="2715"/>
      <c r="O3489" s="2715"/>
      <c r="P3489" s="2715"/>
      <c r="Q3489" s="2716"/>
      <c r="R3489" s="2716"/>
      <c r="S3489" s="2716"/>
      <c r="T3489" s="2716"/>
      <c r="U3489" s="2716"/>
      <c r="V3489" s="2717"/>
      <c r="W3489" s="161" t="s">
        <v>6</v>
      </c>
      <c r="X3489" s="162" t="s">
        <v>7</v>
      </c>
      <c r="Y3489" s="163"/>
      <c r="Z3489" s="163"/>
      <c r="AA3489" s="162"/>
      <c r="AB3489" s="206"/>
    </row>
    <row r="3490" spans="1:28" s="580" customFormat="1" ht="18" customHeight="1" x14ac:dyDescent="0.2">
      <c r="A3490" s="2710"/>
      <c r="B3490" s="4"/>
      <c r="C3490" s="2710"/>
      <c r="D3490" s="2183" t="s">
        <v>9</v>
      </c>
      <c r="E3490" s="207" t="s">
        <v>10</v>
      </c>
      <c r="F3490" s="2718" t="s">
        <v>11</v>
      </c>
      <c r="G3490" s="2713"/>
      <c r="H3490" s="2714"/>
      <c r="I3490" s="160"/>
      <c r="J3490" s="208" t="s">
        <v>12</v>
      </c>
      <c r="K3490" s="160"/>
      <c r="L3490" s="2715" t="s">
        <v>2</v>
      </c>
      <c r="M3490" s="141"/>
      <c r="N3490" s="141"/>
      <c r="O3490" s="141"/>
      <c r="P3490" s="164"/>
      <c r="Q3490" s="209" t="s">
        <v>13</v>
      </c>
      <c r="R3490" s="210" t="s">
        <v>12</v>
      </c>
      <c r="S3490" s="141" t="s">
        <v>6</v>
      </c>
      <c r="T3490" s="2724" t="s">
        <v>14</v>
      </c>
      <c r="U3490" s="2725"/>
      <c r="V3490" s="165" t="s">
        <v>7</v>
      </c>
      <c r="W3490" s="166" t="s">
        <v>15</v>
      </c>
      <c r="X3490" s="5" t="s">
        <v>16</v>
      </c>
      <c r="Y3490" s="5" t="s">
        <v>17</v>
      </c>
      <c r="Z3490" s="5" t="s">
        <v>18</v>
      </c>
      <c r="AA3490" s="5"/>
      <c r="AB3490" s="55" t="s">
        <v>19</v>
      </c>
    </row>
    <row r="3491" spans="1:28" s="580" customFormat="1" ht="18" customHeight="1" x14ac:dyDescent="0.2">
      <c r="A3491" s="2710"/>
      <c r="B3491" s="2183" t="s">
        <v>23</v>
      </c>
      <c r="C3491" s="2710"/>
      <c r="D3491" s="2183" t="s">
        <v>24</v>
      </c>
      <c r="E3491" s="207" t="s">
        <v>25</v>
      </c>
      <c r="F3491" s="2719"/>
      <c r="G3491" s="2720"/>
      <c r="H3491" s="2721"/>
      <c r="I3491" s="2183" t="s">
        <v>26</v>
      </c>
      <c r="J3491" s="211" t="s">
        <v>15</v>
      </c>
      <c r="K3491" s="2186" t="s">
        <v>6</v>
      </c>
      <c r="L3491" s="2722"/>
      <c r="M3491" s="142" t="s">
        <v>27</v>
      </c>
      <c r="N3491" s="142" t="s">
        <v>10</v>
      </c>
      <c r="O3491" s="212" t="s">
        <v>10</v>
      </c>
      <c r="P3491" s="213" t="s">
        <v>28</v>
      </c>
      <c r="Q3491" s="214" t="s">
        <v>29</v>
      </c>
      <c r="R3491" s="213" t="s">
        <v>15</v>
      </c>
      <c r="S3491" s="8" t="s">
        <v>15</v>
      </c>
      <c r="T3491" s="2726"/>
      <c r="U3491" s="2727"/>
      <c r="V3491" s="165" t="s">
        <v>30</v>
      </c>
      <c r="W3491" s="166" t="s">
        <v>31</v>
      </c>
      <c r="X3491" s="5" t="s">
        <v>30</v>
      </c>
      <c r="Y3491" s="5" t="s">
        <v>32</v>
      </c>
      <c r="Z3491" s="5" t="s">
        <v>7</v>
      </c>
      <c r="AA3491" s="5" t="s">
        <v>33</v>
      </c>
      <c r="AB3491" s="55" t="s">
        <v>34</v>
      </c>
    </row>
    <row r="3492" spans="1:28" s="580" customFormat="1" ht="18" customHeight="1" x14ac:dyDescent="0.2">
      <c r="A3492" s="2710"/>
      <c r="B3492" s="2183" t="s">
        <v>39</v>
      </c>
      <c r="C3492" s="2710"/>
      <c r="D3492" s="2183" t="s">
        <v>40</v>
      </c>
      <c r="E3492" s="207" t="s">
        <v>41</v>
      </c>
      <c r="F3492" s="2709" t="s">
        <v>42</v>
      </c>
      <c r="G3492" s="2709" t="s">
        <v>43</v>
      </c>
      <c r="H3492" s="2728" t="s">
        <v>44</v>
      </c>
      <c r="I3492" s="2183" t="s">
        <v>45</v>
      </c>
      <c r="J3492" s="211" t="s">
        <v>46</v>
      </c>
      <c r="K3492" s="2186" t="s">
        <v>47</v>
      </c>
      <c r="L3492" s="2722"/>
      <c r="M3492" s="142" t="s">
        <v>30</v>
      </c>
      <c r="N3492" s="142" t="s">
        <v>30</v>
      </c>
      <c r="O3492" s="212" t="s">
        <v>25</v>
      </c>
      <c r="P3492" s="213" t="s">
        <v>30</v>
      </c>
      <c r="Q3492" s="214" t="s">
        <v>48</v>
      </c>
      <c r="R3492" s="213" t="s">
        <v>49</v>
      </c>
      <c r="S3492" s="8" t="s">
        <v>30</v>
      </c>
      <c r="T3492" s="215" t="s">
        <v>50</v>
      </c>
      <c r="U3492" s="2185" t="s">
        <v>13</v>
      </c>
      <c r="V3492" s="165" t="s">
        <v>51</v>
      </c>
      <c r="W3492" s="166" t="s">
        <v>52</v>
      </c>
      <c r="X3492" s="5" t="s">
        <v>53</v>
      </c>
      <c r="Y3492" s="5" t="s">
        <v>54</v>
      </c>
      <c r="Z3492" s="5" t="s">
        <v>55</v>
      </c>
      <c r="AA3492" s="5" t="s">
        <v>56</v>
      </c>
      <c r="AB3492" s="55" t="s">
        <v>57</v>
      </c>
    </row>
    <row r="3493" spans="1:28" s="580" customFormat="1" ht="18" customHeight="1" x14ac:dyDescent="0.2">
      <c r="A3493" s="2710"/>
      <c r="B3493" s="2183" t="s">
        <v>61</v>
      </c>
      <c r="C3493" s="2710"/>
      <c r="D3493" s="2183" t="s">
        <v>62</v>
      </c>
      <c r="E3493" s="207" t="s">
        <v>63</v>
      </c>
      <c r="F3493" s="2710"/>
      <c r="G3493" s="2710"/>
      <c r="H3493" s="2729"/>
      <c r="I3493" s="2183" t="s">
        <v>64</v>
      </c>
      <c r="J3493" s="211" t="s">
        <v>59</v>
      </c>
      <c r="K3493" s="2186" t="s">
        <v>59</v>
      </c>
      <c r="L3493" s="2722"/>
      <c r="M3493" s="142"/>
      <c r="N3493" s="142"/>
      <c r="O3493" s="212" t="s">
        <v>41</v>
      </c>
      <c r="P3493" s="213" t="s">
        <v>65</v>
      </c>
      <c r="Q3493" s="214" t="s">
        <v>66</v>
      </c>
      <c r="R3493" s="213" t="s">
        <v>67</v>
      </c>
      <c r="S3493" s="8" t="s">
        <v>59</v>
      </c>
      <c r="T3493" s="216" t="s">
        <v>68</v>
      </c>
      <c r="U3493" s="165" t="s">
        <v>14</v>
      </c>
      <c r="V3493" s="165" t="s">
        <v>14</v>
      </c>
      <c r="W3493" s="166" t="s">
        <v>30</v>
      </c>
      <c r="X3493" s="167" t="s">
        <v>69</v>
      </c>
      <c r="Y3493" s="167" t="s">
        <v>70</v>
      </c>
      <c r="Z3493" s="5" t="s">
        <v>71</v>
      </c>
      <c r="AA3493" s="5" t="s">
        <v>72</v>
      </c>
      <c r="AB3493" s="55" t="s">
        <v>59</v>
      </c>
    </row>
    <row r="3494" spans="1:28" s="580" customFormat="1" ht="18" customHeight="1" x14ac:dyDescent="0.2">
      <c r="A3494" s="2711"/>
      <c r="B3494" s="9"/>
      <c r="C3494" s="2711"/>
      <c r="D3494" s="9"/>
      <c r="E3494" s="2184"/>
      <c r="F3494" s="9"/>
      <c r="G3494" s="9"/>
      <c r="H3494" s="10"/>
      <c r="I3494" s="2184"/>
      <c r="J3494" s="217"/>
      <c r="K3494" s="168"/>
      <c r="L3494" s="2723"/>
      <c r="M3494" s="143"/>
      <c r="N3494" s="143"/>
      <c r="O3494" s="143" t="s">
        <v>63</v>
      </c>
      <c r="P3494" s="218"/>
      <c r="Q3494" s="219" t="s">
        <v>72</v>
      </c>
      <c r="R3494" s="220" t="s">
        <v>59</v>
      </c>
      <c r="S3494" s="169"/>
      <c r="T3494" s="220" t="s">
        <v>73</v>
      </c>
      <c r="U3494" s="169" t="s">
        <v>59</v>
      </c>
      <c r="V3494" s="170" t="s">
        <v>59</v>
      </c>
      <c r="W3494" s="171" t="s">
        <v>59</v>
      </c>
      <c r="X3494" s="172" t="s">
        <v>59</v>
      </c>
      <c r="Y3494" s="172" t="s">
        <v>59</v>
      </c>
      <c r="Z3494" s="172" t="s">
        <v>59</v>
      </c>
      <c r="AA3494" s="11"/>
      <c r="AB3494" s="56"/>
    </row>
    <row r="3495" spans="1:28" s="580" customFormat="1" ht="18" customHeight="1" x14ac:dyDescent="0.2">
      <c r="A3495" s="53">
        <v>1</v>
      </c>
      <c r="B3495" s="51">
        <v>30960</v>
      </c>
      <c r="C3495" s="51">
        <v>863</v>
      </c>
      <c r="D3495" s="51" t="s">
        <v>107</v>
      </c>
      <c r="E3495" s="69">
        <v>4</v>
      </c>
      <c r="F3495" s="51">
        <v>0</v>
      </c>
      <c r="G3495" s="51">
        <v>1</v>
      </c>
      <c r="H3495" s="823">
        <v>0</v>
      </c>
      <c r="I3495" s="70">
        <f>F3495*400+G3495*100+H3495</f>
        <v>100</v>
      </c>
      <c r="J3495" s="71">
        <v>1000</v>
      </c>
      <c r="K3495" s="124">
        <f>SUM(I3495*J3495)</f>
        <v>100000</v>
      </c>
      <c r="L3495" s="53"/>
      <c r="M3495" s="51"/>
      <c r="N3495" s="51"/>
      <c r="O3495" s="155"/>
      <c r="P3495" s="824"/>
      <c r="Q3495" s="156"/>
      <c r="R3495" s="157"/>
      <c r="S3495" s="70"/>
      <c r="T3495" s="51"/>
      <c r="U3495" s="125"/>
      <c r="V3495" s="70"/>
      <c r="W3495" s="70">
        <f>K3495+V3495</f>
        <v>100000</v>
      </c>
      <c r="X3495" s="70">
        <f>W3495</f>
        <v>100000</v>
      </c>
      <c r="Y3495" s="71"/>
      <c r="Z3495" s="70">
        <f>+X3495</f>
        <v>100000</v>
      </c>
      <c r="AA3495" s="84">
        <v>0.3</v>
      </c>
      <c r="AB3495" s="1306">
        <f>+Z3495*AA3495/100</f>
        <v>300</v>
      </c>
    </row>
    <row r="3496" spans="1:28" s="580" customFormat="1" ht="18" customHeight="1" x14ac:dyDescent="0.2">
      <c r="A3496" s="75"/>
      <c r="B3496" s="54"/>
      <c r="C3496" s="54"/>
      <c r="D3496" s="54"/>
      <c r="E3496" s="115"/>
      <c r="F3496" s="54"/>
      <c r="G3496" s="54"/>
      <c r="H3496" s="158"/>
      <c r="I3496" s="74"/>
      <c r="J3496" s="117"/>
      <c r="K3496" s="159"/>
      <c r="L3496" s="75"/>
      <c r="M3496" s="54"/>
      <c r="N3496" s="54"/>
      <c r="O3496" s="119"/>
      <c r="P3496" s="200"/>
      <c r="Q3496" s="134"/>
      <c r="R3496" s="189"/>
      <c r="S3496" s="74"/>
      <c r="T3496" s="54"/>
      <c r="U3496" s="128"/>
      <c r="V3496" s="74"/>
      <c r="W3496" s="74"/>
      <c r="X3496" s="74"/>
      <c r="Y3496" s="117"/>
      <c r="Z3496" s="74"/>
      <c r="AA3496" s="86"/>
      <c r="AB3496" s="1292"/>
    </row>
    <row r="3497" spans="1:28" s="580" customFormat="1" ht="18" customHeight="1" x14ac:dyDescent="0.2">
      <c r="A3497" s="61"/>
      <c r="B3497" s="105"/>
      <c r="C3497" s="105"/>
      <c r="D3497" s="105"/>
      <c r="E3497" s="146"/>
      <c r="F3497" s="105"/>
      <c r="G3497" s="105"/>
      <c r="H3497" s="126"/>
      <c r="I3497" s="77"/>
      <c r="J3497" s="108"/>
      <c r="K3497" s="78"/>
      <c r="L3497" s="61"/>
      <c r="M3497" s="105"/>
      <c r="N3497" s="105"/>
      <c r="O3497" s="113"/>
      <c r="P3497" s="131"/>
      <c r="Q3497" s="132"/>
      <c r="R3497" s="133"/>
      <c r="S3497" s="77"/>
      <c r="T3497" s="105"/>
      <c r="U3497" s="127"/>
      <c r="V3497" s="77"/>
      <c r="W3497" s="77"/>
      <c r="X3497" s="77"/>
      <c r="Y3497" s="108"/>
      <c r="Z3497" s="77"/>
      <c r="AA3497" s="149"/>
      <c r="AB3497" s="831"/>
    </row>
    <row r="3498" spans="1:28" s="580" customFormat="1" ht="18" customHeight="1" x14ac:dyDescent="0.2">
      <c r="A3498" s="75"/>
      <c r="B3498" s="54"/>
      <c r="C3498" s="54"/>
      <c r="D3498" s="54"/>
      <c r="E3498" s="115"/>
      <c r="F3498" s="54"/>
      <c r="G3498" s="54"/>
      <c r="H3498" s="158"/>
      <c r="I3498" s="74"/>
      <c r="J3498" s="117"/>
      <c r="K3498" s="159"/>
      <c r="L3498" s="75"/>
      <c r="M3498" s="54"/>
      <c r="N3498" s="54"/>
      <c r="O3498" s="119"/>
      <c r="P3498" s="200"/>
      <c r="Q3498" s="134"/>
      <c r="R3498" s="189"/>
      <c r="S3498" s="74"/>
      <c r="T3498" s="54"/>
      <c r="U3498" s="128"/>
      <c r="V3498" s="74"/>
      <c r="W3498" s="74"/>
      <c r="X3498" s="74"/>
      <c r="Y3498" s="117"/>
      <c r="Z3498" s="74"/>
      <c r="AA3498" s="86"/>
      <c r="AB3498" s="831"/>
    </row>
    <row r="3499" spans="1:28" s="580" customFormat="1" ht="18" customHeight="1" x14ac:dyDescent="0.2">
      <c r="A3499" s="75"/>
      <c r="B3499" s="54"/>
      <c r="C3499" s="54"/>
      <c r="D3499" s="54"/>
      <c r="E3499" s="115"/>
      <c r="F3499" s="54"/>
      <c r="G3499" s="54"/>
      <c r="H3499" s="158"/>
      <c r="I3499" s="74"/>
      <c r="J3499" s="117"/>
      <c r="K3499" s="159"/>
      <c r="L3499" s="75"/>
      <c r="M3499" s="54"/>
      <c r="N3499" s="54"/>
      <c r="O3499" s="119"/>
      <c r="P3499" s="200"/>
      <c r="Q3499" s="134"/>
      <c r="R3499" s="189"/>
      <c r="S3499" s="74"/>
      <c r="T3499" s="54"/>
      <c r="U3499" s="128"/>
      <c r="V3499" s="74"/>
      <c r="W3499" s="74"/>
      <c r="X3499" s="74"/>
      <c r="Y3499" s="117"/>
      <c r="Z3499" s="74"/>
      <c r="AA3499" s="86"/>
      <c r="AB3499" s="1292"/>
    </row>
    <row r="3500" spans="1:28" s="580" customFormat="1" ht="18" customHeight="1" x14ac:dyDescent="0.2">
      <c r="A3500" s="61"/>
      <c r="B3500" s="105"/>
      <c r="C3500" s="105"/>
      <c r="D3500" s="105"/>
      <c r="E3500" s="146"/>
      <c r="F3500" s="105"/>
      <c r="G3500" s="105"/>
      <c r="H3500" s="126"/>
      <c r="I3500" s="77"/>
      <c r="J3500" s="108"/>
      <c r="K3500" s="78"/>
      <c r="L3500" s="61"/>
      <c r="M3500" s="105"/>
      <c r="N3500" s="105"/>
      <c r="O3500" s="113"/>
      <c r="P3500" s="131"/>
      <c r="Q3500" s="132"/>
      <c r="R3500" s="133"/>
      <c r="S3500" s="77"/>
      <c r="T3500" s="105"/>
      <c r="U3500" s="127"/>
      <c r="V3500" s="77"/>
      <c r="W3500" s="77"/>
      <c r="X3500" s="77"/>
      <c r="Y3500" s="108"/>
      <c r="Z3500" s="77"/>
      <c r="AA3500" s="149"/>
      <c r="AB3500" s="831"/>
    </row>
    <row r="3501" spans="1:28" s="580" customFormat="1" ht="18" customHeight="1" x14ac:dyDescent="0.2">
      <c r="A3501" s="2187"/>
      <c r="B3501" s="177"/>
      <c r="C3501" s="177"/>
      <c r="D3501" s="2187"/>
      <c r="E3501" s="2187"/>
      <c r="F3501" s="2187"/>
      <c r="G3501" s="2187"/>
      <c r="H3501" s="2190"/>
      <c r="I3501" s="2188"/>
      <c r="J3501" s="178"/>
      <c r="K3501" s="826"/>
      <c r="L3501" s="2187"/>
      <c r="M3501" s="2187"/>
      <c r="N3501" s="2187"/>
      <c r="O3501" s="2187"/>
      <c r="P3501" s="2190"/>
      <c r="Q3501" s="2189"/>
      <c r="R3501" s="827"/>
      <c r="S3501" s="826"/>
      <c r="T3501" s="179"/>
      <c r="U3501" s="828"/>
      <c r="V3501" s="826"/>
      <c r="W3501" s="826"/>
      <c r="X3501" s="829"/>
      <c r="Y3501" s="829"/>
      <c r="Z3501" s="830"/>
      <c r="AA3501" s="830"/>
      <c r="AB3501" s="832"/>
    </row>
    <row r="3502" spans="1:28" s="580" customFormat="1" ht="18" customHeight="1" x14ac:dyDescent="0.2">
      <c r="A3502" s="2187"/>
      <c r="B3502" s="177"/>
      <c r="C3502" s="177"/>
      <c r="D3502" s="2187"/>
      <c r="E3502" s="2187"/>
      <c r="F3502" s="2187"/>
      <c r="G3502" s="2187"/>
      <c r="H3502" s="2190"/>
      <c r="I3502" s="2188"/>
      <c r="J3502" s="178"/>
      <c r="K3502" s="826"/>
      <c r="L3502" s="2187"/>
      <c r="M3502" s="2187"/>
      <c r="N3502" s="2187"/>
      <c r="O3502" s="2187"/>
      <c r="P3502" s="2190"/>
      <c r="Q3502" s="2189"/>
      <c r="R3502" s="827"/>
      <c r="S3502" s="826"/>
      <c r="T3502" s="179"/>
      <c r="U3502" s="828"/>
      <c r="V3502" s="826"/>
      <c r="W3502" s="826"/>
      <c r="X3502" s="829"/>
      <c r="Y3502" s="829"/>
      <c r="Z3502" s="830"/>
      <c r="AA3502" s="830"/>
      <c r="AB3502" s="832"/>
    </row>
    <row r="3503" spans="1:28" s="580" customFormat="1" ht="18" customHeight="1" x14ac:dyDescent="0.2">
      <c r="A3503" s="2187"/>
      <c r="B3503" s="177"/>
      <c r="C3503" s="177"/>
      <c r="D3503" s="2187"/>
      <c r="E3503" s="2187"/>
      <c r="F3503" s="2187"/>
      <c r="G3503" s="2187"/>
      <c r="H3503" s="2190"/>
      <c r="I3503" s="2188"/>
      <c r="J3503" s="178"/>
      <c r="K3503" s="826"/>
      <c r="L3503" s="2187"/>
      <c r="M3503" s="2187"/>
      <c r="N3503" s="2187"/>
      <c r="O3503" s="2187"/>
      <c r="P3503" s="2190"/>
      <c r="Q3503" s="2189"/>
      <c r="R3503" s="827"/>
      <c r="S3503" s="826"/>
      <c r="T3503" s="179"/>
      <c r="U3503" s="828"/>
      <c r="V3503" s="826"/>
      <c r="W3503" s="826"/>
      <c r="X3503" s="829"/>
      <c r="Y3503" s="829"/>
      <c r="Z3503" s="830"/>
      <c r="AA3503" s="830"/>
      <c r="AB3503" s="832"/>
    </row>
    <row r="3504" spans="1:28" s="580" customFormat="1" ht="18" customHeight="1" x14ac:dyDescent="0.2">
      <c r="A3504" s="2187"/>
      <c r="B3504" s="177"/>
      <c r="C3504" s="177"/>
      <c r="D3504" s="2187"/>
      <c r="E3504" s="2187"/>
      <c r="F3504" s="2187"/>
      <c r="G3504" s="2187"/>
      <c r="H3504" s="2190"/>
      <c r="I3504" s="2188"/>
      <c r="J3504" s="178"/>
      <c r="K3504" s="826"/>
      <c r="L3504" s="2187"/>
      <c r="M3504" s="2187"/>
      <c r="N3504" s="2187"/>
      <c r="O3504" s="2187"/>
      <c r="P3504" s="2190"/>
      <c r="Q3504" s="2189"/>
      <c r="R3504" s="827"/>
      <c r="S3504" s="826"/>
      <c r="T3504" s="179"/>
      <c r="U3504" s="828"/>
      <c r="V3504" s="826"/>
      <c r="W3504" s="826"/>
      <c r="X3504" s="829"/>
      <c r="Y3504" s="829"/>
      <c r="Z3504" s="830"/>
      <c r="AA3504" s="830"/>
      <c r="AB3504" s="832"/>
    </row>
    <row r="3505" spans="1:28" s="580" customFormat="1" ht="18" customHeight="1" x14ac:dyDescent="0.2">
      <c r="A3505" s="2187"/>
      <c r="B3505" s="177"/>
      <c r="C3505" s="177"/>
      <c r="D3505" s="2187"/>
      <c r="E3505" s="2187"/>
      <c r="F3505" s="2187"/>
      <c r="G3505" s="2187"/>
      <c r="H3505" s="2190"/>
      <c r="I3505" s="2188"/>
      <c r="J3505" s="178"/>
      <c r="K3505" s="826"/>
      <c r="L3505" s="2187"/>
      <c r="M3505" s="2187"/>
      <c r="N3505" s="2187"/>
      <c r="O3505" s="2187"/>
      <c r="P3505" s="2190"/>
      <c r="Q3505" s="2189"/>
      <c r="R3505" s="827"/>
      <c r="S3505" s="826"/>
      <c r="T3505" s="179"/>
      <c r="U3505" s="828"/>
      <c r="V3505" s="826"/>
      <c r="W3505" s="826"/>
      <c r="X3505" s="829"/>
      <c r="Y3505" s="829"/>
      <c r="Z3505" s="830"/>
      <c r="AA3505" s="830"/>
      <c r="AB3505" s="832"/>
    </row>
    <row r="3506" spans="1:28" s="580" customFormat="1" ht="18" customHeight="1" x14ac:dyDescent="0.2">
      <c r="A3506" s="88"/>
      <c r="B3506" s="180"/>
      <c r="C3506" s="180"/>
      <c r="D3506" s="88"/>
      <c r="E3506" s="88"/>
      <c r="F3506" s="88"/>
      <c r="G3506" s="88"/>
      <c r="H3506" s="120"/>
      <c r="I3506" s="121"/>
      <c r="J3506" s="181"/>
      <c r="K3506" s="833"/>
      <c r="L3506" s="88"/>
      <c r="M3506" s="88"/>
      <c r="N3506" s="88"/>
      <c r="O3506" s="88"/>
      <c r="P3506" s="88"/>
      <c r="Q3506" s="129"/>
      <c r="R3506" s="834"/>
      <c r="S3506" s="833"/>
      <c r="T3506" s="182"/>
      <c r="U3506" s="835"/>
      <c r="V3506" s="833"/>
      <c r="W3506" s="833"/>
      <c r="X3506" s="836"/>
      <c r="Y3506" s="836"/>
      <c r="Z3506" s="837"/>
      <c r="AA3506" s="837"/>
      <c r="AB3506" s="831"/>
    </row>
    <row r="3507" spans="1:28" s="2219" customFormat="1" ht="18" customHeight="1" x14ac:dyDescent="0.2">
      <c r="A3507" s="1850"/>
      <c r="B3507" s="1850"/>
      <c r="C3507" s="1850"/>
      <c r="D3507" s="1850"/>
      <c r="E3507" s="1850"/>
      <c r="F3507" s="1850"/>
      <c r="G3507" s="1850"/>
      <c r="H3507" s="1851"/>
      <c r="I3507" s="1852"/>
      <c r="J3507" s="1853"/>
      <c r="K3507" s="1929"/>
      <c r="L3507" s="1929"/>
      <c r="M3507" s="1929"/>
      <c r="N3507" s="1929"/>
      <c r="O3507" s="1929"/>
      <c r="P3507" s="1929"/>
      <c r="Q3507" s="1929"/>
      <c r="R3507" s="1930"/>
      <c r="S3507" s="1929"/>
      <c r="T3507" s="1855"/>
      <c r="U3507" s="1931"/>
      <c r="V3507" s="1929"/>
      <c r="W3507" s="1929"/>
      <c r="X3507" s="1932"/>
      <c r="Y3507" s="1932"/>
      <c r="Z3507" s="1933"/>
      <c r="AA3507" s="1933"/>
      <c r="AB3507" s="1934">
        <f>SUM(AB3495:AB3506)</f>
        <v>300</v>
      </c>
    </row>
    <row r="3508" spans="1:28" s="580" customFormat="1" ht="18" customHeight="1" x14ac:dyDescent="0.2">
      <c r="A3508" s="2772" t="s">
        <v>76</v>
      </c>
      <c r="B3508" s="2772"/>
      <c r="C3508" s="2773" t="s">
        <v>77</v>
      </c>
      <c r="D3508" s="2773"/>
      <c r="E3508" s="2773"/>
      <c r="F3508" s="2773"/>
      <c r="G3508" s="2773"/>
      <c r="H3508" s="2773"/>
      <c r="I3508" s="224" t="s">
        <v>78</v>
      </c>
      <c r="J3508" s="224"/>
      <c r="K3508" s="224"/>
      <c r="L3508" s="224"/>
      <c r="M3508" s="224"/>
      <c r="N3508" s="224"/>
      <c r="AB3508" s="225"/>
    </row>
    <row r="3509" spans="1:28" s="580" customFormat="1" ht="18" customHeight="1" x14ac:dyDescent="0.2">
      <c r="A3509" s="224"/>
      <c r="B3509" s="226"/>
      <c r="C3509" s="224"/>
      <c r="D3509" s="224"/>
      <c r="E3509" s="224"/>
      <c r="F3509" s="224"/>
      <c r="G3509" s="224"/>
      <c r="H3509" s="224"/>
      <c r="I3509" s="224" t="s">
        <v>79</v>
      </c>
      <c r="J3509" s="224"/>
      <c r="K3509" s="224"/>
      <c r="L3509" s="224"/>
      <c r="M3509" s="224"/>
      <c r="N3509" s="224"/>
      <c r="AB3509" s="225"/>
    </row>
    <row r="3510" spans="1:28" s="580" customFormat="1" ht="18" customHeight="1" x14ac:dyDescent="0.2">
      <c r="A3510" s="224"/>
      <c r="B3510" s="226"/>
      <c r="C3510" s="224"/>
      <c r="D3510" s="224"/>
      <c r="E3510" s="224"/>
      <c r="F3510" s="224"/>
      <c r="G3510" s="224"/>
      <c r="H3510" s="224"/>
      <c r="I3510" s="224" t="s">
        <v>80</v>
      </c>
      <c r="J3510" s="224"/>
      <c r="K3510" s="224"/>
      <c r="L3510" s="224"/>
      <c r="M3510" s="224"/>
      <c r="N3510" s="224"/>
      <c r="AB3510" s="225"/>
    </row>
    <row r="3511" spans="1:28" s="580" customFormat="1" ht="18" customHeight="1" x14ac:dyDescent="0.2">
      <c r="A3511" s="224"/>
      <c r="B3511" s="226"/>
      <c r="C3511" s="224"/>
      <c r="D3511" s="224"/>
      <c r="E3511" s="224"/>
      <c r="F3511" s="224"/>
      <c r="G3511" s="224"/>
      <c r="H3511" s="224"/>
      <c r="I3511" s="224" t="s">
        <v>81</v>
      </c>
      <c r="J3511" s="224"/>
      <c r="K3511" s="224"/>
      <c r="L3511" s="224"/>
      <c r="M3511" s="224"/>
      <c r="N3511" s="224"/>
      <c r="AB3511" s="225"/>
    </row>
    <row r="3512" spans="1:28" s="580" customFormat="1" ht="18" customHeight="1" x14ac:dyDescent="0.2">
      <c r="A3512" s="224"/>
      <c r="B3512" s="226"/>
      <c r="C3512" s="224"/>
      <c r="D3512" s="224"/>
      <c r="E3512" s="224"/>
      <c r="F3512" s="224"/>
      <c r="G3512" s="224"/>
      <c r="H3512" s="224"/>
      <c r="I3512" s="224" t="s">
        <v>88</v>
      </c>
      <c r="J3512" s="224"/>
      <c r="K3512" s="224"/>
      <c r="L3512" s="224"/>
      <c r="M3512" s="224"/>
      <c r="N3512" s="224"/>
      <c r="AB3512" s="225"/>
    </row>
  </sheetData>
  <mergeCells count="1816">
    <mergeCell ref="A3481:B3481"/>
    <mergeCell ref="C3481:H3481"/>
    <mergeCell ref="A3460:A3465"/>
    <mergeCell ref="C3460:C3465"/>
    <mergeCell ref="F3460:K3460"/>
    <mergeCell ref="M3460:V3460"/>
    <mergeCell ref="F3461:H3462"/>
    <mergeCell ref="L3461:L3465"/>
    <mergeCell ref="T3461:U3462"/>
    <mergeCell ref="F3463:F3464"/>
    <mergeCell ref="G3463:G3464"/>
    <mergeCell ref="H3463:H3464"/>
    <mergeCell ref="H3434:H3435"/>
    <mergeCell ref="A3452:B3452"/>
    <mergeCell ref="C3452:H3452"/>
    <mergeCell ref="AA3457:AB3457"/>
    <mergeCell ref="A3458:AB3458"/>
    <mergeCell ref="A3459:AB3459"/>
    <mergeCell ref="A3430:AB3430"/>
    <mergeCell ref="A3431:A3436"/>
    <mergeCell ref="C3431:C3436"/>
    <mergeCell ref="F3431:K3431"/>
    <mergeCell ref="M3431:V3431"/>
    <mergeCell ref="F3432:H3433"/>
    <mergeCell ref="L3432:L3436"/>
    <mergeCell ref="T3432:U3433"/>
    <mergeCell ref="F3434:F3435"/>
    <mergeCell ref="G3434:G3435"/>
    <mergeCell ref="G3405:G3406"/>
    <mergeCell ref="H3405:H3406"/>
    <mergeCell ref="A3423:B3423"/>
    <mergeCell ref="C3423:H3423"/>
    <mergeCell ref="AA3428:AB3428"/>
    <mergeCell ref="A3429:AB3429"/>
    <mergeCell ref="A3400:AB3400"/>
    <mergeCell ref="A3401:AB3401"/>
    <mergeCell ref="A3402:A3407"/>
    <mergeCell ref="C3402:C3407"/>
    <mergeCell ref="F3402:K3402"/>
    <mergeCell ref="M3402:V3402"/>
    <mergeCell ref="F3403:H3404"/>
    <mergeCell ref="L3403:L3407"/>
    <mergeCell ref="T3403:U3404"/>
    <mergeCell ref="F3405:F3406"/>
    <mergeCell ref="F3376:F3377"/>
    <mergeCell ref="G3376:G3377"/>
    <mergeCell ref="H3376:H3377"/>
    <mergeCell ref="A3394:B3394"/>
    <mergeCell ref="C3394:H3394"/>
    <mergeCell ref="AA3399:AB3399"/>
    <mergeCell ref="AA3370:AB3370"/>
    <mergeCell ref="A3371:AB3371"/>
    <mergeCell ref="A3372:AB3372"/>
    <mergeCell ref="A3373:A3378"/>
    <mergeCell ref="C3373:C3378"/>
    <mergeCell ref="F3373:K3373"/>
    <mergeCell ref="M3373:V3373"/>
    <mergeCell ref="F3374:H3375"/>
    <mergeCell ref="L3374:L3378"/>
    <mergeCell ref="T3374:U3375"/>
    <mergeCell ref="L3345:L3349"/>
    <mergeCell ref="T3345:U3346"/>
    <mergeCell ref="F3347:F3348"/>
    <mergeCell ref="G3347:G3348"/>
    <mergeCell ref="H3347:H3348"/>
    <mergeCell ref="A3365:B3365"/>
    <mergeCell ref="C3365:H3365"/>
    <mergeCell ref="A1711:B1711"/>
    <mergeCell ref="C1711:H1711"/>
    <mergeCell ref="AA3341:AB3341"/>
    <mergeCell ref="A3342:AB3342"/>
    <mergeCell ref="A3343:AB3343"/>
    <mergeCell ref="A3344:A3349"/>
    <mergeCell ref="C3344:C3349"/>
    <mergeCell ref="F3344:K3344"/>
    <mergeCell ref="M3344:V3344"/>
    <mergeCell ref="F3345:H3346"/>
    <mergeCell ref="F1690:K1690"/>
    <mergeCell ref="M1690:V1690"/>
    <mergeCell ref="F1691:H1692"/>
    <mergeCell ref="L1691:L1695"/>
    <mergeCell ref="T1691:U1692"/>
    <mergeCell ref="F1693:F1694"/>
    <mergeCell ref="G1693:G1694"/>
    <mergeCell ref="H1693:H1694"/>
    <mergeCell ref="G3318:G3319"/>
    <mergeCell ref="H3318:H3319"/>
    <mergeCell ref="A3336:B3336"/>
    <mergeCell ref="C3336:H3336"/>
    <mergeCell ref="L3258:L3262"/>
    <mergeCell ref="T3258:U3259"/>
    <mergeCell ref="F3260:F3261"/>
    <mergeCell ref="G3260:G3261"/>
    <mergeCell ref="H3260:H3261"/>
    <mergeCell ref="A3278:B3278"/>
    <mergeCell ref="C3278:H3278"/>
    <mergeCell ref="A3249:B3249"/>
    <mergeCell ref="C3249:H3249"/>
    <mergeCell ref="AA3254:AB3254"/>
    <mergeCell ref="AC130:AC131"/>
    <mergeCell ref="AA1687:AB1687"/>
    <mergeCell ref="A1688:AB1688"/>
    <mergeCell ref="A1689:AB1689"/>
    <mergeCell ref="A1690:A1695"/>
    <mergeCell ref="C1690:C1695"/>
    <mergeCell ref="A3313:AB3313"/>
    <mergeCell ref="A3314:AB3314"/>
    <mergeCell ref="A3315:A3320"/>
    <mergeCell ref="C3315:C3320"/>
    <mergeCell ref="F3315:K3315"/>
    <mergeCell ref="M3315:V3315"/>
    <mergeCell ref="F3316:H3317"/>
    <mergeCell ref="L3316:L3320"/>
    <mergeCell ref="T3316:U3317"/>
    <mergeCell ref="F3318:F3319"/>
    <mergeCell ref="F3289:F3290"/>
    <mergeCell ref="G3289:G3290"/>
    <mergeCell ref="H3289:H3290"/>
    <mergeCell ref="A3307:B3307"/>
    <mergeCell ref="C3307:H3307"/>
    <mergeCell ref="AA3312:AB3312"/>
    <mergeCell ref="AA3283:AB3283"/>
    <mergeCell ref="A3284:AB3284"/>
    <mergeCell ref="A3285:AB3285"/>
    <mergeCell ref="A3286:A3291"/>
    <mergeCell ref="C3286:C3291"/>
    <mergeCell ref="F3286:K3286"/>
    <mergeCell ref="M3286:V3286"/>
    <mergeCell ref="F3287:H3288"/>
    <mergeCell ref="L3287:L3291"/>
    <mergeCell ref="T3287:U3288"/>
    <mergeCell ref="A3255:AB3255"/>
    <mergeCell ref="A3256:AB3256"/>
    <mergeCell ref="A3257:A3262"/>
    <mergeCell ref="C3257:C3262"/>
    <mergeCell ref="F3257:K3257"/>
    <mergeCell ref="M3257:V3257"/>
    <mergeCell ref="F3258:H3259"/>
    <mergeCell ref="A3228:A3233"/>
    <mergeCell ref="C3228:C3233"/>
    <mergeCell ref="F3228:K3228"/>
    <mergeCell ref="M3228:V3228"/>
    <mergeCell ref="F3229:H3230"/>
    <mergeCell ref="L3229:L3233"/>
    <mergeCell ref="T3229:U3230"/>
    <mergeCell ref="F3231:F3232"/>
    <mergeCell ref="G3231:G3232"/>
    <mergeCell ref="H3231:H3232"/>
    <mergeCell ref="H3202:H3203"/>
    <mergeCell ref="A3220:B3220"/>
    <mergeCell ref="C3220:H3220"/>
    <mergeCell ref="AA3225:AB3225"/>
    <mergeCell ref="A3226:AB3226"/>
    <mergeCell ref="A3227:AB3227"/>
    <mergeCell ref="A3198:AB3198"/>
    <mergeCell ref="A3199:A3204"/>
    <mergeCell ref="C3199:C3204"/>
    <mergeCell ref="F3199:K3199"/>
    <mergeCell ref="M3199:V3199"/>
    <mergeCell ref="F3200:H3201"/>
    <mergeCell ref="L3200:L3204"/>
    <mergeCell ref="T3200:U3201"/>
    <mergeCell ref="F3202:F3203"/>
    <mergeCell ref="G3202:G3203"/>
    <mergeCell ref="G3173:G3174"/>
    <mergeCell ref="H3173:H3174"/>
    <mergeCell ref="A3191:B3191"/>
    <mergeCell ref="C3191:H3191"/>
    <mergeCell ref="AA3196:AB3196"/>
    <mergeCell ref="A3197:AB3197"/>
    <mergeCell ref="A3168:AB3168"/>
    <mergeCell ref="A3169:AB3169"/>
    <mergeCell ref="A3170:A3175"/>
    <mergeCell ref="C3170:C3175"/>
    <mergeCell ref="F3170:K3170"/>
    <mergeCell ref="M3170:V3170"/>
    <mergeCell ref="F3171:H3172"/>
    <mergeCell ref="L3171:L3175"/>
    <mergeCell ref="T3171:U3172"/>
    <mergeCell ref="F3173:F3174"/>
    <mergeCell ref="F3144:F3145"/>
    <mergeCell ref="G3144:G3145"/>
    <mergeCell ref="H3144:H3145"/>
    <mergeCell ref="A3162:B3162"/>
    <mergeCell ref="C3162:H3162"/>
    <mergeCell ref="AA3167:AB3167"/>
    <mergeCell ref="AA3138:AB3138"/>
    <mergeCell ref="A3139:AB3139"/>
    <mergeCell ref="A3140:AB3140"/>
    <mergeCell ref="A3141:A3146"/>
    <mergeCell ref="C3141:C3146"/>
    <mergeCell ref="F3141:K3141"/>
    <mergeCell ref="M3141:V3141"/>
    <mergeCell ref="F3142:H3143"/>
    <mergeCell ref="L3142:L3146"/>
    <mergeCell ref="T3142:U3143"/>
    <mergeCell ref="L3113:L3117"/>
    <mergeCell ref="T3113:U3114"/>
    <mergeCell ref="F3115:F3116"/>
    <mergeCell ref="G3115:G3116"/>
    <mergeCell ref="H3115:H3116"/>
    <mergeCell ref="A3133:B3133"/>
    <mergeCell ref="C3133:H3133"/>
    <mergeCell ref="A3104:B3104"/>
    <mergeCell ref="C3104:H3104"/>
    <mergeCell ref="AA3109:AB3109"/>
    <mergeCell ref="A3110:AB3110"/>
    <mergeCell ref="A3111:AB3111"/>
    <mergeCell ref="A3112:A3117"/>
    <mergeCell ref="C3112:C3117"/>
    <mergeCell ref="F3112:K3112"/>
    <mergeCell ref="M3112:V3112"/>
    <mergeCell ref="F3113:H3114"/>
    <mergeCell ref="A3083:A3088"/>
    <mergeCell ref="C3083:C3088"/>
    <mergeCell ref="F3083:K3083"/>
    <mergeCell ref="M3083:V3083"/>
    <mergeCell ref="F3084:H3085"/>
    <mergeCell ref="L3084:L3088"/>
    <mergeCell ref="T3084:U3085"/>
    <mergeCell ref="F3086:F3087"/>
    <mergeCell ref="G3086:G3087"/>
    <mergeCell ref="H3086:H3087"/>
    <mergeCell ref="H3057:H3058"/>
    <mergeCell ref="A3075:B3075"/>
    <mergeCell ref="C3075:H3075"/>
    <mergeCell ref="AA3080:AB3080"/>
    <mergeCell ref="A3081:AB3081"/>
    <mergeCell ref="A3082:AB3082"/>
    <mergeCell ref="A3053:AB3053"/>
    <mergeCell ref="A3054:A3059"/>
    <mergeCell ref="C3054:C3059"/>
    <mergeCell ref="F3054:K3054"/>
    <mergeCell ref="M3054:V3054"/>
    <mergeCell ref="F3055:H3056"/>
    <mergeCell ref="L3055:L3059"/>
    <mergeCell ref="T3055:U3056"/>
    <mergeCell ref="F3057:F3058"/>
    <mergeCell ref="G3057:G3058"/>
    <mergeCell ref="G3028:G3029"/>
    <mergeCell ref="H3028:H3029"/>
    <mergeCell ref="A3046:B3046"/>
    <mergeCell ref="C3046:H3046"/>
    <mergeCell ref="AA3051:AB3051"/>
    <mergeCell ref="A3052:AB3052"/>
    <mergeCell ref="A3023:AB3023"/>
    <mergeCell ref="A3024:AB3024"/>
    <mergeCell ref="A3025:A3030"/>
    <mergeCell ref="C3025:C3030"/>
    <mergeCell ref="F3025:K3025"/>
    <mergeCell ref="M3025:V3025"/>
    <mergeCell ref="F3026:H3027"/>
    <mergeCell ref="L3026:L3030"/>
    <mergeCell ref="T3026:U3027"/>
    <mergeCell ref="F3028:F3029"/>
    <mergeCell ref="F2999:F3000"/>
    <mergeCell ref="G2999:G3000"/>
    <mergeCell ref="H2999:H3000"/>
    <mergeCell ref="A3017:B3017"/>
    <mergeCell ref="C3017:H3017"/>
    <mergeCell ref="AA3022:AB3022"/>
    <mergeCell ref="AA2993:AB2993"/>
    <mergeCell ref="A2994:AB2994"/>
    <mergeCell ref="A2995:AB2995"/>
    <mergeCell ref="A2996:A3001"/>
    <mergeCell ref="C2996:C3001"/>
    <mergeCell ref="F2996:K2996"/>
    <mergeCell ref="M2996:V2996"/>
    <mergeCell ref="F2997:H2998"/>
    <mergeCell ref="L2997:L3001"/>
    <mergeCell ref="T2997:U2998"/>
    <mergeCell ref="L2968:L2972"/>
    <mergeCell ref="T2968:U2969"/>
    <mergeCell ref="F2970:F2971"/>
    <mergeCell ref="G2970:G2971"/>
    <mergeCell ref="H2970:H2971"/>
    <mergeCell ref="A2988:B2988"/>
    <mergeCell ref="C2988:H2988"/>
    <mergeCell ref="A2959:B2959"/>
    <mergeCell ref="C2959:H2959"/>
    <mergeCell ref="AA2964:AB2964"/>
    <mergeCell ref="A2965:AB2965"/>
    <mergeCell ref="A2966:AB2966"/>
    <mergeCell ref="A2967:A2972"/>
    <mergeCell ref="C2967:C2972"/>
    <mergeCell ref="F2967:K2967"/>
    <mergeCell ref="M2967:V2967"/>
    <mergeCell ref="F2968:H2969"/>
    <mergeCell ref="A2938:A2943"/>
    <mergeCell ref="C2938:C2943"/>
    <mergeCell ref="F2938:K2938"/>
    <mergeCell ref="M2938:V2938"/>
    <mergeCell ref="F2939:H2940"/>
    <mergeCell ref="L2939:L2943"/>
    <mergeCell ref="T2939:U2940"/>
    <mergeCell ref="F2941:F2942"/>
    <mergeCell ref="G2941:G2942"/>
    <mergeCell ref="H2941:H2942"/>
    <mergeCell ref="H2912:H2913"/>
    <mergeCell ref="A2930:B2930"/>
    <mergeCell ref="C2930:H2930"/>
    <mergeCell ref="AA2935:AB2935"/>
    <mergeCell ref="A2936:AB2936"/>
    <mergeCell ref="A2937:AB2937"/>
    <mergeCell ref="A2908:AB2908"/>
    <mergeCell ref="A2909:A2914"/>
    <mergeCell ref="C2909:C2914"/>
    <mergeCell ref="F2909:K2909"/>
    <mergeCell ref="M2909:V2909"/>
    <mergeCell ref="F2910:H2911"/>
    <mergeCell ref="L2910:L2914"/>
    <mergeCell ref="T2910:U2911"/>
    <mergeCell ref="F2912:F2913"/>
    <mergeCell ref="G2912:G2913"/>
    <mergeCell ref="G2883:G2884"/>
    <mergeCell ref="H2883:H2884"/>
    <mergeCell ref="A2901:B2901"/>
    <mergeCell ref="C2901:H2901"/>
    <mergeCell ref="AA2906:AB2906"/>
    <mergeCell ref="A2907:AB2907"/>
    <mergeCell ref="A2878:AB2878"/>
    <mergeCell ref="A2879:AB2879"/>
    <mergeCell ref="A2880:A2885"/>
    <mergeCell ref="C2880:C2885"/>
    <mergeCell ref="F2880:K2880"/>
    <mergeCell ref="M2880:V2880"/>
    <mergeCell ref="F2881:H2882"/>
    <mergeCell ref="L2881:L2885"/>
    <mergeCell ref="T2881:U2882"/>
    <mergeCell ref="F2883:F2884"/>
    <mergeCell ref="F2854:F2855"/>
    <mergeCell ref="G2854:G2855"/>
    <mergeCell ref="H2854:H2855"/>
    <mergeCell ref="A2872:B2872"/>
    <mergeCell ref="C2872:H2872"/>
    <mergeCell ref="AA2877:AB2877"/>
    <mergeCell ref="AA2848:AB2848"/>
    <mergeCell ref="A2849:AB2849"/>
    <mergeCell ref="A2850:AB2850"/>
    <mergeCell ref="A2851:A2856"/>
    <mergeCell ref="C2851:C2856"/>
    <mergeCell ref="F2851:K2851"/>
    <mergeCell ref="M2851:V2851"/>
    <mergeCell ref="F2852:H2853"/>
    <mergeCell ref="L2852:L2856"/>
    <mergeCell ref="T2852:U2853"/>
    <mergeCell ref="L2823:L2827"/>
    <mergeCell ref="T2823:U2824"/>
    <mergeCell ref="F2825:F2826"/>
    <mergeCell ref="G2825:G2826"/>
    <mergeCell ref="H2825:H2826"/>
    <mergeCell ref="A2843:B2843"/>
    <mergeCell ref="C2843:H2843"/>
    <mergeCell ref="A2814:B2814"/>
    <mergeCell ref="C2814:H2814"/>
    <mergeCell ref="AA2819:AB2819"/>
    <mergeCell ref="A2820:AB2820"/>
    <mergeCell ref="A2821:AB2821"/>
    <mergeCell ref="A2822:A2827"/>
    <mergeCell ref="C2822:C2827"/>
    <mergeCell ref="F2822:K2822"/>
    <mergeCell ref="M2822:V2822"/>
    <mergeCell ref="F2823:H2824"/>
    <mergeCell ref="A2793:A2798"/>
    <mergeCell ref="C2793:C2798"/>
    <mergeCell ref="F2793:K2793"/>
    <mergeCell ref="M2793:V2793"/>
    <mergeCell ref="F2794:H2795"/>
    <mergeCell ref="L2794:L2798"/>
    <mergeCell ref="T2794:U2795"/>
    <mergeCell ref="F2796:F2797"/>
    <mergeCell ref="G2796:G2797"/>
    <mergeCell ref="H2796:H2797"/>
    <mergeCell ref="AA2790:AB2790"/>
    <mergeCell ref="A2791:AB2791"/>
    <mergeCell ref="A2792:AB2792"/>
    <mergeCell ref="F2767:F2768"/>
    <mergeCell ref="G2767:G2768"/>
    <mergeCell ref="H2767:H2768"/>
    <mergeCell ref="A2785:B2785"/>
    <mergeCell ref="C2785:H2785"/>
    <mergeCell ref="AA2761:AB2761"/>
    <mergeCell ref="A2762:AB2762"/>
    <mergeCell ref="A2763:AB2763"/>
    <mergeCell ref="A2764:A2769"/>
    <mergeCell ref="C2764:C2769"/>
    <mergeCell ref="F2764:K2764"/>
    <mergeCell ref="M2764:V2764"/>
    <mergeCell ref="F2765:H2766"/>
    <mergeCell ref="L2765:L2769"/>
    <mergeCell ref="T2765:U2766"/>
    <mergeCell ref="L2736:L2740"/>
    <mergeCell ref="T2736:U2737"/>
    <mergeCell ref="F2738:F2739"/>
    <mergeCell ref="G2738:G2739"/>
    <mergeCell ref="H2738:H2739"/>
    <mergeCell ref="A2756:B2756"/>
    <mergeCell ref="C2756:H2756"/>
    <mergeCell ref="A2727:B2727"/>
    <mergeCell ref="C2727:H2727"/>
    <mergeCell ref="AA2732:AB2732"/>
    <mergeCell ref="A2733:AB2733"/>
    <mergeCell ref="A2734:AB2734"/>
    <mergeCell ref="A2735:A2740"/>
    <mergeCell ref="C2735:C2740"/>
    <mergeCell ref="F2735:K2735"/>
    <mergeCell ref="M2735:V2735"/>
    <mergeCell ref="F2736:H2737"/>
    <mergeCell ref="A2706:A2711"/>
    <mergeCell ref="C2706:C2711"/>
    <mergeCell ref="F2706:K2706"/>
    <mergeCell ref="M2706:V2706"/>
    <mergeCell ref="F2707:H2708"/>
    <mergeCell ref="L2707:L2711"/>
    <mergeCell ref="T2707:U2708"/>
    <mergeCell ref="F2709:F2710"/>
    <mergeCell ref="G2709:G2710"/>
    <mergeCell ref="H2709:H2710"/>
    <mergeCell ref="H2680:H2681"/>
    <mergeCell ref="A2698:B2698"/>
    <mergeCell ref="C2698:H2698"/>
    <mergeCell ref="AA2703:AB2703"/>
    <mergeCell ref="A2704:AB2704"/>
    <mergeCell ref="A2705:AB2705"/>
    <mergeCell ref="A2676:AB2676"/>
    <mergeCell ref="A2677:A2682"/>
    <mergeCell ref="C2677:C2682"/>
    <mergeCell ref="F2677:K2677"/>
    <mergeCell ref="M2677:V2677"/>
    <mergeCell ref="F2678:H2679"/>
    <mergeCell ref="L2678:L2682"/>
    <mergeCell ref="T2678:U2679"/>
    <mergeCell ref="F2680:F2681"/>
    <mergeCell ref="G2680:G2681"/>
    <mergeCell ref="G2651:G2652"/>
    <mergeCell ref="H2651:H2652"/>
    <mergeCell ref="A2669:B2669"/>
    <mergeCell ref="C2669:H2669"/>
    <mergeCell ref="AA2674:AB2674"/>
    <mergeCell ref="A2675:AB2675"/>
    <mergeCell ref="A2646:AB2646"/>
    <mergeCell ref="A2647:AB2647"/>
    <mergeCell ref="A2648:A2653"/>
    <mergeCell ref="C2648:C2653"/>
    <mergeCell ref="F2648:K2648"/>
    <mergeCell ref="M2648:V2648"/>
    <mergeCell ref="F2649:H2650"/>
    <mergeCell ref="L2649:L2653"/>
    <mergeCell ref="T2649:U2650"/>
    <mergeCell ref="F2651:F2652"/>
    <mergeCell ref="F2622:F2623"/>
    <mergeCell ref="G2622:G2623"/>
    <mergeCell ref="H2622:H2623"/>
    <mergeCell ref="A2640:B2640"/>
    <mergeCell ref="C2640:H2640"/>
    <mergeCell ref="AA2645:AB2645"/>
    <mergeCell ref="AA2616:AB2616"/>
    <mergeCell ref="A2617:AB2617"/>
    <mergeCell ref="A2618:AB2618"/>
    <mergeCell ref="A2619:A2624"/>
    <mergeCell ref="C2619:C2624"/>
    <mergeCell ref="F2619:K2619"/>
    <mergeCell ref="M2619:V2619"/>
    <mergeCell ref="F2620:H2621"/>
    <mergeCell ref="L2620:L2624"/>
    <mergeCell ref="T2620:U2621"/>
    <mergeCell ref="A2611:B2611"/>
    <mergeCell ref="C2611:H2611"/>
    <mergeCell ref="A2590:A2595"/>
    <mergeCell ref="C2590:C2595"/>
    <mergeCell ref="F2590:K2590"/>
    <mergeCell ref="M2590:V2590"/>
    <mergeCell ref="F2591:H2592"/>
    <mergeCell ref="L2591:L2595"/>
    <mergeCell ref="T2591:U2592"/>
    <mergeCell ref="F2593:F2594"/>
    <mergeCell ref="G2593:G2594"/>
    <mergeCell ref="H2593:H2594"/>
    <mergeCell ref="H2564:H2565"/>
    <mergeCell ref="A2582:B2582"/>
    <mergeCell ref="C2582:H2582"/>
    <mergeCell ref="AA2587:AB2587"/>
    <mergeCell ref="A2588:AB2588"/>
    <mergeCell ref="A2589:AB2589"/>
    <mergeCell ref="A2560:AB2560"/>
    <mergeCell ref="A2561:A2566"/>
    <mergeCell ref="C2561:C2566"/>
    <mergeCell ref="F2561:K2561"/>
    <mergeCell ref="M2561:V2561"/>
    <mergeCell ref="F2562:H2563"/>
    <mergeCell ref="L2562:L2566"/>
    <mergeCell ref="T2562:U2563"/>
    <mergeCell ref="F2564:F2565"/>
    <mergeCell ref="G2564:G2565"/>
    <mergeCell ref="G2535:G2536"/>
    <mergeCell ref="H2535:H2536"/>
    <mergeCell ref="A2553:B2553"/>
    <mergeCell ref="C2553:H2553"/>
    <mergeCell ref="AA2558:AB2558"/>
    <mergeCell ref="A2559:AB2559"/>
    <mergeCell ref="A2530:AB2530"/>
    <mergeCell ref="A2531:AB2531"/>
    <mergeCell ref="A2532:A2537"/>
    <mergeCell ref="C2532:C2537"/>
    <mergeCell ref="F2532:K2532"/>
    <mergeCell ref="M2532:V2532"/>
    <mergeCell ref="F2533:H2534"/>
    <mergeCell ref="L2533:L2537"/>
    <mergeCell ref="T2533:U2534"/>
    <mergeCell ref="F2535:F2536"/>
    <mergeCell ref="F2506:F2507"/>
    <mergeCell ref="G2506:G2507"/>
    <mergeCell ref="H2506:H2507"/>
    <mergeCell ref="A2524:B2524"/>
    <mergeCell ref="C2524:H2524"/>
    <mergeCell ref="AA2529:AB2529"/>
    <mergeCell ref="AA2500:AB2500"/>
    <mergeCell ref="A2501:AB2501"/>
    <mergeCell ref="A2502:AB2502"/>
    <mergeCell ref="A2503:A2508"/>
    <mergeCell ref="C2503:C2508"/>
    <mergeCell ref="F2503:K2503"/>
    <mergeCell ref="M2503:V2503"/>
    <mergeCell ref="F2504:H2505"/>
    <mergeCell ref="L2504:L2508"/>
    <mergeCell ref="T2504:U2505"/>
    <mergeCell ref="L2475:L2479"/>
    <mergeCell ref="T2475:U2476"/>
    <mergeCell ref="F2477:F2478"/>
    <mergeCell ref="G2477:G2478"/>
    <mergeCell ref="H2477:H2478"/>
    <mergeCell ref="A2495:B2495"/>
    <mergeCell ref="C2495:H2495"/>
    <mergeCell ref="A2466:B2466"/>
    <mergeCell ref="C2466:H2466"/>
    <mergeCell ref="AA2471:AB2471"/>
    <mergeCell ref="A2472:AB2472"/>
    <mergeCell ref="A2473:AB2473"/>
    <mergeCell ref="A2474:A2479"/>
    <mergeCell ref="C2474:C2479"/>
    <mergeCell ref="F2474:K2474"/>
    <mergeCell ref="M2474:V2474"/>
    <mergeCell ref="F2475:H2476"/>
    <mergeCell ref="A2445:A2450"/>
    <mergeCell ref="C2445:C2450"/>
    <mergeCell ref="F2445:K2445"/>
    <mergeCell ref="M2445:V2445"/>
    <mergeCell ref="F2446:H2447"/>
    <mergeCell ref="L2446:L2450"/>
    <mergeCell ref="T2446:U2447"/>
    <mergeCell ref="F2448:F2449"/>
    <mergeCell ref="G2448:G2449"/>
    <mergeCell ref="H2448:H2449"/>
    <mergeCell ref="H2419:H2420"/>
    <mergeCell ref="A2437:B2437"/>
    <mergeCell ref="C2437:H2437"/>
    <mergeCell ref="AA2442:AB2442"/>
    <mergeCell ref="A2443:AB2443"/>
    <mergeCell ref="A2444:AB2444"/>
    <mergeCell ref="A2415:AB2415"/>
    <mergeCell ref="A2416:A2421"/>
    <mergeCell ref="C2416:C2421"/>
    <mergeCell ref="F2416:K2416"/>
    <mergeCell ref="M2416:V2416"/>
    <mergeCell ref="F2417:H2418"/>
    <mergeCell ref="L2417:L2421"/>
    <mergeCell ref="T2417:U2418"/>
    <mergeCell ref="F2419:F2420"/>
    <mergeCell ref="G2419:G2420"/>
    <mergeCell ref="G2390:G2391"/>
    <mergeCell ref="H2390:H2391"/>
    <mergeCell ref="A2408:B2408"/>
    <mergeCell ref="C2408:H2408"/>
    <mergeCell ref="AA2413:AB2413"/>
    <mergeCell ref="A2414:AB2414"/>
    <mergeCell ref="A2385:AB2385"/>
    <mergeCell ref="A2386:AB2386"/>
    <mergeCell ref="A2387:A2392"/>
    <mergeCell ref="C2387:C2392"/>
    <mergeCell ref="F2387:K2387"/>
    <mergeCell ref="M2387:V2387"/>
    <mergeCell ref="F2388:H2389"/>
    <mergeCell ref="L2388:L2392"/>
    <mergeCell ref="T2388:U2389"/>
    <mergeCell ref="F2390:F2391"/>
    <mergeCell ref="F2361:F2362"/>
    <mergeCell ref="G2361:G2362"/>
    <mergeCell ref="H2361:H2362"/>
    <mergeCell ref="A2379:B2379"/>
    <mergeCell ref="C2379:H2379"/>
    <mergeCell ref="AA2384:AB2384"/>
    <mergeCell ref="AA2355:AB2355"/>
    <mergeCell ref="A2356:AB2356"/>
    <mergeCell ref="A2357:AB2357"/>
    <mergeCell ref="A2358:A2363"/>
    <mergeCell ref="C2358:C2363"/>
    <mergeCell ref="F2358:K2358"/>
    <mergeCell ref="M2358:V2358"/>
    <mergeCell ref="F2359:H2360"/>
    <mergeCell ref="L2359:L2363"/>
    <mergeCell ref="T2359:U2360"/>
    <mergeCell ref="L2330:L2334"/>
    <mergeCell ref="T2330:U2331"/>
    <mergeCell ref="F2332:F2333"/>
    <mergeCell ref="G2332:G2333"/>
    <mergeCell ref="H2332:H2333"/>
    <mergeCell ref="A2350:B2350"/>
    <mergeCell ref="C2350:H2350"/>
    <mergeCell ref="A2321:B2321"/>
    <mergeCell ref="C2321:H2321"/>
    <mergeCell ref="AA2326:AB2326"/>
    <mergeCell ref="A2327:AB2327"/>
    <mergeCell ref="A2328:AB2328"/>
    <mergeCell ref="A2329:A2334"/>
    <mergeCell ref="C2329:C2334"/>
    <mergeCell ref="F2329:K2329"/>
    <mergeCell ref="M2329:V2329"/>
    <mergeCell ref="F2330:H2331"/>
    <mergeCell ref="A2300:A2305"/>
    <mergeCell ref="C2300:C2305"/>
    <mergeCell ref="F2300:K2300"/>
    <mergeCell ref="M2300:V2300"/>
    <mergeCell ref="F2301:H2302"/>
    <mergeCell ref="L2301:L2305"/>
    <mergeCell ref="T2301:U2302"/>
    <mergeCell ref="F2303:F2304"/>
    <mergeCell ref="G2303:G2304"/>
    <mergeCell ref="H2303:H2304"/>
    <mergeCell ref="AA2297:AB2297"/>
    <mergeCell ref="A2298:AB2298"/>
    <mergeCell ref="A2299:AB2299"/>
    <mergeCell ref="G2274:G2275"/>
    <mergeCell ref="H2274:H2275"/>
    <mergeCell ref="A2292:B2292"/>
    <mergeCell ref="C2292:H2292"/>
    <mergeCell ref="A2269:AB2269"/>
    <mergeCell ref="A2270:AB2270"/>
    <mergeCell ref="A2271:A2276"/>
    <mergeCell ref="C2271:C2276"/>
    <mergeCell ref="F2271:K2271"/>
    <mergeCell ref="M2271:V2271"/>
    <mergeCell ref="F2272:H2273"/>
    <mergeCell ref="L2272:L2276"/>
    <mergeCell ref="T2272:U2273"/>
    <mergeCell ref="F2274:F2275"/>
    <mergeCell ref="F2245:F2246"/>
    <mergeCell ref="G2245:G2246"/>
    <mergeCell ref="H2245:H2246"/>
    <mergeCell ref="A2263:B2263"/>
    <mergeCell ref="C2263:H2263"/>
    <mergeCell ref="AA2268:AB2268"/>
    <mergeCell ref="AA2239:AB2239"/>
    <mergeCell ref="A2240:AB2240"/>
    <mergeCell ref="A2241:AB2241"/>
    <mergeCell ref="A2242:A2247"/>
    <mergeCell ref="C2242:C2247"/>
    <mergeCell ref="F2242:K2242"/>
    <mergeCell ref="M2242:V2242"/>
    <mergeCell ref="F2243:H2244"/>
    <mergeCell ref="L2243:L2247"/>
    <mergeCell ref="T2243:U2244"/>
    <mergeCell ref="L2214:L2218"/>
    <mergeCell ref="T2214:U2215"/>
    <mergeCell ref="F2216:F2217"/>
    <mergeCell ref="G2216:G2217"/>
    <mergeCell ref="H2216:H2217"/>
    <mergeCell ref="A2234:B2234"/>
    <mergeCell ref="C2234:H2234"/>
    <mergeCell ref="A2205:B2205"/>
    <mergeCell ref="C2205:H2205"/>
    <mergeCell ref="AA2210:AB2210"/>
    <mergeCell ref="A2211:AB2211"/>
    <mergeCell ref="A2212:AB2212"/>
    <mergeCell ref="A2213:A2218"/>
    <mergeCell ref="C2213:C2218"/>
    <mergeCell ref="F2213:K2213"/>
    <mergeCell ref="M2213:V2213"/>
    <mergeCell ref="F2214:H2215"/>
    <mergeCell ref="A2184:A2189"/>
    <mergeCell ref="C2184:C2189"/>
    <mergeCell ref="F2184:K2184"/>
    <mergeCell ref="M2184:V2184"/>
    <mergeCell ref="F2185:H2186"/>
    <mergeCell ref="L2185:L2189"/>
    <mergeCell ref="T2185:U2186"/>
    <mergeCell ref="F2187:F2188"/>
    <mergeCell ref="G2187:G2188"/>
    <mergeCell ref="H2187:H2188"/>
    <mergeCell ref="H2158:H2159"/>
    <mergeCell ref="A2176:B2176"/>
    <mergeCell ref="C2176:H2176"/>
    <mergeCell ref="AA2181:AB2181"/>
    <mergeCell ref="A2182:AB2182"/>
    <mergeCell ref="A2183:AB2183"/>
    <mergeCell ref="A2154:AB2154"/>
    <mergeCell ref="A2155:A2160"/>
    <mergeCell ref="C2155:C2160"/>
    <mergeCell ref="F2155:K2155"/>
    <mergeCell ref="M2155:V2155"/>
    <mergeCell ref="F2156:H2157"/>
    <mergeCell ref="L2156:L2160"/>
    <mergeCell ref="T2156:U2157"/>
    <mergeCell ref="F2158:F2159"/>
    <mergeCell ref="G2158:G2159"/>
    <mergeCell ref="G2129:G2130"/>
    <mergeCell ref="H2129:H2130"/>
    <mergeCell ref="A2147:B2147"/>
    <mergeCell ref="C2147:H2147"/>
    <mergeCell ref="AA2152:AB2152"/>
    <mergeCell ref="A2153:AB2153"/>
    <mergeCell ref="A2124:AB2124"/>
    <mergeCell ref="A2125:AB2125"/>
    <mergeCell ref="A2126:A2131"/>
    <mergeCell ref="C2126:C2131"/>
    <mergeCell ref="F2126:K2126"/>
    <mergeCell ref="M2126:V2126"/>
    <mergeCell ref="F2127:H2128"/>
    <mergeCell ref="L2127:L2131"/>
    <mergeCell ref="T2127:U2128"/>
    <mergeCell ref="F2129:F2130"/>
    <mergeCell ref="F2100:F2101"/>
    <mergeCell ref="G2100:G2101"/>
    <mergeCell ref="H2100:H2101"/>
    <mergeCell ref="A2118:B2118"/>
    <mergeCell ref="C2118:H2118"/>
    <mergeCell ref="AA2123:AB2123"/>
    <mergeCell ref="AA2094:AB2094"/>
    <mergeCell ref="A2095:AB2095"/>
    <mergeCell ref="A2096:AB2096"/>
    <mergeCell ref="A2097:A2102"/>
    <mergeCell ref="C2097:C2102"/>
    <mergeCell ref="F2097:K2097"/>
    <mergeCell ref="M2097:V2097"/>
    <mergeCell ref="F2098:H2099"/>
    <mergeCell ref="L2098:L2102"/>
    <mergeCell ref="T2098:U2099"/>
    <mergeCell ref="L2069:L2073"/>
    <mergeCell ref="T2069:U2070"/>
    <mergeCell ref="F2071:F2072"/>
    <mergeCell ref="G2071:G2072"/>
    <mergeCell ref="H2071:H2072"/>
    <mergeCell ref="A2089:B2089"/>
    <mergeCell ref="C2089:H2089"/>
    <mergeCell ref="A2060:B2060"/>
    <mergeCell ref="C2060:H2060"/>
    <mergeCell ref="AA2065:AB2065"/>
    <mergeCell ref="A2066:AB2066"/>
    <mergeCell ref="A2067:AB2067"/>
    <mergeCell ref="A2068:A2073"/>
    <mergeCell ref="C2068:C2073"/>
    <mergeCell ref="F2068:K2068"/>
    <mergeCell ref="M2068:V2068"/>
    <mergeCell ref="F2069:H2070"/>
    <mergeCell ref="A2039:A2044"/>
    <mergeCell ref="C2039:C2044"/>
    <mergeCell ref="F2039:K2039"/>
    <mergeCell ref="M2039:V2039"/>
    <mergeCell ref="F2040:H2041"/>
    <mergeCell ref="L2040:L2044"/>
    <mergeCell ref="T2040:U2041"/>
    <mergeCell ref="F2042:F2043"/>
    <mergeCell ref="G2042:G2043"/>
    <mergeCell ref="H2042:H2043"/>
    <mergeCell ref="AA2036:AB2036"/>
    <mergeCell ref="A2037:AB2037"/>
    <mergeCell ref="A2038:AB2038"/>
    <mergeCell ref="F2013:F2014"/>
    <mergeCell ref="G2013:G2014"/>
    <mergeCell ref="H2013:H2014"/>
    <mergeCell ref="A2031:B2031"/>
    <mergeCell ref="C2031:H2031"/>
    <mergeCell ref="AA2007:AB2007"/>
    <mergeCell ref="A2008:AB2008"/>
    <mergeCell ref="A2009:AB2009"/>
    <mergeCell ref="A2010:A2015"/>
    <mergeCell ref="C2010:C2015"/>
    <mergeCell ref="F2010:K2010"/>
    <mergeCell ref="M2010:V2010"/>
    <mergeCell ref="F2011:H2012"/>
    <mergeCell ref="L2011:L2015"/>
    <mergeCell ref="T2011:U2012"/>
    <mergeCell ref="L1982:L1986"/>
    <mergeCell ref="T1982:U1983"/>
    <mergeCell ref="F1984:F1985"/>
    <mergeCell ref="G1984:G1985"/>
    <mergeCell ref="H1984:H1985"/>
    <mergeCell ref="A2002:B2002"/>
    <mergeCell ref="C2002:H2002"/>
    <mergeCell ref="A1973:B1973"/>
    <mergeCell ref="C1973:H1973"/>
    <mergeCell ref="AA1978:AB1978"/>
    <mergeCell ref="A1979:AB1979"/>
    <mergeCell ref="A1980:AB1980"/>
    <mergeCell ref="A1981:A1986"/>
    <mergeCell ref="C1981:C1986"/>
    <mergeCell ref="F1981:K1981"/>
    <mergeCell ref="M1981:V1981"/>
    <mergeCell ref="F1982:H1983"/>
    <mergeCell ref="A1952:A1957"/>
    <mergeCell ref="C1952:C1957"/>
    <mergeCell ref="F1952:K1952"/>
    <mergeCell ref="M1952:V1952"/>
    <mergeCell ref="F1953:H1954"/>
    <mergeCell ref="L1953:L1957"/>
    <mergeCell ref="T1953:U1954"/>
    <mergeCell ref="F1955:F1956"/>
    <mergeCell ref="G1955:G1956"/>
    <mergeCell ref="H1955:H1956"/>
    <mergeCell ref="H1926:H1927"/>
    <mergeCell ref="A1944:B1944"/>
    <mergeCell ref="C1944:H1944"/>
    <mergeCell ref="AA1949:AB1949"/>
    <mergeCell ref="A1950:AB1950"/>
    <mergeCell ref="A1951:AB1951"/>
    <mergeCell ref="A1922:AB1922"/>
    <mergeCell ref="A1923:A1928"/>
    <mergeCell ref="C1923:C1928"/>
    <mergeCell ref="F1923:K1923"/>
    <mergeCell ref="M1923:V1923"/>
    <mergeCell ref="F1924:H1925"/>
    <mergeCell ref="L1924:L1928"/>
    <mergeCell ref="T1924:U1925"/>
    <mergeCell ref="F1926:F1927"/>
    <mergeCell ref="G1926:G1927"/>
    <mergeCell ref="G1897:G1898"/>
    <mergeCell ref="H1897:H1898"/>
    <mergeCell ref="A1915:B1915"/>
    <mergeCell ref="C1915:H1915"/>
    <mergeCell ref="AA1920:AB1920"/>
    <mergeCell ref="A1921:AB1921"/>
    <mergeCell ref="A1892:AB1892"/>
    <mergeCell ref="A1893:AB1893"/>
    <mergeCell ref="A1894:A1899"/>
    <mergeCell ref="C1894:C1899"/>
    <mergeCell ref="F1894:K1894"/>
    <mergeCell ref="M1894:V1894"/>
    <mergeCell ref="F1895:H1896"/>
    <mergeCell ref="L1895:L1899"/>
    <mergeCell ref="T1895:U1896"/>
    <mergeCell ref="F1897:F1898"/>
    <mergeCell ref="F1868:F1869"/>
    <mergeCell ref="G1868:G1869"/>
    <mergeCell ref="H1868:H1869"/>
    <mergeCell ref="A1886:B1886"/>
    <mergeCell ref="C1886:H1886"/>
    <mergeCell ref="AA1891:AB1891"/>
    <mergeCell ref="AA1862:AB1862"/>
    <mergeCell ref="A1863:AB1863"/>
    <mergeCell ref="A1864:AB1864"/>
    <mergeCell ref="A1865:A1870"/>
    <mergeCell ref="C1865:C1870"/>
    <mergeCell ref="F1865:K1865"/>
    <mergeCell ref="M1865:V1865"/>
    <mergeCell ref="F1866:H1867"/>
    <mergeCell ref="L1866:L1870"/>
    <mergeCell ref="T1866:U1867"/>
    <mergeCell ref="L1837:L1841"/>
    <mergeCell ref="T1837:U1838"/>
    <mergeCell ref="F1839:F1840"/>
    <mergeCell ref="G1839:G1840"/>
    <mergeCell ref="H1839:H1840"/>
    <mergeCell ref="A1857:B1857"/>
    <mergeCell ref="C1857:H1857"/>
    <mergeCell ref="A1828:B1828"/>
    <mergeCell ref="C1828:H1828"/>
    <mergeCell ref="AA1833:AB1833"/>
    <mergeCell ref="A1834:AB1834"/>
    <mergeCell ref="A1835:AB1835"/>
    <mergeCell ref="A1836:A1841"/>
    <mergeCell ref="C1836:C1841"/>
    <mergeCell ref="F1836:K1836"/>
    <mergeCell ref="M1836:V1836"/>
    <mergeCell ref="F1837:H1838"/>
    <mergeCell ref="A1807:A1812"/>
    <mergeCell ref="C1807:C1812"/>
    <mergeCell ref="F1807:K1807"/>
    <mergeCell ref="M1807:V1807"/>
    <mergeCell ref="F1808:H1809"/>
    <mergeCell ref="L1808:L1812"/>
    <mergeCell ref="T1808:U1809"/>
    <mergeCell ref="F1810:F1811"/>
    <mergeCell ref="G1810:G1811"/>
    <mergeCell ref="H1810:H1811"/>
    <mergeCell ref="H1780:H1781"/>
    <mergeCell ref="A1799:B1799"/>
    <mergeCell ref="C1799:H1799"/>
    <mergeCell ref="AA1804:AB1804"/>
    <mergeCell ref="A1805:AB1805"/>
    <mergeCell ref="A1806:AB1806"/>
    <mergeCell ref="A1776:AB1776"/>
    <mergeCell ref="A1777:A1782"/>
    <mergeCell ref="C1777:C1782"/>
    <mergeCell ref="F1777:K1777"/>
    <mergeCell ref="M1777:V1777"/>
    <mergeCell ref="F1778:H1779"/>
    <mergeCell ref="L1778:L1782"/>
    <mergeCell ref="T1778:U1779"/>
    <mergeCell ref="F1780:F1781"/>
    <mergeCell ref="G1780:G1781"/>
    <mergeCell ref="G1751:G1752"/>
    <mergeCell ref="H1751:H1752"/>
    <mergeCell ref="A1769:B1769"/>
    <mergeCell ref="C1769:H1769"/>
    <mergeCell ref="AA1774:AB1774"/>
    <mergeCell ref="A1775:AB1775"/>
    <mergeCell ref="A1746:AB1746"/>
    <mergeCell ref="A1747:AB1747"/>
    <mergeCell ref="A1748:A1753"/>
    <mergeCell ref="C1748:C1753"/>
    <mergeCell ref="F1748:K1748"/>
    <mergeCell ref="M1748:V1748"/>
    <mergeCell ref="F1749:H1750"/>
    <mergeCell ref="L1749:L1753"/>
    <mergeCell ref="T1749:U1750"/>
    <mergeCell ref="F1751:F1752"/>
    <mergeCell ref="F1722:F1723"/>
    <mergeCell ref="G1722:G1723"/>
    <mergeCell ref="H1722:H1723"/>
    <mergeCell ref="A1740:B1740"/>
    <mergeCell ref="C1740:H1740"/>
    <mergeCell ref="AA1745:AB1745"/>
    <mergeCell ref="AA1716:AB1716"/>
    <mergeCell ref="A1717:AB1717"/>
    <mergeCell ref="A1718:AB1718"/>
    <mergeCell ref="A1719:A1724"/>
    <mergeCell ref="C1719:C1724"/>
    <mergeCell ref="F1719:K1719"/>
    <mergeCell ref="M1719:V1719"/>
    <mergeCell ref="F1720:H1721"/>
    <mergeCell ref="L1720:L1724"/>
    <mergeCell ref="T1720:U1721"/>
    <mergeCell ref="A1682:B1682"/>
    <mergeCell ref="C1682:H1682"/>
    <mergeCell ref="A1660:A1665"/>
    <mergeCell ref="C1660:C1665"/>
    <mergeCell ref="F1660:K1660"/>
    <mergeCell ref="M1660:V1660"/>
    <mergeCell ref="F1661:H1662"/>
    <mergeCell ref="L1661:L1665"/>
    <mergeCell ref="T1661:U1662"/>
    <mergeCell ref="F1663:F1664"/>
    <mergeCell ref="G1663:G1664"/>
    <mergeCell ref="H1663:H1664"/>
    <mergeCell ref="H1634:H1635"/>
    <mergeCell ref="A1652:B1652"/>
    <mergeCell ref="C1652:H1652"/>
    <mergeCell ref="AA1657:AB1657"/>
    <mergeCell ref="A1658:AB1658"/>
    <mergeCell ref="A1659:AB1659"/>
    <mergeCell ref="A1630:AB1630"/>
    <mergeCell ref="A1631:A1636"/>
    <mergeCell ref="C1631:C1636"/>
    <mergeCell ref="F1631:K1631"/>
    <mergeCell ref="M1631:V1631"/>
    <mergeCell ref="F1632:H1633"/>
    <mergeCell ref="L1632:L1636"/>
    <mergeCell ref="T1632:U1633"/>
    <mergeCell ref="F1634:F1635"/>
    <mergeCell ref="G1634:G1635"/>
    <mergeCell ref="G1605:G1606"/>
    <mergeCell ref="H1605:H1606"/>
    <mergeCell ref="A1623:B1623"/>
    <mergeCell ref="C1623:H1623"/>
    <mergeCell ref="AA1628:AB1628"/>
    <mergeCell ref="A1629:AB1629"/>
    <mergeCell ref="A1600:AB1600"/>
    <mergeCell ref="A1601:AB1601"/>
    <mergeCell ref="A1602:A1607"/>
    <mergeCell ref="C1602:C1607"/>
    <mergeCell ref="F1602:K1602"/>
    <mergeCell ref="M1602:V1602"/>
    <mergeCell ref="F1603:H1604"/>
    <mergeCell ref="L1603:L1607"/>
    <mergeCell ref="T1603:U1604"/>
    <mergeCell ref="F1605:F1606"/>
    <mergeCell ref="F1576:F1577"/>
    <mergeCell ref="G1576:G1577"/>
    <mergeCell ref="H1576:H1577"/>
    <mergeCell ref="A1594:B1594"/>
    <mergeCell ref="C1594:H1594"/>
    <mergeCell ref="AA1599:AB1599"/>
    <mergeCell ref="AA1570:AB1570"/>
    <mergeCell ref="A1571:AB1571"/>
    <mergeCell ref="A1572:AB1572"/>
    <mergeCell ref="A1573:A1578"/>
    <mergeCell ref="C1573:C1578"/>
    <mergeCell ref="F1573:K1573"/>
    <mergeCell ref="M1573:V1573"/>
    <mergeCell ref="F1574:H1575"/>
    <mergeCell ref="L1574:L1578"/>
    <mergeCell ref="T1574:U1575"/>
    <mergeCell ref="L1545:L1549"/>
    <mergeCell ref="T1545:U1546"/>
    <mergeCell ref="F1547:F1548"/>
    <mergeCell ref="G1547:G1548"/>
    <mergeCell ref="H1547:H1548"/>
    <mergeCell ref="A1565:B1565"/>
    <mergeCell ref="C1565:H1565"/>
    <mergeCell ref="A1536:B1536"/>
    <mergeCell ref="C1536:H1536"/>
    <mergeCell ref="AA1541:AB1541"/>
    <mergeCell ref="A1542:AB1542"/>
    <mergeCell ref="A1543:AB1543"/>
    <mergeCell ref="A1544:A1549"/>
    <mergeCell ref="C1544:C1549"/>
    <mergeCell ref="F1544:K1544"/>
    <mergeCell ref="M1544:V1544"/>
    <mergeCell ref="F1545:H1546"/>
    <mergeCell ref="A1515:A1520"/>
    <mergeCell ref="C1515:C1520"/>
    <mergeCell ref="F1515:K1515"/>
    <mergeCell ref="M1515:V1515"/>
    <mergeCell ref="F1516:H1517"/>
    <mergeCell ref="L1516:L1520"/>
    <mergeCell ref="T1516:U1517"/>
    <mergeCell ref="F1518:F1519"/>
    <mergeCell ref="G1518:G1519"/>
    <mergeCell ref="H1518:H1519"/>
    <mergeCell ref="H1489:H1490"/>
    <mergeCell ref="A1507:B1507"/>
    <mergeCell ref="C1507:H1507"/>
    <mergeCell ref="AA1512:AB1512"/>
    <mergeCell ref="A1513:AB1513"/>
    <mergeCell ref="A1514:AB1514"/>
    <mergeCell ref="A1485:AB1485"/>
    <mergeCell ref="A1486:A1491"/>
    <mergeCell ref="C1486:C1491"/>
    <mergeCell ref="F1486:K1486"/>
    <mergeCell ref="M1486:V1486"/>
    <mergeCell ref="F1487:H1488"/>
    <mergeCell ref="L1487:L1491"/>
    <mergeCell ref="T1487:U1488"/>
    <mergeCell ref="F1489:F1490"/>
    <mergeCell ref="G1489:G1490"/>
    <mergeCell ref="G1460:G1461"/>
    <mergeCell ref="H1460:H1461"/>
    <mergeCell ref="A1478:B1478"/>
    <mergeCell ref="C1478:H1478"/>
    <mergeCell ref="AA1483:AB1483"/>
    <mergeCell ref="A1484:AB1484"/>
    <mergeCell ref="A1455:AB1455"/>
    <mergeCell ref="A1456:AB1456"/>
    <mergeCell ref="A1457:A1462"/>
    <mergeCell ref="C1457:C1462"/>
    <mergeCell ref="F1457:K1457"/>
    <mergeCell ref="M1457:V1457"/>
    <mergeCell ref="F1458:H1459"/>
    <mergeCell ref="L1458:L1462"/>
    <mergeCell ref="T1458:U1459"/>
    <mergeCell ref="F1460:F1461"/>
    <mergeCell ref="F1431:F1432"/>
    <mergeCell ref="G1431:G1432"/>
    <mergeCell ref="H1431:H1432"/>
    <mergeCell ref="A1449:B1449"/>
    <mergeCell ref="C1449:H1449"/>
    <mergeCell ref="AA1454:AB1454"/>
    <mergeCell ref="AA1425:AB1425"/>
    <mergeCell ref="A1426:AB1426"/>
    <mergeCell ref="A1427:AB1427"/>
    <mergeCell ref="A1428:A1433"/>
    <mergeCell ref="C1428:C1433"/>
    <mergeCell ref="F1428:K1428"/>
    <mergeCell ref="M1428:V1428"/>
    <mergeCell ref="F1429:H1430"/>
    <mergeCell ref="L1429:L1433"/>
    <mergeCell ref="T1429:U1430"/>
    <mergeCell ref="L1400:L1404"/>
    <mergeCell ref="T1400:U1401"/>
    <mergeCell ref="F1402:F1403"/>
    <mergeCell ref="G1402:G1403"/>
    <mergeCell ref="H1402:H1403"/>
    <mergeCell ref="A1420:B1420"/>
    <mergeCell ref="C1420:H1420"/>
    <mergeCell ref="A1391:B1391"/>
    <mergeCell ref="C1391:H1391"/>
    <mergeCell ref="AA1396:AB1396"/>
    <mergeCell ref="A1397:AB1397"/>
    <mergeCell ref="A1398:AB1398"/>
    <mergeCell ref="A1399:A1404"/>
    <mergeCell ref="C1399:C1404"/>
    <mergeCell ref="F1399:K1399"/>
    <mergeCell ref="M1399:V1399"/>
    <mergeCell ref="F1400:H1401"/>
    <mergeCell ref="A1370:A1375"/>
    <mergeCell ref="C1370:C1375"/>
    <mergeCell ref="F1370:K1370"/>
    <mergeCell ref="M1370:V1370"/>
    <mergeCell ref="F1371:H1372"/>
    <mergeCell ref="L1371:L1375"/>
    <mergeCell ref="T1371:U1372"/>
    <mergeCell ref="F1373:F1374"/>
    <mergeCell ref="G1373:G1374"/>
    <mergeCell ref="H1373:H1374"/>
    <mergeCell ref="H1344:H1345"/>
    <mergeCell ref="A1362:B1362"/>
    <mergeCell ref="C1362:H1362"/>
    <mergeCell ref="AA1367:AB1367"/>
    <mergeCell ref="A1368:AB1368"/>
    <mergeCell ref="A1369:AB1369"/>
    <mergeCell ref="A1340:AB1340"/>
    <mergeCell ref="A1341:A1346"/>
    <mergeCell ref="C1341:C1346"/>
    <mergeCell ref="F1341:K1341"/>
    <mergeCell ref="M1341:V1341"/>
    <mergeCell ref="F1342:H1343"/>
    <mergeCell ref="L1342:L1346"/>
    <mergeCell ref="T1342:U1343"/>
    <mergeCell ref="F1344:F1345"/>
    <mergeCell ref="G1344:G1345"/>
    <mergeCell ref="G1315:G1316"/>
    <mergeCell ref="H1315:H1316"/>
    <mergeCell ref="A1333:B1333"/>
    <mergeCell ref="C1333:H1333"/>
    <mergeCell ref="AA1338:AB1338"/>
    <mergeCell ref="A1339:AB1339"/>
    <mergeCell ref="A1310:AB1310"/>
    <mergeCell ref="A1311:AB1311"/>
    <mergeCell ref="A1312:A1317"/>
    <mergeCell ref="C1312:C1317"/>
    <mergeCell ref="F1312:K1312"/>
    <mergeCell ref="M1312:V1312"/>
    <mergeCell ref="F1313:H1314"/>
    <mergeCell ref="L1313:L1317"/>
    <mergeCell ref="T1313:U1314"/>
    <mergeCell ref="F1315:F1316"/>
    <mergeCell ref="F1286:F1287"/>
    <mergeCell ref="G1286:G1287"/>
    <mergeCell ref="H1286:H1287"/>
    <mergeCell ref="A1304:B1304"/>
    <mergeCell ref="C1304:H1304"/>
    <mergeCell ref="AA1309:AB1309"/>
    <mergeCell ref="AA1280:AB1280"/>
    <mergeCell ref="A1281:AB1281"/>
    <mergeCell ref="A1282:AB1282"/>
    <mergeCell ref="A1283:A1288"/>
    <mergeCell ref="C1283:C1288"/>
    <mergeCell ref="F1283:K1283"/>
    <mergeCell ref="M1283:V1283"/>
    <mergeCell ref="F1284:H1285"/>
    <mergeCell ref="L1284:L1288"/>
    <mergeCell ref="T1284:U1285"/>
    <mergeCell ref="L1255:L1259"/>
    <mergeCell ref="T1255:U1256"/>
    <mergeCell ref="F1257:F1258"/>
    <mergeCell ref="G1257:G1258"/>
    <mergeCell ref="H1257:H1258"/>
    <mergeCell ref="A1275:B1275"/>
    <mergeCell ref="C1275:H1275"/>
    <mergeCell ref="A1246:B1246"/>
    <mergeCell ref="C1246:H1246"/>
    <mergeCell ref="AA1251:AB1251"/>
    <mergeCell ref="A1252:AB1252"/>
    <mergeCell ref="A1253:AB1253"/>
    <mergeCell ref="A1254:A1259"/>
    <mergeCell ref="C1254:C1259"/>
    <mergeCell ref="F1254:K1254"/>
    <mergeCell ref="M1254:V1254"/>
    <mergeCell ref="F1255:H1256"/>
    <mergeCell ref="A1225:A1230"/>
    <mergeCell ref="C1225:C1230"/>
    <mergeCell ref="F1225:K1225"/>
    <mergeCell ref="M1225:V1225"/>
    <mergeCell ref="F1226:H1227"/>
    <mergeCell ref="L1226:L1230"/>
    <mergeCell ref="T1226:U1227"/>
    <mergeCell ref="F1228:F1229"/>
    <mergeCell ref="G1228:G1229"/>
    <mergeCell ref="H1228:H1229"/>
    <mergeCell ref="H1199:H1200"/>
    <mergeCell ref="A1217:B1217"/>
    <mergeCell ref="C1217:H1217"/>
    <mergeCell ref="AA1222:AB1222"/>
    <mergeCell ref="A1223:AB1223"/>
    <mergeCell ref="A1224:AB1224"/>
    <mergeCell ref="A1195:AB1195"/>
    <mergeCell ref="A1196:A1201"/>
    <mergeCell ref="C1196:C1201"/>
    <mergeCell ref="F1196:K1196"/>
    <mergeCell ref="M1196:V1196"/>
    <mergeCell ref="F1197:H1198"/>
    <mergeCell ref="L1197:L1201"/>
    <mergeCell ref="T1197:U1198"/>
    <mergeCell ref="F1199:F1200"/>
    <mergeCell ref="G1199:G1200"/>
    <mergeCell ref="G1170:G1171"/>
    <mergeCell ref="H1170:H1171"/>
    <mergeCell ref="A1188:B1188"/>
    <mergeCell ref="C1188:H1188"/>
    <mergeCell ref="AA1193:AB1193"/>
    <mergeCell ref="A1194:AB1194"/>
    <mergeCell ref="A1165:AB1165"/>
    <mergeCell ref="A1166:AB1166"/>
    <mergeCell ref="A1167:A1172"/>
    <mergeCell ref="C1167:C1172"/>
    <mergeCell ref="F1167:K1167"/>
    <mergeCell ref="M1167:V1167"/>
    <mergeCell ref="F1168:H1169"/>
    <mergeCell ref="L1168:L1172"/>
    <mergeCell ref="T1168:U1169"/>
    <mergeCell ref="F1170:F1171"/>
    <mergeCell ref="F1141:F1142"/>
    <mergeCell ref="G1141:G1142"/>
    <mergeCell ref="H1141:H1142"/>
    <mergeCell ref="A1159:B1159"/>
    <mergeCell ref="C1159:H1159"/>
    <mergeCell ref="AA1164:AB1164"/>
    <mergeCell ref="AA1135:AB1135"/>
    <mergeCell ref="A1136:AB1136"/>
    <mergeCell ref="A1137:AB1137"/>
    <mergeCell ref="A1138:A1143"/>
    <mergeCell ref="C1138:C1143"/>
    <mergeCell ref="F1138:K1138"/>
    <mergeCell ref="M1138:V1138"/>
    <mergeCell ref="F1139:H1140"/>
    <mergeCell ref="L1139:L1143"/>
    <mergeCell ref="T1139:U1140"/>
    <mergeCell ref="L1110:L1114"/>
    <mergeCell ref="T1110:U1111"/>
    <mergeCell ref="F1112:F1113"/>
    <mergeCell ref="G1112:G1113"/>
    <mergeCell ref="H1112:H1113"/>
    <mergeCell ref="A1130:B1130"/>
    <mergeCell ref="C1130:H1130"/>
    <mergeCell ref="A1101:B1101"/>
    <mergeCell ref="C1101:H1101"/>
    <mergeCell ref="AA1106:AB1106"/>
    <mergeCell ref="A1107:AB1107"/>
    <mergeCell ref="A1108:AB1108"/>
    <mergeCell ref="A1109:A1114"/>
    <mergeCell ref="C1109:C1114"/>
    <mergeCell ref="F1109:K1109"/>
    <mergeCell ref="M1109:V1109"/>
    <mergeCell ref="F1110:H1111"/>
    <mergeCell ref="A1080:A1085"/>
    <mergeCell ref="C1080:C1085"/>
    <mergeCell ref="F1080:K1080"/>
    <mergeCell ref="M1080:V1080"/>
    <mergeCell ref="F1081:H1082"/>
    <mergeCell ref="L1081:L1085"/>
    <mergeCell ref="T1081:U1082"/>
    <mergeCell ref="F1083:F1084"/>
    <mergeCell ref="G1083:G1084"/>
    <mergeCell ref="H1083:H1084"/>
    <mergeCell ref="AA1077:AB1077"/>
    <mergeCell ref="A1078:AB1078"/>
    <mergeCell ref="A1079:AB1079"/>
    <mergeCell ref="G1054:G1055"/>
    <mergeCell ref="H1054:H1055"/>
    <mergeCell ref="A1072:B1072"/>
    <mergeCell ref="C1072:H1072"/>
    <mergeCell ref="A1049:AB1049"/>
    <mergeCell ref="A1050:AB1050"/>
    <mergeCell ref="A1051:A1056"/>
    <mergeCell ref="C1051:C1056"/>
    <mergeCell ref="F1051:K1051"/>
    <mergeCell ref="M1051:V1051"/>
    <mergeCell ref="F1052:H1053"/>
    <mergeCell ref="L1052:L1056"/>
    <mergeCell ref="T1052:U1053"/>
    <mergeCell ref="F1054:F1055"/>
    <mergeCell ref="F1025:F1026"/>
    <mergeCell ref="G1025:G1026"/>
    <mergeCell ref="H1025:H1026"/>
    <mergeCell ref="A1043:B1043"/>
    <mergeCell ref="C1043:H1043"/>
    <mergeCell ref="AA1048:AB1048"/>
    <mergeCell ref="AA1019:AB1019"/>
    <mergeCell ref="A1020:AB1020"/>
    <mergeCell ref="A1021:AB1021"/>
    <mergeCell ref="A1022:A1027"/>
    <mergeCell ref="C1022:C1027"/>
    <mergeCell ref="F1022:K1022"/>
    <mergeCell ref="M1022:V1022"/>
    <mergeCell ref="F1023:H1024"/>
    <mergeCell ref="L1023:L1027"/>
    <mergeCell ref="T1023:U1024"/>
    <mergeCell ref="L994:L998"/>
    <mergeCell ref="T994:U995"/>
    <mergeCell ref="F996:F997"/>
    <mergeCell ref="G996:G997"/>
    <mergeCell ref="H996:H997"/>
    <mergeCell ref="A1014:B1014"/>
    <mergeCell ref="C1014:H1014"/>
    <mergeCell ref="A985:B985"/>
    <mergeCell ref="C985:H985"/>
    <mergeCell ref="AA990:AB990"/>
    <mergeCell ref="A991:AB991"/>
    <mergeCell ref="A992:AB992"/>
    <mergeCell ref="A993:A998"/>
    <mergeCell ref="C993:C998"/>
    <mergeCell ref="F993:K993"/>
    <mergeCell ref="M993:V993"/>
    <mergeCell ref="F994:H995"/>
    <mergeCell ref="A964:A969"/>
    <mergeCell ref="C964:C969"/>
    <mergeCell ref="F964:K964"/>
    <mergeCell ref="M964:V964"/>
    <mergeCell ref="F965:H966"/>
    <mergeCell ref="L965:L969"/>
    <mergeCell ref="T965:U966"/>
    <mergeCell ref="F967:F968"/>
    <mergeCell ref="G967:G968"/>
    <mergeCell ref="H967:H968"/>
    <mergeCell ref="H938:H939"/>
    <mergeCell ref="A956:B956"/>
    <mergeCell ref="C956:H956"/>
    <mergeCell ref="AA961:AB961"/>
    <mergeCell ref="A962:AB962"/>
    <mergeCell ref="A963:AB963"/>
    <mergeCell ref="A934:AB934"/>
    <mergeCell ref="A935:A940"/>
    <mergeCell ref="C935:C940"/>
    <mergeCell ref="F935:K935"/>
    <mergeCell ref="M935:V935"/>
    <mergeCell ref="F936:H937"/>
    <mergeCell ref="L936:L940"/>
    <mergeCell ref="T936:U937"/>
    <mergeCell ref="F938:F939"/>
    <mergeCell ref="G938:G939"/>
    <mergeCell ref="G909:G910"/>
    <mergeCell ref="H909:H910"/>
    <mergeCell ref="A927:B927"/>
    <mergeCell ref="C927:H927"/>
    <mergeCell ref="AA932:AB932"/>
    <mergeCell ref="A933:AB933"/>
    <mergeCell ref="A904:AB904"/>
    <mergeCell ref="A905:AB905"/>
    <mergeCell ref="A906:A911"/>
    <mergeCell ref="C906:C911"/>
    <mergeCell ref="F906:K906"/>
    <mergeCell ref="M906:V906"/>
    <mergeCell ref="F907:H908"/>
    <mergeCell ref="L907:L911"/>
    <mergeCell ref="T907:U908"/>
    <mergeCell ref="F909:F910"/>
    <mergeCell ref="F880:F881"/>
    <mergeCell ref="G880:G881"/>
    <mergeCell ref="H880:H881"/>
    <mergeCell ref="A898:B898"/>
    <mergeCell ref="C898:H898"/>
    <mergeCell ref="AA903:AB903"/>
    <mergeCell ref="AA874:AB874"/>
    <mergeCell ref="A875:AB875"/>
    <mergeCell ref="A876:AB876"/>
    <mergeCell ref="A877:A882"/>
    <mergeCell ref="C877:C882"/>
    <mergeCell ref="F877:K877"/>
    <mergeCell ref="M877:V877"/>
    <mergeCell ref="F878:H879"/>
    <mergeCell ref="L878:L882"/>
    <mergeCell ref="T878:U879"/>
    <mergeCell ref="L849:L853"/>
    <mergeCell ref="T849:U850"/>
    <mergeCell ref="F851:F852"/>
    <mergeCell ref="G851:G852"/>
    <mergeCell ref="H851:H852"/>
    <mergeCell ref="A869:B869"/>
    <mergeCell ref="C869:H869"/>
    <mergeCell ref="A840:B840"/>
    <mergeCell ref="C840:H840"/>
    <mergeCell ref="AA845:AB845"/>
    <mergeCell ref="A846:AB846"/>
    <mergeCell ref="A847:AB847"/>
    <mergeCell ref="A848:A853"/>
    <mergeCell ref="C848:C853"/>
    <mergeCell ref="F848:K848"/>
    <mergeCell ref="M848:V848"/>
    <mergeCell ref="F849:H850"/>
    <mergeCell ref="A819:A824"/>
    <mergeCell ref="C819:C824"/>
    <mergeCell ref="F819:K819"/>
    <mergeCell ref="M819:V819"/>
    <mergeCell ref="F820:H821"/>
    <mergeCell ref="L820:L824"/>
    <mergeCell ref="T820:U821"/>
    <mergeCell ref="F822:F823"/>
    <mergeCell ref="G822:G823"/>
    <mergeCell ref="H822:H823"/>
    <mergeCell ref="H793:H794"/>
    <mergeCell ref="A811:B811"/>
    <mergeCell ref="C811:H811"/>
    <mergeCell ref="AA816:AB816"/>
    <mergeCell ref="A817:AB817"/>
    <mergeCell ref="A818:AB818"/>
    <mergeCell ref="A789:AB789"/>
    <mergeCell ref="A790:A795"/>
    <mergeCell ref="C790:C795"/>
    <mergeCell ref="F790:K790"/>
    <mergeCell ref="M790:V790"/>
    <mergeCell ref="F791:H792"/>
    <mergeCell ref="L791:L795"/>
    <mergeCell ref="T791:U792"/>
    <mergeCell ref="F793:F794"/>
    <mergeCell ref="G793:G794"/>
    <mergeCell ref="G764:G765"/>
    <mergeCell ref="H764:H765"/>
    <mergeCell ref="A782:B782"/>
    <mergeCell ref="C782:H782"/>
    <mergeCell ref="AA787:AB787"/>
    <mergeCell ref="A788:AB788"/>
    <mergeCell ref="A759:AB759"/>
    <mergeCell ref="A760:AB760"/>
    <mergeCell ref="A761:A766"/>
    <mergeCell ref="C761:C766"/>
    <mergeCell ref="F761:K761"/>
    <mergeCell ref="M761:V761"/>
    <mergeCell ref="F762:H763"/>
    <mergeCell ref="L762:L766"/>
    <mergeCell ref="T762:U763"/>
    <mergeCell ref="F764:F765"/>
    <mergeCell ref="F735:F736"/>
    <mergeCell ref="G735:G736"/>
    <mergeCell ref="H735:H736"/>
    <mergeCell ref="A753:B753"/>
    <mergeCell ref="C753:H753"/>
    <mergeCell ref="AA758:AB758"/>
    <mergeCell ref="AA729:AB729"/>
    <mergeCell ref="A730:AB730"/>
    <mergeCell ref="A731:AB731"/>
    <mergeCell ref="A732:A737"/>
    <mergeCell ref="C732:C737"/>
    <mergeCell ref="F732:K732"/>
    <mergeCell ref="M732:V732"/>
    <mergeCell ref="F733:H734"/>
    <mergeCell ref="L733:L737"/>
    <mergeCell ref="T733:U734"/>
    <mergeCell ref="L704:L708"/>
    <mergeCell ref="T704:U705"/>
    <mergeCell ref="F706:F707"/>
    <mergeCell ref="G706:G707"/>
    <mergeCell ref="H706:H707"/>
    <mergeCell ref="A724:B724"/>
    <mergeCell ref="C724:H724"/>
    <mergeCell ref="A695:B695"/>
    <mergeCell ref="C695:H695"/>
    <mergeCell ref="AA700:AB700"/>
    <mergeCell ref="A701:AB701"/>
    <mergeCell ref="A702:AB702"/>
    <mergeCell ref="A703:A708"/>
    <mergeCell ref="C703:C708"/>
    <mergeCell ref="F703:K703"/>
    <mergeCell ref="M703:V703"/>
    <mergeCell ref="F704:H705"/>
    <mergeCell ref="A674:A679"/>
    <mergeCell ref="C674:C679"/>
    <mergeCell ref="F674:K674"/>
    <mergeCell ref="M674:V674"/>
    <mergeCell ref="F675:H676"/>
    <mergeCell ref="L675:L679"/>
    <mergeCell ref="T675:U676"/>
    <mergeCell ref="F677:F678"/>
    <mergeCell ref="G677:G678"/>
    <mergeCell ref="H677:H678"/>
    <mergeCell ref="H648:H649"/>
    <mergeCell ref="A666:B666"/>
    <mergeCell ref="C666:H666"/>
    <mergeCell ref="AA671:AB671"/>
    <mergeCell ref="A672:AB672"/>
    <mergeCell ref="A673:AB673"/>
    <mergeCell ref="A644:AB644"/>
    <mergeCell ref="A645:A650"/>
    <mergeCell ref="C645:C650"/>
    <mergeCell ref="F645:K645"/>
    <mergeCell ref="M645:V645"/>
    <mergeCell ref="F646:H647"/>
    <mergeCell ref="L646:L650"/>
    <mergeCell ref="T646:U647"/>
    <mergeCell ref="F648:F649"/>
    <mergeCell ref="G648:G649"/>
    <mergeCell ref="G619:G620"/>
    <mergeCell ref="H619:H620"/>
    <mergeCell ref="A637:B637"/>
    <mergeCell ref="C637:H637"/>
    <mergeCell ref="AA642:AB642"/>
    <mergeCell ref="A643:AB643"/>
    <mergeCell ref="A614:AB614"/>
    <mergeCell ref="A615:AB615"/>
    <mergeCell ref="A616:A621"/>
    <mergeCell ref="C616:C621"/>
    <mergeCell ref="F616:K616"/>
    <mergeCell ref="M616:V616"/>
    <mergeCell ref="F617:H618"/>
    <mergeCell ref="L617:L621"/>
    <mergeCell ref="T617:U618"/>
    <mergeCell ref="F619:F620"/>
    <mergeCell ref="F590:F591"/>
    <mergeCell ref="G590:G591"/>
    <mergeCell ref="H590:H591"/>
    <mergeCell ref="A608:B608"/>
    <mergeCell ref="C608:H608"/>
    <mergeCell ref="AA613:AB613"/>
    <mergeCell ref="AA584:AB584"/>
    <mergeCell ref="A585:AB585"/>
    <mergeCell ref="A586:AB586"/>
    <mergeCell ref="A587:A592"/>
    <mergeCell ref="C587:C592"/>
    <mergeCell ref="F587:K587"/>
    <mergeCell ref="M587:V587"/>
    <mergeCell ref="F588:H589"/>
    <mergeCell ref="L588:L592"/>
    <mergeCell ref="T588:U589"/>
    <mergeCell ref="L559:L563"/>
    <mergeCell ref="T559:U560"/>
    <mergeCell ref="F561:F562"/>
    <mergeCell ref="G561:G562"/>
    <mergeCell ref="H561:H562"/>
    <mergeCell ref="A579:B579"/>
    <mergeCell ref="C579:H579"/>
    <mergeCell ref="A550:B550"/>
    <mergeCell ref="C550:H550"/>
    <mergeCell ref="AA555:AB555"/>
    <mergeCell ref="A556:AB556"/>
    <mergeCell ref="A557:AB557"/>
    <mergeCell ref="A558:A563"/>
    <mergeCell ref="C558:C563"/>
    <mergeCell ref="F558:K558"/>
    <mergeCell ref="M558:V558"/>
    <mergeCell ref="F559:H560"/>
    <mergeCell ref="A529:A534"/>
    <mergeCell ref="C529:C534"/>
    <mergeCell ref="F529:K529"/>
    <mergeCell ref="M529:V529"/>
    <mergeCell ref="F530:H531"/>
    <mergeCell ref="L530:L534"/>
    <mergeCell ref="T530:U531"/>
    <mergeCell ref="F532:F533"/>
    <mergeCell ref="G532:G533"/>
    <mergeCell ref="H532:H533"/>
    <mergeCell ref="H503:H504"/>
    <mergeCell ref="A521:B521"/>
    <mergeCell ref="C521:H521"/>
    <mergeCell ref="AA526:AB526"/>
    <mergeCell ref="A527:AB527"/>
    <mergeCell ref="A528:AB528"/>
    <mergeCell ref="A499:AB499"/>
    <mergeCell ref="A500:A505"/>
    <mergeCell ref="C500:C505"/>
    <mergeCell ref="F500:K500"/>
    <mergeCell ref="M500:V500"/>
    <mergeCell ref="F501:H502"/>
    <mergeCell ref="L501:L505"/>
    <mergeCell ref="T501:U502"/>
    <mergeCell ref="F503:F504"/>
    <mergeCell ref="G503:G504"/>
    <mergeCell ref="G474:G475"/>
    <mergeCell ref="H474:H475"/>
    <mergeCell ref="A492:B492"/>
    <mergeCell ref="C492:H492"/>
    <mergeCell ref="AA497:AB497"/>
    <mergeCell ref="A498:AB498"/>
    <mergeCell ref="A469:AB469"/>
    <mergeCell ref="A470:AB470"/>
    <mergeCell ref="A471:A476"/>
    <mergeCell ref="C471:C476"/>
    <mergeCell ref="F471:K471"/>
    <mergeCell ref="M471:V471"/>
    <mergeCell ref="F472:H473"/>
    <mergeCell ref="L472:L476"/>
    <mergeCell ref="T472:U473"/>
    <mergeCell ref="F474:F475"/>
    <mergeCell ref="F445:F446"/>
    <mergeCell ref="G445:G446"/>
    <mergeCell ref="H445:H446"/>
    <mergeCell ref="A463:B463"/>
    <mergeCell ref="C463:H463"/>
    <mergeCell ref="AA468:AB468"/>
    <mergeCell ref="AA439:AB439"/>
    <mergeCell ref="A440:AB440"/>
    <mergeCell ref="A441:AB441"/>
    <mergeCell ref="A442:A447"/>
    <mergeCell ref="C442:C447"/>
    <mergeCell ref="F442:K442"/>
    <mergeCell ref="M442:V442"/>
    <mergeCell ref="F443:H444"/>
    <mergeCell ref="L443:L447"/>
    <mergeCell ref="T443:U444"/>
    <mergeCell ref="L414:L418"/>
    <mergeCell ref="T414:U415"/>
    <mergeCell ref="F416:F417"/>
    <mergeCell ref="G416:G417"/>
    <mergeCell ref="H416:H417"/>
    <mergeCell ref="A434:B434"/>
    <mergeCell ref="C434:H434"/>
    <mergeCell ref="A405:B405"/>
    <mergeCell ref="C405:H405"/>
    <mergeCell ref="AA410:AB410"/>
    <mergeCell ref="A411:AB411"/>
    <mergeCell ref="A412:AB412"/>
    <mergeCell ref="A413:A418"/>
    <mergeCell ref="C413:C418"/>
    <mergeCell ref="F413:K413"/>
    <mergeCell ref="M413:V413"/>
    <mergeCell ref="F414:H415"/>
    <mergeCell ref="A384:A389"/>
    <mergeCell ref="C384:C389"/>
    <mergeCell ref="F384:K384"/>
    <mergeCell ref="M384:V384"/>
    <mergeCell ref="F385:H386"/>
    <mergeCell ref="L385:L389"/>
    <mergeCell ref="T385:U386"/>
    <mergeCell ref="F387:F388"/>
    <mergeCell ref="G387:G388"/>
    <mergeCell ref="H387:H388"/>
    <mergeCell ref="H358:H359"/>
    <mergeCell ref="A376:B376"/>
    <mergeCell ref="C376:H376"/>
    <mergeCell ref="AA381:AB381"/>
    <mergeCell ref="A382:AB382"/>
    <mergeCell ref="A383:AB383"/>
    <mergeCell ref="A354:AB354"/>
    <mergeCell ref="A355:A360"/>
    <mergeCell ref="C355:C360"/>
    <mergeCell ref="F355:K355"/>
    <mergeCell ref="M355:V355"/>
    <mergeCell ref="F356:H357"/>
    <mergeCell ref="L356:L360"/>
    <mergeCell ref="T356:U357"/>
    <mergeCell ref="F358:F359"/>
    <mergeCell ref="G358:G359"/>
    <mergeCell ref="G329:G330"/>
    <mergeCell ref="H329:H330"/>
    <mergeCell ref="A347:B347"/>
    <mergeCell ref="C347:H347"/>
    <mergeCell ref="AA352:AB352"/>
    <mergeCell ref="A353:AB353"/>
    <mergeCell ref="A324:AB324"/>
    <mergeCell ref="A325:AB325"/>
    <mergeCell ref="A326:A331"/>
    <mergeCell ref="C326:C331"/>
    <mergeCell ref="F326:K326"/>
    <mergeCell ref="M326:V326"/>
    <mergeCell ref="F327:H328"/>
    <mergeCell ref="L327:L331"/>
    <mergeCell ref="T327:U328"/>
    <mergeCell ref="F329:F330"/>
    <mergeCell ref="F300:F301"/>
    <mergeCell ref="G300:G301"/>
    <mergeCell ref="H300:H301"/>
    <mergeCell ref="A318:B318"/>
    <mergeCell ref="C318:H318"/>
    <mergeCell ref="AA323:AB323"/>
    <mergeCell ref="AA294:AB294"/>
    <mergeCell ref="A295:AB295"/>
    <mergeCell ref="A296:AB296"/>
    <mergeCell ref="A297:A302"/>
    <mergeCell ref="C297:C302"/>
    <mergeCell ref="F297:K297"/>
    <mergeCell ref="M297:V297"/>
    <mergeCell ref="F298:H299"/>
    <mergeCell ref="L298:L302"/>
    <mergeCell ref="T298:U299"/>
    <mergeCell ref="L269:L273"/>
    <mergeCell ref="T269:U270"/>
    <mergeCell ref="F271:F272"/>
    <mergeCell ref="G271:G272"/>
    <mergeCell ref="H271:H272"/>
    <mergeCell ref="A289:B289"/>
    <mergeCell ref="C289:H289"/>
    <mergeCell ref="A260:B260"/>
    <mergeCell ref="C260:H260"/>
    <mergeCell ref="AA265:AB265"/>
    <mergeCell ref="A266:AB266"/>
    <mergeCell ref="A267:AB267"/>
    <mergeCell ref="A268:A273"/>
    <mergeCell ref="C268:C273"/>
    <mergeCell ref="F268:K268"/>
    <mergeCell ref="M268:V268"/>
    <mergeCell ref="F269:H270"/>
    <mergeCell ref="A239:A244"/>
    <mergeCell ref="C239:C244"/>
    <mergeCell ref="F239:K239"/>
    <mergeCell ref="M239:V239"/>
    <mergeCell ref="F240:H241"/>
    <mergeCell ref="L240:L244"/>
    <mergeCell ref="T240:U241"/>
    <mergeCell ref="F242:F243"/>
    <mergeCell ref="G242:G243"/>
    <mergeCell ref="H242:H243"/>
    <mergeCell ref="L153:L157"/>
    <mergeCell ref="T153:U154"/>
    <mergeCell ref="H213:H214"/>
    <mergeCell ref="A231:B231"/>
    <mergeCell ref="C231:H231"/>
    <mergeCell ref="AA236:AB236"/>
    <mergeCell ref="A237:AB237"/>
    <mergeCell ref="A238:AB238"/>
    <mergeCell ref="A209:AB209"/>
    <mergeCell ref="A210:A215"/>
    <mergeCell ref="C210:C215"/>
    <mergeCell ref="F210:K210"/>
    <mergeCell ref="M210:V210"/>
    <mergeCell ref="F211:H212"/>
    <mergeCell ref="L211:L215"/>
    <mergeCell ref="T211:U212"/>
    <mergeCell ref="F213:F214"/>
    <mergeCell ref="G213:G214"/>
    <mergeCell ref="G184:G185"/>
    <mergeCell ref="H184:H185"/>
    <mergeCell ref="A202:B202"/>
    <mergeCell ref="C202:H202"/>
    <mergeCell ref="AA207:AB207"/>
    <mergeCell ref="A208:AB208"/>
    <mergeCell ref="AA120:AB120"/>
    <mergeCell ref="A121:AB121"/>
    <mergeCell ref="A122:AB122"/>
    <mergeCell ref="A123:A128"/>
    <mergeCell ref="C123:C128"/>
    <mergeCell ref="F123:K123"/>
    <mergeCell ref="M123:V123"/>
    <mergeCell ref="F124:H125"/>
    <mergeCell ref="A179:AB179"/>
    <mergeCell ref="A180:AB180"/>
    <mergeCell ref="A181:A186"/>
    <mergeCell ref="C181:C186"/>
    <mergeCell ref="F181:K181"/>
    <mergeCell ref="M181:V181"/>
    <mergeCell ref="F182:H183"/>
    <mergeCell ref="L182:L186"/>
    <mergeCell ref="T182:U183"/>
    <mergeCell ref="F184:F185"/>
    <mergeCell ref="F155:F156"/>
    <mergeCell ref="G155:G156"/>
    <mergeCell ref="H155:H156"/>
    <mergeCell ref="A173:B173"/>
    <mergeCell ref="C173:H173"/>
    <mergeCell ref="AA178:AB178"/>
    <mergeCell ref="AA149:AB149"/>
    <mergeCell ref="A150:AB150"/>
    <mergeCell ref="A151:AB151"/>
    <mergeCell ref="A152:A157"/>
    <mergeCell ref="C152:C157"/>
    <mergeCell ref="F152:K152"/>
    <mergeCell ref="M152:V152"/>
    <mergeCell ref="F153:H154"/>
    <mergeCell ref="A62:A67"/>
    <mergeCell ref="C62:C67"/>
    <mergeCell ref="F62:K62"/>
    <mergeCell ref="M62:V62"/>
    <mergeCell ref="F63:H64"/>
    <mergeCell ref="L63:L67"/>
    <mergeCell ref="T63:U64"/>
    <mergeCell ref="F65:F66"/>
    <mergeCell ref="G65:G66"/>
    <mergeCell ref="L124:L128"/>
    <mergeCell ref="T124:U125"/>
    <mergeCell ref="F126:F127"/>
    <mergeCell ref="G126:G127"/>
    <mergeCell ref="H126:H127"/>
    <mergeCell ref="A144:B144"/>
    <mergeCell ref="C144:H144"/>
    <mergeCell ref="A115:B115"/>
    <mergeCell ref="C115:H115"/>
    <mergeCell ref="A33:AB33"/>
    <mergeCell ref="A34:A39"/>
    <mergeCell ref="C34:C39"/>
    <mergeCell ref="F34:K34"/>
    <mergeCell ref="M34:V34"/>
    <mergeCell ref="F35:H36"/>
    <mergeCell ref="L35:L39"/>
    <mergeCell ref="T35:U36"/>
    <mergeCell ref="F37:F38"/>
    <mergeCell ref="F7:F8"/>
    <mergeCell ref="G7:G8"/>
    <mergeCell ref="H7:H8"/>
    <mergeCell ref="A25:B25"/>
    <mergeCell ref="C25:H25"/>
    <mergeCell ref="AA31:AB31"/>
    <mergeCell ref="A91:A96"/>
    <mergeCell ref="C91:C96"/>
    <mergeCell ref="F91:K91"/>
    <mergeCell ref="M91:V91"/>
    <mergeCell ref="F92:H93"/>
    <mergeCell ref="L92:L96"/>
    <mergeCell ref="T92:U93"/>
    <mergeCell ref="F94:F95"/>
    <mergeCell ref="G94:G95"/>
    <mergeCell ref="H94:H95"/>
    <mergeCell ref="H65:H66"/>
    <mergeCell ref="A83:B83"/>
    <mergeCell ref="C83:H83"/>
    <mergeCell ref="AA88:AB88"/>
    <mergeCell ref="A89:AB89"/>
    <mergeCell ref="A90:AB90"/>
    <mergeCell ref="A61:AB61"/>
    <mergeCell ref="A3508:B3508"/>
    <mergeCell ref="C3508:H3508"/>
    <mergeCell ref="AA1:AB1"/>
    <mergeCell ref="A2:AB2"/>
    <mergeCell ref="A3:AB3"/>
    <mergeCell ref="A4:A9"/>
    <mergeCell ref="C4:C9"/>
    <mergeCell ref="F4:K4"/>
    <mergeCell ref="M4:V4"/>
    <mergeCell ref="F5:H6"/>
    <mergeCell ref="L5:L9"/>
    <mergeCell ref="T5:U6"/>
    <mergeCell ref="AA3486:AB3486"/>
    <mergeCell ref="A3487:AB3487"/>
    <mergeCell ref="A3488:AB3488"/>
    <mergeCell ref="A3489:A3494"/>
    <mergeCell ref="C3489:C3494"/>
    <mergeCell ref="F3489:K3489"/>
    <mergeCell ref="M3489:V3489"/>
    <mergeCell ref="F3490:H3491"/>
    <mergeCell ref="L3490:L3494"/>
    <mergeCell ref="T3490:U3491"/>
    <mergeCell ref="F3492:F3493"/>
    <mergeCell ref="G3492:G3493"/>
    <mergeCell ref="H3492:H3493"/>
    <mergeCell ref="G37:G38"/>
    <mergeCell ref="H37:H38"/>
    <mergeCell ref="A54:B54"/>
    <mergeCell ref="C54:H54"/>
    <mergeCell ref="AA59:AB59"/>
    <mergeCell ref="A60:AB60"/>
    <mergeCell ref="A32:AB32"/>
  </mergeCells>
  <phoneticPr fontId="14" type="noConversion"/>
  <pageMargins left="3.937007874015748E-2" right="3.937007874015748E-2" top="0.43307086614173229" bottom="0.35433070866141736" header="0.31496062992125984" footer="0.31496062992125984"/>
  <pageSetup paperSize="9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G1134"/>
  <sheetViews>
    <sheetView view="pageBreakPreview" topLeftCell="E1" zoomScale="90" zoomScaleNormal="95" zoomScaleSheetLayoutView="90" workbookViewId="0">
      <selection activeCell="AG15" sqref="AG15"/>
    </sheetView>
  </sheetViews>
  <sheetFormatPr defaultColWidth="9" defaultRowHeight="18" customHeight="1" x14ac:dyDescent="0.2"/>
  <cols>
    <col min="1" max="1" width="3.125" style="453" customWidth="1"/>
    <col min="2" max="2" width="4.625" style="433" customWidth="1"/>
    <col min="3" max="3" width="4.625" style="433" bestFit="1" customWidth="1"/>
    <col min="4" max="7" width="3.25" style="433" customWidth="1"/>
    <col min="8" max="8" width="4.875" style="433" bestFit="1" customWidth="1"/>
    <col min="9" max="9" width="7.25" style="433" customWidth="1"/>
    <col min="10" max="10" width="6.875" style="433" customWidth="1"/>
    <col min="11" max="11" width="10.75" style="433" customWidth="1"/>
    <col min="12" max="12" width="3.25" style="433" customWidth="1"/>
    <col min="13" max="13" width="5.75" style="433" customWidth="1"/>
    <col min="14" max="14" width="4.75" style="433" customWidth="1"/>
    <col min="15" max="15" width="3" style="433" customWidth="1"/>
    <col min="16" max="16" width="6.625" style="433" bestFit="1" customWidth="1"/>
    <col min="17" max="17" width="4.625" style="433" customWidth="1"/>
    <col min="18" max="18" width="5.375" style="433" bestFit="1" customWidth="1"/>
    <col min="19" max="19" width="9.625" style="433" bestFit="1" customWidth="1"/>
    <col min="20" max="20" width="3.75" style="607" customWidth="1"/>
    <col min="21" max="21" width="8.5" style="434" customWidth="1"/>
    <col min="22" max="22" width="8.75" style="433" customWidth="1"/>
    <col min="23" max="24" width="11.125" style="433" customWidth="1"/>
    <col min="25" max="25" width="7.75" style="433" customWidth="1"/>
    <col min="26" max="26" width="10.625" style="433" customWidth="1"/>
    <col min="27" max="27" width="5.25" style="433" customWidth="1"/>
    <col min="28" max="28" width="6.625" style="434" customWidth="1"/>
    <col min="29" max="30" width="4.25" style="433" hidden="1" customWidth="1"/>
    <col min="31" max="31" width="5" style="433" hidden="1" customWidth="1"/>
    <col min="32" max="32" width="0.375" style="433" hidden="1" customWidth="1"/>
    <col min="33" max="16384" width="9" style="433"/>
  </cols>
  <sheetData>
    <row r="1" spans="1:32" s="457" customFormat="1" ht="18" customHeight="1" x14ac:dyDescent="0.2">
      <c r="A1" s="456"/>
      <c r="B1" s="455"/>
      <c r="C1" s="455"/>
      <c r="D1" s="455"/>
      <c r="E1" s="455"/>
      <c r="F1" s="455"/>
      <c r="G1" s="455"/>
      <c r="H1" s="455"/>
      <c r="I1" s="455"/>
      <c r="J1" s="455"/>
      <c r="K1" s="455"/>
      <c r="L1" s="455"/>
      <c r="M1" s="455"/>
      <c r="N1" s="455"/>
      <c r="O1" s="455"/>
      <c r="P1" s="455"/>
      <c r="Q1" s="455"/>
      <c r="R1" s="455"/>
      <c r="S1" s="455"/>
      <c r="T1" s="608"/>
      <c r="U1" s="609"/>
      <c r="V1" s="455"/>
      <c r="W1" s="455"/>
      <c r="X1" s="455"/>
      <c r="Y1" s="455"/>
      <c r="Z1" s="455"/>
      <c r="AA1" s="2705" t="s">
        <v>0</v>
      </c>
      <c r="AB1" s="2705"/>
      <c r="AC1" s="455"/>
      <c r="AD1" s="455"/>
      <c r="AE1" s="455"/>
      <c r="AF1" s="455"/>
    </row>
    <row r="2" spans="1:32" s="457" customFormat="1" ht="18" customHeight="1" x14ac:dyDescent="0.2">
      <c r="A2" s="2706" t="s">
        <v>1</v>
      </c>
      <c r="B2" s="2706"/>
      <c r="C2" s="2706"/>
      <c r="D2" s="2706"/>
      <c r="E2" s="2706"/>
      <c r="F2" s="2706"/>
      <c r="G2" s="2706"/>
      <c r="H2" s="2706"/>
      <c r="I2" s="2706"/>
      <c r="J2" s="2706"/>
      <c r="K2" s="2706"/>
      <c r="L2" s="2706"/>
      <c r="M2" s="2706"/>
      <c r="N2" s="2706"/>
      <c r="O2" s="2706"/>
      <c r="P2" s="2706"/>
      <c r="Q2" s="2706"/>
      <c r="R2" s="2706"/>
      <c r="S2" s="2706"/>
      <c r="T2" s="2706"/>
      <c r="U2" s="2706"/>
      <c r="V2" s="2706"/>
      <c r="W2" s="2706"/>
      <c r="X2" s="2706"/>
      <c r="Y2" s="2706"/>
      <c r="Z2" s="2706"/>
      <c r="AA2" s="2706"/>
      <c r="AB2" s="2706"/>
      <c r="AC2" s="610"/>
      <c r="AD2" s="610"/>
      <c r="AE2" s="610"/>
      <c r="AF2" s="610"/>
    </row>
    <row r="3" spans="1:32" s="457" customFormat="1" ht="18" customHeight="1" x14ac:dyDescent="0.2">
      <c r="A3" s="2704" t="s">
        <v>424</v>
      </c>
      <c r="B3" s="2704"/>
      <c r="C3" s="2704"/>
      <c r="D3" s="2704"/>
      <c r="E3" s="2704"/>
      <c r="F3" s="2704"/>
      <c r="G3" s="2704"/>
      <c r="H3" s="2704"/>
      <c r="I3" s="2704"/>
      <c r="J3" s="2704"/>
      <c r="K3" s="2704"/>
      <c r="L3" s="2704"/>
      <c r="M3" s="2704"/>
      <c r="N3" s="2704"/>
      <c r="O3" s="2704"/>
      <c r="P3" s="2704"/>
      <c r="Q3" s="2704"/>
      <c r="R3" s="2704"/>
      <c r="S3" s="2704"/>
      <c r="T3" s="2704"/>
      <c r="U3" s="2704"/>
      <c r="V3" s="2704"/>
      <c r="W3" s="2704"/>
      <c r="X3" s="2704"/>
      <c r="Y3" s="2704"/>
      <c r="Z3" s="2704"/>
      <c r="AA3" s="2704"/>
      <c r="AB3" s="2704"/>
      <c r="AC3" s="611"/>
      <c r="AD3" s="611"/>
      <c r="AE3" s="611"/>
      <c r="AF3" s="611"/>
    </row>
    <row r="4" spans="1:32" s="457" customFormat="1" ht="18" customHeight="1" x14ac:dyDescent="0.2">
      <c r="A4" s="2686" t="s">
        <v>2</v>
      </c>
      <c r="B4" s="360"/>
      <c r="C4" s="2686" t="s">
        <v>3</v>
      </c>
      <c r="D4" s="360"/>
      <c r="E4" s="360"/>
      <c r="F4" s="2693" t="s">
        <v>4</v>
      </c>
      <c r="G4" s="2693"/>
      <c r="H4" s="2693"/>
      <c r="I4" s="2694"/>
      <c r="J4" s="2694"/>
      <c r="K4" s="2695"/>
      <c r="L4" s="361"/>
      <c r="M4" s="2679" t="s">
        <v>5</v>
      </c>
      <c r="N4" s="2679"/>
      <c r="O4" s="2679"/>
      <c r="P4" s="2679"/>
      <c r="Q4" s="2696"/>
      <c r="R4" s="2696"/>
      <c r="S4" s="2696"/>
      <c r="T4" s="2696"/>
      <c r="U4" s="2696"/>
      <c r="V4" s="2697"/>
      <c r="W4" s="362" t="s">
        <v>6</v>
      </c>
      <c r="X4" s="363" t="s">
        <v>7</v>
      </c>
      <c r="Y4" s="364"/>
      <c r="Z4" s="364"/>
      <c r="AA4" s="363"/>
      <c r="AB4" s="458"/>
      <c r="AC4" s="612" t="s">
        <v>8</v>
      </c>
      <c r="AD4" s="613"/>
      <c r="AE4" s="613"/>
      <c r="AF4" s="614"/>
    </row>
    <row r="5" spans="1:32" s="457" customFormat="1" ht="18" customHeight="1" x14ac:dyDescent="0.2">
      <c r="A5" s="2687"/>
      <c r="B5" s="367"/>
      <c r="C5" s="2687"/>
      <c r="D5" s="366" t="s">
        <v>9</v>
      </c>
      <c r="E5" s="366" t="s">
        <v>10</v>
      </c>
      <c r="F5" s="2698" t="s">
        <v>11</v>
      </c>
      <c r="G5" s="2694"/>
      <c r="H5" s="2695"/>
      <c r="I5" s="360"/>
      <c r="J5" s="449" t="s">
        <v>12</v>
      </c>
      <c r="K5" s="360"/>
      <c r="L5" s="2679" t="s">
        <v>2</v>
      </c>
      <c r="M5" s="370"/>
      <c r="N5" s="370"/>
      <c r="O5" s="370"/>
      <c r="P5" s="371"/>
      <c r="Q5" s="459" t="s">
        <v>13</v>
      </c>
      <c r="R5" s="370" t="s">
        <v>12</v>
      </c>
      <c r="S5" s="370" t="s">
        <v>6</v>
      </c>
      <c r="T5" s="2682" t="s">
        <v>14</v>
      </c>
      <c r="U5" s="2683"/>
      <c r="V5" s="375" t="s">
        <v>7</v>
      </c>
      <c r="W5" s="376" t="s">
        <v>15</v>
      </c>
      <c r="X5" s="377" t="s">
        <v>16</v>
      </c>
      <c r="Y5" s="377" t="s">
        <v>17</v>
      </c>
      <c r="Z5" s="377" t="s">
        <v>18</v>
      </c>
      <c r="AA5" s="377"/>
      <c r="AB5" s="460" t="s">
        <v>19</v>
      </c>
      <c r="AC5" s="615" t="s">
        <v>20</v>
      </c>
      <c r="AD5" s="616"/>
      <c r="AE5" s="617" t="s">
        <v>21</v>
      </c>
      <c r="AF5" s="618" t="s">
        <v>22</v>
      </c>
    </row>
    <row r="6" spans="1:32" s="457" customFormat="1" ht="18" customHeight="1" x14ac:dyDescent="0.2">
      <c r="A6" s="2687"/>
      <c r="B6" s="366" t="s">
        <v>23</v>
      </c>
      <c r="C6" s="2687"/>
      <c r="D6" s="366" t="s">
        <v>24</v>
      </c>
      <c r="E6" s="366" t="s">
        <v>25</v>
      </c>
      <c r="F6" s="2699"/>
      <c r="G6" s="2700"/>
      <c r="H6" s="2701"/>
      <c r="I6" s="366" t="s">
        <v>26</v>
      </c>
      <c r="J6" s="380" t="s">
        <v>15</v>
      </c>
      <c r="K6" s="380" t="s">
        <v>6</v>
      </c>
      <c r="L6" s="2680"/>
      <c r="M6" s="381" t="s">
        <v>27</v>
      </c>
      <c r="N6" s="381" t="s">
        <v>10</v>
      </c>
      <c r="O6" s="381" t="s">
        <v>10</v>
      </c>
      <c r="P6" s="385" t="s">
        <v>28</v>
      </c>
      <c r="Q6" s="461" t="s">
        <v>29</v>
      </c>
      <c r="R6" s="385" t="s">
        <v>15</v>
      </c>
      <c r="S6" s="385" t="s">
        <v>15</v>
      </c>
      <c r="T6" s="2684"/>
      <c r="U6" s="2685"/>
      <c r="V6" s="375" t="s">
        <v>30</v>
      </c>
      <c r="W6" s="376" t="s">
        <v>31</v>
      </c>
      <c r="X6" s="377" t="s">
        <v>30</v>
      </c>
      <c r="Y6" s="377" t="s">
        <v>32</v>
      </c>
      <c r="Z6" s="377" t="s">
        <v>7</v>
      </c>
      <c r="AA6" s="377" t="s">
        <v>33</v>
      </c>
      <c r="AB6" s="460" t="s">
        <v>34</v>
      </c>
      <c r="AC6" s="615" t="s">
        <v>35</v>
      </c>
      <c r="AD6" s="617" t="s">
        <v>36</v>
      </c>
      <c r="AE6" s="617" t="s">
        <v>37</v>
      </c>
      <c r="AF6" s="618" t="s">
        <v>38</v>
      </c>
    </row>
    <row r="7" spans="1:32" s="457" customFormat="1" ht="18" customHeight="1" x14ac:dyDescent="0.2">
      <c r="A7" s="2687"/>
      <c r="B7" s="366" t="s">
        <v>39</v>
      </c>
      <c r="C7" s="2687"/>
      <c r="D7" s="366" t="s">
        <v>40</v>
      </c>
      <c r="E7" s="366" t="s">
        <v>41</v>
      </c>
      <c r="F7" s="2686" t="s">
        <v>42</v>
      </c>
      <c r="G7" s="2686" t="s">
        <v>43</v>
      </c>
      <c r="H7" s="2688" t="s">
        <v>44</v>
      </c>
      <c r="I7" s="366" t="s">
        <v>45</v>
      </c>
      <c r="J7" s="380" t="s">
        <v>46</v>
      </c>
      <c r="K7" s="380" t="s">
        <v>47</v>
      </c>
      <c r="L7" s="2680"/>
      <c r="M7" s="381" t="s">
        <v>30</v>
      </c>
      <c r="N7" s="381" t="s">
        <v>30</v>
      </c>
      <c r="O7" s="381" t="s">
        <v>25</v>
      </c>
      <c r="P7" s="385" t="s">
        <v>30</v>
      </c>
      <c r="Q7" s="461" t="s">
        <v>48</v>
      </c>
      <c r="R7" s="385" t="s">
        <v>49</v>
      </c>
      <c r="S7" s="385" t="s">
        <v>30</v>
      </c>
      <c r="T7" s="619" t="s">
        <v>50</v>
      </c>
      <c r="U7" s="620" t="s">
        <v>13</v>
      </c>
      <c r="V7" s="375" t="s">
        <v>51</v>
      </c>
      <c r="W7" s="376" t="s">
        <v>52</v>
      </c>
      <c r="X7" s="377" t="s">
        <v>53</v>
      </c>
      <c r="Y7" s="377" t="s">
        <v>54</v>
      </c>
      <c r="Z7" s="377" t="s">
        <v>55</v>
      </c>
      <c r="AA7" s="377" t="s">
        <v>56</v>
      </c>
      <c r="AB7" s="460" t="s">
        <v>57</v>
      </c>
      <c r="AC7" s="617" t="s">
        <v>58</v>
      </c>
      <c r="AD7" s="617" t="s">
        <v>59</v>
      </c>
      <c r="AE7" s="617" t="s">
        <v>59</v>
      </c>
      <c r="AF7" s="618" t="s">
        <v>60</v>
      </c>
    </row>
    <row r="8" spans="1:32" s="457" customFormat="1" ht="18" customHeight="1" x14ac:dyDescent="0.2">
      <c r="A8" s="2687"/>
      <c r="B8" s="366" t="s">
        <v>61</v>
      </c>
      <c r="C8" s="2687"/>
      <c r="D8" s="366" t="s">
        <v>62</v>
      </c>
      <c r="E8" s="366" t="s">
        <v>63</v>
      </c>
      <c r="F8" s="2687"/>
      <c r="G8" s="2687"/>
      <c r="H8" s="2689"/>
      <c r="I8" s="366" t="s">
        <v>64</v>
      </c>
      <c r="J8" s="380" t="s">
        <v>59</v>
      </c>
      <c r="K8" s="380" t="s">
        <v>59</v>
      </c>
      <c r="L8" s="2680"/>
      <c r="M8" s="381"/>
      <c r="N8" s="381"/>
      <c r="O8" s="381" t="s">
        <v>41</v>
      </c>
      <c r="P8" s="385" t="s">
        <v>65</v>
      </c>
      <c r="Q8" s="461" t="s">
        <v>66</v>
      </c>
      <c r="R8" s="385" t="s">
        <v>67</v>
      </c>
      <c r="S8" s="385" t="s">
        <v>59</v>
      </c>
      <c r="T8" s="621" t="s">
        <v>68</v>
      </c>
      <c r="U8" s="622" t="s">
        <v>14</v>
      </c>
      <c r="V8" s="375" t="s">
        <v>14</v>
      </c>
      <c r="W8" s="376" t="s">
        <v>30</v>
      </c>
      <c r="X8" s="388" t="s">
        <v>69</v>
      </c>
      <c r="Y8" s="388" t="s">
        <v>70</v>
      </c>
      <c r="Z8" s="377" t="s">
        <v>71</v>
      </c>
      <c r="AA8" s="377" t="s">
        <v>72</v>
      </c>
      <c r="AB8" s="460" t="s">
        <v>59</v>
      </c>
      <c r="AC8" s="617" t="s">
        <v>59</v>
      </c>
      <c r="AD8" s="617"/>
      <c r="AE8" s="617"/>
      <c r="AF8" s="618" t="s">
        <v>59</v>
      </c>
    </row>
    <row r="9" spans="1:32" s="457" customFormat="1" ht="18" customHeight="1" x14ac:dyDescent="0.2">
      <c r="A9" s="2692"/>
      <c r="B9" s="390"/>
      <c r="C9" s="2692"/>
      <c r="D9" s="390"/>
      <c r="E9" s="389"/>
      <c r="F9" s="390"/>
      <c r="G9" s="390"/>
      <c r="H9" s="391"/>
      <c r="I9" s="389"/>
      <c r="J9" s="393"/>
      <c r="K9" s="393"/>
      <c r="L9" s="2681"/>
      <c r="M9" s="394"/>
      <c r="N9" s="394"/>
      <c r="O9" s="394" t="s">
        <v>63</v>
      </c>
      <c r="P9" s="394"/>
      <c r="Q9" s="450" t="s">
        <v>72</v>
      </c>
      <c r="R9" s="398" t="s">
        <v>59</v>
      </c>
      <c r="S9" s="398"/>
      <c r="T9" s="623" t="s">
        <v>73</v>
      </c>
      <c r="U9" s="624" t="s">
        <v>59</v>
      </c>
      <c r="V9" s="399" t="s">
        <v>59</v>
      </c>
      <c r="W9" s="400" t="s">
        <v>59</v>
      </c>
      <c r="X9" s="401" t="s">
        <v>59</v>
      </c>
      <c r="Y9" s="401" t="s">
        <v>59</v>
      </c>
      <c r="Z9" s="401" t="s">
        <v>59</v>
      </c>
      <c r="AA9" s="402"/>
      <c r="AB9" s="462"/>
      <c r="AC9" s="625"/>
      <c r="AD9" s="625"/>
      <c r="AE9" s="625"/>
      <c r="AF9" s="626"/>
    </row>
    <row r="10" spans="1:32" s="457" customFormat="1" ht="18" customHeight="1" x14ac:dyDescent="0.25">
      <c r="A10" s="82">
        <v>1</v>
      </c>
      <c r="B10" s="1046">
        <v>2186</v>
      </c>
      <c r="C10" s="333">
        <v>254</v>
      </c>
      <c r="D10" s="287" t="s">
        <v>139</v>
      </c>
      <c r="E10" s="287">
        <v>1</v>
      </c>
      <c r="F10" s="1387">
        <v>1</v>
      </c>
      <c r="G10" s="289">
        <v>1</v>
      </c>
      <c r="H10" s="288">
        <v>28</v>
      </c>
      <c r="I10" s="44">
        <f>F10*400+G10*100+H10</f>
        <v>528</v>
      </c>
      <c r="J10" s="1388">
        <v>280</v>
      </c>
      <c r="K10" s="60">
        <f>SUM(I10*J10)</f>
        <v>147840</v>
      </c>
      <c r="L10" s="269"/>
      <c r="M10" s="241"/>
      <c r="N10" s="255"/>
      <c r="O10" s="255"/>
      <c r="P10" s="848"/>
      <c r="Q10" s="285"/>
      <c r="R10" s="702"/>
      <c r="S10" s="320"/>
      <c r="T10" s="436"/>
      <c r="U10" s="321"/>
      <c r="V10" s="321"/>
      <c r="W10" s="18">
        <f t="shared" ref="W10:W12" si="0">K10+V10</f>
        <v>147840</v>
      </c>
      <c r="X10" s="47">
        <f t="shared" ref="X10:X12" si="1">W10</f>
        <v>147840</v>
      </c>
      <c r="Y10" s="320" t="s">
        <v>87</v>
      </c>
      <c r="Z10" s="320">
        <v>0</v>
      </c>
      <c r="AA10" s="753">
        <v>0.01</v>
      </c>
      <c r="AB10" s="465">
        <f>+Z10*AA10/100</f>
        <v>0</v>
      </c>
      <c r="AC10" s="1098"/>
      <c r="AD10" s="353">
        <f>AB10-AC10</f>
        <v>0</v>
      </c>
      <c r="AE10" s="353">
        <f>IF(AD10&lt;=0,0,AD10*25/100)</f>
        <v>0</v>
      </c>
      <c r="AF10" s="353">
        <f>IF(AC10+AE10&gt;AB10,AB10,AC10+AE10)</f>
        <v>0</v>
      </c>
    </row>
    <row r="11" spans="1:32" s="457" customFormat="1" ht="18" customHeight="1" x14ac:dyDescent="0.25">
      <c r="A11" s="88"/>
      <c r="B11" s="786">
        <v>2185</v>
      </c>
      <c r="C11" s="285" t="s">
        <v>140</v>
      </c>
      <c r="D11" s="273" t="s">
        <v>139</v>
      </c>
      <c r="E11" s="273">
        <v>2</v>
      </c>
      <c r="F11" s="289">
        <v>0</v>
      </c>
      <c r="G11" s="289">
        <v>2</v>
      </c>
      <c r="H11" s="288">
        <v>25.6</v>
      </c>
      <c r="I11" s="44">
        <f>F11*400+G11*100+H11</f>
        <v>225.6</v>
      </c>
      <c r="J11" s="1389">
        <v>1600</v>
      </c>
      <c r="K11" s="60">
        <f t="shared" ref="K11:K12" si="2">SUM(I11*J11)</f>
        <v>360960</v>
      </c>
      <c r="L11" s="269">
        <v>1</v>
      </c>
      <c r="M11" s="287">
        <v>103</v>
      </c>
      <c r="N11" s="709" t="s">
        <v>74</v>
      </c>
      <c r="O11" s="287">
        <v>2</v>
      </c>
      <c r="P11" s="322">
        <v>296.55240000000003</v>
      </c>
      <c r="Q11" s="287">
        <v>100</v>
      </c>
      <c r="R11" s="1390">
        <v>9050</v>
      </c>
      <c r="S11" s="30">
        <f t="shared" ref="S11:S12" si="3">+P11*R11</f>
        <v>2683799.2200000002</v>
      </c>
      <c r="T11" s="1859">
        <v>16</v>
      </c>
      <c r="U11" s="1670">
        <f>+S11*0.22</f>
        <v>590435.8284</v>
      </c>
      <c r="V11" s="18">
        <f t="shared" ref="V11:V12" si="4">+S11-U11</f>
        <v>2093363.3916000002</v>
      </c>
      <c r="W11" s="18">
        <f t="shared" si="0"/>
        <v>2454323.3916000002</v>
      </c>
      <c r="X11" s="47">
        <f t="shared" si="1"/>
        <v>2454323.3916000002</v>
      </c>
      <c r="Y11" s="255" t="s">
        <v>87</v>
      </c>
      <c r="Z11" s="320">
        <v>0</v>
      </c>
      <c r="AA11" s="287">
        <v>0.02</v>
      </c>
      <c r="AB11" s="466">
        <f>+Z11*AA11/100</f>
        <v>0</v>
      </c>
      <c r="AC11" s="350"/>
      <c r="AD11" s="350"/>
      <c r="AE11" s="350"/>
      <c r="AF11" s="350"/>
    </row>
    <row r="12" spans="1:32" s="457" customFormat="1" ht="18" customHeight="1" x14ac:dyDescent="0.25">
      <c r="A12" s="145"/>
      <c r="B12" s="1392"/>
      <c r="C12" s="325"/>
      <c r="D12" s="287"/>
      <c r="E12" s="287"/>
      <c r="F12" s="287">
        <v>0</v>
      </c>
      <c r="G12" s="287">
        <v>0</v>
      </c>
      <c r="H12" s="326">
        <v>12.4</v>
      </c>
      <c r="I12" s="44">
        <f>F12*400+G12*100+H12</f>
        <v>12.4</v>
      </c>
      <c r="J12" s="1389">
        <v>1600</v>
      </c>
      <c r="K12" s="60">
        <f t="shared" si="2"/>
        <v>19840</v>
      </c>
      <c r="L12" s="287">
        <v>2</v>
      </c>
      <c r="M12" s="102">
        <v>504</v>
      </c>
      <c r="N12" s="499" t="s">
        <v>74</v>
      </c>
      <c r="O12" s="705">
        <v>3</v>
      </c>
      <c r="P12" s="706">
        <v>49.782599999999995</v>
      </c>
      <c r="Q12" s="102">
        <v>100</v>
      </c>
      <c r="R12" s="707">
        <v>3100</v>
      </c>
      <c r="S12" s="30">
        <f t="shared" si="3"/>
        <v>154326.06</v>
      </c>
      <c r="T12" s="1860">
        <v>16</v>
      </c>
      <c r="U12" s="1670">
        <f>+S12*0.22</f>
        <v>33951.733200000002</v>
      </c>
      <c r="V12" s="18">
        <f t="shared" si="4"/>
        <v>120374.3268</v>
      </c>
      <c r="W12" s="18">
        <f t="shared" si="0"/>
        <v>140214.32679999998</v>
      </c>
      <c r="X12" s="47">
        <f t="shared" si="1"/>
        <v>140214.32679999998</v>
      </c>
      <c r="Y12" s="241"/>
      <c r="Z12" s="18">
        <f>+X12</f>
        <v>140214.32679999998</v>
      </c>
      <c r="AA12" s="102">
        <v>0.3</v>
      </c>
      <c r="AB12" s="466">
        <f>+Z12*AA12/100</f>
        <v>420.64298039999994</v>
      </c>
      <c r="AC12" s="350"/>
      <c r="AD12" s="350"/>
      <c r="AE12" s="350"/>
      <c r="AF12" s="350"/>
    </row>
    <row r="13" spans="1:32" s="457" customFormat="1" ht="18" customHeight="1" x14ac:dyDescent="0.2">
      <c r="A13" s="145"/>
      <c r="B13" s="177"/>
      <c r="C13" s="177"/>
      <c r="D13" s="145"/>
      <c r="E13" s="145"/>
      <c r="F13" s="145"/>
      <c r="G13" s="145"/>
      <c r="H13" s="147"/>
      <c r="I13" s="107"/>
      <c r="J13" s="178"/>
      <c r="K13" s="107"/>
      <c r="L13" s="145"/>
      <c r="M13" s="145"/>
      <c r="N13" s="145"/>
      <c r="O13" s="145"/>
      <c r="P13" s="147"/>
      <c r="Q13" s="148"/>
      <c r="R13" s="437"/>
      <c r="S13" s="107"/>
      <c r="T13" s="437"/>
      <c r="U13" s="178"/>
      <c r="V13" s="107"/>
      <c r="W13" s="107"/>
      <c r="X13" s="470"/>
      <c r="Y13" s="470"/>
      <c r="Z13" s="471"/>
      <c r="AA13" s="471"/>
      <c r="AB13" s="466"/>
      <c r="AC13" s="350"/>
      <c r="AD13" s="350"/>
      <c r="AE13" s="350"/>
      <c r="AF13" s="350"/>
    </row>
    <row r="14" spans="1:32" s="457" customFormat="1" ht="18" customHeight="1" x14ac:dyDescent="0.2">
      <c r="A14" s="145"/>
      <c r="B14" s="177"/>
      <c r="C14" s="177"/>
      <c r="D14" s="145"/>
      <c r="E14" s="145"/>
      <c r="F14" s="145"/>
      <c r="G14" s="145"/>
      <c r="H14" s="147"/>
      <c r="I14" s="107"/>
      <c r="J14" s="178"/>
      <c r="K14" s="107"/>
      <c r="L14" s="145"/>
      <c r="M14" s="145"/>
      <c r="N14" s="145"/>
      <c r="O14" s="145"/>
      <c r="P14" s="147"/>
      <c r="Q14" s="148"/>
      <c r="R14" s="437"/>
      <c r="S14" s="107"/>
      <c r="T14" s="437"/>
      <c r="U14" s="178"/>
      <c r="V14" s="107"/>
      <c r="W14" s="107"/>
      <c r="X14" s="470"/>
      <c r="Y14" s="470"/>
      <c r="Z14" s="471"/>
      <c r="AA14" s="471"/>
      <c r="AB14" s="466"/>
      <c r="AC14" s="350"/>
      <c r="AD14" s="350"/>
      <c r="AE14" s="350"/>
      <c r="AF14" s="350"/>
    </row>
    <row r="15" spans="1:32" s="457" customFormat="1" ht="18" customHeight="1" x14ac:dyDescent="0.2">
      <c r="A15" s="145"/>
      <c r="B15" s="177"/>
      <c r="C15" s="177"/>
      <c r="D15" s="145"/>
      <c r="E15" s="145"/>
      <c r="F15" s="145"/>
      <c r="G15" s="145"/>
      <c r="H15" s="147"/>
      <c r="I15" s="107"/>
      <c r="J15" s="178"/>
      <c r="K15" s="107"/>
      <c r="L15" s="145"/>
      <c r="M15" s="145"/>
      <c r="N15" s="145"/>
      <c r="O15" s="145"/>
      <c r="P15" s="147"/>
      <c r="Q15" s="148"/>
      <c r="R15" s="437"/>
      <c r="S15" s="107"/>
      <c r="T15" s="437"/>
      <c r="U15" s="178"/>
      <c r="V15" s="107"/>
      <c r="W15" s="107"/>
      <c r="X15" s="470"/>
      <c r="Y15" s="470"/>
      <c r="Z15" s="471"/>
      <c r="AA15" s="471"/>
      <c r="AB15" s="466"/>
      <c r="AC15" s="350"/>
      <c r="AD15" s="350"/>
      <c r="AE15" s="350"/>
      <c r="AF15" s="350"/>
    </row>
    <row r="16" spans="1:32" s="457" customFormat="1" ht="18" customHeight="1" x14ac:dyDescent="0.2">
      <c r="A16" s="145"/>
      <c r="B16" s="177"/>
      <c r="C16" s="177"/>
      <c r="D16" s="145"/>
      <c r="E16" s="145"/>
      <c r="F16" s="145"/>
      <c r="G16" s="145"/>
      <c r="H16" s="147"/>
      <c r="I16" s="107"/>
      <c r="J16" s="178"/>
      <c r="K16" s="107"/>
      <c r="L16" s="145"/>
      <c r="M16" s="145"/>
      <c r="N16" s="145"/>
      <c r="O16" s="145"/>
      <c r="P16" s="147"/>
      <c r="Q16" s="148"/>
      <c r="R16" s="437"/>
      <c r="S16" s="107"/>
      <c r="T16" s="437"/>
      <c r="U16" s="178"/>
      <c r="V16" s="107"/>
      <c r="W16" s="107"/>
      <c r="X16" s="470"/>
      <c r="Y16" s="470"/>
      <c r="Z16" s="471"/>
      <c r="AA16" s="471"/>
      <c r="AB16" s="466"/>
      <c r="AC16" s="350"/>
      <c r="AD16" s="350"/>
      <c r="AE16" s="350"/>
      <c r="AF16" s="350"/>
    </row>
    <row r="17" spans="1:32" s="457" customFormat="1" ht="18" customHeight="1" x14ac:dyDescent="0.2">
      <c r="A17" s="145"/>
      <c r="B17" s="177"/>
      <c r="C17" s="177"/>
      <c r="D17" s="145"/>
      <c r="E17" s="145"/>
      <c r="F17" s="145"/>
      <c r="G17" s="145"/>
      <c r="H17" s="147"/>
      <c r="I17" s="107"/>
      <c r="J17" s="178"/>
      <c r="K17" s="107"/>
      <c r="L17" s="145"/>
      <c r="M17" s="145"/>
      <c r="N17" s="145"/>
      <c r="O17" s="145"/>
      <c r="P17" s="147"/>
      <c r="Q17" s="148"/>
      <c r="R17" s="437"/>
      <c r="S17" s="107"/>
      <c r="T17" s="437"/>
      <c r="U17" s="178"/>
      <c r="V17" s="107"/>
      <c r="W17" s="107"/>
      <c r="X17" s="470"/>
      <c r="Y17" s="470"/>
      <c r="Z17" s="471"/>
      <c r="AA17" s="471"/>
      <c r="AB17" s="466"/>
      <c r="AC17" s="350"/>
      <c r="AD17" s="350"/>
      <c r="AE17" s="350"/>
      <c r="AF17" s="350"/>
    </row>
    <row r="18" spans="1:32" s="457" customFormat="1" ht="18" customHeight="1" x14ac:dyDescent="0.2">
      <c r="A18" s="145"/>
      <c r="B18" s="177"/>
      <c r="C18" s="177"/>
      <c r="D18" s="145"/>
      <c r="E18" s="145"/>
      <c r="F18" s="145"/>
      <c r="G18" s="145"/>
      <c r="H18" s="147"/>
      <c r="I18" s="107"/>
      <c r="J18" s="178"/>
      <c r="K18" s="107"/>
      <c r="L18" s="145"/>
      <c r="M18" s="145"/>
      <c r="N18" s="145"/>
      <c r="O18" s="145"/>
      <c r="P18" s="147"/>
      <c r="Q18" s="148"/>
      <c r="R18" s="437"/>
      <c r="S18" s="107"/>
      <c r="T18" s="437"/>
      <c r="U18" s="178"/>
      <c r="V18" s="107"/>
      <c r="W18" s="107"/>
      <c r="X18" s="470"/>
      <c r="Y18" s="470"/>
      <c r="Z18" s="471"/>
      <c r="AA18" s="471"/>
      <c r="AB18" s="466"/>
      <c r="AC18" s="350"/>
      <c r="AD18" s="350"/>
      <c r="AE18" s="350"/>
      <c r="AF18" s="350"/>
    </row>
    <row r="19" spans="1:32" s="457" customFormat="1" ht="18" customHeight="1" x14ac:dyDescent="0.2">
      <c r="A19" s="145"/>
      <c r="B19" s="177"/>
      <c r="C19" s="177"/>
      <c r="D19" s="145"/>
      <c r="E19" s="145"/>
      <c r="F19" s="145"/>
      <c r="G19" s="145"/>
      <c r="H19" s="147"/>
      <c r="I19" s="107"/>
      <c r="J19" s="178"/>
      <c r="K19" s="107"/>
      <c r="L19" s="145"/>
      <c r="M19" s="145"/>
      <c r="N19" s="145"/>
      <c r="O19" s="145"/>
      <c r="P19" s="147"/>
      <c r="Q19" s="148"/>
      <c r="R19" s="437"/>
      <c r="S19" s="107"/>
      <c r="T19" s="437"/>
      <c r="U19" s="178"/>
      <c r="V19" s="107"/>
      <c r="W19" s="107"/>
      <c r="X19" s="470"/>
      <c r="Y19" s="470"/>
      <c r="Z19" s="471"/>
      <c r="AA19" s="471"/>
      <c r="AB19" s="466"/>
      <c r="AC19" s="350"/>
      <c r="AD19" s="350"/>
      <c r="AE19" s="350"/>
      <c r="AF19" s="350"/>
    </row>
    <row r="20" spans="1:32" s="457" customFormat="1" ht="18" customHeight="1" x14ac:dyDescent="0.2">
      <c r="A20" s="145"/>
      <c r="B20" s="177"/>
      <c r="C20" s="177"/>
      <c r="D20" s="145"/>
      <c r="E20" s="145"/>
      <c r="F20" s="145"/>
      <c r="G20" s="145"/>
      <c r="H20" s="147"/>
      <c r="I20" s="107"/>
      <c r="J20" s="178"/>
      <c r="K20" s="107"/>
      <c r="L20" s="145"/>
      <c r="M20" s="145"/>
      <c r="N20" s="145"/>
      <c r="O20" s="145"/>
      <c r="P20" s="147"/>
      <c r="Q20" s="148"/>
      <c r="R20" s="437"/>
      <c r="S20" s="107"/>
      <c r="T20" s="437"/>
      <c r="U20" s="178"/>
      <c r="V20" s="107"/>
      <c r="W20" s="107"/>
      <c r="X20" s="470"/>
      <c r="Y20" s="470"/>
      <c r="Z20" s="471"/>
      <c r="AA20" s="471"/>
      <c r="AB20" s="466"/>
      <c r="AC20" s="350"/>
      <c r="AD20" s="350"/>
      <c r="AE20" s="350"/>
      <c r="AF20" s="350"/>
    </row>
    <row r="21" spans="1:32" s="457" customFormat="1" ht="18" customHeight="1" x14ac:dyDescent="0.2">
      <c r="A21" s="145"/>
      <c r="B21" s="177"/>
      <c r="C21" s="177"/>
      <c r="D21" s="145"/>
      <c r="E21" s="145"/>
      <c r="F21" s="145"/>
      <c r="G21" s="145"/>
      <c r="H21" s="147"/>
      <c r="I21" s="107"/>
      <c r="J21" s="178"/>
      <c r="K21" s="107"/>
      <c r="L21" s="145"/>
      <c r="M21" s="145"/>
      <c r="N21" s="145"/>
      <c r="O21" s="145"/>
      <c r="P21" s="147"/>
      <c r="Q21" s="148"/>
      <c r="R21" s="437"/>
      <c r="S21" s="107"/>
      <c r="T21" s="437"/>
      <c r="U21" s="178"/>
      <c r="V21" s="107"/>
      <c r="W21" s="107"/>
      <c r="X21" s="470"/>
      <c r="Y21" s="470"/>
      <c r="Z21" s="471"/>
      <c r="AA21" s="471"/>
      <c r="AB21" s="466"/>
      <c r="AC21" s="350"/>
      <c r="AD21" s="350"/>
      <c r="AE21" s="350"/>
      <c r="AF21" s="350"/>
    </row>
    <row r="22" spans="1:32" s="457" customFormat="1" ht="18" customHeight="1" x14ac:dyDescent="0.2">
      <c r="A22" s="145"/>
      <c r="B22" s="177"/>
      <c r="C22" s="177"/>
      <c r="D22" s="145"/>
      <c r="E22" s="145"/>
      <c r="F22" s="145"/>
      <c r="G22" s="145"/>
      <c r="H22" s="147"/>
      <c r="I22" s="107"/>
      <c r="J22" s="178"/>
      <c r="K22" s="107"/>
      <c r="L22" s="145"/>
      <c r="M22" s="145"/>
      <c r="N22" s="145"/>
      <c r="O22" s="145"/>
      <c r="P22" s="147"/>
      <c r="Q22" s="148"/>
      <c r="R22" s="437"/>
      <c r="S22" s="107"/>
      <c r="T22" s="437"/>
      <c r="U22" s="178"/>
      <c r="V22" s="107"/>
      <c r="W22" s="107"/>
      <c r="X22" s="470"/>
      <c r="Y22" s="470"/>
      <c r="Z22" s="471"/>
      <c r="AA22" s="471"/>
      <c r="AB22" s="466"/>
      <c r="AC22" s="350"/>
      <c r="AD22" s="350"/>
      <c r="AE22" s="350"/>
      <c r="AF22" s="350"/>
    </row>
    <row r="23" spans="1:32" s="457" customFormat="1" ht="18" customHeight="1" x14ac:dyDescent="0.2">
      <c r="A23" s="145"/>
      <c r="B23" s="177"/>
      <c r="C23" s="177"/>
      <c r="D23" s="145"/>
      <c r="E23" s="145"/>
      <c r="F23" s="145"/>
      <c r="G23" s="145"/>
      <c r="H23" s="147"/>
      <c r="I23" s="107"/>
      <c r="J23" s="178"/>
      <c r="K23" s="107"/>
      <c r="L23" s="145"/>
      <c r="M23" s="145"/>
      <c r="N23" s="145"/>
      <c r="O23" s="145"/>
      <c r="P23" s="147"/>
      <c r="Q23" s="148"/>
      <c r="R23" s="437"/>
      <c r="S23" s="107"/>
      <c r="T23" s="437"/>
      <c r="U23" s="178"/>
      <c r="V23" s="107"/>
      <c r="W23" s="107"/>
      <c r="X23" s="470"/>
      <c r="Y23" s="470"/>
      <c r="Z23" s="471"/>
      <c r="AA23" s="471"/>
      <c r="AB23" s="466"/>
      <c r="AC23" s="350"/>
      <c r="AD23" s="350"/>
      <c r="AE23" s="350"/>
      <c r="AF23" s="350"/>
    </row>
    <row r="24" spans="1:32" s="457" customFormat="1" ht="18" customHeight="1" x14ac:dyDescent="0.2">
      <c r="A24" s="145"/>
      <c r="B24" s="177"/>
      <c r="C24" s="177"/>
      <c r="D24" s="145"/>
      <c r="E24" s="145"/>
      <c r="F24" s="145"/>
      <c r="G24" s="145"/>
      <c r="H24" s="147"/>
      <c r="I24" s="107"/>
      <c r="J24" s="178"/>
      <c r="K24" s="107"/>
      <c r="L24" s="145"/>
      <c r="M24" s="145"/>
      <c r="N24" s="145"/>
      <c r="O24" s="145"/>
      <c r="P24" s="147"/>
      <c r="Q24" s="148"/>
      <c r="R24" s="437"/>
      <c r="S24" s="107"/>
      <c r="T24" s="437"/>
      <c r="U24" s="178"/>
      <c r="V24" s="107"/>
      <c r="W24" s="107"/>
      <c r="X24" s="470"/>
      <c r="Y24" s="470"/>
      <c r="Z24" s="471"/>
      <c r="AA24" s="471"/>
      <c r="AB24" s="466"/>
      <c r="AC24" s="350"/>
      <c r="AD24" s="350"/>
      <c r="AE24" s="350"/>
      <c r="AF24" s="350"/>
    </row>
    <row r="25" spans="1:32" s="457" customFormat="1" ht="18" customHeight="1" x14ac:dyDescent="0.2">
      <c r="A25" s="145"/>
      <c r="B25" s="177"/>
      <c r="C25" s="177"/>
      <c r="D25" s="145"/>
      <c r="E25" s="145"/>
      <c r="F25" s="145"/>
      <c r="G25" s="145"/>
      <c r="H25" s="147"/>
      <c r="I25" s="107"/>
      <c r="J25" s="178"/>
      <c r="K25" s="107"/>
      <c r="L25" s="145"/>
      <c r="M25" s="145"/>
      <c r="N25" s="145"/>
      <c r="O25" s="145"/>
      <c r="P25" s="147"/>
      <c r="Q25" s="148"/>
      <c r="R25" s="437"/>
      <c r="S25" s="107"/>
      <c r="T25" s="437"/>
      <c r="U25" s="178"/>
      <c r="V25" s="107"/>
      <c r="W25" s="107"/>
      <c r="X25" s="470"/>
      <c r="Y25" s="470"/>
      <c r="Z25" s="471"/>
      <c r="AA25" s="471"/>
      <c r="AB25" s="466"/>
      <c r="AC25" s="350"/>
      <c r="AD25" s="350"/>
      <c r="AE25" s="350"/>
      <c r="AF25" s="350"/>
    </row>
    <row r="26" spans="1:32" s="457" customFormat="1" ht="18" customHeight="1" x14ac:dyDescent="0.2">
      <c r="A26" s="145"/>
      <c r="B26" s="177"/>
      <c r="C26" s="177"/>
      <c r="D26" s="145"/>
      <c r="E26" s="145"/>
      <c r="F26" s="145"/>
      <c r="G26" s="145"/>
      <c r="H26" s="147"/>
      <c r="I26" s="107"/>
      <c r="J26" s="178"/>
      <c r="K26" s="107"/>
      <c r="L26" s="145"/>
      <c r="M26" s="145"/>
      <c r="N26" s="145"/>
      <c r="O26" s="145"/>
      <c r="P26" s="147"/>
      <c r="Q26" s="148"/>
      <c r="R26" s="437"/>
      <c r="S26" s="107"/>
      <c r="T26" s="437"/>
      <c r="U26" s="178"/>
      <c r="V26" s="107"/>
      <c r="W26" s="107"/>
      <c r="X26" s="470"/>
      <c r="Y26" s="470"/>
      <c r="Z26" s="471"/>
      <c r="AA26" s="471"/>
      <c r="AB26" s="466"/>
      <c r="AC26" s="350"/>
      <c r="AD26" s="350"/>
      <c r="AE26" s="350"/>
      <c r="AF26" s="350"/>
    </row>
    <row r="27" spans="1:32" s="457" customFormat="1" ht="18" customHeight="1" x14ac:dyDescent="0.2">
      <c r="A27" s="145"/>
      <c r="B27" s="177"/>
      <c r="C27" s="177"/>
      <c r="D27" s="145"/>
      <c r="E27" s="145"/>
      <c r="F27" s="145"/>
      <c r="G27" s="145"/>
      <c r="H27" s="147"/>
      <c r="I27" s="107"/>
      <c r="J27" s="178"/>
      <c r="K27" s="107"/>
      <c r="L27" s="145"/>
      <c r="M27" s="145"/>
      <c r="N27" s="145"/>
      <c r="O27" s="145"/>
      <c r="P27" s="147"/>
      <c r="Q27" s="148"/>
      <c r="R27" s="437"/>
      <c r="S27" s="107"/>
      <c r="T27" s="437"/>
      <c r="U27" s="178"/>
      <c r="V27" s="107"/>
      <c r="W27" s="107"/>
      <c r="X27" s="470"/>
      <c r="Y27" s="470"/>
      <c r="Z27" s="471"/>
      <c r="AA27" s="471"/>
      <c r="AB27" s="466"/>
      <c r="AC27" s="350"/>
      <c r="AD27" s="350"/>
      <c r="AE27" s="350"/>
      <c r="AF27" s="350"/>
    </row>
    <row r="28" spans="1:32" s="597" customFormat="1" ht="18" customHeight="1" x14ac:dyDescent="0.2">
      <c r="A28" s="1850"/>
      <c r="B28" s="1850"/>
      <c r="C28" s="1850"/>
      <c r="D28" s="1850"/>
      <c r="E28" s="1850"/>
      <c r="F28" s="1850"/>
      <c r="G28" s="1850"/>
      <c r="H28" s="1851"/>
      <c r="I28" s="1852"/>
      <c r="J28" s="1853"/>
      <c r="K28" s="1852"/>
      <c r="L28" s="1852"/>
      <c r="M28" s="1852"/>
      <c r="N28" s="1852"/>
      <c r="O28" s="1852"/>
      <c r="P28" s="1852"/>
      <c r="Q28" s="1852"/>
      <c r="R28" s="1854"/>
      <c r="S28" s="1852"/>
      <c r="T28" s="1854"/>
      <c r="U28" s="1853"/>
      <c r="V28" s="1852"/>
      <c r="W28" s="1852"/>
      <c r="X28" s="1856"/>
      <c r="Y28" s="1856"/>
      <c r="Z28" s="1857"/>
      <c r="AA28" s="1857"/>
      <c r="AB28" s="1847">
        <f>SUM(AB10:AB27)</f>
        <v>420.64298039999994</v>
      </c>
      <c r="AC28" s="1861"/>
      <c r="AD28" s="1861"/>
      <c r="AE28" s="1861"/>
      <c r="AF28" s="1861"/>
    </row>
    <row r="29" spans="1:32" s="457" customFormat="1" ht="18" customHeight="1" x14ac:dyDescent="0.2">
      <c r="A29" s="2737" t="s">
        <v>76</v>
      </c>
      <c r="B29" s="2737"/>
      <c r="C29" s="2738" t="s">
        <v>77</v>
      </c>
      <c r="D29" s="2738"/>
      <c r="E29" s="2738"/>
      <c r="F29" s="2738"/>
      <c r="G29" s="2738"/>
      <c r="H29" s="2738"/>
      <c r="I29" s="457" t="s">
        <v>78</v>
      </c>
      <c r="T29" s="651"/>
      <c r="U29" s="478"/>
      <c r="AB29" s="478"/>
    </row>
    <row r="30" spans="1:32" s="457" customFormat="1" ht="18" customHeight="1" x14ac:dyDescent="0.2">
      <c r="A30" s="448"/>
      <c r="B30" s="479"/>
      <c r="I30" s="457" t="s">
        <v>79</v>
      </c>
      <c r="T30" s="651"/>
      <c r="U30" s="478"/>
      <c r="AB30" s="478"/>
    </row>
    <row r="31" spans="1:32" s="457" customFormat="1" ht="18" customHeight="1" x14ac:dyDescent="0.2">
      <c r="A31" s="448"/>
      <c r="B31" s="479"/>
      <c r="I31" s="457" t="s">
        <v>80</v>
      </c>
      <c r="T31" s="651"/>
      <c r="U31" s="478"/>
      <c r="AB31" s="478"/>
    </row>
    <row r="32" spans="1:32" s="457" customFormat="1" ht="18" customHeight="1" x14ac:dyDescent="0.2">
      <c r="A32" s="448"/>
      <c r="B32" s="479"/>
      <c r="I32" s="457" t="s">
        <v>81</v>
      </c>
      <c r="T32" s="651"/>
      <c r="U32" s="478"/>
      <c r="AB32" s="478"/>
    </row>
    <row r="33" spans="1:32" s="457" customFormat="1" ht="18" customHeight="1" x14ac:dyDescent="0.2">
      <c r="A33" s="448"/>
      <c r="B33" s="479"/>
      <c r="I33" s="457" t="s">
        <v>88</v>
      </c>
      <c r="T33" s="651"/>
      <c r="U33" s="478"/>
      <c r="AB33" s="478"/>
    </row>
    <row r="34" spans="1:32" s="457" customFormat="1" ht="18" customHeight="1" x14ac:dyDescent="0.2">
      <c r="A34" s="456"/>
      <c r="B34" s="455"/>
      <c r="C34" s="455"/>
      <c r="D34" s="455"/>
      <c r="E34" s="455"/>
      <c r="F34" s="455"/>
      <c r="G34" s="455"/>
      <c r="H34" s="455"/>
      <c r="I34" s="455"/>
      <c r="J34" s="455"/>
      <c r="K34" s="455"/>
      <c r="L34" s="455"/>
      <c r="M34" s="455"/>
      <c r="N34" s="455"/>
      <c r="O34" s="455"/>
      <c r="P34" s="455"/>
      <c r="Q34" s="455"/>
      <c r="R34" s="455"/>
      <c r="S34" s="455"/>
      <c r="T34" s="608"/>
      <c r="U34" s="609"/>
      <c r="V34" s="455"/>
      <c r="W34" s="455"/>
      <c r="X34" s="455"/>
      <c r="Y34" s="455"/>
      <c r="Z34" s="455"/>
      <c r="AA34" s="2705" t="s">
        <v>0</v>
      </c>
      <c r="AB34" s="2705"/>
      <c r="AC34" s="455"/>
      <c r="AD34" s="455"/>
      <c r="AE34" s="455"/>
      <c r="AF34" s="455"/>
    </row>
    <row r="35" spans="1:32" s="457" customFormat="1" ht="18" customHeight="1" x14ac:dyDescent="0.2">
      <c r="A35" s="2706" t="s">
        <v>1</v>
      </c>
      <c r="B35" s="2706"/>
      <c r="C35" s="2706"/>
      <c r="D35" s="2706"/>
      <c r="E35" s="2706"/>
      <c r="F35" s="2706"/>
      <c r="G35" s="2706"/>
      <c r="H35" s="2706"/>
      <c r="I35" s="2706"/>
      <c r="J35" s="2706"/>
      <c r="K35" s="2706"/>
      <c r="L35" s="2706"/>
      <c r="M35" s="2706"/>
      <c r="N35" s="2706"/>
      <c r="O35" s="2706"/>
      <c r="P35" s="2706"/>
      <c r="Q35" s="2706"/>
      <c r="R35" s="2706"/>
      <c r="S35" s="2706"/>
      <c r="T35" s="2706"/>
      <c r="U35" s="2706"/>
      <c r="V35" s="2706"/>
      <c r="W35" s="2706"/>
      <c r="X35" s="2706"/>
      <c r="Y35" s="2706"/>
      <c r="Z35" s="2706"/>
      <c r="AA35" s="2706"/>
      <c r="AB35" s="2706"/>
      <c r="AC35" s="610"/>
      <c r="AD35" s="610"/>
      <c r="AE35" s="610"/>
      <c r="AF35" s="610"/>
    </row>
    <row r="36" spans="1:32" s="457" customFormat="1" ht="18" customHeight="1" x14ac:dyDescent="0.2">
      <c r="A36" s="2704" t="s">
        <v>425</v>
      </c>
      <c r="B36" s="2704"/>
      <c r="C36" s="2704"/>
      <c r="D36" s="2704"/>
      <c r="E36" s="2704"/>
      <c r="F36" s="2704"/>
      <c r="G36" s="2704"/>
      <c r="H36" s="2704"/>
      <c r="I36" s="2704"/>
      <c r="J36" s="2704"/>
      <c r="K36" s="2704"/>
      <c r="L36" s="2704"/>
      <c r="M36" s="2704"/>
      <c r="N36" s="2704"/>
      <c r="O36" s="2704"/>
      <c r="P36" s="2704"/>
      <c r="Q36" s="2704"/>
      <c r="R36" s="2704"/>
      <c r="S36" s="2704"/>
      <c r="T36" s="2704"/>
      <c r="U36" s="2704"/>
      <c r="V36" s="2704"/>
      <c r="W36" s="2704"/>
      <c r="X36" s="2704"/>
      <c r="Y36" s="2704"/>
      <c r="Z36" s="2704"/>
      <c r="AA36" s="2704"/>
      <c r="AB36" s="2704"/>
      <c r="AC36" s="611"/>
      <c r="AD36" s="611"/>
      <c r="AE36" s="611"/>
      <c r="AF36" s="611"/>
    </row>
    <row r="37" spans="1:32" s="457" customFormat="1" ht="18" customHeight="1" x14ac:dyDescent="0.2">
      <c r="A37" s="2686" t="s">
        <v>2</v>
      </c>
      <c r="B37" s="360"/>
      <c r="C37" s="2686" t="s">
        <v>3</v>
      </c>
      <c r="D37" s="360"/>
      <c r="E37" s="360"/>
      <c r="F37" s="2693" t="s">
        <v>4</v>
      </c>
      <c r="G37" s="2693"/>
      <c r="H37" s="2693"/>
      <c r="I37" s="2694"/>
      <c r="J37" s="2694"/>
      <c r="K37" s="2695"/>
      <c r="L37" s="361"/>
      <c r="M37" s="2679" t="s">
        <v>5</v>
      </c>
      <c r="N37" s="2679"/>
      <c r="O37" s="2679"/>
      <c r="P37" s="2679"/>
      <c r="Q37" s="2696"/>
      <c r="R37" s="2696"/>
      <c r="S37" s="2696"/>
      <c r="T37" s="2696"/>
      <c r="U37" s="2696"/>
      <c r="V37" s="2697"/>
      <c r="W37" s="362" t="s">
        <v>6</v>
      </c>
      <c r="X37" s="363" t="s">
        <v>7</v>
      </c>
      <c r="Y37" s="364"/>
      <c r="Z37" s="364"/>
      <c r="AA37" s="363"/>
      <c r="AB37" s="458"/>
      <c r="AC37" s="612" t="s">
        <v>8</v>
      </c>
      <c r="AD37" s="613"/>
      <c r="AE37" s="613"/>
      <c r="AF37" s="614"/>
    </row>
    <row r="38" spans="1:32" s="457" customFormat="1" ht="18" customHeight="1" x14ac:dyDescent="0.2">
      <c r="A38" s="2687"/>
      <c r="B38" s="367"/>
      <c r="C38" s="2687"/>
      <c r="D38" s="366" t="s">
        <v>9</v>
      </c>
      <c r="E38" s="366" t="s">
        <v>10</v>
      </c>
      <c r="F38" s="2698" t="s">
        <v>11</v>
      </c>
      <c r="G38" s="2694"/>
      <c r="H38" s="2695"/>
      <c r="I38" s="360"/>
      <c r="J38" s="449" t="s">
        <v>12</v>
      </c>
      <c r="K38" s="360"/>
      <c r="L38" s="2679" t="s">
        <v>2</v>
      </c>
      <c r="M38" s="370"/>
      <c r="N38" s="370"/>
      <c r="O38" s="370"/>
      <c r="P38" s="371"/>
      <c r="Q38" s="459" t="s">
        <v>13</v>
      </c>
      <c r="R38" s="370" t="s">
        <v>12</v>
      </c>
      <c r="S38" s="370" t="s">
        <v>6</v>
      </c>
      <c r="T38" s="2682" t="s">
        <v>14</v>
      </c>
      <c r="U38" s="2683"/>
      <c r="V38" s="375" t="s">
        <v>7</v>
      </c>
      <c r="W38" s="376" t="s">
        <v>15</v>
      </c>
      <c r="X38" s="377" t="s">
        <v>16</v>
      </c>
      <c r="Y38" s="377" t="s">
        <v>17</v>
      </c>
      <c r="Z38" s="377" t="s">
        <v>18</v>
      </c>
      <c r="AA38" s="377"/>
      <c r="AB38" s="460" t="s">
        <v>19</v>
      </c>
      <c r="AC38" s="615" t="s">
        <v>20</v>
      </c>
      <c r="AD38" s="616"/>
      <c r="AE38" s="617" t="s">
        <v>21</v>
      </c>
      <c r="AF38" s="618" t="s">
        <v>22</v>
      </c>
    </row>
    <row r="39" spans="1:32" s="457" customFormat="1" ht="18" customHeight="1" x14ac:dyDescent="0.2">
      <c r="A39" s="2687"/>
      <c r="B39" s="366" t="s">
        <v>23</v>
      </c>
      <c r="C39" s="2687"/>
      <c r="D39" s="366" t="s">
        <v>24</v>
      </c>
      <c r="E39" s="366" t="s">
        <v>25</v>
      </c>
      <c r="F39" s="2699"/>
      <c r="G39" s="2700"/>
      <c r="H39" s="2701"/>
      <c r="I39" s="366" t="s">
        <v>26</v>
      </c>
      <c r="J39" s="380" t="s">
        <v>15</v>
      </c>
      <c r="K39" s="380" t="s">
        <v>6</v>
      </c>
      <c r="L39" s="2680"/>
      <c r="M39" s="381" t="s">
        <v>27</v>
      </c>
      <c r="N39" s="381" t="s">
        <v>10</v>
      </c>
      <c r="O39" s="381" t="s">
        <v>10</v>
      </c>
      <c r="P39" s="385" t="s">
        <v>28</v>
      </c>
      <c r="Q39" s="461" t="s">
        <v>29</v>
      </c>
      <c r="R39" s="385" t="s">
        <v>15</v>
      </c>
      <c r="S39" s="385" t="s">
        <v>15</v>
      </c>
      <c r="T39" s="2684"/>
      <c r="U39" s="2685"/>
      <c r="V39" s="375" t="s">
        <v>30</v>
      </c>
      <c r="W39" s="376" t="s">
        <v>31</v>
      </c>
      <c r="X39" s="377" t="s">
        <v>30</v>
      </c>
      <c r="Y39" s="377" t="s">
        <v>32</v>
      </c>
      <c r="Z39" s="377" t="s">
        <v>7</v>
      </c>
      <c r="AA39" s="377" t="s">
        <v>33</v>
      </c>
      <c r="AB39" s="460" t="s">
        <v>34</v>
      </c>
      <c r="AC39" s="615" t="s">
        <v>35</v>
      </c>
      <c r="AD39" s="617" t="s">
        <v>36</v>
      </c>
      <c r="AE39" s="617" t="s">
        <v>37</v>
      </c>
      <c r="AF39" s="618" t="s">
        <v>38</v>
      </c>
    </row>
    <row r="40" spans="1:32" s="457" customFormat="1" ht="18" customHeight="1" x14ac:dyDescent="0.2">
      <c r="A40" s="2687"/>
      <c r="B40" s="366" t="s">
        <v>39</v>
      </c>
      <c r="C40" s="2687"/>
      <c r="D40" s="366" t="s">
        <v>40</v>
      </c>
      <c r="E40" s="366" t="s">
        <v>41</v>
      </c>
      <c r="F40" s="2686" t="s">
        <v>42</v>
      </c>
      <c r="G40" s="2686" t="s">
        <v>43</v>
      </c>
      <c r="H40" s="2688" t="s">
        <v>44</v>
      </c>
      <c r="I40" s="366" t="s">
        <v>45</v>
      </c>
      <c r="J40" s="380" t="s">
        <v>46</v>
      </c>
      <c r="K40" s="380" t="s">
        <v>47</v>
      </c>
      <c r="L40" s="2680"/>
      <c r="M40" s="381" t="s">
        <v>30</v>
      </c>
      <c r="N40" s="381" t="s">
        <v>30</v>
      </c>
      <c r="O40" s="381" t="s">
        <v>25</v>
      </c>
      <c r="P40" s="385" t="s">
        <v>30</v>
      </c>
      <c r="Q40" s="461" t="s">
        <v>48</v>
      </c>
      <c r="R40" s="385" t="s">
        <v>49</v>
      </c>
      <c r="S40" s="385" t="s">
        <v>30</v>
      </c>
      <c r="T40" s="619" t="s">
        <v>50</v>
      </c>
      <c r="U40" s="620" t="s">
        <v>13</v>
      </c>
      <c r="V40" s="375" t="s">
        <v>51</v>
      </c>
      <c r="W40" s="376" t="s">
        <v>52</v>
      </c>
      <c r="X40" s="377" t="s">
        <v>53</v>
      </c>
      <c r="Y40" s="377" t="s">
        <v>54</v>
      </c>
      <c r="Z40" s="377" t="s">
        <v>55</v>
      </c>
      <c r="AA40" s="377" t="s">
        <v>56</v>
      </c>
      <c r="AB40" s="460" t="s">
        <v>57</v>
      </c>
      <c r="AC40" s="617" t="s">
        <v>58</v>
      </c>
      <c r="AD40" s="617" t="s">
        <v>59</v>
      </c>
      <c r="AE40" s="617" t="s">
        <v>59</v>
      </c>
      <c r="AF40" s="618" t="s">
        <v>60</v>
      </c>
    </row>
    <row r="41" spans="1:32" s="457" customFormat="1" ht="18" customHeight="1" x14ac:dyDescent="0.2">
      <c r="A41" s="2687"/>
      <c r="B41" s="366" t="s">
        <v>61</v>
      </c>
      <c r="C41" s="2687"/>
      <c r="D41" s="366" t="s">
        <v>62</v>
      </c>
      <c r="E41" s="366" t="s">
        <v>63</v>
      </c>
      <c r="F41" s="2687"/>
      <c r="G41" s="2687"/>
      <c r="H41" s="2689"/>
      <c r="I41" s="366" t="s">
        <v>64</v>
      </c>
      <c r="J41" s="380" t="s">
        <v>59</v>
      </c>
      <c r="K41" s="380" t="s">
        <v>59</v>
      </c>
      <c r="L41" s="2680"/>
      <c r="M41" s="381"/>
      <c r="N41" s="381"/>
      <c r="O41" s="381" t="s">
        <v>41</v>
      </c>
      <c r="P41" s="385" t="s">
        <v>65</v>
      </c>
      <c r="Q41" s="461" t="s">
        <v>66</v>
      </c>
      <c r="R41" s="385" t="s">
        <v>67</v>
      </c>
      <c r="S41" s="385" t="s">
        <v>59</v>
      </c>
      <c r="T41" s="621" t="s">
        <v>68</v>
      </c>
      <c r="U41" s="622" t="s">
        <v>14</v>
      </c>
      <c r="V41" s="375" t="s">
        <v>14</v>
      </c>
      <c r="W41" s="376" t="s">
        <v>30</v>
      </c>
      <c r="X41" s="388" t="s">
        <v>69</v>
      </c>
      <c r="Y41" s="388" t="s">
        <v>70</v>
      </c>
      <c r="Z41" s="377" t="s">
        <v>71</v>
      </c>
      <c r="AA41" s="377" t="s">
        <v>72</v>
      </c>
      <c r="AB41" s="460" t="s">
        <v>59</v>
      </c>
      <c r="AC41" s="617" t="s">
        <v>59</v>
      </c>
      <c r="AD41" s="617"/>
      <c r="AE41" s="617"/>
      <c r="AF41" s="618" t="s">
        <v>59</v>
      </c>
    </row>
    <row r="42" spans="1:32" s="457" customFormat="1" ht="18" customHeight="1" x14ac:dyDescent="0.2">
      <c r="A42" s="2692"/>
      <c r="B42" s="390"/>
      <c r="C42" s="2692"/>
      <c r="D42" s="390"/>
      <c r="E42" s="389"/>
      <c r="F42" s="390"/>
      <c r="G42" s="390"/>
      <c r="H42" s="391"/>
      <c r="I42" s="389"/>
      <c r="J42" s="393"/>
      <c r="K42" s="393"/>
      <c r="L42" s="2681"/>
      <c r="M42" s="394"/>
      <c r="N42" s="394"/>
      <c r="O42" s="394" t="s">
        <v>63</v>
      </c>
      <c r="P42" s="394"/>
      <c r="Q42" s="450" t="s">
        <v>72</v>
      </c>
      <c r="R42" s="398" t="s">
        <v>59</v>
      </c>
      <c r="S42" s="398"/>
      <c r="T42" s="623" t="s">
        <v>73</v>
      </c>
      <c r="U42" s="624" t="s">
        <v>59</v>
      </c>
      <c r="V42" s="399" t="s">
        <v>59</v>
      </c>
      <c r="W42" s="400" t="s">
        <v>59</v>
      </c>
      <c r="X42" s="401" t="s">
        <v>59</v>
      </c>
      <c r="Y42" s="401" t="s">
        <v>59</v>
      </c>
      <c r="Z42" s="401" t="s">
        <v>59</v>
      </c>
      <c r="AA42" s="402"/>
      <c r="AB42" s="462"/>
      <c r="AC42" s="625"/>
      <c r="AD42" s="625"/>
      <c r="AE42" s="625"/>
      <c r="AF42" s="626"/>
    </row>
    <row r="43" spans="1:32" s="457" customFormat="1" ht="18" customHeight="1" x14ac:dyDescent="0.25">
      <c r="A43" s="95">
        <v>1</v>
      </c>
      <c r="B43" s="913">
        <v>3867</v>
      </c>
      <c r="C43" s="285" t="s">
        <v>141</v>
      </c>
      <c r="D43" s="273" t="s">
        <v>139</v>
      </c>
      <c r="E43" s="287">
        <v>5</v>
      </c>
      <c r="F43" s="1387">
        <v>0</v>
      </c>
      <c r="G43" s="289">
        <v>3</v>
      </c>
      <c r="H43" s="288">
        <v>68.78</v>
      </c>
      <c r="I43" s="44">
        <f>F43*400+G43*100+H43</f>
        <v>368.78</v>
      </c>
      <c r="J43" s="628">
        <v>2000</v>
      </c>
      <c r="K43" s="60">
        <f t="shared" ref="K43:K44" si="5">SUM(I43*J43)</f>
        <v>737560</v>
      </c>
      <c r="L43" s="269">
        <v>1</v>
      </c>
      <c r="M43" s="333">
        <v>103</v>
      </c>
      <c r="N43" s="976" t="s">
        <v>74</v>
      </c>
      <c r="O43" s="333">
        <v>2</v>
      </c>
      <c r="P43" s="332">
        <v>236.37570000000002</v>
      </c>
      <c r="Q43" s="333">
        <v>100</v>
      </c>
      <c r="R43" s="1462">
        <v>9050</v>
      </c>
      <c r="S43" s="30">
        <f t="shared" ref="S43:S44" si="6">+P43*R43</f>
        <v>2139200.0850000004</v>
      </c>
      <c r="T43" s="1862">
        <v>28</v>
      </c>
      <c r="U43" s="1670">
        <f>+S43*0.46</f>
        <v>984032.03910000029</v>
      </c>
      <c r="V43" s="18">
        <f t="shared" ref="V43:V44" si="7">+S43-U43</f>
        <v>1155168.0459000003</v>
      </c>
      <c r="W43" s="18">
        <f t="shared" ref="W43:W44" si="8">K43+V43</f>
        <v>1892728.0459000003</v>
      </c>
      <c r="X43" s="47">
        <f t="shared" ref="X43:X44" si="9">W43</f>
        <v>1892728.0459000003</v>
      </c>
      <c r="Y43" s="254" t="s">
        <v>87</v>
      </c>
      <c r="Z43" s="1436">
        <v>0</v>
      </c>
      <c r="AA43" s="333">
        <v>0.02</v>
      </c>
      <c r="AB43" s="465">
        <f>+Z43*AA43/100</f>
        <v>0</v>
      </c>
      <c r="AC43" s="1014"/>
      <c r="AD43" s="349">
        <f>AB43-AC43</f>
        <v>0</v>
      </c>
      <c r="AE43" s="349">
        <f>IF(AD43&lt;=0,0,AD43*25/100)</f>
        <v>0</v>
      </c>
      <c r="AF43" s="349">
        <f>IF(AC43+AE43&gt;AB43,AB43,AC43+AE43)</f>
        <v>0</v>
      </c>
    </row>
    <row r="44" spans="1:32" s="457" customFormat="1" ht="18" customHeight="1" x14ac:dyDescent="0.25">
      <c r="A44" s="75"/>
      <c r="B44" s="269"/>
      <c r="C44" s="285"/>
      <c r="D44" s="273"/>
      <c r="E44" s="273"/>
      <c r="F44" s="268">
        <v>0</v>
      </c>
      <c r="G44" s="269">
        <v>0</v>
      </c>
      <c r="H44" s="266">
        <v>7.22</v>
      </c>
      <c r="I44" s="44">
        <f>F44*400+G44*100+H44</f>
        <v>7.22</v>
      </c>
      <c r="J44" s="628">
        <v>2001</v>
      </c>
      <c r="K44" s="60">
        <f t="shared" si="5"/>
        <v>14447.22</v>
      </c>
      <c r="L44" s="269">
        <v>2</v>
      </c>
      <c r="M44" s="85" t="s">
        <v>260</v>
      </c>
      <c r="N44" s="268" t="s">
        <v>74</v>
      </c>
      <c r="O44" s="638">
        <v>3</v>
      </c>
      <c r="P44" s="639">
        <v>28.886399999999998</v>
      </c>
      <c r="Q44" s="85">
        <v>100</v>
      </c>
      <c r="R44" s="640">
        <v>8650</v>
      </c>
      <c r="S44" s="30">
        <f t="shared" si="6"/>
        <v>249867.36</v>
      </c>
      <c r="T44" s="1709">
        <v>4</v>
      </c>
      <c r="U44" s="1670">
        <f>+S44*0.04</f>
        <v>9994.6944000000003</v>
      </c>
      <c r="V44" s="18">
        <f t="shared" si="7"/>
        <v>239872.66559999998</v>
      </c>
      <c r="W44" s="18">
        <f t="shared" si="8"/>
        <v>254319.88559999998</v>
      </c>
      <c r="X44" s="47">
        <f t="shared" si="9"/>
        <v>254319.88559999998</v>
      </c>
      <c r="Y44" s="269"/>
      <c r="Z44" s="18">
        <f>+X44</f>
        <v>254319.88559999998</v>
      </c>
      <c r="AA44" s="273">
        <v>0.3</v>
      </c>
      <c r="AB44" s="410">
        <f>+Z44*AA44/100</f>
        <v>762.95965679999995</v>
      </c>
      <c r="AC44" s="1014"/>
      <c r="AD44" s="349"/>
      <c r="AE44" s="349"/>
      <c r="AF44" s="349"/>
    </row>
    <row r="45" spans="1:32" s="457" customFormat="1" ht="18" customHeight="1" x14ac:dyDescent="0.2">
      <c r="A45" s="75"/>
      <c r="B45" s="75"/>
      <c r="C45" s="174"/>
      <c r="D45" s="88"/>
      <c r="E45" s="88"/>
      <c r="F45" s="418"/>
      <c r="G45" s="75"/>
      <c r="H45" s="188"/>
      <c r="I45" s="77"/>
      <c r="J45" s="121"/>
      <c r="K45" s="159"/>
      <c r="L45" s="75"/>
      <c r="M45" s="145"/>
      <c r="N45" s="145"/>
      <c r="O45" s="61"/>
      <c r="P45" s="145"/>
      <c r="Q45" s="196"/>
      <c r="R45" s="408"/>
      <c r="S45" s="77"/>
      <c r="T45" s="408"/>
      <c r="U45" s="77"/>
      <c r="V45" s="77"/>
      <c r="W45" s="77"/>
      <c r="X45" s="77"/>
      <c r="Y45" s="77"/>
      <c r="Z45" s="77"/>
      <c r="AA45" s="409"/>
      <c r="AB45" s="416"/>
      <c r="AC45" s="350"/>
      <c r="AD45" s="349"/>
      <c r="AE45" s="349"/>
      <c r="AF45" s="349"/>
    </row>
    <row r="46" spans="1:32" s="457" customFormat="1" ht="18" customHeight="1" x14ac:dyDescent="0.2">
      <c r="A46" s="75"/>
      <c r="B46" s="75"/>
      <c r="C46" s="174"/>
      <c r="D46" s="88"/>
      <c r="E46" s="88"/>
      <c r="F46" s="418"/>
      <c r="G46" s="75"/>
      <c r="H46" s="188"/>
      <c r="I46" s="77"/>
      <c r="J46" s="121"/>
      <c r="K46" s="159"/>
      <c r="L46" s="75"/>
      <c r="M46" s="145"/>
      <c r="N46" s="145"/>
      <c r="O46" s="61"/>
      <c r="P46" s="145"/>
      <c r="Q46" s="174"/>
      <c r="R46" s="408"/>
      <c r="S46" s="77"/>
      <c r="T46" s="413"/>
      <c r="U46" s="74"/>
      <c r="V46" s="74"/>
      <c r="W46" s="77"/>
      <c r="X46" s="74"/>
      <c r="Y46" s="77"/>
      <c r="Z46" s="77"/>
      <c r="AA46" s="409"/>
      <c r="AB46" s="415"/>
      <c r="AC46" s="350"/>
      <c r="AD46" s="349"/>
      <c r="AE46" s="349"/>
      <c r="AF46" s="349"/>
    </row>
    <row r="47" spans="1:32" s="457" customFormat="1" ht="18" customHeight="1" x14ac:dyDescent="0.2">
      <c r="A47" s="75"/>
      <c r="B47" s="75"/>
      <c r="C47" s="174"/>
      <c r="D47" s="88"/>
      <c r="E47" s="88"/>
      <c r="F47" s="418"/>
      <c r="G47" s="75"/>
      <c r="H47" s="188"/>
      <c r="I47" s="77"/>
      <c r="J47" s="121"/>
      <c r="K47" s="159"/>
      <c r="L47" s="75"/>
      <c r="M47" s="145"/>
      <c r="N47" s="145"/>
      <c r="O47" s="61"/>
      <c r="P47" s="145"/>
      <c r="Q47" s="174"/>
      <c r="R47" s="408"/>
      <c r="S47" s="77"/>
      <c r="T47" s="413"/>
      <c r="U47" s="74"/>
      <c r="V47" s="74"/>
      <c r="W47" s="77"/>
      <c r="X47" s="74"/>
      <c r="Y47" s="77"/>
      <c r="Z47" s="77"/>
      <c r="AA47" s="409"/>
      <c r="AB47" s="415"/>
      <c r="AC47" s="350"/>
      <c r="AD47" s="349"/>
      <c r="AE47" s="349"/>
      <c r="AF47" s="349"/>
    </row>
    <row r="48" spans="1:32" s="457" customFormat="1" ht="18" customHeight="1" x14ac:dyDescent="0.2">
      <c r="A48" s="75"/>
      <c r="B48" s="75"/>
      <c r="C48" s="174"/>
      <c r="D48" s="88"/>
      <c r="E48" s="88"/>
      <c r="F48" s="418"/>
      <c r="G48" s="75"/>
      <c r="H48" s="188"/>
      <c r="I48" s="77"/>
      <c r="J48" s="121"/>
      <c r="K48" s="159"/>
      <c r="L48" s="75"/>
      <c r="M48" s="145"/>
      <c r="N48" s="145"/>
      <c r="O48" s="61"/>
      <c r="P48" s="145"/>
      <c r="Q48" s="174"/>
      <c r="R48" s="408"/>
      <c r="S48" s="77"/>
      <c r="T48" s="413"/>
      <c r="U48" s="74"/>
      <c r="V48" s="74"/>
      <c r="W48" s="77"/>
      <c r="X48" s="74"/>
      <c r="Y48" s="77"/>
      <c r="Z48" s="77"/>
      <c r="AA48" s="409"/>
      <c r="AB48" s="415"/>
      <c r="AC48" s="350"/>
      <c r="AD48" s="349"/>
      <c r="AE48" s="349"/>
      <c r="AF48" s="349"/>
    </row>
    <row r="49" spans="1:32" s="457" customFormat="1" ht="18" customHeight="1" x14ac:dyDescent="0.2">
      <c r="A49" s="75"/>
      <c r="B49" s="75"/>
      <c r="C49" s="174"/>
      <c r="D49" s="88"/>
      <c r="E49" s="88"/>
      <c r="F49" s="418"/>
      <c r="G49" s="75"/>
      <c r="H49" s="188"/>
      <c r="I49" s="77"/>
      <c r="J49" s="121"/>
      <c r="K49" s="159"/>
      <c r="L49" s="75"/>
      <c r="M49" s="145"/>
      <c r="N49" s="145"/>
      <c r="O49" s="61"/>
      <c r="P49" s="145"/>
      <c r="Q49" s="174"/>
      <c r="R49" s="408"/>
      <c r="S49" s="77"/>
      <c r="T49" s="413"/>
      <c r="U49" s="74"/>
      <c r="V49" s="74"/>
      <c r="W49" s="77"/>
      <c r="X49" s="74"/>
      <c r="Y49" s="77"/>
      <c r="Z49" s="77"/>
      <c r="AA49" s="409"/>
      <c r="AB49" s="415"/>
      <c r="AC49" s="350"/>
      <c r="AD49" s="349"/>
      <c r="AE49" s="349"/>
      <c r="AF49" s="349"/>
    </row>
    <row r="50" spans="1:32" s="457" customFormat="1" ht="18" customHeight="1" x14ac:dyDescent="0.2">
      <c r="A50" s="75"/>
      <c r="B50" s="75"/>
      <c r="C50" s="174"/>
      <c r="D50" s="88"/>
      <c r="E50" s="88"/>
      <c r="F50" s="418"/>
      <c r="G50" s="75"/>
      <c r="H50" s="188"/>
      <c r="I50" s="77"/>
      <c r="J50" s="121"/>
      <c r="K50" s="159"/>
      <c r="L50" s="75"/>
      <c r="M50" s="145"/>
      <c r="N50" s="145"/>
      <c r="O50" s="61"/>
      <c r="P50" s="145"/>
      <c r="Q50" s="174"/>
      <c r="R50" s="408"/>
      <c r="S50" s="77"/>
      <c r="T50" s="413"/>
      <c r="U50" s="74"/>
      <c r="V50" s="74"/>
      <c r="W50" s="77"/>
      <c r="X50" s="74"/>
      <c r="Y50" s="77"/>
      <c r="Z50" s="77"/>
      <c r="AA50" s="409"/>
      <c r="AB50" s="415"/>
      <c r="AC50" s="350"/>
      <c r="AD50" s="349"/>
      <c r="AE50" s="349"/>
      <c r="AF50" s="349"/>
    </row>
    <row r="51" spans="1:32" s="457" customFormat="1" ht="18" customHeight="1" x14ac:dyDescent="0.2">
      <c r="A51" s="75"/>
      <c r="B51" s="75"/>
      <c r="C51" s="174"/>
      <c r="D51" s="88"/>
      <c r="E51" s="88"/>
      <c r="F51" s="418"/>
      <c r="G51" s="75"/>
      <c r="H51" s="188"/>
      <c r="I51" s="77"/>
      <c r="J51" s="121"/>
      <c r="K51" s="159"/>
      <c r="L51" s="75"/>
      <c r="M51" s="145"/>
      <c r="N51" s="145"/>
      <c r="O51" s="61"/>
      <c r="P51" s="145"/>
      <c r="Q51" s="174"/>
      <c r="R51" s="408"/>
      <c r="S51" s="77"/>
      <c r="T51" s="413"/>
      <c r="U51" s="74"/>
      <c r="V51" s="74"/>
      <c r="W51" s="77"/>
      <c r="X51" s="74"/>
      <c r="Y51" s="77"/>
      <c r="Z51" s="77"/>
      <c r="AA51" s="409"/>
      <c r="AB51" s="415"/>
      <c r="AC51" s="350"/>
      <c r="AD51" s="349"/>
      <c r="AE51" s="349"/>
      <c r="AF51" s="349"/>
    </row>
    <row r="52" spans="1:32" s="457" customFormat="1" ht="18" customHeight="1" x14ac:dyDescent="0.2">
      <c r="A52" s="75"/>
      <c r="B52" s="75"/>
      <c r="C52" s="174"/>
      <c r="D52" s="88"/>
      <c r="E52" s="88"/>
      <c r="F52" s="418"/>
      <c r="G52" s="75"/>
      <c r="H52" s="188"/>
      <c r="I52" s="77"/>
      <c r="J52" s="121"/>
      <c r="K52" s="159"/>
      <c r="L52" s="75"/>
      <c r="M52" s="145"/>
      <c r="N52" s="145"/>
      <c r="O52" s="61"/>
      <c r="P52" s="145"/>
      <c r="Q52" s="174"/>
      <c r="R52" s="408"/>
      <c r="S52" s="77"/>
      <c r="T52" s="413"/>
      <c r="U52" s="74"/>
      <c r="V52" s="74"/>
      <c r="W52" s="77"/>
      <c r="X52" s="74"/>
      <c r="Y52" s="77"/>
      <c r="Z52" s="77"/>
      <c r="AA52" s="409"/>
      <c r="AB52" s="415"/>
      <c r="AC52" s="350"/>
      <c r="AD52" s="349"/>
      <c r="AE52" s="349"/>
      <c r="AF52" s="349"/>
    </row>
    <row r="53" spans="1:32" s="457" customFormat="1" ht="18" customHeight="1" x14ac:dyDescent="0.2">
      <c r="A53" s="75"/>
      <c r="B53" s="75"/>
      <c r="C53" s="174"/>
      <c r="D53" s="88"/>
      <c r="E53" s="88"/>
      <c r="F53" s="418"/>
      <c r="G53" s="75"/>
      <c r="H53" s="188"/>
      <c r="I53" s="77"/>
      <c r="J53" s="121"/>
      <c r="K53" s="159"/>
      <c r="L53" s="75"/>
      <c r="M53" s="145"/>
      <c r="N53" s="145"/>
      <c r="O53" s="61"/>
      <c r="P53" s="145"/>
      <c r="Q53" s="174"/>
      <c r="R53" s="408"/>
      <c r="S53" s="77"/>
      <c r="T53" s="413"/>
      <c r="U53" s="74"/>
      <c r="V53" s="74"/>
      <c r="W53" s="77"/>
      <c r="X53" s="74"/>
      <c r="Y53" s="77"/>
      <c r="Z53" s="77"/>
      <c r="AA53" s="409"/>
      <c r="AB53" s="415"/>
      <c r="AC53" s="350"/>
      <c r="AD53" s="349"/>
      <c r="AE53" s="349"/>
      <c r="AF53" s="349"/>
    </row>
    <row r="54" spans="1:32" s="457" customFormat="1" ht="18" customHeight="1" x14ac:dyDescent="0.2">
      <c r="A54" s="75"/>
      <c r="B54" s="75"/>
      <c r="C54" s="174"/>
      <c r="D54" s="88"/>
      <c r="E54" s="88"/>
      <c r="F54" s="418"/>
      <c r="G54" s="75"/>
      <c r="H54" s="188"/>
      <c r="I54" s="77"/>
      <c r="J54" s="121"/>
      <c r="K54" s="159"/>
      <c r="L54" s="75"/>
      <c r="M54" s="145"/>
      <c r="N54" s="145"/>
      <c r="O54" s="61"/>
      <c r="P54" s="145"/>
      <c r="Q54" s="174"/>
      <c r="R54" s="408"/>
      <c r="S54" s="77"/>
      <c r="T54" s="413"/>
      <c r="U54" s="74"/>
      <c r="V54" s="74"/>
      <c r="W54" s="77"/>
      <c r="X54" s="74"/>
      <c r="Y54" s="77"/>
      <c r="Z54" s="77"/>
      <c r="AA54" s="409"/>
      <c r="AB54" s="415"/>
      <c r="AC54" s="350"/>
      <c r="AD54" s="349"/>
      <c r="AE54" s="349"/>
      <c r="AF54" s="349"/>
    </row>
    <row r="55" spans="1:32" s="457" customFormat="1" ht="18" customHeight="1" x14ac:dyDescent="0.2">
      <c r="A55" s="75"/>
      <c r="B55" s="75"/>
      <c r="C55" s="174"/>
      <c r="D55" s="88"/>
      <c r="E55" s="88"/>
      <c r="F55" s="418"/>
      <c r="G55" s="75"/>
      <c r="H55" s="188"/>
      <c r="I55" s="77"/>
      <c r="J55" s="121"/>
      <c r="K55" s="159"/>
      <c r="L55" s="75"/>
      <c r="M55" s="145"/>
      <c r="N55" s="145"/>
      <c r="O55" s="61"/>
      <c r="P55" s="145"/>
      <c r="Q55" s="174"/>
      <c r="R55" s="408"/>
      <c r="S55" s="77"/>
      <c r="T55" s="413"/>
      <c r="U55" s="74"/>
      <c r="V55" s="74"/>
      <c r="W55" s="77"/>
      <c r="X55" s="74"/>
      <c r="Y55" s="77"/>
      <c r="Z55" s="77"/>
      <c r="AA55" s="409"/>
      <c r="AB55" s="415"/>
      <c r="AC55" s="350"/>
      <c r="AD55" s="349"/>
      <c r="AE55" s="349"/>
      <c r="AF55" s="349"/>
    </row>
    <row r="56" spans="1:32" s="457" customFormat="1" ht="18" customHeight="1" x14ac:dyDescent="0.2">
      <c r="A56" s="75"/>
      <c r="B56" s="75"/>
      <c r="C56" s="174"/>
      <c r="D56" s="88"/>
      <c r="E56" s="88"/>
      <c r="F56" s="418"/>
      <c r="G56" s="75"/>
      <c r="H56" s="188"/>
      <c r="I56" s="77"/>
      <c r="J56" s="121"/>
      <c r="K56" s="159"/>
      <c r="L56" s="75"/>
      <c r="M56" s="145"/>
      <c r="N56" s="145"/>
      <c r="O56" s="61"/>
      <c r="P56" s="145"/>
      <c r="Q56" s="174"/>
      <c r="R56" s="408"/>
      <c r="S56" s="77"/>
      <c r="T56" s="413"/>
      <c r="U56" s="74"/>
      <c r="V56" s="74"/>
      <c r="W56" s="77"/>
      <c r="X56" s="74"/>
      <c r="Y56" s="77"/>
      <c r="Z56" s="77"/>
      <c r="AA56" s="409"/>
      <c r="AB56" s="415"/>
      <c r="AC56" s="350"/>
      <c r="AD56" s="349"/>
      <c r="AE56" s="349"/>
      <c r="AF56" s="349"/>
    </row>
    <row r="57" spans="1:32" s="457" customFormat="1" ht="18" customHeight="1" x14ac:dyDescent="0.2">
      <c r="A57" s="75"/>
      <c r="B57" s="75"/>
      <c r="C57" s="174"/>
      <c r="D57" s="88"/>
      <c r="E57" s="88"/>
      <c r="F57" s="418"/>
      <c r="G57" s="75"/>
      <c r="H57" s="188"/>
      <c r="I57" s="77"/>
      <c r="J57" s="121"/>
      <c r="K57" s="159"/>
      <c r="L57" s="75"/>
      <c r="M57" s="145"/>
      <c r="N57" s="145"/>
      <c r="O57" s="61"/>
      <c r="P57" s="145"/>
      <c r="Q57" s="174"/>
      <c r="R57" s="408"/>
      <c r="S57" s="77"/>
      <c r="T57" s="413"/>
      <c r="U57" s="74"/>
      <c r="V57" s="74"/>
      <c r="W57" s="77"/>
      <c r="X57" s="74"/>
      <c r="Y57" s="77"/>
      <c r="Z57" s="77"/>
      <c r="AA57" s="409"/>
      <c r="AB57" s="415"/>
      <c r="AC57" s="350"/>
      <c r="AD57" s="349"/>
      <c r="AE57" s="349"/>
      <c r="AF57" s="349"/>
    </row>
    <row r="58" spans="1:32" s="457" customFormat="1" ht="18" customHeight="1" x14ac:dyDescent="0.2">
      <c r="A58" s="75"/>
      <c r="B58" s="75"/>
      <c r="C58" s="174"/>
      <c r="D58" s="88"/>
      <c r="E58" s="88"/>
      <c r="F58" s="418"/>
      <c r="G58" s="75"/>
      <c r="H58" s="188"/>
      <c r="I58" s="77"/>
      <c r="J58" s="121"/>
      <c r="K58" s="159"/>
      <c r="L58" s="75"/>
      <c r="M58" s="145"/>
      <c r="N58" s="145"/>
      <c r="O58" s="61"/>
      <c r="P58" s="145"/>
      <c r="Q58" s="174"/>
      <c r="R58" s="408"/>
      <c r="S58" s="77"/>
      <c r="T58" s="413"/>
      <c r="U58" s="74"/>
      <c r="V58" s="74"/>
      <c r="W58" s="77"/>
      <c r="X58" s="74"/>
      <c r="Y58" s="77"/>
      <c r="Z58" s="77"/>
      <c r="AA58" s="409"/>
      <c r="AB58" s="415"/>
      <c r="AC58" s="350"/>
      <c r="AD58" s="349"/>
      <c r="AE58" s="349"/>
      <c r="AF58" s="349"/>
    </row>
    <row r="59" spans="1:32" s="457" customFormat="1" ht="18" customHeight="1" x14ac:dyDescent="0.2">
      <c r="A59" s="75"/>
      <c r="B59" s="75"/>
      <c r="C59" s="174"/>
      <c r="D59" s="88"/>
      <c r="E59" s="88"/>
      <c r="F59" s="418"/>
      <c r="G59" s="75"/>
      <c r="H59" s="188"/>
      <c r="I59" s="77"/>
      <c r="J59" s="121"/>
      <c r="K59" s="159"/>
      <c r="L59" s="75"/>
      <c r="M59" s="145"/>
      <c r="N59" s="145"/>
      <c r="O59" s="61"/>
      <c r="P59" s="145"/>
      <c r="Q59" s="174"/>
      <c r="R59" s="408"/>
      <c r="S59" s="77"/>
      <c r="T59" s="413"/>
      <c r="U59" s="74"/>
      <c r="V59" s="74"/>
      <c r="W59" s="77"/>
      <c r="X59" s="74"/>
      <c r="Y59" s="77"/>
      <c r="Z59" s="77"/>
      <c r="AA59" s="409"/>
      <c r="AB59" s="415"/>
      <c r="AC59" s="350"/>
      <c r="AD59" s="349"/>
      <c r="AE59" s="349"/>
      <c r="AF59" s="349"/>
    </row>
    <row r="60" spans="1:32" s="457" customFormat="1" ht="18" customHeight="1" x14ac:dyDescent="0.2">
      <c r="A60" s="75"/>
      <c r="B60" s="75"/>
      <c r="C60" s="174"/>
      <c r="D60" s="88"/>
      <c r="E60" s="88"/>
      <c r="F60" s="418"/>
      <c r="G60" s="75"/>
      <c r="H60" s="188"/>
      <c r="I60" s="77"/>
      <c r="J60" s="121"/>
      <c r="K60" s="159"/>
      <c r="L60" s="75"/>
      <c r="M60" s="145"/>
      <c r="N60" s="145"/>
      <c r="O60" s="61"/>
      <c r="P60" s="145"/>
      <c r="Q60" s="174"/>
      <c r="R60" s="408"/>
      <c r="S60" s="77"/>
      <c r="T60" s="413"/>
      <c r="U60" s="74"/>
      <c r="V60" s="74"/>
      <c r="W60" s="77"/>
      <c r="X60" s="74"/>
      <c r="Y60" s="77"/>
      <c r="Z60" s="77"/>
      <c r="AA60" s="409"/>
      <c r="AB60" s="415"/>
      <c r="AC60" s="350"/>
      <c r="AD60" s="349"/>
      <c r="AE60" s="349"/>
      <c r="AF60" s="349"/>
    </row>
    <row r="61" spans="1:32" s="597" customFormat="1" ht="18" customHeight="1" x14ac:dyDescent="0.2">
      <c r="A61" s="1850"/>
      <c r="B61" s="1850"/>
      <c r="C61" s="1850"/>
      <c r="D61" s="1850"/>
      <c r="E61" s="1850"/>
      <c r="F61" s="1850"/>
      <c r="G61" s="1850"/>
      <c r="H61" s="1851"/>
      <c r="I61" s="1852"/>
      <c r="J61" s="1853"/>
      <c r="K61" s="1852"/>
      <c r="L61" s="1852"/>
      <c r="M61" s="1852"/>
      <c r="N61" s="1852"/>
      <c r="O61" s="1852"/>
      <c r="P61" s="1852"/>
      <c r="Q61" s="1852"/>
      <c r="R61" s="1854"/>
      <c r="S61" s="1852"/>
      <c r="T61" s="1854"/>
      <c r="U61" s="1853"/>
      <c r="V61" s="1852"/>
      <c r="W61" s="1852"/>
      <c r="X61" s="1856"/>
      <c r="Y61" s="1856"/>
      <c r="Z61" s="1857"/>
      <c r="AA61" s="1857"/>
      <c r="AB61" s="1847">
        <f>SUM(AB43:AB60)</f>
        <v>762.95965679999995</v>
      </c>
      <c r="AC61" s="1861"/>
      <c r="AD61" s="1861"/>
      <c r="AE61" s="1861"/>
      <c r="AF61" s="1861"/>
    </row>
    <row r="62" spans="1:32" s="457" customFormat="1" ht="18" customHeight="1" x14ac:dyDescent="0.2">
      <c r="A62" s="2737" t="s">
        <v>76</v>
      </c>
      <c r="B62" s="2737"/>
      <c r="C62" s="2738" t="s">
        <v>77</v>
      </c>
      <c r="D62" s="2738"/>
      <c r="E62" s="2738"/>
      <c r="F62" s="2738"/>
      <c r="G62" s="2738"/>
      <c r="H62" s="2738"/>
      <c r="I62" s="457" t="s">
        <v>78</v>
      </c>
      <c r="T62" s="651"/>
      <c r="U62" s="478"/>
      <c r="AB62" s="478"/>
    </row>
    <row r="63" spans="1:32" s="457" customFormat="1" ht="18" customHeight="1" x14ac:dyDescent="0.2">
      <c r="A63" s="448"/>
      <c r="B63" s="479"/>
      <c r="I63" s="457" t="s">
        <v>79</v>
      </c>
      <c r="T63" s="651"/>
      <c r="U63" s="478"/>
      <c r="AB63" s="478"/>
    </row>
    <row r="64" spans="1:32" s="457" customFormat="1" ht="18" customHeight="1" x14ac:dyDescent="0.2">
      <c r="A64" s="448"/>
      <c r="B64" s="479"/>
      <c r="I64" s="457" t="s">
        <v>80</v>
      </c>
      <c r="T64" s="651"/>
      <c r="U64" s="478"/>
      <c r="AB64" s="478"/>
    </row>
    <row r="65" spans="1:32" s="457" customFormat="1" ht="18" customHeight="1" x14ac:dyDescent="0.2">
      <c r="A65" s="448"/>
      <c r="B65" s="479"/>
      <c r="I65" s="457" t="s">
        <v>81</v>
      </c>
      <c r="T65" s="651"/>
      <c r="U65" s="478"/>
      <c r="AB65" s="478"/>
    </row>
    <row r="66" spans="1:32" s="457" customFormat="1" ht="18" customHeight="1" x14ac:dyDescent="0.2">
      <c r="A66" s="448"/>
      <c r="B66" s="479"/>
      <c r="I66" s="457" t="s">
        <v>88</v>
      </c>
      <c r="T66" s="651"/>
      <c r="U66" s="478"/>
      <c r="AB66" s="478"/>
    </row>
    <row r="67" spans="1:32" s="457" customFormat="1" ht="18" customHeight="1" x14ac:dyDescent="0.2">
      <c r="A67" s="456"/>
      <c r="B67" s="455"/>
      <c r="C67" s="455"/>
      <c r="D67" s="455"/>
      <c r="E67" s="455"/>
      <c r="F67" s="455"/>
      <c r="G67" s="455"/>
      <c r="H67" s="455"/>
      <c r="I67" s="455"/>
      <c r="J67" s="455"/>
      <c r="K67" s="455"/>
      <c r="L67" s="455"/>
      <c r="M67" s="455"/>
      <c r="N67" s="455"/>
      <c r="O67" s="455"/>
      <c r="P67" s="455"/>
      <c r="Q67" s="455"/>
      <c r="R67" s="455"/>
      <c r="S67" s="455"/>
      <c r="T67" s="608"/>
      <c r="U67" s="609"/>
      <c r="V67" s="455"/>
      <c r="W67" s="455"/>
      <c r="X67" s="455"/>
      <c r="Y67" s="455"/>
      <c r="Z67" s="455"/>
      <c r="AA67" s="2705" t="s">
        <v>0</v>
      </c>
      <c r="AB67" s="2705"/>
      <c r="AC67" s="455"/>
      <c r="AD67" s="455"/>
      <c r="AE67" s="455"/>
      <c r="AF67" s="455"/>
    </row>
    <row r="68" spans="1:32" s="457" customFormat="1" ht="18" customHeight="1" x14ac:dyDescent="0.2">
      <c r="A68" s="2706" t="s">
        <v>1</v>
      </c>
      <c r="B68" s="2706"/>
      <c r="C68" s="2706"/>
      <c r="D68" s="2706"/>
      <c r="E68" s="2706"/>
      <c r="F68" s="2706"/>
      <c r="G68" s="2706"/>
      <c r="H68" s="2706"/>
      <c r="I68" s="2706"/>
      <c r="J68" s="2706"/>
      <c r="K68" s="2706"/>
      <c r="L68" s="2706"/>
      <c r="M68" s="2706"/>
      <c r="N68" s="2706"/>
      <c r="O68" s="2706"/>
      <c r="P68" s="2706"/>
      <c r="Q68" s="2706"/>
      <c r="R68" s="2706"/>
      <c r="S68" s="2706"/>
      <c r="T68" s="2706"/>
      <c r="U68" s="2706"/>
      <c r="V68" s="2706"/>
      <c r="W68" s="2706"/>
      <c r="X68" s="2706"/>
      <c r="Y68" s="2706"/>
      <c r="Z68" s="2706"/>
      <c r="AA68" s="2706"/>
      <c r="AB68" s="2706"/>
      <c r="AC68" s="610"/>
      <c r="AD68" s="610"/>
      <c r="AE68" s="610"/>
      <c r="AF68" s="610"/>
    </row>
    <row r="69" spans="1:32" s="457" customFormat="1" ht="18" customHeight="1" x14ac:dyDescent="0.2">
      <c r="A69" s="2704" t="s">
        <v>426</v>
      </c>
      <c r="B69" s="2704"/>
      <c r="C69" s="2704"/>
      <c r="D69" s="2704"/>
      <c r="E69" s="2704"/>
      <c r="F69" s="2704"/>
      <c r="G69" s="2704"/>
      <c r="H69" s="2704"/>
      <c r="I69" s="2704"/>
      <c r="J69" s="2704"/>
      <c r="K69" s="2704"/>
      <c r="L69" s="2704"/>
      <c r="M69" s="2704"/>
      <c r="N69" s="2704"/>
      <c r="O69" s="2704"/>
      <c r="P69" s="2704"/>
      <c r="Q69" s="2704"/>
      <c r="R69" s="2704"/>
      <c r="S69" s="2704"/>
      <c r="T69" s="2704"/>
      <c r="U69" s="2704"/>
      <c r="V69" s="2704"/>
      <c r="W69" s="2704"/>
      <c r="X69" s="2704"/>
      <c r="Y69" s="2704"/>
      <c r="Z69" s="2704"/>
      <c r="AA69" s="2704"/>
      <c r="AB69" s="2704"/>
      <c r="AC69" s="611"/>
      <c r="AD69" s="611"/>
      <c r="AE69" s="611"/>
      <c r="AF69" s="611"/>
    </row>
    <row r="70" spans="1:32" s="457" customFormat="1" ht="18" customHeight="1" x14ac:dyDescent="0.2">
      <c r="A70" s="2686" t="s">
        <v>2</v>
      </c>
      <c r="B70" s="360"/>
      <c r="C70" s="2686" t="s">
        <v>3</v>
      </c>
      <c r="D70" s="360"/>
      <c r="E70" s="360"/>
      <c r="F70" s="2693" t="s">
        <v>4</v>
      </c>
      <c r="G70" s="2693"/>
      <c r="H70" s="2693"/>
      <c r="I70" s="2694"/>
      <c r="J70" s="2694"/>
      <c r="K70" s="2695"/>
      <c r="L70" s="361"/>
      <c r="M70" s="2679" t="s">
        <v>5</v>
      </c>
      <c r="N70" s="2679"/>
      <c r="O70" s="2679"/>
      <c r="P70" s="2679"/>
      <c r="Q70" s="2696"/>
      <c r="R70" s="2696"/>
      <c r="S70" s="2696"/>
      <c r="T70" s="2696"/>
      <c r="U70" s="2696"/>
      <c r="V70" s="2697"/>
      <c r="W70" s="362" t="s">
        <v>6</v>
      </c>
      <c r="X70" s="363" t="s">
        <v>7</v>
      </c>
      <c r="Y70" s="364"/>
      <c r="Z70" s="364"/>
      <c r="AA70" s="363"/>
      <c r="AB70" s="458"/>
      <c r="AC70" s="612" t="s">
        <v>8</v>
      </c>
      <c r="AD70" s="613"/>
      <c r="AE70" s="613"/>
      <c r="AF70" s="614"/>
    </row>
    <row r="71" spans="1:32" s="457" customFormat="1" ht="18" customHeight="1" x14ac:dyDescent="0.2">
      <c r="A71" s="2687"/>
      <c r="B71" s="367"/>
      <c r="C71" s="2687"/>
      <c r="D71" s="366" t="s">
        <v>9</v>
      </c>
      <c r="E71" s="366" t="s">
        <v>10</v>
      </c>
      <c r="F71" s="2698" t="s">
        <v>11</v>
      </c>
      <c r="G71" s="2694"/>
      <c r="H71" s="2695"/>
      <c r="I71" s="360"/>
      <c r="J71" s="449" t="s">
        <v>12</v>
      </c>
      <c r="K71" s="360"/>
      <c r="L71" s="2679" t="s">
        <v>2</v>
      </c>
      <c r="M71" s="370"/>
      <c r="N71" s="370"/>
      <c r="O71" s="370"/>
      <c r="P71" s="371"/>
      <c r="Q71" s="459" t="s">
        <v>13</v>
      </c>
      <c r="R71" s="370" t="s">
        <v>12</v>
      </c>
      <c r="S71" s="370" t="s">
        <v>6</v>
      </c>
      <c r="T71" s="2682" t="s">
        <v>14</v>
      </c>
      <c r="U71" s="2683"/>
      <c r="V71" s="375" t="s">
        <v>7</v>
      </c>
      <c r="W71" s="376" t="s">
        <v>15</v>
      </c>
      <c r="X71" s="377" t="s">
        <v>16</v>
      </c>
      <c r="Y71" s="377" t="s">
        <v>17</v>
      </c>
      <c r="Z71" s="377" t="s">
        <v>18</v>
      </c>
      <c r="AA71" s="377"/>
      <c r="AB71" s="460" t="s">
        <v>19</v>
      </c>
      <c r="AC71" s="615" t="s">
        <v>20</v>
      </c>
      <c r="AD71" s="616"/>
      <c r="AE71" s="617" t="s">
        <v>21</v>
      </c>
      <c r="AF71" s="618" t="s">
        <v>22</v>
      </c>
    </row>
    <row r="72" spans="1:32" s="457" customFormat="1" ht="18" customHeight="1" x14ac:dyDescent="0.2">
      <c r="A72" s="2687"/>
      <c r="B72" s="366" t="s">
        <v>23</v>
      </c>
      <c r="C72" s="2687"/>
      <c r="D72" s="366" t="s">
        <v>24</v>
      </c>
      <c r="E72" s="366" t="s">
        <v>25</v>
      </c>
      <c r="F72" s="2699"/>
      <c r="G72" s="2700"/>
      <c r="H72" s="2701"/>
      <c r="I72" s="366" t="s">
        <v>26</v>
      </c>
      <c r="J72" s="380" t="s">
        <v>15</v>
      </c>
      <c r="K72" s="380" t="s">
        <v>6</v>
      </c>
      <c r="L72" s="2680"/>
      <c r="M72" s="381" t="s">
        <v>27</v>
      </c>
      <c r="N72" s="381" t="s">
        <v>10</v>
      </c>
      <c r="O72" s="381" t="s">
        <v>10</v>
      </c>
      <c r="P72" s="385" t="s">
        <v>28</v>
      </c>
      <c r="Q72" s="461" t="s">
        <v>29</v>
      </c>
      <c r="R72" s="385" t="s">
        <v>15</v>
      </c>
      <c r="S72" s="385" t="s">
        <v>15</v>
      </c>
      <c r="T72" s="2684"/>
      <c r="U72" s="2685"/>
      <c r="V72" s="375" t="s">
        <v>30</v>
      </c>
      <c r="W72" s="376" t="s">
        <v>31</v>
      </c>
      <c r="X72" s="377" t="s">
        <v>30</v>
      </c>
      <c r="Y72" s="377" t="s">
        <v>32</v>
      </c>
      <c r="Z72" s="377" t="s">
        <v>7</v>
      </c>
      <c r="AA72" s="377" t="s">
        <v>33</v>
      </c>
      <c r="AB72" s="460" t="s">
        <v>34</v>
      </c>
      <c r="AC72" s="615" t="s">
        <v>35</v>
      </c>
      <c r="AD72" s="617" t="s">
        <v>36</v>
      </c>
      <c r="AE72" s="617" t="s">
        <v>37</v>
      </c>
      <c r="AF72" s="618" t="s">
        <v>38</v>
      </c>
    </row>
    <row r="73" spans="1:32" s="457" customFormat="1" ht="18" customHeight="1" x14ac:dyDescent="0.2">
      <c r="A73" s="2687"/>
      <c r="B73" s="366" t="s">
        <v>39</v>
      </c>
      <c r="C73" s="2687"/>
      <c r="D73" s="366" t="s">
        <v>40</v>
      </c>
      <c r="E73" s="366" t="s">
        <v>41</v>
      </c>
      <c r="F73" s="2686" t="s">
        <v>42</v>
      </c>
      <c r="G73" s="2686" t="s">
        <v>43</v>
      </c>
      <c r="H73" s="2688" t="s">
        <v>44</v>
      </c>
      <c r="I73" s="366" t="s">
        <v>45</v>
      </c>
      <c r="J73" s="380" t="s">
        <v>46</v>
      </c>
      <c r="K73" s="380" t="s">
        <v>47</v>
      </c>
      <c r="L73" s="2680"/>
      <c r="M73" s="381" t="s">
        <v>30</v>
      </c>
      <c r="N73" s="381" t="s">
        <v>30</v>
      </c>
      <c r="O73" s="381" t="s">
        <v>25</v>
      </c>
      <c r="P73" s="385" t="s">
        <v>30</v>
      </c>
      <c r="Q73" s="461" t="s">
        <v>48</v>
      </c>
      <c r="R73" s="385" t="s">
        <v>49</v>
      </c>
      <c r="S73" s="385" t="s">
        <v>30</v>
      </c>
      <c r="T73" s="619" t="s">
        <v>50</v>
      </c>
      <c r="U73" s="620" t="s">
        <v>13</v>
      </c>
      <c r="V73" s="375" t="s">
        <v>51</v>
      </c>
      <c r="W73" s="376" t="s">
        <v>52</v>
      </c>
      <c r="X73" s="377" t="s">
        <v>53</v>
      </c>
      <c r="Y73" s="377" t="s">
        <v>54</v>
      </c>
      <c r="Z73" s="377" t="s">
        <v>55</v>
      </c>
      <c r="AA73" s="377" t="s">
        <v>56</v>
      </c>
      <c r="AB73" s="460" t="s">
        <v>57</v>
      </c>
      <c r="AC73" s="617" t="s">
        <v>58</v>
      </c>
      <c r="AD73" s="617" t="s">
        <v>59</v>
      </c>
      <c r="AE73" s="617" t="s">
        <v>59</v>
      </c>
      <c r="AF73" s="618" t="s">
        <v>60</v>
      </c>
    </row>
    <row r="74" spans="1:32" s="457" customFormat="1" ht="18" customHeight="1" x14ac:dyDescent="0.2">
      <c r="A74" s="2687"/>
      <c r="B74" s="366" t="s">
        <v>61</v>
      </c>
      <c r="C74" s="2687"/>
      <c r="D74" s="366" t="s">
        <v>62</v>
      </c>
      <c r="E74" s="366" t="s">
        <v>63</v>
      </c>
      <c r="F74" s="2687"/>
      <c r="G74" s="2687"/>
      <c r="H74" s="2689"/>
      <c r="I74" s="366" t="s">
        <v>64</v>
      </c>
      <c r="J74" s="380" t="s">
        <v>59</v>
      </c>
      <c r="K74" s="380" t="s">
        <v>59</v>
      </c>
      <c r="L74" s="2680"/>
      <c r="M74" s="381"/>
      <c r="N74" s="381"/>
      <c r="O74" s="381" t="s">
        <v>41</v>
      </c>
      <c r="P74" s="385" t="s">
        <v>65</v>
      </c>
      <c r="Q74" s="461" t="s">
        <v>66</v>
      </c>
      <c r="R74" s="385" t="s">
        <v>67</v>
      </c>
      <c r="S74" s="385" t="s">
        <v>59</v>
      </c>
      <c r="T74" s="621" t="s">
        <v>68</v>
      </c>
      <c r="U74" s="622" t="s">
        <v>14</v>
      </c>
      <c r="V74" s="375" t="s">
        <v>14</v>
      </c>
      <c r="W74" s="376" t="s">
        <v>30</v>
      </c>
      <c r="X74" s="388" t="s">
        <v>69</v>
      </c>
      <c r="Y74" s="388" t="s">
        <v>70</v>
      </c>
      <c r="Z74" s="377" t="s">
        <v>71</v>
      </c>
      <c r="AA74" s="377" t="s">
        <v>72</v>
      </c>
      <c r="AB74" s="460" t="s">
        <v>59</v>
      </c>
      <c r="AC74" s="617" t="s">
        <v>59</v>
      </c>
      <c r="AD74" s="617"/>
      <c r="AE74" s="617"/>
      <c r="AF74" s="618" t="s">
        <v>59</v>
      </c>
    </row>
    <row r="75" spans="1:32" s="457" customFormat="1" ht="18" customHeight="1" x14ac:dyDescent="0.2">
      <c r="A75" s="2692"/>
      <c r="B75" s="390"/>
      <c r="C75" s="2692"/>
      <c r="D75" s="390"/>
      <c r="E75" s="389"/>
      <c r="F75" s="390"/>
      <c r="G75" s="390"/>
      <c r="H75" s="391"/>
      <c r="I75" s="389"/>
      <c r="J75" s="393"/>
      <c r="K75" s="393"/>
      <c r="L75" s="2681"/>
      <c r="M75" s="394"/>
      <c r="N75" s="394"/>
      <c r="O75" s="394" t="s">
        <v>63</v>
      </c>
      <c r="P75" s="394"/>
      <c r="Q75" s="450" t="s">
        <v>72</v>
      </c>
      <c r="R75" s="398" t="s">
        <v>59</v>
      </c>
      <c r="S75" s="398"/>
      <c r="T75" s="623" t="s">
        <v>73</v>
      </c>
      <c r="U75" s="624" t="s">
        <v>59</v>
      </c>
      <c r="V75" s="399" t="s">
        <v>59</v>
      </c>
      <c r="W75" s="400" t="s">
        <v>59</v>
      </c>
      <c r="X75" s="401" t="s">
        <v>59</v>
      </c>
      <c r="Y75" s="401" t="s">
        <v>59</v>
      </c>
      <c r="Z75" s="401" t="s">
        <v>59</v>
      </c>
      <c r="AA75" s="402"/>
      <c r="AB75" s="462"/>
      <c r="AC75" s="625"/>
      <c r="AD75" s="625"/>
      <c r="AE75" s="625"/>
      <c r="AF75" s="626"/>
    </row>
    <row r="76" spans="1:32" s="457" customFormat="1" ht="18" customHeight="1" x14ac:dyDescent="0.25">
      <c r="A76" s="95">
        <v>1</v>
      </c>
      <c r="B76" s="95">
        <v>42764</v>
      </c>
      <c r="C76" s="336" t="s">
        <v>142</v>
      </c>
      <c r="D76" s="333" t="s">
        <v>139</v>
      </c>
      <c r="E76" s="333">
        <v>5</v>
      </c>
      <c r="F76" s="95">
        <v>0</v>
      </c>
      <c r="G76" s="95">
        <v>1</v>
      </c>
      <c r="H76" s="1046">
        <v>71</v>
      </c>
      <c r="I76" s="44">
        <f>F76*400+G76*100+H76</f>
        <v>171</v>
      </c>
      <c r="J76" s="331">
        <v>1600</v>
      </c>
      <c r="K76" s="60">
        <f t="shared" ref="K76:K77" si="10">SUM(I76*J76)</f>
        <v>273600</v>
      </c>
      <c r="L76" s="254">
        <v>1</v>
      </c>
      <c r="M76" s="95">
        <v>103</v>
      </c>
      <c r="N76" s="95" t="s">
        <v>74</v>
      </c>
      <c r="O76" s="95">
        <v>2</v>
      </c>
      <c r="P76" s="630">
        <v>154.54600000000002</v>
      </c>
      <c r="Q76" s="95">
        <v>100</v>
      </c>
      <c r="R76" s="631">
        <v>9050</v>
      </c>
      <c r="S76" s="30">
        <f t="shared" ref="S76:S77" si="11">+P76*R76</f>
        <v>1398641.3000000003</v>
      </c>
      <c r="T76" s="1863">
        <v>88</v>
      </c>
      <c r="U76" s="1670">
        <f>+S76*0.76</f>
        <v>1062967.3880000003</v>
      </c>
      <c r="V76" s="18">
        <f t="shared" ref="V76" si="12">+S76-U76</f>
        <v>335673.91200000001</v>
      </c>
      <c r="W76" s="18">
        <f t="shared" ref="W76" si="13">K76+V76</f>
        <v>609273.91200000001</v>
      </c>
      <c r="X76" s="47">
        <f>W76*Q76/100</f>
        <v>609273.91200000001</v>
      </c>
      <c r="Y76" s="240" t="s">
        <v>87</v>
      </c>
      <c r="Z76" s="637">
        <v>0</v>
      </c>
      <c r="AA76" s="95">
        <v>0.02</v>
      </c>
      <c r="AB76" s="465">
        <f>+Z76*AA76/100</f>
        <v>0</v>
      </c>
      <c r="AC76" s="625"/>
      <c r="AD76" s="625"/>
      <c r="AE76" s="625"/>
      <c r="AF76" s="618"/>
    </row>
    <row r="77" spans="1:32" s="457" customFormat="1" ht="18" customHeight="1" x14ac:dyDescent="0.25">
      <c r="A77" s="61"/>
      <c r="B77" s="287"/>
      <c r="C77" s="287"/>
      <c r="D77" s="273"/>
      <c r="E77" s="287"/>
      <c r="F77" s="287"/>
      <c r="G77" s="287"/>
      <c r="H77" s="785">
        <v>29</v>
      </c>
      <c r="I77" s="44">
        <f>F77*400+G77*100+H77</f>
        <v>29</v>
      </c>
      <c r="J77" s="331">
        <v>1601</v>
      </c>
      <c r="K77" s="60">
        <f t="shared" si="10"/>
        <v>46429</v>
      </c>
      <c r="L77" s="269">
        <v>2</v>
      </c>
      <c r="M77" s="85">
        <v>504</v>
      </c>
      <c r="N77" s="85" t="s">
        <v>74</v>
      </c>
      <c r="O77" s="638">
        <v>3</v>
      </c>
      <c r="P77" s="639">
        <v>115.99600000000001</v>
      </c>
      <c r="Q77" s="85">
        <v>80</v>
      </c>
      <c r="R77" s="640">
        <v>3100</v>
      </c>
      <c r="S77" s="30">
        <f t="shared" si="11"/>
        <v>359587.60000000003</v>
      </c>
      <c r="T77" s="1709">
        <v>13</v>
      </c>
      <c r="U77" s="1670">
        <f>+S77*0.16</f>
        <v>57534.016000000003</v>
      </c>
      <c r="V77" s="18">
        <f t="shared" ref="V77" si="14">+S77-U77</f>
        <v>302053.58400000003</v>
      </c>
      <c r="W77" s="18">
        <f t="shared" ref="W77" si="15">K77+V77</f>
        <v>348482.58400000003</v>
      </c>
      <c r="X77" s="47">
        <f>W77*Q77/100</f>
        <v>278786.06720000005</v>
      </c>
      <c r="Y77" s="269"/>
      <c r="Z77" s="18">
        <f>+X77</f>
        <v>278786.06720000005</v>
      </c>
      <c r="AA77" s="85">
        <v>0.3</v>
      </c>
      <c r="AB77" s="466">
        <f>+Z77*AA77/100</f>
        <v>836.35820160000014</v>
      </c>
      <c r="AC77" s="602"/>
      <c r="AD77" s="603"/>
      <c r="AE77" s="603"/>
      <c r="AF77" s="353"/>
    </row>
    <row r="78" spans="1:32" s="457" customFormat="1" ht="18" customHeight="1" x14ac:dyDescent="0.2">
      <c r="A78" s="242"/>
      <c r="B78" s="242"/>
      <c r="C78" s="496"/>
      <c r="D78" s="145"/>
      <c r="E78" s="145"/>
      <c r="F78" s="411"/>
      <c r="G78" s="242"/>
      <c r="H78" s="497"/>
      <c r="I78" s="77"/>
      <c r="J78" s="107"/>
      <c r="K78" s="78"/>
      <c r="L78" s="61"/>
      <c r="M78" s="145"/>
      <c r="N78" s="145"/>
      <c r="O78" s="61"/>
      <c r="P78" s="145"/>
      <c r="Q78" s="196"/>
      <c r="R78" s="408"/>
      <c r="S78" s="77"/>
      <c r="T78" s="408"/>
      <c r="U78" s="77"/>
      <c r="V78" s="77"/>
      <c r="W78" s="77"/>
      <c r="X78" s="77"/>
      <c r="Y78" s="77"/>
      <c r="Z78" s="77"/>
      <c r="AA78" s="409"/>
      <c r="AB78" s="466"/>
      <c r="AC78" s="350"/>
      <c r="AD78" s="350"/>
      <c r="AE78" s="350"/>
      <c r="AF78" s="350"/>
    </row>
    <row r="79" spans="1:32" s="457" customFormat="1" ht="18" customHeight="1" x14ac:dyDescent="0.2">
      <c r="A79" s="75"/>
      <c r="B79" s="145"/>
      <c r="C79" s="145"/>
      <c r="D79" s="88"/>
      <c r="E79" s="88"/>
      <c r="F79" s="145"/>
      <c r="G79" s="145"/>
      <c r="H79" s="407"/>
      <c r="I79" s="77"/>
      <c r="J79" s="275"/>
      <c r="K79" s="78"/>
      <c r="L79" s="75"/>
      <c r="M79" s="145"/>
      <c r="N79" s="145"/>
      <c r="O79" s="61"/>
      <c r="P79" s="173"/>
      <c r="Q79" s="174"/>
      <c r="R79" s="408"/>
      <c r="S79" s="77"/>
      <c r="T79" s="413"/>
      <c r="U79" s="74"/>
      <c r="V79" s="74"/>
      <c r="W79" s="77"/>
      <c r="X79" s="74"/>
      <c r="Y79" s="77"/>
      <c r="Z79" s="77"/>
      <c r="AA79" s="409"/>
      <c r="AB79" s="416"/>
      <c r="AC79" s="350"/>
      <c r="AD79" s="350"/>
      <c r="AE79" s="350"/>
      <c r="AF79" s="350"/>
    </row>
    <row r="80" spans="1:32" s="457" customFormat="1" ht="18" customHeight="1" x14ac:dyDescent="0.2">
      <c r="A80" s="145"/>
      <c r="B80" s="177"/>
      <c r="C80" s="177"/>
      <c r="D80" s="145"/>
      <c r="E80" s="145"/>
      <c r="F80" s="145"/>
      <c r="G80" s="145"/>
      <c r="H80" s="147"/>
      <c r="I80" s="107"/>
      <c r="J80" s="178"/>
      <c r="K80" s="107"/>
      <c r="L80" s="145"/>
      <c r="M80" s="145"/>
      <c r="N80" s="145"/>
      <c r="O80" s="145"/>
      <c r="P80" s="147"/>
      <c r="Q80" s="148"/>
      <c r="R80" s="437"/>
      <c r="S80" s="107"/>
      <c r="T80" s="437"/>
      <c r="U80" s="178"/>
      <c r="V80" s="107"/>
      <c r="W80" s="107"/>
      <c r="X80" s="470"/>
      <c r="Y80" s="470"/>
      <c r="Z80" s="471"/>
      <c r="AA80" s="471"/>
      <c r="AB80" s="410"/>
      <c r="AC80" s="350"/>
      <c r="AD80" s="350"/>
      <c r="AE80" s="350"/>
      <c r="AF80" s="350"/>
    </row>
    <row r="81" spans="1:32" s="457" customFormat="1" ht="18" customHeight="1" x14ac:dyDescent="0.2">
      <c r="A81" s="145"/>
      <c r="B81" s="177"/>
      <c r="C81" s="177"/>
      <c r="D81" s="145"/>
      <c r="E81" s="145"/>
      <c r="F81" s="145"/>
      <c r="G81" s="145"/>
      <c r="H81" s="147"/>
      <c r="I81" s="107"/>
      <c r="J81" s="178"/>
      <c r="K81" s="107"/>
      <c r="L81" s="145"/>
      <c r="M81" s="145"/>
      <c r="N81" s="145"/>
      <c r="O81" s="145"/>
      <c r="P81" s="147"/>
      <c r="Q81" s="148"/>
      <c r="R81" s="437"/>
      <c r="S81" s="107"/>
      <c r="T81" s="437"/>
      <c r="U81" s="178"/>
      <c r="V81" s="107"/>
      <c r="W81" s="107"/>
      <c r="X81" s="470"/>
      <c r="Y81" s="470"/>
      <c r="Z81" s="471"/>
      <c r="AA81" s="471"/>
      <c r="AB81" s="466"/>
      <c r="AC81" s="350"/>
      <c r="AD81" s="350"/>
      <c r="AE81" s="350"/>
      <c r="AF81" s="350"/>
    </row>
    <row r="82" spans="1:32" s="457" customFormat="1" ht="18" customHeight="1" x14ac:dyDescent="0.2">
      <c r="A82" s="145"/>
      <c r="B82" s="177"/>
      <c r="C82" s="177"/>
      <c r="D82" s="145"/>
      <c r="E82" s="145"/>
      <c r="F82" s="145"/>
      <c r="G82" s="145"/>
      <c r="H82" s="147"/>
      <c r="I82" s="107"/>
      <c r="J82" s="178"/>
      <c r="K82" s="107"/>
      <c r="L82" s="145"/>
      <c r="M82" s="145"/>
      <c r="N82" s="145"/>
      <c r="O82" s="145"/>
      <c r="P82" s="147"/>
      <c r="Q82" s="148"/>
      <c r="R82" s="437"/>
      <c r="S82" s="107"/>
      <c r="T82" s="437"/>
      <c r="U82" s="178"/>
      <c r="V82" s="107"/>
      <c r="W82" s="107"/>
      <c r="X82" s="470"/>
      <c r="Y82" s="470"/>
      <c r="Z82" s="471"/>
      <c r="AA82" s="471"/>
      <c r="AB82" s="466"/>
      <c r="AC82" s="350"/>
      <c r="AD82" s="350"/>
      <c r="AE82" s="350"/>
      <c r="AF82" s="350"/>
    </row>
    <row r="83" spans="1:32" s="457" customFormat="1" ht="18" customHeight="1" x14ac:dyDescent="0.2">
      <c r="A83" s="145"/>
      <c r="B83" s="177"/>
      <c r="C83" s="177"/>
      <c r="D83" s="145"/>
      <c r="E83" s="145"/>
      <c r="F83" s="145"/>
      <c r="G83" s="145"/>
      <c r="H83" s="147"/>
      <c r="I83" s="107"/>
      <c r="J83" s="178"/>
      <c r="K83" s="107"/>
      <c r="L83" s="145"/>
      <c r="M83" s="145"/>
      <c r="N83" s="145"/>
      <c r="O83" s="145"/>
      <c r="P83" s="147"/>
      <c r="Q83" s="148"/>
      <c r="R83" s="437"/>
      <c r="S83" s="107"/>
      <c r="T83" s="437"/>
      <c r="U83" s="178"/>
      <c r="V83" s="107"/>
      <c r="W83" s="107"/>
      <c r="X83" s="470"/>
      <c r="Y83" s="470"/>
      <c r="Z83" s="471"/>
      <c r="AA83" s="471"/>
      <c r="AB83" s="466"/>
      <c r="AC83" s="350"/>
      <c r="AD83" s="350"/>
      <c r="AE83" s="350"/>
      <c r="AF83" s="350"/>
    </row>
    <row r="84" spans="1:32" s="457" customFormat="1" ht="18" customHeight="1" x14ac:dyDescent="0.2">
      <c r="A84" s="145"/>
      <c r="B84" s="177"/>
      <c r="C84" s="177"/>
      <c r="D84" s="145"/>
      <c r="E84" s="145"/>
      <c r="F84" s="145"/>
      <c r="G84" s="145"/>
      <c r="H84" s="147"/>
      <c r="I84" s="107"/>
      <c r="J84" s="178"/>
      <c r="K84" s="107"/>
      <c r="L84" s="145"/>
      <c r="M84" s="145"/>
      <c r="N84" s="145"/>
      <c r="O84" s="145"/>
      <c r="P84" s="147"/>
      <c r="Q84" s="148"/>
      <c r="R84" s="437"/>
      <c r="S84" s="107"/>
      <c r="T84" s="437"/>
      <c r="U84" s="178"/>
      <c r="V84" s="107"/>
      <c r="W84" s="107"/>
      <c r="X84" s="470"/>
      <c r="Y84" s="470"/>
      <c r="Z84" s="471"/>
      <c r="AA84" s="471"/>
      <c r="AB84" s="466"/>
      <c r="AC84" s="350"/>
      <c r="AD84" s="350"/>
      <c r="AE84" s="350"/>
      <c r="AF84" s="350"/>
    </row>
    <row r="85" spans="1:32" s="457" customFormat="1" ht="18" customHeight="1" x14ac:dyDescent="0.2">
      <c r="A85" s="145"/>
      <c r="B85" s="177"/>
      <c r="C85" s="177"/>
      <c r="D85" s="145"/>
      <c r="E85" s="145"/>
      <c r="F85" s="145"/>
      <c r="G85" s="145"/>
      <c r="H85" s="147"/>
      <c r="I85" s="107"/>
      <c r="J85" s="178"/>
      <c r="K85" s="107"/>
      <c r="L85" s="145"/>
      <c r="M85" s="145"/>
      <c r="N85" s="145"/>
      <c r="O85" s="145"/>
      <c r="P85" s="147"/>
      <c r="Q85" s="148"/>
      <c r="R85" s="437"/>
      <c r="S85" s="107"/>
      <c r="T85" s="437"/>
      <c r="U85" s="178"/>
      <c r="V85" s="107"/>
      <c r="W85" s="107"/>
      <c r="X85" s="470"/>
      <c r="Y85" s="470"/>
      <c r="Z85" s="471"/>
      <c r="AA85" s="471"/>
      <c r="AB85" s="466"/>
      <c r="AC85" s="350"/>
      <c r="AD85" s="350"/>
      <c r="AE85" s="350"/>
      <c r="AF85" s="350"/>
    </row>
    <row r="86" spans="1:32" s="457" customFormat="1" ht="18" customHeight="1" x14ac:dyDescent="0.2">
      <c r="A86" s="145"/>
      <c r="B86" s="177"/>
      <c r="C86" s="177"/>
      <c r="D86" s="145"/>
      <c r="E86" s="145"/>
      <c r="F86" s="145"/>
      <c r="G86" s="145"/>
      <c r="H86" s="147"/>
      <c r="I86" s="107"/>
      <c r="J86" s="178"/>
      <c r="K86" s="107"/>
      <c r="L86" s="145"/>
      <c r="M86" s="145"/>
      <c r="N86" s="145"/>
      <c r="O86" s="145"/>
      <c r="P86" s="147"/>
      <c r="Q86" s="148"/>
      <c r="R86" s="437"/>
      <c r="S86" s="107"/>
      <c r="T86" s="437"/>
      <c r="U86" s="178"/>
      <c r="V86" s="107"/>
      <c r="W86" s="107"/>
      <c r="X86" s="470"/>
      <c r="Y86" s="470"/>
      <c r="Z86" s="471"/>
      <c r="AA86" s="471"/>
      <c r="AB86" s="466"/>
      <c r="AC86" s="350"/>
      <c r="AD86" s="350"/>
      <c r="AE86" s="350"/>
      <c r="AF86" s="350"/>
    </row>
    <row r="87" spans="1:32" s="457" customFormat="1" ht="18" customHeight="1" x14ac:dyDescent="0.2">
      <c r="A87" s="145"/>
      <c r="B87" s="177"/>
      <c r="C87" s="177"/>
      <c r="D87" s="145"/>
      <c r="E87" s="145"/>
      <c r="F87" s="145"/>
      <c r="G87" s="145"/>
      <c r="H87" s="147"/>
      <c r="I87" s="107"/>
      <c r="J87" s="178"/>
      <c r="K87" s="107"/>
      <c r="L87" s="145"/>
      <c r="M87" s="145"/>
      <c r="N87" s="145"/>
      <c r="O87" s="145"/>
      <c r="P87" s="147"/>
      <c r="Q87" s="148"/>
      <c r="R87" s="437"/>
      <c r="S87" s="107"/>
      <c r="T87" s="437"/>
      <c r="U87" s="178"/>
      <c r="V87" s="107"/>
      <c r="W87" s="107"/>
      <c r="X87" s="470"/>
      <c r="Y87" s="470"/>
      <c r="Z87" s="471"/>
      <c r="AA87" s="471"/>
      <c r="AB87" s="466"/>
      <c r="AC87" s="350"/>
      <c r="AD87" s="350"/>
      <c r="AE87" s="350"/>
      <c r="AF87" s="350"/>
    </row>
    <row r="88" spans="1:32" s="457" customFormat="1" ht="18" customHeight="1" x14ac:dyDescent="0.2">
      <c r="A88" s="145"/>
      <c r="B88" s="177"/>
      <c r="C88" s="177"/>
      <c r="D88" s="145"/>
      <c r="E88" s="145"/>
      <c r="F88" s="145"/>
      <c r="G88" s="145"/>
      <c r="H88" s="147"/>
      <c r="I88" s="107"/>
      <c r="J88" s="178"/>
      <c r="K88" s="107"/>
      <c r="L88" s="145"/>
      <c r="M88" s="145"/>
      <c r="N88" s="145"/>
      <c r="O88" s="145"/>
      <c r="P88" s="147"/>
      <c r="Q88" s="148"/>
      <c r="R88" s="437"/>
      <c r="S88" s="107"/>
      <c r="T88" s="437"/>
      <c r="U88" s="178"/>
      <c r="V88" s="107"/>
      <c r="W88" s="107"/>
      <c r="X88" s="470"/>
      <c r="Y88" s="470"/>
      <c r="Z88" s="471"/>
      <c r="AA88" s="471"/>
      <c r="AB88" s="466"/>
      <c r="AC88" s="350"/>
      <c r="AD88" s="350"/>
      <c r="AE88" s="350"/>
      <c r="AF88" s="350"/>
    </row>
    <row r="89" spans="1:32" s="457" customFormat="1" ht="18" customHeight="1" x14ac:dyDescent="0.2">
      <c r="A89" s="145"/>
      <c r="B89" s="177"/>
      <c r="C89" s="177"/>
      <c r="D89" s="145"/>
      <c r="E89" s="145"/>
      <c r="F89" s="145"/>
      <c r="G89" s="145"/>
      <c r="H89" s="147"/>
      <c r="I89" s="107"/>
      <c r="J89" s="178"/>
      <c r="K89" s="107"/>
      <c r="L89" s="145"/>
      <c r="M89" s="145"/>
      <c r="N89" s="145"/>
      <c r="O89" s="145"/>
      <c r="P89" s="147"/>
      <c r="Q89" s="148"/>
      <c r="R89" s="437"/>
      <c r="S89" s="107"/>
      <c r="T89" s="437"/>
      <c r="U89" s="178"/>
      <c r="V89" s="107"/>
      <c r="W89" s="107"/>
      <c r="X89" s="470"/>
      <c r="Y89" s="470"/>
      <c r="Z89" s="471"/>
      <c r="AA89" s="471"/>
      <c r="AB89" s="466"/>
      <c r="AC89" s="350"/>
      <c r="AD89" s="350"/>
      <c r="AE89" s="350"/>
      <c r="AF89" s="350"/>
    </row>
    <row r="90" spans="1:32" s="457" customFormat="1" ht="18" customHeight="1" x14ac:dyDescent="0.2">
      <c r="A90" s="145"/>
      <c r="B90" s="177"/>
      <c r="C90" s="177"/>
      <c r="D90" s="145"/>
      <c r="E90" s="145"/>
      <c r="F90" s="145"/>
      <c r="G90" s="145"/>
      <c r="H90" s="147"/>
      <c r="I90" s="107"/>
      <c r="J90" s="178"/>
      <c r="K90" s="107"/>
      <c r="L90" s="145"/>
      <c r="M90" s="145"/>
      <c r="N90" s="145"/>
      <c r="O90" s="145"/>
      <c r="P90" s="147"/>
      <c r="Q90" s="148"/>
      <c r="R90" s="437"/>
      <c r="S90" s="107"/>
      <c r="T90" s="437"/>
      <c r="U90" s="178"/>
      <c r="V90" s="107"/>
      <c r="W90" s="107"/>
      <c r="X90" s="470"/>
      <c r="Y90" s="470"/>
      <c r="Z90" s="471"/>
      <c r="AA90" s="471"/>
      <c r="AB90" s="466"/>
      <c r="AC90" s="350"/>
      <c r="AD90" s="350"/>
      <c r="AE90" s="350"/>
      <c r="AF90" s="350"/>
    </row>
    <row r="91" spans="1:32" s="457" customFormat="1" ht="18" customHeight="1" x14ac:dyDescent="0.2">
      <c r="A91" s="145"/>
      <c r="B91" s="177"/>
      <c r="C91" s="177"/>
      <c r="D91" s="145"/>
      <c r="E91" s="145"/>
      <c r="F91" s="145"/>
      <c r="G91" s="145"/>
      <c r="H91" s="147"/>
      <c r="I91" s="107"/>
      <c r="J91" s="178"/>
      <c r="K91" s="107"/>
      <c r="L91" s="145"/>
      <c r="M91" s="145"/>
      <c r="N91" s="145"/>
      <c r="O91" s="145"/>
      <c r="P91" s="147"/>
      <c r="Q91" s="148"/>
      <c r="R91" s="437"/>
      <c r="S91" s="107"/>
      <c r="T91" s="437"/>
      <c r="U91" s="178"/>
      <c r="V91" s="107"/>
      <c r="W91" s="107"/>
      <c r="X91" s="470"/>
      <c r="Y91" s="470"/>
      <c r="Z91" s="471"/>
      <c r="AA91" s="471"/>
      <c r="AB91" s="466"/>
      <c r="AC91" s="350"/>
      <c r="AD91" s="350"/>
      <c r="AE91" s="350"/>
      <c r="AF91" s="350"/>
    </row>
    <row r="92" spans="1:32" s="457" customFormat="1" ht="18" customHeight="1" x14ac:dyDescent="0.2">
      <c r="A92" s="145"/>
      <c r="B92" s="177"/>
      <c r="C92" s="177"/>
      <c r="D92" s="145"/>
      <c r="E92" s="145"/>
      <c r="F92" s="145"/>
      <c r="G92" s="145"/>
      <c r="H92" s="147"/>
      <c r="I92" s="107"/>
      <c r="J92" s="178"/>
      <c r="K92" s="107"/>
      <c r="L92" s="145"/>
      <c r="M92" s="145"/>
      <c r="N92" s="145"/>
      <c r="O92" s="145"/>
      <c r="P92" s="147"/>
      <c r="Q92" s="148"/>
      <c r="R92" s="437"/>
      <c r="S92" s="107"/>
      <c r="T92" s="437"/>
      <c r="U92" s="178"/>
      <c r="V92" s="107"/>
      <c r="W92" s="107"/>
      <c r="X92" s="470"/>
      <c r="Y92" s="470"/>
      <c r="Z92" s="471"/>
      <c r="AA92" s="471"/>
      <c r="AB92" s="466"/>
      <c r="AC92" s="350"/>
      <c r="AD92" s="350"/>
      <c r="AE92" s="350"/>
      <c r="AF92" s="350"/>
    </row>
    <row r="93" spans="1:32" s="457" customFormat="1" ht="18" customHeight="1" x14ac:dyDescent="0.2">
      <c r="A93" s="145"/>
      <c r="B93" s="177"/>
      <c r="C93" s="177"/>
      <c r="D93" s="145"/>
      <c r="E93" s="145"/>
      <c r="F93" s="145"/>
      <c r="G93" s="145"/>
      <c r="H93" s="147"/>
      <c r="I93" s="107"/>
      <c r="J93" s="178"/>
      <c r="K93" s="107"/>
      <c r="L93" s="145"/>
      <c r="M93" s="145"/>
      <c r="N93" s="145"/>
      <c r="O93" s="145"/>
      <c r="P93" s="147"/>
      <c r="Q93" s="148"/>
      <c r="R93" s="437"/>
      <c r="S93" s="107"/>
      <c r="T93" s="437"/>
      <c r="U93" s="178"/>
      <c r="V93" s="107"/>
      <c r="W93" s="107"/>
      <c r="X93" s="470"/>
      <c r="Y93" s="470"/>
      <c r="Z93" s="471"/>
      <c r="AA93" s="471"/>
      <c r="AB93" s="466"/>
      <c r="AC93" s="350"/>
      <c r="AD93" s="350"/>
      <c r="AE93" s="350"/>
      <c r="AF93" s="350"/>
    </row>
    <row r="94" spans="1:32" s="597" customFormat="1" ht="18" customHeight="1" x14ac:dyDescent="0.2">
      <c r="A94" s="1850"/>
      <c r="B94" s="1850"/>
      <c r="C94" s="1850"/>
      <c r="D94" s="1850"/>
      <c r="E94" s="1850"/>
      <c r="F94" s="1850"/>
      <c r="G94" s="1850"/>
      <c r="H94" s="1851"/>
      <c r="I94" s="1852"/>
      <c r="J94" s="1853"/>
      <c r="K94" s="1852"/>
      <c r="L94" s="1852"/>
      <c r="M94" s="1852"/>
      <c r="N94" s="1852"/>
      <c r="O94" s="1852"/>
      <c r="P94" s="1852"/>
      <c r="Q94" s="1852"/>
      <c r="R94" s="1854"/>
      <c r="S94" s="1852"/>
      <c r="T94" s="1854"/>
      <c r="U94" s="1853"/>
      <c r="V94" s="1852"/>
      <c r="W94" s="1852"/>
      <c r="X94" s="1856"/>
      <c r="Y94" s="1856"/>
      <c r="Z94" s="1857"/>
      <c r="AA94" s="1857"/>
      <c r="AB94" s="1847">
        <f>SUM(AB77:AB93)</f>
        <v>836.35820160000014</v>
      </c>
      <c r="AC94" s="1861"/>
      <c r="AD94" s="1861"/>
      <c r="AE94" s="1861"/>
      <c r="AF94" s="1861"/>
    </row>
    <row r="95" spans="1:32" s="457" customFormat="1" ht="18" customHeight="1" x14ac:dyDescent="0.2">
      <c r="A95" s="2737" t="s">
        <v>76</v>
      </c>
      <c r="B95" s="2737"/>
      <c r="C95" s="2738" t="s">
        <v>77</v>
      </c>
      <c r="D95" s="2738"/>
      <c r="E95" s="2738"/>
      <c r="F95" s="2738"/>
      <c r="G95" s="2738"/>
      <c r="H95" s="2738"/>
      <c r="I95" s="457" t="s">
        <v>78</v>
      </c>
      <c r="T95" s="651"/>
      <c r="U95" s="478"/>
      <c r="AB95" s="478"/>
    </row>
    <row r="96" spans="1:32" s="457" customFormat="1" ht="18" customHeight="1" x14ac:dyDescent="0.2">
      <c r="A96" s="448"/>
      <c r="B96" s="479"/>
      <c r="I96" s="457" t="s">
        <v>79</v>
      </c>
      <c r="T96" s="651"/>
      <c r="U96" s="478"/>
      <c r="AB96" s="478"/>
    </row>
    <row r="97" spans="1:32" s="457" customFormat="1" ht="18" customHeight="1" x14ac:dyDescent="0.2">
      <c r="A97" s="448"/>
      <c r="B97" s="479"/>
      <c r="I97" s="457" t="s">
        <v>80</v>
      </c>
      <c r="T97" s="651"/>
      <c r="U97" s="478"/>
      <c r="AB97" s="478"/>
    </row>
    <row r="98" spans="1:32" s="457" customFormat="1" ht="18" customHeight="1" x14ac:dyDescent="0.2">
      <c r="A98" s="448"/>
      <c r="B98" s="479"/>
      <c r="I98" s="457" t="s">
        <v>81</v>
      </c>
      <c r="T98" s="651"/>
      <c r="U98" s="478"/>
      <c r="AB98" s="478"/>
    </row>
    <row r="99" spans="1:32" s="457" customFormat="1" ht="18" customHeight="1" x14ac:dyDescent="0.2">
      <c r="A99" s="448"/>
      <c r="B99" s="479"/>
      <c r="I99" s="457" t="s">
        <v>88</v>
      </c>
      <c r="T99" s="651"/>
      <c r="U99" s="478"/>
      <c r="AB99" s="478"/>
    </row>
    <row r="100" spans="1:32" s="457" customFormat="1" ht="18" customHeight="1" x14ac:dyDescent="0.2">
      <c r="A100" s="456"/>
      <c r="B100" s="455"/>
      <c r="C100" s="455"/>
      <c r="D100" s="455"/>
      <c r="E100" s="455"/>
      <c r="F100" s="455"/>
      <c r="G100" s="455"/>
      <c r="H100" s="455"/>
      <c r="I100" s="455"/>
      <c r="J100" s="455"/>
      <c r="K100" s="455"/>
      <c r="L100" s="455"/>
      <c r="M100" s="455"/>
      <c r="N100" s="455"/>
      <c r="O100" s="455"/>
      <c r="P100" s="455"/>
      <c r="Q100" s="455"/>
      <c r="R100" s="455"/>
      <c r="S100" s="455"/>
      <c r="T100" s="608"/>
      <c r="U100" s="609"/>
      <c r="V100" s="455"/>
      <c r="W100" s="455"/>
      <c r="X100" s="455"/>
      <c r="Y100" s="455"/>
      <c r="Z100" s="455"/>
      <c r="AA100" s="2705" t="s">
        <v>0</v>
      </c>
      <c r="AB100" s="2705"/>
      <c r="AC100" s="455"/>
      <c r="AD100" s="455"/>
      <c r="AE100" s="455"/>
      <c r="AF100" s="455"/>
    </row>
    <row r="101" spans="1:32" s="457" customFormat="1" ht="18" customHeight="1" x14ac:dyDescent="0.2">
      <c r="A101" s="2706" t="s">
        <v>1</v>
      </c>
      <c r="B101" s="2706"/>
      <c r="C101" s="2706"/>
      <c r="D101" s="2706"/>
      <c r="E101" s="2706"/>
      <c r="F101" s="2706"/>
      <c r="G101" s="2706"/>
      <c r="H101" s="2706"/>
      <c r="I101" s="2706"/>
      <c r="J101" s="2706"/>
      <c r="K101" s="2706"/>
      <c r="L101" s="2706"/>
      <c r="M101" s="2706"/>
      <c r="N101" s="2706"/>
      <c r="O101" s="2706"/>
      <c r="P101" s="2706"/>
      <c r="Q101" s="2706"/>
      <c r="R101" s="2706"/>
      <c r="S101" s="2706"/>
      <c r="T101" s="2706"/>
      <c r="U101" s="2706"/>
      <c r="V101" s="2706"/>
      <c r="W101" s="2706"/>
      <c r="X101" s="2706"/>
      <c r="Y101" s="2706"/>
      <c r="Z101" s="2706"/>
      <c r="AA101" s="2706"/>
      <c r="AB101" s="2706"/>
      <c r="AC101" s="610"/>
      <c r="AD101" s="610"/>
      <c r="AE101" s="610"/>
      <c r="AF101" s="610"/>
    </row>
    <row r="102" spans="1:32" s="457" customFormat="1" ht="18" customHeight="1" x14ac:dyDescent="0.2">
      <c r="A102" s="2704" t="s">
        <v>427</v>
      </c>
      <c r="B102" s="2704"/>
      <c r="C102" s="2704"/>
      <c r="D102" s="2704"/>
      <c r="E102" s="2704"/>
      <c r="F102" s="2704"/>
      <c r="G102" s="2704"/>
      <c r="H102" s="2704"/>
      <c r="I102" s="2704"/>
      <c r="J102" s="2704"/>
      <c r="K102" s="2704"/>
      <c r="L102" s="2704"/>
      <c r="M102" s="2704"/>
      <c r="N102" s="2704"/>
      <c r="O102" s="2704"/>
      <c r="P102" s="2704"/>
      <c r="Q102" s="2704"/>
      <c r="R102" s="2704"/>
      <c r="S102" s="2704"/>
      <c r="T102" s="2704"/>
      <c r="U102" s="2704"/>
      <c r="V102" s="2704"/>
      <c r="W102" s="2704"/>
      <c r="X102" s="2704"/>
      <c r="Y102" s="2704"/>
      <c r="Z102" s="2704"/>
      <c r="AA102" s="2704"/>
      <c r="AB102" s="2704"/>
      <c r="AC102" s="611"/>
      <c r="AD102" s="611"/>
      <c r="AE102" s="611"/>
      <c r="AF102" s="611"/>
    </row>
    <row r="103" spans="1:32" s="457" customFormat="1" ht="18" customHeight="1" x14ac:dyDescent="0.2">
      <c r="A103" s="2686" t="s">
        <v>2</v>
      </c>
      <c r="B103" s="360"/>
      <c r="C103" s="2686" t="s">
        <v>3</v>
      </c>
      <c r="D103" s="360"/>
      <c r="E103" s="360"/>
      <c r="F103" s="2693" t="s">
        <v>4</v>
      </c>
      <c r="G103" s="2693"/>
      <c r="H103" s="2693"/>
      <c r="I103" s="2694"/>
      <c r="J103" s="2694"/>
      <c r="K103" s="2695"/>
      <c r="L103" s="361"/>
      <c r="M103" s="2679" t="s">
        <v>5</v>
      </c>
      <c r="N103" s="2679"/>
      <c r="O103" s="2679"/>
      <c r="P103" s="2679"/>
      <c r="Q103" s="2696"/>
      <c r="R103" s="2696"/>
      <c r="S103" s="2696"/>
      <c r="T103" s="2696"/>
      <c r="U103" s="2696"/>
      <c r="V103" s="2697"/>
      <c r="W103" s="362" t="s">
        <v>6</v>
      </c>
      <c r="X103" s="363" t="s">
        <v>7</v>
      </c>
      <c r="Y103" s="364"/>
      <c r="Z103" s="364"/>
      <c r="AA103" s="363"/>
      <c r="AB103" s="458"/>
      <c r="AC103" s="612" t="s">
        <v>8</v>
      </c>
      <c r="AD103" s="613"/>
      <c r="AE103" s="613"/>
      <c r="AF103" s="614"/>
    </row>
    <row r="104" spans="1:32" s="457" customFormat="1" ht="18" customHeight="1" x14ac:dyDescent="0.2">
      <c r="A104" s="2687"/>
      <c r="B104" s="367"/>
      <c r="C104" s="2687"/>
      <c r="D104" s="366" t="s">
        <v>9</v>
      </c>
      <c r="E104" s="366" t="s">
        <v>10</v>
      </c>
      <c r="F104" s="2698" t="s">
        <v>11</v>
      </c>
      <c r="G104" s="2694"/>
      <c r="H104" s="2695"/>
      <c r="I104" s="360"/>
      <c r="J104" s="449" t="s">
        <v>12</v>
      </c>
      <c r="K104" s="360"/>
      <c r="L104" s="2679" t="s">
        <v>2</v>
      </c>
      <c r="M104" s="370"/>
      <c r="N104" s="370"/>
      <c r="O104" s="370"/>
      <c r="P104" s="371"/>
      <c r="Q104" s="459" t="s">
        <v>13</v>
      </c>
      <c r="R104" s="370" t="s">
        <v>12</v>
      </c>
      <c r="S104" s="370" t="s">
        <v>6</v>
      </c>
      <c r="T104" s="2682" t="s">
        <v>14</v>
      </c>
      <c r="U104" s="2683"/>
      <c r="V104" s="375" t="s">
        <v>7</v>
      </c>
      <c r="W104" s="376" t="s">
        <v>15</v>
      </c>
      <c r="X104" s="377" t="s">
        <v>16</v>
      </c>
      <c r="Y104" s="377" t="s">
        <v>17</v>
      </c>
      <c r="Z104" s="377" t="s">
        <v>18</v>
      </c>
      <c r="AA104" s="377"/>
      <c r="AB104" s="460" t="s">
        <v>19</v>
      </c>
      <c r="AC104" s="615" t="s">
        <v>20</v>
      </c>
      <c r="AD104" s="616"/>
      <c r="AE104" s="617" t="s">
        <v>21</v>
      </c>
      <c r="AF104" s="618" t="s">
        <v>22</v>
      </c>
    </row>
    <row r="105" spans="1:32" s="457" customFormat="1" ht="18" customHeight="1" x14ac:dyDescent="0.2">
      <c r="A105" s="2687"/>
      <c r="B105" s="366" t="s">
        <v>23</v>
      </c>
      <c r="C105" s="2687"/>
      <c r="D105" s="366" t="s">
        <v>24</v>
      </c>
      <c r="E105" s="366" t="s">
        <v>25</v>
      </c>
      <c r="F105" s="2699"/>
      <c r="G105" s="2700"/>
      <c r="H105" s="2701"/>
      <c r="I105" s="366" t="s">
        <v>26</v>
      </c>
      <c r="J105" s="380" t="s">
        <v>15</v>
      </c>
      <c r="K105" s="380" t="s">
        <v>6</v>
      </c>
      <c r="L105" s="2680"/>
      <c r="M105" s="381" t="s">
        <v>27</v>
      </c>
      <c r="N105" s="381" t="s">
        <v>10</v>
      </c>
      <c r="O105" s="381" t="s">
        <v>10</v>
      </c>
      <c r="P105" s="385" t="s">
        <v>28</v>
      </c>
      <c r="Q105" s="461" t="s">
        <v>29</v>
      </c>
      <c r="R105" s="385" t="s">
        <v>15</v>
      </c>
      <c r="S105" s="385" t="s">
        <v>15</v>
      </c>
      <c r="T105" s="2684"/>
      <c r="U105" s="2685"/>
      <c r="V105" s="375" t="s">
        <v>30</v>
      </c>
      <c r="W105" s="376" t="s">
        <v>31</v>
      </c>
      <c r="X105" s="377" t="s">
        <v>30</v>
      </c>
      <c r="Y105" s="377" t="s">
        <v>32</v>
      </c>
      <c r="Z105" s="377" t="s">
        <v>7</v>
      </c>
      <c r="AA105" s="377" t="s">
        <v>33</v>
      </c>
      <c r="AB105" s="460" t="s">
        <v>34</v>
      </c>
      <c r="AC105" s="615" t="s">
        <v>35</v>
      </c>
      <c r="AD105" s="617" t="s">
        <v>36</v>
      </c>
      <c r="AE105" s="617" t="s">
        <v>37</v>
      </c>
      <c r="AF105" s="618" t="s">
        <v>38</v>
      </c>
    </row>
    <row r="106" spans="1:32" s="457" customFormat="1" ht="18" customHeight="1" x14ac:dyDescent="0.2">
      <c r="A106" s="2687"/>
      <c r="B106" s="366" t="s">
        <v>39</v>
      </c>
      <c r="C106" s="2687"/>
      <c r="D106" s="366" t="s">
        <v>40</v>
      </c>
      <c r="E106" s="366" t="s">
        <v>41</v>
      </c>
      <c r="F106" s="2686" t="s">
        <v>42</v>
      </c>
      <c r="G106" s="2686" t="s">
        <v>43</v>
      </c>
      <c r="H106" s="2688" t="s">
        <v>44</v>
      </c>
      <c r="I106" s="366" t="s">
        <v>45</v>
      </c>
      <c r="J106" s="380" t="s">
        <v>46</v>
      </c>
      <c r="K106" s="380" t="s">
        <v>47</v>
      </c>
      <c r="L106" s="2680"/>
      <c r="M106" s="381" t="s">
        <v>30</v>
      </c>
      <c r="N106" s="381" t="s">
        <v>30</v>
      </c>
      <c r="O106" s="381" t="s">
        <v>25</v>
      </c>
      <c r="P106" s="385" t="s">
        <v>30</v>
      </c>
      <c r="Q106" s="461" t="s">
        <v>48</v>
      </c>
      <c r="R106" s="385" t="s">
        <v>49</v>
      </c>
      <c r="S106" s="385" t="s">
        <v>30</v>
      </c>
      <c r="T106" s="619" t="s">
        <v>50</v>
      </c>
      <c r="U106" s="620" t="s">
        <v>13</v>
      </c>
      <c r="V106" s="375" t="s">
        <v>51</v>
      </c>
      <c r="W106" s="376" t="s">
        <v>52</v>
      </c>
      <c r="X106" s="377" t="s">
        <v>53</v>
      </c>
      <c r="Y106" s="377" t="s">
        <v>54</v>
      </c>
      <c r="Z106" s="377" t="s">
        <v>55</v>
      </c>
      <c r="AA106" s="377" t="s">
        <v>56</v>
      </c>
      <c r="AB106" s="460" t="s">
        <v>57</v>
      </c>
      <c r="AC106" s="617" t="s">
        <v>58</v>
      </c>
      <c r="AD106" s="617" t="s">
        <v>59</v>
      </c>
      <c r="AE106" s="617" t="s">
        <v>59</v>
      </c>
      <c r="AF106" s="618" t="s">
        <v>60</v>
      </c>
    </row>
    <row r="107" spans="1:32" s="457" customFormat="1" ht="18" customHeight="1" x14ac:dyDescent="0.2">
      <c r="A107" s="2687"/>
      <c r="B107" s="366" t="s">
        <v>61</v>
      </c>
      <c r="C107" s="2687"/>
      <c r="D107" s="366" t="s">
        <v>62</v>
      </c>
      <c r="E107" s="366" t="s">
        <v>63</v>
      </c>
      <c r="F107" s="2687"/>
      <c r="G107" s="2687"/>
      <c r="H107" s="2689"/>
      <c r="I107" s="366" t="s">
        <v>64</v>
      </c>
      <c r="J107" s="380" t="s">
        <v>59</v>
      </c>
      <c r="K107" s="380" t="s">
        <v>59</v>
      </c>
      <c r="L107" s="2680"/>
      <c r="M107" s="381"/>
      <c r="N107" s="381"/>
      <c r="O107" s="381" t="s">
        <v>41</v>
      </c>
      <c r="P107" s="385" t="s">
        <v>65</v>
      </c>
      <c r="Q107" s="461" t="s">
        <v>66</v>
      </c>
      <c r="R107" s="385" t="s">
        <v>67</v>
      </c>
      <c r="S107" s="385" t="s">
        <v>59</v>
      </c>
      <c r="T107" s="621" t="s">
        <v>68</v>
      </c>
      <c r="U107" s="622" t="s">
        <v>14</v>
      </c>
      <c r="V107" s="375" t="s">
        <v>14</v>
      </c>
      <c r="W107" s="376" t="s">
        <v>30</v>
      </c>
      <c r="X107" s="388" t="s">
        <v>69</v>
      </c>
      <c r="Y107" s="388" t="s">
        <v>70</v>
      </c>
      <c r="Z107" s="377" t="s">
        <v>71</v>
      </c>
      <c r="AA107" s="377" t="s">
        <v>72</v>
      </c>
      <c r="AB107" s="460" t="s">
        <v>59</v>
      </c>
      <c r="AC107" s="617" t="s">
        <v>59</v>
      </c>
      <c r="AD107" s="617"/>
      <c r="AE107" s="617"/>
      <c r="AF107" s="618" t="s">
        <v>59</v>
      </c>
    </row>
    <row r="108" spans="1:32" s="457" customFormat="1" ht="18" customHeight="1" x14ac:dyDescent="0.2">
      <c r="A108" s="2692"/>
      <c r="B108" s="390"/>
      <c r="C108" s="2692"/>
      <c r="D108" s="390"/>
      <c r="E108" s="389"/>
      <c r="F108" s="390"/>
      <c r="G108" s="390"/>
      <c r="H108" s="391"/>
      <c r="I108" s="389"/>
      <c r="J108" s="393"/>
      <c r="K108" s="393"/>
      <c r="L108" s="2681"/>
      <c r="M108" s="394"/>
      <c r="N108" s="394"/>
      <c r="O108" s="394" t="s">
        <v>63</v>
      </c>
      <c r="P108" s="394"/>
      <c r="Q108" s="450" t="s">
        <v>72</v>
      </c>
      <c r="R108" s="398" t="s">
        <v>59</v>
      </c>
      <c r="S108" s="398"/>
      <c r="T108" s="623" t="s">
        <v>73</v>
      </c>
      <c r="U108" s="624" t="s">
        <v>59</v>
      </c>
      <c r="V108" s="399" t="s">
        <v>59</v>
      </c>
      <c r="W108" s="400" t="s">
        <v>59</v>
      </c>
      <c r="X108" s="401" t="s">
        <v>59</v>
      </c>
      <c r="Y108" s="401" t="s">
        <v>59</v>
      </c>
      <c r="Z108" s="401" t="s">
        <v>59</v>
      </c>
      <c r="AA108" s="402"/>
      <c r="AB108" s="462"/>
      <c r="AC108" s="625"/>
      <c r="AD108" s="625"/>
      <c r="AE108" s="625"/>
      <c r="AF108" s="626"/>
    </row>
    <row r="109" spans="1:32" s="457" customFormat="1" ht="18" customHeight="1" x14ac:dyDescent="0.25">
      <c r="A109" s="95">
        <v>1</v>
      </c>
      <c r="B109" s="700">
        <v>7434</v>
      </c>
      <c r="C109" s="333">
        <v>400</v>
      </c>
      <c r="D109" s="333" t="s">
        <v>139</v>
      </c>
      <c r="E109" s="333">
        <v>5</v>
      </c>
      <c r="F109" s="95">
        <v>0</v>
      </c>
      <c r="G109" s="95">
        <v>2</v>
      </c>
      <c r="H109" s="700">
        <v>63.5</v>
      </c>
      <c r="I109" s="44">
        <f>F109*400+G109*100+H109</f>
        <v>263.5</v>
      </c>
      <c r="J109" s="701">
        <v>2300</v>
      </c>
      <c r="K109" s="60">
        <f t="shared" ref="K109:K110" si="16">SUM(I109*J109)</f>
        <v>606050</v>
      </c>
      <c r="L109" s="254">
        <v>1</v>
      </c>
      <c r="M109" s="95">
        <v>106</v>
      </c>
      <c r="N109" s="700" t="s">
        <v>143</v>
      </c>
      <c r="O109" s="95">
        <v>2</v>
      </c>
      <c r="P109" s="630">
        <v>456.91829999999999</v>
      </c>
      <c r="Q109" s="95">
        <v>100</v>
      </c>
      <c r="R109" s="631">
        <v>7950</v>
      </c>
      <c r="S109" s="30">
        <f t="shared" ref="S109:S110" si="17">+P109*R109</f>
        <v>3632500.4849999999</v>
      </c>
      <c r="T109" s="1863">
        <v>39</v>
      </c>
      <c r="U109" s="1670">
        <f>+S109*0.85</f>
        <v>3087625.4122499996</v>
      </c>
      <c r="V109" s="18">
        <f t="shared" ref="V109:V110" si="18">+S109-U109</f>
        <v>544875.07275000028</v>
      </c>
      <c r="W109" s="18">
        <f t="shared" ref="W109:W110" si="19">K109+V109</f>
        <v>1150925.0727500003</v>
      </c>
      <c r="X109" s="47">
        <f>W109*Q109/100</f>
        <v>1150925.0727500003</v>
      </c>
      <c r="Y109" s="240" t="s">
        <v>87</v>
      </c>
      <c r="Z109" s="637">
        <v>0</v>
      </c>
      <c r="AA109" s="95">
        <v>0.02</v>
      </c>
      <c r="AB109" s="465">
        <f>AA109*Z109/100</f>
        <v>0</v>
      </c>
      <c r="AC109" s="602"/>
      <c r="AD109" s="603">
        <f>AB109-AC109</f>
        <v>0</v>
      </c>
      <c r="AE109" s="603">
        <f>IF(AD109&lt;=0,0,AD109*25/100)</f>
        <v>0</v>
      </c>
      <c r="AF109" s="603">
        <f>IF(AC109+AE109&gt;AB109,AB109,AC109+AE109)</f>
        <v>0</v>
      </c>
    </row>
    <row r="110" spans="1:32" s="457" customFormat="1" ht="18" customHeight="1" x14ac:dyDescent="0.25">
      <c r="A110" s="242"/>
      <c r="B110" s="273"/>
      <c r="C110" s="273"/>
      <c r="D110" s="273"/>
      <c r="E110" s="273"/>
      <c r="F110" s="273"/>
      <c r="G110" s="273"/>
      <c r="H110" s="911">
        <v>29.5</v>
      </c>
      <c r="I110" s="44">
        <f>F110*400+G110*100+H110</f>
        <v>29.5</v>
      </c>
      <c r="J110" s="983">
        <v>2300</v>
      </c>
      <c r="K110" s="60">
        <f t="shared" si="16"/>
        <v>67850</v>
      </c>
      <c r="L110" s="269">
        <v>2</v>
      </c>
      <c r="M110" s="85" t="s">
        <v>260</v>
      </c>
      <c r="N110" s="411" t="s">
        <v>74</v>
      </c>
      <c r="O110" s="638">
        <v>3</v>
      </c>
      <c r="P110" s="639">
        <v>118.1705</v>
      </c>
      <c r="Q110" s="85">
        <v>100</v>
      </c>
      <c r="R110" s="640">
        <v>8650</v>
      </c>
      <c r="S110" s="30">
        <f t="shared" si="17"/>
        <v>1022174.8250000001</v>
      </c>
      <c r="T110" s="1709">
        <v>14</v>
      </c>
      <c r="U110" s="1670">
        <f>+S110*0.18</f>
        <v>183991.46850000002</v>
      </c>
      <c r="V110" s="18">
        <f t="shared" si="18"/>
        <v>838183.35649999999</v>
      </c>
      <c r="W110" s="18">
        <f t="shared" si="19"/>
        <v>906033.35649999999</v>
      </c>
      <c r="X110" s="47">
        <f>W110*Q110/100</f>
        <v>906033.35650000011</v>
      </c>
      <c r="Y110" s="242"/>
      <c r="Z110" s="18">
        <f>+X110</f>
        <v>906033.35650000011</v>
      </c>
      <c r="AA110" s="85">
        <v>0.3</v>
      </c>
      <c r="AB110" s="410">
        <f>AA110*Z110/100</f>
        <v>2718.1000695000002</v>
      </c>
      <c r="AC110" s="350"/>
      <c r="AD110" s="350"/>
      <c r="AE110" s="350"/>
      <c r="AF110" s="350"/>
    </row>
    <row r="111" spans="1:32" s="457" customFormat="1" ht="18" customHeight="1" x14ac:dyDescent="0.25">
      <c r="A111" s="241"/>
      <c r="B111" s="287"/>
      <c r="C111" s="287"/>
      <c r="D111" s="287"/>
      <c r="E111" s="287"/>
      <c r="F111" s="287"/>
      <c r="G111" s="287"/>
      <c r="H111" s="785"/>
      <c r="I111" s="320"/>
      <c r="J111" s="628"/>
      <c r="K111" s="322"/>
      <c r="L111" s="255"/>
      <c r="M111" s="102"/>
      <c r="N111" s="287"/>
      <c r="O111" s="255"/>
      <c r="P111" s="848"/>
      <c r="Q111" s="334"/>
      <c r="R111" s="702"/>
      <c r="S111" s="320"/>
      <c r="T111" s="1077"/>
      <c r="U111" s="320"/>
      <c r="V111" s="320"/>
      <c r="W111" s="320"/>
      <c r="X111" s="320"/>
      <c r="Y111" s="320"/>
      <c r="Z111" s="320"/>
      <c r="AA111" s="703"/>
      <c r="AB111" s="466"/>
      <c r="AC111" s="350"/>
      <c r="AD111" s="350"/>
      <c r="AE111" s="350"/>
      <c r="AF111" s="350"/>
    </row>
    <row r="112" spans="1:32" s="457" customFormat="1" ht="18" customHeight="1" x14ac:dyDescent="0.2">
      <c r="A112" s="242"/>
      <c r="B112" s="88"/>
      <c r="C112" s="88"/>
      <c r="D112" s="88"/>
      <c r="E112" s="85"/>
      <c r="F112" s="88"/>
      <c r="G112" s="88"/>
      <c r="H112" s="495"/>
      <c r="I112" s="74"/>
      <c r="J112" s="280"/>
      <c r="K112" s="159"/>
      <c r="L112" s="75"/>
      <c r="M112" s="88"/>
      <c r="N112" s="88"/>
      <c r="O112" s="75"/>
      <c r="P112" s="188"/>
      <c r="Q112" s="174"/>
      <c r="R112" s="413"/>
      <c r="S112" s="74"/>
      <c r="T112" s="413"/>
      <c r="U112" s="74"/>
      <c r="V112" s="74"/>
      <c r="W112" s="74"/>
      <c r="X112" s="74"/>
      <c r="Y112" s="74"/>
      <c r="Z112" s="74"/>
      <c r="AA112" s="414"/>
      <c r="AB112" s="410"/>
      <c r="AC112" s="350"/>
      <c r="AD112" s="350"/>
      <c r="AE112" s="350"/>
      <c r="AF112" s="350"/>
    </row>
    <row r="113" spans="1:32" s="457" customFormat="1" ht="18" customHeight="1" x14ac:dyDescent="0.2">
      <c r="A113" s="61"/>
      <c r="B113" s="145"/>
      <c r="C113" s="145"/>
      <c r="D113" s="145"/>
      <c r="E113" s="145"/>
      <c r="F113" s="145"/>
      <c r="G113" s="145"/>
      <c r="H113" s="407"/>
      <c r="I113" s="77"/>
      <c r="J113" s="275"/>
      <c r="K113" s="78"/>
      <c r="L113" s="61"/>
      <c r="M113" s="145"/>
      <c r="N113" s="145"/>
      <c r="O113" s="61"/>
      <c r="P113" s="173"/>
      <c r="Q113" s="196"/>
      <c r="R113" s="408"/>
      <c r="S113" s="77"/>
      <c r="T113" s="408"/>
      <c r="U113" s="77"/>
      <c r="V113" s="77"/>
      <c r="W113" s="77"/>
      <c r="X113" s="77"/>
      <c r="Y113" s="77"/>
      <c r="Z113" s="77"/>
      <c r="AA113" s="409"/>
      <c r="AB113" s="410"/>
      <c r="AC113" s="350"/>
      <c r="AD113" s="350"/>
      <c r="AE113" s="350"/>
      <c r="AF113" s="350"/>
    </row>
    <row r="114" spans="1:32" s="457" customFormat="1" ht="18" customHeight="1" x14ac:dyDescent="0.2">
      <c r="A114" s="61"/>
      <c r="B114" s="145"/>
      <c r="C114" s="145"/>
      <c r="D114" s="145"/>
      <c r="E114" s="145"/>
      <c r="F114" s="145"/>
      <c r="G114" s="145"/>
      <c r="H114" s="407"/>
      <c r="I114" s="77"/>
      <c r="J114" s="275"/>
      <c r="K114" s="78"/>
      <c r="L114" s="61"/>
      <c r="M114" s="145"/>
      <c r="N114" s="145"/>
      <c r="O114" s="61"/>
      <c r="P114" s="173"/>
      <c r="Q114" s="196"/>
      <c r="R114" s="408"/>
      <c r="S114" s="77"/>
      <c r="T114" s="408"/>
      <c r="U114" s="77"/>
      <c r="V114" s="77"/>
      <c r="W114" s="77"/>
      <c r="X114" s="77"/>
      <c r="Y114" s="77"/>
      <c r="Z114" s="77"/>
      <c r="AA114" s="409"/>
      <c r="AB114" s="466"/>
      <c r="AC114" s="350"/>
      <c r="AD114" s="350"/>
      <c r="AE114" s="350"/>
      <c r="AF114" s="350"/>
    </row>
    <row r="115" spans="1:32" s="457" customFormat="1" ht="18" customHeight="1" x14ac:dyDescent="0.2">
      <c r="A115" s="61"/>
      <c r="B115" s="145"/>
      <c r="C115" s="145"/>
      <c r="D115" s="145"/>
      <c r="E115" s="145"/>
      <c r="F115" s="145"/>
      <c r="G115" s="145"/>
      <c r="H115" s="407"/>
      <c r="I115" s="77"/>
      <c r="J115" s="275"/>
      <c r="K115" s="78"/>
      <c r="L115" s="61"/>
      <c r="M115" s="145"/>
      <c r="N115" s="145"/>
      <c r="O115" s="61"/>
      <c r="P115" s="173"/>
      <c r="Q115" s="196"/>
      <c r="R115" s="408"/>
      <c r="S115" s="77"/>
      <c r="T115" s="408"/>
      <c r="U115" s="77"/>
      <c r="V115" s="77"/>
      <c r="W115" s="77"/>
      <c r="X115" s="77"/>
      <c r="Y115" s="77"/>
      <c r="Z115" s="77"/>
      <c r="AA115" s="409"/>
      <c r="AB115" s="466"/>
      <c r="AC115" s="350"/>
      <c r="AD115" s="350"/>
      <c r="AE115" s="350"/>
      <c r="AF115" s="350"/>
    </row>
    <row r="116" spans="1:32" s="457" customFormat="1" ht="18" customHeight="1" x14ac:dyDescent="0.2">
      <c r="A116" s="61"/>
      <c r="B116" s="145"/>
      <c r="C116" s="145"/>
      <c r="D116" s="145"/>
      <c r="E116" s="145"/>
      <c r="F116" s="145"/>
      <c r="G116" s="145"/>
      <c r="H116" s="407"/>
      <c r="I116" s="77"/>
      <c r="J116" s="275"/>
      <c r="K116" s="78"/>
      <c r="L116" s="61"/>
      <c r="M116" s="145"/>
      <c r="N116" s="145"/>
      <c r="O116" s="61"/>
      <c r="P116" s="173"/>
      <c r="Q116" s="196"/>
      <c r="R116" s="408"/>
      <c r="S116" s="77"/>
      <c r="T116" s="408"/>
      <c r="U116" s="77"/>
      <c r="V116" s="77"/>
      <c r="W116" s="77"/>
      <c r="X116" s="77"/>
      <c r="Y116" s="77"/>
      <c r="Z116" s="77"/>
      <c r="AA116" s="409"/>
      <c r="AB116" s="466"/>
      <c r="AC116" s="350"/>
      <c r="AD116" s="350"/>
      <c r="AE116" s="350"/>
      <c r="AF116" s="350"/>
    </row>
    <row r="117" spans="1:32" s="457" customFormat="1" ht="18" customHeight="1" x14ac:dyDescent="0.2">
      <c r="A117" s="61"/>
      <c r="B117" s="145"/>
      <c r="C117" s="145"/>
      <c r="D117" s="145"/>
      <c r="E117" s="145"/>
      <c r="F117" s="145"/>
      <c r="G117" s="145"/>
      <c r="H117" s="407"/>
      <c r="I117" s="77"/>
      <c r="J117" s="275"/>
      <c r="K117" s="78"/>
      <c r="L117" s="61"/>
      <c r="M117" s="145"/>
      <c r="N117" s="145"/>
      <c r="O117" s="61"/>
      <c r="P117" s="173"/>
      <c r="Q117" s="196"/>
      <c r="R117" s="408"/>
      <c r="S117" s="77"/>
      <c r="T117" s="408"/>
      <c r="U117" s="77"/>
      <c r="V117" s="77"/>
      <c r="W117" s="77"/>
      <c r="X117" s="77"/>
      <c r="Y117" s="77"/>
      <c r="Z117" s="77"/>
      <c r="AA117" s="409"/>
      <c r="AB117" s="466"/>
      <c r="AC117" s="350"/>
      <c r="AD117" s="350"/>
      <c r="AE117" s="350"/>
      <c r="AF117" s="350"/>
    </row>
    <row r="118" spans="1:32" s="457" customFormat="1" ht="18" customHeight="1" x14ac:dyDescent="0.2">
      <c r="A118" s="61"/>
      <c r="B118" s="145"/>
      <c r="C118" s="145"/>
      <c r="D118" s="145"/>
      <c r="E118" s="145"/>
      <c r="F118" s="145"/>
      <c r="G118" s="145"/>
      <c r="H118" s="407"/>
      <c r="I118" s="77"/>
      <c r="J118" s="275"/>
      <c r="K118" s="78"/>
      <c r="L118" s="61"/>
      <c r="M118" s="145"/>
      <c r="N118" s="145"/>
      <c r="O118" s="61"/>
      <c r="P118" s="173"/>
      <c r="Q118" s="196"/>
      <c r="R118" s="408"/>
      <c r="S118" s="77"/>
      <c r="T118" s="408"/>
      <c r="U118" s="77"/>
      <c r="V118" s="77"/>
      <c r="W118" s="77"/>
      <c r="X118" s="77"/>
      <c r="Y118" s="77"/>
      <c r="Z118" s="77"/>
      <c r="AA118" s="409"/>
      <c r="AB118" s="466"/>
      <c r="AC118" s="350"/>
      <c r="AD118" s="350"/>
      <c r="AE118" s="350"/>
      <c r="AF118" s="350"/>
    </row>
    <row r="119" spans="1:32" s="457" customFormat="1" ht="18" customHeight="1" x14ac:dyDescent="0.2">
      <c r="A119" s="61"/>
      <c r="B119" s="145"/>
      <c r="C119" s="145"/>
      <c r="D119" s="145"/>
      <c r="E119" s="145"/>
      <c r="F119" s="145"/>
      <c r="G119" s="145"/>
      <c r="H119" s="407"/>
      <c r="I119" s="77"/>
      <c r="J119" s="275"/>
      <c r="K119" s="78"/>
      <c r="L119" s="61"/>
      <c r="M119" s="145"/>
      <c r="N119" s="145"/>
      <c r="O119" s="61"/>
      <c r="P119" s="173"/>
      <c r="Q119" s="196"/>
      <c r="R119" s="408"/>
      <c r="S119" s="77"/>
      <c r="T119" s="408"/>
      <c r="U119" s="77"/>
      <c r="V119" s="77"/>
      <c r="W119" s="77"/>
      <c r="X119" s="77"/>
      <c r="Y119" s="77"/>
      <c r="Z119" s="77"/>
      <c r="AA119" s="409"/>
      <c r="AB119" s="466"/>
      <c r="AC119" s="350"/>
      <c r="AD119" s="350"/>
      <c r="AE119" s="350"/>
      <c r="AF119" s="350"/>
    </row>
    <row r="120" spans="1:32" s="457" customFormat="1" ht="18" customHeight="1" x14ac:dyDescent="0.2">
      <c r="A120" s="61"/>
      <c r="B120" s="145"/>
      <c r="C120" s="145"/>
      <c r="D120" s="145"/>
      <c r="E120" s="145"/>
      <c r="F120" s="145"/>
      <c r="G120" s="145"/>
      <c r="H120" s="407"/>
      <c r="I120" s="77"/>
      <c r="J120" s="275"/>
      <c r="K120" s="78"/>
      <c r="L120" s="61"/>
      <c r="M120" s="145"/>
      <c r="N120" s="145"/>
      <c r="O120" s="61"/>
      <c r="P120" s="173"/>
      <c r="Q120" s="196"/>
      <c r="R120" s="408"/>
      <c r="S120" s="77"/>
      <c r="T120" s="408"/>
      <c r="U120" s="77"/>
      <c r="V120" s="77"/>
      <c r="W120" s="77"/>
      <c r="X120" s="77"/>
      <c r="Y120" s="77"/>
      <c r="Z120" s="77"/>
      <c r="AA120" s="409"/>
      <c r="AB120" s="466"/>
      <c r="AC120" s="350"/>
      <c r="AD120" s="350"/>
      <c r="AE120" s="350"/>
      <c r="AF120" s="350"/>
    </row>
    <row r="121" spans="1:32" s="457" customFormat="1" ht="18" customHeight="1" x14ac:dyDescent="0.2">
      <c r="A121" s="61"/>
      <c r="B121" s="145"/>
      <c r="C121" s="145"/>
      <c r="D121" s="145"/>
      <c r="E121" s="145"/>
      <c r="F121" s="145"/>
      <c r="G121" s="145"/>
      <c r="H121" s="407"/>
      <c r="I121" s="77"/>
      <c r="J121" s="275"/>
      <c r="K121" s="78"/>
      <c r="L121" s="61"/>
      <c r="M121" s="145"/>
      <c r="N121" s="145"/>
      <c r="O121" s="61"/>
      <c r="P121" s="173"/>
      <c r="Q121" s="196"/>
      <c r="R121" s="408"/>
      <c r="S121" s="77"/>
      <c r="T121" s="408"/>
      <c r="U121" s="77"/>
      <c r="V121" s="77"/>
      <c r="W121" s="77"/>
      <c r="X121" s="77"/>
      <c r="Y121" s="77"/>
      <c r="Z121" s="77"/>
      <c r="AA121" s="409"/>
      <c r="AB121" s="466"/>
      <c r="AC121" s="350"/>
      <c r="AD121" s="350"/>
      <c r="AE121" s="350"/>
      <c r="AF121" s="350"/>
    </row>
    <row r="122" spans="1:32" s="457" customFormat="1" ht="18" customHeight="1" x14ac:dyDescent="0.2">
      <c r="A122" s="145"/>
      <c r="B122" s="177"/>
      <c r="C122" s="177"/>
      <c r="D122" s="145"/>
      <c r="E122" s="145"/>
      <c r="F122" s="145"/>
      <c r="G122" s="145"/>
      <c r="H122" s="147"/>
      <c r="I122" s="107"/>
      <c r="J122" s="178"/>
      <c r="K122" s="107"/>
      <c r="L122" s="145"/>
      <c r="M122" s="145"/>
      <c r="N122" s="145"/>
      <c r="O122" s="145"/>
      <c r="P122" s="147"/>
      <c r="Q122" s="148"/>
      <c r="R122" s="437"/>
      <c r="S122" s="107"/>
      <c r="T122" s="437"/>
      <c r="U122" s="178"/>
      <c r="V122" s="107"/>
      <c r="W122" s="107"/>
      <c r="X122" s="470"/>
      <c r="Y122" s="470"/>
      <c r="Z122" s="471"/>
      <c r="AA122" s="471"/>
      <c r="AB122" s="466"/>
      <c r="AC122" s="350"/>
      <c r="AD122" s="350"/>
      <c r="AE122" s="350"/>
      <c r="AF122" s="350"/>
    </row>
    <row r="123" spans="1:32" s="457" customFormat="1" ht="18" customHeight="1" x14ac:dyDescent="0.2">
      <c r="A123" s="145"/>
      <c r="B123" s="177"/>
      <c r="C123" s="177"/>
      <c r="D123" s="145"/>
      <c r="E123" s="145"/>
      <c r="F123" s="145"/>
      <c r="G123" s="145"/>
      <c r="H123" s="147"/>
      <c r="I123" s="107"/>
      <c r="J123" s="178"/>
      <c r="K123" s="107"/>
      <c r="L123" s="145"/>
      <c r="M123" s="145"/>
      <c r="N123" s="145"/>
      <c r="O123" s="145"/>
      <c r="P123" s="147"/>
      <c r="Q123" s="148"/>
      <c r="R123" s="437"/>
      <c r="S123" s="107"/>
      <c r="T123" s="437"/>
      <c r="U123" s="178"/>
      <c r="V123" s="107"/>
      <c r="W123" s="107"/>
      <c r="X123" s="470"/>
      <c r="Y123" s="470"/>
      <c r="Z123" s="471"/>
      <c r="AA123" s="471"/>
      <c r="AB123" s="466"/>
      <c r="AC123" s="350"/>
      <c r="AD123" s="350"/>
      <c r="AE123" s="350"/>
      <c r="AF123" s="350"/>
    </row>
    <row r="124" spans="1:32" s="457" customFormat="1" ht="18" customHeight="1" x14ac:dyDescent="0.2">
      <c r="A124" s="145"/>
      <c r="B124" s="177"/>
      <c r="C124" s="177"/>
      <c r="D124" s="145"/>
      <c r="E124" s="145"/>
      <c r="F124" s="145"/>
      <c r="G124" s="145"/>
      <c r="H124" s="147"/>
      <c r="I124" s="107"/>
      <c r="J124" s="178"/>
      <c r="K124" s="107"/>
      <c r="L124" s="145"/>
      <c r="M124" s="145"/>
      <c r="N124" s="145"/>
      <c r="O124" s="145"/>
      <c r="P124" s="147"/>
      <c r="Q124" s="148"/>
      <c r="R124" s="437"/>
      <c r="S124" s="107"/>
      <c r="T124" s="437"/>
      <c r="U124" s="178"/>
      <c r="V124" s="107"/>
      <c r="W124" s="107"/>
      <c r="X124" s="470"/>
      <c r="Y124" s="470"/>
      <c r="Z124" s="471"/>
      <c r="AA124" s="471"/>
      <c r="AB124" s="466"/>
      <c r="AC124" s="350"/>
      <c r="AD124" s="350"/>
      <c r="AE124" s="350"/>
      <c r="AF124" s="350"/>
    </row>
    <row r="125" spans="1:32" s="457" customFormat="1" ht="18" customHeight="1" x14ac:dyDescent="0.2">
      <c r="A125" s="145"/>
      <c r="B125" s="177"/>
      <c r="C125" s="177"/>
      <c r="D125" s="145"/>
      <c r="E125" s="145"/>
      <c r="F125" s="145"/>
      <c r="G125" s="145"/>
      <c r="H125" s="147"/>
      <c r="I125" s="107"/>
      <c r="J125" s="178"/>
      <c r="K125" s="107"/>
      <c r="L125" s="145"/>
      <c r="M125" s="145"/>
      <c r="N125" s="145"/>
      <c r="O125" s="145"/>
      <c r="P125" s="147"/>
      <c r="Q125" s="148"/>
      <c r="R125" s="437"/>
      <c r="S125" s="107"/>
      <c r="T125" s="437"/>
      <c r="U125" s="178"/>
      <c r="V125" s="107"/>
      <c r="W125" s="107"/>
      <c r="X125" s="470"/>
      <c r="Y125" s="470"/>
      <c r="Z125" s="471"/>
      <c r="AA125" s="471"/>
      <c r="AB125" s="466"/>
      <c r="AC125" s="350"/>
      <c r="AD125" s="350"/>
      <c r="AE125" s="350"/>
      <c r="AF125" s="350"/>
    </row>
    <row r="126" spans="1:32" s="457" customFormat="1" ht="18" customHeight="1" x14ac:dyDescent="0.2">
      <c r="A126" s="145"/>
      <c r="B126" s="177"/>
      <c r="C126" s="177"/>
      <c r="D126" s="145"/>
      <c r="E126" s="145"/>
      <c r="F126" s="145"/>
      <c r="G126" s="145"/>
      <c r="H126" s="147"/>
      <c r="I126" s="107"/>
      <c r="J126" s="178"/>
      <c r="K126" s="107"/>
      <c r="L126" s="145"/>
      <c r="M126" s="145"/>
      <c r="N126" s="145"/>
      <c r="O126" s="145"/>
      <c r="P126" s="147"/>
      <c r="Q126" s="148"/>
      <c r="R126" s="437"/>
      <c r="S126" s="107"/>
      <c r="T126" s="437"/>
      <c r="U126" s="178"/>
      <c r="V126" s="107"/>
      <c r="W126" s="107"/>
      <c r="X126" s="470"/>
      <c r="Y126" s="470"/>
      <c r="Z126" s="471"/>
      <c r="AA126" s="471"/>
      <c r="AB126" s="466"/>
      <c r="AC126" s="350"/>
      <c r="AD126" s="350"/>
      <c r="AE126" s="350"/>
      <c r="AF126" s="350"/>
    </row>
    <row r="127" spans="1:32" s="597" customFormat="1" ht="18" customHeight="1" x14ac:dyDescent="0.2">
      <c r="A127" s="1850"/>
      <c r="B127" s="1850"/>
      <c r="C127" s="1850"/>
      <c r="D127" s="1850"/>
      <c r="E127" s="1850"/>
      <c r="F127" s="1850"/>
      <c r="G127" s="1850"/>
      <c r="H127" s="1851"/>
      <c r="I127" s="1852"/>
      <c r="J127" s="1853"/>
      <c r="K127" s="1852"/>
      <c r="L127" s="1852"/>
      <c r="M127" s="1852"/>
      <c r="N127" s="1852"/>
      <c r="O127" s="1852"/>
      <c r="P127" s="1852"/>
      <c r="Q127" s="1852"/>
      <c r="R127" s="1854"/>
      <c r="S127" s="1852"/>
      <c r="T127" s="1854"/>
      <c r="U127" s="1853"/>
      <c r="V127" s="1852"/>
      <c r="W127" s="1852"/>
      <c r="X127" s="1856"/>
      <c r="Y127" s="1856"/>
      <c r="Z127" s="1857"/>
      <c r="AA127" s="1857"/>
      <c r="AB127" s="1847">
        <f>SUM(AB109:AB126)</f>
        <v>2718.1000695000002</v>
      </c>
      <c r="AC127" s="1861"/>
      <c r="AD127" s="1861"/>
      <c r="AE127" s="1861"/>
      <c r="AF127" s="1861"/>
    </row>
    <row r="128" spans="1:32" s="457" customFormat="1" ht="18" customHeight="1" x14ac:dyDescent="0.2">
      <c r="A128" s="2737" t="s">
        <v>76</v>
      </c>
      <c r="B128" s="2737"/>
      <c r="C128" s="2738" t="s">
        <v>77</v>
      </c>
      <c r="D128" s="2738"/>
      <c r="E128" s="2738"/>
      <c r="F128" s="2738"/>
      <c r="G128" s="2738"/>
      <c r="H128" s="2738"/>
      <c r="I128" s="457" t="s">
        <v>78</v>
      </c>
      <c r="T128" s="651"/>
      <c r="U128" s="478"/>
      <c r="AB128" s="478"/>
    </row>
    <row r="129" spans="1:32" s="457" customFormat="1" ht="18" customHeight="1" x14ac:dyDescent="0.2">
      <c r="A129" s="448"/>
      <c r="B129" s="479"/>
      <c r="I129" s="457" t="s">
        <v>79</v>
      </c>
      <c r="T129" s="651"/>
      <c r="U129" s="478"/>
      <c r="AB129" s="478"/>
    </row>
    <row r="130" spans="1:32" s="457" customFormat="1" ht="18" customHeight="1" x14ac:dyDescent="0.2">
      <c r="A130" s="448"/>
      <c r="B130" s="479"/>
      <c r="I130" s="457" t="s">
        <v>80</v>
      </c>
      <c r="T130" s="651"/>
      <c r="U130" s="478"/>
      <c r="AB130" s="478"/>
    </row>
    <row r="131" spans="1:32" s="457" customFormat="1" ht="18" customHeight="1" x14ac:dyDescent="0.2">
      <c r="A131" s="448"/>
      <c r="B131" s="479"/>
      <c r="I131" s="457" t="s">
        <v>81</v>
      </c>
      <c r="T131" s="651"/>
      <c r="U131" s="478"/>
      <c r="AB131" s="478"/>
    </row>
    <row r="132" spans="1:32" s="457" customFormat="1" ht="18" customHeight="1" x14ac:dyDescent="0.2">
      <c r="A132" s="448"/>
      <c r="B132" s="479"/>
      <c r="I132" s="457" t="s">
        <v>88</v>
      </c>
      <c r="T132" s="651"/>
      <c r="U132" s="478"/>
      <c r="AB132" s="478"/>
    </row>
    <row r="133" spans="1:32" s="457" customFormat="1" ht="18" customHeight="1" x14ac:dyDescent="0.2">
      <c r="A133" s="456"/>
      <c r="B133" s="455"/>
      <c r="C133" s="455"/>
      <c r="D133" s="455"/>
      <c r="E133" s="455"/>
      <c r="F133" s="455"/>
      <c r="G133" s="455"/>
      <c r="H133" s="455"/>
      <c r="I133" s="455"/>
      <c r="J133" s="455"/>
      <c r="K133" s="455"/>
      <c r="L133" s="455"/>
      <c r="M133" s="455"/>
      <c r="N133" s="455"/>
      <c r="O133" s="455"/>
      <c r="P133" s="455"/>
      <c r="Q133" s="455"/>
      <c r="R133" s="455"/>
      <c r="S133" s="455"/>
      <c r="T133" s="608"/>
      <c r="U133" s="609"/>
      <c r="V133" s="455"/>
      <c r="W133" s="455"/>
      <c r="X133" s="455"/>
      <c r="Y133" s="455"/>
      <c r="Z133" s="455"/>
      <c r="AA133" s="2705" t="s">
        <v>0</v>
      </c>
      <c r="AB133" s="2705"/>
      <c r="AC133" s="455"/>
      <c r="AD133" s="455"/>
      <c r="AE133" s="455"/>
      <c r="AF133" s="455"/>
    </row>
    <row r="134" spans="1:32" s="457" customFormat="1" ht="18" customHeight="1" x14ac:dyDescent="0.2">
      <c r="A134" s="2706" t="s">
        <v>1</v>
      </c>
      <c r="B134" s="2706"/>
      <c r="C134" s="2706"/>
      <c r="D134" s="2706"/>
      <c r="E134" s="2706"/>
      <c r="F134" s="2706"/>
      <c r="G134" s="2706"/>
      <c r="H134" s="2706"/>
      <c r="I134" s="2706"/>
      <c r="J134" s="2706"/>
      <c r="K134" s="2706"/>
      <c r="L134" s="2706"/>
      <c r="M134" s="2706"/>
      <c r="N134" s="2706"/>
      <c r="O134" s="2706"/>
      <c r="P134" s="2706"/>
      <c r="Q134" s="2706"/>
      <c r="R134" s="2706"/>
      <c r="S134" s="2706"/>
      <c r="T134" s="2706"/>
      <c r="U134" s="2706"/>
      <c r="V134" s="2706"/>
      <c r="W134" s="2706"/>
      <c r="X134" s="2706"/>
      <c r="Y134" s="2706"/>
      <c r="Z134" s="2706"/>
      <c r="AA134" s="2706"/>
      <c r="AB134" s="2706"/>
      <c r="AC134" s="610"/>
      <c r="AD134" s="610"/>
      <c r="AE134" s="610"/>
      <c r="AF134" s="610"/>
    </row>
    <row r="135" spans="1:32" s="457" customFormat="1" ht="18" customHeight="1" x14ac:dyDescent="0.2">
      <c r="A135" s="2704" t="s">
        <v>428</v>
      </c>
      <c r="B135" s="2704"/>
      <c r="C135" s="2704"/>
      <c r="D135" s="2704"/>
      <c r="E135" s="2704"/>
      <c r="F135" s="2704"/>
      <c r="G135" s="2704"/>
      <c r="H135" s="2704"/>
      <c r="I135" s="2704"/>
      <c r="J135" s="2704"/>
      <c r="K135" s="2704"/>
      <c r="L135" s="2704"/>
      <c r="M135" s="2704"/>
      <c r="N135" s="2704"/>
      <c r="O135" s="2704"/>
      <c r="P135" s="2704"/>
      <c r="Q135" s="2704"/>
      <c r="R135" s="2704"/>
      <c r="S135" s="2704"/>
      <c r="T135" s="2704"/>
      <c r="U135" s="2704"/>
      <c r="V135" s="2704"/>
      <c r="W135" s="2704"/>
      <c r="X135" s="2704"/>
      <c r="Y135" s="2704"/>
      <c r="Z135" s="2704"/>
      <c r="AA135" s="2704"/>
      <c r="AB135" s="2704"/>
      <c r="AC135" s="611"/>
      <c r="AD135" s="611"/>
      <c r="AE135" s="611"/>
      <c r="AF135" s="611"/>
    </row>
    <row r="136" spans="1:32" s="457" customFormat="1" ht="18" customHeight="1" x14ac:dyDescent="0.2">
      <c r="A136" s="2686" t="s">
        <v>2</v>
      </c>
      <c r="B136" s="360"/>
      <c r="C136" s="2686" t="s">
        <v>3</v>
      </c>
      <c r="D136" s="360"/>
      <c r="E136" s="360"/>
      <c r="F136" s="2693" t="s">
        <v>4</v>
      </c>
      <c r="G136" s="2693"/>
      <c r="H136" s="2693"/>
      <c r="I136" s="2694"/>
      <c r="J136" s="2694"/>
      <c r="K136" s="2695"/>
      <c r="L136" s="361"/>
      <c r="M136" s="2679" t="s">
        <v>5</v>
      </c>
      <c r="N136" s="2679"/>
      <c r="O136" s="2679"/>
      <c r="P136" s="2679"/>
      <c r="Q136" s="2696"/>
      <c r="R136" s="2696"/>
      <c r="S136" s="2696"/>
      <c r="T136" s="2696"/>
      <c r="U136" s="2696"/>
      <c r="V136" s="2697"/>
      <c r="W136" s="362" t="s">
        <v>6</v>
      </c>
      <c r="X136" s="363" t="s">
        <v>7</v>
      </c>
      <c r="Y136" s="364"/>
      <c r="Z136" s="364"/>
      <c r="AA136" s="363"/>
      <c r="AB136" s="458"/>
      <c r="AC136" s="612" t="s">
        <v>8</v>
      </c>
      <c r="AD136" s="613"/>
      <c r="AE136" s="613"/>
      <c r="AF136" s="614"/>
    </row>
    <row r="137" spans="1:32" s="457" customFormat="1" ht="18" customHeight="1" x14ac:dyDescent="0.2">
      <c r="A137" s="2687"/>
      <c r="B137" s="367"/>
      <c r="C137" s="2687"/>
      <c r="D137" s="366" t="s">
        <v>9</v>
      </c>
      <c r="E137" s="366" t="s">
        <v>10</v>
      </c>
      <c r="F137" s="2698" t="s">
        <v>11</v>
      </c>
      <c r="G137" s="2694"/>
      <c r="H137" s="2695"/>
      <c r="I137" s="360"/>
      <c r="J137" s="449" t="s">
        <v>12</v>
      </c>
      <c r="K137" s="360"/>
      <c r="L137" s="2679" t="s">
        <v>2</v>
      </c>
      <c r="M137" s="370"/>
      <c r="N137" s="370"/>
      <c r="O137" s="370"/>
      <c r="P137" s="371"/>
      <c r="Q137" s="459" t="s">
        <v>13</v>
      </c>
      <c r="R137" s="370" t="s">
        <v>12</v>
      </c>
      <c r="S137" s="370" t="s">
        <v>6</v>
      </c>
      <c r="T137" s="2682" t="s">
        <v>14</v>
      </c>
      <c r="U137" s="2683"/>
      <c r="V137" s="375" t="s">
        <v>7</v>
      </c>
      <c r="W137" s="376" t="s">
        <v>15</v>
      </c>
      <c r="X137" s="377" t="s">
        <v>16</v>
      </c>
      <c r="Y137" s="377" t="s">
        <v>17</v>
      </c>
      <c r="Z137" s="377" t="s">
        <v>18</v>
      </c>
      <c r="AA137" s="377"/>
      <c r="AB137" s="460" t="s">
        <v>19</v>
      </c>
      <c r="AC137" s="615" t="s">
        <v>20</v>
      </c>
      <c r="AD137" s="616"/>
      <c r="AE137" s="617" t="s">
        <v>21</v>
      </c>
      <c r="AF137" s="618" t="s">
        <v>22</v>
      </c>
    </row>
    <row r="138" spans="1:32" s="457" customFormat="1" ht="18" customHeight="1" x14ac:dyDescent="0.2">
      <c r="A138" s="2687"/>
      <c r="B138" s="366" t="s">
        <v>23</v>
      </c>
      <c r="C138" s="2687"/>
      <c r="D138" s="366" t="s">
        <v>24</v>
      </c>
      <c r="E138" s="366" t="s">
        <v>25</v>
      </c>
      <c r="F138" s="2699"/>
      <c r="G138" s="2700"/>
      <c r="H138" s="2701"/>
      <c r="I138" s="366" t="s">
        <v>26</v>
      </c>
      <c r="J138" s="380" t="s">
        <v>15</v>
      </c>
      <c r="K138" s="380" t="s">
        <v>6</v>
      </c>
      <c r="L138" s="2680"/>
      <c r="M138" s="381" t="s">
        <v>27</v>
      </c>
      <c r="N138" s="381" t="s">
        <v>10</v>
      </c>
      <c r="O138" s="381" t="s">
        <v>10</v>
      </c>
      <c r="P138" s="385" t="s">
        <v>28</v>
      </c>
      <c r="Q138" s="461" t="s">
        <v>29</v>
      </c>
      <c r="R138" s="385" t="s">
        <v>15</v>
      </c>
      <c r="S138" s="385" t="s">
        <v>15</v>
      </c>
      <c r="T138" s="2684"/>
      <c r="U138" s="2685"/>
      <c r="V138" s="375" t="s">
        <v>30</v>
      </c>
      <c r="W138" s="376" t="s">
        <v>31</v>
      </c>
      <c r="X138" s="377" t="s">
        <v>30</v>
      </c>
      <c r="Y138" s="377" t="s">
        <v>32</v>
      </c>
      <c r="Z138" s="377" t="s">
        <v>7</v>
      </c>
      <c r="AA138" s="377" t="s">
        <v>33</v>
      </c>
      <c r="AB138" s="460" t="s">
        <v>34</v>
      </c>
      <c r="AC138" s="615" t="s">
        <v>35</v>
      </c>
      <c r="AD138" s="617" t="s">
        <v>36</v>
      </c>
      <c r="AE138" s="617" t="s">
        <v>37</v>
      </c>
      <c r="AF138" s="618" t="s">
        <v>38</v>
      </c>
    </row>
    <row r="139" spans="1:32" s="457" customFormat="1" ht="18" customHeight="1" x14ac:dyDescent="0.2">
      <c r="A139" s="2687"/>
      <c r="B139" s="366" t="s">
        <v>39</v>
      </c>
      <c r="C139" s="2687"/>
      <c r="D139" s="366" t="s">
        <v>40</v>
      </c>
      <c r="E139" s="366" t="s">
        <v>41</v>
      </c>
      <c r="F139" s="2686" t="s">
        <v>42</v>
      </c>
      <c r="G139" s="2686" t="s">
        <v>43</v>
      </c>
      <c r="H139" s="2688" t="s">
        <v>44</v>
      </c>
      <c r="I139" s="366" t="s">
        <v>45</v>
      </c>
      <c r="J139" s="380" t="s">
        <v>46</v>
      </c>
      <c r="K139" s="380" t="s">
        <v>47</v>
      </c>
      <c r="L139" s="2680"/>
      <c r="M139" s="381" t="s">
        <v>30</v>
      </c>
      <c r="N139" s="381" t="s">
        <v>30</v>
      </c>
      <c r="O139" s="381" t="s">
        <v>25</v>
      </c>
      <c r="P139" s="385" t="s">
        <v>30</v>
      </c>
      <c r="Q139" s="461" t="s">
        <v>48</v>
      </c>
      <c r="R139" s="385" t="s">
        <v>49</v>
      </c>
      <c r="S139" s="385" t="s">
        <v>30</v>
      </c>
      <c r="T139" s="619" t="s">
        <v>50</v>
      </c>
      <c r="U139" s="620" t="s">
        <v>13</v>
      </c>
      <c r="V139" s="375" t="s">
        <v>51</v>
      </c>
      <c r="W139" s="376" t="s">
        <v>52</v>
      </c>
      <c r="X139" s="377" t="s">
        <v>53</v>
      </c>
      <c r="Y139" s="377" t="s">
        <v>54</v>
      </c>
      <c r="Z139" s="377" t="s">
        <v>55</v>
      </c>
      <c r="AA139" s="377" t="s">
        <v>56</v>
      </c>
      <c r="AB139" s="460" t="s">
        <v>57</v>
      </c>
      <c r="AC139" s="617" t="s">
        <v>58</v>
      </c>
      <c r="AD139" s="617" t="s">
        <v>59</v>
      </c>
      <c r="AE139" s="617" t="s">
        <v>59</v>
      </c>
      <c r="AF139" s="618" t="s">
        <v>60</v>
      </c>
    </row>
    <row r="140" spans="1:32" s="457" customFormat="1" ht="18" customHeight="1" x14ac:dyDescent="0.2">
      <c r="A140" s="2687"/>
      <c r="B140" s="366" t="s">
        <v>61</v>
      </c>
      <c r="C140" s="2687"/>
      <c r="D140" s="366" t="s">
        <v>62</v>
      </c>
      <c r="E140" s="366" t="s">
        <v>63</v>
      </c>
      <c r="F140" s="2687"/>
      <c r="G140" s="2687"/>
      <c r="H140" s="2689"/>
      <c r="I140" s="366" t="s">
        <v>64</v>
      </c>
      <c r="J140" s="380" t="s">
        <v>59</v>
      </c>
      <c r="K140" s="380" t="s">
        <v>59</v>
      </c>
      <c r="L140" s="2680"/>
      <c r="M140" s="381"/>
      <c r="N140" s="381"/>
      <c r="O140" s="381" t="s">
        <v>41</v>
      </c>
      <c r="P140" s="385" t="s">
        <v>65</v>
      </c>
      <c r="Q140" s="461" t="s">
        <v>66</v>
      </c>
      <c r="R140" s="385" t="s">
        <v>67</v>
      </c>
      <c r="S140" s="385" t="s">
        <v>59</v>
      </c>
      <c r="T140" s="621" t="s">
        <v>68</v>
      </c>
      <c r="U140" s="622" t="s">
        <v>14</v>
      </c>
      <c r="V140" s="375" t="s">
        <v>14</v>
      </c>
      <c r="W140" s="376" t="s">
        <v>30</v>
      </c>
      <c r="X140" s="388" t="s">
        <v>69</v>
      </c>
      <c r="Y140" s="388" t="s">
        <v>70</v>
      </c>
      <c r="Z140" s="377" t="s">
        <v>71</v>
      </c>
      <c r="AA140" s="377" t="s">
        <v>72</v>
      </c>
      <c r="AB140" s="460" t="s">
        <v>59</v>
      </c>
      <c r="AC140" s="617" t="s">
        <v>59</v>
      </c>
      <c r="AD140" s="617"/>
      <c r="AE140" s="617"/>
      <c r="AF140" s="618" t="s">
        <v>59</v>
      </c>
    </row>
    <row r="141" spans="1:32" s="457" customFormat="1" ht="18" customHeight="1" x14ac:dyDescent="0.2">
      <c r="A141" s="2692"/>
      <c r="B141" s="390"/>
      <c r="C141" s="2692"/>
      <c r="D141" s="390"/>
      <c r="E141" s="389"/>
      <c r="F141" s="390"/>
      <c r="G141" s="390"/>
      <c r="H141" s="391"/>
      <c r="I141" s="389"/>
      <c r="J141" s="393"/>
      <c r="K141" s="393"/>
      <c r="L141" s="2681"/>
      <c r="M141" s="394"/>
      <c r="N141" s="394"/>
      <c r="O141" s="394" t="s">
        <v>63</v>
      </c>
      <c r="P141" s="394"/>
      <c r="Q141" s="450" t="s">
        <v>72</v>
      </c>
      <c r="R141" s="398" t="s">
        <v>59</v>
      </c>
      <c r="S141" s="398"/>
      <c r="T141" s="623" t="s">
        <v>73</v>
      </c>
      <c r="U141" s="624" t="s">
        <v>59</v>
      </c>
      <c r="V141" s="399" t="s">
        <v>59</v>
      </c>
      <c r="W141" s="400" t="s">
        <v>59</v>
      </c>
      <c r="X141" s="401" t="s">
        <v>59</v>
      </c>
      <c r="Y141" s="401" t="s">
        <v>59</v>
      </c>
      <c r="Z141" s="401" t="s">
        <v>59</v>
      </c>
      <c r="AA141" s="402"/>
      <c r="AB141" s="462"/>
      <c r="AC141" s="625"/>
      <c r="AD141" s="625"/>
      <c r="AE141" s="625"/>
      <c r="AF141" s="626"/>
    </row>
    <row r="142" spans="1:32" s="457" customFormat="1" ht="18" customHeight="1" x14ac:dyDescent="0.25">
      <c r="A142" s="254">
        <v>1</v>
      </c>
      <c r="B142" s="102">
        <v>2148</v>
      </c>
      <c r="C142" s="333">
        <v>238</v>
      </c>
      <c r="D142" s="333" t="s">
        <v>139</v>
      </c>
      <c r="E142" s="333">
        <v>3</v>
      </c>
      <c r="F142" s="95">
        <v>4</v>
      </c>
      <c r="G142" s="95">
        <v>0</v>
      </c>
      <c r="H142" s="700">
        <v>72</v>
      </c>
      <c r="I142" s="44">
        <f>F142*400+G142*100+H142</f>
        <v>1672</v>
      </c>
      <c r="J142" s="701">
        <v>280</v>
      </c>
      <c r="K142" s="60">
        <f t="shared" ref="K142:K157" si="20">SUM(I142*J142)</f>
        <v>468160</v>
      </c>
      <c r="L142" s="254"/>
      <c r="M142" s="95">
        <v>504</v>
      </c>
      <c r="N142" s="333" t="s">
        <v>74</v>
      </c>
      <c r="O142" s="254">
        <v>3</v>
      </c>
      <c r="P142" s="333">
        <v>1550</v>
      </c>
      <c r="Q142" s="285" t="s">
        <v>429</v>
      </c>
      <c r="R142" s="702">
        <v>3100</v>
      </c>
      <c r="S142" s="30">
        <f t="shared" ref="S142:S157" si="21">+P142*R142</f>
        <v>4805000</v>
      </c>
      <c r="T142" s="1864">
        <v>25</v>
      </c>
      <c r="U142" s="1670">
        <f>+S142*0.4</f>
        <v>1922000</v>
      </c>
      <c r="V142" s="18">
        <f t="shared" ref="V142" si="22">+S142-U142</f>
        <v>2883000</v>
      </c>
      <c r="W142" s="18">
        <f t="shared" ref="W142" si="23">K142+V142</f>
        <v>3351160</v>
      </c>
      <c r="X142" s="47">
        <f>W142*Q142/100</f>
        <v>2848486</v>
      </c>
      <c r="Y142" s="320"/>
      <c r="Z142" s="18">
        <f>+X142</f>
        <v>2848486</v>
      </c>
      <c r="AA142" s="703">
        <v>0.3</v>
      </c>
      <c r="AB142" s="465">
        <f>+Z142*AA142/100</f>
        <v>8545.4579999999987</v>
      </c>
      <c r="AC142" s="602"/>
      <c r="AD142" s="603">
        <f>AB142-AC142</f>
        <v>8545.4579999999987</v>
      </c>
      <c r="AE142" s="603">
        <f>IF(AD142&lt;=0,0,AD142*25/100)</f>
        <v>2136.3644999999997</v>
      </c>
      <c r="AF142" s="603">
        <f>IF(AC142+AE142&gt;AB142,AB142,AC142+AE142)</f>
        <v>2136.3644999999997</v>
      </c>
    </row>
    <row r="143" spans="1:32" s="457" customFormat="1" ht="18" customHeight="1" x14ac:dyDescent="0.25">
      <c r="A143" s="255">
        <v>2</v>
      </c>
      <c r="B143" s="85">
        <v>2149</v>
      </c>
      <c r="C143" s="287">
        <v>239</v>
      </c>
      <c r="D143" s="287" t="s">
        <v>139</v>
      </c>
      <c r="E143" s="287">
        <v>4</v>
      </c>
      <c r="F143" s="102">
        <v>3</v>
      </c>
      <c r="G143" s="102">
        <v>3</v>
      </c>
      <c r="H143" s="499">
        <v>0</v>
      </c>
      <c r="I143" s="44">
        <f t="shared" ref="I143:I157" si="24">F143*400+G143*100+H143</f>
        <v>1500</v>
      </c>
      <c r="J143" s="628">
        <v>280</v>
      </c>
      <c r="K143" s="60">
        <f t="shared" si="20"/>
        <v>420000</v>
      </c>
      <c r="L143" s="255"/>
      <c r="M143" s="102"/>
      <c r="N143" s="704"/>
      <c r="O143" s="705"/>
      <c r="P143" s="706"/>
      <c r="Q143" s="102"/>
      <c r="R143" s="707"/>
      <c r="S143" s="30">
        <f t="shared" si="21"/>
        <v>0</v>
      </c>
      <c r="T143" s="1860"/>
      <c r="U143" s="1670">
        <f t="shared" ref="U143:U145" si="25">+S143*0.4</f>
        <v>0</v>
      </c>
      <c r="V143" s="18">
        <f t="shared" ref="V143:V145" si="26">+S143-U143</f>
        <v>0</v>
      </c>
      <c r="W143" s="18">
        <f t="shared" ref="W143:W157" si="27">K143+V143</f>
        <v>420000</v>
      </c>
      <c r="X143" s="47">
        <f>W143</f>
        <v>420000</v>
      </c>
      <c r="Y143" s="320">
        <v>0</v>
      </c>
      <c r="Z143" s="18">
        <f t="shared" ref="Z143:Z157" si="28">+X143</f>
        <v>420000</v>
      </c>
      <c r="AA143" s="708">
        <v>0.3</v>
      </c>
      <c r="AB143" s="466">
        <f>+Z143*AA143/100</f>
        <v>1260</v>
      </c>
      <c r="AC143" s="602"/>
      <c r="AD143" s="603">
        <f>AB143-AC143</f>
        <v>1260</v>
      </c>
      <c r="AE143" s="603">
        <f>IF(AD143&lt;=0,0,AD143*25/100)</f>
        <v>315</v>
      </c>
      <c r="AF143" s="603">
        <f>IF(AC143+AE143&gt;AB143,AB143,AC143+AE143)</f>
        <v>315</v>
      </c>
    </row>
    <row r="144" spans="1:32" s="457" customFormat="1" ht="18" customHeight="1" x14ac:dyDescent="0.25">
      <c r="A144" s="287">
        <v>3</v>
      </c>
      <c r="B144" s="499">
        <v>40789</v>
      </c>
      <c r="C144" s="334" t="s">
        <v>144</v>
      </c>
      <c r="D144" s="287" t="s">
        <v>139</v>
      </c>
      <c r="E144" s="287">
        <v>3</v>
      </c>
      <c r="F144" s="499">
        <v>1</v>
      </c>
      <c r="G144" s="241">
        <v>0</v>
      </c>
      <c r="H144" s="499">
        <v>0</v>
      </c>
      <c r="I144" s="44">
        <f t="shared" si="24"/>
        <v>400</v>
      </c>
      <c r="J144" s="628">
        <v>1400</v>
      </c>
      <c r="K144" s="60">
        <f t="shared" si="20"/>
        <v>560000</v>
      </c>
      <c r="L144" s="255"/>
      <c r="M144" s="102"/>
      <c r="N144" s="704"/>
      <c r="O144" s="705">
        <v>3</v>
      </c>
      <c r="P144" s="706"/>
      <c r="Q144" s="102"/>
      <c r="R144" s="707"/>
      <c r="S144" s="30">
        <f t="shared" si="21"/>
        <v>0</v>
      </c>
      <c r="T144" s="1860"/>
      <c r="U144" s="1670">
        <f t="shared" si="25"/>
        <v>0</v>
      </c>
      <c r="V144" s="18">
        <f t="shared" si="26"/>
        <v>0</v>
      </c>
      <c r="W144" s="18">
        <f t="shared" si="27"/>
        <v>560000</v>
      </c>
      <c r="X144" s="47">
        <f>W144</f>
        <v>560000</v>
      </c>
      <c r="Y144" s="320">
        <v>0</v>
      </c>
      <c r="Z144" s="18">
        <f t="shared" si="28"/>
        <v>560000</v>
      </c>
      <c r="AA144" s="703">
        <v>0.3</v>
      </c>
      <c r="AB144" s="466">
        <f t="shared" ref="AB144:AB145" si="29">+Z144*AA144/100</f>
        <v>1680</v>
      </c>
      <c r="AC144" s="350"/>
      <c r="AD144" s="350"/>
      <c r="AE144" s="350"/>
      <c r="AF144" s="350"/>
    </row>
    <row r="145" spans="1:33" s="457" customFormat="1" ht="18" customHeight="1" x14ac:dyDescent="0.25">
      <c r="A145" s="287">
        <v>4</v>
      </c>
      <c r="B145" s="499">
        <v>2181</v>
      </c>
      <c r="C145" s="325">
        <v>259</v>
      </c>
      <c r="D145" s="287" t="s">
        <v>139</v>
      </c>
      <c r="E145" s="709">
        <v>3</v>
      </c>
      <c r="F145" s="102">
        <v>9</v>
      </c>
      <c r="G145" s="102">
        <v>0</v>
      </c>
      <c r="H145" s="499">
        <v>66.59</v>
      </c>
      <c r="I145" s="44">
        <f t="shared" si="24"/>
        <v>3666.59</v>
      </c>
      <c r="J145" s="628">
        <v>280</v>
      </c>
      <c r="K145" s="60">
        <f t="shared" si="20"/>
        <v>1026645.2000000001</v>
      </c>
      <c r="L145" s="287"/>
      <c r="M145" s="102">
        <v>103</v>
      </c>
      <c r="N145" s="704" t="s">
        <v>74</v>
      </c>
      <c r="O145" s="705">
        <v>2</v>
      </c>
      <c r="P145" s="706">
        <v>280</v>
      </c>
      <c r="Q145" s="102">
        <v>100</v>
      </c>
      <c r="R145" s="707">
        <v>9050</v>
      </c>
      <c r="S145" s="30">
        <f t="shared" si="21"/>
        <v>2534000</v>
      </c>
      <c r="T145" s="1860">
        <v>25</v>
      </c>
      <c r="U145" s="1670">
        <f t="shared" si="25"/>
        <v>1013600</v>
      </c>
      <c r="V145" s="18">
        <f t="shared" si="26"/>
        <v>1520400</v>
      </c>
      <c r="W145" s="18">
        <f t="shared" si="27"/>
        <v>2547045.2000000002</v>
      </c>
      <c r="X145" s="47">
        <f t="shared" ref="X145:X157" si="30">W145*Q145/100</f>
        <v>2547045.2000000002</v>
      </c>
      <c r="Y145" s="241" t="s">
        <v>87</v>
      </c>
      <c r="Z145" s="18">
        <v>0</v>
      </c>
      <c r="AA145" s="102">
        <v>0.02</v>
      </c>
      <c r="AB145" s="466">
        <f t="shared" si="29"/>
        <v>0</v>
      </c>
      <c r="AC145" s="350"/>
      <c r="AD145" s="350"/>
      <c r="AE145" s="350"/>
      <c r="AF145" s="350"/>
      <c r="AG145" s="478">
        <v>3.2088369599999953</v>
      </c>
    </row>
    <row r="146" spans="1:33" s="457" customFormat="1" ht="18" customHeight="1" x14ac:dyDescent="0.25">
      <c r="A146" s="287"/>
      <c r="B146" s="325"/>
      <c r="C146" s="325"/>
      <c r="D146" s="287"/>
      <c r="E146" s="287"/>
      <c r="F146" s="287"/>
      <c r="G146" s="287"/>
      <c r="H146" s="326">
        <v>6.59</v>
      </c>
      <c r="I146" s="44">
        <f t="shared" si="24"/>
        <v>6.59</v>
      </c>
      <c r="J146" s="628">
        <v>280</v>
      </c>
      <c r="K146" s="60">
        <f t="shared" si="20"/>
        <v>1845.2</v>
      </c>
      <c r="L146" s="287"/>
      <c r="M146" s="102">
        <v>101</v>
      </c>
      <c r="N146" s="704" t="s">
        <v>82</v>
      </c>
      <c r="O146" s="705">
        <v>2</v>
      </c>
      <c r="P146" s="706">
        <v>26.3432</v>
      </c>
      <c r="Q146" s="102">
        <v>100</v>
      </c>
      <c r="R146" s="707">
        <v>7700</v>
      </c>
      <c r="S146" s="30">
        <f t="shared" si="21"/>
        <v>202842.63999999998</v>
      </c>
      <c r="T146" s="1860">
        <v>25</v>
      </c>
      <c r="U146" s="1670">
        <f>+S146*0.93</f>
        <v>188643.65520000001</v>
      </c>
      <c r="V146" s="710">
        <v>14198.984799999977</v>
      </c>
      <c r="W146" s="18">
        <f t="shared" si="27"/>
        <v>16044.184799999977</v>
      </c>
      <c r="X146" s="47">
        <f t="shared" si="30"/>
        <v>16044.184799999977</v>
      </c>
      <c r="Y146" s="241"/>
      <c r="Z146" s="18">
        <f t="shared" si="28"/>
        <v>16044.184799999977</v>
      </c>
      <c r="AA146" s="102">
        <v>0.02</v>
      </c>
      <c r="AB146" s="107">
        <f t="shared" ref="AB146:AB151" si="31">+Z146*AA146/100</f>
        <v>3.2088369599999953</v>
      </c>
      <c r="AC146" s="350"/>
      <c r="AD146" s="350"/>
      <c r="AE146" s="350"/>
      <c r="AF146" s="350"/>
      <c r="AG146" s="478">
        <v>3.2593680000000029</v>
      </c>
    </row>
    <row r="147" spans="1:33" s="457" customFormat="1" ht="18" customHeight="1" x14ac:dyDescent="0.25">
      <c r="A147" s="287"/>
      <c r="B147" s="325"/>
      <c r="C147" s="325"/>
      <c r="D147" s="287"/>
      <c r="E147" s="287"/>
      <c r="F147" s="287"/>
      <c r="G147" s="287"/>
      <c r="H147" s="326">
        <v>6.69</v>
      </c>
      <c r="I147" s="44">
        <f t="shared" si="24"/>
        <v>6.69</v>
      </c>
      <c r="J147" s="628">
        <v>280</v>
      </c>
      <c r="K147" s="60">
        <f t="shared" si="20"/>
        <v>1873.2</v>
      </c>
      <c r="L147" s="287"/>
      <c r="M147" s="102">
        <v>101</v>
      </c>
      <c r="N147" s="704" t="s">
        <v>82</v>
      </c>
      <c r="O147" s="705">
        <v>2</v>
      </c>
      <c r="P147" s="706">
        <v>26.759999999999998</v>
      </c>
      <c r="Q147" s="102">
        <v>100</v>
      </c>
      <c r="R147" s="707">
        <v>7700</v>
      </c>
      <c r="S147" s="30">
        <f t="shared" si="21"/>
        <v>206051.99999999997</v>
      </c>
      <c r="T147" s="1860">
        <v>25</v>
      </c>
      <c r="U147" s="1670">
        <f t="shared" ref="U147:U157" si="32">+S147*0.93</f>
        <v>191628.36</v>
      </c>
      <c r="V147" s="710">
        <v>14423.640000000014</v>
      </c>
      <c r="W147" s="18">
        <f t="shared" si="27"/>
        <v>16296.840000000015</v>
      </c>
      <c r="X147" s="47">
        <f t="shared" si="30"/>
        <v>16296.840000000015</v>
      </c>
      <c r="Y147" s="241"/>
      <c r="Z147" s="18">
        <f t="shared" si="28"/>
        <v>16296.840000000015</v>
      </c>
      <c r="AA147" s="102">
        <v>0.02</v>
      </c>
      <c r="AB147" s="107">
        <f t="shared" si="31"/>
        <v>3.2593680000000029</v>
      </c>
      <c r="AC147" s="350"/>
      <c r="AD147" s="350"/>
      <c r="AE147" s="350"/>
      <c r="AF147" s="350"/>
      <c r="AG147" s="478">
        <v>3.2591955200000005</v>
      </c>
    </row>
    <row r="148" spans="1:33" s="457" customFormat="1" ht="18" customHeight="1" x14ac:dyDescent="0.25">
      <c r="A148" s="287"/>
      <c r="B148" s="325"/>
      <c r="C148" s="325"/>
      <c r="D148" s="287"/>
      <c r="E148" s="287"/>
      <c r="F148" s="287"/>
      <c r="G148" s="287"/>
      <c r="H148" s="326">
        <v>6.69</v>
      </c>
      <c r="I148" s="44">
        <f t="shared" si="24"/>
        <v>6.69</v>
      </c>
      <c r="J148" s="628">
        <v>280</v>
      </c>
      <c r="K148" s="60">
        <f t="shared" si="20"/>
        <v>1873.2</v>
      </c>
      <c r="L148" s="287"/>
      <c r="M148" s="102">
        <v>101</v>
      </c>
      <c r="N148" s="704" t="s">
        <v>82</v>
      </c>
      <c r="O148" s="705">
        <v>2</v>
      </c>
      <c r="P148" s="706">
        <v>26.758399999999998</v>
      </c>
      <c r="Q148" s="102">
        <v>100</v>
      </c>
      <c r="R148" s="707">
        <v>7700</v>
      </c>
      <c r="S148" s="30">
        <f t="shared" si="21"/>
        <v>206039.67999999999</v>
      </c>
      <c r="T148" s="1860">
        <v>25</v>
      </c>
      <c r="U148" s="1670">
        <f t="shared" si="32"/>
        <v>191616.90239999999</v>
      </c>
      <c r="V148" s="710">
        <v>14422.777600000001</v>
      </c>
      <c r="W148" s="18">
        <f t="shared" si="27"/>
        <v>16295.977600000002</v>
      </c>
      <c r="X148" s="47">
        <f t="shared" si="30"/>
        <v>16295.977600000002</v>
      </c>
      <c r="Y148" s="241"/>
      <c r="Z148" s="18">
        <f t="shared" si="28"/>
        <v>16295.977600000002</v>
      </c>
      <c r="AA148" s="102">
        <v>0.02</v>
      </c>
      <c r="AB148" s="107">
        <f t="shared" si="31"/>
        <v>3.2591955200000005</v>
      </c>
      <c r="AC148" s="350"/>
      <c r="AD148" s="350"/>
      <c r="AE148" s="350"/>
      <c r="AF148" s="350"/>
      <c r="AG148" s="478">
        <v>3.2593680000000029</v>
      </c>
    </row>
    <row r="149" spans="1:33" s="457" customFormat="1" ht="18" customHeight="1" x14ac:dyDescent="0.25">
      <c r="A149" s="287"/>
      <c r="B149" s="325"/>
      <c r="C149" s="325"/>
      <c r="D149" s="287"/>
      <c r="E149" s="287"/>
      <c r="F149" s="287"/>
      <c r="G149" s="287"/>
      <c r="H149" s="326">
        <v>6.69</v>
      </c>
      <c r="I149" s="44">
        <f t="shared" si="24"/>
        <v>6.69</v>
      </c>
      <c r="J149" s="628">
        <v>280</v>
      </c>
      <c r="K149" s="60">
        <f t="shared" si="20"/>
        <v>1873.2</v>
      </c>
      <c r="L149" s="287"/>
      <c r="M149" s="102">
        <v>101</v>
      </c>
      <c r="N149" s="704" t="s">
        <v>82</v>
      </c>
      <c r="O149" s="705">
        <v>2</v>
      </c>
      <c r="P149" s="706">
        <v>26.759999999999998</v>
      </c>
      <c r="Q149" s="102">
        <v>100</v>
      </c>
      <c r="R149" s="707">
        <v>7700</v>
      </c>
      <c r="S149" s="30">
        <f t="shared" si="21"/>
        <v>206051.99999999997</v>
      </c>
      <c r="T149" s="1860">
        <v>25</v>
      </c>
      <c r="U149" s="1670">
        <f t="shared" si="32"/>
        <v>191628.36</v>
      </c>
      <c r="V149" s="710">
        <v>14423.640000000014</v>
      </c>
      <c r="W149" s="18">
        <f t="shared" si="27"/>
        <v>16296.840000000015</v>
      </c>
      <c r="X149" s="47">
        <f t="shared" si="30"/>
        <v>16296.840000000015</v>
      </c>
      <c r="Y149" s="241"/>
      <c r="Z149" s="18">
        <f t="shared" si="28"/>
        <v>16296.840000000015</v>
      </c>
      <c r="AA149" s="102">
        <v>0.02</v>
      </c>
      <c r="AB149" s="107">
        <f t="shared" si="31"/>
        <v>3.2593680000000029</v>
      </c>
      <c r="AC149" s="350"/>
      <c r="AD149" s="350"/>
      <c r="AE149" s="350"/>
      <c r="AF149" s="350"/>
      <c r="AG149" s="478">
        <v>3.2626451199999993</v>
      </c>
    </row>
    <row r="150" spans="1:33" s="457" customFormat="1" ht="18" customHeight="1" x14ac:dyDescent="0.25">
      <c r="A150" s="287"/>
      <c r="B150" s="325"/>
      <c r="C150" s="325"/>
      <c r="D150" s="287"/>
      <c r="E150" s="287"/>
      <c r="F150" s="287"/>
      <c r="G150" s="287"/>
      <c r="H150" s="326">
        <v>6.69</v>
      </c>
      <c r="I150" s="44">
        <f t="shared" si="24"/>
        <v>6.69</v>
      </c>
      <c r="J150" s="628">
        <v>280</v>
      </c>
      <c r="K150" s="60">
        <f t="shared" si="20"/>
        <v>1873.2</v>
      </c>
      <c r="L150" s="287"/>
      <c r="M150" s="102">
        <v>101</v>
      </c>
      <c r="N150" s="704" t="s">
        <v>82</v>
      </c>
      <c r="O150" s="705">
        <v>2</v>
      </c>
      <c r="P150" s="706">
        <v>26.790400000000005</v>
      </c>
      <c r="Q150" s="102">
        <v>100</v>
      </c>
      <c r="R150" s="707">
        <v>7700</v>
      </c>
      <c r="S150" s="30">
        <f t="shared" si="21"/>
        <v>206286.08000000005</v>
      </c>
      <c r="T150" s="1860">
        <v>25</v>
      </c>
      <c r="U150" s="1670">
        <f t="shared" si="32"/>
        <v>191846.05440000005</v>
      </c>
      <c r="V150" s="710">
        <v>14440.025599999994</v>
      </c>
      <c r="W150" s="18">
        <f t="shared" si="27"/>
        <v>16313.225599999994</v>
      </c>
      <c r="X150" s="47">
        <f t="shared" si="30"/>
        <v>16313.225599999994</v>
      </c>
      <c r="Y150" s="241"/>
      <c r="Z150" s="18">
        <f t="shared" si="28"/>
        <v>16313.225599999994</v>
      </c>
      <c r="AA150" s="102">
        <v>0.02</v>
      </c>
      <c r="AB150" s="107">
        <f t="shared" si="31"/>
        <v>3.2626451199999993</v>
      </c>
      <c r="AC150" s="350"/>
      <c r="AD150" s="350"/>
      <c r="AE150" s="350"/>
      <c r="AF150" s="350"/>
      <c r="AG150" s="478">
        <v>3.2626451199999993</v>
      </c>
    </row>
    <row r="151" spans="1:33" s="457" customFormat="1" ht="18" customHeight="1" x14ac:dyDescent="0.25">
      <c r="A151" s="287"/>
      <c r="B151" s="325"/>
      <c r="C151" s="325"/>
      <c r="D151" s="287"/>
      <c r="E151" s="287"/>
      <c r="F151" s="287"/>
      <c r="G151" s="287"/>
      <c r="H151" s="326">
        <v>6.69</v>
      </c>
      <c r="I151" s="44">
        <f t="shared" si="24"/>
        <v>6.69</v>
      </c>
      <c r="J151" s="628">
        <v>280</v>
      </c>
      <c r="K151" s="60">
        <f t="shared" si="20"/>
        <v>1873.2</v>
      </c>
      <c r="L151" s="287"/>
      <c r="M151" s="102">
        <v>101</v>
      </c>
      <c r="N151" s="704" t="s">
        <v>82</v>
      </c>
      <c r="O151" s="705">
        <v>2</v>
      </c>
      <c r="P151" s="706">
        <v>26.790400000000005</v>
      </c>
      <c r="Q151" s="102">
        <v>100</v>
      </c>
      <c r="R151" s="707">
        <v>7700</v>
      </c>
      <c r="S151" s="30">
        <f t="shared" si="21"/>
        <v>206286.08000000005</v>
      </c>
      <c r="T151" s="1860">
        <v>25</v>
      </c>
      <c r="U151" s="1670">
        <f t="shared" si="32"/>
        <v>191846.05440000005</v>
      </c>
      <c r="V151" s="710">
        <v>14440.025599999994</v>
      </c>
      <c r="W151" s="18">
        <f t="shared" si="27"/>
        <v>16313.225599999994</v>
      </c>
      <c r="X151" s="47">
        <f t="shared" si="30"/>
        <v>16313.225599999994</v>
      </c>
      <c r="Y151" s="241"/>
      <c r="Z151" s="18">
        <f t="shared" si="28"/>
        <v>16313.225599999994</v>
      </c>
      <c r="AA151" s="102">
        <v>0.02</v>
      </c>
      <c r="AB151" s="107">
        <f t="shared" si="31"/>
        <v>3.2626451199999993</v>
      </c>
      <c r="AC151" s="350"/>
      <c r="AD151" s="350"/>
      <c r="AE151" s="350"/>
      <c r="AF151" s="350"/>
      <c r="AG151" s="478">
        <v>3.2082769599999956</v>
      </c>
    </row>
    <row r="152" spans="1:33" s="457" customFormat="1" ht="18" customHeight="1" x14ac:dyDescent="0.25">
      <c r="A152" s="287"/>
      <c r="B152" s="325"/>
      <c r="C152" s="325"/>
      <c r="D152" s="287"/>
      <c r="E152" s="287"/>
      <c r="F152" s="287"/>
      <c r="G152" s="287"/>
      <c r="H152" s="326">
        <v>6.58</v>
      </c>
      <c r="I152" s="44">
        <f t="shared" si="24"/>
        <v>6.58</v>
      </c>
      <c r="J152" s="628">
        <v>280</v>
      </c>
      <c r="K152" s="60">
        <f t="shared" si="20"/>
        <v>1842.4</v>
      </c>
      <c r="L152" s="287"/>
      <c r="M152" s="102">
        <v>101</v>
      </c>
      <c r="N152" s="704" t="s">
        <v>82</v>
      </c>
      <c r="O152" s="705">
        <v>2</v>
      </c>
      <c r="P152" s="706">
        <v>26.3432</v>
      </c>
      <c r="Q152" s="102">
        <v>100</v>
      </c>
      <c r="R152" s="707">
        <v>7700</v>
      </c>
      <c r="S152" s="30">
        <f t="shared" si="21"/>
        <v>202842.63999999998</v>
      </c>
      <c r="T152" s="1860">
        <v>25</v>
      </c>
      <c r="U152" s="1670">
        <f t="shared" si="32"/>
        <v>188643.65520000001</v>
      </c>
      <c r="V152" s="710">
        <v>14198.984799999977</v>
      </c>
      <c r="W152" s="18">
        <f t="shared" si="27"/>
        <v>16041.384799999976</v>
      </c>
      <c r="X152" s="47">
        <f t="shared" si="30"/>
        <v>16041.384799999976</v>
      </c>
      <c r="Y152" s="241"/>
      <c r="Z152" s="18">
        <f t="shared" si="28"/>
        <v>16041.384799999976</v>
      </c>
      <c r="AA152" s="102">
        <v>0.02</v>
      </c>
      <c r="AB152" s="107">
        <f t="shared" ref="AB152:AB157" si="33">+Z152*AA152/100</f>
        <v>3.2082769599999956</v>
      </c>
      <c r="AC152" s="350"/>
      <c r="AD152" s="350"/>
      <c r="AE152" s="350"/>
      <c r="AF152" s="350"/>
      <c r="AG152" s="478">
        <v>3.2593680000000029</v>
      </c>
    </row>
    <row r="153" spans="1:33" s="457" customFormat="1" ht="18" customHeight="1" x14ac:dyDescent="0.25">
      <c r="A153" s="287"/>
      <c r="B153" s="325"/>
      <c r="C153" s="325"/>
      <c r="D153" s="287"/>
      <c r="E153" s="287"/>
      <c r="F153" s="287"/>
      <c r="G153" s="287"/>
      <c r="H153" s="326">
        <v>6.69</v>
      </c>
      <c r="I153" s="44">
        <f t="shared" si="24"/>
        <v>6.69</v>
      </c>
      <c r="J153" s="628">
        <v>280</v>
      </c>
      <c r="K153" s="60">
        <f t="shared" si="20"/>
        <v>1873.2</v>
      </c>
      <c r="L153" s="287"/>
      <c r="M153" s="102">
        <v>101</v>
      </c>
      <c r="N153" s="704" t="s">
        <v>82</v>
      </c>
      <c r="O153" s="705">
        <v>2</v>
      </c>
      <c r="P153" s="706">
        <v>26.759999999999998</v>
      </c>
      <c r="Q153" s="102">
        <v>100</v>
      </c>
      <c r="R153" s="707">
        <v>7700</v>
      </c>
      <c r="S153" s="30">
        <f t="shared" si="21"/>
        <v>206051.99999999997</v>
      </c>
      <c r="T153" s="1860">
        <v>25</v>
      </c>
      <c r="U153" s="1670">
        <f t="shared" si="32"/>
        <v>191628.36</v>
      </c>
      <c r="V153" s="710">
        <v>14423.640000000014</v>
      </c>
      <c r="W153" s="18">
        <f t="shared" si="27"/>
        <v>16296.840000000015</v>
      </c>
      <c r="X153" s="47">
        <f t="shared" si="30"/>
        <v>16296.840000000015</v>
      </c>
      <c r="Y153" s="241"/>
      <c r="Z153" s="18">
        <f t="shared" si="28"/>
        <v>16296.840000000015</v>
      </c>
      <c r="AA153" s="102">
        <v>0.02</v>
      </c>
      <c r="AB153" s="107">
        <f t="shared" si="33"/>
        <v>3.2593680000000029</v>
      </c>
      <c r="AC153" s="350"/>
      <c r="AD153" s="350"/>
      <c r="AE153" s="350"/>
      <c r="AF153" s="350"/>
      <c r="AG153" s="478">
        <v>3.2591955200000005</v>
      </c>
    </row>
    <row r="154" spans="1:33" s="457" customFormat="1" ht="18" customHeight="1" x14ac:dyDescent="0.25">
      <c r="A154" s="287"/>
      <c r="B154" s="325"/>
      <c r="C154" s="325"/>
      <c r="D154" s="287"/>
      <c r="E154" s="287"/>
      <c r="F154" s="287"/>
      <c r="G154" s="287"/>
      <c r="H154" s="326">
        <v>6.69</v>
      </c>
      <c r="I154" s="44">
        <f t="shared" si="24"/>
        <v>6.69</v>
      </c>
      <c r="J154" s="628">
        <v>280</v>
      </c>
      <c r="K154" s="60">
        <f t="shared" si="20"/>
        <v>1873.2</v>
      </c>
      <c r="L154" s="287"/>
      <c r="M154" s="102">
        <v>101</v>
      </c>
      <c r="N154" s="704" t="s">
        <v>82</v>
      </c>
      <c r="O154" s="705">
        <v>2</v>
      </c>
      <c r="P154" s="706">
        <v>26.758399999999998</v>
      </c>
      <c r="Q154" s="102">
        <v>100</v>
      </c>
      <c r="R154" s="711">
        <v>7700</v>
      </c>
      <c r="S154" s="30">
        <f t="shared" si="21"/>
        <v>206039.67999999999</v>
      </c>
      <c r="T154" s="1860">
        <v>25</v>
      </c>
      <c r="U154" s="1670">
        <f t="shared" si="32"/>
        <v>191616.90239999999</v>
      </c>
      <c r="V154" s="710">
        <v>14422.777600000001</v>
      </c>
      <c r="W154" s="18">
        <f t="shared" si="27"/>
        <v>16295.977600000002</v>
      </c>
      <c r="X154" s="47">
        <f t="shared" si="30"/>
        <v>16295.977600000002</v>
      </c>
      <c r="Y154" s="241"/>
      <c r="Z154" s="18">
        <f t="shared" si="28"/>
        <v>16295.977600000002</v>
      </c>
      <c r="AA154" s="102">
        <v>0.02</v>
      </c>
      <c r="AB154" s="107">
        <f t="shared" si="33"/>
        <v>3.2591955200000005</v>
      </c>
      <c r="AC154" s="350"/>
      <c r="AD154" s="350"/>
      <c r="AE154" s="350"/>
      <c r="AF154" s="350"/>
      <c r="AG154" s="478">
        <v>3.195913420000005</v>
      </c>
    </row>
    <row r="155" spans="1:33" s="457" customFormat="1" ht="18" customHeight="1" x14ac:dyDescent="0.25">
      <c r="A155" s="287"/>
      <c r="B155" s="325"/>
      <c r="C155" s="325"/>
      <c r="D155" s="287"/>
      <c r="E155" s="287"/>
      <c r="F155" s="287"/>
      <c r="G155" s="287"/>
      <c r="H155" s="326">
        <v>6.56</v>
      </c>
      <c r="I155" s="44">
        <f t="shared" si="24"/>
        <v>6.56</v>
      </c>
      <c r="J155" s="628">
        <v>280</v>
      </c>
      <c r="K155" s="60">
        <f t="shared" si="20"/>
        <v>1836.8</v>
      </c>
      <c r="L155" s="287"/>
      <c r="M155" s="102">
        <v>101</v>
      </c>
      <c r="N155" s="705" t="s">
        <v>82</v>
      </c>
      <c r="O155" s="705">
        <v>2</v>
      </c>
      <c r="P155" s="706">
        <v>26.238899999999997</v>
      </c>
      <c r="Q155" s="102">
        <v>100</v>
      </c>
      <c r="R155" s="711">
        <v>7700</v>
      </c>
      <c r="S155" s="30">
        <f t="shared" si="21"/>
        <v>202039.52999999997</v>
      </c>
      <c r="T155" s="1860">
        <v>25</v>
      </c>
      <c r="U155" s="1670">
        <f t="shared" si="32"/>
        <v>187896.76289999997</v>
      </c>
      <c r="V155" s="710">
        <v>14142.767100000026</v>
      </c>
      <c r="W155" s="18">
        <f t="shared" si="27"/>
        <v>15979.567100000026</v>
      </c>
      <c r="X155" s="47">
        <f t="shared" si="30"/>
        <v>15979.567100000026</v>
      </c>
      <c r="Y155" s="102"/>
      <c r="Z155" s="18">
        <f t="shared" si="28"/>
        <v>15979.567100000026</v>
      </c>
      <c r="AA155" s="102">
        <v>0.02</v>
      </c>
      <c r="AB155" s="107">
        <f t="shared" si="33"/>
        <v>3.195913420000005</v>
      </c>
      <c r="AC155" s="350"/>
      <c r="AD155" s="350"/>
      <c r="AE155" s="350"/>
      <c r="AF155" s="350"/>
      <c r="AG155" s="478">
        <v>429.98340000000013</v>
      </c>
    </row>
    <row r="156" spans="1:33" s="457" customFormat="1" ht="18" customHeight="1" x14ac:dyDescent="0.25">
      <c r="A156" s="287"/>
      <c r="B156" s="325"/>
      <c r="C156" s="325"/>
      <c r="D156" s="287"/>
      <c r="E156" s="287"/>
      <c r="F156" s="287"/>
      <c r="G156" s="287">
        <v>1</v>
      </c>
      <c r="H156" s="326">
        <v>24.85</v>
      </c>
      <c r="I156" s="44">
        <f t="shared" si="24"/>
        <v>124.85</v>
      </c>
      <c r="J156" s="628">
        <v>280</v>
      </c>
      <c r="K156" s="60">
        <f t="shared" si="20"/>
        <v>34958</v>
      </c>
      <c r="L156" s="287"/>
      <c r="M156" s="102">
        <v>504</v>
      </c>
      <c r="N156" s="704" t="s">
        <v>82</v>
      </c>
      <c r="O156" s="705">
        <v>3</v>
      </c>
      <c r="P156" s="706">
        <v>499.4</v>
      </c>
      <c r="Q156" s="102">
        <v>100</v>
      </c>
      <c r="R156" s="707">
        <v>3100</v>
      </c>
      <c r="S156" s="30">
        <f t="shared" si="21"/>
        <v>1548140</v>
      </c>
      <c r="T156" s="1860">
        <v>25</v>
      </c>
      <c r="U156" s="1670">
        <f t="shared" si="32"/>
        <v>1439770.2000000002</v>
      </c>
      <c r="V156" s="710">
        <v>108369.80000000005</v>
      </c>
      <c r="W156" s="18">
        <f t="shared" si="27"/>
        <v>143327.80000000005</v>
      </c>
      <c r="X156" s="47">
        <f t="shared" si="30"/>
        <v>143327.80000000005</v>
      </c>
      <c r="Y156" s="241"/>
      <c r="Z156" s="18">
        <f t="shared" si="28"/>
        <v>143327.80000000005</v>
      </c>
      <c r="AA156" s="102">
        <v>0.3</v>
      </c>
      <c r="AB156" s="107">
        <f t="shared" si="33"/>
        <v>429.98340000000013</v>
      </c>
      <c r="AC156" s="350"/>
      <c r="AD156" s="350"/>
      <c r="AE156" s="350"/>
      <c r="AF156" s="350"/>
      <c r="AG156" s="478">
        <f>SUM(AG145:AG155)</f>
        <v>462.41821262000013</v>
      </c>
    </row>
    <row r="157" spans="1:33" s="457" customFormat="1" ht="18" customHeight="1" x14ac:dyDescent="0.25">
      <c r="A157" s="287">
        <v>5</v>
      </c>
      <c r="B157" s="288">
        <v>31389</v>
      </c>
      <c r="C157" s="325">
        <v>861</v>
      </c>
      <c r="D157" s="287" t="s">
        <v>139</v>
      </c>
      <c r="E157" s="287">
        <v>3</v>
      </c>
      <c r="F157" s="287">
        <v>1</v>
      </c>
      <c r="G157" s="287">
        <v>2</v>
      </c>
      <c r="H157" s="326">
        <v>6</v>
      </c>
      <c r="I157" s="44">
        <f t="shared" si="24"/>
        <v>606</v>
      </c>
      <c r="J157" s="628">
        <v>880</v>
      </c>
      <c r="K157" s="60">
        <f t="shared" si="20"/>
        <v>533280</v>
      </c>
      <c r="L157" s="287"/>
      <c r="M157" s="85">
        <v>504</v>
      </c>
      <c r="N157" s="643" t="s">
        <v>82</v>
      </c>
      <c r="O157" s="638">
        <v>3</v>
      </c>
      <c r="P157" s="641">
        <v>29</v>
      </c>
      <c r="Q157" s="85">
        <v>100</v>
      </c>
      <c r="R157" s="640">
        <v>3100</v>
      </c>
      <c r="S157" s="30">
        <f t="shared" si="21"/>
        <v>89900</v>
      </c>
      <c r="T157" s="1860">
        <v>25</v>
      </c>
      <c r="U157" s="1670">
        <f t="shared" si="32"/>
        <v>83607</v>
      </c>
      <c r="V157" s="710">
        <v>6293</v>
      </c>
      <c r="W157" s="18">
        <f t="shared" si="27"/>
        <v>539573</v>
      </c>
      <c r="X157" s="47">
        <f t="shared" si="30"/>
        <v>539573</v>
      </c>
      <c r="Y157" s="712"/>
      <c r="Z157" s="18">
        <f t="shared" si="28"/>
        <v>539573</v>
      </c>
      <c r="AA157" s="289">
        <v>0.3</v>
      </c>
      <c r="AB157" s="150">
        <f t="shared" si="33"/>
        <v>1618.7190000000001</v>
      </c>
      <c r="AC157" s="350"/>
      <c r="AD157" s="350"/>
      <c r="AE157" s="350"/>
      <c r="AF157" s="350"/>
    </row>
    <row r="158" spans="1:33" s="457" customFormat="1" ht="18" customHeight="1" x14ac:dyDescent="0.2">
      <c r="A158" s="88"/>
      <c r="B158" s="145"/>
      <c r="C158" s="180"/>
      <c r="D158" s="88"/>
      <c r="E158" s="88"/>
      <c r="F158" s="418"/>
      <c r="G158" s="88"/>
      <c r="H158" s="418"/>
      <c r="I158" s="121"/>
      <c r="J158" s="280"/>
      <c r="K158" s="159"/>
      <c r="L158" s="88"/>
      <c r="M158" s="88"/>
      <c r="N158" s="713"/>
      <c r="O158" s="714"/>
      <c r="P158" s="121"/>
      <c r="Q158" s="239"/>
      <c r="R158" s="440"/>
      <c r="S158" s="121"/>
      <c r="T158" s="440"/>
      <c r="U158" s="107"/>
      <c r="V158" s="715"/>
      <c r="W158" s="107"/>
      <c r="X158" s="716"/>
      <c r="Y158" s="61"/>
      <c r="Z158" s="470"/>
      <c r="AA158" s="61"/>
      <c r="AB158" s="107"/>
      <c r="AC158" s="351"/>
      <c r="AD158" s="351"/>
      <c r="AE158" s="351"/>
      <c r="AF158" s="351"/>
    </row>
    <row r="159" spans="1:33" s="457" customFormat="1" ht="18" customHeight="1" x14ac:dyDescent="0.2">
      <c r="A159" s="88"/>
      <c r="B159" s="88"/>
      <c r="C159" s="180"/>
      <c r="D159" s="88"/>
      <c r="E159" s="88"/>
      <c r="F159" s="418"/>
      <c r="G159" s="88"/>
      <c r="H159" s="418"/>
      <c r="I159" s="121"/>
      <c r="J159" s="280"/>
      <c r="K159" s="159"/>
      <c r="L159" s="88"/>
      <c r="M159" s="88"/>
      <c r="N159" s="713"/>
      <c r="O159" s="714"/>
      <c r="P159" s="121"/>
      <c r="Q159" s="239"/>
      <c r="R159" s="440"/>
      <c r="S159" s="121"/>
      <c r="T159" s="440"/>
      <c r="U159" s="121"/>
      <c r="V159" s="717"/>
      <c r="W159" s="121"/>
      <c r="X159" s="718"/>
      <c r="Y159" s="75"/>
      <c r="Z159" s="472"/>
      <c r="AA159" s="75"/>
      <c r="AB159" s="121"/>
      <c r="AC159" s="719"/>
      <c r="AD159" s="719"/>
      <c r="AE159" s="719"/>
      <c r="AF159" s="719"/>
    </row>
    <row r="160" spans="1:33" s="597" customFormat="1" ht="18" customHeight="1" x14ac:dyDescent="0.2">
      <c r="A160" s="1850"/>
      <c r="B160" s="1850"/>
      <c r="C160" s="1850"/>
      <c r="D160" s="1850"/>
      <c r="E160" s="1850"/>
      <c r="F160" s="1850"/>
      <c r="G160" s="1850"/>
      <c r="H160" s="1851"/>
      <c r="I160" s="1852">
        <f>+F160*400+G160*100+H160</f>
        <v>0</v>
      </c>
      <c r="J160" s="1865"/>
      <c r="K160" s="1866">
        <f>SUM(I160*J160)</f>
        <v>0</v>
      </c>
      <c r="L160" s="1852"/>
      <c r="M160" s="1852"/>
      <c r="N160" s="1852"/>
      <c r="O160" s="1852"/>
      <c r="P160" s="1852"/>
      <c r="Q160" s="1852"/>
      <c r="R160" s="1854"/>
      <c r="S160" s="1852"/>
      <c r="T160" s="1854"/>
      <c r="U160" s="1853"/>
      <c r="V160" s="1852"/>
      <c r="W160" s="1852"/>
      <c r="X160" s="1856"/>
      <c r="Y160" s="1856"/>
      <c r="Z160" s="1857"/>
      <c r="AA160" s="1857"/>
      <c r="AB160" s="1847">
        <f>SUM(AB142:AB158)</f>
        <v>13566.595212620003</v>
      </c>
      <c r="AC160" s="1861"/>
      <c r="AD160" s="1861"/>
      <c r="AE160" s="1861"/>
      <c r="AF160" s="1861"/>
    </row>
    <row r="161" spans="1:32" s="457" customFormat="1" ht="18" customHeight="1" x14ac:dyDescent="0.2">
      <c r="A161" s="2737" t="s">
        <v>76</v>
      </c>
      <c r="B161" s="2737"/>
      <c r="C161" s="2738" t="s">
        <v>77</v>
      </c>
      <c r="D161" s="2738"/>
      <c r="E161" s="2738"/>
      <c r="F161" s="2738"/>
      <c r="G161" s="2738"/>
      <c r="H161" s="2738"/>
      <c r="I161" s="457" t="s">
        <v>78</v>
      </c>
      <c r="T161" s="651"/>
      <c r="U161" s="478"/>
      <c r="AB161" s="478"/>
    </row>
    <row r="162" spans="1:32" s="457" customFormat="1" ht="18" customHeight="1" x14ac:dyDescent="0.2">
      <c r="A162" s="448"/>
      <c r="B162" s="479"/>
      <c r="I162" s="457" t="s">
        <v>79</v>
      </c>
      <c r="T162" s="651"/>
      <c r="U162" s="478"/>
      <c r="AB162" s="478"/>
    </row>
    <row r="163" spans="1:32" s="457" customFormat="1" ht="18" customHeight="1" x14ac:dyDescent="0.2">
      <c r="A163" s="448"/>
      <c r="B163" s="479"/>
      <c r="I163" s="457" t="s">
        <v>80</v>
      </c>
      <c r="T163" s="651"/>
      <c r="U163" s="478"/>
      <c r="AB163" s="478"/>
    </row>
    <row r="164" spans="1:32" s="457" customFormat="1" ht="18" customHeight="1" x14ac:dyDescent="0.2">
      <c r="A164" s="448"/>
      <c r="B164" s="479"/>
      <c r="I164" s="457" t="s">
        <v>81</v>
      </c>
      <c r="T164" s="651"/>
      <c r="U164" s="478"/>
      <c r="AB164" s="478"/>
    </row>
    <row r="165" spans="1:32" s="457" customFormat="1" ht="18" customHeight="1" x14ac:dyDescent="0.2">
      <c r="A165" s="448"/>
      <c r="B165" s="479"/>
      <c r="I165" s="457" t="s">
        <v>88</v>
      </c>
      <c r="T165" s="651"/>
      <c r="U165" s="478"/>
      <c r="AB165" s="478"/>
    </row>
    <row r="166" spans="1:32" s="457" customFormat="1" ht="18" customHeight="1" x14ac:dyDescent="0.2">
      <c r="A166" s="448"/>
      <c r="B166" s="479"/>
      <c r="T166" s="651"/>
      <c r="U166" s="478"/>
      <c r="AB166" s="478"/>
    </row>
    <row r="167" spans="1:32" s="457" customFormat="1" ht="18" customHeight="1" x14ac:dyDescent="0.2">
      <c r="A167" s="456"/>
      <c r="B167" s="455"/>
      <c r="C167" s="455"/>
      <c r="D167" s="455"/>
      <c r="E167" s="455"/>
      <c r="F167" s="455"/>
      <c r="G167" s="455"/>
      <c r="H167" s="455"/>
      <c r="I167" s="455"/>
      <c r="J167" s="455"/>
      <c r="K167" s="455"/>
      <c r="L167" s="455"/>
      <c r="M167" s="455"/>
      <c r="N167" s="455"/>
      <c r="O167" s="455"/>
      <c r="P167" s="455"/>
      <c r="Q167" s="455"/>
      <c r="R167" s="455"/>
      <c r="S167" s="455"/>
      <c r="T167" s="608"/>
      <c r="U167" s="609"/>
      <c r="V167" s="455"/>
      <c r="W167" s="455"/>
      <c r="X167" s="455"/>
      <c r="Y167" s="455"/>
      <c r="Z167" s="455"/>
      <c r="AA167" s="2705" t="s">
        <v>0</v>
      </c>
      <c r="AB167" s="2705"/>
      <c r="AC167" s="455"/>
      <c r="AD167" s="455"/>
      <c r="AE167" s="455"/>
      <c r="AF167" s="455"/>
    </row>
    <row r="168" spans="1:32" s="457" customFormat="1" ht="18" customHeight="1" x14ac:dyDescent="0.2">
      <c r="A168" s="2706" t="s">
        <v>1</v>
      </c>
      <c r="B168" s="2706"/>
      <c r="C168" s="2706"/>
      <c r="D168" s="2706"/>
      <c r="E168" s="2706"/>
      <c r="F168" s="2706"/>
      <c r="G168" s="2706"/>
      <c r="H168" s="2706"/>
      <c r="I168" s="2706"/>
      <c r="J168" s="2706"/>
      <c r="K168" s="2706"/>
      <c r="L168" s="2706"/>
      <c r="M168" s="2706"/>
      <c r="N168" s="2706"/>
      <c r="O168" s="2706"/>
      <c r="P168" s="2706"/>
      <c r="Q168" s="2706"/>
      <c r="R168" s="2706"/>
      <c r="S168" s="2706"/>
      <c r="T168" s="2706"/>
      <c r="U168" s="2706"/>
      <c r="V168" s="2706"/>
      <c r="W168" s="2706"/>
      <c r="X168" s="2706"/>
      <c r="Y168" s="2706"/>
      <c r="Z168" s="2706"/>
      <c r="AA168" s="2706"/>
      <c r="AB168" s="2706"/>
      <c r="AC168" s="610"/>
      <c r="AD168" s="610"/>
      <c r="AE168" s="610"/>
      <c r="AF168" s="610"/>
    </row>
    <row r="169" spans="1:32" s="457" customFormat="1" ht="18" customHeight="1" x14ac:dyDescent="0.2">
      <c r="A169" s="2704" t="s">
        <v>343</v>
      </c>
      <c r="B169" s="2704"/>
      <c r="C169" s="2704"/>
      <c r="D169" s="2704"/>
      <c r="E169" s="2704"/>
      <c r="F169" s="2704"/>
      <c r="G169" s="2704"/>
      <c r="H169" s="2704"/>
      <c r="I169" s="2704"/>
      <c r="J169" s="2704"/>
      <c r="K169" s="2704"/>
      <c r="L169" s="2704"/>
      <c r="M169" s="2704"/>
      <c r="N169" s="2704"/>
      <c r="O169" s="2704"/>
      <c r="P169" s="2704"/>
      <c r="Q169" s="2704"/>
      <c r="R169" s="2704"/>
      <c r="S169" s="2704"/>
      <c r="T169" s="2704"/>
      <c r="U169" s="2704"/>
      <c r="V169" s="2704"/>
      <c r="W169" s="2704"/>
      <c r="X169" s="2704"/>
      <c r="Y169" s="2704"/>
      <c r="Z169" s="2704"/>
      <c r="AA169" s="2704"/>
      <c r="AB169" s="2704"/>
      <c r="AC169" s="611"/>
      <c r="AD169" s="611"/>
      <c r="AE169" s="611"/>
      <c r="AF169" s="611"/>
    </row>
    <row r="170" spans="1:32" s="457" customFormat="1" ht="18" customHeight="1" x14ac:dyDescent="0.2">
      <c r="A170" s="2686" t="s">
        <v>2</v>
      </c>
      <c r="B170" s="360"/>
      <c r="C170" s="2686" t="s">
        <v>3</v>
      </c>
      <c r="D170" s="360"/>
      <c r="E170" s="360"/>
      <c r="F170" s="2693" t="s">
        <v>4</v>
      </c>
      <c r="G170" s="2693"/>
      <c r="H170" s="2693"/>
      <c r="I170" s="2694"/>
      <c r="J170" s="2694"/>
      <c r="K170" s="2695"/>
      <c r="L170" s="361"/>
      <c r="M170" s="2679" t="s">
        <v>5</v>
      </c>
      <c r="N170" s="2679"/>
      <c r="O170" s="2679"/>
      <c r="P170" s="2679"/>
      <c r="Q170" s="2696"/>
      <c r="R170" s="2696"/>
      <c r="S170" s="2696"/>
      <c r="T170" s="2696"/>
      <c r="U170" s="2696"/>
      <c r="V170" s="2697"/>
      <c r="W170" s="362" t="s">
        <v>6</v>
      </c>
      <c r="X170" s="363" t="s">
        <v>7</v>
      </c>
      <c r="Y170" s="364"/>
      <c r="Z170" s="364"/>
      <c r="AA170" s="363"/>
      <c r="AB170" s="458"/>
      <c r="AC170" s="612" t="s">
        <v>8</v>
      </c>
      <c r="AD170" s="613"/>
      <c r="AE170" s="613"/>
      <c r="AF170" s="614"/>
    </row>
    <row r="171" spans="1:32" s="457" customFormat="1" ht="18" customHeight="1" x14ac:dyDescent="0.2">
      <c r="A171" s="2687"/>
      <c r="B171" s="367"/>
      <c r="C171" s="2687"/>
      <c r="D171" s="366" t="s">
        <v>9</v>
      </c>
      <c r="E171" s="366" t="s">
        <v>10</v>
      </c>
      <c r="F171" s="2698" t="s">
        <v>11</v>
      </c>
      <c r="G171" s="2694"/>
      <c r="H171" s="2695"/>
      <c r="I171" s="360"/>
      <c r="J171" s="449" t="s">
        <v>12</v>
      </c>
      <c r="K171" s="360"/>
      <c r="L171" s="2679" t="s">
        <v>2</v>
      </c>
      <c r="M171" s="370"/>
      <c r="N171" s="370"/>
      <c r="O171" s="370"/>
      <c r="P171" s="371"/>
      <c r="Q171" s="459" t="s">
        <v>13</v>
      </c>
      <c r="R171" s="370" t="s">
        <v>12</v>
      </c>
      <c r="S171" s="370" t="s">
        <v>6</v>
      </c>
      <c r="T171" s="2682" t="s">
        <v>14</v>
      </c>
      <c r="U171" s="2683"/>
      <c r="V171" s="375" t="s">
        <v>7</v>
      </c>
      <c r="W171" s="376" t="s">
        <v>15</v>
      </c>
      <c r="X171" s="377" t="s">
        <v>16</v>
      </c>
      <c r="Y171" s="377" t="s">
        <v>17</v>
      </c>
      <c r="Z171" s="377" t="s">
        <v>18</v>
      </c>
      <c r="AA171" s="377"/>
      <c r="AB171" s="460" t="s">
        <v>19</v>
      </c>
      <c r="AC171" s="615" t="s">
        <v>20</v>
      </c>
      <c r="AD171" s="616"/>
      <c r="AE171" s="617" t="s">
        <v>21</v>
      </c>
      <c r="AF171" s="618" t="s">
        <v>22</v>
      </c>
    </row>
    <row r="172" spans="1:32" s="457" customFormat="1" ht="18" customHeight="1" x14ac:dyDescent="0.2">
      <c r="A172" s="2687"/>
      <c r="B172" s="366" t="s">
        <v>23</v>
      </c>
      <c r="C172" s="2687"/>
      <c r="D172" s="366" t="s">
        <v>24</v>
      </c>
      <c r="E172" s="366" t="s">
        <v>25</v>
      </c>
      <c r="F172" s="2699"/>
      <c r="G172" s="2700"/>
      <c r="H172" s="2701"/>
      <c r="I172" s="366" t="s">
        <v>26</v>
      </c>
      <c r="J172" s="380" t="s">
        <v>15</v>
      </c>
      <c r="K172" s="380" t="s">
        <v>6</v>
      </c>
      <c r="L172" s="2680"/>
      <c r="M172" s="381" t="s">
        <v>27</v>
      </c>
      <c r="N172" s="381" t="s">
        <v>10</v>
      </c>
      <c r="O172" s="381" t="s">
        <v>10</v>
      </c>
      <c r="P172" s="385" t="s">
        <v>28</v>
      </c>
      <c r="Q172" s="461" t="s">
        <v>29</v>
      </c>
      <c r="R172" s="385" t="s">
        <v>15</v>
      </c>
      <c r="S172" s="385" t="s">
        <v>15</v>
      </c>
      <c r="T172" s="2684"/>
      <c r="U172" s="2685"/>
      <c r="V172" s="375" t="s">
        <v>30</v>
      </c>
      <c r="W172" s="376" t="s">
        <v>31</v>
      </c>
      <c r="X172" s="377" t="s">
        <v>30</v>
      </c>
      <c r="Y172" s="377" t="s">
        <v>32</v>
      </c>
      <c r="Z172" s="377" t="s">
        <v>7</v>
      </c>
      <c r="AA172" s="377" t="s">
        <v>33</v>
      </c>
      <c r="AB172" s="460" t="s">
        <v>34</v>
      </c>
      <c r="AC172" s="615" t="s">
        <v>35</v>
      </c>
      <c r="AD172" s="617" t="s">
        <v>36</v>
      </c>
      <c r="AE172" s="617" t="s">
        <v>37</v>
      </c>
      <c r="AF172" s="618" t="s">
        <v>38</v>
      </c>
    </row>
    <row r="173" spans="1:32" s="457" customFormat="1" ht="18" customHeight="1" x14ac:dyDescent="0.2">
      <c r="A173" s="2687"/>
      <c r="B173" s="366" t="s">
        <v>39</v>
      </c>
      <c r="C173" s="2687"/>
      <c r="D173" s="366" t="s">
        <v>40</v>
      </c>
      <c r="E173" s="366" t="s">
        <v>41</v>
      </c>
      <c r="F173" s="2686" t="s">
        <v>42</v>
      </c>
      <c r="G173" s="2686" t="s">
        <v>43</v>
      </c>
      <c r="H173" s="2688" t="s">
        <v>44</v>
      </c>
      <c r="I173" s="366" t="s">
        <v>45</v>
      </c>
      <c r="J173" s="380" t="s">
        <v>46</v>
      </c>
      <c r="K173" s="380" t="s">
        <v>47</v>
      </c>
      <c r="L173" s="2680"/>
      <c r="M173" s="381" t="s">
        <v>30</v>
      </c>
      <c r="N173" s="381" t="s">
        <v>30</v>
      </c>
      <c r="O173" s="381" t="s">
        <v>25</v>
      </c>
      <c r="P173" s="385" t="s">
        <v>30</v>
      </c>
      <c r="Q173" s="461" t="s">
        <v>48</v>
      </c>
      <c r="R173" s="385" t="s">
        <v>49</v>
      </c>
      <c r="S173" s="385" t="s">
        <v>30</v>
      </c>
      <c r="T173" s="619" t="s">
        <v>50</v>
      </c>
      <c r="U173" s="620" t="s">
        <v>13</v>
      </c>
      <c r="V173" s="375" t="s">
        <v>51</v>
      </c>
      <c r="W173" s="376" t="s">
        <v>52</v>
      </c>
      <c r="X173" s="377" t="s">
        <v>53</v>
      </c>
      <c r="Y173" s="377" t="s">
        <v>54</v>
      </c>
      <c r="Z173" s="377" t="s">
        <v>55</v>
      </c>
      <c r="AA173" s="377" t="s">
        <v>56</v>
      </c>
      <c r="AB173" s="460" t="s">
        <v>57</v>
      </c>
      <c r="AC173" s="617" t="s">
        <v>58</v>
      </c>
      <c r="AD173" s="617" t="s">
        <v>59</v>
      </c>
      <c r="AE173" s="617" t="s">
        <v>59</v>
      </c>
      <c r="AF173" s="618" t="s">
        <v>60</v>
      </c>
    </row>
    <row r="174" spans="1:32" s="457" customFormat="1" ht="18" customHeight="1" x14ac:dyDescent="0.2">
      <c r="A174" s="2687"/>
      <c r="B174" s="366" t="s">
        <v>61</v>
      </c>
      <c r="C174" s="2687"/>
      <c r="D174" s="366" t="s">
        <v>62</v>
      </c>
      <c r="E174" s="366" t="s">
        <v>63</v>
      </c>
      <c r="F174" s="2687"/>
      <c r="G174" s="2687"/>
      <c r="H174" s="2689"/>
      <c r="I174" s="366" t="s">
        <v>64</v>
      </c>
      <c r="J174" s="380" t="s">
        <v>59</v>
      </c>
      <c r="K174" s="380" t="s">
        <v>59</v>
      </c>
      <c r="L174" s="2680"/>
      <c r="M174" s="381"/>
      <c r="N174" s="381"/>
      <c r="O174" s="381" t="s">
        <v>41</v>
      </c>
      <c r="P174" s="385" t="s">
        <v>65</v>
      </c>
      <c r="Q174" s="461" t="s">
        <v>66</v>
      </c>
      <c r="R174" s="385" t="s">
        <v>67</v>
      </c>
      <c r="S174" s="385" t="s">
        <v>59</v>
      </c>
      <c r="T174" s="621" t="s">
        <v>68</v>
      </c>
      <c r="U174" s="622" t="s">
        <v>14</v>
      </c>
      <c r="V174" s="375" t="s">
        <v>14</v>
      </c>
      <c r="W174" s="376" t="s">
        <v>30</v>
      </c>
      <c r="X174" s="388" t="s">
        <v>69</v>
      </c>
      <c r="Y174" s="388" t="s">
        <v>70</v>
      </c>
      <c r="Z174" s="377" t="s">
        <v>71</v>
      </c>
      <c r="AA174" s="377" t="s">
        <v>72</v>
      </c>
      <c r="AB174" s="460" t="s">
        <v>59</v>
      </c>
      <c r="AC174" s="617" t="s">
        <v>59</v>
      </c>
      <c r="AD174" s="617"/>
      <c r="AE174" s="617"/>
      <c r="AF174" s="618" t="s">
        <v>59</v>
      </c>
    </row>
    <row r="175" spans="1:32" s="457" customFormat="1" ht="18" customHeight="1" x14ac:dyDescent="0.2">
      <c r="A175" s="2692"/>
      <c r="B175" s="390"/>
      <c r="C175" s="2692"/>
      <c r="D175" s="390"/>
      <c r="E175" s="389"/>
      <c r="F175" s="390"/>
      <c r="G175" s="390"/>
      <c r="H175" s="391"/>
      <c r="I175" s="389"/>
      <c r="J175" s="393"/>
      <c r="K175" s="393"/>
      <c r="L175" s="2681"/>
      <c r="M175" s="394"/>
      <c r="N175" s="394"/>
      <c r="O175" s="394" t="s">
        <v>63</v>
      </c>
      <c r="P175" s="800"/>
      <c r="Q175" s="450" t="s">
        <v>72</v>
      </c>
      <c r="R175" s="398" t="s">
        <v>59</v>
      </c>
      <c r="S175" s="398"/>
      <c r="T175" s="623" t="s">
        <v>73</v>
      </c>
      <c r="U175" s="624" t="s">
        <v>59</v>
      </c>
      <c r="V175" s="399" t="s">
        <v>59</v>
      </c>
      <c r="W175" s="400" t="s">
        <v>59</v>
      </c>
      <c r="X175" s="401" t="s">
        <v>59</v>
      </c>
      <c r="Y175" s="401" t="s">
        <v>59</v>
      </c>
      <c r="Z175" s="401" t="s">
        <v>59</v>
      </c>
      <c r="AA175" s="402"/>
      <c r="AB175" s="462"/>
      <c r="AC175" s="625"/>
      <c r="AD175" s="625"/>
      <c r="AE175" s="625"/>
      <c r="AF175" s="626"/>
    </row>
    <row r="176" spans="1:32" s="457" customFormat="1" ht="18" customHeight="1" x14ac:dyDescent="0.25">
      <c r="A176" s="975">
        <v>1</v>
      </c>
      <c r="B176" s="240">
        <v>43350</v>
      </c>
      <c r="C176" s="336" t="s">
        <v>145</v>
      </c>
      <c r="D176" s="333" t="s">
        <v>139</v>
      </c>
      <c r="E176" s="333">
        <v>1</v>
      </c>
      <c r="F176" s="1688">
        <v>1</v>
      </c>
      <c r="G176" s="1688">
        <v>3</v>
      </c>
      <c r="H176" s="1689">
        <v>44</v>
      </c>
      <c r="I176" s="44">
        <f t="shared" ref="I176:I178" si="34">F176*400+G176*100+H176</f>
        <v>744</v>
      </c>
      <c r="J176" s="1690">
        <v>1600</v>
      </c>
      <c r="K176" s="60">
        <f t="shared" ref="K176:K178" si="35">SUM(I176*J176)</f>
        <v>1190400</v>
      </c>
      <c r="L176" s="977"/>
      <c r="M176" s="978"/>
      <c r="N176" s="977"/>
      <c r="O176" s="977"/>
      <c r="P176" s="977"/>
      <c r="Q176" s="977"/>
      <c r="R176" s="977"/>
      <c r="S176" s="977"/>
      <c r="T176" s="979"/>
      <c r="U176" s="980"/>
      <c r="V176" s="977"/>
      <c r="W176" s="18">
        <f t="shared" ref="W176:W177" si="36">K176+V176</f>
        <v>1190400</v>
      </c>
      <c r="X176" s="47">
        <f>W176</f>
        <v>1190400</v>
      </c>
      <c r="Y176" s="333" t="s">
        <v>87</v>
      </c>
      <c r="Z176" s="327">
        <v>0</v>
      </c>
      <c r="AA176" s="981">
        <v>0.01</v>
      </c>
      <c r="AB176" s="982">
        <f>+Z176*AA176/100</f>
        <v>0</v>
      </c>
    </row>
    <row r="177" spans="1:32" s="457" customFormat="1" ht="18" customHeight="1" x14ac:dyDescent="0.25">
      <c r="A177" s="239">
        <v>2</v>
      </c>
      <c r="B177" s="242">
        <v>2042</v>
      </c>
      <c r="C177" s="285" t="s">
        <v>146</v>
      </c>
      <c r="D177" s="273" t="s">
        <v>139</v>
      </c>
      <c r="E177" s="273">
        <v>1</v>
      </c>
      <c r="F177" s="1691">
        <v>0</v>
      </c>
      <c r="G177" s="1691">
        <v>2</v>
      </c>
      <c r="H177" s="1617">
        <v>42</v>
      </c>
      <c r="I177" s="44">
        <f t="shared" si="34"/>
        <v>242</v>
      </c>
      <c r="J177" s="1692">
        <v>1600</v>
      </c>
      <c r="K177" s="60">
        <f t="shared" si="35"/>
        <v>387200</v>
      </c>
      <c r="L177" s="984"/>
      <c r="M177" s="985"/>
      <c r="N177" s="984"/>
      <c r="O177" s="984"/>
      <c r="P177" s="984"/>
      <c r="Q177" s="984"/>
      <c r="R177" s="984"/>
      <c r="S177" s="984"/>
      <c r="T177" s="986"/>
      <c r="U177" s="987"/>
      <c r="V177" s="984"/>
      <c r="W177" s="18">
        <f t="shared" si="36"/>
        <v>387200</v>
      </c>
      <c r="X177" s="47">
        <f>W177</f>
        <v>387200</v>
      </c>
      <c r="Y177" s="273" t="s">
        <v>87</v>
      </c>
      <c r="Z177" s="324">
        <v>0</v>
      </c>
      <c r="AA177" s="988">
        <v>0.01</v>
      </c>
      <c r="AB177" s="989">
        <f>+Z177*AA177/100</f>
        <v>0</v>
      </c>
    </row>
    <row r="178" spans="1:32" s="457" customFormat="1" ht="18" customHeight="1" x14ac:dyDescent="0.25">
      <c r="A178" s="85">
        <v>3</v>
      </c>
      <c r="B178" s="242">
        <v>2030</v>
      </c>
      <c r="C178" s="285" t="s">
        <v>147</v>
      </c>
      <c r="D178" s="273" t="s">
        <v>139</v>
      </c>
      <c r="E178" s="273">
        <v>1</v>
      </c>
      <c r="F178" s="1691">
        <v>0</v>
      </c>
      <c r="G178" s="1691">
        <v>2</v>
      </c>
      <c r="H178" s="1617">
        <v>49</v>
      </c>
      <c r="I178" s="44">
        <f t="shared" si="34"/>
        <v>249</v>
      </c>
      <c r="J178" s="1692">
        <v>1600</v>
      </c>
      <c r="K178" s="60">
        <f t="shared" si="35"/>
        <v>398400</v>
      </c>
      <c r="L178" s="273"/>
      <c r="M178" s="786"/>
      <c r="N178" s="638"/>
      <c r="O178" s="85"/>
      <c r="P178" s="641"/>
      <c r="Q178" s="85"/>
      <c r="R178" s="990"/>
      <c r="S178" s="30"/>
      <c r="T178" s="1708"/>
      <c r="U178" s="1670"/>
      <c r="V178" s="710"/>
      <c r="W178" s="18"/>
      <c r="X178" s="47"/>
      <c r="Y178" s="85"/>
      <c r="Z178" s="642"/>
      <c r="AA178" s="85"/>
      <c r="AB178" s="989"/>
    </row>
    <row r="179" spans="1:32" s="457" customFormat="1" ht="18" customHeight="1" x14ac:dyDescent="0.25">
      <c r="A179" s="88"/>
      <c r="B179" s="85"/>
      <c r="C179" s="285"/>
      <c r="D179" s="273"/>
      <c r="E179" s="273"/>
      <c r="F179" s="411"/>
      <c r="G179" s="85"/>
      <c r="H179" s="991"/>
      <c r="I179" s="321"/>
      <c r="J179" s="324"/>
      <c r="K179" s="330">
        <f>K178*30.21/100</f>
        <v>120356.64</v>
      </c>
      <c r="L179" s="273">
        <v>58</v>
      </c>
      <c r="M179" s="786">
        <v>101</v>
      </c>
      <c r="N179" s="638" t="s">
        <v>82</v>
      </c>
      <c r="O179" s="85">
        <v>2</v>
      </c>
      <c r="P179" s="641">
        <v>148.59</v>
      </c>
      <c r="Q179" s="85">
        <v>100</v>
      </c>
      <c r="R179" s="990">
        <v>7700</v>
      </c>
      <c r="S179" s="30">
        <f t="shared" ref="S179:S181" si="37">+P179*R179</f>
        <v>1144143</v>
      </c>
      <c r="T179" s="1708">
        <v>32</v>
      </c>
      <c r="U179" s="1670">
        <f>+S179*0.93</f>
        <v>1064052.99</v>
      </c>
      <c r="V179" s="710">
        <v>6293</v>
      </c>
      <c r="W179" s="18">
        <f t="shared" ref="W179:W181" si="38">K179+V179</f>
        <v>126649.64</v>
      </c>
      <c r="X179" s="47">
        <f t="shared" ref="X179:X181" si="39">W179*Q179/100</f>
        <v>126649.64</v>
      </c>
      <c r="Y179" s="85" t="s">
        <v>87</v>
      </c>
      <c r="Z179" s="642">
        <v>0</v>
      </c>
      <c r="AA179" s="85">
        <v>0.02</v>
      </c>
      <c r="AB179" s="989">
        <f>+Z179*AA179/100</f>
        <v>0</v>
      </c>
    </row>
    <row r="180" spans="1:32" s="457" customFormat="1" ht="18" customHeight="1" x14ac:dyDescent="0.25">
      <c r="A180" s="145"/>
      <c r="B180" s="325"/>
      <c r="C180" s="325"/>
      <c r="D180" s="287"/>
      <c r="E180" s="287"/>
      <c r="F180" s="287"/>
      <c r="G180" s="287"/>
      <c r="H180" s="326"/>
      <c r="I180" s="331"/>
      <c r="J180" s="992"/>
      <c r="K180" s="331">
        <f>K178*41.32/100</f>
        <v>164618.88</v>
      </c>
      <c r="L180" s="273">
        <v>102</v>
      </c>
      <c r="M180" s="786">
        <v>103</v>
      </c>
      <c r="N180" s="638" t="s">
        <v>74</v>
      </c>
      <c r="O180" s="638">
        <v>2</v>
      </c>
      <c r="P180" s="641">
        <v>203.2</v>
      </c>
      <c r="Q180" s="786">
        <v>100</v>
      </c>
      <c r="R180" s="640">
        <v>9050</v>
      </c>
      <c r="S180" s="30">
        <f t="shared" si="37"/>
        <v>1838960</v>
      </c>
      <c r="T180" s="1709">
        <v>11</v>
      </c>
      <c r="U180" s="1670">
        <f>+S180*0.12</f>
        <v>220675.19999999998</v>
      </c>
      <c r="V180" s="639">
        <v>1655064</v>
      </c>
      <c r="W180" s="18">
        <f t="shared" si="38"/>
        <v>1819682.88</v>
      </c>
      <c r="X180" s="47">
        <f t="shared" si="39"/>
        <v>1819682.88</v>
      </c>
      <c r="Y180" s="242" t="s">
        <v>125</v>
      </c>
      <c r="Z180" s="642">
        <v>0</v>
      </c>
      <c r="AA180" s="85">
        <v>0.02</v>
      </c>
      <c r="AB180" s="989">
        <f>+Z180*AA180/100</f>
        <v>0</v>
      </c>
    </row>
    <row r="181" spans="1:32" s="457" customFormat="1" ht="18" customHeight="1" x14ac:dyDescent="0.25">
      <c r="A181" s="145"/>
      <c r="B181" s="177"/>
      <c r="C181" s="177"/>
      <c r="D181" s="145"/>
      <c r="E181" s="145"/>
      <c r="F181" s="145"/>
      <c r="G181" s="145"/>
      <c r="H181" s="147"/>
      <c r="I181" s="107"/>
      <c r="J181" s="178"/>
      <c r="K181" s="107">
        <f>K178*28.47/100</f>
        <v>113424.48</v>
      </c>
      <c r="L181" s="287">
        <v>58</v>
      </c>
      <c r="M181" s="85">
        <v>504</v>
      </c>
      <c r="N181" s="638" t="s">
        <v>74</v>
      </c>
      <c r="O181" s="786">
        <v>3</v>
      </c>
      <c r="P181" s="639">
        <f>7*20</f>
        <v>140</v>
      </c>
      <c r="Q181" s="85">
        <v>100</v>
      </c>
      <c r="R181" s="640">
        <v>3100</v>
      </c>
      <c r="S181" s="30">
        <f t="shared" si="37"/>
        <v>434000</v>
      </c>
      <c r="T181" s="1709">
        <v>17</v>
      </c>
      <c r="U181" s="1670">
        <f>+S181*0.24</f>
        <v>104160</v>
      </c>
      <c r="V181" s="639">
        <f>S181-U181</f>
        <v>329840</v>
      </c>
      <c r="W181" s="18">
        <f t="shared" si="38"/>
        <v>443264.48</v>
      </c>
      <c r="X181" s="30">
        <f t="shared" si="39"/>
        <v>443264.48</v>
      </c>
      <c r="Y181" s="639"/>
      <c r="Z181" s="993">
        <f>X181</f>
        <v>443264.48</v>
      </c>
      <c r="AA181" s="273">
        <v>0.3</v>
      </c>
      <c r="AB181" s="994">
        <f>+Z181*AA181/100</f>
        <v>1329.7934399999999</v>
      </c>
      <c r="AC181" s="650"/>
      <c r="AD181" s="350"/>
      <c r="AE181" s="350"/>
      <c r="AF181" s="350"/>
    </row>
    <row r="182" spans="1:32" s="457" customFormat="1" ht="18" customHeight="1" x14ac:dyDescent="0.2">
      <c r="A182" s="145"/>
      <c r="B182" s="177"/>
      <c r="C182" s="177"/>
      <c r="D182" s="145"/>
      <c r="E182" s="145"/>
      <c r="F182" s="145"/>
      <c r="G182" s="145"/>
      <c r="H182" s="147"/>
      <c r="I182" s="107"/>
      <c r="J182" s="178"/>
      <c r="K182" s="107"/>
      <c r="L182" s="145"/>
      <c r="M182" s="145"/>
      <c r="N182" s="145"/>
      <c r="O182" s="145"/>
      <c r="P182" s="995"/>
      <c r="Q182" s="148"/>
      <c r="R182" s="437"/>
      <c r="S182" s="107"/>
      <c r="T182" s="437"/>
      <c r="U182" s="178"/>
      <c r="V182" s="107"/>
      <c r="W182" s="107"/>
      <c r="X182" s="470"/>
      <c r="Y182" s="470"/>
      <c r="Z182" s="471"/>
      <c r="AA182" s="471"/>
      <c r="AB182" s="466"/>
      <c r="AC182" s="350"/>
      <c r="AD182" s="350"/>
      <c r="AE182" s="350"/>
      <c r="AF182" s="350"/>
    </row>
    <row r="183" spans="1:32" s="457" customFormat="1" ht="18" customHeight="1" x14ac:dyDescent="0.2">
      <c r="A183" s="145"/>
      <c r="B183" s="177"/>
      <c r="C183" s="177"/>
      <c r="D183" s="145"/>
      <c r="E183" s="145"/>
      <c r="F183" s="145"/>
      <c r="G183" s="145"/>
      <c r="H183" s="147"/>
      <c r="I183" s="107"/>
      <c r="J183" s="178"/>
      <c r="K183" s="107"/>
      <c r="L183" s="145"/>
      <c r="M183" s="145"/>
      <c r="N183" s="145"/>
      <c r="O183" s="145"/>
      <c r="P183" s="995"/>
      <c r="Q183" s="148"/>
      <c r="R183" s="437"/>
      <c r="S183" s="107"/>
      <c r="T183" s="437"/>
      <c r="U183" s="178"/>
      <c r="V183" s="107"/>
      <c r="W183" s="107"/>
      <c r="X183" s="470"/>
      <c r="Y183" s="470"/>
      <c r="Z183" s="471"/>
      <c r="AA183" s="471"/>
      <c r="AB183" s="466"/>
      <c r="AC183" s="350"/>
      <c r="AD183" s="350"/>
      <c r="AE183" s="350"/>
      <c r="AF183" s="350"/>
    </row>
    <row r="184" spans="1:32" s="457" customFormat="1" ht="18" customHeight="1" x14ac:dyDescent="0.2">
      <c r="A184" s="145"/>
      <c r="B184" s="177"/>
      <c r="C184" s="177"/>
      <c r="D184" s="145"/>
      <c r="E184" s="145"/>
      <c r="F184" s="145"/>
      <c r="G184" s="145"/>
      <c r="H184" s="147"/>
      <c r="I184" s="107"/>
      <c r="J184" s="178"/>
      <c r="K184" s="107"/>
      <c r="L184" s="145"/>
      <c r="M184" s="145"/>
      <c r="N184" s="145"/>
      <c r="O184" s="145"/>
      <c r="P184" s="995"/>
      <c r="Q184" s="148"/>
      <c r="R184" s="437"/>
      <c r="S184" s="107"/>
      <c r="T184" s="437"/>
      <c r="U184" s="178"/>
      <c r="V184" s="107"/>
      <c r="W184" s="107"/>
      <c r="X184" s="470"/>
      <c r="Y184" s="470"/>
      <c r="Z184" s="471"/>
      <c r="AA184" s="471"/>
      <c r="AB184" s="466"/>
      <c r="AC184" s="350"/>
      <c r="AD184" s="350"/>
      <c r="AE184" s="350"/>
      <c r="AF184" s="350"/>
    </row>
    <row r="185" spans="1:32" s="457" customFormat="1" ht="18" customHeight="1" x14ac:dyDescent="0.2">
      <c r="A185" s="145"/>
      <c r="B185" s="177"/>
      <c r="C185" s="177"/>
      <c r="D185" s="145"/>
      <c r="E185" s="145"/>
      <c r="F185" s="145"/>
      <c r="G185" s="145"/>
      <c r="H185" s="147"/>
      <c r="I185" s="107"/>
      <c r="J185" s="178"/>
      <c r="K185" s="107"/>
      <c r="L185" s="145"/>
      <c r="M185" s="145"/>
      <c r="N185" s="145"/>
      <c r="O185" s="145"/>
      <c r="P185" s="995"/>
      <c r="Q185" s="148"/>
      <c r="R185" s="437"/>
      <c r="S185" s="107"/>
      <c r="T185" s="437"/>
      <c r="U185" s="178"/>
      <c r="V185" s="107"/>
      <c r="W185" s="107"/>
      <c r="X185" s="470"/>
      <c r="Y185" s="470"/>
      <c r="Z185" s="471"/>
      <c r="AA185" s="471"/>
      <c r="AB185" s="466"/>
      <c r="AC185" s="350"/>
      <c r="AD185" s="350"/>
      <c r="AE185" s="350"/>
      <c r="AF185" s="350"/>
    </row>
    <row r="186" spans="1:32" s="457" customFormat="1" ht="18" customHeight="1" x14ac:dyDescent="0.2">
      <c r="A186" s="145"/>
      <c r="B186" s="177"/>
      <c r="C186" s="177"/>
      <c r="D186" s="145"/>
      <c r="E186" s="145"/>
      <c r="F186" s="145"/>
      <c r="G186" s="145"/>
      <c r="H186" s="147"/>
      <c r="I186" s="107"/>
      <c r="J186" s="178"/>
      <c r="K186" s="107"/>
      <c r="L186" s="145"/>
      <c r="M186" s="145"/>
      <c r="N186" s="145"/>
      <c r="O186" s="145"/>
      <c r="P186" s="995"/>
      <c r="Q186" s="148"/>
      <c r="R186" s="437"/>
      <c r="S186" s="107"/>
      <c r="T186" s="437"/>
      <c r="U186" s="178"/>
      <c r="V186" s="107"/>
      <c r="W186" s="107"/>
      <c r="X186" s="470"/>
      <c r="Y186" s="470"/>
      <c r="Z186" s="471"/>
      <c r="AA186" s="471"/>
      <c r="AB186" s="466"/>
      <c r="AC186" s="350"/>
      <c r="AD186" s="350"/>
      <c r="AE186" s="350"/>
      <c r="AF186" s="350"/>
    </row>
    <row r="187" spans="1:32" s="457" customFormat="1" ht="18" customHeight="1" x14ac:dyDescent="0.2">
      <c r="A187" s="145"/>
      <c r="B187" s="177"/>
      <c r="C187" s="177"/>
      <c r="D187" s="145"/>
      <c r="E187" s="145"/>
      <c r="F187" s="145"/>
      <c r="G187" s="145"/>
      <c r="H187" s="147"/>
      <c r="I187" s="107"/>
      <c r="J187" s="178"/>
      <c r="K187" s="107"/>
      <c r="L187" s="145"/>
      <c r="M187" s="145"/>
      <c r="N187" s="145"/>
      <c r="O187" s="145"/>
      <c r="P187" s="995"/>
      <c r="Q187" s="148"/>
      <c r="R187" s="437"/>
      <c r="S187" s="107"/>
      <c r="T187" s="437"/>
      <c r="U187" s="178"/>
      <c r="V187" s="107"/>
      <c r="W187" s="107"/>
      <c r="X187" s="470"/>
      <c r="Y187" s="470"/>
      <c r="Z187" s="471"/>
      <c r="AA187" s="471"/>
      <c r="AB187" s="466"/>
      <c r="AC187" s="350"/>
      <c r="AD187" s="350"/>
      <c r="AE187" s="350"/>
      <c r="AF187" s="350"/>
    </row>
    <row r="188" spans="1:32" s="457" customFormat="1" ht="18" customHeight="1" x14ac:dyDescent="0.2">
      <c r="A188" s="145"/>
      <c r="B188" s="177"/>
      <c r="C188" s="177"/>
      <c r="D188" s="145"/>
      <c r="E188" s="145"/>
      <c r="F188" s="145"/>
      <c r="G188" s="145"/>
      <c r="H188" s="147"/>
      <c r="I188" s="107"/>
      <c r="J188" s="178"/>
      <c r="K188" s="107"/>
      <c r="L188" s="145"/>
      <c r="M188" s="145"/>
      <c r="N188" s="145"/>
      <c r="O188" s="145"/>
      <c r="P188" s="995"/>
      <c r="Q188" s="148"/>
      <c r="R188" s="437"/>
      <c r="S188" s="107"/>
      <c r="T188" s="437"/>
      <c r="U188" s="178"/>
      <c r="V188" s="107"/>
      <c r="W188" s="107"/>
      <c r="X188" s="470"/>
      <c r="Y188" s="470"/>
      <c r="Z188" s="471"/>
      <c r="AA188" s="471"/>
      <c r="AB188" s="466"/>
      <c r="AC188" s="350"/>
      <c r="AD188" s="350"/>
      <c r="AE188" s="350"/>
      <c r="AF188" s="350"/>
    </row>
    <row r="189" spans="1:32" s="457" customFormat="1" ht="18" customHeight="1" x14ac:dyDescent="0.2">
      <c r="A189" s="145"/>
      <c r="B189" s="177"/>
      <c r="C189" s="177"/>
      <c r="D189" s="145"/>
      <c r="E189" s="145"/>
      <c r="F189" s="145"/>
      <c r="G189" s="145"/>
      <c r="H189" s="147"/>
      <c r="I189" s="107"/>
      <c r="J189" s="178"/>
      <c r="K189" s="107"/>
      <c r="L189" s="145"/>
      <c r="M189" s="145"/>
      <c r="N189" s="145"/>
      <c r="O189" s="145"/>
      <c r="P189" s="995"/>
      <c r="Q189" s="148"/>
      <c r="R189" s="437"/>
      <c r="S189" s="107"/>
      <c r="T189" s="437"/>
      <c r="U189" s="178"/>
      <c r="V189" s="107"/>
      <c r="W189" s="107"/>
      <c r="X189" s="470"/>
      <c r="Y189" s="470"/>
      <c r="Z189" s="471"/>
      <c r="AA189" s="471"/>
      <c r="AB189" s="466"/>
      <c r="AC189" s="350"/>
      <c r="AD189" s="350"/>
      <c r="AE189" s="350"/>
      <c r="AF189" s="350"/>
    </row>
    <row r="190" spans="1:32" s="457" customFormat="1" ht="18" customHeight="1" x14ac:dyDescent="0.2">
      <c r="A190" s="145"/>
      <c r="B190" s="177"/>
      <c r="C190" s="177"/>
      <c r="D190" s="145"/>
      <c r="E190" s="145"/>
      <c r="F190" s="145"/>
      <c r="G190" s="145"/>
      <c r="H190" s="147"/>
      <c r="I190" s="107"/>
      <c r="J190" s="178"/>
      <c r="K190" s="107"/>
      <c r="L190" s="145"/>
      <c r="M190" s="145"/>
      <c r="N190" s="145"/>
      <c r="O190" s="145"/>
      <c r="P190" s="995"/>
      <c r="Q190" s="148"/>
      <c r="R190" s="437"/>
      <c r="S190" s="107"/>
      <c r="T190" s="437"/>
      <c r="U190" s="178"/>
      <c r="V190" s="107"/>
      <c r="W190" s="107"/>
      <c r="X190" s="470"/>
      <c r="Y190" s="470"/>
      <c r="Z190" s="471"/>
      <c r="AA190" s="471"/>
      <c r="AB190" s="466"/>
      <c r="AC190" s="350"/>
      <c r="AD190" s="350"/>
      <c r="AE190" s="350"/>
      <c r="AF190" s="350"/>
    </row>
    <row r="191" spans="1:32" s="457" customFormat="1" ht="18" customHeight="1" x14ac:dyDescent="0.2">
      <c r="A191" s="145"/>
      <c r="B191" s="177"/>
      <c r="C191" s="177"/>
      <c r="D191" s="145"/>
      <c r="E191" s="145"/>
      <c r="F191" s="145"/>
      <c r="G191" s="145"/>
      <c r="H191" s="147"/>
      <c r="I191" s="107"/>
      <c r="J191" s="178"/>
      <c r="K191" s="107"/>
      <c r="L191" s="145"/>
      <c r="M191" s="145"/>
      <c r="N191" s="145"/>
      <c r="O191" s="145"/>
      <c r="P191" s="995"/>
      <c r="Q191" s="148"/>
      <c r="R191" s="437"/>
      <c r="S191" s="107"/>
      <c r="T191" s="437"/>
      <c r="U191" s="178"/>
      <c r="V191" s="107"/>
      <c r="W191" s="107"/>
      <c r="X191" s="470"/>
      <c r="Y191" s="470"/>
      <c r="Z191" s="471"/>
      <c r="AA191" s="471"/>
      <c r="AB191" s="466"/>
      <c r="AC191" s="350"/>
      <c r="AD191" s="350"/>
      <c r="AE191" s="350"/>
      <c r="AF191" s="350"/>
    </row>
    <row r="192" spans="1:32" s="457" customFormat="1" ht="18" customHeight="1" x14ac:dyDescent="0.2">
      <c r="A192" s="145"/>
      <c r="B192" s="177"/>
      <c r="C192" s="177"/>
      <c r="D192" s="145"/>
      <c r="E192" s="145"/>
      <c r="F192" s="145"/>
      <c r="G192" s="145"/>
      <c r="H192" s="147"/>
      <c r="I192" s="107"/>
      <c r="J192" s="178"/>
      <c r="K192" s="107"/>
      <c r="L192" s="145"/>
      <c r="M192" s="145"/>
      <c r="N192" s="145"/>
      <c r="O192" s="145"/>
      <c r="P192" s="995"/>
      <c r="Q192" s="148"/>
      <c r="R192" s="437"/>
      <c r="S192" s="107"/>
      <c r="T192" s="437"/>
      <c r="U192" s="178"/>
      <c r="V192" s="107"/>
      <c r="W192" s="107"/>
      <c r="X192" s="470"/>
      <c r="Y192" s="470"/>
      <c r="Z192" s="471"/>
      <c r="AA192" s="471"/>
      <c r="AB192" s="466"/>
      <c r="AC192" s="350"/>
      <c r="AD192" s="350"/>
      <c r="AE192" s="350"/>
      <c r="AF192" s="350"/>
    </row>
    <row r="193" spans="1:32" s="597" customFormat="1" ht="18" customHeight="1" x14ac:dyDescent="0.2">
      <c r="A193" s="1147"/>
      <c r="B193" s="1867"/>
      <c r="C193" s="1867"/>
      <c r="D193" s="1147"/>
      <c r="E193" s="1147"/>
      <c r="F193" s="1147"/>
      <c r="G193" s="1147"/>
      <c r="H193" s="1151"/>
      <c r="I193" s="1868"/>
      <c r="J193" s="1869"/>
      <c r="K193" s="1868"/>
      <c r="L193" s="1147"/>
      <c r="M193" s="1147"/>
      <c r="N193" s="1147"/>
      <c r="O193" s="1147"/>
      <c r="P193" s="1870"/>
      <c r="Q193" s="1871"/>
      <c r="R193" s="1872"/>
      <c r="S193" s="1868"/>
      <c r="T193" s="1872"/>
      <c r="U193" s="1869"/>
      <c r="V193" s="1868"/>
      <c r="W193" s="1868"/>
      <c r="X193" s="1873"/>
      <c r="Y193" s="1873"/>
      <c r="Z193" s="1874"/>
      <c r="AA193" s="1874"/>
      <c r="AB193" s="1849">
        <f>SUM(AB180:AB192)</f>
        <v>1329.7934399999999</v>
      </c>
      <c r="AC193" s="1875"/>
      <c r="AD193" s="1875"/>
      <c r="AE193" s="1875"/>
      <c r="AF193" s="1875"/>
    </row>
    <row r="194" spans="1:32" s="457" customFormat="1" ht="18" customHeight="1" x14ac:dyDescent="0.2">
      <c r="A194" s="2737" t="s">
        <v>76</v>
      </c>
      <c r="B194" s="2737"/>
      <c r="C194" s="2738" t="s">
        <v>77</v>
      </c>
      <c r="D194" s="2738"/>
      <c r="E194" s="2738"/>
      <c r="F194" s="2738"/>
      <c r="G194" s="2738"/>
      <c r="H194" s="2738"/>
      <c r="I194" s="457" t="s">
        <v>78</v>
      </c>
      <c r="T194" s="651"/>
      <c r="U194" s="478"/>
      <c r="AB194" s="478"/>
    </row>
    <row r="195" spans="1:32" s="457" customFormat="1" ht="18" customHeight="1" x14ac:dyDescent="0.2">
      <c r="A195" s="448"/>
      <c r="B195" s="479"/>
      <c r="I195" s="457" t="s">
        <v>79</v>
      </c>
      <c r="T195" s="651"/>
      <c r="U195" s="478"/>
      <c r="AB195" s="478"/>
    </row>
    <row r="196" spans="1:32" s="457" customFormat="1" ht="18" customHeight="1" x14ac:dyDescent="0.2">
      <c r="A196" s="448"/>
      <c r="B196" s="479"/>
      <c r="I196" s="457" t="s">
        <v>80</v>
      </c>
      <c r="T196" s="651"/>
      <c r="U196" s="478"/>
      <c r="AB196" s="478"/>
    </row>
    <row r="197" spans="1:32" s="457" customFormat="1" ht="18" customHeight="1" x14ac:dyDescent="0.2">
      <c r="A197" s="448"/>
      <c r="B197" s="479"/>
      <c r="I197" s="457" t="s">
        <v>81</v>
      </c>
      <c r="T197" s="651"/>
      <c r="U197" s="478"/>
      <c r="AB197" s="478"/>
    </row>
    <row r="198" spans="1:32" s="457" customFormat="1" ht="18" customHeight="1" x14ac:dyDescent="0.2">
      <c r="A198" s="448"/>
      <c r="B198" s="479"/>
      <c r="I198" s="457" t="s">
        <v>88</v>
      </c>
      <c r="T198" s="651"/>
      <c r="U198" s="478"/>
      <c r="AB198" s="478"/>
    </row>
    <row r="199" spans="1:32" s="457" customFormat="1" ht="18" customHeight="1" x14ac:dyDescent="0.2">
      <c r="A199" s="456"/>
      <c r="B199" s="455"/>
      <c r="C199" s="455"/>
      <c r="D199" s="455"/>
      <c r="E199" s="455"/>
      <c r="F199" s="455"/>
      <c r="G199" s="455"/>
      <c r="H199" s="455"/>
      <c r="I199" s="455"/>
      <c r="J199" s="455"/>
      <c r="K199" s="455"/>
      <c r="L199" s="455"/>
      <c r="M199" s="455"/>
      <c r="N199" s="455"/>
      <c r="O199" s="455"/>
      <c r="P199" s="455"/>
      <c r="Q199" s="455"/>
      <c r="R199" s="455"/>
      <c r="S199" s="455"/>
      <c r="T199" s="608"/>
      <c r="U199" s="609"/>
      <c r="V199" s="455"/>
      <c r="W199" s="455"/>
      <c r="X199" s="455"/>
      <c r="Y199" s="455"/>
      <c r="Z199" s="455"/>
      <c r="AA199" s="2705" t="s">
        <v>0</v>
      </c>
      <c r="AB199" s="2705"/>
      <c r="AC199" s="455"/>
      <c r="AD199" s="455"/>
      <c r="AE199" s="455"/>
      <c r="AF199" s="455"/>
    </row>
    <row r="200" spans="1:32" s="457" customFormat="1" ht="18" customHeight="1" x14ac:dyDescent="0.2">
      <c r="A200" s="2706" t="s">
        <v>1</v>
      </c>
      <c r="B200" s="2706"/>
      <c r="C200" s="2706"/>
      <c r="D200" s="2706"/>
      <c r="E200" s="2706"/>
      <c r="F200" s="2706"/>
      <c r="G200" s="2706"/>
      <c r="H200" s="2706"/>
      <c r="I200" s="2706"/>
      <c r="J200" s="2706"/>
      <c r="K200" s="2706"/>
      <c r="L200" s="2706"/>
      <c r="M200" s="2706"/>
      <c r="N200" s="2706"/>
      <c r="O200" s="2706"/>
      <c r="P200" s="2706"/>
      <c r="Q200" s="2706"/>
      <c r="R200" s="2706"/>
      <c r="S200" s="2706"/>
      <c r="T200" s="2706"/>
      <c r="U200" s="2706"/>
      <c r="V200" s="2706"/>
      <c r="W200" s="2706"/>
      <c r="X200" s="2706"/>
      <c r="Y200" s="2706"/>
      <c r="Z200" s="2706"/>
      <c r="AA200" s="2706"/>
      <c r="AB200" s="2706"/>
      <c r="AC200" s="610"/>
      <c r="AD200" s="610"/>
      <c r="AE200" s="610"/>
      <c r="AF200" s="610"/>
    </row>
    <row r="201" spans="1:32" s="457" customFormat="1" ht="18" customHeight="1" x14ac:dyDescent="0.2">
      <c r="A201" s="2704" t="s">
        <v>430</v>
      </c>
      <c r="B201" s="2704"/>
      <c r="C201" s="2704"/>
      <c r="D201" s="2704"/>
      <c r="E201" s="2704"/>
      <c r="F201" s="2704"/>
      <c r="G201" s="2704"/>
      <c r="H201" s="2704"/>
      <c r="I201" s="2704"/>
      <c r="J201" s="2704"/>
      <c r="K201" s="2704"/>
      <c r="L201" s="2704"/>
      <c r="M201" s="2704"/>
      <c r="N201" s="2704"/>
      <c r="O201" s="2704"/>
      <c r="P201" s="2704"/>
      <c r="Q201" s="2704"/>
      <c r="R201" s="2704"/>
      <c r="S201" s="2704"/>
      <c r="T201" s="2704"/>
      <c r="U201" s="2704"/>
      <c r="V201" s="2704"/>
      <c r="W201" s="2704"/>
      <c r="X201" s="2704"/>
      <c r="Y201" s="2704"/>
      <c r="Z201" s="2704"/>
      <c r="AA201" s="2704"/>
      <c r="AB201" s="2704"/>
      <c r="AC201" s="611"/>
      <c r="AD201" s="611"/>
      <c r="AE201" s="611"/>
      <c r="AF201" s="611"/>
    </row>
    <row r="202" spans="1:32" s="457" customFormat="1" ht="18" customHeight="1" x14ac:dyDescent="0.2">
      <c r="A202" s="2686" t="s">
        <v>2</v>
      </c>
      <c r="B202" s="360"/>
      <c r="C202" s="2686" t="s">
        <v>3</v>
      </c>
      <c r="D202" s="360"/>
      <c r="E202" s="360"/>
      <c r="F202" s="2693" t="s">
        <v>4</v>
      </c>
      <c r="G202" s="2693"/>
      <c r="H202" s="2693"/>
      <c r="I202" s="2694"/>
      <c r="J202" s="2694"/>
      <c r="K202" s="2695"/>
      <c r="L202" s="361"/>
      <c r="M202" s="2679" t="s">
        <v>5</v>
      </c>
      <c r="N202" s="2679"/>
      <c r="O202" s="2679"/>
      <c r="P202" s="2679"/>
      <c r="Q202" s="2696"/>
      <c r="R202" s="2696"/>
      <c r="S202" s="2696"/>
      <c r="T202" s="2696"/>
      <c r="U202" s="2696"/>
      <c r="V202" s="2697"/>
      <c r="W202" s="362" t="s">
        <v>6</v>
      </c>
      <c r="X202" s="363" t="s">
        <v>7</v>
      </c>
      <c r="Y202" s="364"/>
      <c r="Z202" s="364"/>
      <c r="AA202" s="363"/>
      <c r="AB202" s="458"/>
      <c r="AC202" s="612" t="s">
        <v>8</v>
      </c>
      <c r="AD202" s="613"/>
      <c r="AE202" s="613"/>
      <c r="AF202" s="614"/>
    </row>
    <row r="203" spans="1:32" s="457" customFormat="1" ht="18" customHeight="1" x14ac:dyDescent="0.2">
      <c r="A203" s="2687"/>
      <c r="B203" s="367"/>
      <c r="C203" s="2687"/>
      <c r="D203" s="366" t="s">
        <v>9</v>
      </c>
      <c r="E203" s="366" t="s">
        <v>10</v>
      </c>
      <c r="F203" s="2698" t="s">
        <v>11</v>
      </c>
      <c r="G203" s="2694"/>
      <c r="H203" s="2695"/>
      <c r="I203" s="360"/>
      <c r="J203" s="449" t="s">
        <v>12</v>
      </c>
      <c r="K203" s="360"/>
      <c r="L203" s="2679" t="s">
        <v>2</v>
      </c>
      <c r="M203" s="370"/>
      <c r="N203" s="370"/>
      <c r="O203" s="370"/>
      <c r="P203" s="371"/>
      <c r="Q203" s="459" t="s">
        <v>13</v>
      </c>
      <c r="R203" s="370" t="s">
        <v>12</v>
      </c>
      <c r="S203" s="370" t="s">
        <v>6</v>
      </c>
      <c r="T203" s="2682" t="s">
        <v>14</v>
      </c>
      <c r="U203" s="2683"/>
      <c r="V203" s="375" t="s">
        <v>7</v>
      </c>
      <c r="W203" s="376" t="s">
        <v>15</v>
      </c>
      <c r="X203" s="377" t="s">
        <v>16</v>
      </c>
      <c r="Y203" s="377" t="s">
        <v>17</v>
      </c>
      <c r="Z203" s="377" t="s">
        <v>18</v>
      </c>
      <c r="AA203" s="377"/>
      <c r="AB203" s="460" t="s">
        <v>19</v>
      </c>
      <c r="AC203" s="615" t="s">
        <v>20</v>
      </c>
      <c r="AD203" s="616"/>
      <c r="AE203" s="617" t="s">
        <v>21</v>
      </c>
      <c r="AF203" s="618" t="s">
        <v>22</v>
      </c>
    </row>
    <row r="204" spans="1:32" s="457" customFormat="1" ht="18" customHeight="1" x14ac:dyDescent="0.2">
      <c r="A204" s="2687"/>
      <c r="B204" s="366" t="s">
        <v>23</v>
      </c>
      <c r="C204" s="2687"/>
      <c r="D204" s="366" t="s">
        <v>24</v>
      </c>
      <c r="E204" s="366" t="s">
        <v>25</v>
      </c>
      <c r="F204" s="2699"/>
      <c r="G204" s="2700"/>
      <c r="H204" s="2701"/>
      <c r="I204" s="366" t="s">
        <v>26</v>
      </c>
      <c r="J204" s="380" t="s">
        <v>15</v>
      </c>
      <c r="K204" s="380" t="s">
        <v>6</v>
      </c>
      <c r="L204" s="2680"/>
      <c r="M204" s="381" t="s">
        <v>27</v>
      </c>
      <c r="N204" s="381" t="s">
        <v>10</v>
      </c>
      <c r="O204" s="381" t="s">
        <v>10</v>
      </c>
      <c r="P204" s="385" t="s">
        <v>28</v>
      </c>
      <c r="Q204" s="461" t="s">
        <v>29</v>
      </c>
      <c r="R204" s="385" t="s">
        <v>15</v>
      </c>
      <c r="S204" s="385" t="s">
        <v>15</v>
      </c>
      <c r="T204" s="2684"/>
      <c r="U204" s="2685"/>
      <c r="V204" s="375" t="s">
        <v>30</v>
      </c>
      <c r="W204" s="376" t="s">
        <v>31</v>
      </c>
      <c r="X204" s="377" t="s">
        <v>30</v>
      </c>
      <c r="Y204" s="377" t="s">
        <v>32</v>
      </c>
      <c r="Z204" s="377" t="s">
        <v>7</v>
      </c>
      <c r="AA204" s="377" t="s">
        <v>33</v>
      </c>
      <c r="AB204" s="460" t="s">
        <v>34</v>
      </c>
      <c r="AC204" s="615" t="s">
        <v>35</v>
      </c>
      <c r="AD204" s="617" t="s">
        <v>36</v>
      </c>
      <c r="AE204" s="617" t="s">
        <v>37</v>
      </c>
      <c r="AF204" s="618" t="s">
        <v>38</v>
      </c>
    </row>
    <row r="205" spans="1:32" s="457" customFormat="1" ht="18" customHeight="1" x14ac:dyDescent="0.2">
      <c r="A205" s="2687"/>
      <c r="B205" s="366" t="s">
        <v>39</v>
      </c>
      <c r="C205" s="2687"/>
      <c r="D205" s="366" t="s">
        <v>40</v>
      </c>
      <c r="E205" s="366" t="s">
        <v>41</v>
      </c>
      <c r="F205" s="2686" t="s">
        <v>42</v>
      </c>
      <c r="G205" s="2686" t="s">
        <v>43</v>
      </c>
      <c r="H205" s="2688" t="s">
        <v>44</v>
      </c>
      <c r="I205" s="366" t="s">
        <v>45</v>
      </c>
      <c r="J205" s="380" t="s">
        <v>46</v>
      </c>
      <c r="K205" s="380" t="s">
        <v>47</v>
      </c>
      <c r="L205" s="2680"/>
      <c r="M205" s="381" t="s">
        <v>30</v>
      </c>
      <c r="N205" s="381" t="s">
        <v>30</v>
      </c>
      <c r="O205" s="381" t="s">
        <v>25</v>
      </c>
      <c r="P205" s="385" t="s">
        <v>30</v>
      </c>
      <c r="Q205" s="461" t="s">
        <v>48</v>
      </c>
      <c r="R205" s="385" t="s">
        <v>49</v>
      </c>
      <c r="S205" s="385" t="s">
        <v>30</v>
      </c>
      <c r="T205" s="619" t="s">
        <v>50</v>
      </c>
      <c r="U205" s="620" t="s">
        <v>13</v>
      </c>
      <c r="V205" s="375" t="s">
        <v>51</v>
      </c>
      <c r="W205" s="376" t="s">
        <v>52</v>
      </c>
      <c r="X205" s="377" t="s">
        <v>53</v>
      </c>
      <c r="Y205" s="377" t="s">
        <v>54</v>
      </c>
      <c r="Z205" s="377" t="s">
        <v>55</v>
      </c>
      <c r="AA205" s="377" t="s">
        <v>56</v>
      </c>
      <c r="AB205" s="460" t="s">
        <v>57</v>
      </c>
      <c r="AC205" s="617" t="s">
        <v>58</v>
      </c>
      <c r="AD205" s="617" t="s">
        <v>59</v>
      </c>
      <c r="AE205" s="617" t="s">
        <v>59</v>
      </c>
      <c r="AF205" s="618" t="s">
        <v>60</v>
      </c>
    </row>
    <row r="206" spans="1:32" s="457" customFormat="1" ht="18" customHeight="1" x14ac:dyDescent="0.2">
      <c r="A206" s="2687"/>
      <c r="B206" s="366" t="s">
        <v>61</v>
      </c>
      <c r="C206" s="2687"/>
      <c r="D206" s="366" t="s">
        <v>62</v>
      </c>
      <c r="E206" s="366" t="s">
        <v>63</v>
      </c>
      <c r="F206" s="2687"/>
      <c r="G206" s="2687"/>
      <c r="H206" s="2689"/>
      <c r="I206" s="366" t="s">
        <v>64</v>
      </c>
      <c r="J206" s="380" t="s">
        <v>59</v>
      </c>
      <c r="K206" s="380" t="s">
        <v>59</v>
      </c>
      <c r="L206" s="2680"/>
      <c r="M206" s="381"/>
      <c r="N206" s="381"/>
      <c r="O206" s="381" t="s">
        <v>41</v>
      </c>
      <c r="P206" s="385" t="s">
        <v>65</v>
      </c>
      <c r="Q206" s="461" t="s">
        <v>66</v>
      </c>
      <c r="R206" s="385" t="s">
        <v>67</v>
      </c>
      <c r="S206" s="385" t="s">
        <v>59</v>
      </c>
      <c r="T206" s="621" t="s">
        <v>68</v>
      </c>
      <c r="U206" s="622" t="s">
        <v>14</v>
      </c>
      <c r="V206" s="375" t="s">
        <v>14</v>
      </c>
      <c r="W206" s="376" t="s">
        <v>30</v>
      </c>
      <c r="X206" s="388" t="s">
        <v>69</v>
      </c>
      <c r="Y206" s="388" t="s">
        <v>70</v>
      </c>
      <c r="Z206" s="377" t="s">
        <v>71</v>
      </c>
      <c r="AA206" s="377" t="s">
        <v>72</v>
      </c>
      <c r="AB206" s="460" t="s">
        <v>59</v>
      </c>
      <c r="AC206" s="617" t="s">
        <v>59</v>
      </c>
      <c r="AD206" s="617"/>
      <c r="AE206" s="617"/>
      <c r="AF206" s="618" t="s">
        <v>59</v>
      </c>
    </row>
    <row r="207" spans="1:32" s="457" customFormat="1" ht="18" customHeight="1" x14ac:dyDescent="0.2">
      <c r="A207" s="2692"/>
      <c r="B207" s="390"/>
      <c r="C207" s="2692"/>
      <c r="D207" s="390"/>
      <c r="E207" s="389"/>
      <c r="F207" s="390"/>
      <c r="G207" s="390"/>
      <c r="H207" s="391"/>
      <c r="I207" s="389"/>
      <c r="J207" s="393"/>
      <c r="K207" s="393"/>
      <c r="L207" s="2681"/>
      <c r="M207" s="394"/>
      <c r="N207" s="394"/>
      <c r="O207" s="394" t="s">
        <v>63</v>
      </c>
      <c r="P207" s="394"/>
      <c r="Q207" s="450" t="s">
        <v>72</v>
      </c>
      <c r="R207" s="398" t="s">
        <v>59</v>
      </c>
      <c r="S207" s="398"/>
      <c r="T207" s="623" t="s">
        <v>73</v>
      </c>
      <c r="U207" s="624" t="s">
        <v>59</v>
      </c>
      <c r="V207" s="399" t="s">
        <v>59</v>
      </c>
      <c r="W207" s="400" t="s">
        <v>59</v>
      </c>
      <c r="X207" s="401" t="s">
        <v>59</v>
      </c>
      <c r="Y207" s="401" t="s">
        <v>59</v>
      </c>
      <c r="Z207" s="401" t="s">
        <v>59</v>
      </c>
      <c r="AA207" s="402"/>
      <c r="AB207" s="462"/>
      <c r="AC207" s="625"/>
      <c r="AD207" s="625"/>
      <c r="AE207" s="625"/>
      <c r="AF207" s="626"/>
    </row>
    <row r="208" spans="1:32" s="457" customFormat="1" ht="18" customHeight="1" x14ac:dyDescent="0.25">
      <c r="A208" s="82">
        <v>1</v>
      </c>
      <c r="B208" s="288">
        <v>38576</v>
      </c>
      <c r="C208" s="333">
        <v>1145</v>
      </c>
      <c r="D208" s="287" t="s">
        <v>139</v>
      </c>
      <c r="E208" s="287">
        <v>5</v>
      </c>
      <c r="F208" s="333">
        <v>0</v>
      </c>
      <c r="G208" s="333">
        <v>2</v>
      </c>
      <c r="H208" s="627">
        <v>17.54</v>
      </c>
      <c r="I208" s="44">
        <f t="shared" ref="I208:I210" si="40">F208*400+G208*100+H208</f>
        <v>217.54</v>
      </c>
      <c r="J208" s="628">
        <v>2300</v>
      </c>
      <c r="K208" s="60">
        <f t="shared" ref="K208:K210" si="41">SUM(I208*J208)</f>
        <v>500342</v>
      </c>
      <c r="L208" s="333"/>
      <c r="M208" s="95"/>
      <c r="N208" s="629"/>
      <c r="O208" s="95"/>
      <c r="P208" s="630"/>
      <c r="Q208" s="95"/>
      <c r="R208" s="631"/>
      <c r="S208" s="632"/>
      <c r="T208" s="633"/>
      <c r="U208" s="634"/>
      <c r="V208" s="635"/>
      <c r="W208" s="634"/>
      <c r="X208" s="636"/>
      <c r="Y208" s="240"/>
      <c r="Z208" s="637"/>
      <c r="AA208" s="95"/>
      <c r="AB208" s="465">
        <f>+Z208*AA208/100</f>
        <v>0</v>
      </c>
      <c r="AC208" s="602"/>
      <c r="AD208" s="603">
        <f>AB210-AC208</f>
        <v>389.20445039999998</v>
      </c>
      <c r="AE208" s="603">
        <f>IF(AD208&lt;=0,0,AD208*25/100)</f>
        <v>97.301112599999996</v>
      </c>
      <c r="AF208" s="603">
        <f>IF(AC208+AE208&gt;AB210,AB210,AC208+AE208)</f>
        <v>97.301112599999996</v>
      </c>
    </row>
    <row r="209" spans="1:32" s="457" customFormat="1" ht="18" customHeight="1" x14ac:dyDescent="0.25">
      <c r="A209" s="242"/>
      <c r="B209" s="269"/>
      <c r="C209" s="285"/>
      <c r="D209" s="287"/>
      <c r="E209" s="287"/>
      <c r="F209" s="268"/>
      <c r="G209" s="269"/>
      <c r="H209" s="266"/>
      <c r="I209" s="44">
        <f t="shared" si="40"/>
        <v>0</v>
      </c>
      <c r="J209" s="628"/>
      <c r="K209" s="60">
        <f t="shared" si="41"/>
        <v>0</v>
      </c>
      <c r="L209" s="273">
        <v>1</v>
      </c>
      <c r="M209" s="85">
        <v>103</v>
      </c>
      <c r="N209" s="638" t="s">
        <v>74</v>
      </c>
      <c r="O209" s="85">
        <v>2</v>
      </c>
      <c r="P209" s="639">
        <v>196.56</v>
      </c>
      <c r="Q209" s="85">
        <v>100</v>
      </c>
      <c r="R209" s="640">
        <v>9050</v>
      </c>
      <c r="S209" s="30">
        <f t="shared" ref="S209:S210" si="42">+P209*R209</f>
        <v>1778868</v>
      </c>
      <c r="T209" s="1709">
        <v>8</v>
      </c>
      <c r="U209" s="1670">
        <f>+S209*0.08</f>
        <v>142309.44</v>
      </c>
      <c r="V209" s="639">
        <f>S209-U209</f>
        <v>1636558.56</v>
      </c>
      <c r="W209" s="18">
        <f t="shared" ref="W209" si="43">K209+V209</f>
        <v>1636558.56</v>
      </c>
      <c r="X209" s="47">
        <f t="shared" ref="X209" si="44">W209*Q209/100</f>
        <v>1636558.56</v>
      </c>
      <c r="Y209" s="242" t="s">
        <v>87</v>
      </c>
      <c r="Z209" s="642"/>
      <c r="AA209" s="85">
        <v>0.02</v>
      </c>
      <c r="AB209" s="410">
        <f>+Z209*AA209/100</f>
        <v>0</v>
      </c>
      <c r="AC209" s="602"/>
      <c r="AD209" s="603">
        <f>AB208-AC209</f>
        <v>0</v>
      </c>
      <c r="AE209" s="603">
        <f>IF(AD209&lt;=0,0,AD209*25/100)</f>
        <v>0</v>
      </c>
      <c r="AF209" s="603">
        <f>IF(AC209+AE209&gt;AB208,AB208,AC209+AE209)</f>
        <v>0</v>
      </c>
    </row>
    <row r="210" spans="1:32" s="457" customFormat="1" ht="18" customHeight="1" x14ac:dyDescent="0.25">
      <c r="A210" s="145"/>
      <c r="B210" s="325"/>
      <c r="C210" s="325"/>
      <c r="D210" s="287"/>
      <c r="E210" s="287"/>
      <c r="F210" s="287"/>
      <c r="G210" s="287"/>
      <c r="H210" s="326">
        <v>9.4600000000000009</v>
      </c>
      <c r="I210" s="44">
        <f t="shared" si="40"/>
        <v>9.4600000000000009</v>
      </c>
      <c r="J210" s="628">
        <v>2302</v>
      </c>
      <c r="K210" s="60">
        <f t="shared" si="41"/>
        <v>21776.920000000002</v>
      </c>
      <c r="L210" s="287">
        <v>3</v>
      </c>
      <c r="M210" s="85">
        <v>504</v>
      </c>
      <c r="N210" s="643" t="s">
        <v>74</v>
      </c>
      <c r="O210" s="85">
        <v>3</v>
      </c>
      <c r="P210" s="639">
        <v>37.853400000000001</v>
      </c>
      <c r="Q210" s="85">
        <v>100</v>
      </c>
      <c r="R210" s="640">
        <v>3100</v>
      </c>
      <c r="S210" s="30">
        <f t="shared" si="42"/>
        <v>117345.54000000001</v>
      </c>
      <c r="T210" s="1709">
        <v>8</v>
      </c>
      <c r="U210" s="1670">
        <f>+S210*0.08</f>
        <v>9387.6432000000004</v>
      </c>
      <c r="V210" s="639">
        <f>S210-U210</f>
        <v>107957.8968</v>
      </c>
      <c r="W210" s="18">
        <f t="shared" ref="W210" si="45">K210+V210</f>
        <v>129734.8168</v>
      </c>
      <c r="X210" s="47">
        <f t="shared" ref="X210" si="46">W210*Q210/100</f>
        <v>129734.8168</v>
      </c>
      <c r="Y210" s="242"/>
      <c r="Z210" s="993">
        <f>X210</f>
        <v>129734.8168</v>
      </c>
      <c r="AA210" s="85">
        <v>0.3</v>
      </c>
      <c r="AB210" s="410">
        <f>+Z210*AA210/100</f>
        <v>389.20445039999998</v>
      </c>
      <c r="AC210" s="350"/>
      <c r="AD210" s="350"/>
      <c r="AE210" s="350"/>
      <c r="AF210" s="350"/>
    </row>
    <row r="211" spans="1:32" s="457" customFormat="1" ht="18" customHeight="1" x14ac:dyDescent="0.2">
      <c r="A211" s="145"/>
      <c r="B211" s="177"/>
      <c r="C211" s="177"/>
      <c r="D211" s="145"/>
      <c r="E211" s="145"/>
      <c r="F211" s="145"/>
      <c r="G211" s="145"/>
      <c r="H211" s="147"/>
      <c r="I211" s="107"/>
      <c r="J211" s="178"/>
      <c r="K211" s="107"/>
      <c r="L211" s="61"/>
      <c r="M211" s="72"/>
      <c r="N211" s="644"/>
      <c r="O211" s="72"/>
      <c r="P211" s="72"/>
      <c r="Q211" s="72"/>
      <c r="R211" s="645"/>
      <c r="S211" s="644"/>
      <c r="T211" s="646"/>
      <c r="U211" s="647"/>
      <c r="V211" s="72"/>
      <c r="W211" s="648"/>
      <c r="X211" s="645"/>
      <c r="Y211" s="644"/>
      <c r="Z211" s="72"/>
      <c r="AA211" s="72"/>
      <c r="AB211" s="649"/>
      <c r="AC211" s="650"/>
      <c r="AD211" s="350"/>
      <c r="AE211" s="350"/>
      <c r="AF211" s="350"/>
    </row>
    <row r="212" spans="1:32" s="457" customFormat="1" ht="18" customHeight="1" x14ac:dyDescent="0.2">
      <c r="A212" s="145"/>
      <c r="B212" s="177"/>
      <c r="C212" s="177"/>
      <c r="D212" s="145"/>
      <c r="E212" s="145"/>
      <c r="F212" s="145"/>
      <c r="G212" s="145"/>
      <c r="H212" s="147"/>
      <c r="I212" s="107"/>
      <c r="J212" s="178"/>
      <c r="K212" s="107"/>
      <c r="L212" s="145"/>
      <c r="M212" s="145"/>
      <c r="N212" s="145"/>
      <c r="O212" s="145"/>
      <c r="P212" s="147"/>
      <c r="Q212" s="148"/>
      <c r="R212" s="437"/>
      <c r="S212" s="107"/>
      <c r="T212" s="437"/>
      <c r="U212" s="181"/>
      <c r="V212" s="107"/>
      <c r="W212" s="107"/>
      <c r="X212" s="470"/>
      <c r="Y212" s="470"/>
      <c r="Z212" s="471"/>
      <c r="AA212" s="471"/>
      <c r="AB212" s="466"/>
      <c r="AC212" s="350"/>
      <c r="AD212" s="350"/>
      <c r="AE212" s="350"/>
      <c r="AF212" s="350"/>
    </row>
    <row r="213" spans="1:32" s="457" customFormat="1" ht="18" customHeight="1" x14ac:dyDescent="0.2">
      <c r="A213" s="145"/>
      <c r="B213" s="177"/>
      <c r="C213" s="177"/>
      <c r="D213" s="145"/>
      <c r="E213" s="145"/>
      <c r="F213" s="145"/>
      <c r="G213" s="145"/>
      <c r="H213" s="147"/>
      <c r="I213" s="107"/>
      <c r="J213" s="178"/>
      <c r="K213" s="107"/>
      <c r="L213" s="145"/>
      <c r="M213" s="145"/>
      <c r="N213" s="145"/>
      <c r="O213" s="145"/>
      <c r="P213" s="147"/>
      <c r="Q213" s="148"/>
      <c r="R213" s="437"/>
      <c r="S213" s="107"/>
      <c r="T213" s="437"/>
      <c r="U213" s="178"/>
      <c r="V213" s="107"/>
      <c r="W213" s="107"/>
      <c r="X213" s="470"/>
      <c r="Y213" s="470"/>
      <c r="Z213" s="471"/>
      <c r="AA213" s="471"/>
      <c r="AB213" s="466"/>
      <c r="AC213" s="350"/>
      <c r="AD213" s="350"/>
      <c r="AE213" s="350"/>
      <c r="AF213" s="350"/>
    </row>
    <row r="214" spans="1:32" s="457" customFormat="1" ht="18" customHeight="1" x14ac:dyDescent="0.2">
      <c r="A214" s="145"/>
      <c r="B214" s="177"/>
      <c r="C214" s="177"/>
      <c r="D214" s="145"/>
      <c r="E214" s="145"/>
      <c r="F214" s="145"/>
      <c r="G214" s="145"/>
      <c r="H214" s="147"/>
      <c r="I214" s="107"/>
      <c r="J214" s="178"/>
      <c r="K214" s="107"/>
      <c r="L214" s="145"/>
      <c r="M214" s="145"/>
      <c r="N214" s="145"/>
      <c r="O214" s="145"/>
      <c r="P214" s="147"/>
      <c r="Q214" s="148"/>
      <c r="R214" s="437"/>
      <c r="S214" s="107"/>
      <c r="T214" s="437"/>
      <c r="U214" s="178"/>
      <c r="V214" s="107"/>
      <c r="W214" s="107"/>
      <c r="X214" s="470"/>
      <c r="Y214" s="470"/>
      <c r="Z214" s="471"/>
      <c r="AA214" s="471"/>
      <c r="AB214" s="466"/>
      <c r="AC214" s="350"/>
      <c r="AD214" s="350"/>
      <c r="AE214" s="350"/>
      <c r="AF214" s="350"/>
    </row>
    <row r="215" spans="1:32" s="457" customFormat="1" ht="18" customHeight="1" x14ac:dyDescent="0.2">
      <c r="A215" s="145"/>
      <c r="B215" s="177"/>
      <c r="C215" s="177"/>
      <c r="D215" s="145"/>
      <c r="E215" s="145"/>
      <c r="F215" s="145"/>
      <c r="G215" s="145"/>
      <c r="H215" s="147"/>
      <c r="I215" s="107"/>
      <c r="J215" s="178"/>
      <c r="K215" s="107"/>
      <c r="L215" s="145"/>
      <c r="M215" s="145"/>
      <c r="N215" s="145"/>
      <c r="O215" s="145"/>
      <c r="P215" s="147"/>
      <c r="Q215" s="148"/>
      <c r="R215" s="437"/>
      <c r="S215" s="107"/>
      <c r="T215" s="437"/>
      <c r="U215" s="178"/>
      <c r="V215" s="107"/>
      <c r="W215" s="107"/>
      <c r="X215" s="470"/>
      <c r="Y215" s="470"/>
      <c r="Z215" s="471"/>
      <c r="AA215" s="471"/>
      <c r="AB215" s="466"/>
      <c r="AC215" s="350"/>
      <c r="AD215" s="350"/>
      <c r="AE215" s="350"/>
      <c r="AF215" s="350"/>
    </row>
    <row r="216" spans="1:32" s="457" customFormat="1" ht="18" customHeight="1" x14ac:dyDescent="0.2">
      <c r="A216" s="145"/>
      <c r="B216" s="177"/>
      <c r="C216" s="177"/>
      <c r="D216" s="145"/>
      <c r="E216" s="145"/>
      <c r="F216" s="145"/>
      <c r="G216" s="145"/>
      <c r="H216" s="147"/>
      <c r="I216" s="107"/>
      <c r="J216" s="178"/>
      <c r="K216" s="107"/>
      <c r="L216" s="145"/>
      <c r="M216" s="145"/>
      <c r="N216" s="145"/>
      <c r="O216" s="145"/>
      <c r="P216" s="147"/>
      <c r="Q216" s="148"/>
      <c r="R216" s="437"/>
      <c r="S216" s="107"/>
      <c r="T216" s="437"/>
      <c r="U216" s="178"/>
      <c r="V216" s="107"/>
      <c r="W216" s="107"/>
      <c r="X216" s="470"/>
      <c r="Y216" s="470"/>
      <c r="Z216" s="471"/>
      <c r="AA216" s="471"/>
      <c r="AB216" s="466"/>
      <c r="AC216" s="350"/>
      <c r="AD216" s="350"/>
      <c r="AE216" s="350"/>
      <c r="AF216" s="350"/>
    </row>
    <row r="217" spans="1:32" s="457" customFormat="1" ht="18" customHeight="1" x14ac:dyDescent="0.2">
      <c r="A217" s="145"/>
      <c r="B217" s="177"/>
      <c r="C217" s="177"/>
      <c r="D217" s="145"/>
      <c r="E217" s="145"/>
      <c r="F217" s="145"/>
      <c r="G217" s="145"/>
      <c r="H217" s="147"/>
      <c r="I217" s="107"/>
      <c r="J217" s="178"/>
      <c r="K217" s="107"/>
      <c r="L217" s="145"/>
      <c r="M217" s="145"/>
      <c r="N217" s="145"/>
      <c r="O217" s="145"/>
      <c r="P217" s="147"/>
      <c r="Q217" s="148"/>
      <c r="R217" s="437"/>
      <c r="S217" s="107"/>
      <c r="T217" s="437"/>
      <c r="U217" s="178"/>
      <c r="V217" s="107"/>
      <c r="W217" s="107"/>
      <c r="X217" s="470"/>
      <c r="Y217" s="470"/>
      <c r="Z217" s="471"/>
      <c r="AA217" s="471"/>
      <c r="AB217" s="466"/>
      <c r="AC217" s="350"/>
      <c r="AD217" s="350"/>
      <c r="AE217" s="350"/>
      <c r="AF217" s="350"/>
    </row>
    <row r="218" spans="1:32" s="457" customFormat="1" ht="18" customHeight="1" x14ac:dyDescent="0.2">
      <c r="A218" s="145"/>
      <c r="B218" s="177"/>
      <c r="C218" s="177"/>
      <c r="D218" s="145"/>
      <c r="E218" s="145"/>
      <c r="F218" s="145"/>
      <c r="G218" s="145"/>
      <c r="H218" s="147"/>
      <c r="I218" s="107"/>
      <c r="J218" s="178"/>
      <c r="K218" s="107"/>
      <c r="L218" s="145"/>
      <c r="M218" s="145"/>
      <c r="N218" s="145"/>
      <c r="O218" s="145"/>
      <c r="P218" s="147"/>
      <c r="Q218" s="148"/>
      <c r="R218" s="437"/>
      <c r="S218" s="107"/>
      <c r="T218" s="437"/>
      <c r="U218" s="178"/>
      <c r="V218" s="107"/>
      <c r="W218" s="107"/>
      <c r="X218" s="470"/>
      <c r="Y218" s="470"/>
      <c r="Z218" s="471"/>
      <c r="AA218" s="471"/>
      <c r="AB218" s="466"/>
      <c r="AC218" s="350"/>
      <c r="AD218" s="350"/>
      <c r="AE218" s="350"/>
      <c r="AF218" s="350"/>
    </row>
    <row r="219" spans="1:32" s="457" customFormat="1" ht="18" customHeight="1" x14ac:dyDescent="0.2">
      <c r="A219" s="145"/>
      <c r="B219" s="177"/>
      <c r="C219" s="177"/>
      <c r="D219" s="145"/>
      <c r="E219" s="145"/>
      <c r="F219" s="145"/>
      <c r="G219" s="145"/>
      <c r="H219" s="147"/>
      <c r="I219" s="107"/>
      <c r="J219" s="178"/>
      <c r="K219" s="107"/>
      <c r="L219" s="145"/>
      <c r="M219" s="145"/>
      <c r="N219" s="145"/>
      <c r="O219" s="145"/>
      <c r="P219" s="147"/>
      <c r="Q219" s="148"/>
      <c r="R219" s="437"/>
      <c r="S219" s="107"/>
      <c r="T219" s="437"/>
      <c r="U219" s="178"/>
      <c r="V219" s="107"/>
      <c r="W219" s="107"/>
      <c r="X219" s="470"/>
      <c r="Y219" s="470"/>
      <c r="Z219" s="471"/>
      <c r="AA219" s="471"/>
      <c r="AB219" s="466"/>
      <c r="AC219" s="350"/>
      <c r="AD219" s="350"/>
      <c r="AE219" s="350"/>
      <c r="AF219" s="350"/>
    </row>
    <row r="220" spans="1:32" s="457" customFormat="1" ht="18" customHeight="1" x14ac:dyDescent="0.2">
      <c r="A220" s="145"/>
      <c r="B220" s="177"/>
      <c r="C220" s="177"/>
      <c r="D220" s="145"/>
      <c r="E220" s="145"/>
      <c r="F220" s="145"/>
      <c r="G220" s="145"/>
      <c r="H220" s="147"/>
      <c r="I220" s="107"/>
      <c r="J220" s="178"/>
      <c r="K220" s="107"/>
      <c r="L220" s="145"/>
      <c r="M220" s="145"/>
      <c r="N220" s="145"/>
      <c r="O220" s="145"/>
      <c r="P220" s="147"/>
      <c r="Q220" s="148"/>
      <c r="R220" s="437"/>
      <c r="S220" s="107"/>
      <c r="T220" s="437"/>
      <c r="U220" s="178"/>
      <c r="V220" s="107"/>
      <c r="W220" s="107"/>
      <c r="X220" s="470"/>
      <c r="Y220" s="470"/>
      <c r="Z220" s="471"/>
      <c r="AA220" s="471"/>
      <c r="AB220" s="466"/>
      <c r="AC220" s="350"/>
      <c r="AD220" s="350"/>
      <c r="AE220" s="350"/>
      <c r="AF220" s="350"/>
    </row>
    <row r="221" spans="1:32" s="457" customFormat="1" ht="18" customHeight="1" x14ac:dyDescent="0.2">
      <c r="A221" s="145"/>
      <c r="B221" s="177"/>
      <c r="C221" s="177"/>
      <c r="D221" s="145"/>
      <c r="E221" s="145"/>
      <c r="F221" s="145"/>
      <c r="G221" s="145"/>
      <c r="H221" s="147"/>
      <c r="I221" s="107"/>
      <c r="J221" s="178"/>
      <c r="K221" s="107"/>
      <c r="L221" s="145"/>
      <c r="M221" s="145"/>
      <c r="N221" s="145"/>
      <c r="O221" s="145"/>
      <c r="P221" s="147"/>
      <c r="Q221" s="148"/>
      <c r="R221" s="437"/>
      <c r="S221" s="107"/>
      <c r="T221" s="437"/>
      <c r="U221" s="178"/>
      <c r="V221" s="107"/>
      <c r="W221" s="107"/>
      <c r="X221" s="470"/>
      <c r="Y221" s="470"/>
      <c r="Z221" s="471"/>
      <c r="AA221" s="471"/>
      <c r="AB221" s="466"/>
      <c r="AC221" s="350"/>
      <c r="AD221" s="350"/>
      <c r="AE221" s="350"/>
      <c r="AF221" s="350"/>
    </row>
    <row r="222" spans="1:32" s="457" customFormat="1" ht="18" customHeight="1" x14ac:dyDescent="0.2">
      <c r="A222" s="145"/>
      <c r="B222" s="177"/>
      <c r="C222" s="177"/>
      <c r="D222" s="145"/>
      <c r="E222" s="145"/>
      <c r="F222" s="145"/>
      <c r="G222" s="145"/>
      <c r="H222" s="147"/>
      <c r="I222" s="107"/>
      <c r="J222" s="178"/>
      <c r="K222" s="107"/>
      <c r="L222" s="145"/>
      <c r="M222" s="145"/>
      <c r="N222" s="145"/>
      <c r="O222" s="145"/>
      <c r="P222" s="147"/>
      <c r="Q222" s="148"/>
      <c r="R222" s="437"/>
      <c r="S222" s="107"/>
      <c r="T222" s="437"/>
      <c r="U222" s="178"/>
      <c r="V222" s="107"/>
      <c r="W222" s="107"/>
      <c r="X222" s="470"/>
      <c r="Y222" s="470"/>
      <c r="Z222" s="471"/>
      <c r="AA222" s="471"/>
      <c r="AB222" s="466"/>
      <c r="AC222" s="350"/>
      <c r="AD222" s="350"/>
      <c r="AE222" s="350"/>
      <c r="AF222" s="350"/>
    </row>
    <row r="223" spans="1:32" s="457" customFormat="1" ht="18" customHeight="1" x14ac:dyDescent="0.2">
      <c r="A223" s="145"/>
      <c r="B223" s="177"/>
      <c r="C223" s="177"/>
      <c r="D223" s="145"/>
      <c r="E223" s="145"/>
      <c r="F223" s="145"/>
      <c r="G223" s="145"/>
      <c r="H223" s="147"/>
      <c r="I223" s="107"/>
      <c r="J223" s="178"/>
      <c r="K223" s="107"/>
      <c r="L223" s="145"/>
      <c r="M223" s="145"/>
      <c r="N223" s="145"/>
      <c r="O223" s="145"/>
      <c r="P223" s="147"/>
      <c r="Q223" s="148"/>
      <c r="R223" s="437"/>
      <c r="S223" s="107"/>
      <c r="T223" s="437"/>
      <c r="U223" s="178"/>
      <c r="V223" s="107"/>
      <c r="W223" s="107"/>
      <c r="X223" s="470"/>
      <c r="Y223" s="470"/>
      <c r="Z223" s="471"/>
      <c r="AA223" s="471"/>
      <c r="AB223" s="466"/>
      <c r="AC223" s="350"/>
      <c r="AD223" s="350"/>
      <c r="AE223" s="350"/>
      <c r="AF223" s="350"/>
    </row>
    <row r="224" spans="1:32" s="457" customFormat="1" ht="18" customHeight="1" x14ac:dyDescent="0.2">
      <c r="A224" s="145"/>
      <c r="B224" s="177"/>
      <c r="C224" s="177"/>
      <c r="D224" s="145"/>
      <c r="E224" s="145"/>
      <c r="F224" s="145"/>
      <c r="G224" s="145"/>
      <c r="H224" s="147"/>
      <c r="I224" s="107"/>
      <c r="J224" s="178"/>
      <c r="K224" s="107"/>
      <c r="L224" s="145"/>
      <c r="M224" s="145"/>
      <c r="N224" s="145"/>
      <c r="O224" s="145"/>
      <c r="P224" s="147"/>
      <c r="Q224" s="148"/>
      <c r="R224" s="437"/>
      <c r="S224" s="107"/>
      <c r="T224" s="437"/>
      <c r="U224" s="178"/>
      <c r="V224" s="107"/>
      <c r="W224" s="107"/>
      <c r="X224" s="470"/>
      <c r="Y224" s="470"/>
      <c r="Z224" s="471"/>
      <c r="AA224" s="471"/>
      <c r="AB224" s="466"/>
      <c r="AC224" s="350"/>
      <c r="AD224" s="350"/>
      <c r="AE224" s="350"/>
      <c r="AF224" s="350"/>
    </row>
    <row r="225" spans="1:32" s="457" customFormat="1" ht="18" customHeight="1" x14ac:dyDescent="0.2">
      <c r="A225" s="145"/>
      <c r="B225" s="177"/>
      <c r="C225" s="177"/>
      <c r="D225" s="145"/>
      <c r="E225" s="145"/>
      <c r="F225" s="145"/>
      <c r="G225" s="145"/>
      <c r="H225" s="147"/>
      <c r="I225" s="107"/>
      <c r="J225" s="178"/>
      <c r="K225" s="107"/>
      <c r="L225" s="145"/>
      <c r="M225" s="145"/>
      <c r="N225" s="145"/>
      <c r="O225" s="145"/>
      <c r="P225" s="147"/>
      <c r="Q225" s="148"/>
      <c r="R225" s="437"/>
      <c r="S225" s="107"/>
      <c r="T225" s="437"/>
      <c r="U225" s="178"/>
      <c r="V225" s="107"/>
      <c r="W225" s="107"/>
      <c r="X225" s="470"/>
      <c r="Y225" s="470"/>
      <c r="Z225" s="471"/>
      <c r="AA225" s="471"/>
      <c r="AB225" s="466"/>
      <c r="AC225" s="350"/>
      <c r="AD225" s="350"/>
      <c r="AE225" s="350"/>
      <c r="AF225" s="350"/>
    </row>
    <row r="226" spans="1:32" s="597" customFormat="1" ht="18" customHeight="1" x14ac:dyDescent="0.2">
      <c r="A226" s="1850"/>
      <c r="B226" s="1850"/>
      <c r="C226" s="1850"/>
      <c r="D226" s="1850"/>
      <c r="E226" s="1850"/>
      <c r="F226" s="1850"/>
      <c r="G226" s="1850"/>
      <c r="H226" s="1851"/>
      <c r="I226" s="1852"/>
      <c r="J226" s="1853"/>
      <c r="K226" s="1852"/>
      <c r="L226" s="1852"/>
      <c r="M226" s="1852"/>
      <c r="N226" s="1852"/>
      <c r="O226" s="1852"/>
      <c r="P226" s="1852"/>
      <c r="Q226" s="1852"/>
      <c r="R226" s="1854"/>
      <c r="S226" s="1852"/>
      <c r="T226" s="1854"/>
      <c r="U226" s="1853"/>
      <c r="V226" s="1852"/>
      <c r="W226" s="1852"/>
      <c r="X226" s="1856"/>
      <c r="Y226" s="1856"/>
      <c r="Z226" s="1857"/>
      <c r="AA226" s="1857"/>
      <c r="AB226" s="1847">
        <f>SUM(AB208:AB225)</f>
        <v>389.20445039999998</v>
      </c>
      <c r="AC226" s="1861"/>
      <c r="AD226" s="1861"/>
      <c r="AE226" s="1861"/>
      <c r="AF226" s="1861"/>
    </row>
    <row r="227" spans="1:32" s="457" customFormat="1" ht="18" customHeight="1" x14ac:dyDescent="0.2">
      <c r="A227" s="2737" t="s">
        <v>76</v>
      </c>
      <c r="B227" s="2737"/>
      <c r="C227" s="2738" t="s">
        <v>77</v>
      </c>
      <c r="D227" s="2738"/>
      <c r="E227" s="2738"/>
      <c r="F227" s="2738"/>
      <c r="G227" s="2738"/>
      <c r="H227" s="2738"/>
      <c r="I227" s="457" t="s">
        <v>78</v>
      </c>
      <c r="T227" s="651"/>
      <c r="U227" s="478"/>
      <c r="AB227" s="478"/>
    </row>
    <row r="228" spans="1:32" s="457" customFormat="1" ht="18" customHeight="1" x14ac:dyDescent="0.2">
      <c r="A228" s="448"/>
      <c r="B228" s="479"/>
      <c r="I228" s="457" t="s">
        <v>79</v>
      </c>
      <c r="T228" s="651"/>
      <c r="U228" s="478"/>
      <c r="AB228" s="478"/>
    </row>
    <row r="229" spans="1:32" s="457" customFormat="1" ht="18" customHeight="1" x14ac:dyDescent="0.2">
      <c r="A229" s="448"/>
      <c r="B229" s="479"/>
      <c r="I229" s="457" t="s">
        <v>80</v>
      </c>
      <c r="T229" s="651"/>
      <c r="U229" s="478"/>
      <c r="AB229" s="478"/>
    </row>
    <row r="230" spans="1:32" s="457" customFormat="1" ht="18" customHeight="1" x14ac:dyDescent="0.2">
      <c r="A230" s="448"/>
      <c r="B230" s="479"/>
      <c r="I230" s="457" t="s">
        <v>81</v>
      </c>
      <c r="T230" s="651"/>
      <c r="U230" s="478"/>
      <c r="AB230" s="478"/>
    </row>
    <row r="231" spans="1:32" s="457" customFormat="1" ht="18" customHeight="1" x14ac:dyDescent="0.2">
      <c r="A231" s="448"/>
      <c r="B231" s="479"/>
      <c r="I231" s="457" t="s">
        <v>88</v>
      </c>
      <c r="T231" s="651"/>
      <c r="U231" s="478"/>
      <c r="AB231" s="478"/>
    </row>
    <row r="232" spans="1:32" s="457" customFormat="1" ht="18" customHeight="1" x14ac:dyDescent="0.2">
      <c r="A232" s="456"/>
      <c r="B232" s="455"/>
      <c r="C232" s="455"/>
      <c r="D232" s="455"/>
      <c r="E232" s="455"/>
      <c r="F232" s="455"/>
      <c r="G232" s="455"/>
      <c r="H232" s="455"/>
      <c r="I232" s="455"/>
      <c r="J232" s="455"/>
      <c r="K232" s="455"/>
      <c r="L232" s="455"/>
      <c r="M232" s="455"/>
      <c r="N232" s="455"/>
      <c r="O232" s="455"/>
      <c r="P232" s="455"/>
      <c r="Q232" s="455"/>
      <c r="R232" s="455"/>
      <c r="S232" s="455"/>
      <c r="T232" s="608"/>
      <c r="U232" s="609"/>
      <c r="V232" s="455"/>
      <c r="W232" s="455"/>
      <c r="X232" s="455"/>
      <c r="Y232" s="455"/>
      <c r="Z232" s="455"/>
      <c r="AA232" s="2705" t="s">
        <v>0</v>
      </c>
      <c r="AB232" s="2705"/>
      <c r="AC232" s="455"/>
      <c r="AD232" s="455"/>
      <c r="AE232" s="455"/>
      <c r="AF232" s="455"/>
    </row>
    <row r="233" spans="1:32" s="457" customFormat="1" ht="18" customHeight="1" x14ac:dyDescent="0.2">
      <c r="A233" s="2706" t="s">
        <v>1</v>
      </c>
      <c r="B233" s="2706"/>
      <c r="C233" s="2706"/>
      <c r="D233" s="2706"/>
      <c r="E233" s="2706"/>
      <c r="F233" s="2706"/>
      <c r="G233" s="2706"/>
      <c r="H233" s="2706"/>
      <c r="I233" s="2706"/>
      <c r="J233" s="2706"/>
      <c r="K233" s="2706"/>
      <c r="L233" s="2706"/>
      <c r="M233" s="2706"/>
      <c r="N233" s="2706"/>
      <c r="O233" s="2706"/>
      <c r="P233" s="2706"/>
      <c r="Q233" s="2706"/>
      <c r="R233" s="2706"/>
      <c r="S233" s="2706"/>
      <c r="T233" s="2706"/>
      <c r="U233" s="2706"/>
      <c r="V233" s="2706"/>
      <c r="W233" s="2706"/>
      <c r="X233" s="2706"/>
      <c r="Y233" s="2706"/>
      <c r="Z233" s="2706"/>
      <c r="AA233" s="2706"/>
      <c r="AB233" s="2706"/>
      <c r="AC233" s="610"/>
      <c r="AD233" s="610"/>
      <c r="AE233" s="610"/>
      <c r="AF233" s="610"/>
    </row>
    <row r="234" spans="1:32" s="457" customFormat="1" ht="18" customHeight="1" x14ac:dyDescent="0.2">
      <c r="A234" s="2704" t="s">
        <v>431</v>
      </c>
      <c r="B234" s="2704"/>
      <c r="C234" s="2704"/>
      <c r="D234" s="2704"/>
      <c r="E234" s="2704"/>
      <c r="F234" s="2704"/>
      <c r="G234" s="2704"/>
      <c r="H234" s="2704"/>
      <c r="I234" s="2704"/>
      <c r="J234" s="2704"/>
      <c r="K234" s="2704"/>
      <c r="L234" s="2704"/>
      <c r="M234" s="2704"/>
      <c r="N234" s="2704"/>
      <c r="O234" s="2704"/>
      <c r="P234" s="2704"/>
      <c r="Q234" s="2704"/>
      <c r="R234" s="2704"/>
      <c r="S234" s="2704"/>
      <c r="T234" s="2704"/>
      <c r="U234" s="2704"/>
      <c r="V234" s="2704"/>
      <c r="W234" s="2704"/>
      <c r="X234" s="2704"/>
      <c r="Y234" s="2704"/>
      <c r="Z234" s="2704"/>
      <c r="AA234" s="2704"/>
      <c r="AB234" s="2704"/>
      <c r="AC234" s="611"/>
      <c r="AD234" s="611"/>
      <c r="AE234" s="611"/>
      <c r="AF234" s="611"/>
    </row>
    <row r="235" spans="1:32" s="457" customFormat="1" ht="18" customHeight="1" x14ac:dyDescent="0.2">
      <c r="A235" s="2686" t="s">
        <v>2</v>
      </c>
      <c r="B235" s="360"/>
      <c r="C235" s="2686" t="s">
        <v>3</v>
      </c>
      <c r="D235" s="360"/>
      <c r="E235" s="360"/>
      <c r="F235" s="2693" t="s">
        <v>4</v>
      </c>
      <c r="G235" s="2693"/>
      <c r="H235" s="2693"/>
      <c r="I235" s="2694"/>
      <c r="J235" s="2694"/>
      <c r="K235" s="2695"/>
      <c r="L235" s="361"/>
      <c r="M235" s="2679" t="s">
        <v>5</v>
      </c>
      <c r="N235" s="2679"/>
      <c r="O235" s="2679"/>
      <c r="P235" s="2679"/>
      <c r="Q235" s="2696"/>
      <c r="R235" s="2696"/>
      <c r="S235" s="2696"/>
      <c r="T235" s="2696"/>
      <c r="U235" s="2696"/>
      <c r="V235" s="2697"/>
      <c r="W235" s="362" t="s">
        <v>6</v>
      </c>
      <c r="X235" s="363" t="s">
        <v>7</v>
      </c>
      <c r="Y235" s="364"/>
      <c r="Z235" s="364"/>
      <c r="AA235" s="363"/>
      <c r="AB235" s="458"/>
      <c r="AC235" s="612" t="s">
        <v>8</v>
      </c>
      <c r="AD235" s="613"/>
      <c r="AE235" s="613"/>
      <c r="AF235" s="614"/>
    </row>
    <row r="236" spans="1:32" s="457" customFormat="1" ht="18" customHeight="1" x14ac:dyDescent="0.2">
      <c r="A236" s="2687"/>
      <c r="B236" s="367"/>
      <c r="C236" s="2687"/>
      <c r="D236" s="366" t="s">
        <v>9</v>
      </c>
      <c r="E236" s="366" t="s">
        <v>10</v>
      </c>
      <c r="F236" s="2698" t="s">
        <v>11</v>
      </c>
      <c r="G236" s="2694"/>
      <c r="H236" s="2695"/>
      <c r="I236" s="360"/>
      <c r="J236" s="449" t="s">
        <v>12</v>
      </c>
      <c r="K236" s="360"/>
      <c r="L236" s="2679" t="s">
        <v>2</v>
      </c>
      <c r="M236" s="370"/>
      <c r="N236" s="370"/>
      <c r="O236" s="370"/>
      <c r="P236" s="371"/>
      <c r="Q236" s="459" t="s">
        <v>13</v>
      </c>
      <c r="R236" s="370" t="s">
        <v>12</v>
      </c>
      <c r="S236" s="370" t="s">
        <v>6</v>
      </c>
      <c r="T236" s="2682" t="s">
        <v>14</v>
      </c>
      <c r="U236" s="2683"/>
      <c r="V236" s="375" t="s">
        <v>7</v>
      </c>
      <c r="W236" s="376" t="s">
        <v>15</v>
      </c>
      <c r="X236" s="377" t="s">
        <v>16</v>
      </c>
      <c r="Y236" s="377" t="s">
        <v>17</v>
      </c>
      <c r="Z236" s="377" t="s">
        <v>18</v>
      </c>
      <c r="AA236" s="377"/>
      <c r="AB236" s="460" t="s">
        <v>19</v>
      </c>
      <c r="AC236" s="615" t="s">
        <v>20</v>
      </c>
      <c r="AD236" s="616"/>
      <c r="AE236" s="617" t="s">
        <v>21</v>
      </c>
      <c r="AF236" s="618" t="s">
        <v>22</v>
      </c>
    </row>
    <row r="237" spans="1:32" s="457" customFormat="1" ht="18" customHeight="1" x14ac:dyDescent="0.2">
      <c r="A237" s="2687"/>
      <c r="B237" s="366" t="s">
        <v>23</v>
      </c>
      <c r="C237" s="2687"/>
      <c r="D237" s="366" t="s">
        <v>24</v>
      </c>
      <c r="E237" s="366" t="s">
        <v>25</v>
      </c>
      <c r="F237" s="2699"/>
      <c r="G237" s="2700"/>
      <c r="H237" s="2701"/>
      <c r="I237" s="366" t="s">
        <v>26</v>
      </c>
      <c r="J237" s="380" t="s">
        <v>15</v>
      </c>
      <c r="K237" s="380" t="s">
        <v>6</v>
      </c>
      <c r="L237" s="2680"/>
      <c r="M237" s="381" t="s">
        <v>27</v>
      </c>
      <c r="N237" s="381" t="s">
        <v>10</v>
      </c>
      <c r="O237" s="381" t="s">
        <v>10</v>
      </c>
      <c r="P237" s="385" t="s">
        <v>28</v>
      </c>
      <c r="Q237" s="461" t="s">
        <v>29</v>
      </c>
      <c r="R237" s="385" t="s">
        <v>15</v>
      </c>
      <c r="S237" s="385" t="s">
        <v>15</v>
      </c>
      <c r="T237" s="2684"/>
      <c r="U237" s="2685"/>
      <c r="V237" s="375" t="s">
        <v>30</v>
      </c>
      <c r="W237" s="376" t="s">
        <v>31</v>
      </c>
      <c r="X237" s="377" t="s">
        <v>30</v>
      </c>
      <c r="Y237" s="377" t="s">
        <v>32</v>
      </c>
      <c r="Z237" s="377" t="s">
        <v>7</v>
      </c>
      <c r="AA237" s="377" t="s">
        <v>33</v>
      </c>
      <c r="AB237" s="460" t="s">
        <v>34</v>
      </c>
      <c r="AC237" s="615" t="s">
        <v>35</v>
      </c>
      <c r="AD237" s="617" t="s">
        <v>36</v>
      </c>
      <c r="AE237" s="617" t="s">
        <v>37</v>
      </c>
      <c r="AF237" s="618" t="s">
        <v>38</v>
      </c>
    </row>
    <row r="238" spans="1:32" s="457" customFormat="1" ht="18" customHeight="1" x14ac:dyDescent="0.2">
      <c r="A238" s="2687"/>
      <c r="B238" s="366" t="s">
        <v>39</v>
      </c>
      <c r="C238" s="2687"/>
      <c r="D238" s="366" t="s">
        <v>40</v>
      </c>
      <c r="E238" s="366" t="s">
        <v>41</v>
      </c>
      <c r="F238" s="2686" t="s">
        <v>42</v>
      </c>
      <c r="G238" s="2686" t="s">
        <v>43</v>
      </c>
      <c r="H238" s="2688" t="s">
        <v>44</v>
      </c>
      <c r="I238" s="366" t="s">
        <v>45</v>
      </c>
      <c r="J238" s="380" t="s">
        <v>46</v>
      </c>
      <c r="K238" s="380" t="s">
        <v>47</v>
      </c>
      <c r="L238" s="2680"/>
      <c r="M238" s="381" t="s">
        <v>30</v>
      </c>
      <c r="N238" s="381" t="s">
        <v>30</v>
      </c>
      <c r="O238" s="381" t="s">
        <v>25</v>
      </c>
      <c r="P238" s="385" t="s">
        <v>30</v>
      </c>
      <c r="Q238" s="461" t="s">
        <v>48</v>
      </c>
      <c r="R238" s="385" t="s">
        <v>49</v>
      </c>
      <c r="S238" s="385" t="s">
        <v>30</v>
      </c>
      <c r="T238" s="619" t="s">
        <v>50</v>
      </c>
      <c r="U238" s="620" t="s">
        <v>13</v>
      </c>
      <c r="V238" s="375" t="s">
        <v>51</v>
      </c>
      <c r="W238" s="376" t="s">
        <v>52</v>
      </c>
      <c r="X238" s="377" t="s">
        <v>53</v>
      </c>
      <c r="Y238" s="377" t="s">
        <v>54</v>
      </c>
      <c r="Z238" s="377" t="s">
        <v>55</v>
      </c>
      <c r="AA238" s="377" t="s">
        <v>56</v>
      </c>
      <c r="AB238" s="460" t="s">
        <v>57</v>
      </c>
      <c r="AC238" s="617" t="s">
        <v>58</v>
      </c>
      <c r="AD238" s="617" t="s">
        <v>59</v>
      </c>
      <c r="AE238" s="617" t="s">
        <v>59</v>
      </c>
      <c r="AF238" s="618" t="s">
        <v>60</v>
      </c>
    </row>
    <row r="239" spans="1:32" s="457" customFormat="1" ht="18" customHeight="1" x14ac:dyDescent="0.2">
      <c r="A239" s="2687"/>
      <c r="B239" s="366" t="s">
        <v>61</v>
      </c>
      <c r="C239" s="2687"/>
      <c r="D239" s="366" t="s">
        <v>62</v>
      </c>
      <c r="E239" s="366" t="s">
        <v>63</v>
      </c>
      <c r="F239" s="2687"/>
      <c r="G239" s="2687"/>
      <c r="H239" s="2689"/>
      <c r="I239" s="366" t="s">
        <v>64</v>
      </c>
      <c r="J239" s="380" t="s">
        <v>59</v>
      </c>
      <c r="K239" s="380" t="s">
        <v>59</v>
      </c>
      <c r="L239" s="2680"/>
      <c r="M239" s="381"/>
      <c r="N239" s="381"/>
      <c r="O239" s="381" t="s">
        <v>41</v>
      </c>
      <c r="P239" s="385" t="s">
        <v>65</v>
      </c>
      <c r="Q239" s="461" t="s">
        <v>66</v>
      </c>
      <c r="R239" s="385" t="s">
        <v>67</v>
      </c>
      <c r="S239" s="385" t="s">
        <v>59</v>
      </c>
      <c r="T239" s="621" t="s">
        <v>68</v>
      </c>
      <c r="U239" s="622" t="s">
        <v>14</v>
      </c>
      <c r="V239" s="375" t="s">
        <v>14</v>
      </c>
      <c r="W239" s="376" t="s">
        <v>30</v>
      </c>
      <c r="X239" s="388" t="s">
        <v>69</v>
      </c>
      <c r="Y239" s="388" t="s">
        <v>70</v>
      </c>
      <c r="Z239" s="377" t="s">
        <v>71</v>
      </c>
      <c r="AA239" s="377" t="s">
        <v>72</v>
      </c>
      <c r="AB239" s="460" t="s">
        <v>59</v>
      </c>
      <c r="AC239" s="617" t="s">
        <v>59</v>
      </c>
      <c r="AD239" s="617"/>
      <c r="AE239" s="617"/>
      <c r="AF239" s="618" t="s">
        <v>59</v>
      </c>
    </row>
    <row r="240" spans="1:32" s="457" customFormat="1" ht="18" customHeight="1" x14ac:dyDescent="0.2">
      <c r="A240" s="2692"/>
      <c r="B240" s="390"/>
      <c r="C240" s="2692"/>
      <c r="D240" s="390"/>
      <c r="E240" s="389"/>
      <c r="F240" s="390"/>
      <c r="G240" s="390"/>
      <c r="H240" s="391"/>
      <c r="I240" s="389"/>
      <c r="J240" s="393"/>
      <c r="K240" s="393"/>
      <c r="L240" s="2681"/>
      <c r="M240" s="394"/>
      <c r="N240" s="394"/>
      <c r="O240" s="394" t="s">
        <v>63</v>
      </c>
      <c r="P240" s="394"/>
      <c r="Q240" s="450" t="s">
        <v>72</v>
      </c>
      <c r="R240" s="398" t="s">
        <v>59</v>
      </c>
      <c r="S240" s="398"/>
      <c r="T240" s="623" t="s">
        <v>73</v>
      </c>
      <c r="U240" s="624" t="s">
        <v>59</v>
      </c>
      <c r="V240" s="399" t="s">
        <v>59</v>
      </c>
      <c r="W240" s="400" t="s">
        <v>59</v>
      </c>
      <c r="X240" s="401" t="s">
        <v>59</v>
      </c>
      <c r="Y240" s="401" t="s">
        <v>59</v>
      </c>
      <c r="Z240" s="401" t="s">
        <v>59</v>
      </c>
      <c r="AA240" s="402"/>
      <c r="AB240" s="462"/>
      <c r="AC240" s="625"/>
      <c r="AD240" s="625"/>
      <c r="AE240" s="625"/>
      <c r="AF240" s="626"/>
    </row>
    <row r="241" spans="1:33" s="457" customFormat="1" ht="18" customHeight="1" x14ac:dyDescent="0.25">
      <c r="A241" s="82">
        <v>1</v>
      </c>
      <c r="B241" s="700">
        <v>2519</v>
      </c>
      <c r="C241" s="333">
        <v>402</v>
      </c>
      <c r="D241" s="333" t="s">
        <v>139</v>
      </c>
      <c r="E241" s="333">
        <v>2</v>
      </c>
      <c r="F241" s="333">
        <v>0</v>
      </c>
      <c r="G241" s="333">
        <v>1</v>
      </c>
      <c r="H241" s="627">
        <v>82</v>
      </c>
      <c r="I241" s="44">
        <f t="shared" ref="I241:I242" si="47">F241*400+G241*100+H241</f>
        <v>182</v>
      </c>
      <c r="J241" s="701">
        <v>1600</v>
      </c>
      <c r="K241" s="60">
        <f t="shared" ref="K241:K242" si="48">SUM(I241*J241)</f>
        <v>291200</v>
      </c>
      <c r="L241" s="254">
        <v>1</v>
      </c>
      <c r="M241" s="95">
        <v>100</v>
      </c>
      <c r="N241" s="1316" t="s">
        <v>74</v>
      </c>
      <c r="O241" s="95">
        <v>2</v>
      </c>
      <c r="P241" s="630">
        <v>27.98</v>
      </c>
      <c r="Q241" s="95">
        <v>100</v>
      </c>
      <c r="R241" s="631">
        <v>6750</v>
      </c>
      <c r="S241" s="30">
        <f t="shared" ref="S241" si="49">+P241*R241</f>
        <v>188865</v>
      </c>
      <c r="T241" s="1863">
        <v>25</v>
      </c>
      <c r="U241" s="1670">
        <f>+S241*0.4</f>
        <v>75546</v>
      </c>
      <c r="V241" s="639">
        <f>S241-U241</f>
        <v>113319</v>
      </c>
      <c r="W241" s="18">
        <f t="shared" ref="W241" si="50">K241+V241</f>
        <v>404519</v>
      </c>
      <c r="X241" s="47">
        <f t="shared" ref="X241" si="51">W241*Q241/100</f>
        <v>404519</v>
      </c>
      <c r="Y241" s="254" t="s">
        <v>87</v>
      </c>
      <c r="Z241" s="1436">
        <v>0</v>
      </c>
      <c r="AA241" s="333">
        <v>0.02</v>
      </c>
      <c r="AB241" s="465">
        <f>+Z241*AA241/100</f>
        <v>0</v>
      </c>
      <c r="AC241" s="625"/>
      <c r="AD241" s="625"/>
      <c r="AE241" s="625"/>
      <c r="AF241" s="626"/>
    </row>
    <row r="242" spans="1:33" s="457" customFormat="1" ht="18" customHeight="1" x14ac:dyDescent="0.25">
      <c r="A242" s="145">
        <v>2</v>
      </c>
      <c r="B242" s="913">
        <v>63034</v>
      </c>
      <c r="C242" s="287">
        <v>1834</v>
      </c>
      <c r="D242" s="287" t="s">
        <v>139</v>
      </c>
      <c r="E242" s="287">
        <v>4</v>
      </c>
      <c r="F242" s="287">
        <v>0</v>
      </c>
      <c r="G242" s="287">
        <v>1</v>
      </c>
      <c r="H242" s="785">
        <v>51</v>
      </c>
      <c r="I242" s="44">
        <f t="shared" si="47"/>
        <v>151</v>
      </c>
      <c r="J242" s="628">
        <v>1200</v>
      </c>
      <c r="K242" s="60">
        <f t="shared" si="48"/>
        <v>181200</v>
      </c>
      <c r="L242" s="255"/>
      <c r="M242" s="102"/>
      <c r="N242" s="287"/>
      <c r="O242" s="255"/>
      <c r="P242" s="287"/>
      <c r="Q242" s="334"/>
      <c r="R242" s="702"/>
      <c r="S242" s="320"/>
      <c r="T242" s="1077"/>
      <c r="U242" s="320"/>
      <c r="V242" s="320"/>
      <c r="W242" s="18">
        <f t="shared" ref="W242" si="52">K242+V242</f>
        <v>181200</v>
      </c>
      <c r="X242" s="47">
        <f>W242</f>
        <v>181200</v>
      </c>
      <c r="Y242" s="999"/>
      <c r="Z242" s="993">
        <f>X242</f>
        <v>181200</v>
      </c>
      <c r="AA242" s="703">
        <v>0.3</v>
      </c>
      <c r="AB242" s="416">
        <f>+Z242*AA242/100</f>
        <v>543.6</v>
      </c>
      <c r="AC242" s="602"/>
      <c r="AD242" s="603">
        <f>AB242-AC242</f>
        <v>543.6</v>
      </c>
      <c r="AE242" s="603">
        <f>IF(AD242&lt;=0,0,AD242*25/100)</f>
        <v>135.9</v>
      </c>
      <c r="AF242" s="603">
        <f>IF(AC242+AE242&gt;AB242,AB242,AC242+AE242)</f>
        <v>135.9</v>
      </c>
      <c r="AG242" s="604" t="s">
        <v>432</v>
      </c>
    </row>
    <row r="243" spans="1:33" s="457" customFormat="1" ht="18" customHeight="1" x14ac:dyDescent="0.2">
      <c r="A243" s="242"/>
      <c r="B243" s="242"/>
      <c r="C243" s="498"/>
      <c r="D243" s="88"/>
      <c r="E243" s="85"/>
      <c r="F243" s="411"/>
      <c r="G243" s="242"/>
      <c r="H243" s="497"/>
      <c r="I243" s="74"/>
      <c r="J243" s="280"/>
      <c r="K243" s="159"/>
      <c r="L243" s="88"/>
      <c r="M243" s="145"/>
      <c r="N243" s="145"/>
      <c r="O243" s="61"/>
      <c r="P243" s="145"/>
      <c r="Q243" s="174"/>
      <c r="R243" s="408"/>
      <c r="S243" s="77"/>
      <c r="T243" s="413"/>
      <c r="U243" s="74"/>
      <c r="V243" s="74"/>
      <c r="W243" s="77"/>
      <c r="X243" s="74"/>
      <c r="Y243" s="676"/>
      <c r="Z243" s="77"/>
      <c r="AA243" s="409"/>
      <c r="AB243" s="410"/>
      <c r="AC243" s="350"/>
      <c r="AD243" s="350"/>
      <c r="AE243" s="350"/>
      <c r="AF243" s="350"/>
    </row>
    <row r="244" spans="1:33" s="457" customFormat="1" ht="18" customHeight="1" x14ac:dyDescent="0.2">
      <c r="A244" s="145"/>
      <c r="B244" s="177"/>
      <c r="C244" s="177"/>
      <c r="D244" s="145"/>
      <c r="E244" s="145"/>
      <c r="F244" s="145"/>
      <c r="G244" s="145"/>
      <c r="H244" s="147"/>
      <c r="I244" s="107"/>
      <c r="J244" s="178"/>
      <c r="K244" s="107"/>
      <c r="L244" s="145"/>
      <c r="M244" s="145"/>
      <c r="N244" s="145"/>
      <c r="O244" s="145"/>
      <c r="P244" s="147"/>
      <c r="Q244" s="148"/>
      <c r="R244" s="437"/>
      <c r="S244" s="107"/>
      <c r="T244" s="437"/>
      <c r="U244" s="178"/>
      <c r="V244" s="107"/>
      <c r="W244" s="107"/>
      <c r="X244" s="470"/>
      <c r="Y244" s="470"/>
      <c r="Z244" s="471"/>
      <c r="AA244" s="471"/>
      <c r="AB244" s="466"/>
      <c r="AC244" s="350"/>
      <c r="AD244" s="350"/>
      <c r="AE244" s="350"/>
      <c r="AF244" s="350"/>
    </row>
    <row r="245" spans="1:33" s="457" customFormat="1" ht="18" customHeight="1" x14ac:dyDescent="0.2">
      <c r="A245" s="145"/>
      <c r="B245" s="177"/>
      <c r="C245" s="177"/>
      <c r="D245" s="145"/>
      <c r="E245" s="145"/>
      <c r="F245" s="145"/>
      <c r="G245" s="145"/>
      <c r="H245" s="147"/>
      <c r="I245" s="107"/>
      <c r="J245" s="178"/>
      <c r="K245" s="107"/>
      <c r="L245" s="145"/>
      <c r="M245" s="145"/>
      <c r="N245" s="145"/>
      <c r="O245" s="145"/>
      <c r="P245" s="147"/>
      <c r="Q245" s="148"/>
      <c r="R245" s="437"/>
      <c r="S245" s="107"/>
      <c r="T245" s="437"/>
      <c r="U245" s="178"/>
      <c r="V245" s="107"/>
      <c r="W245" s="107"/>
      <c r="X245" s="470"/>
      <c r="Y245" s="470"/>
      <c r="Z245" s="471"/>
      <c r="AA245" s="471"/>
      <c r="AB245" s="466"/>
      <c r="AC245" s="350"/>
      <c r="AD245" s="350"/>
      <c r="AE245" s="350"/>
      <c r="AF245" s="350"/>
    </row>
    <row r="246" spans="1:33" s="457" customFormat="1" ht="18" customHeight="1" x14ac:dyDescent="0.2">
      <c r="A246" s="145"/>
      <c r="B246" s="177"/>
      <c r="C246" s="177"/>
      <c r="D246" s="145"/>
      <c r="E246" s="145"/>
      <c r="F246" s="145"/>
      <c r="G246" s="145"/>
      <c r="H246" s="147"/>
      <c r="I246" s="107"/>
      <c r="J246" s="178"/>
      <c r="K246" s="107"/>
      <c r="L246" s="145"/>
      <c r="M246" s="145"/>
      <c r="N246" s="145"/>
      <c r="O246" s="145"/>
      <c r="P246" s="147"/>
      <c r="Q246" s="148"/>
      <c r="R246" s="437"/>
      <c r="S246" s="107"/>
      <c r="T246" s="437"/>
      <c r="U246" s="178"/>
      <c r="V246" s="107"/>
      <c r="W246" s="107"/>
      <c r="X246" s="470"/>
      <c r="Y246" s="470"/>
      <c r="Z246" s="471"/>
      <c r="AA246" s="471"/>
      <c r="AB246" s="466"/>
      <c r="AC246" s="350"/>
      <c r="AD246" s="350"/>
      <c r="AE246" s="350"/>
      <c r="AF246" s="350"/>
    </row>
    <row r="247" spans="1:33" s="457" customFormat="1" ht="18" customHeight="1" x14ac:dyDescent="0.2">
      <c r="A247" s="145"/>
      <c r="B247" s="177"/>
      <c r="C247" s="177"/>
      <c r="D247" s="145"/>
      <c r="E247" s="145"/>
      <c r="F247" s="145"/>
      <c r="G247" s="145"/>
      <c r="H247" s="147"/>
      <c r="I247" s="107"/>
      <c r="J247" s="178"/>
      <c r="K247" s="107"/>
      <c r="L247" s="145"/>
      <c r="M247" s="145"/>
      <c r="N247" s="145"/>
      <c r="O247" s="145"/>
      <c r="P247" s="147"/>
      <c r="Q247" s="148"/>
      <c r="R247" s="437"/>
      <c r="S247" s="107"/>
      <c r="T247" s="437"/>
      <c r="U247" s="178"/>
      <c r="V247" s="107"/>
      <c r="W247" s="107"/>
      <c r="X247" s="470"/>
      <c r="Y247" s="470"/>
      <c r="Z247" s="471"/>
      <c r="AA247" s="471"/>
      <c r="AB247" s="466"/>
      <c r="AC247" s="350"/>
      <c r="AD247" s="350"/>
      <c r="AE247" s="350"/>
      <c r="AF247" s="350"/>
    </row>
    <row r="248" spans="1:33" s="457" customFormat="1" ht="18" customHeight="1" x14ac:dyDescent="0.2">
      <c r="A248" s="145"/>
      <c r="B248" s="177"/>
      <c r="C248" s="177"/>
      <c r="D248" s="145"/>
      <c r="E248" s="145"/>
      <c r="F248" s="145"/>
      <c r="G248" s="145"/>
      <c r="H248" s="147"/>
      <c r="I248" s="107"/>
      <c r="J248" s="178"/>
      <c r="K248" s="107"/>
      <c r="L248" s="145"/>
      <c r="M248" s="145"/>
      <c r="N248" s="145"/>
      <c r="O248" s="145"/>
      <c r="P248" s="147"/>
      <c r="Q248" s="148"/>
      <c r="R248" s="437"/>
      <c r="S248" s="107"/>
      <c r="T248" s="437"/>
      <c r="U248" s="178"/>
      <c r="V248" s="107"/>
      <c r="W248" s="107"/>
      <c r="X248" s="470"/>
      <c r="Y248" s="470"/>
      <c r="Z248" s="471"/>
      <c r="AA248" s="471"/>
      <c r="AB248" s="466"/>
      <c r="AC248" s="350"/>
      <c r="AD248" s="350"/>
      <c r="AE248" s="350"/>
      <c r="AF248" s="350"/>
    </row>
    <row r="249" spans="1:33" s="457" customFormat="1" ht="18" customHeight="1" x14ac:dyDescent="0.2">
      <c r="A249" s="145"/>
      <c r="B249" s="177"/>
      <c r="C249" s="177"/>
      <c r="D249" s="145"/>
      <c r="E249" s="145"/>
      <c r="F249" s="145"/>
      <c r="G249" s="145"/>
      <c r="H249" s="147"/>
      <c r="I249" s="107"/>
      <c r="J249" s="178"/>
      <c r="K249" s="107"/>
      <c r="L249" s="145"/>
      <c r="M249" s="145"/>
      <c r="N249" s="145"/>
      <c r="O249" s="145"/>
      <c r="P249" s="147"/>
      <c r="Q249" s="148"/>
      <c r="R249" s="437"/>
      <c r="S249" s="107"/>
      <c r="T249" s="437"/>
      <c r="U249" s="178"/>
      <c r="V249" s="107"/>
      <c r="W249" s="107"/>
      <c r="X249" s="470"/>
      <c r="Y249" s="470"/>
      <c r="Z249" s="471"/>
      <c r="AA249" s="471"/>
      <c r="AB249" s="466"/>
      <c r="AC249" s="350"/>
      <c r="AD249" s="350"/>
      <c r="AE249" s="350"/>
      <c r="AF249" s="350"/>
    </row>
    <row r="250" spans="1:33" s="457" customFormat="1" ht="18" customHeight="1" x14ac:dyDescent="0.2">
      <c r="A250" s="145"/>
      <c r="B250" s="177"/>
      <c r="C250" s="177"/>
      <c r="D250" s="145"/>
      <c r="E250" s="145"/>
      <c r="F250" s="145"/>
      <c r="G250" s="145"/>
      <c r="H250" s="147"/>
      <c r="I250" s="107"/>
      <c r="J250" s="178"/>
      <c r="K250" s="107"/>
      <c r="L250" s="145"/>
      <c r="M250" s="145"/>
      <c r="N250" s="145"/>
      <c r="O250" s="145"/>
      <c r="P250" s="147"/>
      <c r="Q250" s="148"/>
      <c r="R250" s="437"/>
      <c r="S250" s="107"/>
      <c r="T250" s="437"/>
      <c r="U250" s="178"/>
      <c r="V250" s="107"/>
      <c r="W250" s="107"/>
      <c r="X250" s="470"/>
      <c r="Y250" s="470"/>
      <c r="Z250" s="471"/>
      <c r="AA250" s="471"/>
      <c r="AB250" s="466"/>
      <c r="AC250" s="350"/>
      <c r="AD250" s="350"/>
      <c r="AE250" s="350"/>
      <c r="AF250" s="350"/>
    </row>
    <row r="251" spans="1:33" s="457" customFormat="1" ht="18" customHeight="1" x14ac:dyDescent="0.2">
      <c r="A251" s="145"/>
      <c r="B251" s="177"/>
      <c r="C251" s="177"/>
      <c r="D251" s="145"/>
      <c r="E251" s="145"/>
      <c r="F251" s="145"/>
      <c r="G251" s="145"/>
      <c r="H251" s="147"/>
      <c r="I251" s="107"/>
      <c r="J251" s="178"/>
      <c r="K251" s="107"/>
      <c r="L251" s="145"/>
      <c r="M251" s="145"/>
      <c r="N251" s="145"/>
      <c r="O251" s="145"/>
      <c r="P251" s="147"/>
      <c r="Q251" s="148"/>
      <c r="R251" s="437"/>
      <c r="S251" s="107"/>
      <c r="T251" s="437"/>
      <c r="U251" s="178"/>
      <c r="V251" s="107"/>
      <c r="W251" s="107"/>
      <c r="X251" s="470"/>
      <c r="Y251" s="470"/>
      <c r="Z251" s="471"/>
      <c r="AA251" s="471"/>
      <c r="AB251" s="466"/>
      <c r="AC251" s="350"/>
      <c r="AD251" s="350"/>
      <c r="AE251" s="350"/>
      <c r="AF251" s="350"/>
    </row>
    <row r="252" spans="1:33" s="457" customFormat="1" ht="18" customHeight="1" x14ac:dyDescent="0.2">
      <c r="A252" s="145"/>
      <c r="B252" s="177"/>
      <c r="C252" s="177"/>
      <c r="D252" s="145"/>
      <c r="E252" s="145"/>
      <c r="F252" s="145"/>
      <c r="G252" s="145"/>
      <c r="H252" s="147"/>
      <c r="I252" s="107"/>
      <c r="J252" s="178"/>
      <c r="K252" s="107"/>
      <c r="L252" s="145"/>
      <c r="M252" s="145"/>
      <c r="N252" s="145"/>
      <c r="O252" s="145"/>
      <c r="P252" s="147"/>
      <c r="Q252" s="148"/>
      <c r="R252" s="437"/>
      <c r="S252" s="107"/>
      <c r="T252" s="437"/>
      <c r="U252" s="178"/>
      <c r="V252" s="107"/>
      <c r="W252" s="107"/>
      <c r="X252" s="470"/>
      <c r="Y252" s="470"/>
      <c r="Z252" s="471"/>
      <c r="AA252" s="471"/>
      <c r="AB252" s="466"/>
      <c r="AC252" s="350"/>
      <c r="AD252" s="350"/>
      <c r="AE252" s="350"/>
      <c r="AF252" s="350"/>
    </row>
    <row r="253" spans="1:33" s="457" customFormat="1" ht="18" customHeight="1" x14ac:dyDescent="0.2">
      <c r="A253" s="145"/>
      <c r="B253" s="177"/>
      <c r="C253" s="177"/>
      <c r="D253" s="145"/>
      <c r="E253" s="145"/>
      <c r="F253" s="145"/>
      <c r="G253" s="145"/>
      <c r="H253" s="147"/>
      <c r="I253" s="107"/>
      <c r="J253" s="178"/>
      <c r="K253" s="107"/>
      <c r="L253" s="145"/>
      <c r="M253" s="145"/>
      <c r="N253" s="145"/>
      <c r="O253" s="145"/>
      <c r="P253" s="147"/>
      <c r="Q253" s="148"/>
      <c r="R253" s="437"/>
      <c r="S253" s="107"/>
      <c r="T253" s="437"/>
      <c r="U253" s="178"/>
      <c r="V253" s="107"/>
      <c r="W253" s="107"/>
      <c r="X253" s="470"/>
      <c r="Y253" s="470"/>
      <c r="Z253" s="471"/>
      <c r="AA253" s="471"/>
      <c r="AB253" s="466"/>
      <c r="AC253" s="350"/>
      <c r="AD253" s="350"/>
      <c r="AE253" s="350"/>
      <c r="AF253" s="350"/>
    </row>
    <row r="254" spans="1:33" s="457" customFormat="1" ht="18" customHeight="1" x14ac:dyDescent="0.2">
      <c r="A254" s="145"/>
      <c r="B254" s="177"/>
      <c r="C254" s="177"/>
      <c r="D254" s="145"/>
      <c r="E254" s="145"/>
      <c r="F254" s="145"/>
      <c r="G254" s="145"/>
      <c r="H254" s="147"/>
      <c r="I254" s="107"/>
      <c r="J254" s="178"/>
      <c r="K254" s="107"/>
      <c r="L254" s="145"/>
      <c r="M254" s="145"/>
      <c r="N254" s="145"/>
      <c r="O254" s="145"/>
      <c r="P254" s="147"/>
      <c r="Q254" s="148"/>
      <c r="R254" s="437"/>
      <c r="S254" s="107"/>
      <c r="T254" s="437"/>
      <c r="U254" s="178"/>
      <c r="V254" s="107"/>
      <c r="W254" s="107"/>
      <c r="X254" s="470"/>
      <c r="Y254" s="470"/>
      <c r="Z254" s="471"/>
      <c r="AA254" s="471"/>
      <c r="AB254" s="466"/>
      <c r="AC254" s="350"/>
      <c r="AD254" s="350"/>
      <c r="AE254" s="350"/>
      <c r="AF254" s="350"/>
    </row>
    <row r="255" spans="1:33" s="457" customFormat="1" ht="18" customHeight="1" x14ac:dyDescent="0.2">
      <c r="A255" s="145"/>
      <c r="B255" s="177"/>
      <c r="C255" s="177"/>
      <c r="D255" s="145"/>
      <c r="E255" s="145"/>
      <c r="F255" s="145"/>
      <c r="G255" s="145"/>
      <c r="H255" s="147"/>
      <c r="I255" s="107"/>
      <c r="J255" s="178"/>
      <c r="K255" s="107"/>
      <c r="L255" s="145"/>
      <c r="M255" s="145"/>
      <c r="N255" s="145"/>
      <c r="O255" s="145"/>
      <c r="P255" s="147"/>
      <c r="Q255" s="148"/>
      <c r="R255" s="437"/>
      <c r="S255" s="107"/>
      <c r="T255" s="437"/>
      <c r="U255" s="178"/>
      <c r="V255" s="107"/>
      <c r="W255" s="107"/>
      <c r="X255" s="470"/>
      <c r="Y255" s="470"/>
      <c r="Z255" s="471"/>
      <c r="AA255" s="471"/>
      <c r="AB255" s="466"/>
      <c r="AC255" s="350"/>
      <c r="AD255" s="350"/>
      <c r="AE255" s="350"/>
      <c r="AF255" s="350"/>
    </row>
    <row r="256" spans="1:33" s="457" customFormat="1" ht="18" customHeight="1" x14ac:dyDescent="0.2">
      <c r="A256" s="145"/>
      <c r="B256" s="177"/>
      <c r="C256" s="177"/>
      <c r="D256" s="145"/>
      <c r="E256" s="145"/>
      <c r="F256" s="145"/>
      <c r="G256" s="145"/>
      <c r="H256" s="147"/>
      <c r="I256" s="107"/>
      <c r="J256" s="178"/>
      <c r="K256" s="107"/>
      <c r="L256" s="145"/>
      <c r="M256" s="145"/>
      <c r="N256" s="145"/>
      <c r="O256" s="145"/>
      <c r="P256" s="147"/>
      <c r="Q256" s="148"/>
      <c r="R256" s="437"/>
      <c r="S256" s="107"/>
      <c r="T256" s="437"/>
      <c r="U256" s="178"/>
      <c r="V256" s="107"/>
      <c r="W256" s="107"/>
      <c r="X256" s="470"/>
      <c r="Y256" s="470"/>
      <c r="Z256" s="471"/>
      <c r="AA256" s="471"/>
      <c r="AB256" s="466"/>
      <c r="AC256" s="350"/>
      <c r="AD256" s="350"/>
      <c r="AE256" s="350"/>
      <c r="AF256" s="350"/>
    </row>
    <row r="257" spans="1:32" s="457" customFormat="1" ht="18" customHeight="1" x14ac:dyDescent="0.2">
      <c r="A257" s="145"/>
      <c r="B257" s="177"/>
      <c r="C257" s="177"/>
      <c r="D257" s="145"/>
      <c r="E257" s="145"/>
      <c r="F257" s="145"/>
      <c r="G257" s="145"/>
      <c r="H257" s="147"/>
      <c r="I257" s="107"/>
      <c r="J257" s="178"/>
      <c r="K257" s="107"/>
      <c r="L257" s="145"/>
      <c r="M257" s="145"/>
      <c r="N257" s="145"/>
      <c r="O257" s="145"/>
      <c r="P257" s="147"/>
      <c r="Q257" s="148"/>
      <c r="R257" s="437"/>
      <c r="S257" s="107"/>
      <c r="T257" s="437"/>
      <c r="U257" s="178"/>
      <c r="V257" s="107"/>
      <c r="W257" s="107"/>
      <c r="X257" s="470"/>
      <c r="Y257" s="470"/>
      <c r="Z257" s="471"/>
      <c r="AA257" s="471"/>
      <c r="AB257" s="466"/>
      <c r="AC257" s="350"/>
      <c r="AD257" s="350"/>
      <c r="AE257" s="350"/>
      <c r="AF257" s="350"/>
    </row>
    <row r="258" spans="1:32" s="457" customFormat="1" ht="18" customHeight="1" x14ac:dyDescent="0.2">
      <c r="A258" s="145"/>
      <c r="B258" s="177"/>
      <c r="C258" s="177"/>
      <c r="D258" s="145"/>
      <c r="E258" s="145"/>
      <c r="F258" s="145"/>
      <c r="G258" s="145"/>
      <c r="H258" s="147"/>
      <c r="I258" s="107"/>
      <c r="J258" s="178"/>
      <c r="K258" s="107"/>
      <c r="L258" s="145"/>
      <c r="M258" s="145"/>
      <c r="N258" s="145"/>
      <c r="O258" s="145"/>
      <c r="P258" s="147"/>
      <c r="Q258" s="148"/>
      <c r="R258" s="437"/>
      <c r="S258" s="107"/>
      <c r="T258" s="437"/>
      <c r="U258" s="178"/>
      <c r="V258" s="107"/>
      <c r="W258" s="107"/>
      <c r="X258" s="470"/>
      <c r="Y258" s="470"/>
      <c r="Z258" s="471"/>
      <c r="AA258" s="471"/>
      <c r="AB258" s="466"/>
      <c r="AC258" s="350"/>
      <c r="AD258" s="350"/>
      <c r="AE258" s="350"/>
      <c r="AF258" s="350"/>
    </row>
    <row r="259" spans="1:32" s="597" customFormat="1" ht="18" customHeight="1" x14ac:dyDescent="0.2">
      <c r="A259" s="1850"/>
      <c r="B259" s="1850"/>
      <c r="C259" s="1850"/>
      <c r="D259" s="1850"/>
      <c r="E259" s="1850"/>
      <c r="F259" s="1850"/>
      <c r="G259" s="1850"/>
      <c r="H259" s="1851"/>
      <c r="I259" s="1852"/>
      <c r="J259" s="1853"/>
      <c r="K259" s="1852"/>
      <c r="L259" s="1852"/>
      <c r="M259" s="1852"/>
      <c r="N259" s="1852"/>
      <c r="O259" s="1852"/>
      <c r="P259" s="1852"/>
      <c r="Q259" s="1852"/>
      <c r="R259" s="1854"/>
      <c r="S259" s="1852"/>
      <c r="T259" s="1854"/>
      <c r="U259" s="1853"/>
      <c r="V259" s="1852"/>
      <c r="W259" s="1852"/>
      <c r="X259" s="1856"/>
      <c r="Y259" s="1856"/>
      <c r="Z259" s="1857"/>
      <c r="AA259" s="1857"/>
      <c r="AB259" s="1847">
        <f>SUM(AB242:AB258)</f>
        <v>543.6</v>
      </c>
      <c r="AC259" s="1861"/>
      <c r="AD259" s="1861"/>
      <c r="AE259" s="1861"/>
      <c r="AF259" s="1861"/>
    </row>
    <row r="260" spans="1:32" s="457" customFormat="1" ht="18" customHeight="1" x14ac:dyDescent="0.2">
      <c r="A260" s="2737" t="s">
        <v>76</v>
      </c>
      <c r="B260" s="2737"/>
      <c r="C260" s="2738" t="s">
        <v>77</v>
      </c>
      <c r="D260" s="2738"/>
      <c r="E260" s="2738"/>
      <c r="F260" s="2738"/>
      <c r="G260" s="2738"/>
      <c r="H260" s="2738"/>
      <c r="I260" s="457" t="s">
        <v>78</v>
      </c>
      <c r="T260" s="651"/>
      <c r="U260" s="478"/>
      <c r="AB260" s="478"/>
    </row>
    <row r="261" spans="1:32" s="457" customFormat="1" ht="18" customHeight="1" x14ac:dyDescent="0.2">
      <c r="A261" s="448"/>
      <c r="B261" s="479"/>
      <c r="I261" s="457" t="s">
        <v>79</v>
      </c>
      <c r="T261" s="651"/>
      <c r="U261" s="478"/>
      <c r="AB261" s="478"/>
    </row>
    <row r="262" spans="1:32" s="457" customFormat="1" ht="18" customHeight="1" x14ac:dyDescent="0.2">
      <c r="A262" s="448"/>
      <c r="B262" s="479"/>
      <c r="I262" s="457" t="s">
        <v>80</v>
      </c>
      <c r="T262" s="651"/>
      <c r="U262" s="478"/>
      <c r="AB262" s="478"/>
    </row>
    <row r="263" spans="1:32" s="457" customFormat="1" ht="18" customHeight="1" x14ac:dyDescent="0.2">
      <c r="A263" s="448"/>
      <c r="B263" s="479"/>
      <c r="I263" s="457" t="s">
        <v>81</v>
      </c>
      <c r="T263" s="651"/>
      <c r="U263" s="478"/>
      <c r="AB263" s="478"/>
    </row>
    <row r="264" spans="1:32" s="457" customFormat="1" ht="18" customHeight="1" x14ac:dyDescent="0.2">
      <c r="A264" s="448"/>
      <c r="B264" s="479"/>
      <c r="I264" s="457" t="s">
        <v>88</v>
      </c>
      <c r="T264" s="651"/>
      <c r="U264" s="478"/>
      <c r="AB264" s="478"/>
    </row>
    <row r="265" spans="1:32" s="457" customFormat="1" ht="18" customHeight="1" x14ac:dyDescent="0.2">
      <c r="A265" s="456"/>
      <c r="B265" s="455"/>
      <c r="C265" s="455"/>
      <c r="D265" s="455"/>
      <c r="E265" s="455"/>
      <c r="F265" s="455"/>
      <c r="G265" s="455"/>
      <c r="H265" s="455"/>
      <c r="I265" s="455"/>
      <c r="J265" s="455"/>
      <c r="K265" s="455"/>
      <c r="L265" s="455"/>
      <c r="M265" s="455"/>
      <c r="N265" s="455"/>
      <c r="O265" s="455"/>
      <c r="P265" s="455"/>
      <c r="Q265" s="455"/>
      <c r="R265" s="455"/>
      <c r="S265" s="455"/>
      <c r="T265" s="608"/>
      <c r="U265" s="609"/>
      <c r="V265" s="455"/>
      <c r="W265" s="455"/>
      <c r="X265" s="455"/>
      <c r="Y265" s="455"/>
      <c r="Z265" s="455"/>
      <c r="AA265" s="2705" t="s">
        <v>0</v>
      </c>
      <c r="AB265" s="2705"/>
      <c r="AC265" s="455"/>
      <c r="AD265" s="455"/>
      <c r="AE265" s="455"/>
      <c r="AF265" s="455"/>
    </row>
    <row r="266" spans="1:32" s="457" customFormat="1" ht="18" customHeight="1" x14ac:dyDescent="0.2">
      <c r="A266" s="2706" t="s">
        <v>1</v>
      </c>
      <c r="B266" s="2706"/>
      <c r="C266" s="2706"/>
      <c r="D266" s="2706"/>
      <c r="E266" s="2706"/>
      <c r="F266" s="2706"/>
      <c r="G266" s="2706"/>
      <c r="H266" s="2706"/>
      <c r="I266" s="2706"/>
      <c r="J266" s="2706"/>
      <c r="K266" s="2706"/>
      <c r="L266" s="2706"/>
      <c r="M266" s="2706"/>
      <c r="N266" s="2706"/>
      <c r="O266" s="2706"/>
      <c r="P266" s="2706"/>
      <c r="Q266" s="2706"/>
      <c r="R266" s="2706"/>
      <c r="S266" s="2706"/>
      <c r="T266" s="2706"/>
      <c r="U266" s="2706"/>
      <c r="V266" s="2706"/>
      <c r="W266" s="2706"/>
      <c r="X266" s="2706"/>
      <c r="Y266" s="2706"/>
      <c r="Z266" s="2706"/>
      <c r="AA266" s="2706"/>
      <c r="AB266" s="2706"/>
      <c r="AC266" s="610"/>
      <c r="AD266" s="610"/>
      <c r="AE266" s="610"/>
      <c r="AF266" s="610"/>
    </row>
    <row r="267" spans="1:32" s="457" customFormat="1" ht="18" customHeight="1" x14ac:dyDescent="0.2">
      <c r="A267" s="2704" t="s">
        <v>433</v>
      </c>
      <c r="B267" s="2704"/>
      <c r="C267" s="2704"/>
      <c r="D267" s="2704"/>
      <c r="E267" s="2704"/>
      <c r="F267" s="2704"/>
      <c r="G267" s="2704"/>
      <c r="H267" s="2704"/>
      <c r="I267" s="2704"/>
      <c r="J267" s="2704"/>
      <c r="K267" s="2704"/>
      <c r="L267" s="2704"/>
      <c r="M267" s="2704"/>
      <c r="N267" s="2704"/>
      <c r="O267" s="2704"/>
      <c r="P267" s="2704"/>
      <c r="Q267" s="2704"/>
      <c r="R267" s="2704"/>
      <c r="S267" s="2704"/>
      <c r="T267" s="2704"/>
      <c r="U267" s="2704"/>
      <c r="V267" s="2704"/>
      <c r="W267" s="2704"/>
      <c r="X267" s="2704"/>
      <c r="Y267" s="2704"/>
      <c r="Z267" s="2704"/>
      <c r="AA267" s="2704"/>
      <c r="AB267" s="2704"/>
      <c r="AC267" s="611"/>
      <c r="AD267" s="611"/>
      <c r="AE267" s="611"/>
      <c r="AF267" s="611"/>
    </row>
    <row r="268" spans="1:32" s="457" customFormat="1" ht="18" customHeight="1" x14ac:dyDescent="0.2">
      <c r="A268" s="2686" t="s">
        <v>2</v>
      </c>
      <c r="B268" s="360"/>
      <c r="C268" s="2686" t="s">
        <v>3</v>
      </c>
      <c r="D268" s="360"/>
      <c r="E268" s="360"/>
      <c r="F268" s="2693" t="s">
        <v>4</v>
      </c>
      <c r="G268" s="2693"/>
      <c r="H268" s="2693"/>
      <c r="I268" s="2694"/>
      <c r="J268" s="2694"/>
      <c r="K268" s="2695"/>
      <c r="L268" s="361"/>
      <c r="M268" s="2679" t="s">
        <v>5</v>
      </c>
      <c r="N268" s="2679"/>
      <c r="O268" s="2679"/>
      <c r="P268" s="2679"/>
      <c r="Q268" s="2696"/>
      <c r="R268" s="2696"/>
      <c r="S268" s="2696"/>
      <c r="T268" s="2696"/>
      <c r="U268" s="2696"/>
      <c r="V268" s="2697"/>
      <c r="W268" s="362" t="s">
        <v>6</v>
      </c>
      <c r="X268" s="363" t="s">
        <v>7</v>
      </c>
      <c r="Y268" s="364"/>
      <c r="Z268" s="364"/>
      <c r="AA268" s="363"/>
      <c r="AB268" s="458"/>
      <c r="AC268" s="612" t="s">
        <v>8</v>
      </c>
      <c r="AD268" s="613"/>
      <c r="AE268" s="613"/>
      <c r="AF268" s="614"/>
    </row>
    <row r="269" spans="1:32" s="457" customFormat="1" ht="18" customHeight="1" x14ac:dyDescent="0.2">
      <c r="A269" s="2687"/>
      <c r="B269" s="367"/>
      <c r="C269" s="2687"/>
      <c r="D269" s="366" t="s">
        <v>9</v>
      </c>
      <c r="E269" s="366" t="s">
        <v>10</v>
      </c>
      <c r="F269" s="2698" t="s">
        <v>11</v>
      </c>
      <c r="G269" s="2694"/>
      <c r="H269" s="2695"/>
      <c r="I269" s="360"/>
      <c r="J269" s="449" t="s">
        <v>12</v>
      </c>
      <c r="K269" s="360"/>
      <c r="L269" s="2679" t="s">
        <v>2</v>
      </c>
      <c r="M269" s="370"/>
      <c r="N269" s="370"/>
      <c r="O269" s="370"/>
      <c r="P269" s="371"/>
      <c r="Q269" s="459" t="s">
        <v>13</v>
      </c>
      <c r="R269" s="370" t="s">
        <v>12</v>
      </c>
      <c r="S269" s="370" t="s">
        <v>6</v>
      </c>
      <c r="T269" s="2682" t="s">
        <v>14</v>
      </c>
      <c r="U269" s="2683"/>
      <c r="V269" s="375" t="s">
        <v>7</v>
      </c>
      <c r="W269" s="376" t="s">
        <v>15</v>
      </c>
      <c r="X269" s="377" t="s">
        <v>16</v>
      </c>
      <c r="Y269" s="377" t="s">
        <v>17</v>
      </c>
      <c r="Z269" s="377" t="s">
        <v>18</v>
      </c>
      <c r="AA269" s="377"/>
      <c r="AB269" s="460" t="s">
        <v>19</v>
      </c>
      <c r="AC269" s="615" t="s">
        <v>20</v>
      </c>
      <c r="AD269" s="616"/>
      <c r="AE269" s="617" t="s">
        <v>21</v>
      </c>
      <c r="AF269" s="618" t="s">
        <v>22</v>
      </c>
    </row>
    <row r="270" spans="1:32" s="457" customFormat="1" ht="18" customHeight="1" x14ac:dyDescent="0.2">
      <c r="A270" s="2687"/>
      <c r="B270" s="366" t="s">
        <v>23</v>
      </c>
      <c r="C270" s="2687"/>
      <c r="D270" s="366" t="s">
        <v>24</v>
      </c>
      <c r="E270" s="366" t="s">
        <v>25</v>
      </c>
      <c r="F270" s="2699"/>
      <c r="G270" s="2700"/>
      <c r="H270" s="2701"/>
      <c r="I270" s="366" t="s">
        <v>26</v>
      </c>
      <c r="J270" s="380" t="s">
        <v>15</v>
      </c>
      <c r="K270" s="380" t="s">
        <v>6</v>
      </c>
      <c r="L270" s="2680"/>
      <c r="M270" s="381" t="s">
        <v>27</v>
      </c>
      <c r="N270" s="381" t="s">
        <v>10</v>
      </c>
      <c r="O270" s="381" t="s">
        <v>10</v>
      </c>
      <c r="P270" s="385" t="s">
        <v>28</v>
      </c>
      <c r="Q270" s="461" t="s">
        <v>29</v>
      </c>
      <c r="R270" s="385" t="s">
        <v>15</v>
      </c>
      <c r="S270" s="385" t="s">
        <v>15</v>
      </c>
      <c r="T270" s="2684"/>
      <c r="U270" s="2685"/>
      <c r="V270" s="375" t="s">
        <v>30</v>
      </c>
      <c r="W270" s="376" t="s">
        <v>31</v>
      </c>
      <c r="X270" s="377" t="s">
        <v>30</v>
      </c>
      <c r="Y270" s="377" t="s">
        <v>32</v>
      </c>
      <c r="Z270" s="377" t="s">
        <v>7</v>
      </c>
      <c r="AA270" s="377" t="s">
        <v>33</v>
      </c>
      <c r="AB270" s="460" t="s">
        <v>34</v>
      </c>
      <c r="AC270" s="615" t="s">
        <v>35</v>
      </c>
      <c r="AD270" s="617" t="s">
        <v>36</v>
      </c>
      <c r="AE270" s="617" t="s">
        <v>37</v>
      </c>
      <c r="AF270" s="618" t="s">
        <v>38</v>
      </c>
    </row>
    <row r="271" spans="1:32" s="457" customFormat="1" ht="18" customHeight="1" x14ac:dyDescent="0.2">
      <c r="A271" s="2687"/>
      <c r="B271" s="366" t="s">
        <v>39</v>
      </c>
      <c r="C271" s="2687"/>
      <c r="D271" s="366" t="s">
        <v>40</v>
      </c>
      <c r="E271" s="366" t="s">
        <v>41</v>
      </c>
      <c r="F271" s="2686" t="s">
        <v>42</v>
      </c>
      <c r="G271" s="2686" t="s">
        <v>43</v>
      </c>
      <c r="H271" s="2688" t="s">
        <v>44</v>
      </c>
      <c r="I271" s="366" t="s">
        <v>45</v>
      </c>
      <c r="J271" s="380" t="s">
        <v>46</v>
      </c>
      <c r="K271" s="380" t="s">
        <v>47</v>
      </c>
      <c r="L271" s="2680"/>
      <c r="M271" s="381" t="s">
        <v>30</v>
      </c>
      <c r="N271" s="381" t="s">
        <v>30</v>
      </c>
      <c r="O271" s="381" t="s">
        <v>25</v>
      </c>
      <c r="P271" s="385" t="s">
        <v>30</v>
      </c>
      <c r="Q271" s="461" t="s">
        <v>48</v>
      </c>
      <c r="R271" s="385" t="s">
        <v>49</v>
      </c>
      <c r="S271" s="385" t="s">
        <v>30</v>
      </c>
      <c r="T271" s="619" t="s">
        <v>50</v>
      </c>
      <c r="U271" s="620" t="s">
        <v>13</v>
      </c>
      <c r="V271" s="375" t="s">
        <v>51</v>
      </c>
      <c r="W271" s="376" t="s">
        <v>52</v>
      </c>
      <c r="X271" s="377" t="s">
        <v>53</v>
      </c>
      <c r="Y271" s="377" t="s">
        <v>54</v>
      </c>
      <c r="Z271" s="377" t="s">
        <v>55</v>
      </c>
      <c r="AA271" s="377" t="s">
        <v>56</v>
      </c>
      <c r="AB271" s="460" t="s">
        <v>57</v>
      </c>
      <c r="AC271" s="617" t="s">
        <v>58</v>
      </c>
      <c r="AD271" s="617" t="s">
        <v>59</v>
      </c>
      <c r="AE271" s="617" t="s">
        <v>59</v>
      </c>
      <c r="AF271" s="618" t="s">
        <v>60</v>
      </c>
    </row>
    <row r="272" spans="1:32" s="457" customFormat="1" ht="18" customHeight="1" x14ac:dyDescent="0.2">
      <c r="A272" s="2687"/>
      <c r="B272" s="366" t="s">
        <v>61</v>
      </c>
      <c r="C272" s="2687"/>
      <c r="D272" s="366" t="s">
        <v>62</v>
      </c>
      <c r="E272" s="366" t="s">
        <v>63</v>
      </c>
      <c r="F272" s="2687"/>
      <c r="G272" s="2687"/>
      <c r="H272" s="2689"/>
      <c r="I272" s="366" t="s">
        <v>64</v>
      </c>
      <c r="J272" s="380" t="s">
        <v>59</v>
      </c>
      <c r="K272" s="380" t="s">
        <v>59</v>
      </c>
      <c r="L272" s="2680"/>
      <c r="M272" s="381"/>
      <c r="N272" s="381"/>
      <c r="O272" s="381" t="s">
        <v>41</v>
      </c>
      <c r="P272" s="385" t="s">
        <v>65</v>
      </c>
      <c r="Q272" s="461" t="s">
        <v>66</v>
      </c>
      <c r="R272" s="385" t="s">
        <v>67</v>
      </c>
      <c r="S272" s="385" t="s">
        <v>59</v>
      </c>
      <c r="T272" s="621" t="s">
        <v>68</v>
      </c>
      <c r="U272" s="622" t="s">
        <v>14</v>
      </c>
      <c r="V272" s="375" t="s">
        <v>14</v>
      </c>
      <c r="W272" s="376" t="s">
        <v>30</v>
      </c>
      <c r="X272" s="388" t="s">
        <v>69</v>
      </c>
      <c r="Y272" s="388" t="s">
        <v>70</v>
      </c>
      <c r="Z272" s="377" t="s">
        <v>71</v>
      </c>
      <c r="AA272" s="377" t="s">
        <v>72</v>
      </c>
      <c r="AB272" s="460" t="s">
        <v>59</v>
      </c>
      <c r="AC272" s="617" t="s">
        <v>59</v>
      </c>
      <c r="AD272" s="617"/>
      <c r="AE272" s="617"/>
      <c r="AF272" s="618" t="s">
        <v>59</v>
      </c>
    </row>
    <row r="273" spans="1:32" s="457" customFormat="1" ht="18" customHeight="1" x14ac:dyDescent="0.2">
      <c r="A273" s="2692"/>
      <c r="B273" s="390"/>
      <c r="C273" s="2692"/>
      <c r="D273" s="390"/>
      <c r="E273" s="389"/>
      <c r="F273" s="390"/>
      <c r="G273" s="390"/>
      <c r="H273" s="391"/>
      <c r="I273" s="389"/>
      <c r="J273" s="393"/>
      <c r="K273" s="393"/>
      <c r="L273" s="2681"/>
      <c r="M273" s="394"/>
      <c r="N273" s="394"/>
      <c r="O273" s="394" t="s">
        <v>63</v>
      </c>
      <c r="P273" s="394"/>
      <c r="Q273" s="450" t="s">
        <v>72</v>
      </c>
      <c r="R273" s="398" t="s">
        <v>59</v>
      </c>
      <c r="S273" s="398"/>
      <c r="T273" s="623" t="s">
        <v>73</v>
      </c>
      <c r="U273" s="624" t="s">
        <v>59</v>
      </c>
      <c r="V273" s="399" t="s">
        <v>59</v>
      </c>
      <c r="W273" s="400" t="s">
        <v>59</v>
      </c>
      <c r="X273" s="401" t="s">
        <v>59</v>
      </c>
      <c r="Y273" s="401" t="s">
        <v>59</v>
      </c>
      <c r="Z273" s="401" t="s">
        <v>59</v>
      </c>
      <c r="AA273" s="402"/>
      <c r="AB273" s="462"/>
      <c r="AC273" s="625"/>
      <c r="AD273" s="625"/>
      <c r="AE273" s="625"/>
      <c r="AF273" s="626"/>
    </row>
    <row r="274" spans="1:32" s="457" customFormat="1" ht="18" customHeight="1" x14ac:dyDescent="0.25">
      <c r="A274" s="1304">
        <v>1</v>
      </c>
      <c r="B274" s="333">
        <v>29315</v>
      </c>
      <c r="C274" s="333">
        <v>800</v>
      </c>
      <c r="D274" s="333" t="s">
        <v>139</v>
      </c>
      <c r="E274" s="333">
        <v>2</v>
      </c>
      <c r="F274" s="333">
        <v>0</v>
      </c>
      <c r="G274" s="333">
        <v>1</v>
      </c>
      <c r="H274" s="627">
        <v>0</v>
      </c>
      <c r="I274" s="44">
        <f t="shared" ref="I274" si="53">F274*400+G274*100+H274</f>
        <v>100</v>
      </c>
      <c r="J274" s="331">
        <v>1600</v>
      </c>
      <c r="K274" s="60">
        <f t="shared" ref="K274" si="54">SUM(I274*J274)</f>
        <v>160000</v>
      </c>
      <c r="L274" s="269" t="s">
        <v>286</v>
      </c>
      <c r="M274" s="95">
        <v>103</v>
      </c>
      <c r="N274" s="1316" t="s">
        <v>74</v>
      </c>
      <c r="O274" s="95">
        <v>2</v>
      </c>
      <c r="P274" s="153">
        <v>134.44999999999999</v>
      </c>
      <c r="Q274" s="95">
        <v>100</v>
      </c>
      <c r="R274" s="631">
        <v>9050</v>
      </c>
      <c r="S274" s="30">
        <f t="shared" ref="S274" si="55">+P274*R274</f>
        <v>1216772.5</v>
      </c>
      <c r="T274" s="1876">
        <v>6</v>
      </c>
      <c r="U274" s="1670">
        <f>+S274*0.06</f>
        <v>73006.349999999991</v>
      </c>
      <c r="V274" s="639">
        <f>S274-U274</f>
        <v>1143766.1499999999</v>
      </c>
      <c r="W274" s="18">
        <f t="shared" ref="W274" si="56">K274+V274</f>
        <v>1303766.1499999999</v>
      </c>
      <c r="X274" s="47">
        <f t="shared" ref="X274" si="57">W274*Q274/100</f>
        <v>1303766.1499999999</v>
      </c>
      <c r="Y274" s="712"/>
      <c r="Z274" s="993">
        <f>X274</f>
        <v>1303766.1499999999</v>
      </c>
      <c r="AA274" s="712">
        <v>0.02</v>
      </c>
      <c r="AB274" s="465">
        <f>+Z274*AA274/100</f>
        <v>260.75323000000003</v>
      </c>
      <c r="AC274" s="602"/>
      <c r="AD274" s="603" t="e">
        <f>#REF!-AC274</f>
        <v>#REF!</v>
      </c>
      <c r="AE274" s="603" t="e">
        <f>IF(AD274&lt;=0,0,AD274*25/100)</f>
        <v>#REF!</v>
      </c>
      <c r="AF274" s="603" t="e">
        <f>IF(AC274+AE274&gt;#REF!,#REF!,AC274+AE274)</f>
        <v>#REF!</v>
      </c>
    </row>
    <row r="275" spans="1:32" s="457" customFormat="1" ht="18" customHeight="1" x14ac:dyDescent="0.2">
      <c r="A275" s="1317"/>
      <c r="B275" s="88"/>
      <c r="C275" s="88"/>
      <c r="D275" s="145"/>
      <c r="E275" s="145"/>
      <c r="F275" s="145"/>
      <c r="G275" s="145"/>
      <c r="H275" s="407"/>
      <c r="I275" s="77"/>
      <c r="J275" s="107"/>
      <c r="K275" s="78"/>
      <c r="L275" s="61"/>
      <c r="M275" s="145"/>
      <c r="N275" s="145"/>
      <c r="O275" s="61"/>
      <c r="P275" s="145"/>
      <c r="Q275" s="148"/>
      <c r="R275" s="408"/>
      <c r="S275" s="77"/>
      <c r="T275" s="408"/>
      <c r="U275" s="77"/>
      <c r="V275" s="77"/>
      <c r="W275" s="77"/>
      <c r="X275" s="77"/>
      <c r="Y275" s="77"/>
      <c r="Z275" s="77"/>
      <c r="AA275" s="1318"/>
      <c r="AB275" s="466"/>
      <c r="AC275" s="350"/>
      <c r="AD275" s="350"/>
      <c r="AE275" s="350"/>
      <c r="AF275" s="350"/>
    </row>
    <row r="276" spans="1:32" s="457" customFormat="1" ht="18" customHeight="1" x14ac:dyDescent="0.2">
      <c r="A276" s="145"/>
      <c r="B276" s="177"/>
      <c r="C276" s="177"/>
      <c r="D276" s="145"/>
      <c r="E276" s="145"/>
      <c r="F276" s="145"/>
      <c r="G276" s="145"/>
      <c r="H276" s="147"/>
      <c r="I276" s="107"/>
      <c r="J276" s="178"/>
      <c r="K276" s="107"/>
      <c r="L276" s="145"/>
      <c r="M276" s="145"/>
      <c r="N276" s="145"/>
      <c r="O276" s="145"/>
      <c r="P276" s="147"/>
      <c r="Q276" s="148"/>
      <c r="R276" s="437"/>
      <c r="S276" s="107"/>
      <c r="T276" s="437"/>
      <c r="U276" s="178"/>
      <c r="V276" s="107"/>
      <c r="W276" s="107"/>
      <c r="X276" s="470"/>
      <c r="Y276" s="470"/>
      <c r="Z276" s="471"/>
      <c r="AA276" s="471"/>
      <c r="AB276" s="466"/>
      <c r="AC276" s="350"/>
      <c r="AD276" s="350"/>
      <c r="AE276" s="350"/>
      <c r="AF276" s="350"/>
    </row>
    <row r="277" spans="1:32" s="457" customFormat="1" ht="18" customHeight="1" x14ac:dyDescent="0.2">
      <c r="A277" s="145"/>
      <c r="B277" s="177"/>
      <c r="C277" s="177"/>
      <c r="D277" s="145"/>
      <c r="E277" s="145"/>
      <c r="F277" s="145"/>
      <c r="G277" s="145"/>
      <c r="H277" s="147"/>
      <c r="I277" s="107"/>
      <c r="J277" s="178"/>
      <c r="K277" s="107"/>
      <c r="L277" s="145"/>
      <c r="M277" s="145"/>
      <c r="N277" s="145"/>
      <c r="O277" s="145"/>
      <c r="P277" s="147"/>
      <c r="Q277" s="148"/>
      <c r="R277" s="437"/>
      <c r="S277" s="107"/>
      <c r="T277" s="437"/>
      <c r="U277" s="178"/>
      <c r="V277" s="107"/>
      <c r="W277" s="107"/>
      <c r="X277" s="470"/>
      <c r="Y277" s="470"/>
      <c r="Z277" s="471"/>
      <c r="AA277" s="471"/>
      <c r="AB277" s="466"/>
      <c r="AC277" s="350"/>
      <c r="AD277" s="350"/>
      <c r="AE277" s="350"/>
      <c r="AF277" s="350"/>
    </row>
    <row r="278" spans="1:32" s="457" customFormat="1" ht="18" customHeight="1" x14ac:dyDescent="0.2">
      <c r="A278" s="145"/>
      <c r="B278" s="177"/>
      <c r="C278" s="177"/>
      <c r="D278" s="145"/>
      <c r="E278" s="145"/>
      <c r="F278" s="145"/>
      <c r="G278" s="145"/>
      <c r="H278" s="147"/>
      <c r="I278" s="107"/>
      <c r="J278" s="178"/>
      <c r="K278" s="107"/>
      <c r="L278" s="145"/>
      <c r="M278" s="145"/>
      <c r="N278" s="145"/>
      <c r="O278" s="145"/>
      <c r="P278" s="147"/>
      <c r="Q278" s="148"/>
      <c r="R278" s="437"/>
      <c r="S278" s="107"/>
      <c r="T278" s="437"/>
      <c r="U278" s="178"/>
      <c r="V278" s="107"/>
      <c r="W278" s="107"/>
      <c r="X278" s="470"/>
      <c r="Y278" s="470"/>
      <c r="Z278" s="471"/>
      <c r="AA278" s="471"/>
      <c r="AB278" s="466"/>
      <c r="AC278" s="350"/>
      <c r="AD278" s="350"/>
      <c r="AE278" s="350"/>
      <c r="AF278" s="350"/>
    </row>
    <row r="279" spans="1:32" s="457" customFormat="1" ht="18" customHeight="1" x14ac:dyDescent="0.2">
      <c r="A279" s="145"/>
      <c r="B279" s="177"/>
      <c r="C279" s="177"/>
      <c r="D279" s="145"/>
      <c r="E279" s="145"/>
      <c r="F279" s="145"/>
      <c r="G279" s="145"/>
      <c r="H279" s="147"/>
      <c r="I279" s="107"/>
      <c r="J279" s="178"/>
      <c r="K279" s="107"/>
      <c r="L279" s="145"/>
      <c r="M279" s="145"/>
      <c r="N279" s="145"/>
      <c r="O279" s="145"/>
      <c r="P279" s="147"/>
      <c r="Q279" s="148"/>
      <c r="R279" s="437"/>
      <c r="S279" s="107"/>
      <c r="T279" s="437"/>
      <c r="U279" s="178"/>
      <c r="V279" s="107"/>
      <c r="W279" s="107"/>
      <c r="X279" s="470"/>
      <c r="Y279" s="470"/>
      <c r="Z279" s="471"/>
      <c r="AA279" s="471"/>
      <c r="AB279" s="466"/>
      <c r="AC279" s="350"/>
      <c r="AD279" s="350"/>
      <c r="AE279" s="350"/>
      <c r="AF279" s="350"/>
    </row>
    <row r="280" spans="1:32" s="457" customFormat="1" ht="18" customHeight="1" x14ac:dyDescent="0.2">
      <c r="A280" s="145"/>
      <c r="B280" s="177"/>
      <c r="C280" s="177"/>
      <c r="D280" s="145"/>
      <c r="E280" s="145"/>
      <c r="F280" s="145"/>
      <c r="G280" s="145"/>
      <c r="H280" s="147"/>
      <c r="I280" s="107"/>
      <c r="J280" s="178"/>
      <c r="K280" s="107"/>
      <c r="L280" s="145"/>
      <c r="M280" s="145"/>
      <c r="N280" s="145"/>
      <c r="O280" s="145"/>
      <c r="P280" s="147"/>
      <c r="Q280" s="148"/>
      <c r="R280" s="437"/>
      <c r="S280" s="107"/>
      <c r="T280" s="437"/>
      <c r="U280" s="178"/>
      <c r="V280" s="107"/>
      <c r="W280" s="107"/>
      <c r="X280" s="470"/>
      <c r="Y280" s="470"/>
      <c r="Z280" s="471"/>
      <c r="AA280" s="471"/>
      <c r="AB280" s="466"/>
      <c r="AC280" s="350"/>
      <c r="AD280" s="350"/>
      <c r="AE280" s="350"/>
      <c r="AF280" s="350"/>
    </row>
    <row r="281" spans="1:32" s="457" customFormat="1" ht="18" customHeight="1" x14ac:dyDescent="0.2">
      <c r="A281" s="145"/>
      <c r="B281" s="177"/>
      <c r="C281" s="177"/>
      <c r="D281" s="145"/>
      <c r="E281" s="145"/>
      <c r="F281" s="145"/>
      <c r="G281" s="145"/>
      <c r="H281" s="147"/>
      <c r="I281" s="107"/>
      <c r="J281" s="178"/>
      <c r="K281" s="107"/>
      <c r="L281" s="145"/>
      <c r="M281" s="145"/>
      <c r="N281" s="145"/>
      <c r="O281" s="145"/>
      <c r="P281" s="147"/>
      <c r="Q281" s="148"/>
      <c r="R281" s="437"/>
      <c r="S281" s="107"/>
      <c r="T281" s="437"/>
      <c r="U281" s="178"/>
      <c r="V281" s="107"/>
      <c r="W281" s="107"/>
      <c r="X281" s="470"/>
      <c r="Y281" s="470"/>
      <c r="Z281" s="471"/>
      <c r="AA281" s="471"/>
      <c r="AB281" s="466"/>
      <c r="AC281" s="350"/>
      <c r="AD281" s="350"/>
      <c r="AE281" s="350"/>
      <c r="AF281" s="350"/>
    </row>
    <row r="282" spans="1:32" s="457" customFormat="1" ht="18" customHeight="1" x14ac:dyDescent="0.2">
      <c r="A282" s="145"/>
      <c r="B282" s="177"/>
      <c r="C282" s="177"/>
      <c r="D282" s="145"/>
      <c r="E282" s="145"/>
      <c r="F282" s="145"/>
      <c r="G282" s="145"/>
      <c r="H282" s="147"/>
      <c r="I282" s="107"/>
      <c r="J282" s="178"/>
      <c r="K282" s="107"/>
      <c r="L282" s="145"/>
      <c r="M282" s="145"/>
      <c r="N282" s="145"/>
      <c r="O282" s="145"/>
      <c r="P282" s="147"/>
      <c r="Q282" s="148"/>
      <c r="R282" s="437"/>
      <c r="S282" s="107"/>
      <c r="T282" s="437"/>
      <c r="U282" s="178"/>
      <c r="V282" s="107"/>
      <c r="W282" s="107"/>
      <c r="X282" s="470"/>
      <c r="Y282" s="470"/>
      <c r="Z282" s="471"/>
      <c r="AA282" s="471"/>
      <c r="AB282" s="466"/>
      <c r="AC282" s="350"/>
      <c r="AD282" s="350"/>
      <c r="AE282" s="350"/>
      <c r="AF282" s="350"/>
    </row>
    <row r="283" spans="1:32" s="457" customFormat="1" ht="18" customHeight="1" x14ac:dyDescent="0.2">
      <c r="A283" s="145"/>
      <c r="B283" s="177"/>
      <c r="C283" s="177"/>
      <c r="D283" s="145"/>
      <c r="E283" s="145"/>
      <c r="F283" s="145"/>
      <c r="G283" s="145"/>
      <c r="H283" s="147"/>
      <c r="I283" s="107"/>
      <c r="J283" s="178"/>
      <c r="K283" s="107"/>
      <c r="L283" s="145"/>
      <c r="M283" s="145"/>
      <c r="N283" s="145"/>
      <c r="O283" s="145"/>
      <c r="P283" s="147"/>
      <c r="Q283" s="148"/>
      <c r="R283" s="437"/>
      <c r="S283" s="107"/>
      <c r="T283" s="437"/>
      <c r="U283" s="178"/>
      <c r="V283" s="107"/>
      <c r="W283" s="107"/>
      <c r="X283" s="470"/>
      <c r="Y283" s="470"/>
      <c r="Z283" s="471"/>
      <c r="AA283" s="471"/>
      <c r="AB283" s="466"/>
      <c r="AC283" s="350"/>
      <c r="AD283" s="350"/>
      <c r="AE283" s="350"/>
      <c r="AF283" s="350"/>
    </row>
    <row r="284" spans="1:32" s="457" customFormat="1" ht="18" customHeight="1" x14ac:dyDescent="0.2">
      <c r="A284" s="145"/>
      <c r="B284" s="177"/>
      <c r="C284" s="177"/>
      <c r="D284" s="145"/>
      <c r="E284" s="145"/>
      <c r="F284" s="145"/>
      <c r="G284" s="145"/>
      <c r="H284" s="147"/>
      <c r="I284" s="107"/>
      <c r="J284" s="178"/>
      <c r="K284" s="107"/>
      <c r="L284" s="145"/>
      <c r="M284" s="145"/>
      <c r="N284" s="145"/>
      <c r="O284" s="145"/>
      <c r="P284" s="147"/>
      <c r="Q284" s="148"/>
      <c r="R284" s="437"/>
      <c r="S284" s="107"/>
      <c r="T284" s="437"/>
      <c r="U284" s="178"/>
      <c r="V284" s="107"/>
      <c r="W284" s="107"/>
      <c r="X284" s="470"/>
      <c r="Y284" s="470"/>
      <c r="Z284" s="471"/>
      <c r="AA284" s="471"/>
      <c r="AB284" s="466"/>
      <c r="AC284" s="350"/>
      <c r="AD284" s="350"/>
      <c r="AE284" s="350"/>
      <c r="AF284" s="350"/>
    </row>
    <row r="285" spans="1:32" s="457" customFormat="1" ht="18" customHeight="1" x14ac:dyDescent="0.2">
      <c r="A285" s="145"/>
      <c r="B285" s="177"/>
      <c r="C285" s="177"/>
      <c r="D285" s="145"/>
      <c r="E285" s="145"/>
      <c r="F285" s="145"/>
      <c r="G285" s="145"/>
      <c r="H285" s="147"/>
      <c r="I285" s="107"/>
      <c r="J285" s="178"/>
      <c r="K285" s="107"/>
      <c r="L285" s="145"/>
      <c r="M285" s="145"/>
      <c r="N285" s="145"/>
      <c r="O285" s="145"/>
      <c r="P285" s="147"/>
      <c r="Q285" s="148"/>
      <c r="R285" s="437"/>
      <c r="S285" s="107"/>
      <c r="T285" s="437"/>
      <c r="U285" s="178"/>
      <c r="V285" s="107"/>
      <c r="W285" s="107"/>
      <c r="X285" s="470"/>
      <c r="Y285" s="470"/>
      <c r="Z285" s="471"/>
      <c r="AA285" s="471"/>
      <c r="AB285" s="466"/>
      <c r="AC285" s="350"/>
      <c r="AD285" s="350"/>
      <c r="AE285" s="350"/>
      <c r="AF285" s="350"/>
    </row>
    <row r="286" spans="1:32" s="457" customFormat="1" ht="18" customHeight="1" x14ac:dyDescent="0.2">
      <c r="A286" s="145"/>
      <c r="B286" s="177"/>
      <c r="C286" s="177"/>
      <c r="D286" s="145"/>
      <c r="E286" s="145"/>
      <c r="F286" s="145"/>
      <c r="G286" s="145"/>
      <c r="H286" s="147"/>
      <c r="I286" s="107"/>
      <c r="J286" s="178"/>
      <c r="K286" s="107"/>
      <c r="L286" s="145"/>
      <c r="M286" s="145"/>
      <c r="N286" s="145"/>
      <c r="O286" s="145"/>
      <c r="P286" s="147"/>
      <c r="Q286" s="148"/>
      <c r="R286" s="437"/>
      <c r="S286" s="107"/>
      <c r="T286" s="437"/>
      <c r="U286" s="178"/>
      <c r="V286" s="107"/>
      <c r="W286" s="107"/>
      <c r="X286" s="470"/>
      <c r="Y286" s="470"/>
      <c r="Z286" s="471"/>
      <c r="AA286" s="471"/>
      <c r="AB286" s="466"/>
      <c r="AC286" s="350"/>
      <c r="AD286" s="350"/>
      <c r="AE286" s="350"/>
      <c r="AF286" s="350"/>
    </row>
    <row r="287" spans="1:32" s="457" customFormat="1" ht="18" customHeight="1" x14ac:dyDescent="0.2">
      <c r="A287" s="145"/>
      <c r="B287" s="177"/>
      <c r="C287" s="177"/>
      <c r="D287" s="145"/>
      <c r="E287" s="145"/>
      <c r="F287" s="145"/>
      <c r="G287" s="145"/>
      <c r="H287" s="147"/>
      <c r="I287" s="107"/>
      <c r="J287" s="178"/>
      <c r="K287" s="107"/>
      <c r="L287" s="145"/>
      <c r="M287" s="145"/>
      <c r="N287" s="145"/>
      <c r="O287" s="145"/>
      <c r="P287" s="147"/>
      <c r="Q287" s="148"/>
      <c r="R287" s="437"/>
      <c r="S287" s="107"/>
      <c r="T287" s="437"/>
      <c r="U287" s="178"/>
      <c r="V287" s="107"/>
      <c r="W287" s="107"/>
      <c r="X287" s="470"/>
      <c r="Y287" s="470"/>
      <c r="Z287" s="471"/>
      <c r="AA287" s="471"/>
      <c r="AB287" s="466"/>
      <c r="AC287" s="350"/>
      <c r="AD287" s="350"/>
      <c r="AE287" s="350"/>
      <c r="AF287" s="350"/>
    </row>
    <row r="288" spans="1:32" s="457" customFormat="1" ht="18" customHeight="1" x14ac:dyDescent="0.2">
      <c r="A288" s="145"/>
      <c r="B288" s="177"/>
      <c r="C288" s="177"/>
      <c r="D288" s="145"/>
      <c r="E288" s="145"/>
      <c r="F288" s="145"/>
      <c r="G288" s="145"/>
      <c r="H288" s="147"/>
      <c r="I288" s="107"/>
      <c r="J288" s="178"/>
      <c r="K288" s="107"/>
      <c r="L288" s="145"/>
      <c r="M288" s="145"/>
      <c r="N288" s="145"/>
      <c r="O288" s="145"/>
      <c r="P288" s="147"/>
      <c r="Q288" s="148"/>
      <c r="R288" s="437"/>
      <c r="S288" s="107"/>
      <c r="T288" s="437"/>
      <c r="U288" s="178"/>
      <c r="V288" s="107"/>
      <c r="W288" s="107"/>
      <c r="X288" s="470"/>
      <c r="Y288" s="470"/>
      <c r="Z288" s="471"/>
      <c r="AA288" s="471"/>
      <c r="AB288" s="466"/>
      <c r="AC288" s="350"/>
      <c r="AD288" s="350"/>
      <c r="AE288" s="350"/>
      <c r="AF288" s="350"/>
    </row>
    <row r="289" spans="1:32" s="457" customFormat="1" ht="18" customHeight="1" x14ac:dyDescent="0.2">
      <c r="A289" s="145"/>
      <c r="B289" s="177"/>
      <c r="C289" s="177"/>
      <c r="D289" s="145"/>
      <c r="E289" s="145"/>
      <c r="F289" s="145"/>
      <c r="G289" s="145"/>
      <c r="H289" s="147"/>
      <c r="I289" s="107"/>
      <c r="J289" s="178"/>
      <c r="K289" s="107"/>
      <c r="L289" s="145"/>
      <c r="M289" s="145"/>
      <c r="N289" s="145"/>
      <c r="O289" s="145"/>
      <c r="P289" s="147"/>
      <c r="Q289" s="148"/>
      <c r="R289" s="437"/>
      <c r="S289" s="107"/>
      <c r="T289" s="437"/>
      <c r="U289" s="178"/>
      <c r="V289" s="107"/>
      <c r="W289" s="107"/>
      <c r="X289" s="470"/>
      <c r="Y289" s="470"/>
      <c r="Z289" s="471"/>
      <c r="AA289" s="471"/>
      <c r="AB289" s="466"/>
      <c r="AC289" s="350"/>
      <c r="AD289" s="350"/>
      <c r="AE289" s="350"/>
      <c r="AF289" s="350"/>
    </row>
    <row r="290" spans="1:32" s="457" customFormat="1" ht="18" customHeight="1" x14ac:dyDescent="0.2">
      <c r="A290" s="145"/>
      <c r="B290" s="177"/>
      <c r="C290" s="177"/>
      <c r="D290" s="145"/>
      <c r="E290" s="145"/>
      <c r="F290" s="145"/>
      <c r="G290" s="145"/>
      <c r="H290" s="147"/>
      <c r="I290" s="107"/>
      <c r="J290" s="178"/>
      <c r="K290" s="107"/>
      <c r="L290" s="145"/>
      <c r="M290" s="145"/>
      <c r="N290" s="145"/>
      <c r="O290" s="145"/>
      <c r="P290" s="147"/>
      <c r="Q290" s="148"/>
      <c r="R290" s="437"/>
      <c r="S290" s="107"/>
      <c r="T290" s="437"/>
      <c r="U290" s="178"/>
      <c r="V290" s="107"/>
      <c r="W290" s="107"/>
      <c r="X290" s="470"/>
      <c r="Y290" s="470"/>
      <c r="Z290" s="471"/>
      <c r="AA290" s="471"/>
      <c r="AB290" s="466"/>
      <c r="AC290" s="350"/>
      <c r="AD290" s="350"/>
      <c r="AE290" s="350"/>
      <c r="AF290" s="350"/>
    </row>
    <row r="291" spans="1:32" s="457" customFormat="1" ht="18" customHeight="1" x14ac:dyDescent="0.2">
      <c r="A291" s="145"/>
      <c r="B291" s="177"/>
      <c r="C291" s="177"/>
      <c r="D291" s="145"/>
      <c r="E291" s="145"/>
      <c r="F291" s="145"/>
      <c r="G291" s="145"/>
      <c r="H291" s="147"/>
      <c r="I291" s="107"/>
      <c r="J291" s="178"/>
      <c r="K291" s="107"/>
      <c r="L291" s="145"/>
      <c r="M291" s="145"/>
      <c r="N291" s="145"/>
      <c r="O291" s="145"/>
      <c r="P291" s="147"/>
      <c r="Q291" s="148"/>
      <c r="R291" s="437"/>
      <c r="S291" s="107"/>
      <c r="T291" s="437"/>
      <c r="U291" s="178"/>
      <c r="V291" s="107"/>
      <c r="W291" s="107"/>
      <c r="X291" s="470"/>
      <c r="Y291" s="470"/>
      <c r="Z291" s="471"/>
      <c r="AA291" s="471"/>
      <c r="AB291" s="466"/>
      <c r="AC291" s="350"/>
      <c r="AD291" s="350"/>
      <c r="AE291" s="350"/>
      <c r="AF291" s="350"/>
    </row>
    <row r="292" spans="1:32" s="597" customFormat="1" ht="18" customHeight="1" x14ac:dyDescent="0.2">
      <c r="A292" s="1850"/>
      <c r="B292" s="1850"/>
      <c r="C292" s="1850"/>
      <c r="D292" s="1850"/>
      <c r="E292" s="1850"/>
      <c r="F292" s="1850"/>
      <c r="G292" s="1850"/>
      <c r="H292" s="1851"/>
      <c r="I292" s="1852"/>
      <c r="J292" s="1853"/>
      <c r="K292" s="1852"/>
      <c r="L292" s="1852"/>
      <c r="M292" s="1852"/>
      <c r="N292" s="1852"/>
      <c r="O292" s="1852"/>
      <c r="P292" s="1852"/>
      <c r="Q292" s="1852"/>
      <c r="R292" s="1854"/>
      <c r="S292" s="1852"/>
      <c r="T292" s="1854"/>
      <c r="U292" s="1853"/>
      <c r="V292" s="1852"/>
      <c r="W292" s="1852"/>
      <c r="X292" s="1856"/>
      <c r="Y292" s="1856"/>
      <c r="Z292" s="1857"/>
      <c r="AA292" s="1857"/>
      <c r="AB292" s="1847">
        <f>SUM(AB274:AB291)</f>
        <v>260.75323000000003</v>
      </c>
      <c r="AC292" s="1861"/>
      <c r="AD292" s="1861"/>
      <c r="AE292" s="1861"/>
      <c r="AF292" s="1861"/>
    </row>
    <row r="293" spans="1:32" s="457" customFormat="1" ht="18" customHeight="1" x14ac:dyDescent="0.2">
      <c r="A293" s="2737" t="s">
        <v>76</v>
      </c>
      <c r="B293" s="2737"/>
      <c r="C293" s="2738" t="s">
        <v>77</v>
      </c>
      <c r="D293" s="2738"/>
      <c r="E293" s="2738"/>
      <c r="F293" s="2738"/>
      <c r="G293" s="2738"/>
      <c r="H293" s="2738"/>
      <c r="I293" s="457" t="s">
        <v>78</v>
      </c>
      <c r="T293" s="651"/>
      <c r="U293" s="478"/>
      <c r="AB293" s="478"/>
    </row>
    <row r="294" spans="1:32" s="457" customFormat="1" ht="18" customHeight="1" x14ac:dyDescent="0.2">
      <c r="A294" s="448"/>
      <c r="B294" s="479"/>
      <c r="I294" s="457" t="s">
        <v>79</v>
      </c>
      <c r="T294" s="651"/>
      <c r="U294" s="478"/>
      <c r="AB294" s="478"/>
    </row>
    <row r="295" spans="1:32" s="457" customFormat="1" ht="18" customHeight="1" x14ac:dyDescent="0.2">
      <c r="A295" s="448"/>
      <c r="B295" s="479"/>
      <c r="I295" s="457" t="s">
        <v>80</v>
      </c>
      <c r="T295" s="651"/>
      <c r="U295" s="478"/>
      <c r="AB295" s="478"/>
    </row>
    <row r="296" spans="1:32" s="457" customFormat="1" ht="18" customHeight="1" x14ac:dyDescent="0.2">
      <c r="A296" s="448"/>
      <c r="B296" s="479"/>
      <c r="I296" s="457" t="s">
        <v>81</v>
      </c>
      <c r="T296" s="651"/>
      <c r="U296" s="478"/>
      <c r="AB296" s="478"/>
    </row>
    <row r="297" spans="1:32" s="457" customFormat="1" ht="18" customHeight="1" x14ac:dyDescent="0.2">
      <c r="A297" s="448"/>
      <c r="B297" s="479"/>
      <c r="I297" s="457" t="s">
        <v>88</v>
      </c>
      <c r="T297" s="651"/>
      <c r="U297" s="478"/>
      <c r="AB297" s="478"/>
    </row>
    <row r="298" spans="1:32" s="457" customFormat="1" ht="18" customHeight="1" x14ac:dyDescent="0.2">
      <c r="A298" s="456"/>
      <c r="B298" s="455"/>
      <c r="C298" s="455"/>
      <c r="D298" s="455"/>
      <c r="E298" s="455"/>
      <c r="F298" s="455"/>
      <c r="G298" s="455"/>
      <c r="H298" s="455"/>
      <c r="I298" s="455"/>
      <c r="J298" s="455"/>
      <c r="K298" s="455"/>
      <c r="L298" s="455"/>
      <c r="M298" s="455"/>
      <c r="N298" s="455"/>
      <c r="O298" s="455"/>
      <c r="P298" s="455"/>
      <c r="Q298" s="455"/>
      <c r="R298" s="455"/>
      <c r="S298" s="455"/>
      <c r="T298" s="608"/>
      <c r="U298" s="609"/>
      <c r="V298" s="455"/>
      <c r="W298" s="455"/>
      <c r="X298" s="455"/>
      <c r="Y298" s="455"/>
      <c r="Z298" s="455"/>
      <c r="AA298" s="2705" t="s">
        <v>0</v>
      </c>
      <c r="AB298" s="2705"/>
      <c r="AC298" s="455"/>
      <c r="AD298" s="455"/>
      <c r="AE298" s="455"/>
      <c r="AF298" s="455"/>
    </row>
    <row r="299" spans="1:32" s="457" customFormat="1" ht="18" customHeight="1" x14ac:dyDescent="0.2">
      <c r="A299" s="2706" t="s">
        <v>1</v>
      </c>
      <c r="B299" s="2706"/>
      <c r="C299" s="2706"/>
      <c r="D299" s="2706"/>
      <c r="E299" s="2706"/>
      <c r="F299" s="2706"/>
      <c r="G299" s="2706"/>
      <c r="H299" s="2706"/>
      <c r="I299" s="2706"/>
      <c r="J299" s="2706"/>
      <c r="K299" s="2706"/>
      <c r="L299" s="2706"/>
      <c r="M299" s="2706"/>
      <c r="N299" s="2706"/>
      <c r="O299" s="2706"/>
      <c r="P299" s="2706"/>
      <c r="Q299" s="2706"/>
      <c r="R299" s="2706"/>
      <c r="S299" s="2706"/>
      <c r="T299" s="2706"/>
      <c r="U299" s="2706"/>
      <c r="V299" s="2706"/>
      <c r="W299" s="2706"/>
      <c r="X299" s="2706"/>
      <c r="Y299" s="2706"/>
      <c r="Z299" s="2706"/>
      <c r="AA299" s="2706"/>
      <c r="AB299" s="2706"/>
      <c r="AC299" s="610"/>
      <c r="AD299" s="610"/>
      <c r="AE299" s="610"/>
      <c r="AF299" s="610"/>
    </row>
    <row r="300" spans="1:32" s="457" customFormat="1" ht="18" customHeight="1" x14ac:dyDescent="0.2">
      <c r="A300" s="2798" t="s">
        <v>434</v>
      </c>
      <c r="B300" s="2798"/>
      <c r="C300" s="2798"/>
      <c r="D300" s="2798"/>
      <c r="E300" s="2798"/>
      <c r="F300" s="2798"/>
      <c r="G300" s="2798"/>
      <c r="H300" s="2798"/>
      <c r="I300" s="2798"/>
      <c r="J300" s="2798"/>
      <c r="K300" s="2798"/>
      <c r="L300" s="2798"/>
      <c r="M300" s="2798"/>
      <c r="N300" s="2798"/>
      <c r="O300" s="2798"/>
      <c r="P300" s="2798"/>
      <c r="Q300" s="2798"/>
      <c r="R300" s="2798"/>
      <c r="S300" s="2798"/>
      <c r="T300" s="2798"/>
      <c r="U300" s="2798"/>
      <c r="V300" s="2798"/>
      <c r="W300" s="2798"/>
      <c r="X300" s="2798"/>
      <c r="Y300" s="2798"/>
      <c r="Z300" s="2798"/>
      <c r="AA300" s="2798"/>
      <c r="AB300" s="2798"/>
      <c r="AC300" s="611"/>
      <c r="AD300" s="611"/>
      <c r="AE300" s="611"/>
      <c r="AF300" s="611"/>
    </row>
    <row r="301" spans="1:32" s="457" customFormat="1" ht="18" customHeight="1" x14ac:dyDescent="0.2">
      <c r="A301" s="2686" t="s">
        <v>2</v>
      </c>
      <c r="B301" s="360"/>
      <c r="C301" s="2686" t="s">
        <v>3</v>
      </c>
      <c r="D301" s="360"/>
      <c r="E301" s="360"/>
      <c r="F301" s="2693" t="s">
        <v>4</v>
      </c>
      <c r="G301" s="2693"/>
      <c r="H301" s="2693"/>
      <c r="I301" s="2694"/>
      <c r="J301" s="2694"/>
      <c r="K301" s="2695"/>
      <c r="L301" s="361"/>
      <c r="M301" s="2679" t="s">
        <v>5</v>
      </c>
      <c r="N301" s="2679"/>
      <c r="O301" s="2679"/>
      <c r="P301" s="2679"/>
      <c r="Q301" s="2696"/>
      <c r="R301" s="2696"/>
      <c r="S301" s="2696"/>
      <c r="T301" s="2696"/>
      <c r="U301" s="2696"/>
      <c r="V301" s="2697"/>
      <c r="W301" s="362" t="s">
        <v>6</v>
      </c>
      <c r="X301" s="363" t="s">
        <v>7</v>
      </c>
      <c r="Y301" s="364"/>
      <c r="Z301" s="364"/>
      <c r="AA301" s="363"/>
      <c r="AB301" s="458"/>
      <c r="AC301" s="612" t="s">
        <v>8</v>
      </c>
      <c r="AD301" s="613"/>
      <c r="AE301" s="613"/>
      <c r="AF301" s="614"/>
    </row>
    <row r="302" spans="1:32" s="457" customFormat="1" ht="18" customHeight="1" x14ac:dyDescent="0.2">
      <c r="A302" s="2687"/>
      <c r="B302" s="367"/>
      <c r="C302" s="2687"/>
      <c r="D302" s="366" t="s">
        <v>9</v>
      </c>
      <c r="E302" s="366" t="s">
        <v>10</v>
      </c>
      <c r="F302" s="2698" t="s">
        <v>11</v>
      </c>
      <c r="G302" s="2694"/>
      <c r="H302" s="2695"/>
      <c r="I302" s="360"/>
      <c r="J302" s="449" t="s">
        <v>12</v>
      </c>
      <c r="K302" s="360"/>
      <c r="L302" s="2679" t="s">
        <v>2</v>
      </c>
      <c r="M302" s="370"/>
      <c r="N302" s="370"/>
      <c r="O302" s="370"/>
      <c r="P302" s="371"/>
      <c r="Q302" s="459" t="s">
        <v>13</v>
      </c>
      <c r="R302" s="370" t="s">
        <v>12</v>
      </c>
      <c r="S302" s="370" t="s">
        <v>6</v>
      </c>
      <c r="T302" s="2682" t="s">
        <v>14</v>
      </c>
      <c r="U302" s="2683"/>
      <c r="V302" s="375" t="s">
        <v>7</v>
      </c>
      <c r="W302" s="376" t="s">
        <v>15</v>
      </c>
      <c r="X302" s="377" t="s">
        <v>16</v>
      </c>
      <c r="Y302" s="377" t="s">
        <v>17</v>
      </c>
      <c r="Z302" s="377" t="s">
        <v>18</v>
      </c>
      <c r="AA302" s="377"/>
      <c r="AB302" s="460" t="s">
        <v>19</v>
      </c>
      <c r="AC302" s="615" t="s">
        <v>20</v>
      </c>
      <c r="AD302" s="616"/>
      <c r="AE302" s="617" t="s">
        <v>21</v>
      </c>
      <c r="AF302" s="618" t="s">
        <v>22</v>
      </c>
    </row>
    <row r="303" spans="1:32" s="457" customFormat="1" ht="18" customHeight="1" x14ac:dyDescent="0.2">
      <c r="A303" s="2687"/>
      <c r="B303" s="366" t="s">
        <v>23</v>
      </c>
      <c r="C303" s="2687"/>
      <c r="D303" s="366" t="s">
        <v>24</v>
      </c>
      <c r="E303" s="366" t="s">
        <v>25</v>
      </c>
      <c r="F303" s="2699"/>
      <c r="G303" s="2700"/>
      <c r="H303" s="2701"/>
      <c r="I303" s="366" t="s">
        <v>26</v>
      </c>
      <c r="J303" s="380" t="s">
        <v>15</v>
      </c>
      <c r="K303" s="380" t="s">
        <v>6</v>
      </c>
      <c r="L303" s="2680"/>
      <c r="M303" s="381" t="s">
        <v>27</v>
      </c>
      <c r="N303" s="381" t="s">
        <v>10</v>
      </c>
      <c r="O303" s="381" t="s">
        <v>10</v>
      </c>
      <c r="P303" s="385" t="s">
        <v>28</v>
      </c>
      <c r="Q303" s="461" t="s">
        <v>29</v>
      </c>
      <c r="R303" s="385" t="s">
        <v>15</v>
      </c>
      <c r="S303" s="385" t="s">
        <v>15</v>
      </c>
      <c r="T303" s="2684"/>
      <c r="U303" s="2685"/>
      <c r="V303" s="375" t="s">
        <v>30</v>
      </c>
      <c r="W303" s="376" t="s">
        <v>31</v>
      </c>
      <c r="X303" s="377" t="s">
        <v>30</v>
      </c>
      <c r="Y303" s="377" t="s">
        <v>32</v>
      </c>
      <c r="Z303" s="377" t="s">
        <v>7</v>
      </c>
      <c r="AA303" s="377" t="s">
        <v>33</v>
      </c>
      <c r="AB303" s="460" t="s">
        <v>34</v>
      </c>
      <c r="AC303" s="615" t="s">
        <v>35</v>
      </c>
      <c r="AD303" s="617" t="s">
        <v>36</v>
      </c>
      <c r="AE303" s="617" t="s">
        <v>37</v>
      </c>
      <c r="AF303" s="618" t="s">
        <v>38</v>
      </c>
    </row>
    <row r="304" spans="1:32" s="457" customFormat="1" ht="18" customHeight="1" x14ac:dyDescent="0.2">
      <c r="A304" s="2687"/>
      <c r="B304" s="366" t="s">
        <v>39</v>
      </c>
      <c r="C304" s="2687"/>
      <c r="D304" s="366" t="s">
        <v>40</v>
      </c>
      <c r="E304" s="366" t="s">
        <v>41</v>
      </c>
      <c r="F304" s="2686" t="s">
        <v>42</v>
      </c>
      <c r="G304" s="2686" t="s">
        <v>43</v>
      </c>
      <c r="H304" s="2688" t="s">
        <v>44</v>
      </c>
      <c r="I304" s="366" t="s">
        <v>45</v>
      </c>
      <c r="J304" s="380" t="s">
        <v>46</v>
      </c>
      <c r="K304" s="380" t="s">
        <v>47</v>
      </c>
      <c r="L304" s="2680"/>
      <c r="M304" s="381" t="s">
        <v>30</v>
      </c>
      <c r="N304" s="381" t="s">
        <v>30</v>
      </c>
      <c r="O304" s="381" t="s">
        <v>25</v>
      </c>
      <c r="P304" s="385" t="s">
        <v>30</v>
      </c>
      <c r="Q304" s="461" t="s">
        <v>48</v>
      </c>
      <c r="R304" s="385" t="s">
        <v>49</v>
      </c>
      <c r="S304" s="385" t="s">
        <v>30</v>
      </c>
      <c r="T304" s="619" t="s">
        <v>50</v>
      </c>
      <c r="U304" s="620" t="s">
        <v>13</v>
      </c>
      <c r="V304" s="375" t="s">
        <v>51</v>
      </c>
      <c r="W304" s="376" t="s">
        <v>52</v>
      </c>
      <c r="X304" s="377" t="s">
        <v>53</v>
      </c>
      <c r="Y304" s="377" t="s">
        <v>54</v>
      </c>
      <c r="Z304" s="377" t="s">
        <v>55</v>
      </c>
      <c r="AA304" s="377" t="s">
        <v>56</v>
      </c>
      <c r="AB304" s="460" t="s">
        <v>57</v>
      </c>
      <c r="AC304" s="617" t="s">
        <v>58</v>
      </c>
      <c r="AD304" s="617" t="s">
        <v>59</v>
      </c>
      <c r="AE304" s="617" t="s">
        <v>59</v>
      </c>
      <c r="AF304" s="618" t="s">
        <v>60</v>
      </c>
    </row>
    <row r="305" spans="1:33" s="457" customFormat="1" ht="18" customHeight="1" x14ac:dyDescent="0.2">
      <c r="A305" s="2687"/>
      <c r="B305" s="366" t="s">
        <v>61</v>
      </c>
      <c r="C305" s="2687"/>
      <c r="D305" s="366" t="s">
        <v>62</v>
      </c>
      <c r="E305" s="366" t="s">
        <v>63</v>
      </c>
      <c r="F305" s="2687"/>
      <c r="G305" s="2687"/>
      <c r="H305" s="2689"/>
      <c r="I305" s="366" t="s">
        <v>64</v>
      </c>
      <c r="J305" s="380" t="s">
        <v>59</v>
      </c>
      <c r="K305" s="380" t="s">
        <v>59</v>
      </c>
      <c r="L305" s="2680"/>
      <c r="M305" s="381"/>
      <c r="N305" s="381"/>
      <c r="O305" s="381" t="s">
        <v>41</v>
      </c>
      <c r="P305" s="385" t="s">
        <v>65</v>
      </c>
      <c r="Q305" s="461" t="s">
        <v>66</v>
      </c>
      <c r="R305" s="385" t="s">
        <v>67</v>
      </c>
      <c r="S305" s="385" t="s">
        <v>59</v>
      </c>
      <c r="T305" s="621" t="s">
        <v>68</v>
      </c>
      <c r="U305" s="622" t="s">
        <v>14</v>
      </c>
      <c r="V305" s="375" t="s">
        <v>14</v>
      </c>
      <c r="W305" s="376" t="s">
        <v>30</v>
      </c>
      <c r="X305" s="388" t="s">
        <v>69</v>
      </c>
      <c r="Y305" s="388" t="s">
        <v>70</v>
      </c>
      <c r="Z305" s="377" t="s">
        <v>71</v>
      </c>
      <c r="AA305" s="377" t="s">
        <v>72</v>
      </c>
      <c r="AB305" s="460" t="s">
        <v>59</v>
      </c>
      <c r="AC305" s="617" t="s">
        <v>59</v>
      </c>
      <c r="AD305" s="617"/>
      <c r="AE305" s="617"/>
      <c r="AF305" s="618" t="s">
        <v>59</v>
      </c>
    </row>
    <row r="306" spans="1:33" s="457" customFormat="1" ht="18" customHeight="1" x14ac:dyDescent="0.2">
      <c r="A306" s="2692"/>
      <c r="B306" s="390"/>
      <c r="C306" s="2692"/>
      <c r="D306" s="390"/>
      <c r="E306" s="389"/>
      <c r="F306" s="390"/>
      <c r="G306" s="390"/>
      <c r="H306" s="391"/>
      <c r="I306" s="389"/>
      <c r="J306" s="393"/>
      <c r="K306" s="393"/>
      <c r="L306" s="2681"/>
      <c r="M306" s="394"/>
      <c r="N306" s="394"/>
      <c r="O306" s="394" t="s">
        <v>63</v>
      </c>
      <c r="P306" s="394"/>
      <c r="Q306" s="450" t="s">
        <v>72</v>
      </c>
      <c r="R306" s="398" t="s">
        <v>59</v>
      </c>
      <c r="S306" s="398"/>
      <c r="T306" s="623" t="s">
        <v>73</v>
      </c>
      <c r="U306" s="624" t="s">
        <v>59</v>
      </c>
      <c r="V306" s="399" t="s">
        <v>59</v>
      </c>
      <c r="W306" s="400" t="s">
        <v>59</v>
      </c>
      <c r="X306" s="401" t="s">
        <v>59</v>
      </c>
      <c r="Y306" s="401" t="s">
        <v>59</v>
      </c>
      <c r="Z306" s="401" t="s">
        <v>59</v>
      </c>
      <c r="AA306" s="402"/>
      <c r="AB306" s="462"/>
      <c r="AC306" s="625"/>
      <c r="AD306" s="625"/>
      <c r="AE306" s="625"/>
      <c r="AF306" s="626"/>
    </row>
    <row r="307" spans="1:33" s="457" customFormat="1" ht="18" customHeight="1" x14ac:dyDescent="0.2">
      <c r="A307" s="53">
        <v>1</v>
      </c>
      <c r="B307" s="95">
        <v>40981</v>
      </c>
      <c r="C307" s="82">
        <v>1227</v>
      </c>
      <c r="D307" s="82" t="s">
        <v>139</v>
      </c>
      <c r="E307" s="145">
        <v>4</v>
      </c>
      <c r="F307" s="82">
        <v>0</v>
      </c>
      <c r="G307" s="82">
        <v>0</v>
      </c>
      <c r="H307" s="463">
        <v>65</v>
      </c>
      <c r="I307" s="77">
        <f>F307*400+G307*100+H307</f>
        <v>65</v>
      </c>
      <c r="J307" s="107">
        <v>2300</v>
      </c>
      <c r="K307" s="78">
        <f>SUM(I307*J307)</f>
        <v>149500</v>
      </c>
      <c r="L307" s="75"/>
      <c r="M307" s="61"/>
      <c r="N307" s="61"/>
      <c r="O307" s="61"/>
      <c r="P307" s="173"/>
      <c r="Q307" s="174"/>
      <c r="R307" s="408"/>
      <c r="S307" s="77"/>
      <c r="T307" s="413"/>
      <c r="U307" s="74"/>
      <c r="V307" s="74"/>
      <c r="W307" s="77">
        <f>K307+V307</f>
        <v>149500</v>
      </c>
      <c r="X307" s="74">
        <f>W307</f>
        <v>149500</v>
      </c>
      <c r="Y307" s="77"/>
      <c r="Z307" s="77">
        <f>+X307</f>
        <v>149500</v>
      </c>
      <c r="AA307" s="409">
        <v>0.6</v>
      </c>
      <c r="AB307" s="406">
        <f>+Z307*AA307/100</f>
        <v>897</v>
      </c>
      <c r="AC307" s="602"/>
      <c r="AD307" s="603" t="e">
        <f>#REF!-AC307</f>
        <v>#REF!</v>
      </c>
      <c r="AE307" s="603" t="e">
        <f>IF(AD307&lt;=0,0,AD307*25/100)</f>
        <v>#REF!</v>
      </c>
      <c r="AF307" s="603" t="e">
        <f>IF(AC307+AE307&gt;#REF!,#REF!,AC307+AE307)</f>
        <v>#REF!</v>
      </c>
      <c r="AG307" s="457" t="s">
        <v>387</v>
      </c>
    </row>
    <row r="308" spans="1:33" s="457" customFormat="1" ht="18" customHeight="1" x14ac:dyDescent="0.2">
      <c r="A308" s="242"/>
      <c r="B308" s="242"/>
      <c r="C308" s="496"/>
      <c r="D308" s="231"/>
      <c r="E308" s="85"/>
      <c r="F308" s="411"/>
      <c r="G308" s="242"/>
      <c r="H308" s="497"/>
      <c r="I308" s="77"/>
      <c r="J308" s="107"/>
      <c r="K308" s="78"/>
      <c r="L308" s="85"/>
      <c r="M308" s="85"/>
      <c r="N308" s="85"/>
      <c r="O308" s="88"/>
      <c r="P308" s="120"/>
      <c r="Q308" s="129"/>
      <c r="R308" s="440"/>
      <c r="S308" s="121"/>
      <c r="T308" s="440"/>
      <c r="U308" s="121"/>
      <c r="V308" s="121"/>
      <c r="W308" s="121"/>
      <c r="X308" s="121"/>
      <c r="Y308" s="121"/>
      <c r="Z308" s="121"/>
      <c r="AA308" s="414"/>
      <c r="AB308" s="410"/>
      <c r="AC308" s="602"/>
      <c r="AD308" s="603"/>
      <c r="AE308" s="603"/>
      <c r="AF308" s="603"/>
    </row>
    <row r="309" spans="1:33" s="457" customFormat="1" ht="18" customHeight="1" x14ac:dyDescent="0.2">
      <c r="A309" s="242"/>
      <c r="B309" s="242"/>
      <c r="C309" s="496"/>
      <c r="D309" s="144"/>
      <c r="E309" s="85"/>
      <c r="F309" s="411"/>
      <c r="G309" s="242"/>
      <c r="H309" s="497"/>
      <c r="I309" s="77"/>
      <c r="J309" s="107"/>
      <c r="K309" s="78"/>
      <c r="L309" s="674"/>
      <c r="M309" s="674"/>
      <c r="N309" s="674"/>
      <c r="O309" s="130"/>
      <c r="P309" s="122"/>
      <c r="Q309" s="675"/>
      <c r="R309" s="441"/>
      <c r="S309" s="94"/>
      <c r="T309" s="441"/>
      <c r="U309" s="94"/>
      <c r="V309" s="94"/>
      <c r="W309" s="107"/>
      <c r="X309" s="107"/>
      <c r="Y309" s="107"/>
      <c r="Z309" s="107"/>
      <c r="AA309" s="409"/>
      <c r="AB309" s="466"/>
      <c r="AC309" s="350"/>
      <c r="AD309" s="350"/>
      <c r="AE309" s="350"/>
      <c r="AF309" s="350"/>
    </row>
    <row r="310" spans="1:33" s="457" customFormat="1" ht="18" customHeight="1" x14ac:dyDescent="0.2">
      <c r="A310" s="75"/>
      <c r="B310" s="88"/>
      <c r="C310" s="88"/>
      <c r="D310" s="88"/>
      <c r="E310" s="88"/>
      <c r="F310" s="88"/>
      <c r="G310" s="88"/>
      <c r="H310" s="495"/>
      <c r="I310" s="74"/>
      <c r="J310" s="121"/>
      <c r="K310" s="78"/>
      <c r="L310" s="75"/>
      <c r="M310" s="75"/>
      <c r="N310" s="75"/>
      <c r="O310" s="75"/>
      <c r="P310" s="188"/>
      <c r="Q310" s="174"/>
      <c r="R310" s="413"/>
      <c r="S310" s="74"/>
      <c r="T310" s="413"/>
      <c r="U310" s="74"/>
      <c r="V310" s="74"/>
      <c r="W310" s="77"/>
      <c r="X310" s="74"/>
      <c r="Y310" s="676"/>
      <c r="Z310" s="77"/>
      <c r="AA310" s="409"/>
      <c r="AB310" s="416"/>
      <c r="AC310" s="350"/>
      <c r="AD310" s="350"/>
      <c r="AE310" s="350"/>
      <c r="AF310" s="350"/>
    </row>
    <row r="311" spans="1:33" s="457" customFormat="1" ht="18" customHeight="1" x14ac:dyDescent="0.2">
      <c r="A311" s="88"/>
      <c r="B311" s="239"/>
      <c r="C311" s="88"/>
      <c r="D311" s="88"/>
      <c r="E311" s="88"/>
      <c r="F311" s="88"/>
      <c r="G311" s="88"/>
      <c r="H311" s="495"/>
      <c r="I311" s="121"/>
      <c r="J311" s="199"/>
      <c r="K311" s="78"/>
      <c r="L311" s="75"/>
      <c r="M311" s="75"/>
      <c r="N311" s="75"/>
      <c r="O311" s="75"/>
      <c r="P311" s="188"/>
      <c r="Q311" s="174"/>
      <c r="R311" s="413"/>
      <c r="S311" s="74"/>
      <c r="T311" s="413"/>
      <c r="U311" s="74"/>
      <c r="V311" s="74"/>
      <c r="W311" s="77"/>
      <c r="X311" s="74"/>
      <c r="Y311" s="676"/>
      <c r="Z311" s="77"/>
      <c r="AA311" s="409"/>
      <c r="AB311" s="415"/>
      <c r="AC311" s="350"/>
      <c r="AD311" s="350"/>
      <c r="AE311" s="350"/>
      <c r="AF311" s="350"/>
    </row>
    <row r="312" spans="1:33" s="457" customFormat="1" ht="18" customHeight="1" x14ac:dyDescent="0.2">
      <c r="A312" s="145"/>
      <c r="B312" s="177"/>
      <c r="C312" s="177"/>
      <c r="D312" s="145"/>
      <c r="E312" s="145"/>
      <c r="F312" s="145"/>
      <c r="G312" s="145"/>
      <c r="H312" s="147"/>
      <c r="I312" s="107"/>
      <c r="J312" s="178"/>
      <c r="K312" s="107"/>
      <c r="L312" s="145"/>
      <c r="M312" s="145"/>
      <c r="N312" s="145"/>
      <c r="O312" s="145"/>
      <c r="P312" s="147"/>
      <c r="Q312" s="148"/>
      <c r="R312" s="437"/>
      <c r="S312" s="107"/>
      <c r="T312" s="437"/>
      <c r="U312" s="178"/>
      <c r="V312" s="107"/>
      <c r="W312" s="107"/>
      <c r="X312" s="470"/>
      <c r="Y312" s="470"/>
      <c r="Z312" s="471"/>
      <c r="AA312" s="471"/>
      <c r="AB312" s="410"/>
      <c r="AC312" s="350"/>
      <c r="AD312" s="350"/>
      <c r="AE312" s="350"/>
      <c r="AF312" s="350"/>
    </row>
    <row r="313" spans="1:33" s="457" customFormat="1" ht="18" customHeight="1" x14ac:dyDescent="0.2">
      <c r="A313" s="145"/>
      <c r="B313" s="177"/>
      <c r="C313" s="177"/>
      <c r="D313" s="145"/>
      <c r="E313" s="145"/>
      <c r="F313" s="145"/>
      <c r="G313" s="145"/>
      <c r="H313" s="147"/>
      <c r="I313" s="107"/>
      <c r="J313" s="178"/>
      <c r="K313" s="107"/>
      <c r="L313" s="145"/>
      <c r="M313" s="145"/>
      <c r="N313" s="145"/>
      <c r="O313" s="145"/>
      <c r="P313" s="147"/>
      <c r="Q313" s="148"/>
      <c r="R313" s="437"/>
      <c r="S313" s="107"/>
      <c r="T313" s="437"/>
      <c r="U313" s="178"/>
      <c r="V313" s="107"/>
      <c r="W313" s="107"/>
      <c r="X313" s="470"/>
      <c r="Y313" s="470"/>
      <c r="Z313" s="471"/>
      <c r="AA313" s="471"/>
      <c r="AB313" s="466"/>
      <c r="AC313" s="350"/>
      <c r="AD313" s="350"/>
      <c r="AE313" s="350"/>
      <c r="AF313" s="350"/>
    </row>
    <row r="314" spans="1:33" s="457" customFormat="1" ht="18" customHeight="1" x14ac:dyDescent="0.2">
      <c r="A314" s="145"/>
      <c r="B314" s="177"/>
      <c r="C314" s="177"/>
      <c r="D314" s="145"/>
      <c r="E314" s="145"/>
      <c r="F314" s="145"/>
      <c r="G314" s="145"/>
      <c r="H314" s="147"/>
      <c r="I314" s="107"/>
      <c r="J314" s="178"/>
      <c r="K314" s="107"/>
      <c r="L314" s="145"/>
      <c r="M314" s="145"/>
      <c r="N314" s="145"/>
      <c r="O314" s="145"/>
      <c r="P314" s="147"/>
      <c r="Q314" s="148"/>
      <c r="R314" s="437"/>
      <c r="S314" s="107"/>
      <c r="T314" s="437"/>
      <c r="U314" s="178"/>
      <c r="V314" s="107"/>
      <c r="W314" s="107"/>
      <c r="X314" s="470"/>
      <c r="Y314" s="470"/>
      <c r="Z314" s="471"/>
      <c r="AA314" s="471"/>
      <c r="AB314" s="466"/>
      <c r="AC314" s="350"/>
      <c r="AD314" s="350"/>
      <c r="AE314" s="350"/>
      <c r="AF314" s="350"/>
    </row>
    <row r="315" spans="1:33" s="457" customFormat="1" ht="18" customHeight="1" x14ac:dyDescent="0.2">
      <c r="A315" s="145"/>
      <c r="B315" s="177"/>
      <c r="C315" s="177"/>
      <c r="D315" s="145"/>
      <c r="E315" s="145"/>
      <c r="F315" s="145"/>
      <c r="G315" s="145"/>
      <c r="H315" s="147"/>
      <c r="I315" s="107"/>
      <c r="J315" s="178"/>
      <c r="K315" s="107"/>
      <c r="L315" s="145"/>
      <c r="M315" s="145"/>
      <c r="N315" s="145"/>
      <c r="O315" s="145"/>
      <c r="P315" s="147"/>
      <c r="Q315" s="148"/>
      <c r="R315" s="437"/>
      <c r="S315" s="107"/>
      <c r="T315" s="437"/>
      <c r="U315" s="178"/>
      <c r="V315" s="107"/>
      <c r="W315" s="107"/>
      <c r="X315" s="470"/>
      <c r="Y315" s="470"/>
      <c r="Z315" s="471"/>
      <c r="AA315" s="471"/>
      <c r="AB315" s="466"/>
      <c r="AC315" s="350"/>
      <c r="AD315" s="350"/>
      <c r="AE315" s="350"/>
      <c r="AF315" s="350"/>
    </row>
    <row r="316" spans="1:33" s="457" customFormat="1" ht="18" customHeight="1" x14ac:dyDescent="0.2">
      <c r="A316" s="145"/>
      <c r="B316" s="177"/>
      <c r="C316" s="177"/>
      <c r="D316" s="145"/>
      <c r="E316" s="145"/>
      <c r="F316" s="145"/>
      <c r="G316" s="145"/>
      <c r="H316" s="147"/>
      <c r="I316" s="107"/>
      <c r="J316" s="178"/>
      <c r="K316" s="107"/>
      <c r="L316" s="145"/>
      <c r="M316" s="145"/>
      <c r="N316" s="145"/>
      <c r="O316" s="145"/>
      <c r="P316" s="147"/>
      <c r="Q316" s="148"/>
      <c r="R316" s="437"/>
      <c r="S316" s="107"/>
      <c r="T316" s="437"/>
      <c r="U316" s="178"/>
      <c r="V316" s="107"/>
      <c r="W316" s="107"/>
      <c r="X316" s="470"/>
      <c r="Y316" s="470"/>
      <c r="Z316" s="471"/>
      <c r="AA316" s="471"/>
      <c r="AB316" s="466"/>
      <c r="AC316" s="350"/>
      <c r="AD316" s="350"/>
      <c r="AE316" s="350"/>
      <c r="AF316" s="350"/>
    </row>
    <row r="317" spans="1:33" s="457" customFormat="1" ht="18" customHeight="1" x14ac:dyDescent="0.2">
      <c r="A317" s="145"/>
      <c r="B317" s="177"/>
      <c r="C317" s="177"/>
      <c r="D317" s="145"/>
      <c r="E317" s="145"/>
      <c r="F317" s="145"/>
      <c r="G317" s="145"/>
      <c r="H317" s="147"/>
      <c r="I317" s="107"/>
      <c r="J317" s="178"/>
      <c r="K317" s="107"/>
      <c r="L317" s="145"/>
      <c r="M317" s="145"/>
      <c r="N317" s="145"/>
      <c r="O317" s="145"/>
      <c r="P317" s="147"/>
      <c r="Q317" s="148"/>
      <c r="R317" s="437"/>
      <c r="S317" s="107"/>
      <c r="T317" s="437"/>
      <c r="U317" s="178"/>
      <c r="V317" s="107"/>
      <c r="W317" s="107"/>
      <c r="X317" s="470"/>
      <c r="Y317" s="470"/>
      <c r="Z317" s="471"/>
      <c r="AA317" s="471"/>
      <c r="AB317" s="466"/>
      <c r="AC317" s="350"/>
      <c r="AD317" s="350"/>
      <c r="AE317" s="350"/>
      <c r="AF317" s="350"/>
    </row>
    <row r="318" spans="1:33" s="457" customFormat="1" ht="18" customHeight="1" x14ac:dyDescent="0.2">
      <c r="A318" s="145"/>
      <c r="B318" s="177"/>
      <c r="C318" s="177"/>
      <c r="D318" s="145"/>
      <c r="E318" s="145"/>
      <c r="F318" s="145"/>
      <c r="G318" s="145"/>
      <c r="H318" s="147"/>
      <c r="I318" s="107"/>
      <c r="J318" s="178"/>
      <c r="K318" s="107"/>
      <c r="L318" s="145"/>
      <c r="M318" s="145"/>
      <c r="N318" s="145"/>
      <c r="O318" s="145"/>
      <c r="P318" s="147"/>
      <c r="Q318" s="148"/>
      <c r="R318" s="437"/>
      <c r="S318" s="107"/>
      <c r="T318" s="437"/>
      <c r="U318" s="178"/>
      <c r="V318" s="107"/>
      <c r="W318" s="107"/>
      <c r="X318" s="470"/>
      <c r="Y318" s="470"/>
      <c r="Z318" s="471"/>
      <c r="AA318" s="471"/>
      <c r="AB318" s="466"/>
      <c r="AC318" s="350"/>
      <c r="AD318" s="350"/>
      <c r="AE318" s="350"/>
      <c r="AF318" s="350"/>
    </row>
    <row r="319" spans="1:33" s="457" customFormat="1" ht="18" customHeight="1" x14ac:dyDescent="0.2">
      <c r="A319" s="145"/>
      <c r="B319" s="177"/>
      <c r="C319" s="177"/>
      <c r="D319" s="145"/>
      <c r="E319" s="145"/>
      <c r="F319" s="145"/>
      <c r="G319" s="145"/>
      <c r="H319" s="147"/>
      <c r="I319" s="107"/>
      <c r="J319" s="178"/>
      <c r="K319" s="107"/>
      <c r="L319" s="145"/>
      <c r="M319" s="145"/>
      <c r="N319" s="145"/>
      <c r="O319" s="145"/>
      <c r="P319" s="147"/>
      <c r="Q319" s="148"/>
      <c r="R319" s="437"/>
      <c r="S319" s="107"/>
      <c r="T319" s="437"/>
      <c r="U319" s="178"/>
      <c r="V319" s="107"/>
      <c r="W319" s="107"/>
      <c r="X319" s="470"/>
      <c r="Y319" s="470"/>
      <c r="Z319" s="471"/>
      <c r="AA319" s="471"/>
      <c r="AB319" s="466"/>
      <c r="AC319" s="350"/>
      <c r="AD319" s="350"/>
      <c r="AE319" s="350"/>
      <c r="AF319" s="350"/>
    </row>
    <row r="320" spans="1:33" s="457" customFormat="1" ht="18" customHeight="1" x14ac:dyDescent="0.2">
      <c r="A320" s="145"/>
      <c r="B320" s="177"/>
      <c r="C320" s="177"/>
      <c r="D320" s="145"/>
      <c r="E320" s="145"/>
      <c r="F320" s="145"/>
      <c r="G320" s="145"/>
      <c r="H320" s="147"/>
      <c r="I320" s="107"/>
      <c r="J320" s="178"/>
      <c r="K320" s="107"/>
      <c r="L320" s="145"/>
      <c r="M320" s="145"/>
      <c r="N320" s="145"/>
      <c r="O320" s="145"/>
      <c r="P320" s="147"/>
      <c r="Q320" s="148"/>
      <c r="R320" s="437"/>
      <c r="S320" s="107"/>
      <c r="T320" s="437"/>
      <c r="U320" s="178"/>
      <c r="V320" s="107"/>
      <c r="W320" s="107"/>
      <c r="X320" s="470"/>
      <c r="Y320" s="470"/>
      <c r="Z320" s="471"/>
      <c r="AA320" s="471"/>
      <c r="AB320" s="466"/>
      <c r="AC320" s="350"/>
      <c r="AD320" s="350"/>
      <c r="AE320" s="350"/>
      <c r="AF320" s="350"/>
    </row>
    <row r="321" spans="1:32" s="457" customFormat="1" ht="18" customHeight="1" x14ac:dyDescent="0.2">
      <c r="A321" s="145"/>
      <c r="B321" s="177"/>
      <c r="C321" s="177"/>
      <c r="D321" s="145"/>
      <c r="E321" s="145"/>
      <c r="F321" s="145"/>
      <c r="G321" s="145"/>
      <c r="H321" s="147"/>
      <c r="I321" s="107"/>
      <c r="J321" s="178"/>
      <c r="K321" s="107"/>
      <c r="L321" s="145"/>
      <c r="M321" s="145"/>
      <c r="N321" s="145"/>
      <c r="O321" s="145"/>
      <c r="P321" s="147"/>
      <c r="Q321" s="148"/>
      <c r="R321" s="437"/>
      <c r="S321" s="107"/>
      <c r="T321" s="437"/>
      <c r="U321" s="178"/>
      <c r="V321" s="107"/>
      <c r="W321" s="107"/>
      <c r="X321" s="470"/>
      <c r="Y321" s="470"/>
      <c r="Z321" s="471"/>
      <c r="AA321" s="471"/>
      <c r="AB321" s="466"/>
      <c r="AC321" s="350"/>
      <c r="AD321" s="350"/>
      <c r="AE321" s="350"/>
      <c r="AF321" s="350"/>
    </row>
    <row r="322" spans="1:32" s="457" customFormat="1" ht="18" customHeight="1" x14ac:dyDescent="0.2">
      <c r="A322" s="145"/>
      <c r="B322" s="177"/>
      <c r="C322" s="177"/>
      <c r="D322" s="145"/>
      <c r="E322" s="145"/>
      <c r="F322" s="145"/>
      <c r="G322" s="145"/>
      <c r="H322" s="147"/>
      <c r="I322" s="107"/>
      <c r="J322" s="178"/>
      <c r="K322" s="107"/>
      <c r="L322" s="145"/>
      <c r="M322" s="145"/>
      <c r="N322" s="145"/>
      <c r="O322" s="145"/>
      <c r="P322" s="147"/>
      <c r="Q322" s="148"/>
      <c r="R322" s="437"/>
      <c r="S322" s="107"/>
      <c r="T322" s="437"/>
      <c r="U322" s="178"/>
      <c r="V322" s="107"/>
      <c r="W322" s="107"/>
      <c r="X322" s="470"/>
      <c r="Y322" s="470"/>
      <c r="Z322" s="471"/>
      <c r="AA322" s="471"/>
      <c r="AB322" s="466"/>
      <c r="AC322" s="350"/>
      <c r="AD322" s="350"/>
      <c r="AE322" s="350"/>
      <c r="AF322" s="350"/>
    </row>
    <row r="323" spans="1:32" s="457" customFormat="1" ht="18" customHeight="1" x14ac:dyDescent="0.2">
      <c r="A323" s="145"/>
      <c r="B323" s="177"/>
      <c r="C323" s="177"/>
      <c r="D323" s="145"/>
      <c r="E323" s="145"/>
      <c r="F323" s="145"/>
      <c r="G323" s="145"/>
      <c r="H323" s="147"/>
      <c r="I323" s="107"/>
      <c r="J323" s="178"/>
      <c r="K323" s="107"/>
      <c r="L323" s="145"/>
      <c r="M323" s="145"/>
      <c r="N323" s="145"/>
      <c r="O323" s="145"/>
      <c r="P323" s="147"/>
      <c r="Q323" s="148"/>
      <c r="R323" s="437"/>
      <c r="S323" s="107"/>
      <c r="T323" s="437"/>
      <c r="U323" s="178"/>
      <c r="V323" s="107"/>
      <c r="W323" s="107"/>
      <c r="X323" s="470"/>
      <c r="Y323" s="470"/>
      <c r="Z323" s="471"/>
      <c r="AA323" s="471"/>
      <c r="AB323" s="466"/>
      <c r="AC323" s="350"/>
      <c r="AD323" s="350"/>
      <c r="AE323" s="350"/>
      <c r="AF323" s="350"/>
    </row>
    <row r="324" spans="1:32" s="457" customFormat="1" ht="18" customHeight="1" x14ac:dyDescent="0.2">
      <c r="A324" s="145"/>
      <c r="B324" s="177"/>
      <c r="C324" s="177"/>
      <c r="D324" s="145"/>
      <c r="E324" s="145"/>
      <c r="F324" s="145"/>
      <c r="G324" s="145"/>
      <c r="H324" s="147"/>
      <c r="I324" s="107"/>
      <c r="J324" s="178"/>
      <c r="K324" s="107"/>
      <c r="L324" s="145"/>
      <c r="M324" s="145"/>
      <c r="N324" s="145"/>
      <c r="O324" s="145"/>
      <c r="P324" s="147"/>
      <c r="Q324" s="148"/>
      <c r="R324" s="437"/>
      <c r="S324" s="107"/>
      <c r="T324" s="437"/>
      <c r="U324" s="178"/>
      <c r="V324" s="107"/>
      <c r="W324" s="107"/>
      <c r="X324" s="470"/>
      <c r="Y324" s="470"/>
      <c r="Z324" s="471"/>
      <c r="AA324" s="471"/>
      <c r="AB324" s="466"/>
      <c r="AC324" s="350"/>
      <c r="AD324" s="350"/>
      <c r="AE324" s="350"/>
      <c r="AF324" s="350"/>
    </row>
    <row r="325" spans="1:32" s="597" customFormat="1" ht="18" customHeight="1" x14ac:dyDescent="0.2">
      <c r="A325" s="1850"/>
      <c r="B325" s="1850"/>
      <c r="C325" s="1850"/>
      <c r="D325" s="1850"/>
      <c r="E325" s="1850"/>
      <c r="F325" s="1850"/>
      <c r="G325" s="1850"/>
      <c r="H325" s="1851"/>
      <c r="I325" s="1852"/>
      <c r="J325" s="1853"/>
      <c r="K325" s="1852"/>
      <c r="L325" s="1852"/>
      <c r="M325" s="1852"/>
      <c r="N325" s="1852"/>
      <c r="O325" s="1852"/>
      <c r="P325" s="1852"/>
      <c r="Q325" s="1852"/>
      <c r="R325" s="1854"/>
      <c r="S325" s="1852"/>
      <c r="T325" s="1854"/>
      <c r="U325" s="1853"/>
      <c r="V325" s="1852"/>
      <c r="W325" s="1852"/>
      <c r="X325" s="1856"/>
      <c r="Y325" s="1856"/>
      <c r="Z325" s="1857"/>
      <c r="AA325" s="1857"/>
      <c r="AB325" s="1847">
        <f>SUM(AB307:AB324)</f>
        <v>897</v>
      </c>
      <c r="AC325" s="1861"/>
      <c r="AD325" s="1861"/>
      <c r="AE325" s="1861"/>
      <c r="AF325" s="1861"/>
    </row>
    <row r="326" spans="1:32" s="457" customFormat="1" ht="18" customHeight="1" x14ac:dyDescent="0.2">
      <c r="A326" s="2737" t="s">
        <v>76</v>
      </c>
      <c r="B326" s="2737"/>
      <c r="C326" s="2738" t="s">
        <v>77</v>
      </c>
      <c r="D326" s="2738"/>
      <c r="E326" s="2738"/>
      <c r="F326" s="2738"/>
      <c r="G326" s="2738"/>
      <c r="H326" s="2738"/>
      <c r="I326" s="457" t="s">
        <v>78</v>
      </c>
      <c r="T326" s="651"/>
      <c r="U326" s="478"/>
      <c r="AB326" s="478"/>
    </row>
    <row r="327" spans="1:32" s="457" customFormat="1" ht="18" customHeight="1" x14ac:dyDescent="0.2">
      <c r="A327" s="448"/>
      <c r="B327" s="479"/>
      <c r="I327" s="457" t="s">
        <v>79</v>
      </c>
      <c r="T327" s="651"/>
      <c r="U327" s="478"/>
      <c r="AB327" s="478"/>
    </row>
    <row r="328" spans="1:32" s="457" customFormat="1" ht="18" customHeight="1" x14ac:dyDescent="0.2">
      <c r="A328" s="448"/>
      <c r="B328" s="479"/>
      <c r="I328" s="457" t="s">
        <v>80</v>
      </c>
      <c r="T328" s="651"/>
      <c r="U328" s="478"/>
      <c r="AB328" s="478"/>
    </row>
    <row r="329" spans="1:32" s="457" customFormat="1" ht="18" customHeight="1" x14ac:dyDescent="0.2">
      <c r="A329" s="448"/>
      <c r="B329" s="479"/>
      <c r="I329" s="457" t="s">
        <v>81</v>
      </c>
      <c r="T329" s="651"/>
      <c r="U329" s="478"/>
      <c r="AB329" s="478"/>
    </row>
    <row r="330" spans="1:32" ht="18" customHeight="1" x14ac:dyDescent="0.2">
      <c r="B330" s="435"/>
      <c r="I330" s="457" t="s">
        <v>88</v>
      </c>
    </row>
    <row r="331" spans="1:32" s="457" customFormat="1" ht="18" customHeight="1" x14ac:dyDescent="0.2">
      <c r="A331" s="456"/>
      <c r="B331" s="455"/>
      <c r="C331" s="455"/>
      <c r="D331" s="455"/>
      <c r="E331" s="455"/>
      <c r="F331" s="455"/>
      <c r="G331" s="455"/>
      <c r="H331" s="455"/>
      <c r="I331" s="455"/>
      <c r="J331" s="455"/>
      <c r="K331" s="455"/>
      <c r="L331" s="455"/>
      <c r="M331" s="455"/>
      <c r="N331" s="455"/>
      <c r="O331" s="455"/>
      <c r="P331" s="455"/>
      <c r="Q331" s="455"/>
      <c r="R331" s="455"/>
      <c r="S331" s="455"/>
      <c r="T331" s="608"/>
      <c r="U331" s="609"/>
      <c r="V331" s="455"/>
      <c r="W331" s="455"/>
      <c r="X331" s="455"/>
      <c r="Y331" s="455"/>
      <c r="Z331" s="455"/>
      <c r="AA331" s="2705" t="s">
        <v>0</v>
      </c>
      <c r="AB331" s="2705"/>
      <c r="AC331" s="455"/>
      <c r="AD331" s="455"/>
      <c r="AE331" s="455"/>
      <c r="AF331" s="455"/>
    </row>
    <row r="332" spans="1:32" s="457" customFormat="1" ht="18" customHeight="1" x14ac:dyDescent="0.2">
      <c r="A332" s="2706" t="s">
        <v>1</v>
      </c>
      <c r="B332" s="2706"/>
      <c r="C332" s="2706"/>
      <c r="D332" s="2706"/>
      <c r="E332" s="2706"/>
      <c r="F332" s="2706"/>
      <c r="G332" s="2706"/>
      <c r="H332" s="2706"/>
      <c r="I332" s="2706"/>
      <c r="J332" s="2706"/>
      <c r="K332" s="2706"/>
      <c r="L332" s="2706"/>
      <c r="M332" s="2706"/>
      <c r="N332" s="2706"/>
      <c r="O332" s="2706"/>
      <c r="P332" s="2706"/>
      <c r="Q332" s="2706"/>
      <c r="R332" s="2706"/>
      <c r="S332" s="2706"/>
      <c r="T332" s="2706"/>
      <c r="U332" s="2706"/>
      <c r="V332" s="2706"/>
      <c r="W332" s="2706"/>
      <c r="X332" s="2706"/>
      <c r="Y332" s="2706"/>
      <c r="Z332" s="2706"/>
      <c r="AA332" s="2706"/>
      <c r="AB332" s="2706"/>
      <c r="AC332" s="610"/>
      <c r="AD332" s="610"/>
      <c r="AE332" s="610"/>
      <c r="AF332" s="610"/>
    </row>
    <row r="333" spans="1:32" s="457" customFormat="1" ht="18" customHeight="1" x14ac:dyDescent="0.2">
      <c r="A333" s="2704" t="s">
        <v>435</v>
      </c>
      <c r="B333" s="2704"/>
      <c r="C333" s="2704"/>
      <c r="D333" s="2704"/>
      <c r="E333" s="2704"/>
      <c r="F333" s="2704"/>
      <c r="G333" s="2704"/>
      <c r="H333" s="2704"/>
      <c r="I333" s="2704"/>
      <c r="J333" s="2704"/>
      <c r="K333" s="2704"/>
      <c r="L333" s="2704"/>
      <c r="M333" s="2704"/>
      <c r="N333" s="2704"/>
      <c r="O333" s="2704"/>
      <c r="P333" s="2704"/>
      <c r="Q333" s="2704"/>
      <c r="R333" s="2704"/>
      <c r="S333" s="2704"/>
      <c r="T333" s="2704"/>
      <c r="U333" s="2704"/>
      <c r="V333" s="2704"/>
      <c r="W333" s="2704"/>
      <c r="X333" s="2704"/>
      <c r="Y333" s="2704"/>
      <c r="Z333" s="2704"/>
      <c r="AA333" s="2704"/>
      <c r="AB333" s="2704"/>
      <c r="AC333" s="611"/>
      <c r="AD333" s="611"/>
      <c r="AE333" s="611"/>
      <c r="AF333" s="611"/>
    </row>
    <row r="334" spans="1:32" s="457" customFormat="1" ht="18" customHeight="1" x14ac:dyDescent="0.2">
      <c r="A334" s="2686" t="s">
        <v>2</v>
      </c>
      <c r="B334" s="360"/>
      <c r="C334" s="2686" t="s">
        <v>3</v>
      </c>
      <c r="D334" s="360"/>
      <c r="E334" s="360"/>
      <c r="F334" s="2693" t="s">
        <v>4</v>
      </c>
      <c r="G334" s="2693"/>
      <c r="H334" s="2693"/>
      <c r="I334" s="2694"/>
      <c r="J334" s="2694"/>
      <c r="K334" s="2695"/>
      <c r="L334" s="361"/>
      <c r="M334" s="2679" t="s">
        <v>5</v>
      </c>
      <c r="N334" s="2679"/>
      <c r="O334" s="2679"/>
      <c r="P334" s="2679"/>
      <c r="Q334" s="2696"/>
      <c r="R334" s="2696"/>
      <c r="S334" s="2696"/>
      <c r="T334" s="2696"/>
      <c r="U334" s="2696"/>
      <c r="V334" s="2697"/>
      <c r="W334" s="362" t="s">
        <v>6</v>
      </c>
      <c r="X334" s="363" t="s">
        <v>7</v>
      </c>
      <c r="Y334" s="364"/>
      <c r="Z334" s="364"/>
      <c r="AA334" s="363"/>
      <c r="AB334" s="458"/>
      <c r="AC334" s="612" t="s">
        <v>8</v>
      </c>
      <c r="AD334" s="613"/>
      <c r="AE334" s="613"/>
      <c r="AF334" s="614"/>
    </row>
    <row r="335" spans="1:32" s="457" customFormat="1" ht="18" customHeight="1" x14ac:dyDescent="0.2">
      <c r="A335" s="2687"/>
      <c r="B335" s="367"/>
      <c r="C335" s="2687"/>
      <c r="D335" s="366" t="s">
        <v>9</v>
      </c>
      <c r="E335" s="366" t="s">
        <v>10</v>
      </c>
      <c r="F335" s="2698" t="s">
        <v>11</v>
      </c>
      <c r="G335" s="2694"/>
      <c r="H335" s="2695"/>
      <c r="I335" s="360"/>
      <c r="J335" s="449" t="s">
        <v>12</v>
      </c>
      <c r="K335" s="360"/>
      <c r="L335" s="2679" t="s">
        <v>2</v>
      </c>
      <c r="M335" s="370"/>
      <c r="N335" s="370"/>
      <c r="O335" s="370"/>
      <c r="P335" s="371"/>
      <c r="Q335" s="459" t="s">
        <v>13</v>
      </c>
      <c r="R335" s="370" t="s">
        <v>12</v>
      </c>
      <c r="S335" s="370" t="s">
        <v>6</v>
      </c>
      <c r="T335" s="2682" t="s">
        <v>14</v>
      </c>
      <c r="U335" s="2683"/>
      <c r="V335" s="375" t="s">
        <v>7</v>
      </c>
      <c r="W335" s="376" t="s">
        <v>15</v>
      </c>
      <c r="X335" s="377" t="s">
        <v>16</v>
      </c>
      <c r="Y335" s="377" t="s">
        <v>17</v>
      </c>
      <c r="Z335" s="377" t="s">
        <v>18</v>
      </c>
      <c r="AA335" s="377"/>
      <c r="AB335" s="460" t="s">
        <v>19</v>
      </c>
      <c r="AC335" s="615" t="s">
        <v>20</v>
      </c>
      <c r="AD335" s="616"/>
      <c r="AE335" s="617" t="s">
        <v>21</v>
      </c>
      <c r="AF335" s="618" t="s">
        <v>22</v>
      </c>
    </row>
    <row r="336" spans="1:32" s="457" customFormat="1" ht="18" customHeight="1" x14ac:dyDescent="0.2">
      <c r="A336" s="2687"/>
      <c r="B336" s="366" t="s">
        <v>23</v>
      </c>
      <c r="C336" s="2687"/>
      <c r="D336" s="366" t="s">
        <v>24</v>
      </c>
      <c r="E336" s="366" t="s">
        <v>25</v>
      </c>
      <c r="F336" s="2699"/>
      <c r="G336" s="2700"/>
      <c r="H336" s="2701"/>
      <c r="I336" s="366" t="s">
        <v>26</v>
      </c>
      <c r="J336" s="380" t="s">
        <v>15</v>
      </c>
      <c r="K336" s="380" t="s">
        <v>6</v>
      </c>
      <c r="L336" s="2680"/>
      <c r="M336" s="381" t="s">
        <v>27</v>
      </c>
      <c r="N336" s="381" t="s">
        <v>10</v>
      </c>
      <c r="O336" s="381" t="s">
        <v>10</v>
      </c>
      <c r="P336" s="385" t="s">
        <v>28</v>
      </c>
      <c r="Q336" s="461" t="s">
        <v>29</v>
      </c>
      <c r="R336" s="385" t="s">
        <v>15</v>
      </c>
      <c r="S336" s="385" t="s">
        <v>15</v>
      </c>
      <c r="T336" s="2684"/>
      <c r="U336" s="2685"/>
      <c r="V336" s="375" t="s">
        <v>30</v>
      </c>
      <c r="W336" s="376" t="s">
        <v>31</v>
      </c>
      <c r="X336" s="377" t="s">
        <v>30</v>
      </c>
      <c r="Y336" s="377" t="s">
        <v>32</v>
      </c>
      <c r="Z336" s="377" t="s">
        <v>7</v>
      </c>
      <c r="AA336" s="377" t="s">
        <v>33</v>
      </c>
      <c r="AB336" s="460" t="s">
        <v>34</v>
      </c>
      <c r="AC336" s="615" t="s">
        <v>35</v>
      </c>
      <c r="AD336" s="617" t="s">
        <v>36</v>
      </c>
      <c r="AE336" s="617" t="s">
        <v>37</v>
      </c>
      <c r="AF336" s="618" t="s">
        <v>38</v>
      </c>
    </row>
    <row r="337" spans="1:33" s="457" customFormat="1" ht="18" customHeight="1" x14ac:dyDescent="0.2">
      <c r="A337" s="2687"/>
      <c r="B337" s="366" t="s">
        <v>39</v>
      </c>
      <c r="C337" s="2687"/>
      <c r="D337" s="366" t="s">
        <v>40</v>
      </c>
      <c r="E337" s="366" t="s">
        <v>41</v>
      </c>
      <c r="F337" s="2686" t="s">
        <v>42</v>
      </c>
      <c r="G337" s="2686" t="s">
        <v>43</v>
      </c>
      <c r="H337" s="2688" t="s">
        <v>44</v>
      </c>
      <c r="I337" s="366" t="s">
        <v>45</v>
      </c>
      <c r="J337" s="380" t="s">
        <v>46</v>
      </c>
      <c r="K337" s="380" t="s">
        <v>47</v>
      </c>
      <c r="L337" s="2680"/>
      <c r="M337" s="381" t="s">
        <v>30</v>
      </c>
      <c r="N337" s="381" t="s">
        <v>30</v>
      </c>
      <c r="O337" s="381" t="s">
        <v>25</v>
      </c>
      <c r="P337" s="385" t="s">
        <v>30</v>
      </c>
      <c r="Q337" s="461" t="s">
        <v>48</v>
      </c>
      <c r="R337" s="385" t="s">
        <v>49</v>
      </c>
      <c r="S337" s="385" t="s">
        <v>30</v>
      </c>
      <c r="T337" s="619" t="s">
        <v>50</v>
      </c>
      <c r="U337" s="620" t="s">
        <v>13</v>
      </c>
      <c r="V337" s="375" t="s">
        <v>51</v>
      </c>
      <c r="W337" s="376" t="s">
        <v>52</v>
      </c>
      <c r="X337" s="377" t="s">
        <v>53</v>
      </c>
      <c r="Y337" s="377" t="s">
        <v>54</v>
      </c>
      <c r="Z337" s="377" t="s">
        <v>55</v>
      </c>
      <c r="AA337" s="377" t="s">
        <v>56</v>
      </c>
      <c r="AB337" s="460" t="s">
        <v>57</v>
      </c>
      <c r="AC337" s="617" t="s">
        <v>58</v>
      </c>
      <c r="AD337" s="617" t="s">
        <v>59</v>
      </c>
      <c r="AE337" s="617" t="s">
        <v>59</v>
      </c>
      <c r="AF337" s="618" t="s">
        <v>60</v>
      </c>
    </row>
    <row r="338" spans="1:33" s="457" customFormat="1" ht="18" customHeight="1" x14ac:dyDescent="0.2">
      <c r="A338" s="2687"/>
      <c r="B338" s="366" t="s">
        <v>61</v>
      </c>
      <c r="C338" s="2687"/>
      <c r="D338" s="366" t="s">
        <v>62</v>
      </c>
      <c r="E338" s="366" t="s">
        <v>63</v>
      </c>
      <c r="F338" s="2687"/>
      <c r="G338" s="2687"/>
      <c r="H338" s="2689"/>
      <c r="I338" s="366" t="s">
        <v>64</v>
      </c>
      <c r="J338" s="380" t="s">
        <v>59</v>
      </c>
      <c r="K338" s="380" t="s">
        <v>59</v>
      </c>
      <c r="L338" s="2680"/>
      <c r="M338" s="381"/>
      <c r="N338" s="381"/>
      <c r="O338" s="381" t="s">
        <v>41</v>
      </c>
      <c r="P338" s="385" t="s">
        <v>65</v>
      </c>
      <c r="Q338" s="461" t="s">
        <v>66</v>
      </c>
      <c r="R338" s="385" t="s">
        <v>67</v>
      </c>
      <c r="S338" s="385" t="s">
        <v>59</v>
      </c>
      <c r="T338" s="621" t="s">
        <v>68</v>
      </c>
      <c r="U338" s="622" t="s">
        <v>14</v>
      </c>
      <c r="V338" s="375" t="s">
        <v>14</v>
      </c>
      <c r="W338" s="376" t="s">
        <v>30</v>
      </c>
      <c r="X338" s="388" t="s">
        <v>69</v>
      </c>
      <c r="Y338" s="388" t="s">
        <v>70</v>
      </c>
      <c r="Z338" s="377" t="s">
        <v>71</v>
      </c>
      <c r="AA338" s="377" t="s">
        <v>72</v>
      </c>
      <c r="AB338" s="460" t="s">
        <v>59</v>
      </c>
      <c r="AC338" s="617" t="s">
        <v>59</v>
      </c>
      <c r="AD338" s="617"/>
      <c r="AE338" s="617"/>
      <c r="AF338" s="618" t="s">
        <v>59</v>
      </c>
    </row>
    <row r="339" spans="1:33" s="457" customFormat="1" ht="18" customHeight="1" x14ac:dyDescent="0.2">
      <c r="A339" s="2692"/>
      <c r="B339" s="390"/>
      <c r="C339" s="2692"/>
      <c r="D339" s="390"/>
      <c r="E339" s="389"/>
      <c r="F339" s="390"/>
      <c r="G339" s="390"/>
      <c r="H339" s="391"/>
      <c r="I339" s="389"/>
      <c r="J339" s="393"/>
      <c r="K339" s="393"/>
      <c r="L339" s="2681"/>
      <c r="M339" s="394"/>
      <c r="N339" s="394"/>
      <c r="O339" s="394" t="s">
        <v>63</v>
      </c>
      <c r="P339" s="394"/>
      <c r="Q339" s="450" t="s">
        <v>72</v>
      </c>
      <c r="R339" s="398" t="s">
        <v>59</v>
      </c>
      <c r="S339" s="398"/>
      <c r="T339" s="623" t="s">
        <v>73</v>
      </c>
      <c r="U339" s="624" t="s">
        <v>59</v>
      </c>
      <c r="V339" s="399" t="s">
        <v>59</v>
      </c>
      <c r="W339" s="400" t="s">
        <v>59</v>
      </c>
      <c r="X339" s="401" t="s">
        <v>59</v>
      </c>
      <c r="Y339" s="401" t="s">
        <v>59</v>
      </c>
      <c r="Z339" s="401" t="s">
        <v>59</v>
      </c>
      <c r="AA339" s="402"/>
      <c r="AB339" s="462"/>
      <c r="AC339" s="625"/>
      <c r="AD339" s="625"/>
      <c r="AE339" s="625"/>
      <c r="AF339" s="626"/>
    </row>
    <row r="340" spans="1:33" s="457" customFormat="1" ht="18" customHeight="1" x14ac:dyDescent="0.2">
      <c r="A340" s="240">
        <v>1</v>
      </c>
      <c r="B340" s="240">
        <v>56914</v>
      </c>
      <c r="C340" s="939" t="s">
        <v>150</v>
      </c>
      <c r="D340" s="82" t="s">
        <v>139</v>
      </c>
      <c r="E340" s="95">
        <v>4</v>
      </c>
      <c r="F340" s="700">
        <v>0</v>
      </c>
      <c r="G340" s="240">
        <v>1</v>
      </c>
      <c r="H340" s="940">
        <v>74</v>
      </c>
      <c r="I340" s="70">
        <f>F340*400+G340*100+H340</f>
        <v>174</v>
      </c>
      <c r="J340" s="123">
        <v>2300</v>
      </c>
      <c r="K340" s="124">
        <f>SUM(I340*J340)</f>
        <v>400200</v>
      </c>
      <c r="L340" s="95"/>
      <c r="M340" s="95"/>
      <c r="N340" s="95"/>
      <c r="O340" s="95"/>
      <c r="P340" s="1279"/>
      <c r="Q340" s="721"/>
      <c r="R340" s="1280"/>
      <c r="S340" s="123"/>
      <c r="T340" s="443"/>
      <c r="U340" s="123"/>
      <c r="V340" s="123"/>
      <c r="W340" s="123">
        <f>K340+V340</f>
        <v>400200</v>
      </c>
      <c r="X340" s="123">
        <f>W340</f>
        <v>400200</v>
      </c>
      <c r="Y340" s="123"/>
      <c r="Z340" s="123">
        <f>+X340</f>
        <v>400200</v>
      </c>
      <c r="AA340" s="464">
        <v>0.6</v>
      </c>
      <c r="AB340" s="465">
        <f>+Z340*AA340/100</f>
        <v>2401.1999999999998</v>
      </c>
      <c r="AC340" s="602"/>
      <c r="AD340" s="603">
        <f>AB373-AC340</f>
        <v>41.16</v>
      </c>
      <c r="AE340" s="603">
        <f>IF(AD340&lt;=0,0,AD340*25/100)</f>
        <v>10.29</v>
      </c>
      <c r="AF340" s="603">
        <f>IF(AC340+AE340&gt;AB373,AB373,AC340+AE340)</f>
        <v>10.29</v>
      </c>
      <c r="AG340" s="457" t="s">
        <v>387</v>
      </c>
    </row>
    <row r="341" spans="1:33" s="457" customFormat="1" ht="18" customHeight="1" x14ac:dyDescent="0.2">
      <c r="A341" s="241"/>
      <c r="B341" s="241"/>
      <c r="C341" s="498"/>
      <c r="D341" s="145"/>
      <c r="E341" s="102"/>
      <c r="F341" s="499"/>
      <c r="G341" s="241"/>
      <c r="H341" s="500"/>
      <c r="I341" s="77"/>
      <c r="J341" s="107"/>
      <c r="K341" s="78"/>
      <c r="L341" s="102"/>
      <c r="M341" s="102"/>
      <c r="N341" s="102"/>
      <c r="O341" s="102"/>
      <c r="P341" s="1281"/>
      <c r="Q341" s="909"/>
      <c r="R341" s="1282"/>
      <c r="S341" s="107"/>
      <c r="T341" s="442"/>
      <c r="U341" s="107"/>
      <c r="V341" s="107"/>
      <c r="W341" s="107"/>
      <c r="X341" s="107"/>
      <c r="Y341" s="107"/>
      <c r="Z341" s="107"/>
      <c r="AA341" s="409"/>
      <c r="AB341" s="416"/>
      <c r="AC341" s="350"/>
      <c r="AD341" s="350"/>
      <c r="AE341" s="350"/>
      <c r="AF341" s="350"/>
    </row>
    <row r="342" spans="1:33" s="457" customFormat="1" ht="18" customHeight="1" x14ac:dyDescent="0.2">
      <c r="A342" s="145"/>
      <c r="B342" s="177"/>
      <c r="C342" s="177"/>
      <c r="D342" s="145"/>
      <c r="E342" s="145"/>
      <c r="F342" s="145"/>
      <c r="G342" s="145"/>
      <c r="H342" s="147"/>
      <c r="I342" s="107"/>
      <c r="J342" s="178"/>
      <c r="K342" s="107"/>
      <c r="L342" s="145"/>
      <c r="M342" s="145"/>
      <c r="N342" s="145"/>
      <c r="O342" s="145"/>
      <c r="P342" s="147"/>
      <c r="Q342" s="148"/>
      <c r="R342" s="437"/>
      <c r="S342" s="107"/>
      <c r="T342" s="437"/>
      <c r="U342" s="178"/>
      <c r="V342" s="107"/>
      <c r="W342" s="107"/>
      <c r="X342" s="470"/>
      <c r="Y342" s="470"/>
      <c r="Z342" s="471"/>
      <c r="AA342" s="471"/>
      <c r="AB342" s="466"/>
      <c r="AC342" s="350"/>
      <c r="AD342" s="350"/>
      <c r="AE342" s="350"/>
      <c r="AF342" s="350"/>
    </row>
    <row r="343" spans="1:33" s="457" customFormat="1" ht="18" customHeight="1" x14ac:dyDescent="0.2">
      <c r="A343" s="145"/>
      <c r="B343" s="177"/>
      <c r="C343" s="177"/>
      <c r="D343" s="145"/>
      <c r="E343" s="145"/>
      <c r="F343" s="145"/>
      <c r="G343" s="145"/>
      <c r="H343" s="147"/>
      <c r="I343" s="107"/>
      <c r="J343" s="178"/>
      <c r="K343" s="107"/>
      <c r="L343" s="145"/>
      <c r="M343" s="145"/>
      <c r="N343" s="145"/>
      <c r="O343" s="145"/>
      <c r="P343" s="147"/>
      <c r="Q343" s="148"/>
      <c r="R343" s="437"/>
      <c r="S343" s="107"/>
      <c r="T343" s="437"/>
      <c r="U343" s="178"/>
      <c r="V343" s="107"/>
      <c r="W343" s="107"/>
      <c r="X343" s="470"/>
      <c r="Y343" s="470"/>
      <c r="Z343" s="471"/>
      <c r="AA343" s="471"/>
      <c r="AB343" s="466"/>
      <c r="AC343" s="350"/>
      <c r="AD343" s="350"/>
      <c r="AE343" s="350"/>
      <c r="AF343" s="350"/>
    </row>
    <row r="344" spans="1:33" s="457" customFormat="1" ht="18" customHeight="1" x14ac:dyDescent="0.2">
      <c r="A344" s="145"/>
      <c r="B344" s="177"/>
      <c r="C344" s="177"/>
      <c r="D344" s="145"/>
      <c r="E344" s="145"/>
      <c r="F344" s="145"/>
      <c r="G344" s="145"/>
      <c r="H344" s="147"/>
      <c r="I344" s="107"/>
      <c r="J344" s="178"/>
      <c r="K344" s="107"/>
      <c r="L344" s="145"/>
      <c r="M344" s="145"/>
      <c r="N344" s="145"/>
      <c r="O344" s="145"/>
      <c r="P344" s="147"/>
      <c r="Q344" s="148"/>
      <c r="R344" s="437"/>
      <c r="S344" s="107"/>
      <c r="T344" s="437"/>
      <c r="U344" s="178"/>
      <c r="V344" s="107"/>
      <c r="W344" s="107"/>
      <c r="X344" s="470"/>
      <c r="Y344" s="470"/>
      <c r="Z344" s="471"/>
      <c r="AA344" s="471"/>
      <c r="AB344" s="466"/>
      <c r="AC344" s="350"/>
      <c r="AD344" s="350"/>
      <c r="AE344" s="350"/>
      <c r="AF344" s="350"/>
    </row>
    <row r="345" spans="1:33" s="457" customFormat="1" ht="18" customHeight="1" x14ac:dyDescent="0.2">
      <c r="A345" s="145"/>
      <c r="B345" s="177"/>
      <c r="C345" s="177"/>
      <c r="D345" s="145"/>
      <c r="E345" s="145"/>
      <c r="F345" s="145"/>
      <c r="G345" s="145"/>
      <c r="H345" s="147"/>
      <c r="I345" s="107"/>
      <c r="J345" s="178"/>
      <c r="K345" s="107"/>
      <c r="L345" s="145"/>
      <c r="M345" s="145"/>
      <c r="N345" s="145"/>
      <c r="O345" s="145"/>
      <c r="P345" s="147"/>
      <c r="Q345" s="148"/>
      <c r="R345" s="437"/>
      <c r="S345" s="107"/>
      <c r="T345" s="437"/>
      <c r="U345" s="178"/>
      <c r="V345" s="107"/>
      <c r="W345" s="107"/>
      <c r="X345" s="470"/>
      <c r="Y345" s="470"/>
      <c r="Z345" s="471"/>
      <c r="AA345" s="471"/>
      <c r="AB345" s="466"/>
      <c r="AC345" s="350"/>
      <c r="AD345" s="350"/>
      <c r="AE345" s="350"/>
      <c r="AF345" s="350"/>
    </row>
    <row r="346" spans="1:33" s="457" customFormat="1" ht="18" customHeight="1" x14ac:dyDescent="0.2">
      <c r="A346" s="145"/>
      <c r="B346" s="177"/>
      <c r="C346" s="177"/>
      <c r="D346" s="145"/>
      <c r="E346" s="145"/>
      <c r="F346" s="145"/>
      <c r="G346" s="145"/>
      <c r="H346" s="147"/>
      <c r="I346" s="107"/>
      <c r="J346" s="178"/>
      <c r="K346" s="107"/>
      <c r="L346" s="145"/>
      <c r="M346" s="145"/>
      <c r="N346" s="145"/>
      <c r="O346" s="145"/>
      <c r="P346" s="147"/>
      <c r="Q346" s="148"/>
      <c r="R346" s="437"/>
      <c r="S346" s="107"/>
      <c r="T346" s="437"/>
      <c r="U346" s="178"/>
      <c r="V346" s="107"/>
      <c r="W346" s="107"/>
      <c r="X346" s="470"/>
      <c r="Y346" s="470"/>
      <c r="Z346" s="471"/>
      <c r="AA346" s="471"/>
      <c r="AB346" s="466"/>
      <c r="AC346" s="350"/>
      <c r="AD346" s="350"/>
      <c r="AE346" s="350"/>
      <c r="AF346" s="350"/>
    </row>
    <row r="347" spans="1:33" s="457" customFormat="1" ht="18" customHeight="1" x14ac:dyDescent="0.2">
      <c r="A347" s="145"/>
      <c r="B347" s="177"/>
      <c r="C347" s="177"/>
      <c r="D347" s="145"/>
      <c r="E347" s="145"/>
      <c r="F347" s="145"/>
      <c r="G347" s="145"/>
      <c r="H347" s="147"/>
      <c r="I347" s="107"/>
      <c r="J347" s="178"/>
      <c r="K347" s="107"/>
      <c r="L347" s="145"/>
      <c r="M347" s="145"/>
      <c r="N347" s="145"/>
      <c r="O347" s="145"/>
      <c r="P347" s="147"/>
      <c r="Q347" s="148"/>
      <c r="R347" s="437"/>
      <c r="S347" s="107"/>
      <c r="T347" s="437"/>
      <c r="U347" s="178"/>
      <c r="V347" s="107"/>
      <c r="W347" s="107"/>
      <c r="X347" s="470"/>
      <c r="Y347" s="470"/>
      <c r="Z347" s="471"/>
      <c r="AA347" s="471"/>
      <c r="AB347" s="466"/>
      <c r="AC347" s="350"/>
      <c r="AD347" s="350"/>
      <c r="AE347" s="350"/>
      <c r="AF347" s="350"/>
    </row>
    <row r="348" spans="1:33" s="457" customFormat="1" ht="18" customHeight="1" x14ac:dyDescent="0.2">
      <c r="A348" s="145"/>
      <c r="B348" s="177"/>
      <c r="C348" s="177"/>
      <c r="D348" s="145"/>
      <c r="E348" s="145"/>
      <c r="F348" s="145"/>
      <c r="G348" s="145"/>
      <c r="H348" s="147"/>
      <c r="I348" s="107"/>
      <c r="J348" s="178"/>
      <c r="K348" s="107"/>
      <c r="L348" s="145"/>
      <c r="M348" s="145"/>
      <c r="N348" s="145"/>
      <c r="O348" s="145"/>
      <c r="P348" s="147"/>
      <c r="Q348" s="148"/>
      <c r="R348" s="437"/>
      <c r="S348" s="107"/>
      <c r="T348" s="437"/>
      <c r="U348" s="178"/>
      <c r="V348" s="107"/>
      <c r="W348" s="107"/>
      <c r="X348" s="470"/>
      <c r="Y348" s="470"/>
      <c r="Z348" s="471"/>
      <c r="AA348" s="471"/>
      <c r="AB348" s="466"/>
      <c r="AC348" s="350"/>
      <c r="AD348" s="350"/>
      <c r="AE348" s="350"/>
      <c r="AF348" s="350"/>
    </row>
    <row r="349" spans="1:33" s="457" customFormat="1" ht="18" customHeight="1" x14ac:dyDescent="0.2">
      <c r="A349" s="145"/>
      <c r="B349" s="177"/>
      <c r="C349" s="177"/>
      <c r="D349" s="145"/>
      <c r="E349" s="145"/>
      <c r="F349" s="145"/>
      <c r="G349" s="145"/>
      <c r="H349" s="147"/>
      <c r="I349" s="107"/>
      <c r="J349" s="178"/>
      <c r="K349" s="107"/>
      <c r="L349" s="145"/>
      <c r="M349" s="145"/>
      <c r="N349" s="145"/>
      <c r="O349" s="145"/>
      <c r="P349" s="147"/>
      <c r="Q349" s="148"/>
      <c r="R349" s="437"/>
      <c r="S349" s="107"/>
      <c r="T349" s="437"/>
      <c r="U349" s="178"/>
      <c r="V349" s="107"/>
      <c r="W349" s="107"/>
      <c r="X349" s="470"/>
      <c r="Y349" s="470"/>
      <c r="Z349" s="471"/>
      <c r="AA349" s="471"/>
      <c r="AB349" s="466"/>
      <c r="AC349" s="350"/>
      <c r="AD349" s="350"/>
      <c r="AE349" s="350"/>
      <c r="AF349" s="350"/>
    </row>
    <row r="350" spans="1:33" s="457" customFormat="1" ht="18" customHeight="1" x14ac:dyDescent="0.2">
      <c r="A350" s="145"/>
      <c r="B350" s="177"/>
      <c r="C350" s="177"/>
      <c r="D350" s="145"/>
      <c r="E350" s="145"/>
      <c r="F350" s="145"/>
      <c r="G350" s="145"/>
      <c r="H350" s="147"/>
      <c r="I350" s="107"/>
      <c r="J350" s="178"/>
      <c r="K350" s="107"/>
      <c r="L350" s="145"/>
      <c r="M350" s="145"/>
      <c r="N350" s="145"/>
      <c r="O350" s="145"/>
      <c r="P350" s="147"/>
      <c r="Q350" s="148"/>
      <c r="R350" s="437"/>
      <c r="S350" s="107"/>
      <c r="T350" s="437"/>
      <c r="U350" s="178"/>
      <c r="V350" s="107"/>
      <c r="W350" s="107"/>
      <c r="X350" s="470"/>
      <c r="Y350" s="470"/>
      <c r="Z350" s="471"/>
      <c r="AA350" s="471"/>
      <c r="AB350" s="466"/>
      <c r="AC350" s="350"/>
      <c r="AD350" s="350"/>
      <c r="AE350" s="350"/>
      <c r="AF350" s="350"/>
    </row>
    <row r="351" spans="1:33" s="457" customFormat="1" ht="18" customHeight="1" x14ac:dyDescent="0.2">
      <c r="A351" s="145"/>
      <c r="B351" s="177"/>
      <c r="C351" s="177"/>
      <c r="D351" s="145"/>
      <c r="E351" s="145"/>
      <c r="F351" s="145"/>
      <c r="G351" s="145"/>
      <c r="H351" s="147"/>
      <c r="I351" s="107"/>
      <c r="J351" s="178"/>
      <c r="K351" s="107"/>
      <c r="L351" s="145"/>
      <c r="M351" s="145"/>
      <c r="N351" s="145"/>
      <c r="O351" s="145"/>
      <c r="P351" s="147"/>
      <c r="Q351" s="148"/>
      <c r="R351" s="437"/>
      <c r="S351" s="107"/>
      <c r="T351" s="437"/>
      <c r="U351" s="178"/>
      <c r="V351" s="107"/>
      <c r="W351" s="107"/>
      <c r="X351" s="470"/>
      <c r="Y351" s="470"/>
      <c r="Z351" s="471"/>
      <c r="AA351" s="471"/>
      <c r="AB351" s="466"/>
      <c r="AC351" s="350"/>
      <c r="AD351" s="350"/>
      <c r="AE351" s="350"/>
      <c r="AF351" s="350"/>
    </row>
    <row r="352" spans="1:33" s="457" customFormat="1" ht="18" customHeight="1" x14ac:dyDescent="0.2">
      <c r="A352" s="145"/>
      <c r="B352" s="177"/>
      <c r="C352" s="177"/>
      <c r="D352" s="145"/>
      <c r="E352" s="145"/>
      <c r="F352" s="145"/>
      <c r="G352" s="145"/>
      <c r="H352" s="147"/>
      <c r="I352" s="107"/>
      <c r="J352" s="178"/>
      <c r="K352" s="107"/>
      <c r="L352" s="145"/>
      <c r="M352" s="145"/>
      <c r="N352" s="145"/>
      <c r="O352" s="145"/>
      <c r="P352" s="147"/>
      <c r="Q352" s="148"/>
      <c r="R352" s="437"/>
      <c r="S352" s="107"/>
      <c r="T352" s="437"/>
      <c r="U352" s="178"/>
      <c r="V352" s="107"/>
      <c r="W352" s="107"/>
      <c r="X352" s="470"/>
      <c r="Y352" s="470"/>
      <c r="Z352" s="471"/>
      <c r="AA352" s="471"/>
      <c r="AB352" s="466"/>
      <c r="AC352" s="350"/>
      <c r="AD352" s="350"/>
      <c r="AE352" s="350"/>
      <c r="AF352" s="350"/>
    </row>
    <row r="353" spans="1:32" s="457" customFormat="1" ht="18" customHeight="1" x14ac:dyDescent="0.2">
      <c r="A353" s="145"/>
      <c r="B353" s="177"/>
      <c r="C353" s="177"/>
      <c r="D353" s="145"/>
      <c r="E353" s="145"/>
      <c r="F353" s="145"/>
      <c r="G353" s="145"/>
      <c r="H353" s="147"/>
      <c r="I353" s="107"/>
      <c r="J353" s="178"/>
      <c r="K353" s="107"/>
      <c r="L353" s="145"/>
      <c r="M353" s="145"/>
      <c r="N353" s="145"/>
      <c r="O353" s="145"/>
      <c r="P353" s="147"/>
      <c r="Q353" s="148"/>
      <c r="R353" s="437"/>
      <c r="S353" s="107"/>
      <c r="T353" s="437"/>
      <c r="U353" s="178"/>
      <c r="V353" s="107"/>
      <c r="W353" s="107"/>
      <c r="X353" s="470"/>
      <c r="Y353" s="470"/>
      <c r="Z353" s="471"/>
      <c r="AA353" s="471"/>
      <c r="AB353" s="466"/>
      <c r="AC353" s="350"/>
      <c r="AD353" s="350"/>
      <c r="AE353" s="350"/>
      <c r="AF353" s="350"/>
    </row>
    <row r="354" spans="1:32" s="457" customFormat="1" ht="18" customHeight="1" x14ac:dyDescent="0.2">
      <c r="A354" s="145"/>
      <c r="B354" s="177"/>
      <c r="C354" s="177"/>
      <c r="D354" s="145"/>
      <c r="E354" s="145"/>
      <c r="F354" s="145"/>
      <c r="G354" s="145"/>
      <c r="H354" s="147"/>
      <c r="I354" s="107"/>
      <c r="J354" s="178"/>
      <c r="K354" s="107"/>
      <c r="L354" s="145"/>
      <c r="M354" s="145"/>
      <c r="N354" s="145"/>
      <c r="O354" s="145"/>
      <c r="P354" s="147"/>
      <c r="Q354" s="148"/>
      <c r="R354" s="437"/>
      <c r="S354" s="107"/>
      <c r="T354" s="437"/>
      <c r="U354" s="178"/>
      <c r="V354" s="107"/>
      <c r="W354" s="107"/>
      <c r="X354" s="470"/>
      <c r="Y354" s="470"/>
      <c r="Z354" s="471"/>
      <c r="AA354" s="471"/>
      <c r="AB354" s="466"/>
      <c r="AC354" s="350"/>
      <c r="AD354" s="350"/>
      <c r="AE354" s="350"/>
      <c r="AF354" s="350"/>
    </row>
    <row r="355" spans="1:32" s="457" customFormat="1" ht="18" customHeight="1" x14ac:dyDescent="0.2">
      <c r="A355" s="145"/>
      <c r="B355" s="177"/>
      <c r="C355" s="177"/>
      <c r="D355" s="145"/>
      <c r="E355" s="145"/>
      <c r="F355" s="145"/>
      <c r="G355" s="145"/>
      <c r="H355" s="147"/>
      <c r="I355" s="107"/>
      <c r="J355" s="178"/>
      <c r="K355" s="107"/>
      <c r="L355" s="145"/>
      <c r="M355" s="145"/>
      <c r="N355" s="145"/>
      <c r="O355" s="145"/>
      <c r="P355" s="147"/>
      <c r="Q355" s="148"/>
      <c r="R355" s="437"/>
      <c r="S355" s="107"/>
      <c r="T355" s="437"/>
      <c r="U355" s="178"/>
      <c r="V355" s="107"/>
      <c r="W355" s="107"/>
      <c r="X355" s="470"/>
      <c r="Y355" s="470"/>
      <c r="Z355" s="471"/>
      <c r="AA355" s="471"/>
      <c r="AB355" s="466"/>
      <c r="AC355" s="350"/>
      <c r="AD355" s="350"/>
      <c r="AE355" s="350"/>
      <c r="AF355" s="350"/>
    </row>
    <row r="356" spans="1:32" s="457" customFormat="1" ht="18" customHeight="1" x14ac:dyDescent="0.2">
      <c r="A356" s="145"/>
      <c r="B356" s="177"/>
      <c r="C356" s="177"/>
      <c r="D356" s="145"/>
      <c r="E356" s="145"/>
      <c r="F356" s="145"/>
      <c r="G356" s="145"/>
      <c r="H356" s="147"/>
      <c r="I356" s="107"/>
      <c r="J356" s="178"/>
      <c r="K356" s="107"/>
      <c r="L356" s="145"/>
      <c r="M356" s="145"/>
      <c r="N356" s="145"/>
      <c r="O356" s="145"/>
      <c r="P356" s="147"/>
      <c r="Q356" s="148"/>
      <c r="R356" s="437"/>
      <c r="S356" s="107"/>
      <c r="T356" s="437"/>
      <c r="U356" s="178"/>
      <c r="V356" s="107"/>
      <c r="W356" s="107"/>
      <c r="X356" s="470"/>
      <c r="Y356" s="470"/>
      <c r="Z356" s="471"/>
      <c r="AA356" s="471"/>
      <c r="AB356" s="466"/>
      <c r="AC356" s="350"/>
      <c r="AD356" s="350"/>
      <c r="AE356" s="350"/>
      <c r="AF356" s="350"/>
    </row>
    <row r="357" spans="1:32" s="457" customFormat="1" ht="18" customHeight="1" x14ac:dyDescent="0.2">
      <c r="A357" s="145"/>
      <c r="B357" s="177"/>
      <c r="C357" s="177"/>
      <c r="D357" s="145"/>
      <c r="E357" s="145"/>
      <c r="F357" s="145"/>
      <c r="G357" s="145"/>
      <c r="H357" s="147"/>
      <c r="I357" s="107"/>
      <c r="J357" s="178"/>
      <c r="K357" s="107"/>
      <c r="L357" s="145"/>
      <c r="M357" s="145"/>
      <c r="N357" s="145"/>
      <c r="O357" s="145"/>
      <c r="P357" s="147"/>
      <c r="Q357" s="148"/>
      <c r="R357" s="437"/>
      <c r="S357" s="107"/>
      <c r="T357" s="437"/>
      <c r="U357" s="178"/>
      <c r="V357" s="107"/>
      <c r="W357" s="107"/>
      <c r="X357" s="470"/>
      <c r="Y357" s="470"/>
      <c r="Z357" s="471"/>
      <c r="AA357" s="471"/>
      <c r="AB357" s="466"/>
      <c r="AC357" s="350"/>
      <c r="AD357" s="350"/>
      <c r="AE357" s="350"/>
      <c r="AF357" s="350"/>
    </row>
    <row r="358" spans="1:32" s="597" customFormat="1" ht="18" customHeight="1" x14ac:dyDescent="0.2">
      <c r="A358" s="1850"/>
      <c r="B358" s="1850"/>
      <c r="C358" s="1850"/>
      <c r="D358" s="1850"/>
      <c r="E358" s="1850"/>
      <c r="F358" s="1850"/>
      <c r="G358" s="1850"/>
      <c r="H358" s="1851"/>
      <c r="I358" s="1852"/>
      <c r="J358" s="1853"/>
      <c r="K358" s="1852"/>
      <c r="L358" s="1852"/>
      <c r="M358" s="1852"/>
      <c r="N358" s="1852"/>
      <c r="O358" s="1852"/>
      <c r="P358" s="1852"/>
      <c r="Q358" s="1852"/>
      <c r="R358" s="1854"/>
      <c r="S358" s="1852"/>
      <c r="T358" s="1854"/>
      <c r="U358" s="1853"/>
      <c r="V358" s="1852"/>
      <c r="W358" s="1852"/>
      <c r="X358" s="1856"/>
      <c r="Y358" s="1856"/>
      <c r="Z358" s="1857"/>
      <c r="AA358" s="1857"/>
      <c r="AB358" s="1847">
        <f>SUM(AB340:AB357)</f>
        <v>2401.1999999999998</v>
      </c>
      <c r="AC358" s="1861"/>
      <c r="AD358" s="1861"/>
      <c r="AE358" s="1861"/>
      <c r="AF358" s="1861"/>
    </row>
    <row r="359" spans="1:32" s="457" customFormat="1" ht="18" customHeight="1" x14ac:dyDescent="0.2">
      <c r="A359" s="2737" t="s">
        <v>76</v>
      </c>
      <c r="B359" s="2737"/>
      <c r="C359" s="2738" t="s">
        <v>77</v>
      </c>
      <c r="D359" s="2738"/>
      <c r="E359" s="2738"/>
      <c r="F359" s="2738"/>
      <c r="G359" s="2738"/>
      <c r="H359" s="2738"/>
      <c r="I359" s="457" t="s">
        <v>78</v>
      </c>
      <c r="T359" s="651"/>
      <c r="U359" s="478"/>
      <c r="AB359" s="478"/>
    </row>
    <row r="360" spans="1:32" s="457" customFormat="1" ht="18" customHeight="1" x14ac:dyDescent="0.2">
      <c r="A360" s="448"/>
      <c r="B360" s="479"/>
      <c r="I360" s="457" t="s">
        <v>79</v>
      </c>
      <c r="T360" s="651"/>
      <c r="U360" s="478"/>
      <c r="AB360" s="478"/>
    </row>
    <row r="361" spans="1:32" s="457" customFormat="1" ht="18" customHeight="1" x14ac:dyDescent="0.2">
      <c r="A361" s="448"/>
      <c r="B361" s="479"/>
      <c r="I361" s="457" t="s">
        <v>80</v>
      </c>
      <c r="T361" s="651"/>
      <c r="U361" s="478"/>
      <c r="AB361" s="478"/>
    </row>
    <row r="362" spans="1:32" s="457" customFormat="1" ht="18" customHeight="1" x14ac:dyDescent="0.2">
      <c r="A362" s="448"/>
      <c r="B362" s="479"/>
      <c r="I362" s="457" t="s">
        <v>81</v>
      </c>
      <c r="T362" s="651"/>
      <c r="U362" s="478"/>
      <c r="AB362" s="478"/>
    </row>
    <row r="363" spans="1:32" s="457" customFormat="1" ht="18" customHeight="1" x14ac:dyDescent="0.2">
      <c r="A363" s="448"/>
      <c r="B363" s="479"/>
      <c r="I363" s="457" t="s">
        <v>88</v>
      </c>
      <c r="T363" s="651"/>
      <c r="U363" s="478"/>
      <c r="AB363" s="478"/>
    </row>
    <row r="364" spans="1:32" s="457" customFormat="1" ht="18" customHeight="1" x14ac:dyDescent="0.2">
      <c r="A364" s="456"/>
      <c r="B364" s="455"/>
      <c r="C364" s="455"/>
      <c r="D364" s="455"/>
      <c r="E364" s="455"/>
      <c r="F364" s="455"/>
      <c r="G364" s="455"/>
      <c r="H364" s="455"/>
      <c r="I364" s="455"/>
      <c r="J364" s="455"/>
      <c r="K364" s="455"/>
      <c r="L364" s="455"/>
      <c r="M364" s="455"/>
      <c r="N364" s="455"/>
      <c r="O364" s="455"/>
      <c r="P364" s="455"/>
      <c r="Q364" s="455"/>
      <c r="R364" s="455"/>
      <c r="S364" s="455"/>
      <c r="T364" s="608"/>
      <c r="U364" s="609"/>
      <c r="V364" s="455"/>
      <c r="W364" s="455"/>
      <c r="X364" s="455"/>
      <c r="Y364" s="455"/>
      <c r="Z364" s="455"/>
      <c r="AA364" s="2705" t="s">
        <v>0</v>
      </c>
      <c r="AB364" s="2705"/>
      <c r="AC364" s="455"/>
      <c r="AD364" s="455"/>
      <c r="AE364" s="455"/>
      <c r="AF364" s="455"/>
    </row>
    <row r="365" spans="1:32" s="457" customFormat="1" ht="18" customHeight="1" x14ac:dyDescent="0.2">
      <c r="A365" s="2706" t="s">
        <v>1</v>
      </c>
      <c r="B365" s="2706"/>
      <c r="C365" s="2706"/>
      <c r="D365" s="2706"/>
      <c r="E365" s="2706"/>
      <c r="F365" s="2706"/>
      <c r="G365" s="2706"/>
      <c r="H365" s="2706"/>
      <c r="I365" s="2706"/>
      <c r="J365" s="2706"/>
      <c r="K365" s="2706"/>
      <c r="L365" s="2706"/>
      <c r="M365" s="2706"/>
      <c r="N365" s="2706"/>
      <c r="O365" s="2706"/>
      <c r="P365" s="2706"/>
      <c r="Q365" s="2706"/>
      <c r="R365" s="2706"/>
      <c r="S365" s="2706"/>
      <c r="T365" s="2706"/>
      <c r="U365" s="2706"/>
      <c r="V365" s="2706"/>
      <c r="W365" s="2706"/>
      <c r="X365" s="2706"/>
      <c r="Y365" s="2706"/>
      <c r="Z365" s="2706"/>
      <c r="AA365" s="2706"/>
      <c r="AB365" s="2706"/>
      <c r="AC365" s="610"/>
      <c r="AD365" s="610"/>
      <c r="AE365" s="610"/>
      <c r="AF365" s="610"/>
    </row>
    <row r="366" spans="1:32" s="457" customFormat="1" ht="18" customHeight="1" x14ac:dyDescent="0.2">
      <c r="A366" s="2741" t="s">
        <v>356</v>
      </c>
      <c r="B366" s="2741"/>
      <c r="C366" s="2741"/>
      <c r="D366" s="2741"/>
      <c r="E366" s="2741"/>
      <c r="F366" s="2741"/>
      <c r="G366" s="2741"/>
      <c r="H366" s="2741"/>
      <c r="I366" s="2741"/>
      <c r="J366" s="2741"/>
      <c r="K366" s="2741"/>
      <c r="L366" s="2741"/>
      <c r="M366" s="2741"/>
      <c r="N366" s="2741"/>
      <c r="O366" s="2741"/>
      <c r="P366" s="2741"/>
      <c r="Q366" s="2741"/>
      <c r="R366" s="2741"/>
      <c r="S366" s="2741"/>
      <c r="T366" s="2741"/>
      <c r="U366" s="2741"/>
      <c r="V366" s="2741"/>
      <c r="W366" s="2741"/>
      <c r="X366" s="2741"/>
      <c r="Y366" s="2741"/>
      <c r="Z366" s="2741"/>
      <c r="AA366" s="2741"/>
      <c r="AB366" s="2741"/>
      <c r="AC366" s="611"/>
      <c r="AD366" s="611"/>
      <c r="AE366" s="611"/>
      <c r="AF366" s="611"/>
    </row>
    <row r="367" spans="1:32" s="457" customFormat="1" ht="18" customHeight="1" x14ac:dyDescent="0.2">
      <c r="A367" s="2686" t="s">
        <v>2</v>
      </c>
      <c r="B367" s="360"/>
      <c r="C367" s="2686" t="s">
        <v>3</v>
      </c>
      <c r="D367" s="360"/>
      <c r="E367" s="360"/>
      <c r="F367" s="2693" t="s">
        <v>4</v>
      </c>
      <c r="G367" s="2693"/>
      <c r="H367" s="2693"/>
      <c r="I367" s="2694"/>
      <c r="J367" s="2694"/>
      <c r="K367" s="2695"/>
      <c r="L367" s="361"/>
      <c r="M367" s="2679" t="s">
        <v>5</v>
      </c>
      <c r="N367" s="2679"/>
      <c r="O367" s="2679"/>
      <c r="P367" s="2679"/>
      <c r="Q367" s="2696"/>
      <c r="R367" s="2696"/>
      <c r="S367" s="2696"/>
      <c r="T367" s="2696"/>
      <c r="U367" s="2696"/>
      <c r="V367" s="2697"/>
      <c r="W367" s="362" t="s">
        <v>6</v>
      </c>
      <c r="X367" s="363" t="s">
        <v>7</v>
      </c>
      <c r="Y367" s="364"/>
      <c r="Z367" s="364"/>
      <c r="AA367" s="363"/>
      <c r="AB367" s="458"/>
      <c r="AC367" s="612" t="s">
        <v>8</v>
      </c>
      <c r="AD367" s="613"/>
      <c r="AE367" s="613"/>
      <c r="AF367" s="614"/>
    </row>
    <row r="368" spans="1:32" s="457" customFormat="1" ht="18" customHeight="1" x14ac:dyDescent="0.2">
      <c r="A368" s="2687"/>
      <c r="B368" s="367"/>
      <c r="C368" s="2687"/>
      <c r="D368" s="366" t="s">
        <v>9</v>
      </c>
      <c r="E368" s="366" t="s">
        <v>10</v>
      </c>
      <c r="F368" s="2698" t="s">
        <v>11</v>
      </c>
      <c r="G368" s="2694"/>
      <c r="H368" s="2695"/>
      <c r="I368" s="360"/>
      <c r="J368" s="449" t="s">
        <v>12</v>
      </c>
      <c r="K368" s="360"/>
      <c r="L368" s="2679" t="s">
        <v>2</v>
      </c>
      <c r="M368" s="370"/>
      <c r="N368" s="370"/>
      <c r="O368" s="370"/>
      <c r="P368" s="371"/>
      <c r="Q368" s="459" t="s">
        <v>13</v>
      </c>
      <c r="R368" s="370" t="s">
        <v>12</v>
      </c>
      <c r="S368" s="370" t="s">
        <v>6</v>
      </c>
      <c r="T368" s="2682" t="s">
        <v>14</v>
      </c>
      <c r="U368" s="2683"/>
      <c r="V368" s="375" t="s">
        <v>7</v>
      </c>
      <c r="W368" s="376" t="s">
        <v>15</v>
      </c>
      <c r="X368" s="377" t="s">
        <v>16</v>
      </c>
      <c r="Y368" s="377" t="s">
        <v>17</v>
      </c>
      <c r="Z368" s="377" t="s">
        <v>18</v>
      </c>
      <c r="AA368" s="377"/>
      <c r="AB368" s="460" t="s">
        <v>19</v>
      </c>
      <c r="AC368" s="615" t="s">
        <v>20</v>
      </c>
      <c r="AD368" s="616"/>
      <c r="AE368" s="617" t="s">
        <v>21</v>
      </c>
      <c r="AF368" s="618" t="s">
        <v>22</v>
      </c>
    </row>
    <row r="369" spans="1:33" s="457" customFormat="1" ht="18" customHeight="1" x14ac:dyDescent="0.2">
      <c r="A369" s="2687"/>
      <c r="B369" s="366" t="s">
        <v>23</v>
      </c>
      <c r="C369" s="2687"/>
      <c r="D369" s="366" t="s">
        <v>24</v>
      </c>
      <c r="E369" s="366" t="s">
        <v>25</v>
      </c>
      <c r="F369" s="2699"/>
      <c r="G369" s="2700"/>
      <c r="H369" s="2701"/>
      <c r="I369" s="366" t="s">
        <v>26</v>
      </c>
      <c r="J369" s="380" t="s">
        <v>15</v>
      </c>
      <c r="K369" s="380" t="s">
        <v>6</v>
      </c>
      <c r="L369" s="2680"/>
      <c r="M369" s="381" t="s">
        <v>27</v>
      </c>
      <c r="N369" s="381" t="s">
        <v>10</v>
      </c>
      <c r="O369" s="381" t="s">
        <v>10</v>
      </c>
      <c r="P369" s="385" t="s">
        <v>28</v>
      </c>
      <c r="Q369" s="461" t="s">
        <v>29</v>
      </c>
      <c r="R369" s="385" t="s">
        <v>15</v>
      </c>
      <c r="S369" s="385" t="s">
        <v>15</v>
      </c>
      <c r="T369" s="2684"/>
      <c r="U369" s="2685"/>
      <c r="V369" s="375" t="s">
        <v>30</v>
      </c>
      <c r="W369" s="376" t="s">
        <v>31</v>
      </c>
      <c r="X369" s="377" t="s">
        <v>30</v>
      </c>
      <c r="Y369" s="377" t="s">
        <v>32</v>
      </c>
      <c r="Z369" s="377" t="s">
        <v>7</v>
      </c>
      <c r="AA369" s="377" t="s">
        <v>33</v>
      </c>
      <c r="AB369" s="460" t="s">
        <v>34</v>
      </c>
      <c r="AC369" s="615" t="s">
        <v>35</v>
      </c>
      <c r="AD369" s="617" t="s">
        <v>36</v>
      </c>
      <c r="AE369" s="617" t="s">
        <v>37</v>
      </c>
      <c r="AF369" s="618" t="s">
        <v>38</v>
      </c>
    </row>
    <row r="370" spans="1:33" s="457" customFormat="1" ht="18" customHeight="1" x14ac:dyDescent="0.2">
      <c r="A370" s="2687"/>
      <c r="B370" s="366" t="s">
        <v>39</v>
      </c>
      <c r="C370" s="2687"/>
      <c r="D370" s="366" t="s">
        <v>40</v>
      </c>
      <c r="E370" s="366" t="s">
        <v>41</v>
      </c>
      <c r="F370" s="2686" t="s">
        <v>42</v>
      </c>
      <c r="G370" s="2686" t="s">
        <v>43</v>
      </c>
      <c r="H370" s="2688" t="s">
        <v>44</v>
      </c>
      <c r="I370" s="366" t="s">
        <v>45</v>
      </c>
      <c r="J370" s="380" t="s">
        <v>46</v>
      </c>
      <c r="K370" s="380" t="s">
        <v>47</v>
      </c>
      <c r="L370" s="2680"/>
      <c r="M370" s="381" t="s">
        <v>30</v>
      </c>
      <c r="N370" s="381" t="s">
        <v>30</v>
      </c>
      <c r="O370" s="381" t="s">
        <v>25</v>
      </c>
      <c r="P370" s="385" t="s">
        <v>30</v>
      </c>
      <c r="Q370" s="461" t="s">
        <v>48</v>
      </c>
      <c r="R370" s="385" t="s">
        <v>49</v>
      </c>
      <c r="S370" s="385" t="s">
        <v>30</v>
      </c>
      <c r="T370" s="619" t="s">
        <v>50</v>
      </c>
      <c r="U370" s="620" t="s">
        <v>13</v>
      </c>
      <c r="V370" s="375" t="s">
        <v>51</v>
      </c>
      <c r="W370" s="376" t="s">
        <v>52</v>
      </c>
      <c r="X370" s="377" t="s">
        <v>53</v>
      </c>
      <c r="Y370" s="377" t="s">
        <v>54</v>
      </c>
      <c r="Z370" s="377" t="s">
        <v>55</v>
      </c>
      <c r="AA370" s="377" t="s">
        <v>56</v>
      </c>
      <c r="AB370" s="460" t="s">
        <v>57</v>
      </c>
      <c r="AC370" s="617" t="s">
        <v>58</v>
      </c>
      <c r="AD370" s="617" t="s">
        <v>59</v>
      </c>
      <c r="AE370" s="617" t="s">
        <v>59</v>
      </c>
      <c r="AF370" s="618" t="s">
        <v>60</v>
      </c>
    </row>
    <row r="371" spans="1:33" s="457" customFormat="1" ht="18" customHeight="1" x14ac:dyDescent="0.2">
      <c r="A371" s="2687"/>
      <c r="B371" s="366" t="s">
        <v>61</v>
      </c>
      <c r="C371" s="2687"/>
      <c r="D371" s="366" t="s">
        <v>62</v>
      </c>
      <c r="E371" s="366" t="s">
        <v>63</v>
      </c>
      <c r="F371" s="2687"/>
      <c r="G371" s="2687"/>
      <c r="H371" s="2689"/>
      <c r="I371" s="366" t="s">
        <v>64</v>
      </c>
      <c r="J371" s="380" t="s">
        <v>59</v>
      </c>
      <c r="K371" s="380" t="s">
        <v>59</v>
      </c>
      <c r="L371" s="2680"/>
      <c r="M371" s="381"/>
      <c r="N371" s="381"/>
      <c r="O371" s="381" t="s">
        <v>41</v>
      </c>
      <c r="P371" s="385" t="s">
        <v>65</v>
      </c>
      <c r="Q371" s="461" t="s">
        <v>66</v>
      </c>
      <c r="R371" s="385" t="s">
        <v>67</v>
      </c>
      <c r="S371" s="385" t="s">
        <v>59</v>
      </c>
      <c r="T371" s="621" t="s">
        <v>68</v>
      </c>
      <c r="U371" s="622" t="s">
        <v>14</v>
      </c>
      <c r="V371" s="375" t="s">
        <v>14</v>
      </c>
      <c r="W371" s="376" t="s">
        <v>30</v>
      </c>
      <c r="X371" s="388" t="s">
        <v>69</v>
      </c>
      <c r="Y371" s="388" t="s">
        <v>70</v>
      </c>
      <c r="Z371" s="377" t="s">
        <v>71</v>
      </c>
      <c r="AA371" s="377" t="s">
        <v>72</v>
      </c>
      <c r="AB371" s="460" t="s">
        <v>59</v>
      </c>
      <c r="AC371" s="617" t="s">
        <v>59</v>
      </c>
      <c r="AD371" s="617"/>
      <c r="AE371" s="617"/>
      <c r="AF371" s="618" t="s">
        <v>59</v>
      </c>
    </row>
    <row r="372" spans="1:33" s="457" customFormat="1" ht="18" customHeight="1" x14ac:dyDescent="0.2">
      <c r="A372" s="2692"/>
      <c r="B372" s="390"/>
      <c r="C372" s="2692"/>
      <c r="D372" s="390"/>
      <c r="E372" s="389"/>
      <c r="F372" s="390"/>
      <c r="G372" s="390"/>
      <c r="H372" s="391"/>
      <c r="I372" s="389"/>
      <c r="J372" s="393"/>
      <c r="K372" s="393"/>
      <c r="L372" s="2681"/>
      <c r="M372" s="394"/>
      <c r="N372" s="394"/>
      <c r="O372" s="394" t="s">
        <v>63</v>
      </c>
      <c r="P372" s="394"/>
      <c r="Q372" s="450" t="s">
        <v>72</v>
      </c>
      <c r="R372" s="398" t="s">
        <v>59</v>
      </c>
      <c r="S372" s="398"/>
      <c r="T372" s="623" t="s">
        <v>73</v>
      </c>
      <c r="U372" s="624" t="s">
        <v>59</v>
      </c>
      <c r="V372" s="399" t="s">
        <v>59</v>
      </c>
      <c r="W372" s="400" t="s">
        <v>59</v>
      </c>
      <c r="X372" s="401" t="s">
        <v>59</v>
      </c>
      <c r="Y372" s="401" t="s">
        <v>59</v>
      </c>
      <c r="Z372" s="401" t="s">
        <v>59</v>
      </c>
      <c r="AA372" s="402"/>
      <c r="AB372" s="462"/>
      <c r="AC372" s="625"/>
      <c r="AD372" s="625"/>
      <c r="AE372" s="625"/>
      <c r="AF372" s="626"/>
    </row>
    <row r="373" spans="1:33" s="457" customFormat="1" ht="18" customHeight="1" x14ac:dyDescent="0.2">
      <c r="A373" s="53">
        <v>1</v>
      </c>
      <c r="B373" s="95">
        <v>61055</v>
      </c>
      <c r="C373" s="82">
        <v>1750</v>
      </c>
      <c r="D373" s="82" t="s">
        <v>139</v>
      </c>
      <c r="E373" s="82">
        <v>4</v>
      </c>
      <c r="F373" s="1578">
        <v>0</v>
      </c>
      <c r="G373" s="1578">
        <v>0</v>
      </c>
      <c r="H373" s="1579">
        <v>49</v>
      </c>
      <c r="I373" s="70">
        <f>F373*400+G373*100+H373</f>
        <v>49</v>
      </c>
      <c r="J373" s="1580">
        <v>280</v>
      </c>
      <c r="K373" s="124">
        <f>SUM(I373*J373)</f>
        <v>13720</v>
      </c>
      <c r="L373" s="53"/>
      <c r="M373" s="82"/>
      <c r="N373" s="740"/>
      <c r="O373" s="53"/>
      <c r="P373" s="82"/>
      <c r="Q373" s="942"/>
      <c r="R373" s="943"/>
      <c r="S373" s="944"/>
      <c r="T373" s="943"/>
      <c r="U373" s="70"/>
      <c r="V373" s="70"/>
      <c r="W373" s="70">
        <f>K373+V373</f>
        <v>13720</v>
      </c>
      <c r="X373" s="70">
        <f>W373</f>
        <v>13720</v>
      </c>
      <c r="Y373" s="945"/>
      <c r="Z373" s="70">
        <f>+X373</f>
        <v>13720</v>
      </c>
      <c r="AA373" s="464">
        <v>0.3</v>
      </c>
      <c r="AB373" s="465">
        <f>+Z373*AA373/100</f>
        <v>41.16</v>
      </c>
      <c r="AC373" s="602"/>
      <c r="AD373" s="603" t="e">
        <f>#REF!-AC373</f>
        <v>#REF!</v>
      </c>
      <c r="AE373" s="603" t="e">
        <f>IF(AD373&lt;=0,0,AD373*25/100)</f>
        <v>#REF!</v>
      </c>
      <c r="AF373" s="603" t="e">
        <f>IF(AC373+AE373&gt;#REF!,#REF!,AC373+AE373)</f>
        <v>#REF!</v>
      </c>
      <c r="AG373" s="1750" t="s">
        <v>354</v>
      </c>
    </row>
    <row r="374" spans="1:33" s="457" customFormat="1" ht="18" customHeight="1" x14ac:dyDescent="0.2">
      <c r="A374" s="61">
        <v>2</v>
      </c>
      <c r="B374" s="102">
        <v>2537</v>
      </c>
      <c r="C374" s="145">
        <v>370</v>
      </c>
      <c r="D374" s="145" t="s">
        <v>139</v>
      </c>
      <c r="E374" s="145">
        <v>4</v>
      </c>
      <c r="F374" s="1747">
        <v>0</v>
      </c>
      <c r="G374" s="1747">
        <v>2</v>
      </c>
      <c r="H374" s="1748">
        <v>76.5</v>
      </c>
      <c r="I374" s="77">
        <f>F374*400+G374*100+H374</f>
        <v>276.5</v>
      </c>
      <c r="J374" s="1749">
        <v>1000</v>
      </c>
      <c r="K374" s="78">
        <f>SUM(I374*J374)</f>
        <v>276500</v>
      </c>
      <c r="L374" s="61"/>
      <c r="M374" s="145"/>
      <c r="N374" s="467"/>
      <c r="O374" s="61"/>
      <c r="P374" s="145"/>
      <c r="Q374" s="946"/>
      <c r="R374" s="947"/>
      <c r="S374" s="948"/>
      <c r="T374" s="949"/>
      <c r="U374" s="77"/>
      <c r="V374" s="77"/>
      <c r="W374" s="77">
        <f>K374+V374</f>
        <v>276500</v>
      </c>
      <c r="X374" s="77">
        <f>W374</f>
        <v>276500</v>
      </c>
      <c r="Y374" s="676"/>
      <c r="Z374" s="77">
        <f>+X374</f>
        <v>276500</v>
      </c>
      <c r="AA374" s="409">
        <v>0.3</v>
      </c>
      <c r="AB374" s="416">
        <f>Z374*0.6/100</f>
        <v>1659</v>
      </c>
      <c r="AC374" s="350"/>
      <c r="AD374" s="350"/>
      <c r="AE374" s="350"/>
      <c r="AF374" s="350"/>
    </row>
    <row r="375" spans="1:33" s="457" customFormat="1" ht="18" customHeight="1" x14ac:dyDescent="0.2">
      <c r="A375" s="242">
        <v>3</v>
      </c>
      <c r="B375" s="85">
        <v>3840</v>
      </c>
      <c r="C375" s="88">
        <v>372</v>
      </c>
      <c r="D375" s="1703" t="s">
        <v>139</v>
      </c>
      <c r="E375" s="88">
        <v>4</v>
      </c>
      <c r="F375" s="1654">
        <v>0</v>
      </c>
      <c r="G375" s="1654">
        <v>1</v>
      </c>
      <c r="H375" s="1751">
        <v>79</v>
      </c>
      <c r="I375" s="77">
        <f>F375*400+G375*100+H375</f>
        <v>179</v>
      </c>
      <c r="J375" s="1749">
        <v>1000</v>
      </c>
      <c r="K375" s="78">
        <f>SUM(I375*J375)</f>
        <v>179000</v>
      </c>
      <c r="L375" s="75"/>
      <c r="M375" s="61"/>
      <c r="N375" s="61"/>
      <c r="O375" s="61"/>
      <c r="P375" s="173"/>
      <c r="Q375" s="174"/>
      <c r="R375" s="408"/>
      <c r="S375" s="950"/>
      <c r="T375" s="413"/>
      <c r="U375" s="74"/>
      <c r="V375" s="74"/>
      <c r="W375" s="77">
        <f>K375+V375</f>
        <v>179000</v>
      </c>
      <c r="X375" s="77">
        <f>W375</f>
        <v>179000</v>
      </c>
      <c r="Y375" s="676"/>
      <c r="Z375" s="77">
        <f>+X375</f>
        <v>179000</v>
      </c>
      <c r="AA375" s="1706">
        <v>0.3</v>
      </c>
      <c r="AB375" s="416">
        <f>Z375*0.6/100</f>
        <v>1074</v>
      </c>
      <c r="AC375" s="350"/>
      <c r="AD375" s="350"/>
      <c r="AE375" s="350"/>
      <c r="AF375" s="350"/>
    </row>
    <row r="376" spans="1:33" s="457" customFormat="1" ht="18" customHeight="1" x14ac:dyDescent="0.2">
      <c r="A376" s="145"/>
      <c r="B376" s="177"/>
      <c r="C376" s="177"/>
      <c r="D376" s="145"/>
      <c r="E376" s="145"/>
      <c r="F376" s="145"/>
      <c r="G376" s="145"/>
      <c r="H376" s="147"/>
      <c r="I376" s="107"/>
      <c r="J376" s="178"/>
      <c r="K376" s="107"/>
      <c r="L376" s="145"/>
      <c r="M376" s="145"/>
      <c r="N376" s="145"/>
      <c r="O376" s="145"/>
      <c r="P376" s="147"/>
      <c r="Q376" s="148"/>
      <c r="R376" s="437"/>
      <c r="S376" s="107"/>
      <c r="T376" s="437"/>
      <c r="U376" s="178"/>
      <c r="V376" s="107"/>
      <c r="W376" s="107"/>
      <c r="X376" s="470"/>
      <c r="Y376" s="470"/>
      <c r="Z376" s="471"/>
      <c r="AA376" s="471"/>
      <c r="AB376" s="466"/>
      <c r="AC376" s="350"/>
      <c r="AD376" s="350"/>
      <c r="AE376" s="350"/>
      <c r="AF376" s="350"/>
    </row>
    <row r="377" spans="1:33" s="457" customFormat="1" ht="18" customHeight="1" x14ac:dyDescent="0.2">
      <c r="A377" s="145"/>
      <c r="B377" s="177"/>
      <c r="C377" s="177"/>
      <c r="D377" s="145"/>
      <c r="E377" s="145"/>
      <c r="F377" s="145"/>
      <c r="G377" s="145"/>
      <c r="H377" s="147"/>
      <c r="I377" s="107"/>
      <c r="J377" s="178"/>
      <c r="K377" s="107"/>
      <c r="L377" s="145"/>
      <c r="M377" s="145"/>
      <c r="N377" s="145"/>
      <c r="O377" s="145"/>
      <c r="P377" s="147"/>
      <c r="Q377" s="148"/>
      <c r="R377" s="437"/>
      <c r="S377" s="107"/>
      <c r="T377" s="437"/>
      <c r="U377" s="178"/>
      <c r="V377" s="107"/>
      <c r="W377" s="107"/>
      <c r="X377" s="470"/>
      <c r="Y377" s="470"/>
      <c r="Z377" s="471"/>
      <c r="AA377" s="471"/>
      <c r="AB377" s="466"/>
      <c r="AC377" s="350"/>
      <c r="AD377" s="350"/>
      <c r="AE377" s="350"/>
      <c r="AF377" s="350"/>
    </row>
    <row r="378" spans="1:33" s="457" customFormat="1" ht="18" customHeight="1" x14ac:dyDescent="0.2">
      <c r="A378" s="145"/>
      <c r="B378" s="177"/>
      <c r="C378" s="177"/>
      <c r="D378" s="145"/>
      <c r="E378" s="145"/>
      <c r="F378" s="145"/>
      <c r="G378" s="145"/>
      <c r="H378" s="147"/>
      <c r="I378" s="107"/>
      <c r="J378" s="178"/>
      <c r="K378" s="107"/>
      <c r="L378" s="145"/>
      <c r="M378" s="145"/>
      <c r="N378" s="145"/>
      <c r="O378" s="145"/>
      <c r="P378" s="147"/>
      <c r="Q378" s="148"/>
      <c r="R378" s="437"/>
      <c r="S378" s="107"/>
      <c r="T378" s="437"/>
      <c r="U378" s="178"/>
      <c r="V378" s="107"/>
      <c r="W378" s="107"/>
      <c r="X378" s="470"/>
      <c r="Y378" s="470"/>
      <c r="Z378" s="471"/>
      <c r="AA378" s="471"/>
      <c r="AB378" s="466"/>
      <c r="AC378" s="350"/>
      <c r="AD378" s="350"/>
      <c r="AE378" s="350"/>
      <c r="AF378" s="350"/>
    </row>
    <row r="379" spans="1:33" s="457" customFormat="1" ht="18" customHeight="1" x14ac:dyDescent="0.2">
      <c r="A379" s="145"/>
      <c r="B379" s="177"/>
      <c r="C379" s="177"/>
      <c r="D379" s="145"/>
      <c r="E379" s="145"/>
      <c r="F379" s="145"/>
      <c r="G379" s="145"/>
      <c r="H379" s="147"/>
      <c r="I379" s="107"/>
      <c r="J379" s="178"/>
      <c r="K379" s="107"/>
      <c r="L379" s="145"/>
      <c r="M379" s="145"/>
      <c r="N379" s="145"/>
      <c r="O379" s="145"/>
      <c r="P379" s="147"/>
      <c r="Q379" s="148"/>
      <c r="R379" s="437"/>
      <c r="S379" s="107"/>
      <c r="T379" s="437"/>
      <c r="U379" s="178"/>
      <c r="V379" s="107"/>
      <c r="W379" s="107"/>
      <c r="X379" s="470"/>
      <c r="Y379" s="470"/>
      <c r="Z379" s="471"/>
      <c r="AA379" s="471"/>
      <c r="AB379" s="466"/>
      <c r="AC379" s="350"/>
      <c r="AD379" s="350"/>
      <c r="AE379" s="350"/>
      <c r="AF379" s="350"/>
    </row>
    <row r="380" spans="1:33" s="457" customFormat="1" ht="18" customHeight="1" x14ac:dyDescent="0.2">
      <c r="A380" s="145"/>
      <c r="B380" s="177"/>
      <c r="C380" s="177"/>
      <c r="D380" s="145"/>
      <c r="E380" s="145"/>
      <c r="F380" s="145"/>
      <c r="G380" s="145"/>
      <c r="H380" s="147"/>
      <c r="I380" s="107"/>
      <c r="J380" s="178"/>
      <c r="K380" s="107"/>
      <c r="L380" s="145"/>
      <c r="M380" s="145"/>
      <c r="N380" s="145"/>
      <c r="O380" s="145"/>
      <c r="P380" s="147"/>
      <c r="Q380" s="148"/>
      <c r="R380" s="437"/>
      <c r="S380" s="107"/>
      <c r="T380" s="437"/>
      <c r="U380" s="178"/>
      <c r="V380" s="107"/>
      <c r="W380" s="107"/>
      <c r="X380" s="470"/>
      <c r="Y380" s="470"/>
      <c r="Z380" s="471"/>
      <c r="AA380" s="471"/>
      <c r="AB380" s="466"/>
      <c r="AC380" s="350"/>
      <c r="AD380" s="350"/>
      <c r="AE380" s="350"/>
      <c r="AF380" s="350"/>
    </row>
    <row r="381" spans="1:33" s="457" customFormat="1" ht="18" customHeight="1" x14ac:dyDescent="0.2">
      <c r="A381" s="145"/>
      <c r="B381" s="177"/>
      <c r="C381" s="177"/>
      <c r="D381" s="145"/>
      <c r="E381" s="145"/>
      <c r="F381" s="145"/>
      <c r="G381" s="145"/>
      <c r="H381" s="147"/>
      <c r="I381" s="107"/>
      <c r="J381" s="178"/>
      <c r="K381" s="107"/>
      <c r="L381" s="145"/>
      <c r="M381" s="145"/>
      <c r="N381" s="145"/>
      <c r="O381" s="145"/>
      <c r="P381" s="147"/>
      <c r="Q381" s="148"/>
      <c r="R381" s="437"/>
      <c r="S381" s="107"/>
      <c r="T381" s="437"/>
      <c r="U381" s="178"/>
      <c r="V381" s="107"/>
      <c r="W381" s="107"/>
      <c r="X381" s="470"/>
      <c r="Y381" s="470"/>
      <c r="Z381" s="471"/>
      <c r="AA381" s="471"/>
      <c r="AB381" s="466"/>
      <c r="AC381" s="350"/>
      <c r="AD381" s="350"/>
      <c r="AE381" s="350"/>
      <c r="AF381" s="350"/>
    </row>
    <row r="382" spans="1:33" s="457" customFormat="1" ht="18" customHeight="1" x14ac:dyDescent="0.2">
      <c r="A382" s="145"/>
      <c r="B382" s="177"/>
      <c r="C382" s="177"/>
      <c r="D382" s="145"/>
      <c r="E382" s="145"/>
      <c r="F382" s="145"/>
      <c r="G382" s="145"/>
      <c r="H382" s="147"/>
      <c r="I382" s="107"/>
      <c r="J382" s="178"/>
      <c r="K382" s="107"/>
      <c r="L382" s="145"/>
      <c r="M382" s="145"/>
      <c r="N382" s="145"/>
      <c r="O382" s="145"/>
      <c r="P382" s="147"/>
      <c r="Q382" s="148"/>
      <c r="R382" s="437"/>
      <c r="S382" s="107"/>
      <c r="T382" s="437"/>
      <c r="U382" s="178"/>
      <c r="V382" s="107"/>
      <c r="W382" s="107"/>
      <c r="X382" s="470"/>
      <c r="Y382" s="470"/>
      <c r="Z382" s="471"/>
      <c r="AA382" s="471"/>
      <c r="AB382" s="466"/>
      <c r="AC382" s="350"/>
      <c r="AD382" s="350"/>
      <c r="AE382" s="350"/>
      <c r="AF382" s="350"/>
    </row>
    <row r="383" spans="1:33" s="457" customFormat="1" ht="18" customHeight="1" x14ac:dyDescent="0.2">
      <c r="A383" s="145"/>
      <c r="B383" s="177"/>
      <c r="C383" s="177"/>
      <c r="D383" s="145"/>
      <c r="E383" s="145"/>
      <c r="F383" s="145"/>
      <c r="G383" s="145"/>
      <c r="H383" s="147"/>
      <c r="I383" s="107"/>
      <c r="J383" s="178"/>
      <c r="K383" s="1746" t="s">
        <v>355</v>
      </c>
      <c r="L383" s="145"/>
      <c r="M383" s="145"/>
      <c r="N383" s="145"/>
      <c r="O383" s="145"/>
      <c r="P383" s="147"/>
      <c r="Q383" s="148"/>
      <c r="R383" s="437"/>
      <c r="S383" s="107"/>
      <c r="T383" s="437"/>
      <c r="U383" s="178"/>
      <c r="V383" s="107"/>
      <c r="W383" s="107"/>
      <c r="X383" s="470"/>
      <c r="Y383" s="470"/>
      <c r="Z383" s="471"/>
      <c r="AA383" s="471"/>
      <c r="AB383" s="466"/>
      <c r="AC383" s="350"/>
      <c r="AD383" s="350"/>
      <c r="AE383" s="350"/>
      <c r="AF383" s="350"/>
    </row>
    <row r="384" spans="1:33" s="457" customFormat="1" ht="18" customHeight="1" x14ac:dyDescent="0.2">
      <c r="A384" s="145"/>
      <c r="B384" s="177"/>
      <c r="C384" s="177"/>
      <c r="D384" s="145"/>
      <c r="E384" s="145"/>
      <c r="F384" s="145"/>
      <c r="G384" s="145"/>
      <c r="H384" s="147"/>
      <c r="I384" s="107"/>
      <c r="J384" s="178"/>
      <c r="K384" s="1746" t="s">
        <v>357</v>
      </c>
      <c r="L384" s="145"/>
      <c r="M384" s="145"/>
      <c r="N384" s="145"/>
      <c r="O384" s="145"/>
      <c r="P384" s="147"/>
      <c r="Q384" s="148"/>
      <c r="R384" s="437"/>
      <c r="S384" s="107"/>
      <c r="T384" s="437"/>
      <c r="U384" s="178"/>
      <c r="V384" s="107"/>
      <c r="W384" s="107"/>
      <c r="X384" s="470"/>
      <c r="Y384" s="470"/>
      <c r="Z384" s="471"/>
      <c r="AA384" s="471"/>
      <c r="AB384" s="466"/>
      <c r="AC384" s="350"/>
      <c r="AD384" s="350"/>
      <c r="AE384" s="350"/>
      <c r="AF384" s="350"/>
    </row>
    <row r="385" spans="1:32" s="457" customFormat="1" ht="18" customHeight="1" x14ac:dyDescent="0.2">
      <c r="A385" s="145"/>
      <c r="B385" s="177"/>
      <c r="C385" s="177"/>
      <c r="D385" s="145"/>
      <c r="E385" s="145"/>
      <c r="F385" s="145"/>
      <c r="G385" s="145"/>
      <c r="H385" s="147"/>
      <c r="I385" s="107"/>
      <c r="J385" s="178"/>
      <c r="K385" s="107"/>
      <c r="L385" s="145"/>
      <c r="M385" s="145"/>
      <c r="N385" s="145"/>
      <c r="O385" s="145"/>
      <c r="P385" s="147"/>
      <c r="Q385" s="148"/>
      <c r="R385" s="437"/>
      <c r="S385" s="107"/>
      <c r="T385" s="437"/>
      <c r="U385" s="178"/>
      <c r="V385" s="107"/>
      <c r="W385" s="107"/>
      <c r="X385" s="470"/>
      <c r="Y385" s="470"/>
      <c r="Z385" s="471"/>
      <c r="AA385" s="471"/>
      <c r="AB385" s="466"/>
      <c r="AC385" s="350"/>
      <c r="AD385" s="350"/>
      <c r="AE385" s="350"/>
      <c r="AF385" s="350"/>
    </row>
    <row r="386" spans="1:32" s="457" customFormat="1" ht="18" customHeight="1" x14ac:dyDescent="0.2">
      <c r="A386" s="145"/>
      <c r="B386" s="177"/>
      <c r="C386" s="177"/>
      <c r="D386" s="145"/>
      <c r="E386" s="145"/>
      <c r="F386" s="145"/>
      <c r="G386" s="145"/>
      <c r="H386" s="147"/>
      <c r="I386" s="107"/>
      <c r="J386" s="178"/>
      <c r="K386" s="107"/>
      <c r="L386" s="145"/>
      <c r="M386" s="145"/>
      <c r="N386" s="145"/>
      <c r="O386" s="145"/>
      <c r="P386" s="147"/>
      <c r="Q386" s="148"/>
      <c r="R386" s="437"/>
      <c r="S386" s="107"/>
      <c r="T386" s="437"/>
      <c r="U386" s="178"/>
      <c r="V386" s="107"/>
      <c r="W386" s="107"/>
      <c r="X386" s="470"/>
      <c r="Y386" s="470"/>
      <c r="Z386" s="471"/>
      <c r="AA386" s="471"/>
      <c r="AB386" s="466"/>
      <c r="AC386" s="350"/>
      <c r="AD386" s="350"/>
      <c r="AE386" s="350"/>
      <c r="AF386" s="350"/>
    </row>
    <row r="387" spans="1:32" s="457" customFormat="1" ht="18" customHeight="1" x14ac:dyDescent="0.2">
      <c r="A387" s="145"/>
      <c r="B387" s="177"/>
      <c r="C387" s="177"/>
      <c r="D387" s="145"/>
      <c r="E387" s="145"/>
      <c r="F387" s="145"/>
      <c r="G387" s="145"/>
      <c r="H387" s="147"/>
      <c r="I387" s="107"/>
      <c r="J387" s="178"/>
      <c r="K387" s="107"/>
      <c r="L387" s="145"/>
      <c r="M387" s="145"/>
      <c r="N387" s="145"/>
      <c r="O387" s="145"/>
      <c r="P387" s="147"/>
      <c r="Q387" s="148"/>
      <c r="R387" s="437"/>
      <c r="S387" s="107"/>
      <c r="T387" s="437"/>
      <c r="U387" s="178"/>
      <c r="V387" s="107"/>
      <c r="W387" s="107"/>
      <c r="X387" s="470"/>
      <c r="Y387" s="470"/>
      <c r="Z387" s="471"/>
      <c r="AA387" s="471"/>
      <c r="AB387" s="466"/>
      <c r="AC387" s="350"/>
      <c r="AD387" s="350"/>
      <c r="AE387" s="350"/>
      <c r="AF387" s="350"/>
    </row>
    <row r="388" spans="1:32" s="457" customFormat="1" ht="18" customHeight="1" x14ac:dyDescent="0.2">
      <c r="A388" s="145"/>
      <c r="B388" s="177"/>
      <c r="C388" s="177"/>
      <c r="D388" s="145"/>
      <c r="E388" s="145"/>
      <c r="F388" s="145"/>
      <c r="G388" s="145"/>
      <c r="H388" s="147"/>
      <c r="I388" s="107"/>
      <c r="J388" s="178"/>
      <c r="K388" s="107"/>
      <c r="L388" s="145"/>
      <c r="M388" s="145"/>
      <c r="N388" s="145"/>
      <c r="O388" s="145"/>
      <c r="P388" s="147"/>
      <c r="Q388" s="148"/>
      <c r="R388" s="437"/>
      <c r="S388" s="107"/>
      <c r="T388" s="437"/>
      <c r="U388" s="178"/>
      <c r="V388" s="107"/>
      <c r="W388" s="107"/>
      <c r="X388" s="470"/>
      <c r="Y388" s="470"/>
      <c r="Z388" s="471"/>
      <c r="AA388" s="471"/>
      <c r="AB388" s="466"/>
      <c r="AC388" s="350"/>
      <c r="AD388" s="350"/>
      <c r="AE388" s="350"/>
      <c r="AF388" s="350"/>
    </row>
    <row r="389" spans="1:32" s="457" customFormat="1" ht="18" customHeight="1" x14ac:dyDescent="0.2">
      <c r="A389" s="145"/>
      <c r="B389" s="177"/>
      <c r="C389" s="177"/>
      <c r="D389" s="145"/>
      <c r="E389" s="145"/>
      <c r="F389" s="145"/>
      <c r="G389" s="145"/>
      <c r="H389" s="147"/>
      <c r="I389" s="107"/>
      <c r="J389" s="178"/>
      <c r="K389" s="107"/>
      <c r="L389" s="145"/>
      <c r="M389" s="145"/>
      <c r="N389" s="145"/>
      <c r="O389" s="145"/>
      <c r="P389" s="147"/>
      <c r="Q389" s="148"/>
      <c r="R389" s="437"/>
      <c r="S389" s="107"/>
      <c r="T389" s="437"/>
      <c r="U389" s="178"/>
      <c r="V389" s="107"/>
      <c r="W389" s="107"/>
      <c r="X389" s="470"/>
      <c r="Y389" s="470"/>
      <c r="Z389" s="471"/>
      <c r="AA389" s="471"/>
      <c r="AB389" s="466"/>
      <c r="AC389" s="350"/>
      <c r="AD389" s="350"/>
      <c r="AE389" s="350"/>
      <c r="AF389" s="350"/>
    </row>
    <row r="390" spans="1:32" s="457" customFormat="1" ht="18" customHeight="1" x14ac:dyDescent="0.2">
      <c r="A390" s="145"/>
      <c r="B390" s="177"/>
      <c r="C390" s="177"/>
      <c r="D390" s="145"/>
      <c r="E390" s="145"/>
      <c r="F390" s="145"/>
      <c r="G390" s="145"/>
      <c r="H390" s="147"/>
      <c r="I390" s="107"/>
      <c r="J390" s="178"/>
      <c r="K390" s="107"/>
      <c r="L390" s="145"/>
      <c r="M390" s="145"/>
      <c r="N390" s="145"/>
      <c r="O390" s="145"/>
      <c r="P390" s="147"/>
      <c r="Q390" s="148"/>
      <c r="R390" s="437"/>
      <c r="S390" s="107"/>
      <c r="T390" s="437"/>
      <c r="U390" s="178"/>
      <c r="V390" s="107"/>
      <c r="W390" s="107"/>
      <c r="X390" s="470"/>
      <c r="Y390" s="470"/>
      <c r="Z390" s="471"/>
      <c r="AA390" s="471"/>
      <c r="AB390" s="466"/>
      <c r="AC390" s="350"/>
      <c r="AD390" s="350"/>
      <c r="AE390" s="350"/>
      <c r="AF390" s="350"/>
    </row>
    <row r="391" spans="1:32" s="457" customFormat="1" ht="18" customHeight="1" x14ac:dyDescent="0.2">
      <c r="A391" s="183"/>
      <c r="B391" s="183"/>
      <c r="C391" s="183"/>
      <c r="D391" s="183"/>
      <c r="E391" s="183"/>
      <c r="F391" s="183"/>
      <c r="G391" s="183"/>
      <c r="H391" s="184"/>
      <c r="I391" s="185"/>
      <c r="J391" s="186"/>
      <c r="K391" s="185"/>
      <c r="L391" s="185"/>
      <c r="M391" s="185"/>
      <c r="N391" s="185"/>
      <c r="O391" s="185"/>
      <c r="P391" s="185"/>
      <c r="Q391" s="185"/>
      <c r="R391" s="438"/>
      <c r="S391" s="185"/>
      <c r="T391" s="438"/>
      <c r="U391" s="186"/>
      <c r="V391" s="185"/>
      <c r="W391" s="185"/>
      <c r="X391" s="474"/>
      <c r="Y391" s="474"/>
      <c r="Z391" s="475"/>
      <c r="AA391" s="475"/>
      <c r="AB391" s="476">
        <f>SUM(AB373:AB390)</f>
        <v>2774.16</v>
      </c>
      <c r="AC391" s="349"/>
      <c r="AD391" s="349"/>
      <c r="AE391" s="349"/>
      <c r="AF391" s="349"/>
    </row>
    <row r="392" spans="1:32" s="457" customFormat="1" ht="18" customHeight="1" x14ac:dyDescent="0.2">
      <c r="A392" s="2737" t="s">
        <v>76</v>
      </c>
      <c r="B392" s="2737"/>
      <c r="C392" s="2738" t="s">
        <v>77</v>
      </c>
      <c r="D392" s="2738"/>
      <c r="E392" s="2738"/>
      <c r="F392" s="2738"/>
      <c r="G392" s="2738"/>
      <c r="H392" s="2738"/>
      <c r="I392" s="457" t="s">
        <v>78</v>
      </c>
      <c r="T392" s="651"/>
      <c r="U392" s="478"/>
      <c r="AB392" s="478"/>
    </row>
    <row r="393" spans="1:32" s="457" customFormat="1" ht="18" customHeight="1" x14ac:dyDescent="0.2">
      <c r="A393" s="448"/>
      <c r="B393" s="479"/>
      <c r="I393" s="457" t="s">
        <v>79</v>
      </c>
      <c r="T393" s="651"/>
      <c r="U393" s="478"/>
      <c r="AB393" s="478"/>
    </row>
    <row r="394" spans="1:32" s="457" customFormat="1" ht="18" customHeight="1" x14ac:dyDescent="0.2">
      <c r="A394" s="448"/>
      <c r="B394" s="479"/>
      <c r="I394" s="457" t="s">
        <v>80</v>
      </c>
      <c r="T394" s="651"/>
      <c r="U394" s="478"/>
      <c r="AB394" s="478"/>
    </row>
    <row r="395" spans="1:32" s="457" customFormat="1" ht="18" customHeight="1" x14ac:dyDescent="0.2">
      <c r="A395" s="448"/>
      <c r="B395" s="479"/>
      <c r="I395" s="457" t="s">
        <v>81</v>
      </c>
      <c r="T395" s="651"/>
      <c r="U395" s="478"/>
      <c r="AB395" s="478"/>
    </row>
    <row r="396" spans="1:32" s="457" customFormat="1" ht="18" customHeight="1" x14ac:dyDescent="0.2">
      <c r="A396" s="448"/>
      <c r="B396" s="479"/>
      <c r="I396" s="457" t="s">
        <v>88</v>
      </c>
      <c r="T396" s="651"/>
      <c r="U396" s="478"/>
      <c r="AB396" s="478"/>
    </row>
    <row r="397" spans="1:32" s="457" customFormat="1" ht="18" customHeight="1" x14ac:dyDescent="0.2">
      <c r="A397" s="456"/>
      <c r="B397" s="455"/>
      <c r="C397" s="455"/>
      <c r="D397" s="455"/>
      <c r="E397" s="455"/>
      <c r="F397" s="455"/>
      <c r="G397" s="455"/>
      <c r="H397" s="455"/>
      <c r="I397" s="455"/>
      <c r="J397" s="455"/>
      <c r="K397" s="455"/>
      <c r="L397" s="455"/>
      <c r="M397" s="455"/>
      <c r="N397" s="455"/>
      <c r="O397" s="455"/>
      <c r="P397" s="455"/>
      <c r="Q397" s="455"/>
      <c r="R397" s="455"/>
      <c r="S397" s="455"/>
      <c r="T397" s="608"/>
      <c r="U397" s="609"/>
      <c r="V397" s="455"/>
      <c r="W397" s="455"/>
      <c r="X397" s="455"/>
      <c r="Y397" s="455"/>
      <c r="Z397" s="455"/>
      <c r="AA397" s="2705" t="s">
        <v>0</v>
      </c>
      <c r="AB397" s="2705"/>
      <c r="AC397" s="455"/>
      <c r="AD397" s="455"/>
      <c r="AE397" s="455"/>
      <c r="AF397" s="455"/>
    </row>
    <row r="398" spans="1:32" s="457" customFormat="1" ht="18" customHeight="1" x14ac:dyDescent="0.2">
      <c r="A398" s="2706" t="s">
        <v>1</v>
      </c>
      <c r="B398" s="2706"/>
      <c r="C398" s="2706"/>
      <c r="D398" s="2706"/>
      <c r="E398" s="2706"/>
      <c r="F398" s="2706"/>
      <c r="G398" s="2706"/>
      <c r="H398" s="2706"/>
      <c r="I398" s="2706"/>
      <c r="J398" s="2706"/>
      <c r="K398" s="2706"/>
      <c r="L398" s="2706"/>
      <c r="M398" s="2706"/>
      <c r="N398" s="2706"/>
      <c r="O398" s="2706"/>
      <c r="P398" s="2706"/>
      <c r="Q398" s="2706"/>
      <c r="R398" s="2706"/>
      <c r="S398" s="2706"/>
      <c r="T398" s="2706"/>
      <c r="U398" s="2706"/>
      <c r="V398" s="2706"/>
      <c r="W398" s="2706"/>
      <c r="X398" s="2706"/>
      <c r="Y398" s="2706"/>
      <c r="Z398" s="2706"/>
      <c r="AA398" s="2706"/>
      <c r="AB398" s="2706"/>
      <c r="AC398" s="610"/>
      <c r="AD398" s="610"/>
      <c r="AE398" s="610"/>
      <c r="AF398" s="610"/>
    </row>
    <row r="399" spans="1:32" s="457" customFormat="1" ht="18" customHeight="1" x14ac:dyDescent="0.2">
      <c r="A399" s="2704" t="s">
        <v>436</v>
      </c>
      <c r="B399" s="2704"/>
      <c r="C399" s="2704"/>
      <c r="D399" s="2704"/>
      <c r="E399" s="2704"/>
      <c r="F399" s="2704"/>
      <c r="G399" s="2704"/>
      <c r="H399" s="2704"/>
      <c r="I399" s="2704"/>
      <c r="J399" s="2704"/>
      <c r="K399" s="2704"/>
      <c r="L399" s="2704"/>
      <c r="M399" s="2704"/>
      <c r="N399" s="2704"/>
      <c r="O399" s="2704"/>
      <c r="P399" s="2704"/>
      <c r="Q399" s="2704"/>
      <c r="R399" s="2704"/>
      <c r="S399" s="2704"/>
      <c r="T399" s="2704"/>
      <c r="U399" s="2704"/>
      <c r="V399" s="2704"/>
      <c r="W399" s="2704"/>
      <c r="X399" s="2704"/>
      <c r="Y399" s="2704"/>
      <c r="Z399" s="2704"/>
      <c r="AA399" s="2704"/>
      <c r="AB399" s="2704"/>
      <c r="AC399" s="611"/>
      <c r="AD399" s="611"/>
      <c r="AE399" s="611"/>
      <c r="AF399" s="611"/>
    </row>
    <row r="400" spans="1:32" s="457" customFormat="1" ht="18" customHeight="1" x14ac:dyDescent="0.2">
      <c r="A400" s="2686" t="s">
        <v>2</v>
      </c>
      <c r="B400" s="360"/>
      <c r="C400" s="2686" t="s">
        <v>3</v>
      </c>
      <c r="D400" s="360"/>
      <c r="E400" s="360"/>
      <c r="F400" s="2693" t="s">
        <v>4</v>
      </c>
      <c r="G400" s="2693"/>
      <c r="H400" s="2693"/>
      <c r="I400" s="2694"/>
      <c r="J400" s="2694"/>
      <c r="K400" s="2695"/>
      <c r="L400" s="361"/>
      <c r="M400" s="2679" t="s">
        <v>5</v>
      </c>
      <c r="N400" s="2679"/>
      <c r="O400" s="2679"/>
      <c r="P400" s="2679"/>
      <c r="Q400" s="2696"/>
      <c r="R400" s="2696"/>
      <c r="S400" s="2696"/>
      <c r="T400" s="2696"/>
      <c r="U400" s="2696"/>
      <c r="V400" s="2697"/>
      <c r="W400" s="362" t="s">
        <v>6</v>
      </c>
      <c r="X400" s="363" t="s">
        <v>7</v>
      </c>
      <c r="Y400" s="364"/>
      <c r="Z400" s="364"/>
      <c r="AA400" s="363"/>
      <c r="AB400" s="458"/>
      <c r="AC400" s="612" t="s">
        <v>8</v>
      </c>
      <c r="AD400" s="613"/>
      <c r="AE400" s="613"/>
      <c r="AF400" s="614"/>
    </row>
    <row r="401" spans="1:33" s="457" customFormat="1" ht="18" customHeight="1" x14ac:dyDescent="0.2">
      <c r="A401" s="2687"/>
      <c r="B401" s="367"/>
      <c r="C401" s="2687"/>
      <c r="D401" s="366" t="s">
        <v>9</v>
      </c>
      <c r="E401" s="366" t="s">
        <v>10</v>
      </c>
      <c r="F401" s="2698" t="s">
        <v>11</v>
      </c>
      <c r="G401" s="2694"/>
      <c r="H401" s="2695"/>
      <c r="I401" s="360"/>
      <c r="J401" s="449" t="s">
        <v>12</v>
      </c>
      <c r="K401" s="360"/>
      <c r="L401" s="2679" t="s">
        <v>2</v>
      </c>
      <c r="M401" s="370"/>
      <c r="N401" s="370"/>
      <c r="O401" s="370"/>
      <c r="P401" s="371"/>
      <c r="Q401" s="459" t="s">
        <v>13</v>
      </c>
      <c r="R401" s="370" t="s">
        <v>12</v>
      </c>
      <c r="S401" s="370" t="s">
        <v>6</v>
      </c>
      <c r="T401" s="2682" t="s">
        <v>14</v>
      </c>
      <c r="U401" s="2683"/>
      <c r="V401" s="375" t="s">
        <v>7</v>
      </c>
      <c r="W401" s="376" t="s">
        <v>15</v>
      </c>
      <c r="X401" s="377" t="s">
        <v>16</v>
      </c>
      <c r="Y401" s="377" t="s">
        <v>17</v>
      </c>
      <c r="Z401" s="377" t="s">
        <v>18</v>
      </c>
      <c r="AA401" s="377"/>
      <c r="AB401" s="460" t="s">
        <v>19</v>
      </c>
      <c r="AC401" s="615" t="s">
        <v>20</v>
      </c>
      <c r="AD401" s="616"/>
      <c r="AE401" s="617" t="s">
        <v>21</v>
      </c>
      <c r="AF401" s="618" t="s">
        <v>22</v>
      </c>
    </row>
    <row r="402" spans="1:33" s="457" customFormat="1" ht="18" customHeight="1" x14ac:dyDescent="0.2">
      <c r="A402" s="2687"/>
      <c r="B402" s="366" t="s">
        <v>23</v>
      </c>
      <c r="C402" s="2687"/>
      <c r="D402" s="366" t="s">
        <v>24</v>
      </c>
      <c r="E402" s="366" t="s">
        <v>25</v>
      </c>
      <c r="F402" s="2699"/>
      <c r="G402" s="2700"/>
      <c r="H402" s="2701"/>
      <c r="I402" s="366" t="s">
        <v>26</v>
      </c>
      <c r="J402" s="380" t="s">
        <v>15</v>
      </c>
      <c r="K402" s="380" t="s">
        <v>6</v>
      </c>
      <c r="L402" s="2680"/>
      <c r="M402" s="381" t="s">
        <v>27</v>
      </c>
      <c r="N402" s="381" t="s">
        <v>10</v>
      </c>
      <c r="O402" s="381" t="s">
        <v>10</v>
      </c>
      <c r="P402" s="385" t="s">
        <v>28</v>
      </c>
      <c r="Q402" s="461" t="s">
        <v>29</v>
      </c>
      <c r="R402" s="385" t="s">
        <v>15</v>
      </c>
      <c r="S402" s="385" t="s">
        <v>15</v>
      </c>
      <c r="T402" s="2684"/>
      <c r="U402" s="2685"/>
      <c r="V402" s="375" t="s">
        <v>30</v>
      </c>
      <c r="W402" s="376" t="s">
        <v>31</v>
      </c>
      <c r="X402" s="377" t="s">
        <v>30</v>
      </c>
      <c r="Y402" s="377" t="s">
        <v>32</v>
      </c>
      <c r="Z402" s="377" t="s">
        <v>7</v>
      </c>
      <c r="AA402" s="377" t="s">
        <v>33</v>
      </c>
      <c r="AB402" s="460" t="s">
        <v>34</v>
      </c>
      <c r="AC402" s="615" t="s">
        <v>35</v>
      </c>
      <c r="AD402" s="617" t="s">
        <v>36</v>
      </c>
      <c r="AE402" s="617" t="s">
        <v>37</v>
      </c>
      <c r="AF402" s="618" t="s">
        <v>38</v>
      </c>
    </row>
    <row r="403" spans="1:33" s="457" customFormat="1" ht="18" customHeight="1" x14ac:dyDescent="0.2">
      <c r="A403" s="2687"/>
      <c r="B403" s="366" t="s">
        <v>39</v>
      </c>
      <c r="C403" s="2687"/>
      <c r="D403" s="366" t="s">
        <v>40</v>
      </c>
      <c r="E403" s="366" t="s">
        <v>41</v>
      </c>
      <c r="F403" s="2686" t="s">
        <v>42</v>
      </c>
      <c r="G403" s="2686" t="s">
        <v>43</v>
      </c>
      <c r="H403" s="2688" t="s">
        <v>44</v>
      </c>
      <c r="I403" s="366" t="s">
        <v>45</v>
      </c>
      <c r="J403" s="380" t="s">
        <v>46</v>
      </c>
      <c r="K403" s="380" t="s">
        <v>47</v>
      </c>
      <c r="L403" s="2680"/>
      <c r="M403" s="381" t="s">
        <v>30</v>
      </c>
      <c r="N403" s="381" t="s">
        <v>30</v>
      </c>
      <c r="O403" s="381" t="s">
        <v>25</v>
      </c>
      <c r="P403" s="385" t="s">
        <v>30</v>
      </c>
      <c r="Q403" s="461" t="s">
        <v>48</v>
      </c>
      <c r="R403" s="385" t="s">
        <v>49</v>
      </c>
      <c r="S403" s="385" t="s">
        <v>30</v>
      </c>
      <c r="T403" s="619" t="s">
        <v>50</v>
      </c>
      <c r="U403" s="620" t="s">
        <v>13</v>
      </c>
      <c r="V403" s="375" t="s">
        <v>51</v>
      </c>
      <c r="W403" s="376" t="s">
        <v>52</v>
      </c>
      <c r="X403" s="377" t="s">
        <v>53</v>
      </c>
      <c r="Y403" s="377" t="s">
        <v>54</v>
      </c>
      <c r="Z403" s="377" t="s">
        <v>55</v>
      </c>
      <c r="AA403" s="377" t="s">
        <v>56</v>
      </c>
      <c r="AB403" s="460" t="s">
        <v>57</v>
      </c>
      <c r="AC403" s="617" t="s">
        <v>58</v>
      </c>
      <c r="AD403" s="617" t="s">
        <v>59</v>
      </c>
      <c r="AE403" s="617" t="s">
        <v>59</v>
      </c>
      <c r="AF403" s="618" t="s">
        <v>60</v>
      </c>
    </row>
    <row r="404" spans="1:33" s="457" customFormat="1" ht="18" customHeight="1" x14ac:dyDescent="0.2">
      <c r="A404" s="2687"/>
      <c r="B404" s="366" t="s">
        <v>61</v>
      </c>
      <c r="C404" s="2687"/>
      <c r="D404" s="366" t="s">
        <v>62</v>
      </c>
      <c r="E404" s="366" t="s">
        <v>63</v>
      </c>
      <c r="F404" s="2687"/>
      <c r="G404" s="2687"/>
      <c r="H404" s="2689"/>
      <c r="I404" s="366" t="s">
        <v>64</v>
      </c>
      <c r="J404" s="380" t="s">
        <v>59</v>
      </c>
      <c r="K404" s="380" t="s">
        <v>59</v>
      </c>
      <c r="L404" s="2680"/>
      <c r="M404" s="381"/>
      <c r="N404" s="381"/>
      <c r="O404" s="381" t="s">
        <v>41</v>
      </c>
      <c r="P404" s="385" t="s">
        <v>65</v>
      </c>
      <c r="Q404" s="461" t="s">
        <v>66</v>
      </c>
      <c r="R404" s="385" t="s">
        <v>67</v>
      </c>
      <c r="S404" s="385" t="s">
        <v>59</v>
      </c>
      <c r="T404" s="621" t="s">
        <v>68</v>
      </c>
      <c r="U404" s="622" t="s">
        <v>14</v>
      </c>
      <c r="V404" s="375" t="s">
        <v>14</v>
      </c>
      <c r="W404" s="376" t="s">
        <v>30</v>
      </c>
      <c r="X404" s="388" t="s">
        <v>69</v>
      </c>
      <c r="Y404" s="388" t="s">
        <v>70</v>
      </c>
      <c r="Z404" s="377" t="s">
        <v>71</v>
      </c>
      <c r="AA404" s="377" t="s">
        <v>72</v>
      </c>
      <c r="AB404" s="460" t="s">
        <v>59</v>
      </c>
      <c r="AC404" s="617" t="s">
        <v>59</v>
      </c>
      <c r="AD404" s="617"/>
      <c r="AE404" s="617"/>
      <c r="AF404" s="618" t="s">
        <v>59</v>
      </c>
    </row>
    <row r="405" spans="1:33" s="457" customFormat="1" ht="18" customHeight="1" x14ac:dyDescent="0.2">
      <c r="A405" s="2692"/>
      <c r="B405" s="390"/>
      <c r="C405" s="2692"/>
      <c r="D405" s="390"/>
      <c r="E405" s="389"/>
      <c r="F405" s="390"/>
      <c r="G405" s="390"/>
      <c r="H405" s="391"/>
      <c r="I405" s="389"/>
      <c r="J405" s="393"/>
      <c r="K405" s="393"/>
      <c r="L405" s="2681"/>
      <c r="M405" s="394"/>
      <c r="N405" s="394"/>
      <c r="O405" s="394" t="s">
        <v>63</v>
      </c>
      <c r="P405" s="394"/>
      <c r="Q405" s="450" t="s">
        <v>72</v>
      </c>
      <c r="R405" s="398" t="s">
        <v>59</v>
      </c>
      <c r="S405" s="398"/>
      <c r="T405" s="623" t="s">
        <v>73</v>
      </c>
      <c r="U405" s="624" t="s">
        <v>59</v>
      </c>
      <c r="V405" s="399" t="s">
        <v>59</v>
      </c>
      <c r="W405" s="400" t="s">
        <v>59</v>
      </c>
      <c r="X405" s="401" t="s">
        <v>59</v>
      </c>
      <c r="Y405" s="401" t="s">
        <v>59</v>
      </c>
      <c r="Z405" s="401" t="s">
        <v>59</v>
      </c>
      <c r="AA405" s="402"/>
      <c r="AB405" s="462"/>
      <c r="AC405" s="625"/>
      <c r="AD405" s="625"/>
      <c r="AE405" s="625"/>
      <c r="AF405" s="626"/>
    </row>
    <row r="406" spans="1:33" s="457" customFormat="1" ht="18" customHeight="1" x14ac:dyDescent="0.2">
      <c r="A406" s="82">
        <v>1</v>
      </c>
      <c r="B406" s="1046">
        <v>61093</v>
      </c>
      <c r="C406" s="82">
        <v>3375</v>
      </c>
      <c r="D406" s="82" t="s">
        <v>139</v>
      </c>
      <c r="E406" s="82">
        <v>1</v>
      </c>
      <c r="F406" s="82">
        <v>0</v>
      </c>
      <c r="G406" s="82">
        <v>0</v>
      </c>
      <c r="H406" s="740">
        <v>40.6</v>
      </c>
      <c r="I406" s="77">
        <f>F406*400+G406*100+H406</f>
        <v>40.6</v>
      </c>
      <c r="J406" s="916">
        <v>1000</v>
      </c>
      <c r="K406" s="78">
        <f>SUM(I406*J406)</f>
        <v>40600</v>
      </c>
      <c r="L406" s="53"/>
      <c r="M406" s="82"/>
      <c r="N406" s="82"/>
      <c r="O406" s="53"/>
      <c r="P406" s="82"/>
      <c r="Q406" s="174"/>
      <c r="R406" s="809"/>
      <c r="S406" s="810"/>
      <c r="T406" s="413"/>
      <c r="U406" s="918"/>
      <c r="V406" s="918"/>
      <c r="W406" s="18">
        <f t="shared" ref="W406" si="58">K406+V406</f>
        <v>40600</v>
      </c>
      <c r="X406" s="47">
        <f t="shared" ref="X406" si="59">W406</f>
        <v>40600</v>
      </c>
      <c r="Y406" s="810" t="s">
        <v>87</v>
      </c>
      <c r="Z406" s="810">
        <v>0</v>
      </c>
      <c r="AA406" s="812">
        <v>0.01</v>
      </c>
      <c r="AB406" s="465">
        <f>+Z406*AA406/100</f>
        <v>0</v>
      </c>
      <c r="AC406" s="602"/>
      <c r="AD406" s="603">
        <f>AB439-AC406</f>
        <v>168</v>
      </c>
      <c r="AE406" s="603">
        <f>IF(AD406&lt;=0,0,AD406*25/100)</f>
        <v>42</v>
      </c>
      <c r="AF406" s="603">
        <f>IF(AC406+AE406&gt;AB439,AB439,AC406+AE406)</f>
        <v>42</v>
      </c>
    </row>
    <row r="407" spans="1:33" s="457" customFormat="1" ht="18" customHeight="1" x14ac:dyDescent="0.2">
      <c r="A407" s="145">
        <v>2</v>
      </c>
      <c r="B407" s="786">
        <v>63005</v>
      </c>
      <c r="C407" s="145">
        <v>1833</v>
      </c>
      <c r="D407" s="231" t="s">
        <v>139</v>
      </c>
      <c r="E407" s="88">
        <v>2</v>
      </c>
      <c r="F407" s="88">
        <v>0</v>
      </c>
      <c r="G407" s="88">
        <v>1</v>
      </c>
      <c r="H407" s="418">
        <v>0</v>
      </c>
      <c r="I407" s="77">
        <f t="shared" ref="I407:I409" si="60">F407*400+G407*100+H407</f>
        <v>100</v>
      </c>
      <c r="J407" s="1031">
        <v>1400</v>
      </c>
      <c r="K407" s="78">
        <f t="shared" ref="K407:K408" si="61">SUM(I407*J407)</f>
        <v>140000</v>
      </c>
      <c r="L407" s="242">
        <v>1</v>
      </c>
      <c r="M407" s="88">
        <v>103</v>
      </c>
      <c r="N407" s="1032" t="s">
        <v>74</v>
      </c>
      <c r="O407" s="88">
        <v>2</v>
      </c>
      <c r="P407" s="1033">
        <v>60</v>
      </c>
      <c r="Q407" s="88">
        <v>100</v>
      </c>
      <c r="R407" s="1034">
        <v>9050</v>
      </c>
      <c r="S407" s="920">
        <v>543000</v>
      </c>
      <c r="T407" s="1877">
        <v>8</v>
      </c>
      <c r="U407" s="1670">
        <f>+S407*0.08</f>
        <v>43440</v>
      </c>
      <c r="V407" s="18">
        <f t="shared" ref="V407" si="62">+S407-U407</f>
        <v>499560</v>
      </c>
      <c r="W407" s="18">
        <f t="shared" ref="W407:W409" si="63">K407+V407</f>
        <v>639560</v>
      </c>
      <c r="X407" s="47">
        <f t="shared" ref="X407:X409" si="64">W407</f>
        <v>639560</v>
      </c>
      <c r="Y407" s="75" t="s">
        <v>87</v>
      </c>
      <c r="Z407" s="810">
        <v>0</v>
      </c>
      <c r="AA407" s="812">
        <v>0.02</v>
      </c>
      <c r="AB407" s="410">
        <f>+Z407*AA407/100</f>
        <v>0</v>
      </c>
      <c r="AC407" s="350"/>
      <c r="AD407" s="350"/>
      <c r="AE407" s="350"/>
      <c r="AF407" s="350"/>
    </row>
    <row r="408" spans="1:33" s="457" customFormat="1" ht="18" customHeight="1" x14ac:dyDescent="0.2">
      <c r="A408" s="145"/>
      <c r="B408" s="786"/>
      <c r="C408" s="61"/>
      <c r="D408" s="231"/>
      <c r="E408" s="88">
        <v>1</v>
      </c>
      <c r="F408" s="88">
        <v>2</v>
      </c>
      <c r="G408" s="88">
        <v>1</v>
      </c>
      <c r="H408" s="418">
        <v>8</v>
      </c>
      <c r="I408" s="77">
        <f t="shared" si="60"/>
        <v>908</v>
      </c>
      <c r="J408" s="1031">
        <v>1400</v>
      </c>
      <c r="K408" s="78">
        <f t="shared" si="61"/>
        <v>1271200</v>
      </c>
      <c r="L408" s="242"/>
      <c r="M408" s="88"/>
      <c r="N408" s="1032"/>
      <c r="O408" s="88"/>
      <c r="P408" s="1033"/>
      <c r="Q408" s="88"/>
      <c r="R408" s="1034"/>
      <c r="S408" s="920"/>
      <c r="T408" s="1035"/>
      <c r="U408" s="920"/>
      <c r="V408" s="1033"/>
      <c r="W408" s="18">
        <f t="shared" si="63"/>
        <v>1271200</v>
      </c>
      <c r="X408" s="47">
        <f t="shared" si="64"/>
        <v>1271200</v>
      </c>
      <c r="Y408" s="75" t="s">
        <v>87</v>
      </c>
      <c r="Z408" s="810">
        <v>0</v>
      </c>
      <c r="AA408" s="812">
        <v>0.01</v>
      </c>
      <c r="AB408" s="410">
        <f>+Z408*AA408/100</f>
        <v>0</v>
      </c>
      <c r="AC408" s="350"/>
      <c r="AD408" s="350"/>
      <c r="AE408" s="350"/>
      <c r="AF408" s="350"/>
    </row>
    <row r="409" spans="1:33" s="457" customFormat="1" ht="18" customHeight="1" x14ac:dyDescent="0.2">
      <c r="A409" s="85">
        <v>3</v>
      </c>
      <c r="B409" s="786">
        <v>61364</v>
      </c>
      <c r="C409" s="174" t="s">
        <v>151</v>
      </c>
      <c r="D409" s="88" t="s">
        <v>139</v>
      </c>
      <c r="E409" s="88">
        <v>4</v>
      </c>
      <c r="F409" s="88">
        <v>0</v>
      </c>
      <c r="G409" s="88">
        <v>0</v>
      </c>
      <c r="H409" s="418">
        <v>89.8</v>
      </c>
      <c r="I409" s="77">
        <f t="shared" si="60"/>
        <v>89.8</v>
      </c>
      <c r="J409" s="1031">
        <v>1100</v>
      </c>
      <c r="K409" s="78">
        <f>SUM(I409*J409)</f>
        <v>98780</v>
      </c>
      <c r="L409" s="242"/>
      <c r="M409" s="88"/>
      <c r="N409" s="1032"/>
      <c r="O409" s="88"/>
      <c r="P409" s="1033"/>
      <c r="Q409" s="88"/>
      <c r="R409" s="1034"/>
      <c r="S409" s="920"/>
      <c r="T409" s="1035"/>
      <c r="U409" s="920"/>
      <c r="V409" s="1033"/>
      <c r="W409" s="18">
        <f t="shared" si="63"/>
        <v>98780</v>
      </c>
      <c r="X409" s="47">
        <f t="shared" si="64"/>
        <v>98780</v>
      </c>
      <c r="Y409" s="75"/>
      <c r="Z409" s="18">
        <f>+X409</f>
        <v>98780</v>
      </c>
      <c r="AA409" s="812">
        <v>0.6</v>
      </c>
      <c r="AB409" s="410">
        <f>+Z409*AA409/100</f>
        <v>592.67999999999995</v>
      </c>
      <c r="AC409" s="350"/>
      <c r="AD409" s="350"/>
      <c r="AE409" s="350"/>
      <c r="AF409" s="350"/>
      <c r="AG409" s="1750" t="s">
        <v>387</v>
      </c>
    </row>
    <row r="410" spans="1:33" s="457" customFormat="1" ht="18" customHeight="1" x14ac:dyDescent="0.2">
      <c r="A410" s="145"/>
      <c r="B410" s="177"/>
      <c r="C410" s="177"/>
      <c r="D410" s="145"/>
      <c r="E410" s="145"/>
      <c r="F410" s="145"/>
      <c r="G410" s="145"/>
      <c r="H410" s="147"/>
      <c r="I410" s="107"/>
      <c r="J410" s="178"/>
      <c r="K410" s="107"/>
      <c r="L410" s="145"/>
      <c r="M410" s="145"/>
      <c r="N410" s="145"/>
      <c r="O410" s="145"/>
      <c r="P410" s="147"/>
      <c r="Q410" s="148"/>
      <c r="R410" s="437"/>
      <c r="S410" s="107"/>
      <c r="T410" s="437"/>
      <c r="U410" s="178"/>
      <c r="V410" s="107"/>
      <c r="W410" s="107"/>
      <c r="X410" s="470"/>
      <c r="Y410" s="470"/>
      <c r="Z410" s="471"/>
      <c r="AA410" s="471"/>
      <c r="AB410" s="466"/>
      <c r="AC410" s="350"/>
      <c r="AD410" s="350"/>
      <c r="AE410" s="350"/>
      <c r="AF410" s="350"/>
    </row>
    <row r="411" spans="1:33" s="457" customFormat="1" ht="18" customHeight="1" x14ac:dyDescent="0.2">
      <c r="A411" s="145"/>
      <c r="B411" s="177"/>
      <c r="C411" s="177"/>
      <c r="D411" s="145"/>
      <c r="E411" s="145"/>
      <c r="F411" s="145"/>
      <c r="G411" s="145"/>
      <c r="H411" s="147"/>
      <c r="I411" s="107"/>
      <c r="J411" s="178"/>
      <c r="K411" s="107"/>
      <c r="L411" s="145"/>
      <c r="M411" s="145"/>
      <c r="N411" s="145"/>
      <c r="O411" s="145"/>
      <c r="P411" s="147"/>
      <c r="Q411" s="148"/>
      <c r="R411" s="437"/>
      <c r="S411" s="107"/>
      <c r="T411" s="437"/>
      <c r="U411" s="178"/>
      <c r="V411" s="107"/>
      <c r="W411" s="107"/>
      <c r="X411" s="470"/>
      <c r="Y411" s="470"/>
      <c r="Z411" s="471"/>
      <c r="AA411" s="471"/>
      <c r="AB411" s="466"/>
      <c r="AC411" s="350"/>
      <c r="AD411" s="350"/>
      <c r="AE411" s="350"/>
      <c r="AF411" s="350"/>
    </row>
    <row r="412" spans="1:33" s="457" customFormat="1" ht="18" customHeight="1" x14ac:dyDescent="0.2">
      <c r="A412" s="145"/>
      <c r="B412" s="177"/>
      <c r="C412" s="177"/>
      <c r="D412" s="145"/>
      <c r="E412" s="145"/>
      <c r="F412" s="145"/>
      <c r="G412" s="145"/>
      <c r="H412" s="147"/>
      <c r="I412" s="107"/>
      <c r="J412" s="178"/>
      <c r="K412" s="107"/>
      <c r="L412" s="145"/>
      <c r="M412" s="145"/>
      <c r="N412" s="145"/>
      <c r="O412" s="145"/>
      <c r="P412" s="147"/>
      <c r="Q412" s="148"/>
      <c r="R412" s="437"/>
      <c r="S412" s="107"/>
      <c r="T412" s="437"/>
      <c r="U412" s="178"/>
      <c r="V412" s="107"/>
      <c r="W412" s="107"/>
      <c r="X412" s="470"/>
      <c r="Y412" s="470"/>
      <c r="Z412" s="471"/>
      <c r="AA412" s="471"/>
      <c r="AB412" s="466"/>
      <c r="AC412" s="350"/>
      <c r="AD412" s="350"/>
      <c r="AE412" s="350"/>
      <c r="AF412" s="350"/>
    </row>
    <row r="413" spans="1:33" s="457" customFormat="1" ht="18" customHeight="1" x14ac:dyDescent="0.2">
      <c r="A413" s="145"/>
      <c r="B413" s="177"/>
      <c r="C413" s="177"/>
      <c r="D413" s="145"/>
      <c r="E413" s="145"/>
      <c r="F413" s="145"/>
      <c r="G413" s="145"/>
      <c r="H413" s="147"/>
      <c r="I413" s="107"/>
      <c r="J413" s="178"/>
      <c r="K413" s="107"/>
      <c r="L413" s="145"/>
      <c r="M413" s="145"/>
      <c r="N413" s="145"/>
      <c r="O413" s="145"/>
      <c r="P413" s="147"/>
      <c r="Q413" s="148"/>
      <c r="R413" s="437"/>
      <c r="S413" s="107"/>
      <c r="T413" s="437"/>
      <c r="U413" s="178"/>
      <c r="V413" s="107"/>
      <c r="W413" s="107"/>
      <c r="X413" s="470"/>
      <c r="Y413" s="470"/>
      <c r="Z413" s="471"/>
      <c r="AA413" s="471"/>
      <c r="AB413" s="466"/>
      <c r="AC413" s="350"/>
      <c r="AD413" s="350"/>
      <c r="AE413" s="350"/>
      <c r="AF413" s="350"/>
    </row>
    <row r="414" spans="1:33" s="457" customFormat="1" ht="18" customHeight="1" x14ac:dyDescent="0.2">
      <c r="A414" s="145"/>
      <c r="B414" s="177"/>
      <c r="C414" s="177"/>
      <c r="D414" s="145"/>
      <c r="E414" s="145"/>
      <c r="F414" s="145"/>
      <c r="G414" s="145"/>
      <c r="H414" s="147"/>
      <c r="I414" s="107"/>
      <c r="J414" s="178"/>
      <c r="K414" s="107"/>
      <c r="L414" s="145"/>
      <c r="M414" s="145"/>
      <c r="N414" s="145"/>
      <c r="O414" s="145"/>
      <c r="P414" s="147"/>
      <c r="Q414" s="148"/>
      <c r="R414" s="437"/>
      <c r="S414" s="107"/>
      <c r="T414" s="437"/>
      <c r="U414" s="178"/>
      <c r="V414" s="107"/>
      <c r="W414" s="107"/>
      <c r="X414" s="470"/>
      <c r="Y414" s="470"/>
      <c r="Z414" s="471"/>
      <c r="AA414" s="471"/>
      <c r="AB414" s="466"/>
      <c r="AC414" s="350"/>
      <c r="AD414" s="350"/>
      <c r="AE414" s="350"/>
      <c r="AF414" s="350"/>
    </row>
    <row r="415" spans="1:33" s="457" customFormat="1" ht="18" customHeight="1" x14ac:dyDescent="0.2">
      <c r="A415" s="145"/>
      <c r="B415" s="177"/>
      <c r="C415" s="177"/>
      <c r="D415" s="145"/>
      <c r="E415" s="145"/>
      <c r="F415" s="145"/>
      <c r="G415" s="145"/>
      <c r="H415" s="147"/>
      <c r="I415" s="107"/>
      <c r="J415" s="178"/>
      <c r="K415" s="107"/>
      <c r="L415" s="145"/>
      <c r="M415" s="145"/>
      <c r="N415" s="145"/>
      <c r="O415" s="145"/>
      <c r="P415" s="147"/>
      <c r="Q415" s="148"/>
      <c r="R415" s="437"/>
      <c r="S415" s="107"/>
      <c r="T415" s="437"/>
      <c r="U415" s="178"/>
      <c r="V415" s="107"/>
      <c r="W415" s="107"/>
      <c r="X415" s="470"/>
      <c r="Y415" s="470"/>
      <c r="Z415" s="471"/>
      <c r="AA415" s="471"/>
      <c r="AB415" s="466"/>
      <c r="AC415" s="350"/>
      <c r="AD415" s="350"/>
      <c r="AE415" s="350"/>
      <c r="AF415" s="350"/>
    </row>
    <row r="416" spans="1:33" s="457" customFormat="1" ht="18" customHeight="1" x14ac:dyDescent="0.2">
      <c r="A416" s="145"/>
      <c r="B416" s="177"/>
      <c r="C416" s="177"/>
      <c r="D416" s="145"/>
      <c r="E416" s="145"/>
      <c r="F416" s="145"/>
      <c r="G416" s="145"/>
      <c r="H416" s="147"/>
      <c r="I416" s="107"/>
      <c r="J416" s="178"/>
      <c r="K416" s="107"/>
      <c r="L416" s="145"/>
      <c r="M416" s="145"/>
      <c r="N416" s="145"/>
      <c r="O416" s="145"/>
      <c r="P416" s="147"/>
      <c r="Q416" s="148"/>
      <c r="R416" s="437"/>
      <c r="S416" s="107"/>
      <c r="T416" s="437"/>
      <c r="U416" s="178"/>
      <c r="V416" s="107"/>
      <c r="W416" s="107"/>
      <c r="X416" s="470"/>
      <c r="Y416" s="470"/>
      <c r="Z416" s="471"/>
      <c r="AA416" s="471"/>
      <c r="AB416" s="466"/>
      <c r="AC416" s="350"/>
      <c r="AD416" s="350"/>
      <c r="AE416" s="350"/>
      <c r="AF416" s="350"/>
    </row>
    <row r="417" spans="1:32" s="457" customFormat="1" ht="18" customHeight="1" x14ac:dyDescent="0.2">
      <c r="A417" s="145"/>
      <c r="B417" s="177"/>
      <c r="C417" s="177"/>
      <c r="D417" s="145"/>
      <c r="E417" s="145"/>
      <c r="F417" s="145"/>
      <c r="G417" s="145"/>
      <c r="H417" s="147"/>
      <c r="I417" s="107"/>
      <c r="J417" s="178"/>
      <c r="K417" s="107"/>
      <c r="L417" s="145"/>
      <c r="M417" s="145"/>
      <c r="N417" s="145"/>
      <c r="O417" s="145"/>
      <c r="P417" s="147"/>
      <c r="Q417" s="148"/>
      <c r="R417" s="437"/>
      <c r="S417" s="107"/>
      <c r="T417" s="437"/>
      <c r="U417" s="178"/>
      <c r="V417" s="107"/>
      <c r="W417" s="107"/>
      <c r="X417" s="470"/>
      <c r="Y417" s="470"/>
      <c r="Z417" s="471"/>
      <c r="AA417" s="471"/>
      <c r="AB417" s="466"/>
      <c r="AC417" s="350"/>
      <c r="AD417" s="350"/>
      <c r="AE417" s="350"/>
      <c r="AF417" s="350"/>
    </row>
    <row r="418" spans="1:32" s="457" customFormat="1" ht="18" customHeight="1" x14ac:dyDescent="0.2">
      <c r="A418" s="145"/>
      <c r="B418" s="177"/>
      <c r="C418" s="177"/>
      <c r="D418" s="145"/>
      <c r="E418" s="145"/>
      <c r="F418" s="145"/>
      <c r="G418" s="145"/>
      <c r="H418" s="147"/>
      <c r="I418" s="107"/>
      <c r="J418" s="178"/>
      <c r="K418" s="107"/>
      <c r="L418" s="145"/>
      <c r="M418" s="145"/>
      <c r="N418" s="145"/>
      <c r="O418" s="145"/>
      <c r="P418" s="147"/>
      <c r="Q418" s="148"/>
      <c r="R418" s="437"/>
      <c r="S418" s="107"/>
      <c r="T418" s="437"/>
      <c r="U418" s="178"/>
      <c r="V418" s="107"/>
      <c r="W418" s="107"/>
      <c r="X418" s="470"/>
      <c r="Y418" s="470"/>
      <c r="Z418" s="471"/>
      <c r="AA418" s="471"/>
      <c r="AB418" s="466"/>
      <c r="AC418" s="350"/>
      <c r="AD418" s="350"/>
      <c r="AE418" s="350"/>
      <c r="AF418" s="350"/>
    </row>
    <row r="419" spans="1:32" s="457" customFormat="1" ht="18" customHeight="1" x14ac:dyDescent="0.2">
      <c r="A419" s="145"/>
      <c r="B419" s="177"/>
      <c r="C419" s="177"/>
      <c r="D419" s="145"/>
      <c r="E419" s="145"/>
      <c r="F419" s="145"/>
      <c r="G419" s="145"/>
      <c r="H419" s="147"/>
      <c r="I419" s="107"/>
      <c r="J419" s="178"/>
      <c r="K419" s="107"/>
      <c r="L419" s="145"/>
      <c r="M419" s="145"/>
      <c r="N419" s="145"/>
      <c r="O419" s="145"/>
      <c r="P419" s="147"/>
      <c r="Q419" s="148"/>
      <c r="R419" s="437"/>
      <c r="S419" s="107"/>
      <c r="T419" s="437"/>
      <c r="U419" s="178"/>
      <c r="V419" s="107"/>
      <c r="W419" s="107"/>
      <c r="X419" s="470"/>
      <c r="Y419" s="470"/>
      <c r="Z419" s="471"/>
      <c r="AA419" s="471"/>
      <c r="AB419" s="466"/>
      <c r="AC419" s="350"/>
      <c r="AD419" s="350"/>
      <c r="AE419" s="350"/>
      <c r="AF419" s="350"/>
    </row>
    <row r="420" spans="1:32" s="457" customFormat="1" ht="18" customHeight="1" x14ac:dyDescent="0.2">
      <c r="A420" s="145"/>
      <c r="B420" s="177"/>
      <c r="C420" s="177"/>
      <c r="D420" s="145"/>
      <c r="E420" s="145"/>
      <c r="F420" s="145"/>
      <c r="G420" s="145"/>
      <c r="H420" s="147"/>
      <c r="I420" s="107"/>
      <c r="J420" s="178"/>
      <c r="K420" s="107"/>
      <c r="L420" s="145"/>
      <c r="M420" s="145"/>
      <c r="N420" s="145"/>
      <c r="O420" s="145"/>
      <c r="P420" s="147"/>
      <c r="Q420" s="148"/>
      <c r="R420" s="437"/>
      <c r="S420" s="107"/>
      <c r="T420" s="437"/>
      <c r="U420" s="178"/>
      <c r="V420" s="107"/>
      <c r="W420" s="107"/>
      <c r="X420" s="470"/>
      <c r="Y420" s="470"/>
      <c r="Z420" s="471"/>
      <c r="AA420" s="471"/>
      <c r="AB420" s="466"/>
      <c r="AC420" s="350"/>
      <c r="AD420" s="350"/>
      <c r="AE420" s="350"/>
      <c r="AF420" s="350"/>
    </row>
    <row r="421" spans="1:32" s="457" customFormat="1" ht="18" customHeight="1" x14ac:dyDescent="0.2">
      <c r="A421" s="145"/>
      <c r="B421" s="177"/>
      <c r="C421" s="177"/>
      <c r="D421" s="145"/>
      <c r="E421" s="145"/>
      <c r="F421" s="145"/>
      <c r="G421" s="145"/>
      <c r="H421" s="147"/>
      <c r="I421" s="107"/>
      <c r="J421" s="178"/>
      <c r="K421" s="107"/>
      <c r="L421" s="145"/>
      <c r="M421" s="145"/>
      <c r="N421" s="145"/>
      <c r="O421" s="145"/>
      <c r="P421" s="147"/>
      <c r="Q421" s="148"/>
      <c r="R421" s="437"/>
      <c r="S421" s="107"/>
      <c r="T421" s="437"/>
      <c r="U421" s="178"/>
      <c r="V421" s="107"/>
      <c r="W421" s="107"/>
      <c r="X421" s="470"/>
      <c r="Y421" s="470"/>
      <c r="Z421" s="471"/>
      <c r="AA421" s="471"/>
      <c r="AB421" s="466"/>
      <c r="AC421" s="350"/>
      <c r="AD421" s="350"/>
      <c r="AE421" s="350"/>
      <c r="AF421" s="350"/>
    </row>
    <row r="422" spans="1:32" s="457" customFormat="1" ht="18" customHeight="1" x14ac:dyDescent="0.2">
      <c r="A422" s="145"/>
      <c r="B422" s="177"/>
      <c r="C422" s="177"/>
      <c r="D422" s="145"/>
      <c r="E422" s="145"/>
      <c r="F422" s="145"/>
      <c r="G422" s="145"/>
      <c r="H422" s="147"/>
      <c r="I422" s="107"/>
      <c r="J422" s="178"/>
      <c r="K422" s="107"/>
      <c r="L422" s="145"/>
      <c r="M422" s="145"/>
      <c r="N422" s="145"/>
      <c r="O422" s="145"/>
      <c r="P422" s="147"/>
      <c r="Q422" s="148"/>
      <c r="R422" s="437"/>
      <c r="S422" s="107"/>
      <c r="T422" s="437"/>
      <c r="U422" s="178"/>
      <c r="V422" s="107"/>
      <c r="W422" s="107"/>
      <c r="X422" s="470"/>
      <c r="Y422" s="470"/>
      <c r="Z422" s="471"/>
      <c r="AA422" s="471"/>
      <c r="AB422" s="466"/>
      <c r="AC422" s="350"/>
      <c r="AD422" s="350"/>
      <c r="AE422" s="350"/>
      <c r="AF422" s="350"/>
    </row>
    <row r="423" spans="1:32" s="457" customFormat="1" ht="18" customHeight="1" x14ac:dyDescent="0.2">
      <c r="A423" s="145"/>
      <c r="B423" s="177"/>
      <c r="C423" s="177"/>
      <c r="D423" s="145"/>
      <c r="E423" s="145"/>
      <c r="F423" s="145"/>
      <c r="G423" s="145"/>
      <c r="H423" s="147"/>
      <c r="I423" s="107"/>
      <c r="J423" s="178"/>
      <c r="K423" s="107"/>
      <c r="L423" s="145"/>
      <c r="M423" s="145"/>
      <c r="N423" s="145"/>
      <c r="O423" s="145"/>
      <c r="P423" s="147"/>
      <c r="Q423" s="148"/>
      <c r="R423" s="437"/>
      <c r="S423" s="107"/>
      <c r="T423" s="437"/>
      <c r="U423" s="178"/>
      <c r="V423" s="107"/>
      <c r="W423" s="107"/>
      <c r="X423" s="470"/>
      <c r="Y423" s="470"/>
      <c r="Z423" s="471"/>
      <c r="AA423" s="471"/>
      <c r="AB423" s="466"/>
      <c r="AC423" s="350"/>
      <c r="AD423" s="350"/>
      <c r="AE423" s="350"/>
      <c r="AF423" s="350"/>
    </row>
    <row r="424" spans="1:32" s="597" customFormat="1" ht="18" customHeight="1" x14ac:dyDescent="0.2">
      <c r="A424" s="1850"/>
      <c r="B424" s="1850"/>
      <c r="C424" s="1850"/>
      <c r="D424" s="1850"/>
      <c r="E424" s="1850"/>
      <c r="F424" s="1850"/>
      <c r="G424" s="1850"/>
      <c r="H424" s="1851"/>
      <c r="I424" s="1852"/>
      <c r="J424" s="1853"/>
      <c r="K424" s="1852"/>
      <c r="L424" s="1852"/>
      <c r="M424" s="1852"/>
      <c r="N424" s="1852"/>
      <c r="O424" s="1852"/>
      <c r="P424" s="1852"/>
      <c r="Q424" s="1852"/>
      <c r="R424" s="1854"/>
      <c r="S424" s="1852"/>
      <c r="T424" s="1854"/>
      <c r="U424" s="1853"/>
      <c r="V424" s="1852"/>
      <c r="W424" s="1852"/>
      <c r="X424" s="1856"/>
      <c r="Y424" s="1856"/>
      <c r="Z424" s="1857"/>
      <c r="AA424" s="1857"/>
      <c r="AB424" s="1847">
        <f>SUM(AB406:AB423)</f>
        <v>592.67999999999995</v>
      </c>
      <c r="AC424" s="1861"/>
      <c r="AD424" s="1861"/>
      <c r="AE424" s="1861"/>
      <c r="AF424" s="1861"/>
    </row>
    <row r="425" spans="1:32" s="457" customFormat="1" ht="18" customHeight="1" x14ac:dyDescent="0.2">
      <c r="A425" s="2737" t="s">
        <v>76</v>
      </c>
      <c r="B425" s="2737"/>
      <c r="C425" s="2738" t="s">
        <v>77</v>
      </c>
      <c r="D425" s="2738"/>
      <c r="E425" s="2738"/>
      <c r="F425" s="2738"/>
      <c r="G425" s="2738"/>
      <c r="H425" s="2738"/>
      <c r="I425" s="457" t="s">
        <v>78</v>
      </c>
      <c r="T425" s="651"/>
      <c r="U425" s="478"/>
      <c r="AB425" s="478"/>
    </row>
    <row r="426" spans="1:32" s="457" customFormat="1" ht="18" customHeight="1" x14ac:dyDescent="0.2">
      <c r="A426" s="448"/>
      <c r="B426" s="479"/>
      <c r="I426" s="457" t="s">
        <v>79</v>
      </c>
      <c r="T426" s="651"/>
      <c r="U426" s="478"/>
      <c r="AB426" s="478"/>
    </row>
    <row r="427" spans="1:32" s="457" customFormat="1" ht="18" customHeight="1" x14ac:dyDescent="0.2">
      <c r="A427" s="448"/>
      <c r="B427" s="479"/>
      <c r="I427" s="457" t="s">
        <v>80</v>
      </c>
      <c r="T427" s="651"/>
      <c r="U427" s="478"/>
      <c r="AB427" s="478"/>
    </row>
    <row r="428" spans="1:32" s="457" customFormat="1" ht="18" customHeight="1" x14ac:dyDescent="0.2">
      <c r="A428" s="448"/>
      <c r="B428" s="479"/>
      <c r="I428" s="457" t="s">
        <v>81</v>
      </c>
      <c r="T428" s="651"/>
      <c r="U428" s="478"/>
      <c r="AB428" s="478"/>
    </row>
    <row r="429" spans="1:32" s="457" customFormat="1" ht="18" customHeight="1" x14ac:dyDescent="0.2">
      <c r="A429" s="448"/>
      <c r="B429" s="479"/>
      <c r="I429" s="457" t="s">
        <v>88</v>
      </c>
      <c r="T429" s="651"/>
      <c r="U429" s="478"/>
      <c r="AB429" s="478"/>
    </row>
    <row r="430" spans="1:32" s="457" customFormat="1" ht="18" customHeight="1" x14ac:dyDescent="0.2">
      <c r="A430" s="456"/>
      <c r="B430" s="455"/>
      <c r="C430" s="455"/>
      <c r="D430" s="455"/>
      <c r="E430" s="455"/>
      <c r="F430" s="455"/>
      <c r="G430" s="455"/>
      <c r="H430" s="455"/>
      <c r="I430" s="455"/>
      <c r="J430" s="455"/>
      <c r="K430" s="455"/>
      <c r="L430" s="455"/>
      <c r="M430" s="455"/>
      <c r="N430" s="455"/>
      <c r="O430" s="455"/>
      <c r="P430" s="455"/>
      <c r="Q430" s="455"/>
      <c r="R430" s="455"/>
      <c r="S430" s="455"/>
      <c r="T430" s="608"/>
      <c r="U430" s="609"/>
      <c r="V430" s="455"/>
      <c r="W430" s="455"/>
      <c r="X430" s="455"/>
      <c r="Y430" s="455"/>
      <c r="Z430" s="455"/>
      <c r="AA430" s="2705" t="s">
        <v>0</v>
      </c>
      <c r="AB430" s="2705"/>
      <c r="AC430" s="455"/>
      <c r="AD430" s="455"/>
      <c r="AE430" s="455"/>
      <c r="AF430" s="455"/>
    </row>
    <row r="431" spans="1:32" s="457" customFormat="1" ht="18" customHeight="1" x14ac:dyDescent="0.2">
      <c r="A431" s="2706" t="s">
        <v>1</v>
      </c>
      <c r="B431" s="2706"/>
      <c r="C431" s="2706"/>
      <c r="D431" s="2706"/>
      <c r="E431" s="2706"/>
      <c r="F431" s="2706"/>
      <c r="G431" s="2706"/>
      <c r="H431" s="2706"/>
      <c r="I431" s="2706"/>
      <c r="J431" s="2706"/>
      <c r="K431" s="2706"/>
      <c r="L431" s="2706"/>
      <c r="M431" s="2706"/>
      <c r="N431" s="2706"/>
      <c r="O431" s="2706"/>
      <c r="P431" s="2706"/>
      <c r="Q431" s="2706"/>
      <c r="R431" s="2706"/>
      <c r="S431" s="2706"/>
      <c r="T431" s="2706"/>
      <c r="U431" s="2706"/>
      <c r="V431" s="2706"/>
      <c r="W431" s="2706"/>
      <c r="X431" s="2706"/>
      <c r="Y431" s="2706"/>
      <c r="Z431" s="2706"/>
      <c r="AA431" s="2706"/>
      <c r="AB431" s="2706"/>
      <c r="AC431" s="610"/>
      <c r="AD431" s="610"/>
      <c r="AE431" s="610"/>
      <c r="AF431" s="610"/>
    </row>
    <row r="432" spans="1:32" s="457" customFormat="1" ht="18" customHeight="1" x14ac:dyDescent="0.2">
      <c r="A432" s="2704" t="s">
        <v>437</v>
      </c>
      <c r="B432" s="2704"/>
      <c r="C432" s="2704"/>
      <c r="D432" s="2704"/>
      <c r="E432" s="2704"/>
      <c r="F432" s="2704"/>
      <c r="G432" s="2704"/>
      <c r="H432" s="2704"/>
      <c r="I432" s="2704"/>
      <c r="J432" s="2704"/>
      <c r="K432" s="2704"/>
      <c r="L432" s="2704"/>
      <c r="M432" s="2704"/>
      <c r="N432" s="2704"/>
      <c r="O432" s="2704"/>
      <c r="P432" s="2704"/>
      <c r="Q432" s="2704"/>
      <c r="R432" s="2704"/>
      <c r="S432" s="2704"/>
      <c r="T432" s="2704"/>
      <c r="U432" s="2704"/>
      <c r="V432" s="2704"/>
      <c r="W432" s="2704"/>
      <c r="X432" s="2704"/>
      <c r="Y432" s="2704"/>
      <c r="Z432" s="2704"/>
      <c r="AA432" s="2704"/>
      <c r="AB432" s="2704"/>
      <c r="AC432" s="611"/>
      <c r="AD432" s="611"/>
      <c r="AE432" s="611"/>
      <c r="AF432" s="611"/>
    </row>
    <row r="433" spans="1:33" s="457" customFormat="1" ht="18" customHeight="1" x14ac:dyDescent="0.2">
      <c r="A433" s="2686" t="s">
        <v>2</v>
      </c>
      <c r="B433" s="360"/>
      <c r="C433" s="2686" t="s">
        <v>3</v>
      </c>
      <c r="D433" s="360"/>
      <c r="E433" s="360"/>
      <c r="F433" s="2693" t="s">
        <v>4</v>
      </c>
      <c r="G433" s="2693"/>
      <c r="H433" s="2693"/>
      <c r="I433" s="2694"/>
      <c r="J433" s="2694"/>
      <c r="K433" s="2695"/>
      <c r="L433" s="361"/>
      <c r="M433" s="2679" t="s">
        <v>5</v>
      </c>
      <c r="N433" s="2679"/>
      <c r="O433" s="2679"/>
      <c r="P433" s="2679"/>
      <c r="Q433" s="2696"/>
      <c r="R433" s="2696"/>
      <c r="S433" s="2696"/>
      <c r="T433" s="2696"/>
      <c r="U433" s="2696"/>
      <c r="V433" s="2697"/>
      <c r="W433" s="362" t="s">
        <v>6</v>
      </c>
      <c r="X433" s="363" t="s">
        <v>7</v>
      </c>
      <c r="Y433" s="364"/>
      <c r="Z433" s="364"/>
      <c r="AA433" s="363"/>
      <c r="AB433" s="458"/>
      <c r="AC433" s="612" t="s">
        <v>8</v>
      </c>
      <c r="AD433" s="613"/>
      <c r="AE433" s="613"/>
      <c r="AF433" s="614"/>
    </row>
    <row r="434" spans="1:33" s="457" customFormat="1" ht="18" customHeight="1" x14ac:dyDescent="0.2">
      <c r="A434" s="2687"/>
      <c r="B434" s="367"/>
      <c r="C434" s="2687"/>
      <c r="D434" s="366" t="s">
        <v>9</v>
      </c>
      <c r="E434" s="366" t="s">
        <v>10</v>
      </c>
      <c r="F434" s="2698" t="s">
        <v>11</v>
      </c>
      <c r="G434" s="2694"/>
      <c r="H434" s="2695"/>
      <c r="I434" s="360"/>
      <c r="J434" s="449" t="s">
        <v>12</v>
      </c>
      <c r="K434" s="360"/>
      <c r="L434" s="2679" t="s">
        <v>2</v>
      </c>
      <c r="M434" s="370"/>
      <c r="N434" s="370"/>
      <c r="O434" s="370"/>
      <c r="P434" s="371"/>
      <c r="Q434" s="459" t="s">
        <v>13</v>
      </c>
      <c r="R434" s="370" t="s">
        <v>12</v>
      </c>
      <c r="S434" s="370" t="s">
        <v>6</v>
      </c>
      <c r="T434" s="2682" t="s">
        <v>14</v>
      </c>
      <c r="U434" s="2683"/>
      <c r="V434" s="375" t="s">
        <v>7</v>
      </c>
      <c r="W434" s="376" t="s">
        <v>15</v>
      </c>
      <c r="X434" s="377" t="s">
        <v>16</v>
      </c>
      <c r="Y434" s="377" t="s">
        <v>17</v>
      </c>
      <c r="Z434" s="377" t="s">
        <v>18</v>
      </c>
      <c r="AA434" s="377"/>
      <c r="AB434" s="460" t="s">
        <v>19</v>
      </c>
      <c r="AC434" s="615" t="s">
        <v>20</v>
      </c>
      <c r="AD434" s="616"/>
      <c r="AE434" s="617" t="s">
        <v>21</v>
      </c>
      <c r="AF434" s="618" t="s">
        <v>22</v>
      </c>
    </row>
    <row r="435" spans="1:33" s="457" customFormat="1" ht="18" customHeight="1" x14ac:dyDescent="0.2">
      <c r="A435" s="2687"/>
      <c r="B435" s="366" t="s">
        <v>23</v>
      </c>
      <c r="C435" s="2687"/>
      <c r="D435" s="366" t="s">
        <v>24</v>
      </c>
      <c r="E435" s="366" t="s">
        <v>25</v>
      </c>
      <c r="F435" s="2699"/>
      <c r="G435" s="2700"/>
      <c r="H435" s="2701"/>
      <c r="I435" s="366" t="s">
        <v>26</v>
      </c>
      <c r="J435" s="380" t="s">
        <v>15</v>
      </c>
      <c r="K435" s="380" t="s">
        <v>6</v>
      </c>
      <c r="L435" s="2680"/>
      <c r="M435" s="381" t="s">
        <v>27</v>
      </c>
      <c r="N435" s="381" t="s">
        <v>10</v>
      </c>
      <c r="O435" s="381" t="s">
        <v>10</v>
      </c>
      <c r="P435" s="385" t="s">
        <v>28</v>
      </c>
      <c r="Q435" s="461" t="s">
        <v>29</v>
      </c>
      <c r="R435" s="385" t="s">
        <v>15</v>
      </c>
      <c r="S435" s="385" t="s">
        <v>15</v>
      </c>
      <c r="T435" s="2684"/>
      <c r="U435" s="2685"/>
      <c r="V435" s="375" t="s">
        <v>30</v>
      </c>
      <c r="W435" s="376" t="s">
        <v>31</v>
      </c>
      <c r="X435" s="377" t="s">
        <v>30</v>
      </c>
      <c r="Y435" s="377" t="s">
        <v>32</v>
      </c>
      <c r="Z435" s="377" t="s">
        <v>7</v>
      </c>
      <c r="AA435" s="377" t="s">
        <v>33</v>
      </c>
      <c r="AB435" s="460" t="s">
        <v>34</v>
      </c>
      <c r="AC435" s="615" t="s">
        <v>35</v>
      </c>
      <c r="AD435" s="617" t="s">
        <v>36</v>
      </c>
      <c r="AE435" s="617" t="s">
        <v>37</v>
      </c>
      <c r="AF435" s="618" t="s">
        <v>38</v>
      </c>
    </row>
    <row r="436" spans="1:33" s="457" customFormat="1" ht="18" customHeight="1" x14ac:dyDescent="0.2">
      <c r="A436" s="2687"/>
      <c r="B436" s="366" t="s">
        <v>39</v>
      </c>
      <c r="C436" s="2687"/>
      <c r="D436" s="366" t="s">
        <v>40</v>
      </c>
      <c r="E436" s="366" t="s">
        <v>41</v>
      </c>
      <c r="F436" s="2686" t="s">
        <v>42</v>
      </c>
      <c r="G436" s="2686" t="s">
        <v>43</v>
      </c>
      <c r="H436" s="2688" t="s">
        <v>44</v>
      </c>
      <c r="I436" s="366" t="s">
        <v>45</v>
      </c>
      <c r="J436" s="380" t="s">
        <v>46</v>
      </c>
      <c r="K436" s="380" t="s">
        <v>47</v>
      </c>
      <c r="L436" s="2680"/>
      <c r="M436" s="381" t="s">
        <v>30</v>
      </c>
      <c r="N436" s="381" t="s">
        <v>30</v>
      </c>
      <c r="O436" s="381" t="s">
        <v>25</v>
      </c>
      <c r="P436" s="385" t="s">
        <v>30</v>
      </c>
      <c r="Q436" s="461" t="s">
        <v>48</v>
      </c>
      <c r="R436" s="385" t="s">
        <v>49</v>
      </c>
      <c r="S436" s="385" t="s">
        <v>30</v>
      </c>
      <c r="T436" s="619" t="s">
        <v>50</v>
      </c>
      <c r="U436" s="620" t="s">
        <v>13</v>
      </c>
      <c r="V436" s="375" t="s">
        <v>51</v>
      </c>
      <c r="W436" s="376" t="s">
        <v>52</v>
      </c>
      <c r="X436" s="377" t="s">
        <v>53</v>
      </c>
      <c r="Y436" s="377" t="s">
        <v>54</v>
      </c>
      <c r="Z436" s="377" t="s">
        <v>55</v>
      </c>
      <c r="AA436" s="377" t="s">
        <v>56</v>
      </c>
      <c r="AB436" s="460" t="s">
        <v>57</v>
      </c>
      <c r="AC436" s="617" t="s">
        <v>58</v>
      </c>
      <c r="AD436" s="617" t="s">
        <v>59</v>
      </c>
      <c r="AE436" s="617" t="s">
        <v>59</v>
      </c>
      <c r="AF436" s="618" t="s">
        <v>60</v>
      </c>
    </row>
    <row r="437" spans="1:33" s="457" customFormat="1" ht="18" customHeight="1" x14ac:dyDescent="0.2">
      <c r="A437" s="2687"/>
      <c r="B437" s="366" t="s">
        <v>61</v>
      </c>
      <c r="C437" s="2687"/>
      <c r="D437" s="366" t="s">
        <v>62</v>
      </c>
      <c r="E437" s="366" t="s">
        <v>63</v>
      </c>
      <c r="F437" s="2687"/>
      <c r="G437" s="2687"/>
      <c r="H437" s="2689"/>
      <c r="I437" s="366" t="s">
        <v>64</v>
      </c>
      <c r="J437" s="380" t="s">
        <v>59</v>
      </c>
      <c r="K437" s="380" t="s">
        <v>59</v>
      </c>
      <c r="L437" s="2680"/>
      <c r="M437" s="381"/>
      <c r="N437" s="381"/>
      <c r="O437" s="381" t="s">
        <v>41</v>
      </c>
      <c r="P437" s="385" t="s">
        <v>65</v>
      </c>
      <c r="Q437" s="461" t="s">
        <v>66</v>
      </c>
      <c r="R437" s="385" t="s">
        <v>67</v>
      </c>
      <c r="S437" s="385" t="s">
        <v>59</v>
      </c>
      <c r="T437" s="621" t="s">
        <v>68</v>
      </c>
      <c r="U437" s="622" t="s">
        <v>14</v>
      </c>
      <c r="V437" s="375" t="s">
        <v>14</v>
      </c>
      <c r="W437" s="376" t="s">
        <v>30</v>
      </c>
      <c r="X437" s="388" t="s">
        <v>69</v>
      </c>
      <c r="Y437" s="388" t="s">
        <v>70</v>
      </c>
      <c r="Z437" s="377" t="s">
        <v>71</v>
      </c>
      <c r="AA437" s="377" t="s">
        <v>72</v>
      </c>
      <c r="AB437" s="460" t="s">
        <v>59</v>
      </c>
      <c r="AC437" s="617" t="s">
        <v>59</v>
      </c>
      <c r="AD437" s="617"/>
      <c r="AE437" s="617"/>
      <c r="AF437" s="618" t="s">
        <v>59</v>
      </c>
    </row>
    <row r="438" spans="1:33" s="457" customFormat="1" ht="18" customHeight="1" x14ac:dyDescent="0.2">
      <c r="A438" s="2692"/>
      <c r="B438" s="390"/>
      <c r="C438" s="2692"/>
      <c r="D438" s="390"/>
      <c r="E438" s="389"/>
      <c r="F438" s="390"/>
      <c r="G438" s="390"/>
      <c r="H438" s="391"/>
      <c r="I438" s="389"/>
      <c r="J438" s="393"/>
      <c r="K438" s="393"/>
      <c r="L438" s="2681"/>
      <c r="M438" s="394"/>
      <c r="N438" s="394"/>
      <c r="O438" s="394" t="s">
        <v>63</v>
      </c>
      <c r="P438" s="394"/>
      <c r="Q438" s="450" t="s">
        <v>72</v>
      </c>
      <c r="R438" s="398" t="s">
        <v>59</v>
      </c>
      <c r="S438" s="398"/>
      <c r="T438" s="623" t="s">
        <v>73</v>
      </c>
      <c r="U438" s="624" t="s">
        <v>59</v>
      </c>
      <c r="V438" s="399" t="s">
        <v>59</v>
      </c>
      <c r="W438" s="400" t="s">
        <v>59</v>
      </c>
      <c r="X438" s="401" t="s">
        <v>59</v>
      </c>
      <c r="Y438" s="401" t="s">
        <v>59</v>
      </c>
      <c r="Z438" s="401" t="s">
        <v>59</v>
      </c>
      <c r="AA438" s="402"/>
      <c r="AB438" s="462"/>
      <c r="AC438" s="625"/>
      <c r="AD438" s="625"/>
      <c r="AE438" s="625"/>
      <c r="AF438" s="626"/>
    </row>
    <row r="439" spans="1:33" s="457" customFormat="1" ht="18" customHeight="1" x14ac:dyDescent="0.2">
      <c r="A439" s="75">
        <v>1</v>
      </c>
      <c r="B439" s="85">
        <v>62843</v>
      </c>
      <c r="C439" s="88">
        <v>1805</v>
      </c>
      <c r="D439" s="88" t="s">
        <v>139</v>
      </c>
      <c r="E439" s="88">
        <v>4</v>
      </c>
      <c r="F439" s="88">
        <v>0</v>
      </c>
      <c r="G439" s="88">
        <v>1</v>
      </c>
      <c r="H439" s="495">
        <v>0</v>
      </c>
      <c r="I439" s="77">
        <f>F439*400+G439*100+H439</f>
        <v>100</v>
      </c>
      <c r="J439" s="107">
        <v>280</v>
      </c>
      <c r="K439" s="78">
        <f>SUM(I439*J439)</f>
        <v>28000</v>
      </c>
      <c r="L439" s="75"/>
      <c r="M439" s="61"/>
      <c r="N439" s="61"/>
      <c r="O439" s="61"/>
      <c r="P439" s="173"/>
      <c r="Q439" s="174"/>
      <c r="R439" s="408"/>
      <c r="S439" s="77"/>
      <c r="T439" s="413"/>
      <c r="U439" s="74"/>
      <c r="V439" s="74"/>
      <c r="W439" s="77">
        <f>K439+V439</f>
        <v>28000</v>
      </c>
      <c r="X439" s="74">
        <f>W439</f>
        <v>28000</v>
      </c>
      <c r="Y439" s="676"/>
      <c r="Z439" s="77">
        <f>+X439</f>
        <v>28000</v>
      </c>
      <c r="AA439" s="409">
        <v>0.6</v>
      </c>
      <c r="AB439" s="465">
        <f>+Z439*AA439/100</f>
        <v>168</v>
      </c>
      <c r="AC439" s="602"/>
      <c r="AD439" s="603">
        <f>AB472-AC439</f>
        <v>4003.2</v>
      </c>
      <c r="AE439" s="603">
        <f>IF(AD439&lt;=0,0,AD439*25/100)</f>
        <v>1000.8</v>
      </c>
      <c r="AF439" s="603">
        <f>IF(AC439+AE439&gt;AB472,AB472,AC439+AE439)</f>
        <v>1000.8</v>
      </c>
      <c r="AG439" s="1750" t="s">
        <v>387</v>
      </c>
    </row>
    <row r="440" spans="1:33" s="457" customFormat="1" ht="18" customHeight="1" x14ac:dyDescent="0.2">
      <c r="A440" s="242"/>
      <c r="B440" s="242"/>
      <c r="C440" s="496"/>
      <c r="D440" s="88"/>
      <c r="E440" s="85"/>
      <c r="F440" s="411"/>
      <c r="G440" s="242"/>
      <c r="H440" s="497"/>
      <c r="I440" s="77"/>
      <c r="J440" s="107"/>
      <c r="K440" s="78"/>
      <c r="L440" s="242"/>
      <c r="M440" s="242"/>
      <c r="N440" s="242"/>
      <c r="O440" s="242"/>
      <c r="P440" s="497"/>
      <c r="Q440" s="496"/>
      <c r="R440" s="503"/>
      <c r="S440" s="504"/>
      <c r="T440" s="503"/>
      <c r="U440" s="74"/>
      <c r="V440" s="74"/>
      <c r="W440" s="77"/>
      <c r="X440" s="74"/>
      <c r="Y440" s="676"/>
      <c r="Z440" s="77"/>
      <c r="AA440" s="726"/>
      <c r="AB440" s="466"/>
      <c r="AC440" s="350"/>
      <c r="AD440" s="350"/>
      <c r="AE440" s="350"/>
      <c r="AF440" s="350"/>
    </row>
    <row r="441" spans="1:33" s="457" customFormat="1" ht="18" customHeight="1" x14ac:dyDescent="0.2">
      <c r="A441" s="242"/>
      <c r="B441" s="242"/>
      <c r="C441" s="496"/>
      <c r="D441" s="85"/>
      <c r="E441" s="85"/>
      <c r="F441" s="411"/>
      <c r="G441" s="242"/>
      <c r="H441" s="497"/>
      <c r="I441" s="77"/>
      <c r="J441" s="107"/>
      <c r="K441" s="78"/>
      <c r="L441" s="242"/>
      <c r="M441" s="242"/>
      <c r="N441" s="242"/>
      <c r="O441" s="242"/>
      <c r="P441" s="497"/>
      <c r="Q441" s="496"/>
      <c r="R441" s="503"/>
      <c r="S441" s="504"/>
      <c r="T441" s="503"/>
      <c r="U441" s="74"/>
      <c r="V441" s="74"/>
      <c r="W441" s="77"/>
      <c r="X441" s="74"/>
      <c r="Y441" s="676"/>
      <c r="Z441" s="77"/>
      <c r="AA441" s="726"/>
      <c r="AB441" s="466"/>
      <c r="AC441" s="350"/>
      <c r="AD441" s="350"/>
      <c r="AE441" s="350"/>
      <c r="AF441" s="350"/>
    </row>
    <row r="442" spans="1:33" s="457" customFormat="1" ht="18" customHeight="1" x14ac:dyDescent="0.2">
      <c r="A442" s="145"/>
      <c r="B442" s="177"/>
      <c r="C442" s="177"/>
      <c r="D442" s="145"/>
      <c r="E442" s="145"/>
      <c r="F442" s="145"/>
      <c r="G442" s="145"/>
      <c r="H442" s="147"/>
      <c r="I442" s="107"/>
      <c r="J442" s="178"/>
      <c r="K442" s="107"/>
      <c r="L442" s="145"/>
      <c r="M442" s="145"/>
      <c r="N442" s="145"/>
      <c r="O442" s="145"/>
      <c r="P442" s="147"/>
      <c r="Q442" s="148"/>
      <c r="R442" s="437"/>
      <c r="S442" s="107"/>
      <c r="T442" s="437"/>
      <c r="U442" s="178"/>
      <c r="V442" s="107"/>
      <c r="W442" s="107"/>
      <c r="X442" s="470"/>
      <c r="Y442" s="470"/>
      <c r="Z442" s="471"/>
      <c r="AA442" s="471"/>
      <c r="AB442" s="466"/>
      <c r="AC442" s="350"/>
      <c r="AD442" s="350"/>
      <c r="AE442" s="350"/>
      <c r="AF442" s="350"/>
    </row>
    <row r="443" spans="1:33" s="457" customFormat="1" ht="18" customHeight="1" x14ac:dyDescent="0.2">
      <c r="A443" s="145"/>
      <c r="B443" s="177"/>
      <c r="C443" s="177"/>
      <c r="D443" s="145"/>
      <c r="E443" s="145"/>
      <c r="F443" s="145"/>
      <c r="G443" s="145"/>
      <c r="H443" s="147"/>
      <c r="I443" s="107"/>
      <c r="J443" s="178"/>
      <c r="K443" s="107"/>
      <c r="L443" s="145"/>
      <c r="M443" s="145"/>
      <c r="N443" s="145"/>
      <c r="O443" s="145"/>
      <c r="P443" s="147"/>
      <c r="Q443" s="148"/>
      <c r="R443" s="437"/>
      <c r="S443" s="107"/>
      <c r="T443" s="437"/>
      <c r="U443" s="178"/>
      <c r="V443" s="107"/>
      <c r="W443" s="107"/>
      <c r="X443" s="470"/>
      <c r="Y443" s="470"/>
      <c r="Z443" s="471"/>
      <c r="AA443" s="471"/>
      <c r="AB443" s="466"/>
      <c r="AC443" s="350"/>
      <c r="AD443" s="350"/>
      <c r="AE443" s="350"/>
      <c r="AF443" s="350"/>
    </row>
    <row r="444" spans="1:33" s="457" customFormat="1" ht="18" customHeight="1" x14ac:dyDescent="0.2">
      <c r="A444" s="145"/>
      <c r="B444" s="177"/>
      <c r="C444" s="177"/>
      <c r="D444" s="145"/>
      <c r="E444" s="145"/>
      <c r="F444" s="145"/>
      <c r="G444" s="145"/>
      <c r="H444" s="147"/>
      <c r="I444" s="107"/>
      <c r="J444" s="178"/>
      <c r="K444" s="107"/>
      <c r="L444" s="145"/>
      <c r="M444" s="145"/>
      <c r="N444" s="145"/>
      <c r="O444" s="145"/>
      <c r="P444" s="147"/>
      <c r="Q444" s="148"/>
      <c r="R444" s="437"/>
      <c r="S444" s="107"/>
      <c r="T444" s="437"/>
      <c r="U444" s="178"/>
      <c r="V444" s="107"/>
      <c r="W444" s="107"/>
      <c r="X444" s="470"/>
      <c r="Y444" s="470"/>
      <c r="Z444" s="471"/>
      <c r="AA444" s="471"/>
      <c r="AB444" s="466"/>
      <c r="AC444" s="350"/>
      <c r="AD444" s="350"/>
      <c r="AE444" s="350"/>
      <c r="AF444" s="350"/>
    </row>
    <row r="445" spans="1:33" s="457" customFormat="1" ht="18" customHeight="1" x14ac:dyDescent="0.2">
      <c r="A445" s="145"/>
      <c r="B445" s="177"/>
      <c r="C445" s="177"/>
      <c r="D445" s="145"/>
      <c r="E445" s="145"/>
      <c r="F445" s="145"/>
      <c r="G445" s="145"/>
      <c r="H445" s="147"/>
      <c r="I445" s="107"/>
      <c r="J445" s="178"/>
      <c r="K445" s="107"/>
      <c r="L445" s="145"/>
      <c r="M445" s="145"/>
      <c r="N445" s="145"/>
      <c r="O445" s="145"/>
      <c r="P445" s="147"/>
      <c r="Q445" s="148"/>
      <c r="R445" s="437"/>
      <c r="S445" s="107"/>
      <c r="T445" s="437"/>
      <c r="U445" s="178"/>
      <c r="V445" s="107"/>
      <c r="W445" s="107"/>
      <c r="X445" s="470"/>
      <c r="Y445" s="470"/>
      <c r="Z445" s="471"/>
      <c r="AA445" s="471"/>
      <c r="AB445" s="466"/>
      <c r="AC445" s="350"/>
      <c r="AD445" s="350"/>
      <c r="AE445" s="350"/>
      <c r="AF445" s="350"/>
    </row>
    <row r="446" spans="1:33" s="457" customFormat="1" ht="18" customHeight="1" x14ac:dyDescent="0.2">
      <c r="A446" s="145"/>
      <c r="B446" s="177"/>
      <c r="C446" s="177"/>
      <c r="D446" s="145"/>
      <c r="E446" s="145"/>
      <c r="F446" s="145"/>
      <c r="G446" s="145"/>
      <c r="H446" s="147"/>
      <c r="I446" s="107"/>
      <c r="J446" s="178"/>
      <c r="K446" s="107"/>
      <c r="L446" s="145"/>
      <c r="M446" s="145"/>
      <c r="N446" s="145"/>
      <c r="O446" s="145"/>
      <c r="P446" s="147"/>
      <c r="Q446" s="148"/>
      <c r="R446" s="437"/>
      <c r="S446" s="107"/>
      <c r="T446" s="437"/>
      <c r="U446" s="178"/>
      <c r="V446" s="107"/>
      <c r="W446" s="107"/>
      <c r="X446" s="470"/>
      <c r="Y446" s="470"/>
      <c r="Z446" s="471"/>
      <c r="AA446" s="471"/>
      <c r="AB446" s="466"/>
      <c r="AC446" s="350"/>
      <c r="AD446" s="350"/>
      <c r="AE446" s="350"/>
      <c r="AF446" s="350"/>
    </row>
    <row r="447" spans="1:33" s="457" customFormat="1" ht="18" customHeight="1" x14ac:dyDescent="0.2">
      <c r="A447" s="145"/>
      <c r="B447" s="177"/>
      <c r="C447" s="177"/>
      <c r="D447" s="145"/>
      <c r="E447" s="145"/>
      <c r="F447" s="145"/>
      <c r="G447" s="145"/>
      <c r="H447" s="147"/>
      <c r="I447" s="107"/>
      <c r="J447" s="178"/>
      <c r="K447" s="107"/>
      <c r="L447" s="145"/>
      <c r="M447" s="145"/>
      <c r="N447" s="145"/>
      <c r="O447" s="145"/>
      <c r="P447" s="147"/>
      <c r="Q447" s="148"/>
      <c r="R447" s="437"/>
      <c r="S447" s="107"/>
      <c r="T447" s="437"/>
      <c r="U447" s="178"/>
      <c r="V447" s="107"/>
      <c r="W447" s="107"/>
      <c r="X447" s="470"/>
      <c r="Y447" s="470"/>
      <c r="Z447" s="471"/>
      <c r="AA447" s="471"/>
      <c r="AB447" s="466"/>
      <c r="AC447" s="350"/>
      <c r="AD447" s="350"/>
      <c r="AE447" s="350"/>
      <c r="AF447" s="350"/>
    </row>
    <row r="448" spans="1:33" s="457" customFormat="1" ht="18" customHeight="1" x14ac:dyDescent="0.2">
      <c r="A448" s="145"/>
      <c r="B448" s="177"/>
      <c r="C448" s="177"/>
      <c r="D448" s="145"/>
      <c r="E448" s="145"/>
      <c r="F448" s="145"/>
      <c r="G448" s="145"/>
      <c r="H448" s="147"/>
      <c r="I448" s="107"/>
      <c r="J448" s="178"/>
      <c r="K448" s="107"/>
      <c r="L448" s="145"/>
      <c r="M448" s="145"/>
      <c r="N448" s="145"/>
      <c r="O448" s="145"/>
      <c r="P448" s="147"/>
      <c r="Q448" s="148"/>
      <c r="R448" s="437"/>
      <c r="S448" s="107"/>
      <c r="T448" s="437"/>
      <c r="U448" s="178"/>
      <c r="V448" s="107"/>
      <c r="W448" s="107"/>
      <c r="X448" s="470"/>
      <c r="Y448" s="470"/>
      <c r="Z448" s="471"/>
      <c r="AA448" s="471"/>
      <c r="AB448" s="466"/>
      <c r="AC448" s="350"/>
      <c r="AD448" s="350"/>
      <c r="AE448" s="350"/>
      <c r="AF448" s="350"/>
    </row>
    <row r="449" spans="1:32" s="457" customFormat="1" ht="18" customHeight="1" x14ac:dyDescent="0.2">
      <c r="A449" s="145"/>
      <c r="B449" s="177"/>
      <c r="C449" s="177"/>
      <c r="D449" s="145"/>
      <c r="E449" s="145"/>
      <c r="F449" s="145"/>
      <c r="G449" s="145"/>
      <c r="H449" s="147"/>
      <c r="I449" s="107"/>
      <c r="J449" s="178"/>
      <c r="K449" s="107"/>
      <c r="L449" s="145"/>
      <c r="M449" s="145"/>
      <c r="N449" s="145"/>
      <c r="O449" s="145"/>
      <c r="P449" s="147"/>
      <c r="Q449" s="148"/>
      <c r="R449" s="437"/>
      <c r="S449" s="107"/>
      <c r="T449" s="437"/>
      <c r="U449" s="178"/>
      <c r="V449" s="107"/>
      <c r="W449" s="107"/>
      <c r="X449" s="470"/>
      <c r="Y449" s="470"/>
      <c r="Z449" s="471"/>
      <c r="AA449" s="471"/>
      <c r="AB449" s="466"/>
      <c r="AC449" s="350"/>
      <c r="AD449" s="350"/>
      <c r="AE449" s="350"/>
      <c r="AF449" s="350"/>
    </row>
    <row r="450" spans="1:32" s="457" customFormat="1" ht="18" customHeight="1" x14ac:dyDescent="0.2">
      <c r="A450" s="145"/>
      <c r="B450" s="177"/>
      <c r="C450" s="177"/>
      <c r="D450" s="145"/>
      <c r="E450" s="145"/>
      <c r="F450" s="145"/>
      <c r="G450" s="145"/>
      <c r="H450" s="147"/>
      <c r="I450" s="107"/>
      <c r="J450" s="178"/>
      <c r="K450" s="107"/>
      <c r="L450" s="145"/>
      <c r="M450" s="145"/>
      <c r="N450" s="145"/>
      <c r="O450" s="145"/>
      <c r="P450" s="147"/>
      <c r="Q450" s="148"/>
      <c r="R450" s="437"/>
      <c r="S450" s="107"/>
      <c r="T450" s="437"/>
      <c r="U450" s="178"/>
      <c r="V450" s="107"/>
      <c r="W450" s="107"/>
      <c r="X450" s="470"/>
      <c r="Y450" s="470"/>
      <c r="Z450" s="471"/>
      <c r="AA450" s="471"/>
      <c r="AB450" s="466"/>
      <c r="AC450" s="350"/>
      <c r="AD450" s="350"/>
      <c r="AE450" s="350"/>
      <c r="AF450" s="350"/>
    </row>
    <row r="451" spans="1:32" s="457" customFormat="1" ht="18" customHeight="1" x14ac:dyDescent="0.2">
      <c r="A451" s="145"/>
      <c r="B451" s="177"/>
      <c r="C451" s="177"/>
      <c r="D451" s="145"/>
      <c r="E451" s="145"/>
      <c r="F451" s="145"/>
      <c r="G451" s="145"/>
      <c r="H451" s="147"/>
      <c r="I451" s="107"/>
      <c r="J451" s="178"/>
      <c r="K451" s="107"/>
      <c r="L451" s="145"/>
      <c r="M451" s="145"/>
      <c r="N451" s="145"/>
      <c r="O451" s="145"/>
      <c r="P451" s="147"/>
      <c r="Q451" s="148"/>
      <c r="R451" s="437"/>
      <c r="S451" s="107"/>
      <c r="T451" s="437"/>
      <c r="U451" s="178"/>
      <c r="V451" s="107"/>
      <c r="W451" s="107"/>
      <c r="X451" s="470"/>
      <c r="Y451" s="470"/>
      <c r="Z451" s="471"/>
      <c r="AA451" s="471"/>
      <c r="AB451" s="466"/>
      <c r="AC451" s="350"/>
      <c r="AD451" s="350"/>
      <c r="AE451" s="350"/>
      <c r="AF451" s="350"/>
    </row>
    <row r="452" spans="1:32" s="457" customFormat="1" ht="18" customHeight="1" x14ac:dyDescent="0.2">
      <c r="A452" s="145"/>
      <c r="B452" s="177"/>
      <c r="C452" s="177"/>
      <c r="D452" s="145"/>
      <c r="E452" s="145"/>
      <c r="F452" s="145"/>
      <c r="G452" s="145"/>
      <c r="H452" s="147"/>
      <c r="I452" s="107"/>
      <c r="J452" s="178"/>
      <c r="K452" s="107"/>
      <c r="L452" s="145"/>
      <c r="M452" s="145"/>
      <c r="N452" s="145"/>
      <c r="O452" s="145"/>
      <c r="P452" s="147"/>
      <c r="Q452" s="148"/>
      <c r="R452" s="437"/>
      <c r="S452" s="107"/>
      <c r="T452" s="437"/>
      <c r="U452" s="178"/>
      <c r="V452" s="107"/>
      <c r="W452" s="107"/>
      <c r="X452" s="470"/>
      <c r="Y452" s="470"/>
      <c r="Z452" s="471"/>
      <c r="AA452" s="471"/>
      <c r="AB452" s="466"/>
      <c r="AC452" s="350"/>
      <c r="AD452" s="350"/>
      <c r="AE452" s="350"/>
      <c r="AF452" s="350"/>
    </row>
    <row r="453" spans="1:32" s="457" customFormat="1" ht="18" customHeight="1" x14ac:dyDescent="0.2">
      <c r="A453" s="145"/>
      <c r="B453" s="177"/>
      <c r="C453" s="177"/>
      <c r="D453" s="145"/>
      <c r="E453" s="145"/>
      <c r="F453" s="145"/>
      <c r="G453" s="145"/>
      <c r="H453" s="147"/>
      <c r="I453" s="107"/>
      <c r="J453" s="178"/>
      <c r="K453" s="107"/>
      <c r="L453" s="145"/>
      <c r="M453" s="145"/>
      <c r="N453" s="145"/>
      <c r="O453" s="145"/>
      <c r="P453" s="147"/>
      <c r="Q453" s="148"/>
      <c r="R453" s="437"/>
      <c r="S453" s="107"/>
      <c r="T453" s="437"/>
      <c r="U453" s="178"/>
      <c r="V453" s="107"/>
      <c r="W453" s="107"/>
      <c r="X453" s="470"/>
      <c r="Y453" s="470"/>
      <c r="Z453" s="471"/>
      <c r="AA453" s="471"/>
      <c r="AB453" s="466"/>
      <c r="AC453" s="350"/>
      <c r="AD453" s="350"/>
      <c r="AE453" s="350"/>
      <c r="AF453" s="350"/>
    </row>
    <row r="454" spans="1:32" s="457" customFormat="1" ht="18" customHeight="1" x14ac:dyDescent="0.2">
      <c r="A454" s="145"/>
      <c r="B454" s="177"/>
      <c r="C454" s="177"/>
      <c r="D454" s="145"/>
      <c r="E454" s="145"/>
      <c r="F454" s="145"/>
      <c r="G454" s="145"/>
      <c r="H454" s="147"/>
      <c r="I454" s="107"/>
      <c r="J454" s="178"/>
      <c r="K454" s="107"/>
      <c r="L454" s="145"/>
      <c r="M454" s="145"/>
      <c r="N454" s="145"/>
      <c r="O454" s="145"/>
      <c r="P454" s="147"/>
      <c r="Q454" s="148"/>
      <c r="R454" s="437"/>
      <c r="S454" s="107"/>
      <c r="T454" s="437"/>
      <c r="U454" s="178"/>
      <c r="V454" s="107"/>
      <c r="W454" s="107"/>
      <c r="X454" s="470"/>
      <c r="Y454" s="470"/>
      <c r="Z454" s="471"/>
      <c r="AA454" s="471"/>
      <c r="AB454" s="466"/>
      <c r="AC454" s="350"/>
      <c r="AD454" s="350"/>
      <c r="AE454" s="350"/>
      <c r="AF454" s="350"/>
    </row>
    <row r="455" spans="1:32" s="457" customFormat="1" ht="18" customHeight="1" x14ac:dyDescent="0.2">
      <c r="A455" s="145"/>
      <c r="B455" s="177"/>
      <c r="C455" s="177"/>
      <c r="D455" s="145"/>
      <c r="E455" s="145"/>
      <c r="F455" s="145"/>
      <c r="G455" s="145"/>
      <c r="H455" s="147"/>
      <c r="I455" s="107"/>
      <c r="J455" s="178"/>
      <c r="K455" s="107"/>
      <c r="L455" s="145"/>
      <c r="M455" s="145"/>
      <c r="N455" s="145"/>
      <c r="O455" s="145"/>
      <c r="P455" s="147"/>
      <c r="Q455" s="148"/>
      <c r="R455" s="437"/>
      <c r="S455" s="107"/>
      <c r="T455" s="437"/>
      <c r="U455" s="178"/>
      <c r="V455" s="107"/>
      <c r="W455" s="107"/>
      <c r="X455" s="470"/>
      <c r="Y455" s="470"/>
      <c r="Z455" s="471"/>
      <c r="AA455" s="471"/>
      <c r="AB455" s="466"/>
      <c r="AC455" s="350"/>
      <c r="AD455" s="350"/>
      <c r="AE455" s="350"/>
      <c r="AF455" s="350"/>
    </row>
    <row r="456" spans="1:32" s="457" customFormat="1" ht="18" customHeight="1" x14ac:dyDescent="0.2">
      <c r="A456" s="145"/>
      <c r="B456" s="177"/>
      <c r="C456" s="177"/>
      <c r="D456" s="145"/>
      <c r="E456" s="145"/>
      <c r="F456" s="145"/>
      <c r="G456" s="145"/>
      <c r="H456" s="147"/>
      <c r="I456" s="107"/>
      <c r="J456" s="178"/>
      <c r="K456" s="107"/>
      <c r="L456" s="145"/>
      <c r="M456" s="145"/>
      <c r="N456" s="145"/>
      <c r="O456" s="145"/>
      <c r="P456" s="147"/>
      <c r="Q456" s="148"/>
      <c r="R456" s="437"/>
      <c r="S456" s="107"/>
      <c r="T456" s="437"/>
      <c r="U456" s="178"/>
      <c r="V456" s="107"/>
      <c r="W456" s="107"/>
      <c r="X456" s="470"/>
      <c r="Y456" s="470"/>
      <c r="Z456" s="471"/>
      <c r="AA456" s="471"/>
      <c r="AB456" s="466"/>
      <c r="AC456" s="350"/>
      <c r="AD456" s="350"/>
      <c r="AE456" s="350"/>
      <c r="AF456" s="350"/>
    </row>
    <row r="457" spans="1:32" s="457" customFormat="1" ht="18" customHeight="1" x14ac:dyDescent="0.2">
      <c r="A457" s="221"/>
      <c r="B457" s="227"/>
      <c r="C457" s="227"/>
      <c r="D457" s="221"/>
      <c r="E457" s="221"/>
      <c r="F457" s="221"/>
      <c r="G457" s="221"/>
      <c r="H457" s="228"/>
      <c r="I457" s="202"/>
      <c r="J457" s="229"/>
      <c r="K457" s="202"/>
      <c r="L457" s="221"/>
      <c r="M457" s="221"/>
      <c r="N457" s="221"/>
      <c r="O457" s="221"/>
      <c r="P457" s="228"/>
      <c r="Q457" s="230"/>
      <c r="R457" s="439"/>
      <c r="S457" s="202"/>
      <c r="T457" s="439"/>
      <c r="U457" s="229"/>
      <c r="V457" s="202"/>
      <c r="W457" s="202"/>
      <c r="X457" s="765"/>
      <c r="Y457" s="765"/>
      <c r="Z457" s="766"/>
      <c r="AA457" s="766"/>
      <c r="AB457" s="423">
        <f>SUM(AB439:AB456)</f>
        <v>168</v>
      </c>
      <c r="AC457" s="350"/>
      <c r="AD457" s="350"/>
      <c r="AE457" s="350"/>
      <c r="AF457" s="350"/>
    </row>
    <row r="458" spans="1:32" s="457" customFormat="1" ht="18" customHeight="1" x14ac:dyDescent="0.2">
      <c r="A458" s="2737" t="s">
        <v>76</v>
      </c>
      <c r="B458" s="2737"/>
      <c r="C458" s="2738" t="s">
        <v>77</v>
      </c>
      <c r="D458" s="2738"/>
      <c r="E458" s="2738"/>
      <c r="F458" s="2738"/>
      <c r="G458" s="2738"/>
      <c r="H458" s="2738"/>
      <c r="I458" s="457" t="s">
        <v>78</v>
      </c>
      <c r="T458" s="651"/>
      <c r="U458" s="478"/>
      <c r="AB458" s="478"/>
    </row>
    <row r="459" spans="1:32" s="457" customFormat="1" ht="18" customHeight="1" x14ac:dyDescent="0.2">
      <c r="A459" s="448"/>
      <c r="B459" s="479"/>
      <c r="I459" s="457" t="s">
        <v>79</v>
      </c>
      <c r="T459" s="651"/>
      <c r="U459" s="478"/>
      <c r="AB459" s="478"/>
    </row>
    <row r="460" spans="1:32" s="457" customFormat="1" ht="18" customHeight="1" x14ac:dyDescent="0.2">
      <c r="A460" s="448"/>
      <c r="B460" s="479"/>
      <c r="I460" s="457" t="s">
        <v>80</v>
      </c>
      <c r="T460" s="651"/>
      <c r="U460" s="478"/>
      <c r="AB460" s="478"/>
    </row>
    <row r="461" spans="1:32" s="457" customFormat="1" ht="18" customHeight="1" x14ac:dyDescent="0.2">
      <c r="A461" s="448"/>
      <c r="B461" s="479"/>
      <c r="I461" s="457" t="s">
        <v>81</v>
      </c>
      <c r="T461" s="651"/>
      <c r="U461" s="478"/>
      <c r="AB461" s="478"/>
    </row>
    <row r="462" spans="1:32" s="457" customFormat="1" ht="18" customHeight="1" x14ac:dyDescent="0.2">
      <c r="A462" s="448"/>
      <c r="B462" s="479"/>
      <c r="I462" s="457" t="s">
        <v>88</v>
      </c>
      <c r="T462" s="651"/>
      <c r="U462" s="478"/>
      <c r="AB462" s="478"/>
    </row>
    <row r="463" spans="1:32" s="457" customFormat="1" ht="18" customHeight="1" x14ac:dyDescent="0.2">
      <c r="A463" s="456"/>
      <c r="B463" s="455"/>
      <c r="C463" s="455"/>
      <c r="D463" s="455"/>
      <c r="E463" s="455"/>
      <c r="F463" s="455"/>
      <c r="G463" s="455"/>
      <c r="H463" s="455"/>
      <c r="I463" s="455"/>
      <c r="J463" s="455"/>
      <c r="K463" s="455"/>
      <c r="L463" s="455"/>
      <c r="M463" s="455"/>
      <c r="N463" s="455"/>
      <c r="O463" s="455"/>
      <c r="P463" s="455"/>
      <c r="Q463" s="455"/>
      <c r="R463" s="455"/>
      <c r="S463" s="455"/>
      <c r="T463" s="608"/>
      <c r="U463" s="609"/>
      <c r="V463" s="455"/>
      <c r="W463" s="455"/>
      <c r="X463" s="455"/>
      <c r="Y463" s="455"/>
      <c r="Z463" s="455"/>
      <c r="AA463" s="2705" t="s">
        <v>0</v>
      </c>
      <c r="AB463" s="2705"/>
      <c r="AC463" s="455"/>
      <c r="AD463" s="455"/>
      <c r="AE463" s="455"/>
      <c r="AF463" s="455"/>
    </row>
    <row r="464" spans="1:32" s="457" customFormat="1" ht="18" customHeight="1" x14ac:dyDescent="0.2">
      <c r="A464" s="2706" t="s">
        <v>1</v>
      </c>
      <c r="B464" s="2706"/>
      <c r="C464" s="2706"/>
      <c r="D464" s="2706"/>
      <c r="E464" s="2706"/>
      <c r="F464" s="2706"/>
      <c r="G464" s="2706"/>
      <c r="H464" s="2706"/>
      <c r="I464" s="2706"/>
      <c r="J464" s="2706"/>
      <c r="K464" s="2706"/>
      <c r="L464" s="2706"/>
      <c r="M464" s="2706"/>
      <c r="N464" s="2706"/>
      <c r="O464" s="2706"/>
      <c r="P464" s="2706"/>
      <c r="Q464" s="2706"/>
      <c r="R464" s="2706"/>
      <c r="S464" s="2706"/>
      <c r="T464" s="2706"/>
      <c r="U464" s="2706"/>
      <c r="V464" s="2706"/>
      <c r="W464" s="2706"/>
      <c r="X464" s="2706"/>
      <c r="Y464" s="2706"/>
      <c r="Z464" s="2706"/>
      <c r="AA464" s="2706"/>
      <c r="AB464" s="2706"/>
      <c r="AC464" s="610"/>
      <c r="AD464" s="610"/>
      <c r="AE464" s="610"/>
      <c r="AF464" s="610"/>
    </row>
    <row r="465" spans="1:33" s="457" customFormat="1" ht="18" customHeight="1" x14ac:dyDescent="0.2">
      <c r="A465" s="2704" t="s">
        <v>438</v>
      </c>
      <c r="B465" s="2704"/>
      <c r="C465" s="2704"/>
      <c r="D465" s="2704"/>
      <c r="E465" s="2704"/>
      <c r="F465" s="2704"/>
      <c r="G465" s="2704"/>
      <c r="H465" s="2704"/>
      <c r="I465" s="2704"/>
      <c r="J465" s="2704"/>
      <c r="K465" s="2704"/>
      <c r="L465" s="2704"/>
      <c r="M465" s="2704"/>
      <c r="N465" s="2704"/>
      <c r="O465" s="2704"/>
      <c r="P465" s="2704"/>
      <c r="Q465" s="2704"/>
      <c r="R465" s="2704"/>
      <c r="S465" s="2704"/>
      <c r="T465" s="2704"/>
      <c r="U465" s="2704"/>
      <c r="V465" s="2704"/>
      <c r="W465" s="2704"/>
      <c r="X465" s="2704"/>
      <c r="Y465" s="2704"/>
      <c r="Z465" s="2704"/>
      <c r="AA465" s="2704"/>
      <c r="AB465" s="2704"/>
      <c r="AC465" s="611"/>
      <c r="AD465" s="611"/>
      <c r="AE465" s="611"/>
      <c r="AF465" s="611"/>
    </row>
    <row r="466" spans="1:33" s="457" customFormat="1" ht="18" customHeight="1" x14ac:dyDescent="0.2">
      <c r="A466" s="2686" t="s">
        <v>2</v>
      </c>
      <c r="B466" s="360"/>
      <c r="C466" s="2686" t="s">
        <v>3</v>
      </c>
      <c r="D466" s="360"/>
      <c r="E466" s="360"/>
      <c r="F466" s="2693" t="s">
        <v>4</v>
      </c>
      <c r="G466" s="2693"/>
      <c r="H466" s="2693"/>
      <c r="I466" s="2694"/>
      <c r="J466" s="2694"/>
      <c r="K466" s="2695"/>
      <c r="L466" s="361"/>
      <c r="M466" s="2679" t="s">
        <v>5</v>
      </c>
      <c r="N466" s="2679"/>
      <c r="O466" s="2679"/>
      <c r="P466" s="2679"/>
      <c r="Q466" s="2696"/>
      <c r="R466" s="2696"/>
      <c r="S466" s="2696"/>
      <c r="T466" s="2696"/>
      <c r="U466" s="2696"/>
      <c r="V466" s="2697"/>
      <c r="W466" s="362" t="s">
        <v>6</v>
      </c>
      <c r="X466" s="363" t="s">
        <v>7</v>
      </c>
      <c r="Y466" s="364"/>
      <c r="Z466" s="364"/>
      <c r="AA466" s="363"/>
      <c r="AB466" s="458"/>
      <c r="AC466" s="612" t="s">
        <v>8</v>
      </c>
      <c r="AD466" s="613"/>
      <c r="AE466" s="613"/>
      <c r="AF466" s="614"/>
    </row>
    <row r="467" spans="1:33" s="457" customFormat="1" ht="18" customHeight="1" x14ac:dyDescent="0.2">
      <c r="A467" s="2687"/>
      <c r="B467" s="367"/>
      <c r="C467" s="2687"/>
      <c r="D467" s="366" t="s">
        <v>9</v>
      </c>
      <c r="E467" s="366" t="s">
        <v>10</v>
      </c>
      <c r="F467" s="2698" t="s">
        <v>11</v>
      </c>
      <c r="G467" s="2694"/>
      <c r="H467" s="2695"/>
      <c r="I467" s="360"/>
      <c r="J467" s="449" t="s">
        <v>12</v>
      </c>
      <c r="K467" s="360"/>
      <c r="L467" s="2679" t="s">
        <v>2</v>
      </c>
      <c r="M467" s="370"/>
      <c r="N467" s="370"/>
      <c r="O467" s="370"/>
      <c r="P467" s="371"/>
      <c r="Q467" s="459" t="s">
        <v>13</v>
      </c>
      <c r="R467" s="370" t="s">
        <v>12</v>
      </c>
      <c r="S467" s="370" t="s">
        <v>6</v>
      </c>
      <c r="T467" s="2682" t="s">
        <v>14</v>
      </c>
      <c r="U467" s="2683"/>
      <c r="V467" s="375" t="s">
        <v>7</v>
      </c>
      <c r="W467" s="376" t="s">
        <v>15</v>
      </c>
      <c r="X467" s="377" t="s">
        <v>16</v>
      </c>
      <c r="Y467" s="377" t="s">
        <v>17</v>
      </c>
      <c r="Z467" s="377" t="s">
        <v>18</v>
      </c>
      <c r="AA467" s="377"/>
      <c r="AB467" s="460" t="s">
        <v>19</v>
      </c>
      <c r="AC467" s="615" t="s">
        <v>20</v>
      </c>
      <c r="AD467" s="616"/>
      <c r="AE467" s="617" t="s">
        <v>21</v>
      </c>
      <c r="AF467" s="618" t="s">
        <v>22</v>
      </c>
    </row>
    <row r="468" spans="1:33" s="457" customFormat="1" ht="18" customHeight="1" x14ac:dyDescent="0.2">
      <c r="A468" s="2687"/>
      <c r="B468" s="366" t="s">
        <v>23</v>
      </c>
      <c r="C468" s="2687"/>
      <c r="D468" s="366" t="s">
        <v>24</v>
      </c>
      <c r="E468" s="366" t="s">
        <v>25</v>
      </c>
      <c r="F468" s="2699"/>
      <c r="G468" s="2700"/>
      <c r="H468" s="2701"/>
      <c r="I468" s="366" t="s">
        <v>26</v>
      </c>
      <c r="J468" s="380" t="s">
        <v>15</v>
      </c>
      <c r="K468" s="380" t="s">
        <v>6</v>
      </c>
      <c r="L468" s="2680"/>
      <c r="M468" s="381" t="s">
        <v>27</v>
      </c>
      <c r="N468" s="381" t="s">
        <v>10</v>
      </c>
      <c r="O468" s="381" t="s">
        <v>10</v>
      </c>
      <c r="P468" s="385" t="s">
        <v>28</v>
      </c>
      <c r="Q468" s="461" t="s">
        <v>29</v>
      </c>
      <c r="R468" s="385" t="s">
        <v>15</v>
      </c>
      <c r="S468" s="385" t="s">
        <v>15</v>
      </c>
      <c r="T468" s="2684"/>
      <c r="U468" s="2685"/>
      <c r="V468" s="375" t="s">
        <v>30</v>
      </c>
      <c r="W468" s="376" t="s">
        <v>31</v>
      </c>
      <c r="X468" s="377" t="s">
        <v>30</v>
      </c>
      <c r="Y468" s="377" t="s">
        <v>32</v>
      </c>
      <c r="Z468" s="377" t="s">
        <v>7</v>
      </c>
      <c r="AA468" s="377" t="s">
        <v>33</v>
      </c>
      <c r="AB468" s="460" t="s">
        <v>34</v>
      </c>
      <c r="AC468" s="615" t="s">
        <v>35</v>
      </c>
      <c r="AD468" s="617" t="s">
        <v>36</v>
      </c>
      <c r="AE468" s="617" t="s">
        <v>37</v>
      </c>
      <c r="AF468" s="618" t="s">
        <v>38</v>
      </c>
    </row>
    <row r="469" spans="1:33" s="457" customFormat="1" ht="18" customHeight="1" x14ac:dyDescent="0.2">
      <c r="A469" s="2687"/>
      <c r="B469" s="366" t="s">
        <v>39</v>
      </c>
      <c r="C469" s="2687"/>
      <c r="D469" s="366" t="s">
        <v>40</v>
      </c>
      <c r="E469" s="366" t="s">
        <v>41</v>
      </c>
      <c r="F469" s="2686" t="s">
        <v>42</v>
      </c>
      <c r="G469" s="2686" t="s">
        <v>43</v>
      </c>
      <c r="H469" s="2688" t="s">
        <v>44</v>
      </c>
      <c r="I469" s="366" t="s">
        <v>45</v>
      </c>
      <c r="J469" s="380" t="s">
        <v>46</v>
      </c>
      <c r="K469" s="380" t="s">
        <v>47</v>
      </c>
      <c r="L469" s="2680"/>
      <c r="M469" s="381" t="s">
        <v>30</v>
      </c>
      <c r="N469" s="381" t="s">
        <v>30</v>
      </c>
      <c r="O469" s="381" t="s">
        <v>25</v>
      </c>
      <c r="P469" s="385" t="s">
        <v>30</v>
      </c>
      <c r="Q469" s="461" t="s">
        <v>48</v>
      </c>
      <c r="R469" s="385" t="s">
        <v>49</v>
      </c>
      <c r="S469" s="385" t="s">
        <v>30</v>
      </c>
      <c r="T469" s="619" t="s">
        <v>50</v>
      </c>
      <c r="U469" s="620" t="s">
        <v>13</v>
      </c>
      <c r="V469" s="375" t="s">
        <v>51</v>
      </c>
      <c r="W469" s="376" t="s">
        <v>52</v>
      </c>
      <c r="X469" s="377" t="s">
        <v>53</v>
      </c>
      <c r="Y469" s="377" t="s">
        <v>54</v>
      </c>
      <c r="Z469" s="377" t="s">
        <v>55</v>
      </c>
      <c r="AA469" s="377" t="s">
        <v>56</v>
      </c>
      <c r="AB469" s="460" t="s">
        <v>57</v>
      </c>
      <c r="AC469" s="617" t="s">
        <v>58</v>
      </c>
      <c r="AD469" s="617" t="s">
        <v>59</v>
      </c>
      <c r="AE469" s="617" t="s">
        <v>59</v>
      </c>
      <c r="AF469" s="618" t="s">
        <v>60</v>
      </c>
    </row>
    <row r="470" spans="1:33" s="457" customFormat="1" ht="18" customHeight="1" x14ac:dyDescent="0.2">
      <c r="A470" s="2687"/>
      <c r="B470" s="366" t="s">
        <v>61</v>
      </c>
      <c r="C470" s="2687"/>
      <c r="D470" s="366" t="s">
        <v>62</v>
      </c>
      <c r="E470" s="366" t="s">
        <v>63</v>
      </c>
      <c r="F470" s="2687"/>
      <c r="G470" s="2687"/>
      <c r="H470" s="2689"/>
      <c r="I470" s="366" t="s">
        <v>64</v>
      </c>
      <c r="J470" s="380" t="s">
        <v>59</v>
      </c>
      <c r="K470" s="380" t="s">
        <v>59</v>
      </c>
      <c r="L470" s="2680"/>
      <c r="M470" s="381"/>
      <c r="N470" s="381"/>
      <c r="O470" s="381" t="s">
        <v>41</v>
      </c>
      <c r="P470" s="385" t="s">
        <v>65</v>
      </c>
      <c r="Q470" s="461" t="s">
        <v>66</v>
      </c>
      <c r="R470" s="385" t="s">
        <v>67</v>
      </c>
      <c r="S470" s="385" t="s">
        <v>59</v>
      </c>
      <c r="T470" s="621" t="s">
        <v>68</v>
      </c>
      <c r="U470" s="622" t="s">
        <v>14</v>
      </c>
      <c r="V470" s="375" t="s">
        <v>14</v>
      </c>
      <c r="W470" s="376" t="s">
        <v>30</v>
      </c>
      <c r="X470" s="388" t="s">
        <v>69</v>
      </c>
      <c r="Y470" s="388" t="s">
        <v>70</v>
      </c>
      <c r="Z470" s="377" t="s">
        <v>71</v>
      </c>
      <c r="AA470" s="377" t="s">
        <v>72</v>
      </c>
      <c r="AB470" s="460" t="s">
        <v>59</v>
      </c>
      <c r="AC470" s="617" t="s">
        <v>59</v>
      </c>
      <c r="AD470" s="617"/>
      <c r="AE470" s="617"/>
      <c r="AF470" s="618" t="s">
        <v>59</v>
      </c>
    </row>
    <row r="471" spans="1:33" s="457" customFormat="1" ht="18" customHeight="1" x14ac:dyDescent="0.2">
      <c r="A471" s="2692"/>
      <c r="B471" s="390"/>
      <c r="C471" s="2692"/>
      <c r="D471" s="390"/>
      <c r="E471" s="389"/>
      <c r="F471" s="390"/>
      <c r="G471" s="390"/>
      <c r="H471" s="391"/>
      <c r="I471" s="389"/>
      <c r="J471" s="393"/>
      <c r="K471" s="393"/>
      <c r="L471" s="2681"/>
      <c r="M471" s="394"/>
      <c r="N471" s="394"/>
      <c r="O471" s="394" t="s">
        <v>63</v>
      </c>
      <c r="P471" s="394"/>
      <c r="Q471" s="450" t="s">
        <v>72</v>
      </c>
      <c r="R471" s="398" t="s">
        <v>59</v>
      </c>
      <c r="S471" s="398"/>
      <c r="T471" s="623" t="s">
        <v>73</v>
      </c>
      <c r="U471" s="624" t="s">
        <v>59</v>
      </c>
      <c r="V471" s="399" t="s">
        <v>59</v>
      </c>
      <c r="W471" s="400" t="s">
        <v>59</v>
      </c>
      <c r="X471" s="401" t="s">
        <v>59</v>
      </c>
      <c r="Y471" s="401" t="s">
        <v>59</v>
      </c>
      <c r="Z471" s="401" t="s">
        <v>59</v>
      </c>
      <c r="AA471" s="402"/>
      <c r="AB471" s="462"/>
      <c r="AC471" s="625"/>
      <c r="AD471" s="625"/>
      <c r="AE471" s="625"/>
      <c r="AF471" s="626"/>
    </row>
    <row r="472" spans="1:33" s="457" customFormat="1" ht="18" customHeight="1" x14ac:dyDescent="0.2">
      <c r="A472" s="53">
        <v>1</v>
      </c>
      <c r="B472" s="95">
        <v>2171</v>
      </c>
      <c r="C472" s="82">
        <v>262</v>
      </c>
      <c r="D472" s="82" t="s">
        <v>139</v>
      </c>
      <c r="E472" s="82">
        <v>4</v>
      </c>
      <c r="F472" s="82">
        <v>1</v>
      </c>
      <c r="G472" s="82">
        <v>1</v>
      </c>
      <c r="H472" s="463">
        <v>56</v>
      </c>
      <c r="I472" s="70">
        <f>F472*400+G472*100+H472</f>
        <v>556</v>
      </c>
      <c r="J472" s="123">
        <v>1200</v>
      </c>
      <c r="K472" s="124">
        <f>SUM(I472*J472)</f>
        <v>667200</v>
      </c>
      <c r="L472" s="53"/>
      <c r="M472" s="82"/>
      <c r="N472" s="82"/>
      <c r="O472" s="53"/>
      <c r="P472" s="82"/>
      <c r="Q472" s="770"/>
      <c r="R472" s="444"/>
      <c r="S472" s="70"/>
      <c r="T472" s="444"/>
      <c r="U472" s="70"/>
      <c r="V472" s="70"/>
      <c r="W472" s="70">
        <f>K472+V472</f>
        <v>667200</v>
      </c>
      <c r="X472" s="70">
        <f>W472</f>
        <v>667200</v>
      </c>
      <c r="Y472" s="70"/>
      <c r="Z472" s="123">
        <f>+X472</f>
        <v>667200</v>
      </c>
      <c r="AA472" s="409">
        <v>0.6</v>
      </c>
      <c r="AB472" s="406">
        <f>+Z472*AA472/100</f>
        <v>4003.2</v>
      </c>
      <c r="AC472" s="602"/>
      <c r="AD472" s="603" t="e">
        <f>#REF!-AC472</f>
        <v>#REF!</v>
      </c>
      <c r="AE472" s="603" t="e">
        <f>IF(AD472&lt;=0,0,AD472*25/100)</f>
        <v>#REF!</v>
      </c>
      <c r="AF472" s="603" t="e">
        <f>IF(AC472+AE472&gt;#REF!,#REF!,AC472+AE472)</f>
        <v>#REF!</v>
      </c>
      <c r="AG472" s="1750" t="s">
        <v>387</v>
      </c>
    </row>
    <row r="473" spans="1:33" s="457" customFormat="1" ht="18" customHeight="1" x14ac:dyDescent="0.2">
      <c r="A473" s="75"/>
      <c r="B473" s="88"/>
      <c r="C473" s="88"/>
      <c r="D473" s="88"/>
      <c r="E473" s="88"/>
      <c r="F473" s="88"/>
      <c r="G473" s="88"/>
      <c r="H473" s="495"/>
      <c r="I473" s="74"/>
      <c r="J473" s="121"/>
      <c r="K473" s="159"/>
      <c r="L473" s="75"/>
      <c r="M473" s="88"/>
      <c r="N473" s="88"/>
      <c r="O473" s="75"/>
      <c r="P473" s="88"/>
      <c r="Q473" s="174"/>
      <c r="R473" s="413"/>
      <c r="S473" s="74"/>
      <c r="T473" s="413"/>
      <c r="U473" s="74"/>
      <c r="V473" s="74"/>
      <c r="W473" s="74"/>
      <c r="X473" s="74"/>
      <c r="Y473" s="74"/>
      <c r="Z473" s="74"/>
      <c r="AA473" s="414"/>
      <c r="AB473" s="410"/>
      <c r="AC473" s="350"/>
      <c r="AD473" s="350"/>
      <c r="AE473" s="350"/>
      <c r="AF473" s="350"/>
    </row>
    <row r="474" spans="1:33" s="457" customFormat="1" ht="18" customHeight="1" x14ac:dyDescent="0.2">
      <c r="A474" s="145"/>
      <c r="B474" s="177"/>
      <c r="C474" s="177"/>
      <c r="D474" s="145"/>
      <c r="E474" s="145"/>
      <c r="F474" s="145"/>
      <c r="G474" s="145"/>
      <c r="H474" s="147"/>
      <c r="I474" s="107"/>
      <c r="J474" s="178"/>
      <c r="K474" s="107"/>
      <c r="L474" s="145"/>
      <c r="M474" s="145"/>
      <c r="N474" s="145"/>
      <c r="O474" s="145"/>
      <c r="P474" s="147"/>
      <c r="Q474" s="148"/>
      <c r="R474" s="437"/>
      <c r="S474" s="107"/>
      <c r="T474" s="437"/>
      <c r="U474" s="178"/>
      <c r="V474" s="107"/>
      <c r="W474" s="107"/>
      <c r="X474" s="470"/>
      <c r="Y474" s="470"/>
      <c r="Z474" s="471"/>
      <c r="AA474" s="471"/>
      <c r="AB474" s="466"/>
      <c r="AC474" s="350"/>
      <c r="AD474" s="350"/>
      <c r="AE474" s="350"/>
      <c r="AF474" s="350"/>
    </row>
    <row r="475" spans="1:33" s="457" customFormat="1" ht="18" customHeight="1" x14ac:dyDescent="0.2">
      <c r="A475" s="145"/>
      <c r="B475" s="177"/>
      <c r="C475" s="177"/>
      <c r="D475" s="145"/>
      <c r="E475" s="145"/>
      <c r="F475" s="145"/>
      <c r="G475" s="145"/>
      <c r="H475" s="147"/>
      <c r="I475" s="107"/>
      <c r="J475" s="178"/>
      <c r="K475" s="107"/>
      <c r="L475" s="145"/>
      <c r="M475" s="145"/>
      <c r="N475" s="145"/>
      <c r="O475" s="145"/>
      <c r="P475" s="147"/>
      <c r="Q475" s="148"/>
      <c r="R475" s="437"/>
      <c r="S475" s="107"/>
      <c r="T475" s="437"/>
      <c r="U475" s="178"/>
      <c r="V475" s="107"/>
      <c r="W475" s="107"/>
      <c r="X475" s="470"/>
      <c r="Y475" s="470"/>
      <c r="Z475" s="471"/>
      <c r="AA475" s="471"/>
      <c r="AB475" s="466"/>
      <c r="AC475" s="350"/>
      <c r="AD475" s="350"/>
      <c r="AE475" s="350"/>
      <c r="AF475" s="350"/>
    </row>
    <row r="476" spans="1:33" s="457" customFormat="1" ht="18" customHeight="1" x14ac:dyDescent="0.2">
      <c r="A476" s="145"/>
      <c r="B476" s="177"/>
      <c r="C476" s="177"/>
      <c r="D476" s="145"/>
      <c r="E476" s="145"/>
      <c r="F476" s="145"/>
      <c r="G476" s="145"/>
      <c r="H476" s="147"/>
      <c r="I476" s="107"/>
      <c r="J476" s="178"/>
      <c r="K476" s="107"/>
      <c r="L476" s="145"/>
      <c r="M476" s="145"/>
      <c r="N476" s="145"/>
      <c r="O476" s="145"/>
      <c r="P476" s="147"/>
      <c r="Q476" s="148"/>
      <c r="R476" s="437"/>
      <c r="S476" s="107"/>
      <c r="T476" s="437"/>
      <c r="U476" s="178"/>
      <c r="V476" s="107"/>
      <c r="W476" s="107"/>
      <c r="X476" s="470"/>
      <c r="Y476" s="470"/>
      <c r="Z476" s="471"/>
      <c r="AA476" s="471"/>
      <c r="AB476" s="466"/>
      <c r="AC476" s="350"/>
      <c r="AD476" s="350"/>
      <c r="AE476" s="350"/>
      <c r="AF476" s="350"/>
    </row>
    <row r="477" spans="1:33" s="457" customFormat="1" ht="18" customHeight="1" x14ac:dyDescent="0.2">
      <c r="A477" s="145"/>
      <c r="B477" s="177"/>
      <c r="C477" s="177"/>
      <c r="D477" s="145"/>
      <c r="E477" s="145"/>
      <c r="F477" s="145"/>
      <c r="G477" s="145"/>
      <c r="H477" s="147"/>
      <c r="I477" s="107"/>
      <c r="J477" s="178"/>
      <c r="K477" s="107"/>
      <c r="L477" s="145"/>
      <c r="M477" s="145"/>
      <c r="N477" s="145"/>
      <c r="O477" s="145"/>
      <c r="P477" s="147"/>
      <c r="Q477" s="148"/>
      <c r="R477" s="437"/>
      <c r="S477" s="107"/>
      <c r="T477" s="437"/>
      <c r="U477" s="178"/>
      <c r="V477" s="107"/>
      <c r="W477" s="107"/>
      <c r="X477" s="470"/>
      <c r="Y477" s="470"/>
      <c r="Z477" s="471"/>
      <c r="AA477" s="471"/>
      <c r="AB477" s="466"/>
      <c r="AC477" s="350"/>
      <c r="AD477" s="350"/>
      <c r="AE477" s="350"/>
      <c r="AF477" s="350"/>
    </row>
    <row r="478" spans="1:33" s="457" customFormat="1" ht="18" customHeight="1" x14ac:dyDescent="0.2">
      <c r="A478" s="145"/>
      <c r="B478" s="177"/>
      <c r="C478" s="177"/>
      <c r="D478" s="145"/>
      <c r="E478" s="145"/>
      <c r="F478" s="145"/>
      <c r="G478" s="145"/>
      <c r="H478" s="147"/>
      <c r="I478" s="107"/>
      <c r="J478" s="178"/>
      <c r="K478" s="107"/>
      <c r="L478" s="145"/>
      <c r="M478" s="145"/>
      <c r="N478" s="145"/>
      <c r="O478" s="145"/>
      <c r="P478" s="147"/>
      <c r="Q478" s="148"/>
      <c r="R478" s="437"/>
      <c r="S478" s="107"/>
      <c r="T478" s="437"/>
      <c r="U478" s="178"/>
      <c r="V478" s="107"/>
      <c r="W478" s="107"/>
      <c r="X478" s="470"/>
      <c r="Y478" s="470"/>
      <c r="Z478" s="471"/>
      <c r="AA478" s="471"/>
      <c r="AB478" s="466"/>
      <c r="AC478" s="350"/>
      <c r="AD478" s="350"/>
      <c r="AE478" s="350"/>
      <c r="AF478" s="350"/>
    </row>
    <row r="479" spans="1:33" s="457" customFormat="1" ht="18" customHeight="1" x14ac:dyDescent="0.2">
      <c r="A479" s="145"/>
      <c r="B479" s="177"/>
      <c r="C479" s="177"/>
      <c r="D479" s="145"/>
      <c r="E479" s="145"/>
      <c r="F479" s="145"/>
      <c r="G479" s="145"/>
      <c r="H479" s="147"/>
      <c r="I479" s="107"/>
      <c r="J479" s="178"/>
      <c r="K479" s="107"/>
      <c r="L479" s="145"/>
      <c r="M479" s="145"/>
      <c r="N479" s="145"/>
      <c r="O479" s="145"/>
      <c r="P479" s="147"/>
      <c r="Q479" s="148"/>
      <c r="R479" s="437"/>
      <c r="S479" s="107"/>
      <c r="T479" s="437"/>
      <c r="U479" s="178"/>
      <c r="V479" s="107"/>
      <c r="W479" s="107"/>
      <c r="X479" s="470"/>
      <c r="Y479" s="470"/>
      <c r="Z479" s="471"/>
      <c r="AA479" s="471"/>
      <c r="AB479" s="466"/>
      <c r="AC479" s="350"/>
      <c r="AD479" s="350"/>
      <c r="AE479" s="350"/>
      <c r="AF479" s="350"/>
    </row>
    <row r="480" spans="1:33" s="457" customFormat="1" ht="18" customHeight="1" x14ac:dyDescent="0.2">
      <c r="A480" s="145"/>
      <c r="B480" s="177"/>
      <c r="C480" s="177"/>
      <c r="D480" s="145"/>
      <c r="E480" s="145"/>
      <c r="F480" s="145"/>
      <c r="G480" s="145"/>
      <c r="H480" s="147"/>
      <c r="I480" s="107"/>
      <c r="J480" s="178"/>
      <c r="K480" s="107"/>
      <c r="L480" s="145"/>
      <c r="M480" s="145"/>
      <c r="N480" s="145"/>
      <c r="O480" s="145"/>
      <c r="P480" s="147"/>
      <c r="Q480" s="148"/>
      <c r="R480" s="437"/>
      <c r="S480" s="107"/>
      <c r="T480" s="437"/>
      <c r="U480" s="178"/>
      <c r="V480" s="107"/>
      <c r="W480" s="107"/>
      <c r="X480" s="470"/>
      <c r="Y480" s="470"/>
      <c r="Z480" s="471"/>
      <c r="AA480" s="471"/>
      <c r="AB480" s="466"/>
      <c r="AC480" s="350"/>
      <c r="AD480" s="350"/>
      <c r="AE480" s="350"/>
      <c r="AF480" s="350"/>
    </row>
    <row r="481" spans="1:32" s="457" customFormat="1" ht="18" customHeight="1" x14ac:dyDescent="0.2">
      <c r="A481" s="145"/>
      <c r="B481" s="177"/>
      <c r="C481" s="177"/>
      <c r="D481" s="145"/>
      <c r="E481" s="145"/>
      <c r="F481" s="145"/>
      <c r="G481" s="145"/>
      <c r="H481" s="147"/>
      <c r="I481" s="107"/>
      <c r="J481" s="178"/>
      <c r="K481" s="107"/>
      <c r="L481" s="145"/>
      <c r="M481" s="145"/>
      <c r="N481" s="145"/>
      <c r="O481" s="145"/>
      <c r="P481" s="147"/>
      <c r="Q481" s="148"/>
      <c r="R481" s="437"/>
      <c r="S481" s="107"/>
      <c r="T481" s="437"/>
      <c r="U481" s="178"/>
      <c r="V481" s="107"/>
      <c r="W481" s="107"/>
      <c r="X481" s="470"/>
      <c r="Y481" s="470"/>
      <c r="Z481" s="471"/>
      <c r="AA481" s="471"/>
      <c r="AB481" s="466"/>
      <c r="AC481" s="350"/>
      <c r="AD481" s="350"/>
      <c r="AE481" s="350"/>
      <c r="AF481" s="350"/>
    </row>
    <row r="482" spans="1:32" s="457" customFormat="1" ht="18" customHeight="1" x14ac:dyDescent="0.2">
      <c r="A482" s="145"/>
      <c r="B482" s="177"/>
      <c r="C482" s="177"/>
      <c r="D482" s="145"/>
      <c r="E482" s="145"/>
      <c r="F482" s="145"/>
      <c r="G482" s="145"/>
      <c r="H482" s="147"/>
      <c r="I482" s="107"/>
      <c r="J482" s="178"/>
      <c r="K482" s="107"/>
      <c r="L482" s="145"/>
      <c r="M482" s="145"/>
      <c r="N482" s="145"/>
      <c r="O482" s="145"/>
      <c r="P482" s="147"/>
      <c r="Q482" s="148"/>
      <c r="R482" s="437"/>
      <c r="S482" s="107"/>
      <c r="T482" s="437"/>
      <c r="U482" s="178"/>
      <c r="V482" s="107"/>
      <c r="W482" s="107"/>
      <c r="X482" s="470"/>
      <c r="Y482" s="470"/>
      <c r="Z482" s="471"/>
      <c r="AA482" s="471"/>
      <c r="AB482" s="466"/>
      <c r="AC482" s="350"/>
      <c r="AD482" s="350"/>
      <c r="AE482" s="350"/>
      <c r="AF482" s="350"/>
    </row>
    <row r="483" spans="1:32" s="457" customFormat="1" ht="18" customHeight="1" x14ac:dyDescent="0.2">
      <c r="A483" s="145"/>
      <c r="B483" s="177"/>
      <c r="C483" s="177"/>
      <c r="D483" s="145"/>
      <c r="E483" s="145"/>
      <c r="F483" s="145"/>
      <c r="G483" s="145"/>
      <c r="H483" s="147"/>
      <c r="I483" s="107"/>
      <c r="J483" s="178"/>
      <c r="K483" s="107"/>
      <c r="L483" s="145"/>
      <c r="M483" s="145"/>
      <c r="N483" s="145"/>
      <c r="O483" s="145"/>
      <c r="P483" s="147"/>
      <c r="Q483" s="148"/>
      <c r="R483" s="437"/>
      <c r="S483" s="107"/>
      <c r="T483" s="437"/>
      <c r="U483" s="178"/>
      <c r="V483" s="107"/>
      <c r="W483" s="107"/>
      <c r="X483" s="470"/>
      <c r="Y483" s="470"/>
      <c r="Z483" s="471"/>
      <c r="AA483" s="471"/>
      <c r="AB483" s="466"/>
      <c r="AC483" s="350"/>
      <c r="AD483" s="350"/>
      <c r="AE483" s="350"/>
      <c r="AF483" s="350"/>
    </row>
    <row r="484" spans="1:32" s="457" customFormat="1" ht="18" customHeight="1" x14ac:dyDescent="0.2">
      <c r="A484" s="145"/>
      <c r="B484" s="177"/>
      <c r="C484" s="177"/>
      <c r="D484" s="145"/>
      <c r="E484" s="145"/>
      <c r="F484" s="145"/>
      <c r="G484" s="145"/>
      <c r="H484" s="147"/>
      <c r="I484" s="107"/>
      <c r="J484" s="178"/>
      <c r="K484" s="107"/>
      <c r="L484" s="145"/>
      <c r="M484" s="145"/>
      <c r="N484" s="145"/>
      <c r="O484" s="145"/>
      <c r="P484" s="147"/>
      <c r="Q484" s="148"/>
      <c r="R484" s="437"/>
      <c r="S484" s="107"/>
      <c r="T484" s="437"/>
      <c r="U484" s="178"/>
      <c r="V484" s="107"/>
      <c r="W484" s="107"/>
      <c r="X484" s="470"/>
      <c r="Y484" s="470"/>
      <c r="Z484" s="471"/>
      <c r="AA484" s="471"/>
      <c r="AB484" s="466"/>
      <c r="AC484" s="350"/>
      <c r="AD484" s="350"/>
      <c r="AE484" s="350"/>
      <c r="AF484" s="350"/>
    </row>
    <row r="485" spans="1:32" s="457" customFormat="1" ht="18" customHeight="1" x14ac:dyDescent="0.2">
      <c r="A485" s="145"/>
      <c r="B485" s="177"/>
      <c r="C485" s="177"/>
      <c r="D485" s="145"/>
      <c r="E485" s="145"/>
      <c r="F485" s="145"/>
      <c r="G485" s="145"/>
      <c r="H485" s="147"/>
      <c r="I485" s="107"/>
      <c r="J485" s="178"/>
      <c r="K485" s="107"/>
      <c r="L485" s="145"/>
      <c r="M485" s="145"/>
      <c r="N485" s="145"/>
      <c r="O485" s="145"/>
      <c r="P485" s="147"/>
      <c r="Q485" s="148"/>
      <c r="R485" s="437"/>
      <c r="S485" s="107"/>
      <c r="T485" s="437"/>
      <c r="U485" s="178"/>
      <c r="V485" s="107"/>
      <c r="W485" s="107"/>
      <c r="X485" s="470"/>
      <c r="Y485" s="470"/>
      <c r="Z485" s="471"/>
      <c r="AA485" s="471"/>
      <c r="AB485" s="466"/>
      <c r="AC485" s="350"/>
      <c r="AD485" s="350"/>
      <c r="AE485" s="350"/>
      <c r="AF485" s="350"/>
    </row>
    <row r="486" spans="1:32" s="457" customFormat="1" ht="18" customHeight="1" x14ac:dyDescent="0.2">
      <c r="A486" s="145"/>
      <c r="B486" s="177"/>
      <c r="C486" s="177"/>
      <c r="D486" s="145"/>
      <c r="E486" s="145"/>
      <c r="F486" s="145"/>
      <c r="G486" s="145"/>
      <c r="H486" s="147"/>
      <c r="I486" s="107"/>
      <c r="J486" s="178"/>
      <c r="K486" s="107"/>
      <c r="L486" s="145"/>
      <c r="M486" s="145"/>
      <c r="N486" s="145"/>
      <c r="O486" s="145"/>
      <c r="P486" s="147"/>
      <c r="Q486" s="148"/>
      <c r="R486" s="437"/>
      <c r="S486" s="107"/>
      <c r="T486" s="437"/>
      <c r="U486" s="178"/>
      <c r="V486" s="107"/>
      <c r="W486" s="107"/>
      <c r="X486" s="470"/>
      <c r="Y486" s="470"/>
      <c r="Z486" s="471"/>
      <c r="AA486" s="471"/>
      <c r="AB486" s="466"/>
      <c r="AC486" s="350"/>
      <c r="AD486" s="350"/>
      <c r="AE486" s="350"/>
      <c r="AF486" s="350"/>
    </row>
    <row r="487" spans="1:32" s="457" customFormat="1" ht="18" customHeight="1" x14ac:dyDescent="0.2">
      <c r="A487" s="145"/>
      <c r="B487" s="177"/>
      <c r="C487" s="177"/>
      <c r="D487" s="145"/>
      <c r="E487" s="145"/>
      <c r="F487" s="145"/>
      <c r="G487" s="145"/>
      <c r="H487" s="147"/>
      <c r="I487" s="107"/>
      <c r="J487" s="178"/>
      <c r="K487" s="107"/>
      <c r="L487" s="145"/>
      <c r="M487" s="145"/>
      <c r="N487" s="145"/>
      <c r="O487" s="145"/>
      <c r="P487" s="147"/>
      <c r="Q487" s="148"/>
      <c r="R487" s="437"/>
      <c r="S487" s="107"/>
      <c r="T487" s="437"/>
      <c r="U487" s="178"/>
      <c r="V487" s="107"/>
      <c r="W487" s="107"/>
      <c r="X487" s="470"/>
      <c r="Y487" s="470"/>
      <c r="Z487" s="471"/>
      <c r="AA487" s="471"/>
      <c r="AB487" s="466"/>
      <c r="AC487" s="350"/>
      <c r="AD487" s="350"/>
      <c r="AE487" s="350"/>
      <c r="AF487" s="350"/>
    </row>
    <row r="488" spans="1:32" s="457" customFormat="1" ht="18" customHeight="1" x14ac:dyDescent="0.2">
      <c r="A488" s="145"/>
      <c r="B488" s="177"/>
      <c r="C488" s="177"/>
      <c r="D488" s="145"/>
      <c r="E488" s="145"/>
      <c r="F488" s="145"/>
      <c r="G488" s="145"/>
      <c r="H488" s="147"/>
      <c r="I488" s="107"/>
      <c r="J488" s="178"/>
      <c r="K488" s="107"/>
      <c r="L488" s="145"/>
      <c r="M488" s="145"/>
      <c r="N488" s="145"/>
      <c r="O488" s="145"/>
      <c r="P488" s="147"/>
      <c r="Q488" s="148"/>
      <c r="R488" s="437"/>
      <c r="S488" s="107"/>
      <c r="T488" s="437"/>
      <c r="U488" s="178"/>
      <c r="V488" s="107"/>
      <c r="W488" s="107"/>
      <c r="X488" s="470"/>
      <c r="Y488" s="470"/>
      <c r="Z488" s="471"/>
      <c r="AA488" s="471"/>
      <c r="AB488" s="466"/>
      <c r="AC488" s="350"/>
      <c r="AD488" s="350"/>
      <c r="AE488" s="350"/>
      <c r="AF488" s="350"/>
    </row>
    <row r="489" spans="1:32" s="457" customFormat="1" ht="18" customHeight="1" x14ac:dyDescent="0.2">
      <c r="A489" s="145"/>
      <c r="B489" s="177"/>
      <c r="C489" s="177"/>
      <c r="D489" s="145"/>
      <c r="E489" s="145"/>
      <c r="F489" s="145"/>
      <c r="G489" s="145"/>
      <c r="H489" s="147"/>
      <c r="I489" s="107"/>
      <c r="J489" s="178"/>
      <c r="K489" s="107"/>
      <c r="L489" s="145"/>
      <c r="M489" s="145"/>
      <c r="N489" s="145"/>
      <c r="O489" s="145"/>
      <c r="P489" s="147"/>
      <c r="Q489" s="148"/>
      <c r="R489" s="437"/>
      <c r="S489" s="107"/>
      <c r="T489" s="437"/>
      <c r="U489" s="178"/>
      <c r="V489" s="107"/>
      <c r="W489" s="107"/>
      <c r="X489" s="470"/>
      <c r="Y489" s="470"/>
      <c r="Z489" s="471"/>
      <c r="AA489" s="471"/>
      <c r="AB489" s="466"/>
      <c r="AC489" s="350"/>
      <c r="AD489" s="350"/>
      <c r="AE489" s="350"/>
      <c r="AF489" s="350"/>
    </row>
    <row r="490" spans="1:32" s="457" customFormat="1" ht="18" customHeight="1" x14ac:dyDescent="0.2">
      <c r="A490" s="183"/>
      <c r="B490" s="183"/>
      <c r="C490" s="183"/>
      <c r="D490" s="183"/>
      <c r="E490" s="183"/>
      <c r="F490" s="183"/>
      <c r="G490" s="183"/>
      <c r="H490" s="184"/>
      <c r="I490" s="185"/>
      <c r="J490" s="186"/>
      <c r="K490" s="185"/>
      <c r="L490" s="185"/>
      <c r="M490" s="185"/>
      <c r="N490" s="185"/>
      <c r="O490" s="185"/>
      <c r="P490" s="185"/>
      <c r="Q490" s="185"/>
      <c r="R490" s="438"/>
      <c r="S490" s="185"/>
      <c r="T490" s="438"/>
      <c r="U490" s="186"/>
      <c r="V490" s="185"/>
      <c r="W490" s="185"/>
      <c r="X490" s="474"/>
      <c r="Y490" s="474"/>
      <c r="Z490" s="475"/>
      <c r="AA490" s="475"/>
      <c r="AB490" s="476">
        <f>SUM(AB472:AB489)</f>
        <v>4003.2</v>
      </c>
      <c r="AC490" s="349"/>
      <c r="AD490" s="349"/>
      <c r="AE490" s="349"/>
      <c r="AF490" s="349"/>
    </row>
    <row r="491" spans="1:32" s="457" customFormat="1" ht="18" customHeight="1" x14ac:dyDescent="0.2">
      <c r="A491" s="2737" t="s">
        <v>76</v>
      </c>
      <c r="B491" s="2737"/>
      <c r="C491" s="2738" t="s">
        <v>77</v>
      </c>
      <c r="D491" s="2738"/>
      <c r="E491" s="2738"/>
      <c r="F491" s="2738"/>
      <c r="G491" s="2738"/>
      <c r="H491" s="2738"/>
      <c r="I491" s="457" t="s">
        <v>78</v>
      </c>
      <c r="T491" s="651"/>
      <c r="U491" s="478"/>
      <c r="AB491" s="478"/>
    </row>
    <row r="492" spans="1:32" s="457" customFormat="1" ht="18" customHeight="1" x14ac:dyDescent="0.2">
      <c r="A492" s="448"/>
      <c r="B492" s="479"/>
      <c r="I492" s="457" t="s">
        <v>79</v>
      </c>
      <c r="T492" s="651"/>
      <c r="U492" s="478"/>
      <c r="AB492" s="478"/>
    </row>
    <row r="493" spans="1:32" s="457" customFormat="1" ht="18" customHeight="1" x14ac:dyDescent="0.2">
      <c r="A493" s="448"/>
      <c r="B493" s="479"/>
      <c r="I493" s="457" t="s">
        <v>80</v>
      </c>
      <c r="T493" s="651"/>
      <c r="U493" s="478"/>
      <c r="AB493" s="478"/>
    </row>
    <row r="494" spans="1:32" s="457" customFormat="1" ht="18" customHeight="1" x14ac:dyDescent="0.2">
      <c r="A494" s="448"/>
      <c r="B494" s="479"/>
      <c r="I494" s="457" t="s">
        <v>81</v>
      </c>
      <c r="T494" s="651"/>
      <c r="U494" s="478"/>
      <c r="AB494" s="478"/>
    </row>
    <row r="495" spans="1:32" s="457" customFormat="1" ht="18" customHeight="1" x14ac:dyDescent="0.2">
      <c r="A495" s="448"/>
      <c r="B495" s="479"/>
      <c r="I495" s="457" t="s">
        <v>88</v>
      </c>
      <c r="T495" s="651"/>
      <c r="U495" s="478"/>
      <c r="AB495" s="478"/>
    </row>
    <row r="496" spans="1:32" s="457" customFormat="1" ht="18" customHeight="1" x14ac:dyDescent="0.2">
      <c r="A496" s="456"/>
      <c r="B496" s="455"/>
      <c r="C496" s="455"/>
      <c r="D496" s="455"/>
      <c r="E496" s="455"/>
      <c r="F496" s="455"/>
      <c r="G496" s="455"/>
      <c r="H496" s="455"/>
      <c r="I496" s="455"/>
      <c r="J496" s="455"/>
      <c r="K496" s="455"/>
      <c r="L496" s="455"/>
      <c r="M496" s="455"/>
      <c r="N496" s="455"/>
      <c r="O496" s="455"/>
      <c r="P496" s="455"/>
      <c r="Q496" s="455"/>
      <c r="R496" s="455"/>
      <c r="S496" s="455"/>
      <c r="T496" s="608"/>
      <c r="U496" s="609"/>
      <c r="V496" s="455"/>
      <c r="W496" s="455"/>
      <c r="X496" s="455"/>
      <c r="Y496" s="455"/>
      <c r="Z496" s="455"/>
      <c r="AA496" s="2705" t="s">
        <v>0</v>
      </c>
      <c r="AB496" s="2705"/>
      <c r="AC496" s="455"/>
      <c r="AD496" s="455"/>
      <c r="AE496" s="455"/>
      <c r="AF496" s="455"/>
    </row>
    <row r="497" spans="1:33" s="457" customFormat="1" ht="18" customHeight="1" x14ac:dyDescent="0.2">
      <c r="A497" s="2706" t="s">
        <v>1</v>
      </c>
      <c r="B497" s="2706"/>
      <c r="C497" s="2706"/>
      <c r="D497" s="2706"/>
      <c r="E497" s="2706"/>
      <c r="F497" s="2706"/>
      <c r="G497" s="2706"/>
      <c r="H497" s="2706"/>
      <c r="I497" s="2706"/>
      <c r="J497" s="2706"/>
      <c r="K497" s="2706"/>
      <c r="L497" s="2706"/>
      <c r="M497" s="2706"/>
      <c r="N497" s="2706"/>
      <c r="O497" s="2706"/>
      <c r="P497" s="2706"/>
      <c r="Q497" s="2706"/>
      <c r="R497" s="2706"/>
      <c r="S497" s="2706"/>
      <c r="T497" s="2706"/>
      <c r="U497" s="2706"/>
      <c r="V497" s="2706"/>
      <c r="W497" s="2706"/>
      <c r="X497" s="2706"/>
      <c r="Y497" s="2706"/>
      <c r="Z497" s="2706"/>
      <c r="AA497" s="2706"/>
      <c r="AB497" s="2706"/>
      <c r="AC497" s="610"/>
      <c r="AD497" s="610"/>
      <c r="AE497" s="610"/>
      <c r="AF497" s="610"/>
    </row>
    <row r="498" spans="1:33" s="457" customFormat="1" ht="18" customHeight="1" x14ac:dyDescent="0.2">
      <c r="A498" s="2704" t="s">
        <v>439</v>
      </c>
      <c r="B498" s="2704"/>
      <c r="C498" s="2704"/>
      <c r="D498" s="2704"/>
      <c r="E498" s="2704"/>
      <c r="F498" s="2704"/>
      <c r="G498" s="2704"/>
      <c r="H498" s="2704"/>
      <c r="I498" s="2704"/>
      <c r="J498" s="2704"/>
      <c r="K498" s="2704"/>
      <c r="L498" s="2704"/>
      <c r="M498" s="2704"/>
      <c r="N498" s="2704"/>
      <c r="O498" s="2704"/>
      <c r="P498" s="2704"/>
      <c r="Q498" s="2704"/>
      <c r="R498" s="2704"/>
      <c r="S498" s="2704"/>
      <c r="T498" s="2704"/>
      <c r="U498" s="2704"/>
      <c r="V498" s="2704"/>
      <c r="W498" s="2704"/>
      <c r="X498" s="2704"/>
      <c r="Y498" s="2704"/>
      <c r="Z498" s="2704"/>
      <c r="AA498" s="2704"/>
      <c r="AB498" s="2704"/>
      <c r="AC498" s="611"/>
      <c r="AD498" s="611"/>
      <c r="AE498" s="611"/>
      <c r="AF498" s="611"/>
    </row>
    <row r="499" spans="1:33" s="457" customFormat="1" ht="18" customHeight="1" x14ac:dyDescent="0.2">
      <c r="A499" s="2686" t="s">
        <v>2</v>
      </c>
      <c r="B499" s="360"/>
      <c r="C499" s="2686" t="s">
        <v>3</v>
      </c>
      <c r="D499" s="360"/>
      <c r="E499" s="360"/>
      <c r="F499" s="2732" t="s">
        <v>4</v>
      </c>
      <c r="G499" s="2693"/>
      <c r="H499" s="2693"/>
      <c r="I499" s="2693"/>
      <c r="J499" s="2693"/>
      <c r="K499" s="2733"/>
      <c r="L499" s="361"/>
      <c r="M499" s="2696" t="s">
        <v>5</v>
      </c>
      <c r="N499" s="2696"/>
      <c r="O499" s="2696"/>
      <c r="P499" s="2696"/>
      <c r="Q499" s="2696"/>
      <c r="R499" s="2696"/>
      <c r="S499" s="2696"/>
      <c r="T499" s="2696"/>
      <c r="U499" s="2696"/>
      <c r="V499" s="2697"/>
      <c r="W499" s="362" t="s">
        <v>6</v>
      </c>
      <c r="X499" s="363" t="s">
        <v>7</v>
      </c>
      <c r="Y499" s="364"/>
      <c r="Z499" s="364"/>
      <c r="AA499" s="363"/>
      <c r="AB499" s="458"/>
      <c r="AC499" s="612" t="s">
        <v>8</v>
      </c>
      <c r="AD499" s="613"/>
      <c r="AE499" s="613"/>
      <c r="AF499" s="614"/>
    </row>
    <row r="500" spans="1:33" s="457" customFormat="1" ht="18" customHeight="1" x14ac:dyDescent="0.2">
      <c r="A500" s="2687"/>
      <c r="B500" s="367"/>
      <c r="C500" s="2687"/>
      <c r="D500" s="366" t="s">
        <v>9</v>
      </c>
      <c r="E500" s="366" t="s">
        <v>10</v>
      </c>
      <c r="F500" s="2698" t="s">
        <v>11</v>
      </c>
      <c r="G500" s="2694"/>
      <c r="H500" s="2695"/>
      <c r="I500" s="360"/>
      <c r="J500" s="449" t="s">
        <v>12</v>
      </c>
      <c r="K500" s="360"/>
      <c r="L500" s="2734" t="s">
        <v>2</v>
      </c>
      <c r="M500" s="370"/>
      <c r="N500" s="370"/>
      <c r="O500" s="370"/>
      <c r="P500" s="371"/>
      <c r="Q500" s="459" t="s">
        <v>13</v>
      </c>
      <c r="R500" s="370" t="s">
        <v>12</v>
      </c>
      <c r="S500" s="370" t="s">
        <v>6</v>
      </c>
      <c r="T500" s="2682" t="s">
        <v>14</v>
      </c>
      <c r="U500" s="2683"/>
      <c r="V500" s="375" t="s">
        <v>7</v>
      </c>
      <c r="W500" s="376" t="s">
        <v>15</v>
      </c>
      <c r="X500" s="377" t="s">
        <v>16</v>
      </c>
      <c r="Y500" s="377" t="s">
        <v>17</v>
      </c>
      <c r="Z500" s="377" t="s">
        <v>18</v>
      </c>
      <c r="AA500" s="377"/>
      <c r="AB500" s="460" t="s">
        <v>19</v>
      </c>
      <c r="AC500" s="615" t="s">
        <v>20</v>
      </c>
      <c r="AD500" s="616"/>
      <c r="AE500" s="617" t="s">
        <v>21</v>
      </c>
      <c r="AF500" s="618" t="s">
        <v>22</v>
      </c>
    </row>
    <row r="501" spans="1:33" s="457" customFormat="1" ht="18" customHeight="1" x14ac:dyDescent="0.2">
      <c r="A501" s="2687"/>
      <c r="B501" s="366" t="s">
        <v>23</v>
      </c>
      <c r="C501" s="2687"/>
      <c r="D501" s="366" t="s">
        <v>24</v>
      </c>
      <c r="E501" s="366" t="s">
        <v>25</v>
      </c>
      <c r="F501" s="2699"/>
      <c r="G501" s="2700"/>
      <c r="H501" s="2701"/>
      <c r="I501" s="366" t="s">
        <v>26</v>
      </c>
      <c r="J501" s="380" t="s">
        <v>15</v>
      </c>
      <c r="K501" s="380" t="s">
        <v>6</v>
      </c>
      <c r="L501" s="2735"/>
      <c r="M501" s="381" t="s">
        <v>27</v>
      </c>
      <c r="N501" s="381" t="s">
        <v>10</v>
      </c>
      <c r="O501" s="381" t="s">
        <v>10</v>
      </c>
      <c r="P501" s="385" t="s">
        <v>28</v>
      </c>
      <c r="Q501" s="461" t="s">
        <v>29</v>
      </c>
      <c r="R501" s="385" t="s">
        <v>15</v>
      </c>
      <c r="S501" s="385" t="s">
        <v>15</v>
      </c>
      <c r="T501" s="2684"/>
      <c r="U501" s="2685"/>
      <c r="V501" s="375" t="s">
        <v>30</v>
      </c>
      <c r="W501" s="376" t="s">
        <v>31</v>
      </c>
      <c r="X501" s="377" t="s">
        <v>30</v>
      </c>
      <c r="Y501" s="377" t="s">
        <v>32</v>
      </c>
      <c r="Z501" s="377" t="s">
        <v>7</v>
      </c>
      <c r="AA501" s="377" t="s">
        <v>33</v>
      </c>
      <c r="AB501" s="460" t="s">
        <v>34</v>
      </c>
      <c r="AC501" s="615" t="s">
        <v>35</v>
      </c>
      <c r="AD501" s="617" t="s">
        <v>36</v>
      </c>
      <c r="AE501" s="617" t="s">
        <v>37</v>
      </c>
      <c r="AF501" s="618" t="s">
        <v>38</v>
      </c>
    </row>
    <row r="502" spans="1:33" s="457" customFormat="1" ht="18" customHeight="1" x14ac:dyDescent="0.2">
      <c r="A502" s="2687"/>
      <c r="B502" s="366" t="s">
        <v>39</v>
      </c>
      <c r="C502" s="2687"/>
      <c r="D502" s="366" t="s">
        <v>40</v>
      </c>
      <c r="E502" s="366" t="s">
        <v>41</v>
      </c>
      <c r="F502" s="2686" t="s">
        <v>42</v>
      </c>
      <c r="G502" s="2686" t="s">
        <v>43</v>
      </c>
      <c r="H502" s="2688" t="s">
        <v>44</v>
      </c>
      <c r="I502" s="366" t="s">
        <v>45</v>
      </c>
      <c r="J502" s="380" t="s">
        <v>46</v>
      </c>
      <c r="K502" s="380" t="s">
        <v>47</v>
      </c>
      <c r="L502" s="2735"/>
      <c r="M502" s="381" t="s">
        <v>30</v>
      </c>
      <c r="N502" s="381" t="s">
        <v>30</v>
      </c>
      <c r="O502" s="381" t="s">
        <v>25</v>
      </c>
      <c r="P502" s="385" t="s">
        <v>30</v>
      </c>
      <c r="Q502" s="461" t="s">
        <v>48</v>
      </c>
      <c r="R502" s="385" t="s">
        <v>49</v>
      </c>
      <c r="S502" s="385" t="s">
        <v>30</v>
      </c>
      <c r="T502" s="619" t="s">
        <v>50</v>
      </c>
      <c r="U502" s="620" t="s">
        <v>13</v>
      </c>
      <c r="V502" s="375" t="s">
        <v>51</v>
      </c>
      <c r="W502" s="376" t="s">
        <v>52</v>
      </c>
      <c r="X502" s="377" t="s">
        <v>53</v>
      </c>
      <c r="Y502" s="377" t="s">
        <v>54</v>
      </c>
      <c r="Z502" s="377" t="s">
        <v>55</v>
      </c>
      <c r="AA502" s="377" t="s">
        <v>56</v>
      </c>
      <c r="AB502" s="460" t="s">
        <v>57</v>
      </c>
      <c r="AC502" s="617" t="s">
        <v>58</v>
      </c>
      <c r="AD502" s="617" t="s">
        <v>59</v>
      </c>
      <c r="AE502" s="617" t="s">
        <v>59</v>
      </c>
      <c r="AF502" s="618" t="s">
        <v>60</v>
      </c>
    </row>
    <row r="503" spans="1:33" s="457" customFormat="1" ht="18" customHeight="1" x14ac:dyDescent="0.2">
      <c r="A503" s="2687"/>
      <c r="B503" s="366" t="s">
        <v>61</v>
      </c>
      <c r="C503" s="2687"/>
      <c r="D503" s="366" t="s">
        <v>62</v>
      </c>
      <c r="E503" s="366" t="s">
        <v>63</v>
      </c>
      <c r="F503" s="2687"/>
      <c r="G503" s="2687"/>
      <c r="H503" s="2689"/>
      <c r="I503" s="366" t="s">
        <v>64</v>
      </c>
      <c r="J503" s="380" t="s">
        <v>59</v>
      </c>
      <c r="K503" s="380" t="s">
        <v>59</v>
      </c>
      <c r="L503" s="2735"/>
      <c r="M503" s="381"/>
      <c r="N503" s="381"/>
      <c r="O503" s="381" t="s">
        <v>41</v>
      </c>
      <c r="P503" s="385" t="s">
        <v>65</v>
      </c>
      <c r="Q503" s="461" t="s">
        <v>66</v>
      </c>
      <c r="R503" s="385" t="s">
        <v>67</v>
      </c>
      <c r="S503" s="385" t="s">
        <v>59</v>
      </c>
      <c r="T503" s="621" t="s">
        <v>68</v>
      </c>
      <c r="U503" s="622" t="s">
        <v>14</v>
      </c>
      <c r="V503" s="375" t="s">
        <v>14</v>
      </c>
      <c r="W503" s="376" t="s">
        <v>30</v>
      </c>
      <c r="X503" s="388" t="s">
        <v>69</v>
      </c>
      <c r="Y503" s="388" t="s">
        <v>70</v>
      </c>
      <c r="Z503" s="377" t="s">
        <v>71</v>
      </c>
      <c r="AA503" s="377" t="s">
        <v>72</v>
      </c>
      <c r="AB503" s="460" t="s">
        <v>59</v>
      </c>
      <c r="AC503" s="617" t="s">
        <v>59</v>
      </c>
      <c r="AD503" s="617"/>
      <c r="AE503" s="617"/>
      <c r="AF503" s="618" t="s">
        <v>59</v>
      </c>
    </row>
    <row r="504" spans="1:33" s="457" customFormat="1" ht="18" customHeight="1" x14ac:dyDescent="0.2">
      <c r="A504" s="2692"/>
      <c r="B504" s="390"/>
      <c r="C504" s="2692"/>
      <c r="D504" s="390"/>
      <c r="E504" s="389"/>
      <c r="F504" s="390"/>
      <c r="G504" s="390"/>
      <c r="H504" s="391"/>
      <c r="I504" s="389"/>
      <c r="J504" s="393"/>
      <c r="K504" s="393"/>
      <c r="L504" s="2736"/>
      <c r="M504" s="394"/>
      <c r="N504" s="394"/>
      <c r="O504" s="394" t="s">
        <v>63</v>
      </c>
      <c r="P504" s="394"/>
      <c r="Q504" s="450" t="s">
        <v>72</v>
      </c>
      <c r="R504" s="398" t="s">
        <v>59</v>
      </c>
      <c r="S504" s="398"/>
      <c r="T504" s="623" t="s">
        <v>73</v>
      </c>
      <c r="U504" s="624" t="s">
        <v>59</v>
      </c>
      <c r="V504" s="399" t="s">
        <v>59</v>
      </c>
      <c r="W504" s="400" t="s">
        <v>59</v>
      </c>
      <c r="X504" s="401" t="s">
        <v>59</v>
      </c>
      <c r="Y504" s="401" t="s">
        <v>59</v>
      </c>
      <c r="Z504" s="401" t="s">
        <v>59</v>
      </c>
      <c r="AA504" s="402"/>
      <c r="AB504" s="462"/>
      <c r="AC504" s="625"/>
      <c r="AD504" s="625"/>
      <c r="AE504" s="625"/>
      <c r="AF504" s="626"/>
    </row>
    <row r="505" spans="1:33" s="457" customFormat="1" ht="18" customHeight="1" x14ac:dyDescent="0.2">
      <c r="A505" s="53">
        <v>1</v>
      </c>
      <c r="B505" s="95">
        <v>31174</v>
      </c>
      <c r="C505" s="82">
        <v>891</v>
      </c>
      <c r="D505" s="82" t="s">
        <v>139</v>
      </c>
      <c r="E505" s="82">
        <v>4</v>
      </c>
      <c r="F505" s="82">
        <v>0</v>
      </c>
      <c r="G505" s="82">
        <v>2</v>
      </c>
      <c r="H505" s="463">
        <v>6</v>
      </c>
      <c r="I505" s="70">
        <f>F505*400+G505*100+H505</f>
        <v>206</v>
      </c>
      <c r="J505" s="123">
        <v>1600</v>
      </c>
      <c r="K505" s="70">
        <f>SUM(I505*J505)</f>
        <v>329600</v>
      </c>
      <c r="L505" s="82"/>
      <c r="M505" s="82"/>
      <c r="N505" s="82"/>
      <c r="O505" s="53"/>
      <c r="P505" s="82"/>
      <c r="Q505" s="770"/>
      <c r="R505" s="443"/>
      <c r="S505" s="70"/>
      <c r="T505" s="444"/>
      <c r="U505" s="70"/>
      <c r="V505" s="70"/>
      <c r="W505" s="70">
        <f>K505+V505</f>
        <v>329600</v>
      </c>
      <c r="X505" s="70">
        <f>W505</f>
        <v>329600</v>
      </c>
      <c r="Y505" s="70"/>
      <c r="Z505" s="70">
        <f>+X505</f>
        <v>329600</v>
      </c>
      <c r="AA505" s="464">
        <v>0.6</v>
      </c>
      <c r="AB505" s="465">
        <f>+Z505*AA505/100</f>
        <v>1977.6</v>
      </c>
      <c r="AC505" s="602"/>
      <c r="AD505" s="603">
        <f>AB538-AC505</f>
        <v>297.60000000000002</v>
      </c>
      <c r="AE505" s="603">
        <f>IF(AD505&lt;=0,0,AD505*25/100)</f>
        <v>74.400000000000006</v>
      </c>
      <c r="AF505" s="603">
        <f>IF(AC505+AE505&gt;AB538,AB538,AC505+AE505)</f>
        <v>74.400000000000006</v>
      </c>
      <c r="AG505" s="1750" t="s">
        <v>387</v>
      </c>
    </row>
    <row r="506" spans="1:33" s="457" customFormat="1" ht="18" customHeight="1" x14ac:dyDescent="0.2">
      <c r="A506" s="75">
        <v>2</v>
      </c>
      <c r="B506" s="85">
        <v>31178</v>
      </c>
      <c r="C506" s="88">
        <v>895</v>
      </c>
      <c r="D506" s="88" t="s">
        <v>139</v>
      </c>
      <c r="E506" s="88">
        <v>4</v>
      </c>
      <c r="F506" s="88">
        <v>1</v>
      </c>
      <c r="G506" s="88">
        <v>0</v>
      </c>
      <c r="H506" s="495">
        <v>7</v>
      </c>
      <c r="I506" s="74">
        <f>F506*400+G506*100+H506</f>
        <v>407</v>
      </c>
      <c r="J506" s="121">
        <v>1600</v>
      </c>
      <c r="K506" s="74">
        <f>SUM(I506*J506)</f>
        <v>651200</v>
      </c>
      <c r="L506" s="88"/>
      <c r="M506" s="88"/>
      <c r="N506" s="88"/>
      <c r="O506" s="75"/>
      <c r="P506" s="88"/>
      <c r="Q506" s="129"/>
      <c r="R506" s="440"/>
      <c r="S506" s="74"/>
      <c r="T506" s="413"/>
      <c r="U506" s="74"/>
      <c r="V506" s="74"/>
      <c r="W506" s="74">
        <f>K506+V506</f>
        <v>651200</v>
      </c>
      <c r="X506" s="74">
        <f>W506</f>
        <v>651200</v>
      </c>
      <c r="Y506" s="74"/>
      <c r="Z506" s="74">
        <f>+X506</f>
        <v>651200</v>
      </c>
      <c r="AA506" s="414">
        <v>0.6</v>
      </c>
      <c r="AB506" s="410">
        <f>+Z506*AA506/100</f>
        <v>3907.2</v>
      </c>
      <c r="AC506" s="350"/>
      <c r="AD506" s="350"/>
      <c r="AE506" s="350"/>
      <c r="AF506" s="350"/>
    </row>
    <row r="507" spans="1:33" s="457" customFormat="1" ht="18" customHeight="1" x14ac:dyDescent="0.2">
      <c r="A507" s="75">
        <v>3</v>
      </c>
      <c r="B507" s="85">
        <v>35840</v>
      </c>
      <c r="C507" s="88">
        <v>1091</v>
      </c>
      <c r="D507" s="88" t="s">
        <v>139</v>
      </c>
      <c r="E507" s="88">
        <v>4</v>
      </c>
      <c r="F507" s="88">
        <v>0</v>
      </c>
      <c r="G507" s="88">
        <v>3</v>
      </c>
      <c r="H507" s="495">
        <v>68</v>
      </c>
      <c r="I507" s="74">
        <f>F507*400+G507*100+H507</f>
        <v>368</v>
      </c>
      <c r="J507" s="121">
        <v>1600</v>
      </c>
      <c r="K507" s="74">
        <f>SUM(I507*J507)</f>
        <v>588800</v>
      </c>
      <c r="L507" s="88"/>
      <c r="M507" s="88"/>
      <c r="N507" s="88"/>
      <c r="O507" s="75"/>
      <c r="P507" s="88"/>
      <c r="Q507" s="129"/>
      <c r="R507" s="440"/>
      <c r="S507" s="74"/>
      <c r="T507" s="413"/>
      <c r="U507" s="74"/>
      <c r="V507" s="74"/>
      <c r="W507" s="74">
        <f>K507+V507</f>
        <v>588800</v>
      </c>
      <c r="X507" s="74">
        <f>W507</f>
        <v>588800</v>
      </c>
      <c r="Y507" s="74"/>
      <c r="Z507" s="74">
        <f>+X507</f>
        <v>588800</v>
      </c>
      <c r="AA507" s="414">
        <v>0.6</v>
      </c>
      <c r="AB507" s="410">
        <f>+Z507*AA507/100</f>
        <v>3532.8</v>
      </c>
      <c r="AC507" s="350"/>
      <c r="AD507" s="350"/>
      <c r="AE507" s="350"/>
      <c r="AF507" s="350"/>
    </row>
    <row r="508" spans="1:33" s="457" customFormat="1" ht="18" customHeight="1" x14ac:dyDescent="0.2">
      <c r="A508" s="145"/>
      <c r="B508" s="177"/>
      <c r="C508" s="177"/>
      <c r="D508" s="145"/>
      <c r="E508" s="145"/>
      <c r="F508" s="145"/>
      <c r="G508" s="145"/>
      <c r="H508" s="147"/>
      <c r="I508" s="107"/>
      <c r="J508" s="178"/>
      <c r="K508" s="107"/>
      <c r="L508" s="145"/>
      <c r="M508" s="145"/>
      <c r="N508" s="145"/>
      <c r="O508" s="145"/>
      <c r="P508" s="147"/>
      <c r="Q508" s="148"/>
      <c r="R508" s="437"/>
      <c r="S508" s="107"/>
      <c r="T508" s="437"/>
      <c r="U508" s="178"/>
      <c r="V508" s="107"/>
      <c r="W508" s="107"/>
      <c r="X508" s="470"/>
      <c r="Y508" s="470"/>
      <c r="Z508" s="471"/>
      <c r="AA508" s="471"/>
      <c r="AB508" s="466"/>
      <c r="AC508" s="350"/>
      <c r="AD508" s="350"/>
      <c r="AE508" s="350"/>
      <c r="AF508" s="350"/>
    </row>
    <row r="509" spans="1:33" s="457" customFormat="1" ht="18" customHeight="1" x14ac:dyDescent="0.2">
      <c r="A509" s="145"/>
      <c r="B509" s="177"/>
      <c r="C509" s="177"/>
      <c r="D509" s="145"/>
      <c r="E509" s="145"/>
      <c r="F509" s="145"/>
      <c r="G509" s="145"/>
      <c r="H509" s="147"/>
      <c r="I509" s="107"/>
      <c r="J509" s="178"/>
      <c r="K509" s="107"/>
      <c r="L509" s="145"/>
      <c r="M509" s="145"/>
      <c r="N509" s="145"/>
      <c r="O509" s="145"/>
      <c r="P509" s="147"/>
      <c r="Q509" s="148"/>
      <c r="R509" s="437"/>
      <c r="S509" s="107"/>
      <c r="T509" s="437"/>
      <c r="U509" s="178"/>
      <c r="V509" s="107"/>
      <c r="W509" s="107"/>
      <c r="X509" s="470"/>
      <c r="Y509" s="470"/>
      <c r="Z509" s="471"/>
      <c r="AA509" s="471"/>
      <c r="AB509" s="466"/>
      <c r="AC509" s="350"/>
      <c r="AD509" s="350"/>
      <c r="AE509" s="350"/>
      <c r="AF509" s="350"/>
    </row>
    <row r="510" spans="1:33" s="457" customFormat="1" ht="18" customHeight="1" x14ac:dyDescent="0.2">
      <c r="A510" s="145"/>
      <c r="B510" s="177"/>
      <c r="C510" s="177"/>
      <c r="D510" s="145"/>
      <c r="E510" s="145"/>
      <c r="F510" s="145"/>
      <c r="G510" s="145"/>
      <c r="H510" s="147"/>
      <c r="I510" s="107"/>
      <c r="J510" s="178"/>
      <c r="K510" s="107"/>
      <c r="L510" s="145"/>
      <c r="M510" s="145"/>
      <c r="N510" s="145"/>
      <c r="O510" s="145"/>
      <c r="P510" s="147"/>
      <c r="Q510" s="148"/>
      <c r="R510" s="437"/>
      <c r="S510" s="107"/>
      <c r="T510" s="437"/>
      <c r="U510" s="178"/>
      <c r="V510" s="107"/>
      <c r="W510" s="107"/>
      <c r="X510" s="470"/>
      <c r="Y510" s="470"/>
      <c r="Z510" s="471"/>
      <c r="AA510" s="471"/>
      <c r="AB510" s="466"/>
      <c r="AC510" s="350"/>
      <c r="AD510" s="350"/>
      <c r="AE510" s="350"/>
      <c r="AF510" s="350"/>
    </row>
    <row r="511" spans="1:33" s="457" customFormat="1" ht="18" customHeight="1" x14ac:dyDescent="0.2">
      <c r="A511" s="145"/>
      <c r="B511" s="177"/>
      <c r="C511" s="177"/>
      <c r="D511" s="145"/>
      <c r="E511" s="145"/>
      <c r="F511" s="145"/>
      <c r="G511" s="145"/>
      <c r="H511" s="147"/>
      <c r="I511" s="107"/>
      <c r="J511" s="178"/>
      <c r="K511" s="107"/>
      <c r="L511" s="145"/>
      <c r="M511" s="145"/>
      <c r="N511" s="145"/>
      <c r="O511" s="145"/>
      <c r="P511" s="147"/>
      <c r="Q511" s="148"/>
      <c r="R511" s="437"/>
      <c r="S511" s="107"/>
      <c r="T511" s="437"/>
      <c r="U511" s="178"/>
      <c r="V511" s="107"/>
      <c r="W511" s="107"/>
      <c r="X511" s="470"/>
      <c r="Y511" s="470"/>
      <c r="Z511" s="471"/>
      <c r="AA511" s="471"/>
      <c r="AB511" s="466"/>
      <c r="AC511" s="350"/>
      <c r="AD511" s="350"/>
      <c r="AE511" s="350"/>
      <c r="AF511" s="350"/>
    </row>
    <row r="512" spans="1:33" s="457" customFormat="1" ht="18" customHeight="1" x14ac:dyDescent="0.2">
      <c r="A512" s="145"/>
      <c r="B512" s="177"/>
      <c r="C512" s="177"/>
      <c r="D512" s="145"/>
      <c r="E512" s="145"/>
      <c r="F512" s="145"/>
      <c r="G512" s="145"/>
      <c r="H512" s="147"/>
      <c r="I512" s="107"/>
      <c r="J512" s="178"/>
      <c r="K512" s="107"/>
      <c r="L512" s="145"/>
      <c r="M512" s="145"/>
      <c r="N512" s="145"/>
      <c r="O512" s="145"/>
      <c r="P512" s="147"/>
      <c r="Q512" s="148"/>
      <c r="R512" s="437"/>
      <c r="S512" s="107"/>
      <c r="T512" s="437"/>
      <c r="U512" s="178"/>
      <c r="V512" s="107"/>
      <c r="W512" s="107"/>
      <c r="X512" s="470"/>
      <c r="Y512" s="470"/>
      <c r="Z512" s="471"/>
      <c r="AA512" s="471"/>
      <c r="AB512" s="466"/>
      <c r="AC512" s="350"/>
      <c r="AD512" s="350"/>
      <c r="AE512" s="350"/>
      <c r="AF512" s="350"/>
    </row>
    <row r="513" spans="1:32" s="457" customFormat="1" ht="18" customHeight="1" x14ac:dyDescent="0.2">
      <c r="A513" s="145"/>
      <c r="B513" s="177"/>
      <c r="C513" s="177"/>
      <c r="D513" s="145"/>
      <c r="E513" s="145"/>
      <c r="F513" s="145"/>
      <c r="G513" s="145"/>
      <c r="H513" s="147"/>
      <c r="I513" s="107"/>
      <c r="J513" s="178"/>
      <c r="K513" s="107"/>
      <c r="L513" s="145"/>
      <c r="M513" s="145"/>
      <c r="N513" s="145"/>
      <c r="O513" s="145"/>
      <c r="P513" s="147"/>
      <c r="Q513" s="148"/>
      <c r="R513" s="437"/>
      <c r="S513" s="107"/>
      <c r="T513" s="437"/>
      <c r="U513" s="178"/>
      <c r="V513" s="107"/>
      <c r="W513" s="107"/>
      <c r="X513" s="470"/>
      <c r="Y513" s="470"/>
      <c r="Z513" s="471"/>
      <c r="AA513" s="471"/>
      <c r="AB513" s="466"/>
      <c r="AC513" s="350"/>
      <c r="AD513" s="350"/>
      <c r="AE513" s="350"/>
      <c r="AF513" s="350"/>
    </row>
    <row r="514" spans="1:32" s="457" customFormat="1" ht="18" customHeight="1" x14ac:dyDescent="0.2">
      <c r="A514" s="145"/>
      <c r="B514" s="177"/>
      <c r="C514" s="177"/>
      <c r="D514" s="145"/>
      <c r="E514" s="145"/>
      <c r="F514" s="145"/>
      <c r="G514" s="145"/>
      <c r="H514" s="147"/>
      <c r="I514" s="107"/>
      <c r="J514" s="178"/>
      <c r="K514" s="107"/>
      <c r="L514" s="145"/>
      <c r="M514" s="145"/>
      <c r="N514" s="145"/>
      <c r="O514" s="145"/>
      <c r="P514" s="147"/>
      <c r="Q514" s="148"/>
      <c r="R514" s="437"/>
      <c r="S514" s="107"/>
      <c r="T514" s="437"/>
      <c r="U514" s="178"/>
      <c r="V514" s="107"/>
      <c r="W514" s="107"/>
      <c r="X514" s="470"/>
      <c r="Y514" s="470"/>
      <c r="Z514" s="471"/>
      <c r="AA514" s="471"/>
      <c r="AB514" s="466"/>
      <c r="AC514" s="350"/>
      <c r="AD514" s="350"/>
      <c r="AE514" s="350"/>
      <c r="AF514" s="350"/>
    </row>
    <row r="515" spans="1:32" s="457" customFormat="1" ht="18" customHeight="1" x14ac:dyDescent="0.2">
      <c r="A515" s="145"/>
      <c r="B515" s="177"/>
      <c r="C515" s="177"/>
      <c r="D515" s="145"/>
      <c r="E515" s="145"/>
      <c r="F515" s="145"/>
      <c r="G515" s="145"/>
      <c r="H515" s="147"/>
      <c r="I515" s="107"/>
      <c r="J515" s="178"/>
      <c r="K515" s="107"/>
      <c r="L515" s="145"/>
      <c r="M515" s="145"/>
      <c r="N515" s="145"/>
      <c r="O515" s="145"/>
      <c r="P515" s="147"/>
      <c r="Q515" s="148"/>
      <c r="R515" s="437"/>
      <c r="S515" s="107"/>
      <c r="T515" s="437"/>
      <c r="U515" s="178"/>
      <c r="V515" s="107"/>
      <c r="W515" s="107"/>
      <c r="X515" s="470"/>
      <c r="Y515" s="470"/>
      <c r="Z515" s="471"/>
      <c r="AA515" s="471"/>
      <c r="AB515" s="466"/>
      <c r="AC515" s="350"/>
      <c r="AD515" s="350"/>
      <c r="AE515" s="350"/>
      <c r="AF515" s="350"/>
    </row>
    <row r="516" spans="1:32" s="457" customFormat="1" ht="18" customHeight="1" x14ac:dyDescent="0.2">
      <c r="A516" s="145"/>
      <c r="B516" s="177"/>
      <c r="C516" s="177"/>
      <c r="D516" s="145"/>
      <c r="E516" s="145"/>
      <c r="F516" s="145"/>
      <c r="G516" s="145"/>
      <c r="H516" s="147"/>
      <c r="I516" s="107"/>
      <c r="J516" s="178"/>
      <c r="K516" s="107"/>
      <c r="L516" s="145"/>
      <c r="M516" s="145"/>
      <c r="N516" s="145"/>
      <c r="O516" s="145"/>
      <c r="P516" s="147"/>
      <c r="Q516" s="148"/>
      <c r="R516" s="437"/>
      <c r="S516" s="107"/>
      <c r="T516" s="437"/>
      <c r="U516" s="178"/>
      <c r="V516" s="107"/>
      <c r="W516" s="107"/>
      <c r="X516" s="470"/>
      <c r="Y516" s="470"/>
      <c r="Z516" s="471"/>
      <c r="AA516" s="471"/>
      <c r="AB516" s="466"/>
      <c r="AC516" s="350"/>
      <c r="AD516" s="350"/>
      <c r="AE516" s="350"/>
      <c r="AF516" s="350"/>
    </row>
    <row r="517" spans="1:32" s="457" customFormat="1" ht="18" customHeight="1" x14ac:dyDescent="0.2">
      <c r="A517" s="145"/>
      <c r="B517" s="177"/>
      <c r="C517" s="177"/>
      <c r="D517" s="145"/>
      <c r="E517" s="145"/>
      <c r="F517" s="145"/>
      <c r="G517" s="145"/>
      <c r="H517" s="147"/>
      <c r="I517" s="107"/>
      <c r="J517" s="178"/>
      <c r="K517" s="107"/>
      <c r="L517" s="145"/>
      <c r="M517" s="145"/>
      <c r="N517" s="145"/>
      <c r="O517" s="145"/>
      <c r="P517" s="147"/>
      <c r="Q517" s="148"/>
      <c r="R517" s="437"/>
      <c r="S517" s="107"/>
      <c r="T517" s="437"/>
      <c r="U517" s="178"/>
      <c r="V517" s="107"/>
      <c r="W517" s="107"/>
      <c r="X517" s="470"/>
      <c r="Y517" s="470"/>
      <c r="Z517" s="471"/>
      <c r="AA517" s="471"/>
      <c r="AB517" s="466"/>
      <c r="AC517" s="350"/>
      <c r="AD517" s="350"/>
      <c r="AE517" s="350"/>
      <c r="AF517" s="350"/>
    </row>
    <row r="518" spans="1:32" s="457" customFormat="1" ht="18" customHeight="1" x14ac:dyDescent="0.2">
      <c r="A518" s="145"/>
      <c r="B518" s="177"/>
      <c r="C518" s="177"/>
      <c r="D518" s="145"/>
      <c r="E518" s="145"/>
      <c r="F518" s="145"/>
      <c r="G518" s="145"/>
      <c r="H518" s="147"/>
      <c r="I518" s="107"/>
      <c r="J518" s="178"/>
      <c r="K518" s="107"/>
      <c r="L518" s="145"/>
      <c r="M518" s="145"/>
      <c r="N518" s="145"/>
      <c r="O518" s="145"/>
      <c r="P518" s="147"/>
      <c r="Q518" s="148"/>
      <c r="R518" s="437"/>
      <c r="S518" s="107"/>
      <c r="T518" s="437"/>
      <c r="U518" s="178"/>
      <c r="V518" s="107"/>
      <c r="W518" s="107"/>
      <c r="X518" s="470"/>
      <c r="Y518" s="470"/>
      <c r="Z518" s="471"/>
      <c r="AA518" s="471"/>
      <c r="AB518" s="466"/>
      <c r="AC518" s="350"/>
      <c r="AD518" s="350"/>
      <c r="AE518" s="350"/>
      <c r="AF518" s="350"/>
    </row>
    <row r="519" spans="1:32" s="457" customFormat="1" ht="18" customHeight="1" x14ac:dyDescent="0.2">
      <c r="A519" s="145"/>
      <c r="B519" s="177"/>
      <c r="C519" s="177"/>
      <c r="D519" s="145"/>
      <c r="E519" s="145"/>
      <c r="F519" s="145"/>
      <c r="G519" s="145"/>
      <c r="H519" s="147"/>
      <c r="I519" s="107"/>
      <c r="J519" s="178"/>
      <c r="K519" s="107"/>
      <c r="L519" s="145"/>
      <c r="M519" s="145"/>
      <c r="N519" s="145"/>
      <c r="O519" s="145"/>
      <c r="P519" s="147"/>
      <c r="Q519" s="148"/>
      <c r="R519" s="437"/>
      <c r="S519" s="107"/>
      <c r="T519" s="437"/>
      <c r="U519" s="178"/>
      <c r="V519" s="107"/>
      <c r="W519" s="107"/>
      <c r="X519" s="470"/>
      <c r="Y519" s="470"/>
      <c r="Z519" s="471"/>
      <c r="AA519" s="471"/>
      <c r="AB519" s="466"/>
      <c r="AC519" s="350"/>
      <c r="AD519" s="350"/>
      <c r="AE519" s="350"/>
      <c r="AF519" s="350"/>
    </row>
    <row r="520" spans="1:32" s="457" customFormat="1" ht="18" customHeight="1" x14ac:dyDescent="0.2">
      <c r="A520" s="145"/>
      <c r="B520" s="177"/>
      <c r="C520" s="177"/>
      <c r="D520" s="145"/>
      <c r="E520" s="145"/>
      <c r="F520" s="145"/>
      <c r="G520" s="145"/>
      <c r="H520" s="147"/>
      <c r="I520" s="107"/>
      <c r="J520" s="178"/>
      <c r="K520" s="107"/>
      <c r="L520" s="145"/>
      <c r="M520" s="145"/>
      <c r="N520" s="145"/>
      <c r="O520" s="145"/>
      <c r="P520" s="147"/>
      <c r="Q520" s="148"/>
      <c r="R520" s="437"/>
      <c r="S520" s="107"/>
      <c r="T520" s="437"/>
      <c r="U520" s="178"/>
      <c r="V520" s="107"/>
      <c r="W520" s="107"/>
      <c r="X520" s="470"/>
      <c r="Y520" s="470"/>
      <c r="Z520" s="471"/>
      <c r="AA520" s="471"/>
      <c r="AB520" s="466"/>
      <c r="AC520" s="350"/>
      <c r="AD520" s="350"/>
      <c r="AE520" s="350"/>
      <c r="AF520" s="350"/>
    </row>
    <row r="521" spans="1:32" s="457" customFormat="1" ht="18" customHeight="1" x14ac:dyDescent="0.2">
      <c r="A521" s="145"/>
      <c r="B521" s="177"/>
      <c r="C521" s="177"/>
      <c r="D521" s="145"/>
      <c r="E521" s="145"/>
      <c r="F521" s="145"/>
      <c r="G521" s="145"/>
      <c r="H521" s="147"/>
      <c r="I521" s="107"/>
      <c r="J521" s="178"/>
      <c r="K521" s="107"/>
      <c r="L521" s="145"/>
      <c r="M521" s="145"/>
      <c r="N521" s="145"/>
      <c r="O521" s="145"/>
      <c r="P521" s="147"/>
      <c r="Q521" s="148"/>
      <c r="R521" s="437"/>
      <c r="S521" s="107"/>
      <c r="T521" s="437"/>
      <c r="U521" s="178"/>
      <c r="V521" s="107"/>
      <c r="W521" s="107"/>
      <c r="X521" s="470"/>
      <c r="Y521" s="470"/>
      <c r="Z521" s="471"/>
      <c r="AA521" s="471"/>
      <c r="AB521" s="466"/>
      <c r="AC521" s="350"/>
      <c r="AD521" s="350"/>
      <c r="AE521" s="350"/>
      <c r="AF521" s="350"/>
    </row>
    <row r="522" spans="1:32" s="457" customFormat="1" ht="18" customHeight="1" x14ac:dyDescent="0.2">
      <c r="A522" s="145"/>
      <c r="B522" s="177"/>
      <c r="C522" s="177"/>
      <c r="D522" s="145"/>
      <c r="E522" s="145"/>
      <c r="F522" s="145"/>
      <c r="G522" s="145"/>
      <c r="H522" s="147"/>
      <c r="I522" s="107"/>
      <c r="J522" s="178"/>
      <c r="K522" s="107"/>
      <c r="L522" s="145"/>
      <c r="M522" s="145"/>
      <c r="N522" s="145"/>
      <c r="O522" s="145"/>
      <c r="P522" s="147"/>
      <c r="Q522" s="148"/>
      <c r="R522" s="437"/>
      <c r="S522" s="107"/>
      <c r="T522" s="437"/>
      <c r="U522" s="178"/>
      <c r="V522" s="107"/>
      <c r="W522" s="107"/>
      <c r="X522" s="470"/>
      <c r="Y522" s="470"/>
      <c r="Z522" s="471"/>
      <c r="AA522" s="471"/>
      <c r="AB522" s="466"/>
      <c r="AC522" s="350"/>
      <c r="AD522" s="350"/>
      <c r="AE522" s="350"/>
      <c r="AF522" s="350"/>
    </row>
    <row r="523" spans="1:32" s="597" customFormat="1" ht="18" customHeight="1" x14ac:dyDescent="0.2">
      <c r="A523" s="1850"/>
      <c r="B523" s="1878"/>
      <c r="C523" s="1878"/>
      <c r="D523" s="1850"/>
      <c r="E523" s="1850"/>
      <c r="F523" s="1850"/>
      <c r="G523" s="1850"/>
      <c r="H523" s="1851"/>
      <c r="I523" s="1852"/>
      <c r="J523" s="1853"/>
      <c r="K523" s="1852"/>
      <c r="L523" s="1850"/>
      <c r="M523" s="1850"/>
      <c r="N523" s="1850"/>
      <c r="O523" s="1850"/>
      <c r="P523" s="1851"/>
      <c r="Q523" s="1879"/>
      <c r="R523" s="1854"/>
      <c r="S523" s="1852"/>
      <c r="T523" s="1854"/>
      <c r="U523" s="1853"/>
      <c r="V523" s="1852"/>
      <c r="W523" s="1852"/>
      <c r="X523" s="1856"/>
      <c r="Y523" s="1856"/>
      <c r="Z523" s="1857"/>
      <c r="AA523" s="1857"/>
      <c r="AB523" s="1847">
        <f>SUM(AB505:AB522)</f>
        <v>9417.5999999999985</v>
      </c>
      <c r="AC523" s="1875"/>
      <c r="AD523" s="1875"/>
      <c r="AE523" s="1875"/>
      <c r="AF523" s="1875"/>
    </row>
    <row r="524" spans="1:32" s="457" customFormat="1" ht="18" customHeight="1" x14ac:dyDescent="0.2">
      <c r="A524" s="2737" t="s">
        <v>76</v>
      </c>
      <c r="B524" s="2737"/>
      <c r="C524" s="2738" t="s">
        <v>77</v>
      </c>
      <c r="D524" s="2738"/>
      <c r="E524" s="2738"/>
      <c r="F524" s="2738"/>
      <c r="G524" s="2738"/>
      <c r="H524" s="2738"/>
      <c r="I524" s="457" t="s">
        <v>78</v>
      </c>
      <c r="T524" s="651"/>
      <c r="U524" s="478"/>
      <c r="AB524" s="478"/>
    </row>
    <row r="525" spans="1:32" s="457" customFormat="1" ht="18" customHeight="1" x14ac:dyDescent="0.2">
      <c r="A525" s="448"/>
      <c r="B525" s="479"/>
      <c r="I525" s="457" t="s">
        <v>79</v>
      </c>
      <c r="T525" s="651"/>
      <c r="U525" s="478"/>
      <c r="AB525" s="478"/>
    </row>
    <row r="526" spans="1:32" s="457" customFormat="1" ht="18" customHeight="1" x14ac:dyDescent="0.2">
      <c r="A526" s="448"/>
      <c r="B526" s="479"/>
      <c r="I526" s="457" t="s">
        <v>80</v>
      </c>
      <c r="T526" s="651"/>
      <c r="U526" s="478"/>
      <c r="AB526" s="478"/>
    </row>
    <row r="527" spans="1:32" s="457" customFormat="1" ht="18" customHeight="1" x14ac:dyDescent="0.2">
      <c r="A527" s="448"/>
      <c r="B527" s="479"/>
      <c r="I527" s="457" t="s">
        <v>81</v>
      </c>
      <c r="T527" s="651"/>
      <c r="U527" s="478"/>
      <c r="AB527" s="478"/>
    </row>
    <row r="528" spans="1:32" s="457" customFormat="1" ht="18" customHeight="1" x14ac:dyDescent="0.2">
      <c r="A528" s="448"/>
      <c r="B528" s="479"/>
      <c r="I528" s="457" t="s">
        <v>88</v>
      </c>
      <c r="T528" s="651"/>
      <c r="U528" s="478"/>
      <c r="AB528" s="478"/>
    </row>
    <row r="529" spans="1:33" s="457" customFormat="1" ht="18" customHeight="1" x14ac:dyDescent="0.2">
      <c r="A529" s="456"/>
      <c r="B529" s="455"/>
      <c r="C529" s="455"/>
      <c r="D529" s="455"/>
      <c r="E529" s="455"/>
      <c r="F529" s="455"/>
      <c r="G529" s="455"/>
      <c r="H529" s="455"/>
      <c r="I529" s="455"/>
      <c r="J529" s="455"/>
      <c r="K529" s="455"/>
      <c r="L529" s="455"/>
      <c r="M529" s="455"/>
      <c r="N529" s="455"/>
      <c r="O529" s="455"/>
      <c r="P529" s="455"/>
      <c r="Q529" s="455"/>
      <c r="R529" s="455"/>
      <c r="S529" s="455"/>
      <c r="T529" s="608"/>
      <c r="U529" s="609"/>
      <c r="V529" s="455"/>
      <c r="W529" s="455"/>
      <c r="X529" s="455"/>
      <c r="Y529" s="455"/>
      <c r="Z529" s="455"/>
      <c r="AA529" s="2705" t="s">
        <v>0</v>
      </c>
      <c r="AB529" s="2705"/>
      <c r="AC529" s="455"/>
      <c r="AD529" s="455"/>
      <c r="AE529" s="455"/>
      <c r="AF529" s="455"/>
    </row>
    <row r="530" spans="1:33" s="457" customFormat="1" ht="18" customHeight="1" x14ac:dyDescent="0.2">
      <c r="A530" s="2706" t="s">
        <v>1</v>
      </c>
      <c r="B530" s="2706"/>
      <c r="C530" s="2706"/>
      <c r="D530" s="2706"/>
      <c r="E530" s="2706"/>
      <c r="F530" s="2706"/>
      <c r="G530" s="2706"/>
      <c r="H530" s="2706"/>
      <c r="I530" s="2706"/>
      <c r="J530" s="2706"/>
      <c r="K530" s="2706"/>
      <c r="L530" s="2706"/>
      <c r="M530" s="2706"/>
      <c r="N530" s="2706"/>
      <c r="O530" s="2706"/>
      <c r="P530" s="2706"/>
      <c r="Q530" s="2706"/>
      <c r="R530" s="2706"/>
      <c r="S530" s="2706"/>
      <c r="T530" s="2706"/>
      <c r="U530" s="2706"/>
      <c r="V530" s="2706"/>
      <c r="W530" s="2706"/>
      <c r="X530" s="2706"/>
      <c r="Y530" s="2706"/>
      <c r="Z530" s="2706"/>
      <c r="AA530" s="2706"/>
      <c r="AB530" s="2706"/>
      <c r="AC530" s="610"/>
      <c r="AD530" s="610"/>
      <c r="AE530" s="610"/>
      <c r="AF530" s="610"/>
    </row>
    <row r="531" spans="1:33" s="457" customFormat="1" ht="18" customHeight="1" x14ac:dyDescent="0.2">
      <c r="A531" s="2704" t="s">
        <v>440</v>
      </c>
      <c r="B531" s="2704"/>
      <c r="C531" s="2704"/>
      <c r="D531" s="2704"/>
      <c r="E531" s="2704"/>
      <c r="F531" s="2704"/>
      <c r="G531" s="2704"/>
      <c r="H531" s="2704"/>
      <c r="I531" s="2704"/>
      <c r="J531" s="2704"/>
      <c r="K531" s="2704"/>
      <c r="L531" s="2704"/>
      <c r="M531" s="2704"/>
      <c r="N531" s="2704"/>
      <c r="O531" s="2704"/>
      <c r="P531" s="2704"/>
      <c r="Q531" s="2704"/>
      <c r="R531" s="2704"/>
      <c r="S531" s="2704"/>
      <c r="T531" s="2704"/>
      <c r="U531" s="2704"/>
      <c r="V531" s="2704"/>
      <c r="W531" s="2704"/>
      <c r="X531" s="2704"/>
      <c r="Y531" s="2704"/>
      <c r="Z531" s="2704"/>
      <c r="AA531" s="2704"/>
      <c r="AB531" s="2704"/>
      <c r="AC531" s="611"/>
      <c r="AD531" s="611"/>
      <c r="AE531" s="611"/>
      <c r="AF531" s="611"/>
    </row>
    <row r="532" spans="1:33" s="457" customFormat="1" ht="18" customHeight="1" x14ac:dyDescent="0.2">
      <c r="A532" s="2686" t="s">
        <v>2</v>
      </c>
      <c r="B532" s="360"/>
      <c r="C532" s="2686" t="s">
        <v>3</v>
      </c>
      <c r="D532" s="360"/>
      <c r="E532" s="360"/>
      <c r="F532" s="2693" t="s">
        <v>4</v>
      </c>
      <c r="G532" s="2693"/>
      <c r="H532" s="2693"/>
      <c r="I532" s="2694"/>
      <c r="J532" s="2694"/>
      <c r="K532" s="2695"/>
      <c r="L532" s="361"/>
      <c r="M532" s="2679" t="s">
        <v>5</v>
      </c>
      <c r="N532" s="2679"/>
      <c r="O532" s="2679"/>
      <c r="P532" s="2679"/>
      <c r="Q532" s="2696"/>
      <c r="R532" s="2696"/>
      <c r="S532" s="2696"/>
      <c r="T532" s="2696"/>
      <c r="U532" s="2696"/>
      <c r="V532" s="2697"/>
      <c r="W532" s="362" t="s">
        <v>6</v>
      </c>
      <c r="X532" s="363" t="s">
        <v>7</v>
      </c>
      <c r="Y532" s="364"/>
      <c r="Z532" s="364"/>
      <c r="AA532" s="363"/>
      <c r="AB532" s="458"/>
      <c r="AC532" s="612" t="s">
        <v>8</v>
      </c>
      <c r="AD532" s="613"/>
      <c r="AE532" s="613"/>
      <c r="AF532" s="614"/>
    </row>
    <row r="533" spans="1:33" s="457" customFormat="1" ht="18" customHeight="1" x14ac:dyDescent="0.2">
      <c r="A533" s="2687"/>
      <c r="B533" s="367"/>
      <c r="C533" s="2687"/>
      <c r="D533" s="366" t="s">
        <v>9</v>
      </c>
      <c r="E533" s="366" t="s">
        <v>10</v>
      </c>
      <c r="F533" s="2698" t="s">
        <v>11</v>
      </c>
      <c r="G533" s="2694"/>
      <c r="H533" s="2695"/>
      <c r="I533" s="360"/>
      <c r="J533" s="449" t="s">
        <v>12</v>
      </c>
      <c r="K533" s="360"/>
      <c r="L533" s="2679" t="s">
        <v>2</v>
      </c>
      <c r="M533" s="370"/>
      <c r="N533" s="370"/>
      <c r="O533" s="370"/>
      <c r="P533" s="371"/>
      <c r="Q533" s="459" t="s">
        <v>13</v>
      </c>
      <c r="R533" s="370" t="s">
        <v>12</v>
      </c>
      <c r="S533" s="370" t="s">
        <v>6</v>
      </c>
      <c r="T533" s="2682" t="s">
        <v>14</v>
      </c>
      <c r="U533" s="2683"/>
      <c r="V533" s="375" t="s">
        <v>7</v>
      </c>
      <c r="W533" s="376" t="s">
        <v>15</v>
      </c>
      <c r="X533" s="377" t="s">
        <v>16</v>
      </c>
      <c r="Y533" s="377" t="s">
        <v>17</v>
      </c>
      <c r="Z533" s="377" t="s">
        <v>18</v>
      </c>
      <c r="AA533" s="377"/>
      <c r="AB533" s="460" t="s">
        <v>19</v>
      </c>
      <c r="AC533" s="615" t="s">
        <v>20</v>
      </c>
      <c r="AD533" s="616"/>
      <c r="AE533" s="617" t="s">
        <v>21</v>
      </c>
      <c r="AF533" s="618" t="s">
        <v>22</v>
      </c>
    </row>
    <row r="534" spans="1:33" s="457" customFormat="1" ht="18" customHeight="1" x14ac:dyDescent="0.2">
      <c r="A534" s="2687"/>
      <c r="B534" s="366" t="s">
        <v>23</v>
      </c>
      <c r="C534" s="2687"/>
      <c r="D534" s="366" t="s">
        <v>24</v>
      </c>
      <c r="E534" s="366" t="s">
        <v>25</v>
      </c>
      <c r="F534" s="2699"/>
      <c r="G534" s="2700"/>
      <c r="H534" s="2701"/>
      <c r="I534" s="366" t="s">
        <v>26</v>
      </c>
      <c r="J534" s="380" t="s">
        <v>15</v>
      </c>
      <c r="K534" s="380" t="s">
        <v>6</v>
      </c>
      <c r="L534" s="2680"/>
      <c r="M534" s="381" t="s">
        <v>27</v>
      </c>
      <c r="N534" s="381" t="s">
        <v>10</v>
      </c>
      <c r="O534" s="381" t="s">
        <v>10</v>
      </c>
      <c r="P534" s="385" t="s">
        <v>28</v>
      </c>
      <c r="Q534" s="461" t="s">
        <v>29</v>
      </c>
      <c r="R534" s="385" t="s">
        <v>15</v>
      </c>
      <c r="S534" s="385" t="s">
        <v>15</v>
      </c>
      <c r="T534" s="2684"/>
      <c r="U534" s="2685"/>
      <c r="V534" s="375" t="s">
        <v>30</v>
      </c>
      <c r="W534" s="376" t="s">
        <v>31</v>
      </c>
      <c r="X534" s="377" t="s">
        <v>30</v>
      </c>
      <c r="Y534" s="377" t="s">
        <v>32</v>
      </c>
      <c r="Z534" s="377" t="s">
        <v>7</v>
      </c>
      <c r="AA534" s="377" t="s">
        <v>33</v>
      </c>
      <c r="AB534" s="460" t="s">
        <v>34</v>
      </c>
      <c r="AC534" s="615" t="s">
        <v>35</v>
      </c>
      <c r="AD534" s="617" t="s">
        <v>36</v>
      </c>
      <c r="AE534" s="617" t="s">
        <v>37</v>
      </c>
      <c r="AF534" s="618" t="s">
        <v>38</v>
      </c>
    </row>
    <row r="535" spans="1:33" s="457" customFormat="1" ht="18" customHeight="1" x14ac:dyDescent="0.2">
      <c r="A535" s="2687"/>
      <c r="B535" s="366" t="s">
        <v>39</v>
      </c>
      <c r="C535" s="2687"/>
      <c r="D535" s="366" t="s">
        <v>40</v>
      </c>
      <c r="E535" s="366" t="s">
        <v>41</v>
      </c>
      <c r="F535" s="2686" t="s">
        <v>42</v>
      </c>
      <c r="G535" s="2686" t="s">
        <v>43</v>
      </c>
      <c r="H535" s="2688" t="s">
        <v>44</v>
      </c>
      <c r="I535" s="366" t="s">
        <v>45</v>
      </c>
      <c r="J535" s="380" t="s">
        <v>46</v>
      </c>
      <c r="K535" s="380" t="s">
        <v>47</v>
      </c>
      <c r="L535" s="2680"/>
      <c r="M535" s="381" t="s">
        <v>30</v>
      </c>
      <c r="N535" s="381" t="s">
        <v>30</v>
      </c>
      <c r="O535" s="381" t="s">
        <v>25</v>
      </c>
      <c r="P535" s="385" t="s">
        <v>30</v>
      </c>
      <c r="Q535" s="461" t="s">
        <v>48</v>
      </c>
      <c r="R535" s="385" t="s">
        <v>49</v>
      </c>
      <c r="S535" s="385" t="s">
        <v>30</v>
      </c>
      <c r="T535" s="619" t="s">
        <v>50</v>
      </c>
      <c r="U535" s="620" t="s">
        <v>13</v>
      </c>
      <c r="V535" s="375" t="s">
        <v>51</v>
      </c>
      <c r="W535" s="376" t="s">
        <v>52</v>
      </c>
      <c r="X535" s="377" t="s">
        <v>53</v>
      </c>
      <c r="Y535" s="377" t="s">
        <v>54</v>
      </c>
      <c r="Z535" s="377" t="s">
        <v>55</v>
      </c>
      <c r="AA535" s="377" t="s">
        <v>56</v>
      </c>
      <c r="AB535" s="460" t="s">
        <v>57</v>
      </c>
      <c r="AC535" s="617" t="s">
        <v>58</v>
      </c>
      <c r="AD535" s="617" t="s">
        <v>59</v>
      </c>
      <c r="AE535" s="617" t="s">
        <v>59</v>
      </c>
      <c r="AF535" s="618" t="s">
        <v>60</v>
      </c>
    </row>
    <row r="536" spans="1:33" s="457" customFormat="1" ht="18" customHeight="1" x14ac:dyDescent="0.2">
      <c r="A536" s="2687"/>
      <c r="B536" s="366" t="s">
        <v>61</v>
      </c>
      <c r="C536" s="2687"/>
      <c r="D536" s="366" t="s">
        <v>62</v>
      </c>
      <c r="E536" s="366" t="s">
        <v>63</v>
      </c>
      <c r="F536" s="2687"/>
      <c r="G536" s="2687"/>
      <c r="H536" s="2689"/>
      <c r="I536" s="366" t="s">
        <v>64</v>
      </c>
      <c r="J536" s="380" t="s">
        <v>59</v>
      </c>
      <c r="K536" s="380" t="s">
        <v>59</v>
      </c>
      <c r="L536" s="2680"/>
      <c r="M536" s="381"/>
      <c r="N536" s="381"/>
      <c r="O536" s="381" t="s">
        <v>41</v>
      </c>
      <c r="P536" s="385" t="s">
        <v>65</v>
      </c>
      <c r="Q536" s="461" t="s">
        <v>66</v>
      </c>
      <c r="R536" s="385" t="s">
        <v>67</v>
      </c>
      <c r="S536" s="385" t="s">
        <v>59</v>
      </c>
      <c r="T536" s="621" t="s">
        <v>68</v>
      </c>
      <c r="U536" s="622" t="s">
        <v>14</v>
      </c>
      <c r="V536" s="375" t="s">
        <v>14</v>
      </c>
      <c r="W536" s="376" t="s">
        <v>30</v>
      </c>
      <c r="X536" s="388" t="s">
        <v>69</v>
      </c>
      <c r="Y536" s="388" t="s">
        <v>70</v>
      </c>
      <c r="Z536" s="377" t="s">
        <v>71</v>
      </c>
      <c r="AA536" s="377" t="s">
        <v>72</v>
      </c>
      <c r="AB536" s="460" t="s">
        <v>59</v>
      </c>
      <c r="AC536" s="617" t="s">
        <v>59</v>
      </c>
      <c r="AD536" s="617"/>
      <c r="AE536" s="617"/>
      <c r="AF536" s="618" t="s">
        <v>59</v>
      </c>
    </row>
    <row r="537" spans="1:33" s="457" customFormat="1" ht="18" customHeight="1" x14ac:dyDescent="0.2">
      <c r="A537" s="2692"/>
      <c r="B537" s="390"/>
      <c r="C537" s="2692"/>
      <c r="D537" s="390"/>
      <c r="E537" s="389"/>
      <c r="F537" s="390"/>
      <c r="G537" s="390"/>
      <c r="H537" s="391"/>
      <c r="I537" s="389"/>
      <c r="J537" s="393"/>
      <c r="K537" s="393"/>
      <c r="L537" s="2681"/>
      <c r="M537" s="394"/>
      <c r="N537" s="394"/>
      <c r="O537" s="394" t="s">
        <v>63</v>
      </c>
      <c r="P537" s="394"/>
      <c r="Q537" s="450" t="s">
        <v>72</v>
      </c>
      <c r="R537" s="398" t="s">
        <v>59</v>
      </c>
      <c r="S537" s="398"/>
      <c r="T537" s="623" t="s">
        <v>73</v>
      </c>
      <c r="U537" s="624" t="s">
        <v>59</v>
      </c>
      <c r="V537" s="399" t="s">
        <v>59</v>
      </c>
      <c r="W537" s="400" t="s">
        <v>59</v>
      </c>
      <c r="X537" s="401" t="s">
        <v>59</v>
      </c>
      <c r="Y537" s="401" t="s">
        <v>59</v>
      </c>
      <c r="Z537" s="401" t="s">
        <v>59</v>
      </c>
      <c r="AA537" s="402"/>
      <c r="AB537" s="462"/>
      <c r="AC537" s="625"/>
      <c r="AD537" s="625"/>
      <c r="AE537" s="625"/>
      <c r="AF537" s="626"/>
    </row>
    <row r="538" spans="1:33" s="457" customFormat="1" ht="18" customHeight="1" x14ac:dyDescent="0.2">
      <c r="A538" s="53">
        <v>1</v>
      </c>
      <c r="B538" s="95">
        <v>32246</v>
      </c>
      <c r="C538" s="82">
        <v>984</v>
      </c>
      <c r="D538" s="82" t="s">
        <v>139</v>
      </c>
      <c r="E538" s="82">
        <v>4</v>
      </c>
      <c r="F538" s="82">
        <v>0</v>
      </c>
      <c r="G538" s="82">
        <v>0</v>
      </c>
      <c r="H538" s="463">
        <v>31</v>
      </c>
      <c r="I538" s="70">
        <f>F538*400+G538*100+H538</f>
        <v>31</v>
      </c>
      <c r="J538" s="123">
        <v>1600</v>
      </c>
      <c r="K538" s="124">
        <f>SUM(I538*J538)</f>
        <v>49600</v>
      </c>
      <c r="L538" s="82"/>
      <c r="M538" s="82"/>
      <c r="N538" s="82"/>
      <c r="O538" s="82"/>
      <c r="P538" s="82"/>
      <c r="Q538" s="770"/>
      <c r="R538" s="771"/>
      <c r="S538" s="67"/>
      <c r="T538" s="443"/>
      <c r="U538" s="67"/>
      <c r="V538" s="67"/>
      <c r="W538" s="67">
        <f>+K538</f>
        <v>49600</v>
      </c>
      <c r="X538" s="67">
        <f>W538</f>
        <v>49600</v>
      </c>
      <c r="Y538" s="67"/>
      <c r="Z538" s="67">
        <f>+X538</f>
        <v>49600</v>
      </c>
      <c r="AA538" s="464">
        <v>0.6</v>
      </c>
      <c r="AB538" s="465">
        <f>+Z538*AA538/100</f>
        <v>297.60000000000002</v>
      </c>
      <c r="AC538" s="602"/>
      <c r="AD538" s="603" t="e">
        <f>#REF!-AC538</f>
        <v>#REF!</v>
      </c>
      <c r="AE538" s="603" t="e">
        <f>IF(AD538&lt;=0,0,AD538*25/100)</f>
        <v>#REF!</v>
      </c>
      <c r="AF538" s="603" t="e">
        <f>IF(AC538+AE538&gt;#REF!,#REF!,AC538+AE538)</f>
        <v>#REF!</v>
      </c>
      <c r="AG538" s="1750" t="s">
        <v>387</v>
      </c>
    </row>
    <row r="539" spans="1:33" s="457" customFormat="1" ht="18" customHeight="1" x14ac:dyDescent="0.2">
      <c r="A539" s="61">
        <v>2</v>
      </c>
      <c r="B539" s="102">
        <v>32247</v>
      </c>
      <c r="C539" s="145">
        <v>985</v>
      </c>
      <c r="D539" s="145" t="s">
        <v>139</v>
      </c>
      <c r="E539" s="145">
        <v>4</v>
      </c>
      <c r="F539" s="145">
        <v>0</v>
      </c>
      <c r="G539" s="145">
        <v>0</v>
      </c>
      <c r="H539" s="407">
        <v>51</v>
      </c>
      <c r="I539" s="77">
        <f>F539*400+G539*100+H539</f>
        <v>51</v>
      </c>
      <c r="J539" s="107">
        <v>1600</v>
      </c>
      <c r="K539" s="78">
        <f>SUM(I539*J539)</f>
        <v>81600</v>
      </c>
      <c r="L539" s="145"/>
      <c r="M539" s="145"/>
      <c r="N539" s="145"/>
      <c r="O539" s="145"/>
      <c r="P539" s="145"/>
      <c r="Q539" s="148"/>
      <c r="R539" s="441"/>
      <c r="S539" s="94"/>
      <c r="T539" s="442"/>
      <c r="U539" s="94"/>
      <c r="V539" s="94"/>
      <c r="W539" s="94">
        <f>+K539</f>
        <v>81600</v>
      </c>
      <c r="X539" s="94">
        <f>W539</f>
        <v>81600</v>
      </c>
      <c r="Y539" s="94"/>
      <c r="Z539" s="94">
        <f>+X539</f>
        <v>81600</v>
      </c>
      <c r="AA539" s="409">
        <v>0.6</v>
      </c>
      <c r="AB539" s="466">
        <f>+Z539*AA539/100</f>
        <v>489.6</v>
      </c>
      <c r="AC539" s="350"/>
      <c r="AD539" s="350"/>
      <c r="AE539" s="350"/>
      <c r="AF539" s="350"/>
    </row>
    <row r="540" spans="1:33" s="457" customFormat="1" ht="18" customHeight="1" x14ac:dyDescent="0.2">
      <c r="A540" s="61">
        <v>3</v>
      </c>
      <c r="B540" s="102">
        <v>39055</v>
      </c>
      <c r="C540" s="145">
        <v>1164</v>
      </c>
      <c r="D540" s="145" t="s">
        <v>139</v>
      </c>
      <c r="E540" s="145">
        <v>4</v>
      </c>
      <c r="F540" s="145">
        <v>0</v>
      </c>
      <c r="G540" s="145">
        <v>1</v>
      </c>
      <c r="H540" s="407">
        <v>31</v>
      </c>
      <c r="I540" s="77">
        <f>F540*400+G540*100+H540</f>
        <v>131</v>
      </c>
      <c r="J540" s="107">
        <v>1600</v>
      </c>
      <c r="K540" s="78">
        <f>SUM(I540*J540)</f>
        <v>209600</v>
      </c>
      <c r="L540" s="145"/>
      <c r="M540" s="145"/>
      <c r="N540" s="145"/>
      <c r="O540" s="145"/>
      <c r="P540" s="145"/>
      <c r="Q540" s="148"/>
      <c r="R540" s="441"/>
      <c r="S540" s="94"/>
      <c r="T540" s="442"/>
      <c r="U540" s="94"/>
      <c r="V540" s="94"/>
      <c r="W540" s="94">
        <f>K540+V540+K541+K542</f>
        <v>209600</v>
      </c>
      <c r="X540" s="94">
        <f>W540</f>
        <v>209600</v>
      </c>
      <c r="Y540" s="94"/>
      <c r="Z540" s="94">
        <f>+X540</f>
        <v>209600</v>
      </c>
      <c r="AA540" s="409">
        <v>0.6</v>
      </c>
      <c r="AB540" s="466">
        <f>+Z540*AA540/100</f>
        <v>1257.5999999999999</v>
      </c>
      <c r="AC540" s="350"/>
      <c r="AD540" s="350"/>
      <c r="AE540" s="350"/>
      <c r="AF540" s="350"/>
    </row>
    <row r="541" spans="1:33" s="457" customFormat="1" ht="18" customHeight="1" x14ac:dyDescent="0.2">
      <c r="A541" s="145"/>
      <c r="B541" s="177"/>
      <c r="C541" s="177"/>
      <c r="D541" s="145"/>
      <c r="E541" s="145"/>
      <c r="F541" s="145"/>
      <c r="G541" s="145"/>
      <c r="H541" s="147"/>
      <c r="I541" s="107"/>
      <c r="J541" s="178"/>
      <c r="K541" s="107"/>
      <c r="L541" s="145"/>
      <c r="M541" s="145"/>
      <c r="N541" s="145"/>
      <c r="O541" s="145"/>
      <c r="P541" s="147"/>
      <c r="Q541" s="148"/>
      <c r="R541" s="437"/>
      <c r="S541" s="107"/>
      <c r="T541" s="437"/>
      <c r="U541" s="178"/>
      <c r="V541" s="107"/>
      <c r="W541" s="107"/>
      <c r="X541" s="470"/>
      <c r="Y541" s="470"/>
      <c r="Z541" s="471"/>
      <c r="AA541" s="471"/>
      <c r="AB541" s="415"/>
      <c r="AC541" s="350"/>
      <c r="AD541" s="350"/>
      <c r="AE541" s="350"/>
      <c r="AF541" s="350"/>
    </row>
    <row r="542" spans="1:33" s="457" customFormat="1" ht="18" customHeight="1" x14ac:dyDescent="0.2">
      <c r="A542" s="145"/>
      <c r="B542" s="177"/>
      <c r="C542" s="177"/>
      <c r="D542" s="145"/>
      <c r="E542" s="145"/>
      <c r="F542" s="145"/>
      <c r="G542" s="145"/>
      <c r="H542" s="147"/>
      <c r="I542" s="107"/>
      <c r="J542" s="178"/>
      <c r="K542" s="107"/>
      <c r="L542" s="145"/>
      <c r="M542" s="145"/>
      <c r="N542" s="145"/>
      <c r="O542" s="145"/>
      <c r="P542" s="147"/>
      <c r="Q542" s="148"/>
      <c r="R542" s="437"/>
      <c r="S542" s="107"/>
      <c r="T542" s="437"/>
      <c r="U542" s="178"/>
      <c r="V542" s="107"/>
      <c r="W542" s="107"/>
      <c r="X542" s="470"/>
      <c r="Y542" s="470"/>
      <c r="Z542" s="471"/>
      <c r="AA542" s="471"/>
      <c r="AB542" s="415"/>
      <c r="AC542" s="350"/>
      <c r="AD542" s="350"/>
      <c r="AE542" s="350"/>
      <c r="AF542" s="350"/>
    </row>
    <row r="543" spans="1:33" s="457" customFormat="1" ht="18" customHeight="1" x14ac:dyDescent="0.2">
      <c r="A543" s="145"/>
      <c r="B543" s="177"/>
      <c r="C543" s="177"/>
      <c r="D543" s="145"/>
      <c r="E543" s="145"/>
      <c r="F543" s="145"/>
      <c r="G543" s="145"/>
      <c r="H543" s="147"/>
      <c r="I543" s="107"/>
      <c r="J543" s="178"/>
      <c r="K543" s="107"/>
      <c r="L543" s="145"/>
      <c r="M543" s="145"/>
      <c r="N543" s="145"/>
      <c r="O543" s="145"/>
      <c r="P543" s="147"/>
      <c r="Q543" s="148"/>
      <c r="R543" s="437"/>
      <c r="S543" s="107"/>
      <c r="T543" s="437"/>
      <c r="U543" s="178"/>
      <c r="V543" s="107"/>
      <c r="W543" s="107"/>
      <c r="X543" s="470"/>
      <c r="Y543" s="470"/>
      <c r="Z543" s="471"/>
      <c r="AA543" s="471"/>
      <c r="AB543" s="410"/>
      <c r="AC543" s="350"/>
      <c r="AD543" s="350"/>
      <c r="AE543" s="350"/>
      <c r="AF543" s="350"/>
    </row>
    <row r="544" spans="1:33" s="457" customFormat="1" ht="18" customHeight="1" x14ac:dyDescent="0.2">
      <c r="A544" s="145"/>
      <c r="B544" s="177"/>
      <c r="C544" s="177"/>
      <c r="D544" s="145"/>
      <c r="E544" s="145"/>
      <c r="F544" s="145"/>
      <c r="G544" s="145"/>
      <c r="H544" s="147"/>
      <c r="I544" s="107"/>
      <c r="J544" s="178"/>
      <c r="K544" s="107"/>
      <c r="L544" s="145"/>
      <c r="M544" s="145"/>
      <c r="N544" s="145"/>
      <c r="O544" s="145"/>
      <c r="P544" s="147"/>
      <c r="Q544" s="148"/>
      <c r="R544" s="437"/>
      <c r="S544" s="107"/>
      <c r="T544" s="437"/>
      <c r="U544" s="178"/>
      <c r="V544" s="107"/>
      <c r="W544" s="107"/>
      <c r="X544" s="470"/>
      <c r="Y544" s="470"/>
      <c r="Z544" s="471"/>
      <c r="AA544" s="471"/>
      <c r="AB544" s="410"/>
      <c r="AC544" s="350"/>
      <c r="AD544" s="350"/>
      <c r="AE544" s="350"/>
      <c r="AF544" s="350"/>
    </row>
    <row r="545" spans="1:32" s="457" customFormat="1" ht="18" customHeight="1" x14ac:dyDescent="0.2">
      <c r="A545" s="145"/>
      <c r="B545" s="177"/>
      <c r="C545" s="177"/>
      <c r="D545" s="145"/>
      <c r="E545" s="145"/>
      <c r="F545" s="145"/>
      <c r="G545" s="145"/>
      <c r="H545" s="147"/>
      <c r="I545" s="107"/>
      <c r="J545" s="178"/>
      <c r="K545" s="107"/>
      <c r="L545" s="145"/>
      <c r="M545" s="145"/>
      <c r="N545" s="145"/>
      <c r="O545" s="145"/>
      <c r="P545" s="147"/>
      <c r="Q545" s="148"/>
      <c r="R545" s="437"/>
      <c r="S545" s="107"/>
      <c r="T545" s="437"/>
      <c r="U545" s="178"/>
      <c r="V545" s="107"/>
      <c r="W545" s="107"/>
      <c r="X545" s="470"/>
      <c r="Y545" s="470"/>
      <c r="Z545" s="471"/>
      <c r="AA545" s="471"/>
      <c r="AB545" s="410"/>
      <c r="AC545" s="350"/>
      <c r="AD545" s="350"/>
      <c r="AE545" s="350"/>
      <c r="AF545" s="350"/>
    </row>
    <row r="546" spans="1:32" s="457" customFormat="1" ht="18" customHeight="1" x14ac:dyDescent="0.2">
      <c r="A546" s="145"/>
      <c r="B546" s="177"/>
      <c r="C546" s="177"/>
      <c r="D546" s="145"/>
      <c r="E546" s="145"/>
      <c r="F546" s="145"/>
      <c r="G546" s="145"/>
      <c r="H546" s="147"/>
      <c r="I546" s="107"/>
      <c r="J546" s="178"/>
      <c r="K546" s="107"/>
      <c r="L546" s="145"/>
      <c r="M546" s="145"/>
      <c r="N546" s="145"/>
      <c r="O546" s="145"/>
      <c r="P546" s="147"/>
      <c r="Q546" s="148"/>
      <c r="R546" s="437"/>
      <c r="S546" s="107"/>
      <c r="T546" s="437"/>
      <c r="U546" s="178"/>
      <c r="V546" s="107"/>
      <c r="W546" s="107"/>
      <c r="X546" s="470"/>
      <c r="Y546" s="470"/>
      <c r="Z546" s="471"/>
      <c r="AA546" s="471"/>
      <c r="AB546" s="410"/>
      <c r="AC546" s="350"/>
      <c r="AD546" s="350"/>
      <c r="AE546" s="350"/>
      <c r="AF546" s="350"/>
    </row>
    <row r="547" spans="1:32" s="457" customFormat="1" ht="18" customHeight="1" x14ac:dyDescent="0.2">
      <c r="A547" s="145"/>
      <c r="B547" s="177"/>
      <c r="C547" s="177"/>
      <c r="D547" s="145"/>
      <c r="E547" s="145"/>
      <c r="F547" s="145"/>
      <c r="G547" s="145"/>
      <c r="H547" s="147"/>
      <c r="I547" s="107"/>
      <c r="J547" s="178"/>
      <c r="K547" s="107"/>
      <c r="L547" s="145"/>
      <c r="M547" s="145"/>
      <c r="N547" s="145"/>
      <c r="O547" s="145"/>
      <c r="P547" s="147"/>
      <c r="Q547" s="148"/>
      <c r="R547" s="437"/>
      <c r="S547" s="107"/>
      <c r="T547" s="437"/>
      <c r="U547" s="178"/>
      <c r="V547" s="107"/>
      <c r="W547" s="107"/>
      <c r="X547" s="470"/>
      <c r="Y547" s="470"/>
      <c r="Z547" s="471"/>
      <c r="AA547" s="471"/>
      <c r="AB547" s="410"/>
      <c r="AC547" s="350"/>
      <c r="AD547" s="350"/>
      <c r="AE547" s="350"/>
      <c r="AF547" s="350"/>
    </row>
    <row r="548" spans="1:32" s="457" customFormat="1" ht="18" customHeight="1" x14ac:dyDescent="0.2">
      <c r="A548" s="145"/>
      <c r="B548" s="177"/>
      <c r="C548" s="177"/>
      <c r="D548" s="145"/>
      <c r="E548" s="145"/>
      <c r="F548" s="145"/>
      <c r="G548" s="145"/>
      <c r="H548" s="147"/>
      <c r="I548" s="107"/>
      <c r="J548" s="178"/>
      <c r="K548" s="107"/>
      <c r="L548" s="145"/>
      <c r="M548" s="145"/>
      <c r="N548" s="145"/>
      <c r="O548" s="145"/>
      <c r="P548" s="147"/>
      <c r="Q548" s="148"/>
      <c r="R548" s="437"/>
      <c r="S548" s="107"/>
      <c r="T548" s="437"/>
      <c r="U548" s="178"/>
      <c r="V548" s="107"/>
      <c r="W548" s="107"/>
      <c r="X548" s="470"/>
      <c r="Y548" s="470"/>
      <c r="Z548" s="471"/>
      <c r="AA548" s="471"/>
      <c r="AB548" s="410"/>
      <c r="AC548" s="350"/>
      <c r="AD548" s="350"/>
      <c r="AE548" s="350"/>
      <c r="AF548" s="350"/>
    </row>
    <row r="549" spans="1:32" s="457" customFormat="1" ht="18" customHeight="1" x14ac:dyDescent="0.2">
      <c r="A549" s="145"/>
      <c r="B549" s="177"/>
      <c r="C549" s="177"/>
      <c r="D549" s="145"/>
      <c r="E549" s="145"/>
      <c r="F549" s="145"/>
      <c r="G549" s="145"/>
      <c r="H549" s="147"/>
      <c r="I549" s="107"/>
      <c r="J549" s="178"/>
      <c r="K549" s="107"/>
      <c r="L549" s="145"/>
      <c r="M549" s="145"/>
      <c r="N549" s="145"/>
      <c r="O549" s="145"/>
      <c r="P549" s="147"/>
      <c r="Q549" s="148"/>
      <c r="R549" s="437"/>
      <c r="S549" s="107"/>
      <c r="T549" s="437"/>
      <c r="U549" s="178"/>
      <c r="V549" s="107"/>
      <c r="W549" s="107"/>
      <c r="X549" s="470"/>
      <c r="Y549" s="470"/>
      <c r="Z549" s="471"/>
      <c r="AA549" s="471"/>
      <c r="AB549" s="410"/>
      <c r="AC549" s="350"/>
      <c r="AD549" s="350"/>
      <c r="AE549" s="350"/>
      <c r="AF549" s="350"/>
    </row>
    <row r="550" spans="1:32" s="457" customFormat="1" ht="18" customHeight="1" x14ac:dyDescent="0.2">
      <c r="A550" s="145"/>
      <c r="B550" s="177"/>
      <c r="C550" s="177"/>
      <c r="D550" s="145"/>
      <c r="E550" s="145"/>
      <c r="F550" s="145"/>
      <c r="G550" s="145"/>
      <c r="H550" s="147"/>
      <c r="I550" s="107"/>
      <c r="J550" s="178"/>
      <c r="K550" s="107"/>
      <c r="L550" s="145"/>
      <c r="M550" s="145"/>
      <c r="N550" s="145"/>
      <c r="O550" s="145"/>
      <c r="P550" s="147"/>
      <c r="Q550" s="148"/>
      <c r="R550" s="437"/>
      <c r="S550" s="107"/>
      <c r="T550" s="437"/>
      <c r="U550" s="178"/>
      <c r="V550" s="107"/>
      <c r="W550" s="107"/>
      <c r="X550" s="470"/>
      <c r="Y550" s="470"/>
      <c r="Z550" s="471"/>
      <c r="AA550" s="471"/>
      <c r="AB550" s="410"/>
      <c r="AC550" s="350"/>
      <c r="AD550" s="350"/>
      <c r="AE550" s="350"/>
      <c r="AF550" s="350"/>
    </row>
    <row r="551" spans="1:32" s="457" customFormat="1" ht="18" customHeight="1" x14ac:dyDescent="0.2">
      <c r="A551" s="145"/>
      <c r="B551" s="177"/>
      <c r="C551" s="177"/>
      <c r="D551" s="145"/>
      <c r="E551" s="145"/>
      <c r="F551" s="145"/>
      <c r="G551" s="145"/>
      <c r="H551" s="147"/>
      <c r="I551" s="107"/>
      <c r="J551" s="178"/>
      <c r="K551" s="107"/>
      <c r="L551" s="145"/>
      <c r="M551" s="145"/>
      <c r="N551" s="145"/>
      <c r="O551" s="145"/>
      <c r="P551" s="147"/>
      <c r="Q551" s="148"/>
      <c r="R551" s="437"/>
      <c r="S551" s="107"/>
      <c r="T551" s="437"/>
      <c r="U551" s="178"/>
      <c r="V551" s="107"/>
      <c r="W551" s="107"/>
      <c r="X551" s="470"/>
      <c r="Y551" s="470"/>
      <c r="Z551" s="471"/>
      <c r="AA551" s="471"/>
      <c r="AB551" s="410"/>
      <c r="AC551" s="350"/>
      <c r="AD551" s="350"/>
      <c r="AE551" s="350"/>
      <c r="AF551" s="350"/>
    </row>
    <row r="552" spans="1:32" s="457" customFormat="1" ht="18" customHeight="1" x14ac:dyDescent="0.2">
      <c r="A552" s="145"/>
      <c r="B552" s="177"/>
      <c r="C552" s="177"/>
      <c r="D552" s="145"/>
      <c r="E552" s="145"/>
      <c r="F552" s="145"/>
      <c r="G552" s="145"/>
      <c r="H552" s="147"/>
      <c r="I552" s="107"/>
      <c r="J552" s="178"/>
      <c r="K552" s="107"/>
      <c r="L552" s="145"/>
      <c r="M552" s="145"/>
      <c r="N552" s="145"/>
      <c r="O552" s="145"/>
      <c r="P552" s="147"/>
      <c r="Q552" s="148"/>
      <c r="R552" s="437"/>
      <c r="S552" s="107"/>
      <c r="T552" s="437"/>
      <c r="U552" s="178"/>
      <c r="V552" s="107"/>
      <c r="W552" s="107"/>
      <c r="X552" s="470"/>
      <c r="Y552" s="470"/>
      <c r="Z552" s="471"/>
      <c r="AA552" s="471"/>
      <c r="AB552" s="410"/>
      <c r="AC552" s="350"/>
      <c r="AD552" s="350"/>
      <c r="AE552" s="350"/>
      <c r="AF552" s="350"/>
    </row>
    <row r="553" spans="1:32" s="457" customFormat="1" ht="18" customHeight="1" x14ac:dyDescent="0.2">
      <c r="A553" s="145"/>
      <c r="B553" s="177"/>
      <c r="C553" s="177"/>
      <c r="D553" s="145"/>
      <c r="E553" s="145"/>
      <c r="F553" s="145"/>
      <c r="G553" s="145"/>
      <c r="H553" s="147"/>
      <c r="I553" s="107"/>
      <c r="J553" s="178"/>
      <c r="K553" s="107"/>
      <c r="L553" s="145"/>
      <c r="M553" s="145"/>
      <c r="N553" s="145"/>
      <c r="O553" s="145"/>
      <c r="P553" s="147"/>
      <c r="Q553" s="148"/>
      <c r="R553" s="437"/>
      <c r="S553" s="107"/>
      <c r="T553" s="437"/>
      <c r="U553" s="178"/>
      <c r="V553" s="107"/>
      <c r="W553" s="107"/>
      <c r="X553" s="470"/>
      <c r="Y553" s="470"/>
      <c r="Z553" s="471"/>
      <c r="AA553" s="471"/>
      <c r="AB553" s="410"/>
      <c r="AC553" s="350"/>
      <c r="AD553" s="350"/>
      <c r="AE553" s="350"/>
      <c r="AF553" s="350"/>
    </row>
    <row r="554" spans="1:32" s="457" customFormat="1" ht="18" customHeight="1" x14ac:dyDescent="0.2">
      <c r="A554" s="145"/>
      <c r="B554" s="177"/>
      <c r="C554" s="177"/>
      <c r="D554" s="145"/>
      <c r="E554" s="145"/>
      <c r="F554" s="145"/>
      <c r="G554" s="145"/>
      <c r="H554" s="147"/>
      <c r="I554" s="107"/>
      <c r="J554" s="178"/>
      <c r="K554" s="107"/>
      <c r="L554" s="145"/>
      <c r="M554" s="145"/>
      <c r="N554" s="145"/>
      <c r="O554" s="145"/>
      <c r="P554" s="147"/>
      <c r="Q554" s="148"/>
      <c r="R554" s="437"/>
      <c r="S554" s="107"/>
      <c r="T554" s="437"/>
      <c r="U554" s="178"/>
      <c r="V554" s="107"/>
      <c r="W554" s="107"/>
      <c r="X554" s="470"/>
      <c r="Y554" s="470"/>
      <c r="Z554" s="471"/>
      <c r="AA554" s="471"/>
      <c r="AB554" s="410"/>
      <c r="AC554" s="350"/>
      <c r="AD554" s="350"/>
      <c r="AE554" s="350"/>
      <c r="AF554" s="350"/>
    </row>
    <row r="555" spans="1:32" s="457" customFormat="1" ht="18" customHeight="1" x14ac:dyDescent="0.2">
      <c r="A555" s="88"/>
      <c r="B555" s="180"/>
      <c r="C555" s="180"/>
      <c r="D555" s="88"/>
      <c r="E555" s="88"/>
      <c r="F555" s="88"/>
      <c r="G555" s="88"/>
      <c r="H555" s="120"/>
      <c r="I555" s="121"/>
      <c r="J555" s="181"/>
      <c r="K555" s="121"/>
      <c r="L555" s="88"/>
      <c r="M555" s="88"/>
      <c r="N555" s="88"/>
      <c r="O555" s="88"/>
      <c r="P555" s="88"/>
      <c r="Q555" s="129"/>
      <c r="R555" s="445"/>
      <c r="S555" s="121"/>
      <c r="T555" s="445"/>
      <c r="U555" s="181"/>
      <c r="V555" s="121"/>
      <c r="W555" s="121"/>
      <c r="X555" s="472"/>
      <c r="Y555" s="472"/>
      <c r="Z555" s="473"/>
      <c r="AA555" s="473"/>
      <c r="AB555" s="410"/>
      <c r="AC555" s="351"/>
      <c r="AD555" s="351"/>
      <c r="AE555" s="351"/>
      <c r="AF555" s="351"/>
    </row>
    <row r="556" spans="1:32" s="597" customFormat="1" ht="18" customHeight="1" x14ac:dyDescent="0.2">
      <c r="A556" s="1850"/>
      <c r="B556" s="1850"/>
      <c r="C556" s="1850"/>
      <c r="D556" s="1850"/>
      <c r="E556" s="1850"/>
      <c r="F556" s="1850"/>
      <c r="G556" s="1850"/>
      <c r="H556" s="1851"/>
      <c r="I556" s="1852"/>
      <c r="J556" s="1853"/>
      <c r="K556" s="1852"/>
      <c r="L556" s="1852"/>
      <c r="M556" s="1852"/>
      <c r="N556" s="1852"/>
      <c r="O556" s="1852"/>
      <c r="P556" s="1852"/>
      <c r="Q556" s="1852"/>
      <c r="R556" s="1854"/>
      <c r="S556" s="1852"/>
      <c r="T556" s="1854"/>
      <c r="U556" s="1853"/>
      <c r="V556" s="1852"/>
      <c r="W556" s="1852"/>
      <c r="X556" s="1856"/>
      <c r="Y556" s="1856"/>
      <c r="Z556" s="1857"/>
      <c r="AA556" s="1857"/>
      <c r="AB556" s="1849">
        <f>SUM(AB538:AB555)</f>
        <v>2044.8</v>
      </c>
      <c r="AC556" s="1861"/>
      <c r="AD556" s="1861"/>
      <c r="AE556" s="1861"/>
      <c r="AF556" s="1861"/>
    </row>
    <row r="557" spans="1:32" s="457" customFormat="1" ht="18" customHeight="1" x14ac:dyDescent="0.2">
      <c r="A557" s="2737" t="s">
        <v>76</v>
      </c>
      <c r="B557" s="2737"/>
      <c r="C557" s="2738" t="s">
        <v>77</v>
      </c>
      <c r="D557" s="2738"/>
      <c r="E557" s="2738"/>
      <c r="F557" s="2738"/>
      <c r="G557" s="2738"/>
      <c r="H557" s="2738"/>
      <c r="I557" s="457" t="s">
        <v>78</v>
      </c>
      <c r="T557" s="651"/>
      <c r="U557" s="478"/>
      <c r="AB557" s="478"/>
    </row>
    <row r="558" spans="1:32" s="457" customFormat="1" ht="18" customHeight="1" x14ac:dyDescent="0.2">
      <c r="A558" s="448"/>
      <c r="B558" s="479"/>
      <c r="I558" s="457" t="s">
        <v>79</v>
      </c>
      <c r="T558" s="651"/>
      <c r="U558" s="478"/>
      <c r="AB558" s="478"/>
    </row>
    <row r="559" spans="1:32" s="457" customFormat="1" ht="18" customHeight="1" x14ac:dyDescent="0.2">
      <c r="A559" s="448"/>
      <c r="B559" s="479"/>
      <c r="I559" s="457" t="s">
        <v>80</v>
      </c>
      <c r="T559" s="651"/>
      <c r="U559" s="478"/>
      <c r="AB559" s="478"/>
    </row>
    <row r="560" spans="1:32" s="457" customFormat="1" ht="18" customHeight="1" x14ac:dyDescent="0.2">
      <c r="A560" s="448"/>
      <c r="B560" s="479"/>
      <c r="I560" s="457" t="s">
        <v>81</v>
      </c>
      <c r="T560" s="651"/>
      <c r="U560" s="478"/>
      <c r="AB560" s="478"/>
    </row>
    <row r="561" spans="1:33" s="457" customFormat="1" ht="18" customHeight="1" x14ac:dyDescent="0.2">
      <c r="A561" s="448"/>
      <c r="B561" s="479"/>
      <c r="I561" s="457" t="s">
        <v>88</v>
      </c>
      <c r="T561" s="651"/>
      <c r="U561" s="478"/>
      <c r="AB561" s="478"/>
    </row>
    <row r="562" spans="1:33" s="457" customFormat="1" ht="18" customHeight="1" x14ac:dyDescent="0.2">
      <c r="A562" s="456"/>
      <c r="B562" s="455"/>
      <c r="C562" s="455"/>
      <c r="D562" s="455"/>
      <c r="E562" s="455"/>
      <c r="F562" s="455"/>
      <c r="G562" s="455"/>
      <c r="H562" s="455"/>
      <c r="I562" s="455"/>
      <c r="J562" s="455"/>
      <c r="K562" s="455"/>
      <c r="L562" s="455"/>
      <c r="M562" s="455"/>
      <c r="N562" s="455"/>
      <c r="O562" s="455"/>
      <c r="P562" s="455"/>
      <c r="Q562" s="455"/>
      <c r="R562" s="455"/>
      <c r="S562" s="455"/>
      <c r="T562" s="608"/>
      <c r="U562" s="609"/>
      <c r="V562" s="455"/>
      <c r="W562" s="455"/>
      <c r="X562" s="455"/>
      <c r="Y562" s="455"/>
      <c r="Z562" s="455"/>
      <c r="AA562" s="2705" t="s">
        <v>0</v>
      </c>
      <c r="AB562" s="2705"/>
      <c r="AC562" s="610"/>
      <c r="AD562" s="610"/>
      <c r="AE562" s="610"/>
      <c r="AF562" s="610"/>
    </row>
    <row r="563" spans="1:33" s="457" customFormat="1" ht="18" customHeight="1" x14ac:dyDescent="0.2">
      <c r="A563" s="2706" t="s">
        <v>1</v>
      </c>
      <c r="B563" s="2706"/>
      <c r="C563" s="2706"/>
      <c r="D563" s="2706"/>
      <c r="E563" s="2706"/>
      <c r="F563" s="2706"/>
      <c r="G563" s="2706"/>
      <c r="H563" s="2706"/>
      <c r="I563" s="2706"/>
      <c r="J563" s="2706"/>
      <c r="K563" s="2706"/>
      <c r="L563" s="2706"/>
      <c r="M563" s="2706"/>
      <c r="N563" s="2706"/>
      <c r="O563" s="2706"/>
      <c r="P563" s="2706"/>
      <c r="Q563" s="2706"/>
      <c r="R563" s="2706"/>
      <c r="S563" s="2706"/>
      <c r="T563" s="2706"/>
      <c r="U563" s="2706"/>
      <c r="V563" s="2706"/>
      <c r="W563" s="2706"/>
      <c r="X563" s="2706"/>
      <c r="Y563" s="2706"/>
      <c r="Z563" s="2706"/>
      <c r="AA563" s="2706"/>
      <c r="AB563" s="2706"/>
      <c r="AC563" s="610"/>
      <c r="AD563" s="610"/>
      <c r="AE563" s="610"/>
      <c r="AF563" s="610"/>
    </row>
    <row r="564" spans="1:33" s="457" customFormat="1" ht="18" customHeight="1" x14ac:dyDescent="0.2">
      <c r="A564" s="2704" t="s">
        <v>441</v>
      </c>
      <c r="B564" s="2704"/>
      <c r="C564" s="2704"/>
      <c r="D564" s="2704"/>
      <c r="E564" s="2704"/>
      <c r="F564" s="2704"/>
      <c r="G564" s="2704"/>
      <c r="H564" s="2704"/>
      <c r="I564" s="2704"/>
      <c r="J564" s="2704"/>
      <c r="K564" s="2704"/>
      <c r="L564" s="2704"/>
      <c r="M564" s="2704"/>
      <c r="N564" s="2704"/>
      <c r="O564" s="2704"/>
      <c r="P564" s="2704"/>
      <c r="Q564" s="2704"/>
      <c r="R564" s="2704"/>
      <c r="S564" s="2704"/>
      <c r="T564" s="2704"/>
      <c r="U564" s="2704"/>
      <c r="V564" s="2704"/>
      <c r="W564" s="2704"/>
      <c r="X564" s="2704"/>
      <c r="Y564" s="2704"/>
      <c r="Z564" s="2704"/>
      <c r="AA564" s="2704"/>
      <c r="AB564" s="2704"/>
      <c r="AC564" s="611"/>
      <c r="AD564" s="611"/>
      <c r="AE564" s="611"/>
      <c r="AF564" s="611"/>
    </row>
    <row r="565" spans="1:33" s="457" customFormat="1" ht="18" customHeight="1" x14ac:dyDescent="0.2">
      <c r="A565" s="2686" t="s">
        <v>2</v>
      </c>
      <c r="B565" s="360"/>
      <c r="C565" s="2686" t="s">
        <v>3</v>
      </c>
      <c r="D565" s="360"/>
      <c r="E565" s="360"/>
      <c r="F565" s="2693" t="s">
        <v>4</v>
      </c>
      <c r="G565" s="2693"/>
      <c r="H565" s="2693"/>
      <c r="I565" s="2694"/>
      <c r="J565" s="2694"/>
      <c r="K565" s="2695"/>
      <c r="L565" s="361"/>
      <c r="M565" s="2679" t="s">
        <v>5</v>
      </c>
      <c r="N565" s="2679"/>
      <c r="O565" s="2679"/>
      <c r="P565" s="2679"/>
      <c r="Q565" s="2696"/>
      <c r="R565" s="2696"/>
      <c r="S565" s="2696"/>
      <c r="T565" s="2696"/>
      <c r="U565" s="2696"/>
      <c r="V565" s="2697"/>
      <c r="W565" s="362" t="s">
        <v>6</v>
      </c>
      <c r="X565" s="363" t="s">
        <v>7</v>
      </c>
      <c r="Y565" s="364"/>
      <c r="Z565" s="364"/>
      <c r="AA565" s="363"/>
      <c r="AB565" s="458"/>
      <c r="AC565" s="612" t="s">
        <v>8</v>
      </c>
      <c r="AD565" s="613"/>
      <c r="AE565" s="613"/>
      <c r="AF565" s="614"/>
    </row>
    <row r="566" spans="1:33" s="457" customFormat="1" ht="18" customHeight="1" x14ac:dyDescent="0.2">
      <c r="A566" s="2687"/>
      <c r="B566" s="367"/>
      <c r="C566" s="2687"/>
      <c r="D566" s="366" t="s">
        <v>9</v>
      </c>
      <c r="E566" s="366" t="s">
        <v>10</v>
      </c>
      <c r="F566" s="2698" t="s">
        <v>11</v>
      </c>
      <c r="G566" s="2694"/>
      <c r="H566" s="2695"/>
      <c r="I566" s="360"/>
      <c r="J566" s="449" t="s">
        <v>12</v>
      </c>
      <c r="K566" s="360"/>
      <c r="L566" s="2679" t="s">
        <v>2</v>
      </c>
      <c r="M566" s="370"/>
      <c r="N566" s="370"/>
      <c r="O566" s="370"/>
      <c r="P566" s="371"/>
      <c r="Q566" s="459" t="s">
        <v>13</v>
      </c>
      <c r="R566" s="370" t="s">
        <v>12</v>
      </c>
      <c r="S566" s="370" t="s">
        <v>6</v>
      </c>
      <c r="T566" s="2682" t="s">
        <v>14</v>
      </c>
      <c r="U566" s="2683"/>
      <c r="V566" s="375" t="s">
        <v>7</v>
      </c>
      <c r="W566" s="376" t="s">
        <v>15</v>
      </c>
      <c r="X566" s="377" t="s">
        <v>16</v>
      </c>
      <c r="Y566" s="377" t="s">
        <v>17</v>
      </c>
      <c r="Z566" s="377" t="s">
        <v>18</v>
      </c>
      <c r="AA566" s="377"/>
      <c r="AB566" s="460" t="s">
        <v>19</v>
      </c>
      <c r="AC566" s="615" t="s">
        <v>20</v>
      </c>
      <c r="AD566" s="616"/>
      <c r="AE566" s="617" t="s">
        <v>21</v>
      </c>
      <c r="AF566" s="618" t="s">
        <v>22</v>
      </c>
    </row>
    <row r="567" spans="1:33" s="457" customFormat="1" ht="18" customHeight="1" x14ac:dyDescent="0.2">
      <c r="A567" s="2687"/>
      <c r="B567" s="366" t="s">
        <v>23</v>
      </c>
      <c r="C567" s="2687"/>
      <c r="D567" s="366" t="s">
        <v>24</v>
      </c>
      <c r="E567" s="366" t="s">
        <v>25</v>
      </c>
      <c r="F567" s="2699"/>
      <c r="G567" s="2700"/>
      <c r="H567" s="2701"/>
      <c r="I567" s="366" t="s">
        <v>26</v>
      </c>
      <c r="J567" s="380" t="s">
        <v>15</v>
      </c>
      <c r="K567" s="380" t="s">
        <v>6</v>
      </c>
      <c r="L567" s="2680"/>
      <c r="M567" s="381" t="s">
        <v>27</v>
      </c>
      <c r="N567" s="381" t="s">
        <v>10</v>
      </c>
      <c r="O567" s="381" t="s">
        <v>10</v>
      </c>
      <c r="P567" s="385" t="s">
        <v>28</v>
      </c>
      <c r="Q567" s="461" t="s">
        <v>29</v>
      </c>
      <c r="R567" s="385" t="s">
        <v>15</v>
      </c>
      <c r="S567" s="385" t="s">
        <v>15</v>
      </c>
      <c r="T567" s="2684"/>
      <c r="U567" s="2685"/>
      <c r="V567" s="375" t="s">
        <v>30</v>
      </c>
      <c r="W567" s="376" t="s">
        <v>31</v>
      </c>
      <c r="X567" s="377" t="s">
        <v>30</v>
      </c>
      <c r="Y567" s="377" t="s">
        <v>32</v>
      </c>
      <c r="Z567" s="377" t="s">
        <v>7</v>
      </c>
      <c r="AA567" s="377" t="s">
        <v>33</v>
      </c>
      <c r="AB567" s="460" t="s">
        <v>34</v>
      </c>
      <c r="AC567" s="615" t="s">
        <v>35</v>
      </c>
      <c r="AD567" s="617" t="s">
        <v>36</v>
      </c>
      <c r="AE567" s="617" t="s">
        <v>37</v>
      </c>
      <c r="AF567" s="618" t="s">
        <v>38</v>
      </c>
    </row>
    <row r="568" spans="1:33" s="457" customFormat="1" ht="18" customHeight="1" x14ac:dyDescent="0.2">
      <c r="A568" s="2687"/>
      <c r="B568" s="366" t="s">
        <v>39</v>
      </c>
      <c r="C568" s="2687"/>
      <c r="D568" s="366" t="s">
        <v>40</v>
      </c>
      <c r="E568" s="366" t="s">
        <v>41</v>
      </c>
      <c r="F568" s="2686" t="s">
        <v>42</v>
      </c>
      <c r="G568" s="2686" t="s">
        <v>43</v>
      </c>
      <c r="H568" s="2688" t="s">
        <v>44</v>
      </c>
      <c r="I568" s="366" t="s">
        <v>45</v>
      </c>
      <c r="J568" s="380" t="s">
        <v>46</v>
      </c>
      <c r="K568" s="380" t="s">
        <v>47</v>
      </c>
      <c r="L568" s="2680"/>
      <c r="M568" s="381" t="s">
        <v>30</v>
      </c>
      <c r="N568" s="381" t="s">
        <v>30</v>
      </c>
      <c r="O568" s="381" t="s">
        <v>25</v>
      </c>
      <c r="P568" s="385" t="s">
        <v>30</v>
      </c>
      <c r="Q568" s="461" t="s">
        <v>48</v>
      </c>
      <c r="R568" s="385" t="s">
        <v>49</v>
      </c>
      <c r="S568" s="385" t="s">
        <v>30</v>
      </c>
      <c r="T568" s="619" t="s">
        <v>50</v>
      </c>
      <c r="U568" s="620" t="s">
        <v>13</v>
      </c>
      <c r="V568" s="375" t="s">
        <v>51</v>
      </c>
      <c r="W568" s="376" t="s">
        <v>52</v>
      </c>
      <c r="X568" s="377" t="s">
        <v>53</v>
      </c>
      <c r="Y568" s="377" t="s">
        <v>54</v>
      </c>
      <c r="Z568" s="377" t="s">
        <v>55</v>
      </c>
      <c r="AA568" s="377" t="s">
        <v>56</v>
      </c>
      <c r="AB568" s="460" t="s">
        <v>57</v>
      </c>
      <c r="AC568" s="617" t="s">
        <v>58</v>
      </c>
      <c r="AD568" s="617" t="s">
        <v>59</v>
      </c>
      <c r="AE568" s="617" t="s">
        <v>59</v>
      </c>
      <c r="AF568" s="618" t="s">
        <v>60</v>
      </c>
    </row>
    <row r="569" spans="1:33" s="457" customFormat="1" ht="18" customHeight="1" x14ac:dyDescent="0.2">
      <c r="A569" s="2687"/>
      <c r="B569" s="366" t="s">
        <v>61</v>
      </c>
      <c r="C569" s="2687"/>
      <c r="D569" s="366" t="s">
        <v>62</v>
      </c>
      <c r="E569" s="366" t="s">
        <v>63</v>
      </c>
      <c r="F569" s="2687"/>
      <c r="G569" s="2687"/>
      <c r="H569" s="2689"/>
      <c r="I569" s="366" t="s">
        <v>64</v>
      </c>
      <c r="J569" s="380" t="s">
        <v>59</v>
      </c>
      <c r="K569" s="380" t="s">
        <v>59</v>
      </c>
      <c r="L569" s="2680"/>
      <c r="M569" s="381"/>
      <c r="N569" s="381"/>
      <c r="O569" s="381" t="s">
        <v>41</v>
      </c>
      <c r="P569" s="385" t="s">
        <v>65</v>
      </c>
      <c r="Q569" s="461" t="s">
        <v>66</v>
      </c>
      <c r="R569" s="385" t="s">
        <v>67</v>
      </c>
      <c r="S569" s="385" t="s">
        <v>59</v>
      </c>
      <c r="T569" s="621" t="s">
        <v>68</v>
      </c>
      <c r="U569" s="622" t="s">
        <v>14</v>
      </c>
      <c r="V569" s="375" t="s">
        <v>14</v>
      </c>
      <c r="W569" s="376" t="s">
        <v>30</v>
      </c>
      <c r="X569" s="388" t="s">
        <v>69</v>
      </c>
      <c r="Y569" s="388" t="s">
        <v>70</v>
      </c>
      <c r="Z569" s="377" t="s">
        <v>71</v>
      </c>
      <c r="AA569" s="377" t="s">
        <v>72</v>
      </c>
      <c r="AB569" s="460" t="s">
        <v>59</v>
      </c>
      <c r="AC569" s="617" t="s">
        <v>59</v>
      </c>
      <c r="AD569" s="617"/>
      <c r="AE569" s="617"/>
      <c r="AF569" s="618" t="s">
        <v>59</v>
      </c>
    </row>
    <row r="570" spans="1:33" s="457" customFormat="1" ht="18" customHeight="1" x14ac:dyDescent="0.2">
      <c r="A570" s="2692"/>
      <c r="B570" s="390"/>
      <c r="C570" s="2692"/>
      <c r="D570" s="390"/>
      <c r="E570" s="389"/>
      <c r="F570" s="390"/>
      <c r="G570" s="390"/>
      <c r="H570" s="391"/>
      <c r="I570" s="389"/>
      <c r="J570" s="393"/>
      <c r="K570" s="393"/>
      <c r="L570" s="2681"/>
      <c r="M570" s="394"/>
      <c r="N570" s="394"/>
      <c r="O570" s="394" t="s">
        <v>63</v>
      </c>
      <c r="P570" s="394"/>
      <c r="Q570" s="450" t="s">
        <v>72</v>
      </c>
      <c r="R570" s="398" t="s">
        <v>59</v>
      </c>
      <c r="S570" s="398"/>
      <c r="T570" s="623" t="s">
        <v>73</v>
      </c>
      <c r="U570" s="624" t="s">
        <v>59</v>
      </c>
      <c r="V570" s="399" t="s">
        <v>59</v>
      </c>
      <c r="W570" s="400" t="s">
        <v>59</v>
      </c>
      <c r="X570" s="401" t="s">
        <v>59</v>
      </c>
      <c r="Y570" s="401" t="s">
        <v>59</v>
      </c>
      <c r="Z570" s="401" t="s">
        <v>59</v>
      </c>
      <c r="AA570" s="402"/>
      <c r="AB570" s="462"/>
      <c r="AC570" s="625"/>
      <c r="AD570" s="625"/>
      <c r="AE570" s="625"/>
      <c r="AF570" s="626"/>
    </row>
    <row r="571" spans="1:33" s="457" customFormat="1" ht="18" customHeight="1" x14ac:dyDescent="0.2">
      <c r="A571" s="53">
        <v>1</v>
      </c>
      <c r="B571" s="95">
        <v>34966</v>
      </c>
      <c r="C571" s="82">
        <v>1031</v>
      </c>
      <c r="D571" s="82" t="s">
        <v>139</v>
      </c>
      <c r="E571" s="82">
        <v>4</v>
      </c>
      <c r="F571" s="82">
        <v>0</v>
      </c>
      <c r="G571" s="82">
        <v>2</v>
      </c>
      <c r="H571" s="463">
        <v>21</v>
      </c>
      <c r="I571" s="70">
        <f>F571*400+G571*100+H571</f>
        <v>221</v>
      </c>
      <c r="J571" s="123">
        <v>1600</v>
      </c>
      <c r="K571" s="124">
        <f>+I571*J571</f>
        <v>353600</v>
      </c>
      <c r="L571" s="82"/>
      <c r="M571" s="82"/>
      <c r="N571" s="82"/>
      <c r="O571" s="82"/>
      <c r="P571" s="82"/>
      <c r="Q571" s="770"/>
      <c r="R571" s="771"/>
      <c r="S571" s="67"/>
      <c r="T571" s="443"/>
      <c r="U571" s="67"/>
      <c r="V571" s="67"/>
      <c r="W571" s="67">
        <f>K571+V571+K572+K573</f>
        <v>353600</v>
      </c>
      <c r="X571" s="67">
        <f>W571</f>
        <v>353600</v>
      </c>
      <c r="Y571" s="67"/>
      <c r="Z571" s="67">
        <f>+X571</f>
        <v>353600</v>
      </c>
      <c r="AA571" s="464">
        <v>0.6</v>
      </c>
      <c r="AB571" s="465">
        <f>+Z571*AA571/100</f>
        <v>2121.6</v>
      </c>
      <c r="AC571" s="602"/>
      <c r="AD571" s="603" t="e">
        <f>#REF!-AC571</f>
        <v>#REF!</v>
      </c>
      <c r="AE571" s="603" t="e">
        <f>IF(AD571&lt;=0,0,AD571*25/100)</f>
        <v>#REF!</v>
      </c>
      <c r="AF571" s="603" t="e">
        <f>IF(AC571+AE571&gt;#REF!,#REF!,AC571+AE571)</f>
        <v>#REF!</v>
      </c>
      <c r="AG571" s="1750" t="s">
        <v>387</v>
      </c>
    </row>
    <row r="572" spans="1:33" s="457" customFormat="1" ht="18" customHeight="1" x14ac:dyDescent="0.2">
      <c r="A572" s="75"/>
      <c r="B572" s="88"/>
      <c r="C572" s="88"/>
      <c r="D572" s="88"/>
      <c r="E572" s="88"/>
      <c r="F572" s="88"/>
      <c r="G572" s="88"/>
      <c r="H572" s="495"/>
      <c r="I572" s="74"/>
      <c r="J572" s="121"/>
      <c r="K572" s="159"/>
      <c r="L572" s="72"/>
      <c r="M572" s="72"/>
      <c r="N572" s="72"/>
      <c r="O572" s="72"/>
      <c r="P572" s="72"/>
      <c r="Q572" s="1024"/>
      <c r="R572" s="446"/>
      <c r="S572" s="73"/>
      <c r="T572" s="446"/>
      <c r="U572" s="73"/>
      <c r="V572" s="73"/>
      <c r="W572" s="73"/>
      <c r="X572" s="73"/>
      <c r="Y572" s="73"/>
      <c r="Z572" s="73"/>
      <c r="AA572" s="1026"/>
      <c r="AB572" s="466"/>
      <c r="AC572" s="602"/>
      <c r="AD572" s="603"/>
      <c r="AE572" s="603"/>
      <c r="AF572" s="603"/>
    </row>
    <row r="573" spans="1:33" s="457" customFormat="1" ht="18" customHeight="1" x14ac:dyDescent="0.2">
      <c r="A573" s="88"/>
      <c r="B573" s="174"/>
      <c r="C573" s="174"/>
      <c r="D573" s="88"/>
      <c r="E573" s="88"/>
      <c r="F573" s="418"/>
      <c r="G573" s="75"/>
      <c r="H573" s="188"/>
      <c r="I573" s="74"/>
      <c r="J573" s="694"/>
      <c r="K573" s="159"/>
      <c r="L573" s="88"/>
      <c r="M573" s="121"/>
      <c r="N573" s="121"/>
      <c r="O573" s="121"/>
      <c r="P573" s="121"/>
      <c r="Q573" s="129"/>
      <c r="R573" s="121"/>
      <c r="S573" s="121"/>
      <c r="T573" s="440"/>
      <c r="U573" s="121"/>
      <c r="V573" s="121"/>
      <c r="W573" s="121"/>
      <c r="X573" s="472"/>
      <c r="Y573" s="472"/>
      <c r="Z573" s="473"/>
      <c r="AA573" s="193"/>
      <c r="AB573" s="410"/>
      <c r="AC573" s="603"/>
      <c r="AD573" s="603"/>
      <c r="AE573" s="603"/>
      <c r="AF573" s="603"/>
    </row>
    <row r="574" spans="1:33" s="457" customFormat="1" ht="18" customHeight="1" x14ac:dyDescent="0.2">
      <c r="A574" s="145"/>
      <c r="B574" s="177"/>
      <c r="C574" s="177"/>
      <c r="D574" s="145"/>
      <c r="E574" s="145"/>
      <c r="F574" s="145"/>
      <c r="G574" s="145"/>
      <c r="H574" s="147"/>
      <c r="I574" s="107"/>
      <c r="J574" s="178"/>
      <c r="K574" s="107"/>
      <c r="L574" s="145"/>
      <c r="M574" s="145"/>
      <c r="N574" s="145"/>
      <c r="O574" s="145"/>
      <c r="P574" s="147"/>
      <c r="Q574" s="148"/>
      <c r="R574" s="437"/>
      <c r="S574" s="107"/>
      <c r="T574" s="437"/>
      <c r="U574" s="178"/>
      <c r="V574" s="107"/>
      <c r="W574" s="107"/>
      <c r="X574" s="470"/>
      <c r="Y574" s="470"/>
      <c r="Z574" s="471"/>
      <c r="AA574" s="471"/>
      <c r="AB574" s="466"/>
      <c r="AC574" s="732"/>
      <c r="AD574" s="603"/>
      <c r="AE574" s="603"/>
      <c r="AF574" s="603"/>
    </row>
    <row r="575" spans="1:33" s="457" customFormat="1" ht="18" customHeight="1" x14ac:dyDescent="0.2">
      <c r="A575" s="145"/>
      <c r="B575" s="177"/>
      <c r="C575" s="177"/>
      <c r="D575" s="145"/>
      <c r="E575" s="145"/>
      <c r="F575" s="145"/>
      <c r="G575" s="145"/>
      <c r="H575" s="147"/>
      <c r="I575" s="107"/>
      <c r="J575" s="178"/>
      <c r="K575" s="107"/>
      <c r="L575" s="145"/>
      <c r="M575" s="145"/>
      <c r="N575" s="145"/>
      <c r="O575" s="145"/>
      <c r="P575" s="147"/>
      <c r="Q575" s="148"/>
      <c r="R575" s="437"/>
      <c r="S575" s="107"/>
      <c r="T575" s="437"/>
      <c r="U575" s="178"/>
      <c r="V575" s="107"/>
      <c r="W575" s="107"/>
      <c r="X575" s="470"/>
      <c r="Y575" s="470"/>
      <c r="Z575" s="471"/>
      <c r="AA575" s="471"/>
      <c r="AB575" s="466"/>
      <c r="AC575" s="603"/>
      <c r="AD575" s="603"/>
      <c r="AE575" s="603"/>
      <c r="AF575" s="603"/>
    </row>
    <row r="576" spans="1:33" s="457" customFormat="1" ht="18" customHeight="1" x14ac:dyDescent="0.2">
      <c r="A576" s="145"/>
      <c r="B576" s="177"/>
      <c r="C576" s="177"/>
      <c r="D576" s="145"/>
      <c r="E576" s="145"/>
      <c r="F576" s="145"/>
      <c r="G576" s="145"/>
      <c r="H576" s="147"/>
      <c r="I576" s="107"/>
      <c r="J576" s="178"/>
      <c r="K576" s="107"/>
      <c r="L576" s="145"/>
      <c r="M576" s="145"/>
      <c r="N576" s="145"/>
      <c r="O576" s="145"/>
      <c r="P576" s="147"/>
      <c r="Q576" s="148"/>
      <c r="R576" s="437"/>
      <c r="S576" s="107"/>
      <c r="T576" s="437"/>
      <c r="U576" s="178"/>
      <c r="V576" s="107"/>
      <c r="W576" s="107"/>
      <c r="X576" s="470"/>
      <c r="Y576" s="470"/>
      <c r="Z576" s="471"/>
      <c r="AA576" s="471"/>
      <c r="AB576" s="466"/>
      <c r="AC576" s="732"/>
      <c r="AD576" s="603"/>
      <c r="AE576" s="603"/>
      <c r="AF576" s="603"/>
    </row>
    <row r="577" spans="1:32" s="457" customFormat="1" ht="18" customHeight="1" x14ac:dyDescent="0.2">
      <c r="A577" s="145"/>
      <c r="B577" s="177"/>
      <c r="C577" s="177"/>
      <c r="D577" s="145"/>
      <c r="E577" s="145"/>
      <c r="F577" s="145"/>
      <c r="G577" s="145"/>
      <c r="H577" s="147"/>
      <c r="I577" s="107"/>
      <c r="J577" s="178"/>
      <c r="K577" s="107"/>
      <c r="L577" s="145"/>
      <c r="M577" s="145"/>
      <c r="N577" s="145"/>
      <c r="O577" s="145"/>
      <c r="P577" s="147"/>
      <c r="Q577" s="148"/>
      <c r="R577" s="437"/>
      <c r="S577" s="107"/>
      <c r="T577" s="437"/>
      <c r="U577" s="178"/>
      <c r="V577" s="107"/>
      <c r="W577" s="107"/>
      <c r="X577" s="470"/>
      <c r="Y577" s="470"/>
      <c r="Z577" s="471"/>
      <c r="AA577" s="471"/>
      <c r="AB577" s="466"/>
      <c r="AC577" s="603"/>
      <c r="AD577" s="603"/>
      <c r="AE577" s="603"/>
      <c r="AF577" s="603"/>
    </row>
    <row r="578" spans="1:32" s="457" customFormat="1" ht="18" customHeight="1" x14ac:dyDescent="0.2">
      <c r="A578" s="145"/>
      <c r="B578" s="177"/>
      <c r="C578" s="177"/>
      <c r="D578" s="145"/>
      <c r="E578" s="145"/>
      <c r="F578" s="145"/>
      <c r="G578" s="145"/>
      <c r="H578" s="147"/>
      <c r="I578" s="107"/>
      <c r="J578" s="178"/>
      <c r="K578" s="107"/>
      <c r="L578" s="145"/>
      <c r="M578" s="145"/>
      <c r="N578" s="145"/>
      <c r="O578" s="145"/>
      <c r="P578" s="147"/>
      <c r="Q578" s="148"/>
      <c r="R578" s="437"/>
      <c r="S578" s="107"/>
      <c r="T578" s="437"/>
      <c r="U578" s="178"/>
      <c r="V578" s="107"/>
      <c r="W578" s="107"/>
      <c r="X578" s="470"/>
      <c r="Y578" s="470"/>
      <c r="Z578" s="471"/>
      <c r="AA578" s="471"/>
      <c r="AB578" s="466"/>
      <c r="AC578" s="350"/>
      <c r="AD578" s="350"/>
      <c r="AE578" s="350"/>
      <c r="AF578" s="350"/>
    </row>
    <row r="579" spans="1:32" s="457" customFormat="1" ht="18" customHeight="1" x14ac:dyDescent="0.2">
      <c r="A579" s="145"/>
      <c r="B579" s="177"/>
      <c r="C579" s="177"/>
      <c r="D579" s="145"/>
      <c r="E579" s="145"/>
      <c r="F579" s="145"/>
      <c r="G579" s="145"/>
      <c r="H579" s="147"/>
      <c r="I579" s="107"/>
      <c r="J579" s="178"/>
      <c r="K579" s="107"/>
      <c r="L579" s="145"/>
      <c r="M579" s="145"/>
      <c r="N579" s="145"/>
      <c r="O579" s="145"/>
      <c r="P579" s="147"/>
      <c r="Q579" s="148"/>
      <c r="R579" s="437"/>
      <c r="S579" s="107"/>
      <c r="T579" s="437"/>
      <c r="U579" s="178"/>
      <c r="V579" s="107"/>
      <c r="W579" s="107"/>
      <c r="X579" s="470"/>
      <c r="Y579" s="470"/>
      <c r="Z579" s="471"/>
      <c r="AA579" s="471"/>
      <c r="AB579" s="466"/>
      <c r="AC579" s="350"/>
      <c r="AD579" s="350"/>
      <c r="AE579" s="350"/>
      <c r="AF579" s="350"/>
    </row>
    <row r="580" spans="1:32" s="457" customFormat="1" ht="18" customHeight="1" x14ac:dyDescent="0.2">
      <c r="A580" s="145"/>
      <c r="B580" s="177"/>
      <c r="C580" s="177"/>
      <c r="D580" s="145"/>
      <c r="E580" s="145"/>
      <c r="F580" s="145"/>
      <c r="G580" s="145"/>
      <c r="H580" s="147"/>
      <c r="I580" s="107"/>
      <c r="J580" s="178"/>
      <c r="K580" s="107"/>
      <c r="L580" s="145"/>
      <c r="M580" s="145"/>
      <c r="N580" s="145"/>
      <c r="O580" s="145"/>
      <c r="P580" s="147"/>
      <c r="Q580" s="148"/>
      <c r="R580" s="437"/>
      <c r="S580" s="107"/>
      <c r="T580" s="437"/>
      <c r="U580" s="178"/>
      <c r="V580" s="107"/>
      <c r="W580" s="107"/>
      <c r="X580" s="470"/>
      <c r="Y580" s="470"/>
      <c r="Z580" s="471"/>
      <c r="AA580" s="471"/>
      <c r="AB580" s="466"/>
      <c r="AC580" s="350"/>
      <c r="AD580" s="350"/>
      <c r="AE580" s="350"/>
      <c r="AF580" s="350"/>
    </row>
    <row r="581" spans="1:32" s="457" customFormat="1" ht="18" customHeight="1" x14ac:dyDescent="0.2">
      <c r="A581" s="145"/>
      <c r="B581" s="177"/>
      <c r="C581" s="177"/>
      <c r="D581" s="145"/>
      <c r="E581" s="145"/>
      <c r="F581" s="145"/>
      <c r="G581" s="145"/>
      <c r="H581" s="147"/>
      <c r="I581" s="107"/>
      <c r="J581" s="178"/>
      <c r="K581" s="107"/>
      <c r="L581" s="145"/>
      <c r="M581" s="145"/>
      <c r="N581" s="145"/>
      <c r="O581" s="145"/>
      <c r="P581" s="147"/>
      <c r="Q581" s="148"/>
      <c r="R581" s="437"/>
      <c r="S581" s="107"/>
      <c r="T581" s="437"/>
      <c r="U581" s="178"/>
      <c r="V581" s="107"/>
      <c r="W581" s="107"/>
      <c r="X581" s="470"/>
      <c r="Y581" s="470"/>
      <c r="Z581" s="471"/>
      <c r="AA581" s="471"/>
      <c r="AB581" s="466"/>
      <c r="AC581" s="350"/>
      <c r="AD581" s="350"/>
      <c r="AE581" s="350"/>
      <c r="AF581" s="350"/>
    </row>
    <row r="582" spans="1:32" s="457" customFormat="1" ht="18" customHeight="1" x14ac:dyDescent="0.2">
      <c r="A582" s="145"/>
      <c r="B582" s="177"/>
      <c r="C582" s="177"/>
      <c r="D582" s="145"/>
      <c r="E582" s="145"/>
      <c r="F582" s="145"/>
      <c r="G582" s="145"/>
      <c r="H582" s="147"/>
      <c r="I582" s="107"/>
      <c r="J582" s="178"/>
      <c r="K582" s="107"/>
      <c r="L582" s="145"/>
      <c r="M582" s="145"/>
      <c r="N582" s="145"/>
      <c r="O582" s="145"/>
      <c r="P582" s="147"/>
      <c r="Q582" s="148"/>
      <c r="R582" s="437"/>
      <c r="S582" s="107"/>
      <c r="T582" s="437"/>
      <c r="U582" s="178"/>
      <c r="V582" s="107"/>
      <c r="W582" s="107"/>
      <c r="X582" s="470"/>
      <c r="Y582" s="470"/>
      <c r="Z582" s="471"/>
      <c r="AA582" s="471"/>
      <c r="AB582" s="466"/>
      <c r="AC582" s="350"/>
      <c r="AD582" s="350"/>
      <c r="AE582" s="350"/>
      <c r="AF582" s="350"/>
    </row>
    <row r="583" spans="1:32" s="457" customFormat="1" ht="18" customHeight="1" x14ac:dyDescent="0.2">
      <c r="A583" s="145"/>
      <c r="B583" s="177"/>
      <c r="C583" s="177"/>
      <c r="D583" s="145"/>
      <c r="E583" s="145"/>
      <c r="F583" s="145"/>
      <c r="G583" s="145"/>
      <c r="H583" s="147"/>
      <c r="I583" s="107"/>
      <c r="J583" s="178"/>
      <c r="K583" s="107"/>
      <c r="L583" s="145"/>
      <c r="M583" s="145"/>
      <c r="N583" s="145"/>
      <c r="O583" s="145"/>
      <c r="P583" s="147"/>
      <c r="Q583" s="148"/>
      <c r="R583" s="437"/>
      <c r="S583" s="107"/>
      <c r="T583" s="437"/>
      <c r="U583" s="178"/>
      <c r="V583" s="107"/>
      <c r="W583" s="107"/>
      <c r="X583" s="470"/>
      <c r="Y583" s="470"/>
      <c r="Z583" s="471"/>
      <c r="AA583" s="471"/>
      <c r="AB583" s="466"/>
      <c r="AC583" s="350"/>
      <c r="AD583" s="350"/>
      <c r="AE583" s="350"/>
      <c r="AF583" s="350"/>
    </row>
    <row r="584" spans="1:32" s="457" customFormat="1" ht="18" customHeight="1" x14ac:dyDescent="0.2">
      <c r="A584" s="145"/>
      <c r="B584" s="177"/>
      <c r="C584" s="177"/>
      <c r="D584" s="145"/>
      <c r="E584" s="145"/>
      <c r="F584" s="145"/>
      <c r="G584" s="145"/>
      <c r="H584" s="147"/>
      <c r="I584" s="107"/>
      <c r="J584" s="178"/>
      <c r="K584" s="107"/>
      <c r="L584" s="145"/>
      <c r="M584" s="145"/>
      <c r="N584" s="145"/>
      <c r="O584" s="145"/>
      <c r="P584" s="147"/>
      <c r="Q584" s="148"/>
      <c r="R584" s="437"/>
      <c r="S584" s="107"/>
      <c r="T584" s="437"/>
      <c r="U584" s="178"/>
      <c r="V584" s="107"/>
      <c r="W584" s="107"/>
      <c r="X584" s="470"/>
      <c r="Y584" s="470"/>
      <c r="Z584" s="471"/>
      <c r="AA584" s="471"/>
      <c r="AB584" s="466"/>
      <c r="AC584" s="350"/>
      <c r="AD584" s="350"/>
      <c r="AE584" s="350"/>
      <c r="AF584" s="350"/>
    </row>
    <row r="585" spans="1:32" s="457" customFormat="1" ht="18" customHeight="1" x14ac:dyDescent="0.2">
      <c r="A585" s="145"/>
      <c r="B585" s="177"/>
      <c r="C585" s="177"/>
      <c r="D585" s="145"/>
      <c r="E585" s="145"/>
      <c r="F585" s="145"/>
      <c r="G585" s="145"/>
      <c r="H585" s="147"/>
      <c r="I585" s="107"/>
      <c r="J585" s="178"/>
      <c r="K585" s="107"/>
      <c r="L585" s="145"/>
      <c r="M585" s="145"/>
      <c r="N585" s="145"/>
      <c r="O585" s="145"/>
      <c r="P585" s="147"/>
      <c r="Q585" s="148"/>
      <c r="R585" s="437"/>
      <c r="S585" s="107"/>
      <c r="T585" s="437"/>
      <c r="U585" s="178"/>
      <c r="V585" s="107"/>
      <c r="W585" s="107"/>
      <c r="X585" s="470"/>
      <c r="Y585" s="470"/>
      <c r="Z585" s="471"/>
      <c r="AA585" s="471"/>
      <c r="AB585" s="466"/>
      <c r="AC585" s="350"/>
      <c r="AD585" s="350"/>
      <c r="AE585" s="350"/>
      <c r="AF585" s="350"/>
    </row>
    <row r="586" spans="1:32" s="457" customFormat="1" ht="18" customHeight="1" x14ac:dyDescent="0.2">
      <c r="A586" s="145"/>
      <c r="B586" s="177"/>
      <c r="C586" s="177"/>
      <c r="D586" s="145"/>
      <c r="E586" s="145"/>
      <c r="F586" s="145"/>
      <c r="G586" s="145"/>
      <c r="H586" s="147"/>
      <c r="I586" s="107"/>
      <c r="J586" s="178"/>
      <c r="K586" s="107"/>
      <c r="L586" s="145"/>
      <c r="M586" s="145"/>
      <c r="N586" s="145"/>
      <c r="O586" s="145"/>
      <c r="P586" s="147"/>
      <c r="Q586" s="148"/>
      <c r="R586" s="437"/>
      <c r="S586" s="107"/>
      <c r="T586" s="437"/>
      <c r="U586" s="178"/>
      <c r="V586" s="107"/>
      <c r="W586" s="107"/>
      <c r="X586" s="470"/>
      <c r="Y586" s="470"/>
      <c r="Z586" s="471"/>
      <c r="AA586" s="471"/>
      <c r="AB586" s="466"/>
      <c r="AC586" s="350"/>
      <c r="AD586" s="350"/>
      <c r="AE586" s="350"/>
      <c r="AF586" s="350"/>
    </row>
    <row r="587" spans="1:32" s="457" customFormat="1" ht="18" customHeight="1" x14ac:dyDescent="0.2">
      <c r="A587" s="145"/>
      <c r="B587" s="177"/>
      <c r="C587" s="177"/>
      <c r="D587" s="145"/>
      <c r="E587" s="145"/>
      <c r="F587" s="145"/>
      <c r="G587" s="145"/>
      <c r="H587" s="147"/>
      <c r="I587" s="107"/>
      <c r="J587" s="178"/>
      <c r="K587" s="107"/>
      <c r="L587" s="145"/>
      <c r="M587" s="145"/>
      <c r="N587" s="145"/>
      <c r="O587" s="145"/>
      <c r="P587" s="147"/>
      <c r="Q587" s="148"/>
      <c r="R587" s="437"/>
      <c r="S587" s="107"/>
      <c r="T587" s="437"/>
      <c r="U587" s="178"/>
      <c r="V587" s="107"/>
      <c r="W587" s="107"/>
      <c r="X587" s="470"/>
      <c r="Y587" s="470"/>
      <c r="Z587" s="471"/>
      <c r="AA587" s="471"/>
      <c r="AB587" s="466"/>
      <c r="AC587" s="350"/>
      <c r="AD587" s="350"/>
      <c r="AE587" s="350"/>
      <c r="AF587" s="350"/>
    </row>
    <row r="588" spans="1:32" s="457" customFormat="1" ht="18" customHeight="1" x14ac:dyDescent="0.2">
      <c r="A588" s="145"/>
      <c r="B588" s="177"/>
      <c r="C588" s="177"/>
      <c r="D588" s="145"/>
      <c r="E588" s="145"/>
      <c r="F588" s="145"/>
      <c r="G588" s="145"/>
      <c r="H588" s="147"/>
      <c r="I588" s="107"/>
      <c r="J588" s="178"/>
      <c r="K588" s="107"/>
      <c r="L588" s="145"/>
      <c r="M588" s="145"/>
      <c r="N588" s="145"/>
      <c r="O588" s="145"/>
      <c r="P588" s="147"/>
      <c r="Q588" s="148"/>
      <c r="R588" s="437"/>
      <c r="S588" s="107"/>
      <c r="T588" s="437"/>
      <c r="U588" s="178"/>
      <c r="V588" s="107"/>
      <c r="W588" s="107"/>
      <c r="X588" s="470"/>
      <c r="Y588" s="470"/>
      <c r="Z588" s="471"/>
      <c r="AA588" s="471"/>
      <c r="AB588" s="466"/>
      <c r="AC588" s="350"/>
      <c r="AD588" s="350"/>
      <c r="AE588" s="350"/>
      <c r="AF588" s="350"/>
    </row>
    <row r="589" spans="1:32" s="597" customFormat="1" ht="18" customHeight="1" x14ac:dyDescent="0.2">
      <c r="A589" s="1147"/>
      <c r="B589" s="1867"/>
      <c r="C589" s="1867"/>
      <c r="D589" s="1147"/>
      <c r="E589" s="1147"/>
      <c r="F589" s="1147"/>
      <c r="G589" s="1147"/>
      <c r="H589" s="1151"/>
      <c r="I589" s="1868"/>
      <c r="J589" s="1869"/>
      <c r="K589" s="1868"/>
      <c r="L589" s="1147"/>
      <c r="M589" s="1147"/>
      <c r="N589" s="1147"/>
      <c r="O589" s="1147"/>
      <c r="P589" s="1151"/>
      <c r="Q589" s="1871"/>
      <c r="R589" s="1872"/>
      <c r="S589" s="1868"/>
      <c r="T589" s="1872"/>
      <c r="U589" s="1869"/>
      <c r="V589" s="1868"/>
      <c r="W589" s="1868"/>
      <c r="X589" s="1873"/>
      <c r="Y589" s="1873"/>
      <c r="Z589" s="1874"/>
      <c r="AA589" s="1874"/>
      <c r="AB589" s="1849">
        <f>SUM(AB571:AB588)</f>
        <v>2121.6</v>
      </c>
      <c r="AC589" s="1875"/>
      <c r="AD589" s="1875"/>
      <c r="AE589" s="1875"/>
      <c r="AF589" s="1875"/>
    </row>
    <row r="590" spans="1:32" s="457" customFormat="1" ht="18" customHeight="1" x14ac:dyDescent="0.2">
      <c r="A590" s="2737" t="s">
        <v>76</v>
      </c>
      <c r="B590" s="2737"/>
      <c r="C590" s="2738" t="s">
        <v>77</v>
      </c>
      <c r="D590" s="2738"/>
      <c r="E590" s="2738"/>
      <c r="F590" s="2738"/>
      <c r="G590" s="2738"/>
      <c r="H590" s="2738"/>
      <c r="I590" s="457" t="s">
        <v>78</v>
      </c>
      <c r="T590" s="651"/>
      <c r="U590" s="478"/>
      <c r="AB590" s="478"/>
    </row>
    <row r="591" spans="1:32" s="457" customFormat="1" ht="18" customHeight="1" x14ac:dyDescent="0.2">
      <c r="A591" s="448"/>
      <c r="B591" s="479"/>
      <c r="I591" s="457" t="s">
        <v>79</v>
      </c>
      <c r="T591" s="651"/>
      <c r="U591" s="478"/>
      <c r="AB591" s="478"/>
    </row>
    <row r="592" spans="1:32" s="457" customFormat="1" ht="18" customHeight="1" x14ac:dyDescent="0.2">
      <c r="A592" s="448"/>
      <c r="B592" s="479"/>
      <c r="I592" s="457" t="s">
        <v>80</v>
      </c>
      <c r="T592" s="651"/>
      <c r="U592" s="478"/>
      <c r="AB592" s="478"/>
    </row>
    <row r="593" spans="1:33" s="457" customFormat="1" ht="18" customHeight="1" x14ac:dyDescent="0.2">
      <c r="A593" s="448"/>
      <c r="B593" s="479"/>
      <c r="I593" s="457" t="s">
        <v>81</v>
      </c>
      <c r="T593" s="651"/>
      <c r="U593" s="478"/>
      <c r="AB593" s="478"/>
    </row>
    <row r="594" spans="1:33" s="457" customFormat="1" ht="18" customHeight="1" x14ac:dyDescent="0.2">
      <c r="A594" s="448"/>
      <c r="B594" s="479"/>
      <c r="I594" s="457" t="s">
        <v>88</v>
      </c>
      <c r="T594" s="651"/>
      <c r="U594" s="478"/>
      <c r="AB594" s="478"/>
    </row>
    <row r="595" spans="1:33" s="457" customFormat="1" ht="18" customHeight="1" x14ac:dyDescent="0.2">
      <c r="A595" s="456"/>
      <c r="B595" s="455"/>
      <c r="C595" s="455"/>
      <c r="D595" s="455"/>
      <c r="E595" s="455"/>
      <c r="F595" s="455"/>
      <c r="G595" s="455"/>
      <c r="H595" s="455"/>
      <c r="I595" s="455"/>
      <c r="J595" s="455"/>
      <c r="K595" s="455"/>
      <c r="L595" s="455"/>
      <c r="M595" s="455"/>
      <c r="N595" s="455"/>
      <c r="O595" s="455"/>
      <c r="P595" s="455"/>
      <c r="Q595" s="455"/>
      <c r="R595" s="455"/>
      <c r="S595" s="455"/>
      <c r="T595" s="608"/>
      <c r="U595" s="609"/>
      <c r="V595" s="455"/>
      <c r="W595" s="455"/>
      <c r="X595" s="455"/>
      <c r="Y595" s="455"/>
      <c r="Z595" s="455"/>
      <c r="AA595" s="2705" t="s">
        <v>0</v>
      </c>
      <c r="AB595" s="2705"/>
      <c r="AC595" s="455"/>
      <c r="AD595" s="455"/>
      <c r="AE595" s="455"/>
      <c r="AF595" s="455"/>
    </row>
    <row r="596" spans="1:33" s="457" customFormat="1" ht="18" customHeight="1" x14ac:dyDescent="0.2">
      <c r="A596" s="2706" t="s">
        <v>1</v>
      </c>
      <c r="B596" s="2706"/>
      <c r="C596" s="2706"/>
      <c r="D596" s="2706"/>
      <c r="E596" s="2706"/>
      <c r="F596" s="2706"/>
      <c r="G596" s="2706"/>
      <c r="H596" s="2706"/>
      <c r="I596" s="2706"/>
      <c r="J596" s="2706"/>
      <c r="K596" s="2706"/>
      <c r="L596" s="2706"/>
      <c r="M596" s="2706"/>
      <c r="N596" s="2706"/>
      <c r="O596" s="2706"/>
      <c r="P596" s="2706"/>
      <c r="Q596" s="2706"/>
      <c r="R596" s="2706"/>
      <c r="S596" s="2706"/>
      <c r="T596" s="2706"/>
      <c r="U596" s="2706"/>
      <c r="V596" s="2706"/>
      <c r="W596" s="2706"/>
      <c r="X596" s="2706"/>
      <c r="Y596" s="2706"/>
      <c r="Z596" s="2706"/>
      <c r="AA596" s="2706"/>
      <c r="AB596" s="2706"/>
      <c r="AC596" s="610"/>
      <c r="AD596" s="610"/>
      <c r="AE596" s="610"/>
      <c r="AF596" s="610"/>
    </row>
    <row r="597" spans="1:33" s="457" customFormat="1" ht="18" customHeight="1" x14ac:dyDescent="0.2">
      <c r="A597" s="2704" t="s">
        <v>442</v>
      </c>
      <c r="B597" s="2704"/>
      <c r="C597" s="2704"/>
      <c r="D597" s="2704"/>
      <c r="E597" s="2704"/>
      <c r="F597" s="2704"/>
      <c r="G597" s="2704"/>
      <c r="H597" s="2704"/>
      <c r="I597" s="2704"/>
      <c r="J597" s="2704"/>
      <c r="K597" s="2704"/>
      <c r="L597" s="2704"/>
      <c r="M597" s="2704"/>
      <c r="N597" s="2704"/>
      <c r="O597" s="2704"/>
      <c r="P597" s="2704"/>
      <c r="Q597" s="2704"/>
      <c r="R597" s="2704"/>
      <c r="S597" s="2704"/>
      <c r="T597" s="2704"/>
      <c r="U597" s="2704"/>
      <c r="V597" s="2704"/>
      <c r="W597" s="2704"/>
      <c r="X597" s="2704"/>
      <c r="Y597" s="2704"/>
      <c r="Z597" s="2704"/>
      <c r="AA597" s="2704"/>
      <c r="AB597" s="2704"/>
      <c r="AC597" s="611"/>
      <c r="AD597" s="611"/>
      <c r="AE597" s="611"/>
      <c r="AF597" s="611"/>
    </row>
    <row r="598" spans="1:33" s="457" customFormat="1" ht="18" customHeight="1" x14ac:dyDescent="0.2">
      <c r="A598" s="2686" t="s">
        <v>2</v>
      </c>
      <c r="B598" s="360"/>
      <c r="C598" s="2686" t="s">
        <v>3</v>
      </c>
      <c r="D598" s="360"/>
      <c r="E598" s="360"/>
      <c r="F598" s="2693" t="s">
        <v>4</v>
      </c>
      <c r="G598" s="2693"/>
      <c r="H598" s="2693"/>
      <c r="I598" s="2694"/>
      <c r="J598" s="2694"/>
      <c r="K598" s="2695"/>
      <c r="L598" s="361"/>
      <c r="M598" s="2679" t="s">
        <v>5</v>
      </c>
      <c r="N598" s="2679"/>
      <c r="O598" s="2679"/>
      <c r="P598" s="2679"/>
      <c r="Q598" s="2696"/>
      <c r="R598" s="2696"/>
      <c r="S598" s="2696"/>
      <c r="T598" s="2696"/>
      <c r="U598" s="2696"/>
      <c r="V598" s="2697"/>
      <c r="W598" s="362" t="s">
        <v>6</v>
      </c>
      <c r="X598" s="363" t="s">
        <v>7</v>
      </c>
      <c r="Y598" s="364"/>
      <c r="Z598" s="364"/>
      <c r="AA598" s="363"/>
      <c r="AB598" s="458"/>
      <c r="AC598" s="612" t="s">
        <v>8</v>
      </c>
      <c r="AD598" s="613"/>
      <c r="AE598" s="613"/>
      <c r="AF598" s="614"/>
    </row>
    <row r="599" spans="1:33" s="457" customFormat="1" ht="18" customHeight="1" x14ac:dyDescent="0.2">
      <c r="A599" s="2687"/>
      <c r="B599" s="367"/>
      <c r="C599" s="2687"/>
      <c r="D599" s="366" t="s">
        <v>9</v>
      </c>
      <c r="E599" s="366" t="s">
        <v>10</v>
      </c>
      <c r="F599" s="2698" t="s">
        <v>11</v>
      </c>
      <c r="G599" s="2694"/>
      <c r="H599" s="2695"/>
      <c r="I599" s="360"/>
      <c r="J599" s="449" t="s">
        <v>12</v>
      </c>
      <c r="K599" s="360"/>
      <c r="L599" s="2679" t="s">
        <v>2</v>
      </c>
      <c r="M599" s="370"/>
      <c r="N599" s="370"/>
      <c r="O599" s="370"/>
      <c r="P599" s="371"/>
      <c r="Q599" s="459" t="s">
        <v>13</v>
      </c>
      <c r="R599" s="370" t="s">
        <v>12</v>
      </c>
      <c r="S599" s="370" t="s">
        <v>6</v>
      </c>
      <c r="T599" s="2682" t="s">
        <v>14</v>
      </c>
      <c r="U599" s="2683"/>
      <c r="V599" s="375" t="s">
        <v>7</v>
      </c>
      <c r="W599" s="376" t="s">
        <v>15</v>
      </c>
      <c r="X599" s="377" t="s">
        <v>16</v>
      </c>
      <c r="Y599" s="377" t="s">
        <v>17</v>
      </c>
      <c r="Z599" s="377" t="s">
        <v>18</v>
      </c>
      <c r="AA599" s="377"/>
      <c r="AB599" s="460" t="s">
        <v>19</v>
      </c>
      <c r="AC599" s="615" t="s">
        <v>20</v>
      </c>
      <c r="AD599" s="616"/>
      <c r="AE599" s="617" t="s">
        <v>21</v>
      </c>
      <c r="AF599" s="618" t="s">
        <v>22</v>
      </c>
    </row>
    <row r="600" spans="1:33" s="457" customFormat="1" ht="18" customHeight="1" x14ac:dyDescent="0.2">
      <c r="A600" s="2687"/>
      <c r="B600" s="366" t="s">
        <v>23</v>
      </c>
      <c r="C600" s="2687"/>
      <c r="D600" s="366" t="s">
        <v>24</v>
      </c>
      <c r="E600" s="366" t="s">
        <v>25</v>
      </c>
      <c r="F600" s="2699"/>
      <c r="G600" s="2700"/>
      <c r="H600" s="2701"/>
      <c r="I600" s="366" t="s">
        <v>26</v>
      </c>
      <c r="J600" s="380" t="s">
        <v>15</v>
      </c>
      <c r="K600" s="380" t="s">
        <v>6</v>
      </c>
      <c r="L600" s="2680"/>
      <c r="M600" s="381" t="s">
        <v>27</v>
      </c>
      <c r="N600" s="381" t="s">
        <v>10</v>
      </c>
      <c r="O600" s="381" t="s">
        <v>10</v>
      </c>
      <c r="P600" s="385" t="s">
        <v>28</v>
      </c>
      <c r="Q600" s="461" t="s">
        <v>29</v>
      </c>
      <c r="R600" s="385" t="s">
        <v>15</v>
      </c>
      <c r="S600" s="385" t="s">
        <v>15</v>
      </c>
      <c r="T600" s="2684"/>
      <c r="U600" s="2685"/>
      <c r="V600" s="375" t="s">
        <v>30</v>
      </c>
      <c r="W600" s="376" t="s">
        <v>31</v>
      </c>
      <c r="X600" s="377" t="s">
        <v>30</v>
      </c>
      <c r="Y600" s="377" t="s">
        <v>32</v>
      </c>
      <c r="Z600" s="377" t="s">
        <v>7</v>
      </c>
      <c r="AA600" s="377" t="s">
        <v>33</v>
      </c>
      <c r="AB600" s="460" t="s">
        <v>34</v>
      </c>
      <c r="AC600" s="615" t="s">
        <v>35</v>
      </c>
      <c r="AD600" s="617" t="s">
        <v>36</v>
      </c>
      <c r="AE600" s="617" t="s">
        <v>37</v>
      </c>
      <c r="AF600" s="618" t="s">
        <v>38</v>
      </c>
    </row>
    <row r="601" spans="1:33" s="457" customFormat="1" ht="18" customHeight="1" x14ac:dyDescent="0.2">
      <c r="A601" s="2687"/>
      <c r="B601" s="366" t="s">
        <v>39</v>
      </c>
      <c r="C601" s="2687"/>
      <c r="D601" s="366" t="s">
        <v>40</v>
      </c>
      <c r="E601" s="366" t="s">
        <v>41</v>
      </c>
      <c r="F601" s="2686" t="s">
        <v>42</v>
      </c>
      <c r="G601" s="2686" t="s">
        <v>43</v>
      </c>
      <c r="H601" s="2688" t="s">
        <v>44</v>
      </c>
      <c r="I601" s="366" t="s">
        <v>45</v>
      </c>
      <c r="J601" s="380" t="s">
        <v>46</v>
      </c>
      <c r="K601" s="380" t="s">
        <v>47</v>
      </c>
      <c r="L601" s="2680"/>
      <c r="M601" s="381" t="s">
        <v>30</v>
      </c>
      <c r="N601" s="381" t="s">
        <v>30</v>
      </c>
      <c r="O601" s="381" t="s">
        <v>25</v>
      </c>
      <c r="P601" s="385" t="s">
        <v>30</v>
      </c>
      <c r="Q601" s="461" t="s">
        <v>48</v>
      </c>
      <c r="R601" s="385" t="s">
        <v>49</v>
      </c>
      <c r="S601" s="385" t="s">
        <v>30</v>
      </c>
      <c r="T601" s="619" t="s">
        <v>50</v>
      </c>
      <c r="U601" s="620" t="s">
        <v>13</v>
      </c>
      <c r="V601" s="375" t="s">
        <v>51</v>
      </c>
      <c r="W601" s="376" t="s">
        <v>52</v>
      </c>
      <c r="X601" s="377" t="s">
        <v>53</v>
      </c>
      <c r="Y601" s="377" t="s">
        <v>54</v>
      </c>
      <c r="Z601" s="377" t="s">
        <v>55</v>
      </c>
      <c r="AA601" s="377" t="s">
        <v>56</v>
      </c>
      <c r="AB601" s="460" t="s">
        <v>57</v>
      </c>
      <c r="AC601" s="617" t="s">
        <v>58</v>
      </c>
      <c r="AD601" s="617" t="s">
        <v>59</v>
      </c>
      <c r="AE601" s="617" t="s">
        <v>59</v>
      </c>
      <c r="AF601" s="618" t="s">
        <v>60</v>
      </c>
    </row>
    <row r="602" spans="1:33" s="457" customFormat="1" ht="18" customHeight="1" x14ac:dyDescent="0.2">
      <c r="A602" s="2687"/>
      <c r="B602" s="366" t="s">
        <v>61</v>
      </c>
      <c r="C602" s="2687"/>
      <c r="D602" s="366" t="s">
        <v>62</v>
      </c>
      <c r="E602" s="366" t="s">
        <v>63</v>
      </c>
      <c r="F602" s="2687"/>
      <c r="G602" s="2687"/>
      <c r="H602" s="2689"/>
      <c r="I602" s="366" t="s">
        <v>64</v>
      </c>
      <c r="J602" s="380" t="s">
        <v>59</v>
      </c>
      <c r="K602" s="380" t="s">
        <v>59</v>
      </c>
      <c r="L602" s="2680"/>
      <c r="M602" s="381"/>
      <c r="N602" s="381"/>
      <c r="O602" s="381" t="s">
        <v>41</v>
      </c>
      <c r="P602" s="385" t="s">
        <v>65</v>
      </c>
      <c r="Q602" s="461" t="s">
        <v>66</v>
      </c>
      <c r="R602" s="385" t="s">
        <v>67</v>
      </c>
      <c r="S602" s="385" t="s">
        <v>59</v>
      </c>
      <c r="T602" s="621" t="s">
        <v>68</v>
      </c>
      <c r="U602" s="622" t="s">
        <v>14</v>
      </c>
      <c r="V602" s="375" t="s">
        <v>14</v>
      </c>
      <c r="W602" s="376" t="s">
        <v>30</v>
      </c>
      <c r="X602" s="388" t="s">
        <v>69</v>
      </c>
      <c r="Y602" s="388" t="s">
        <v>70</v>
      </c>
      <c r="Z602" s="377" t="s">
        <v>71</v>
      </c>
      <c r="AA602" s="377" t="s">
        <v>72</v>
      </c>
      <c r="AB602" s="460" t="s">
        <v>59</v>
      </c>
      <c r="AC602" s="617" t="s">
        <v>59</v>
      </c>
      <c r="AD602" s="617"/>
      <c r="AE602" s="617"/>
      <c r="AF602" s="618" t="s">
        <v>59</v>
      </c>
    </row>
    <row r="603" spans="1:33" s="457" customFormat="1" ht="18" customHeight="1" x14ac:dyDescent="0.2">
      <c r="A603" s="2692"/>
      <c r="B603" s="390"/>
      <c r="C603" s="2692"/>
      <c r="D603" s="390"/>
      <c r="E603" s="389"/>
      <c r="F603" s="390"/>
      <c r="G603" s="390"/>
      <c r="H603" s="391"/>
      <c r="I603" s="389"/>
      <c r="J603" s="393"/>
      <c r="K603" s="393"/>
      <c r="L603" s="2681"/>
      <c r="M603" s="394"/>
      <c r="N603" s="394"/>
      <c r="O603" s="394" t="s">
        <v>63</v>
      </c>
      <c r="P603" s="394"/>
      <c r="Q603" s="450" t="s">
        <v>72</v>
      </c>
      <c r="R603" s="398" t="s">
        <v>59</v>
      </c>
      <c r="S603" s="398"/>
      <c r="T603" s="623" t="s">
        <v>73</v>
      </c>
      <c r="U603" s="624" t="s">
        <v>59</v>
      </c>
      <c r="V603" s="399" t="s">
        <v>59</v>
      </c>
      <c r="W603" s="400" t="s">
        <v>59</v>
      </c>
      <c r="X603" s="401" t="s">
        <v>59</v>
      </c>
      <c r="Y603" s="401" t="s">
        <v>59</v>
      </c>
      <c r="Z603" s="401" t="s">
        <v>59</v>
      </c>
      <c r="AA603" s="402"/>
      <c r="AB603" s="462"/>
      <c r="AC603" s="625"/>
      <c r="AD603" s="625"/>
      <c r="AE603" s="625"/>
      <c r="AF603" s="626"/>
    </row>
    <row r="604" spans="1:33" s="457" customFormat="1" ht="18" customHeight="1" x14ac:dyDescent="0.2">
      <c r="A604" s="53">
        <v>1</v>
      </c>
      <c r="B604" s="82">
        <v>39054</v>
      </c>
      <c r="C604" s="82">
        <v>1163</v>
      </c>
      <c r="D604" s="82" t="s">
        <v>139</v>
      </c>
      <c r="E604" s="82">
        <v>4</v>
      </c>
      <c r="F604" s="82">
        <v>0</v>
      </c>
      <c r="G604" s="82">
        <v>1</v>
      </c>
      <c r="H604" s="463">
        <v>7</v>
      </c>
      <c r="I604" s="70">
        <f>F604*400+G604*100+H604</f>
        <v>107</v>
      </c>
      <c r="J604" s="123">
        <v>1600</v>
      </c>
      <c r="K604" s="124">
        <f>SUM(I604*J604)</f>
        <v>171200</v>
      </c>
      <c r="L604" s="82"/>
      <c r="M604" s="82"/>
      <c r="N604" s="82"/>
      <c r="O604" s="82"/>
      <c r="P604" s="82"/>
      <c r="Q604" s="770"/>
      <c r="R604" s="771"/>
      <c r="S604" s="67"/>
      <c r="T604" s="443"/>
      <c r="U604" s="67"/>
      <c r="V604" s="67"/>
      <c r="W604" s="67">
        <f>K604+V604+K605+K606</f>
        <v>171200</v>
      </c>
      <c r="X604" s="67">
        <f>W604</f>
        <v>171200</v>
      </c>
      <c r="Y604" s="67"/>
      <c r="Z604" s="67">
        <f>+X604</f>
        <v>171200</v>
      </c>
      <c r="AA604" s="464">
        <v>0.6</v>
      </c>
      <c r="AB604" s="465">
        <f>+Z604*AA604/100</f>
        <v>1027.2</v>
      </c>
      <c r="AC604" s="602"/>
      <c r="AD604" s="603">
        <f>AB637-AC604</f>
        <v>504</v>
      </c>
      <c r="AE604" s="603">
        <f>IF(AD604&lt;=0,0,AD604*25/100)</f>
        <v>126</v>
      </c>
      <c r="AF604" s="603">
        <f>IF(AC604+AE604&gt;AB637,AB637,AC604+AE604)</f>
        <v>126</v>
      </c>
      <c r="AG604" s="1750" t="s">
        <v>387</v>
      </c>
    </row>
    <row r="605" spans="1:33" s="457" customFormat="1" ht="18" customHeight="1" x14ac:dyDescent="0.2">
      <c r="A605" s="61"/>
      <c r="B605" s="145"/>
      <c r="C605" s="145"/>
      <c r="D605" s="145"/>
      <c r="E605" s="145"/>
      <c r="F605" s="145"/>
      <c r="G605" s="145"/>
      <c r="H605" s="407"/>
      <c r="I605" s="77"/>
      <c r="J605" s="107"/>
      <c r="K605" s="78"/>
      <c r="L605" s="61"/>
      <c r="M605" s="61"/>
      <c r="N605" s="61"/>
      <c r="O605" s="61"/>
      <c r="P605" s="173"/>
      <c r="Q605" s="196"/>
      <c r="R605" s="408"/>
      <c r="S605" s="77"/>
      <c r="T605" s="408"/>
      <c r="U605" s="77"/>
      <c r="V605" s="77"/>
      <c r="W605" s="77"/>
      <c r="X605" s="77"/>
      <c r="Y605" s="676"/>
      <c r="Z605" s="77"/>
      <c r="AA605" s="409"/>
      <c r="AB605" s="410"/>
      <c r="AC605" s="350"/>
      <c r="AD605" s="350"/>
      <c r="AE605" s="350"/>
      <c r="AF605" s="350"/>
    </row>
    <row r="606" spans="1:33" s="457" customFormat="1" ht="18" customHeight="1" x14ac:dyDescent="0.2">
      <c r="A606" s="75"/>
      <c r="B606" s="88"/>
      <c r="C606" s="88"/>
      <c r="D606" s="88"/>
      <c r="E606" s="88"/>
      <c r="F606" s="88"/>
      <c r="G606" s="88"/>
      <c r="H606" s="495"/>
      <c r="I606" s="74"/>
      <c r="J606" s="121"/>
      <c r="K606" s="159"/>
      <c r="L606" s="75"/>
      <c r="M606" s="75"/>
      <c r="N606" s="75"/>
      <c r="O606" s="75"/>
      <c r="P606" s="188"/>
      <c r="Q606" s="174"/>
      <c r="R606" s="413"/>
      <c r="S606" s="74"/>
      <c r="T606" s="413"/>
      <c r="U606" s="74"/>
      <c r="V606" s="74"/>
      <c r="W606" s="74"/>
      <c r="X606" s="74"/>
      <c r="Y606" s="606"/>
      <c r="Z606" s="74"/>
      <c r="AA606" s="414"/>
      <c r="AB606" s="416"/>
      <c r="AC606" s="350"/>
      <c r="AD606" s="350"/>
      <c r="AE606" s="350"/>
      <c r="AF606" s="350"/>
    </row>
    <row r="607" spans="1:33" s="457" customFormat="1" ht="18" customHeight="1" x14ac:dyDescent="0.2">
      <c r="A607" s="75"/>
      <c r="B607" s="88"/>
      <c r="C607" s="88"/>
      <c r="D607" s="88"/>
      <c r="E607" s="88"/>
      <c r="F607" s="88"/>
      <c r="G607" s="88"/>
      <c r="H607" s="495"/>
      <c r="I607" s="74"/>
      <c r="J607" s="121"/>
      <c r="K607" s="159"/>
      <c r="L607" s="75"/>
      <c r="M607" s="75"/>
      <c r="N607" s="75"/>
      <c r="O607" s="75"/>
      <c r="P607" s="188"/>
      <c r="Q607" s="174"/>
      <c r="R607" s="413"/>
      <c r="S607" s="74"/>
      <c r="T607" s="413"/>
      <c r="U607" s="74"/>
      <c r="V607" s="74"/>
      <c r="W607" s="74"/>
      <c r="X607" s="74"/>
      <c r="Y607" s="606"/>
      <c r="Z607" s="74"/>
      <c r="AA607" s="414"/>
      <c r="AB607" s="410"/>
      <c r="AC607" s="350"/>
      <c r="AD607" s="350"/>
      <c r="AE607" s="350"/>
      <c r="AF607" s="350"/>
    </row>
    <row r="608" spans="1:33" s="457" customFormat="1" ht="18" customHeight="1" x14ac:dyDescent="0.2">
      <c r="A608" s="75"/>
      <c r="B608" s="88"/>
      <c r="C608" s="88"/>
      <c r="D608" s="88"/>
      <c r="E608" s="88"/>
      <c r="F608" s="88"/>
      <c r="G608" s="88"/>
      <c r="H608" s="495"/>
      <c r="I608" s="74"/>
      <c r="J608" s="121"/>
      <c r="K608" s="159"/>
      <c r="L608" s="75"/>
      <c r="M608" s="75"/>
      <c r="N608" s="75"/>
      <c r="O608" s="75"/>
      <c r="P608" s="188"/>
      <c r="Q608" s="174"/>
      <c r="R608" s="413"/>
      <c r="S608" s="74"/>
      <c r="T608" s="413"/>
      <c r="U608" s="74"/>
      <c r="V608" s="74"/>
      <c r="W608" s="74"/>
      <c r="X608" s="74"/>
      <c r="Y608" s="606"/>
      <c r="Z608" s="74"/>
      <c r="AA608" s="414"/>
      <c r="AB608" s="416"/>
      <c r="AC608" s="350"/>
      <c r="AD608" s="350"/>
      <c r="AE608" s="350"/>
      <c r="AF608" s="350"/>
    </row>
    <row r="609" spans="1:32" s="457" customFormat="1" ht="18" customHeight="1" x14ac:dyDescent="0.2">
      <c r="A609" s="75"/>
      <c r="B609" s="88"/>
      <c r="C609" s="88"/>
      <c r="D609" s="88"/>
      <c r="E609" s="88"/>
      <c r="F609" s="88"/>
      <c r="G609" s="88"/>
      <c r="H609" s="495"/>
      <c r="I609" s="74"/>
      <c r="J609" s="121"/>
      <c r="K609" s="159"/>
      <c r="L609" s="75"/>
      <c r="M609" s="75"/>
      <c r="N609" s="75"/>
      <c r="O609" s="75"/>
      <c r="P609" s="188"/>
      <c r="Q609" s="174"/>
      <c r="R609" s="413"/>
      <c r="S609" s="74"/>
      <c r="T609" s="413"/>
      <c r="U609" s="74"/>
      <c r="V609" s="74"/>
      <c r="W609" s="74"/>
      <c r="X609" s="74"/>
      <c r="Y609" s="606"/>
      <c r="Z609" s="74"/>
      <c r="AA609" s="414"/>
      <c r="AB609" s="416"/>
      <c r="AC609" s="350"/>
      <c r="AD609" s="350"/>
      <c r="AE609" s="350"/>
      <c r="AF609" s="350"/>
    </row>
    <row r="610" spans="1:32" s="457" customFormat="1" ht="18" customHeight="1" x14ac:dyDescent="0.2">
      <c r="A610" s="75"/>
      <c r="B610" s="88"/>
      <c r="C610" s="88"/>
      <c r="D610" s="88"/>
      <c r="E610" s="88"/>
      <c r="F610" s="88"/>
      <c r="G610" s="88"/>
      <c r="H610" s="495"/>
      <c r="I610" s="74"/>
      <c r="J610" s="121"/>
      <c r="K610" s="159"/>
      <c r="L610" s="75"/>
      <c r="M610" s="75"/>
      <c r="N610" s="75"/>
      <c r="O610" s="75"/>
      <c r="P610" s="188"/>
      <c r="Q610" s="174"/>
      <c r="R610" s="413"/>
      <c r="S610" s="74"/>
      <c r="T610" s="413"/>
      <c r="U610" s="74"/>
      <c r="V610" s="74"/>
      <c r="W610" s="74"/>
      <c r="X610" s="74"/>
      <c r="Y610" s="606"/>
      <c r="Z610" s="74"/>
      <c r="AA610" s="414"/>
      <c r="AB610" s="416"/>
      <c r="AC610" s="350"/>
      <c r="AD610" s="350"/>
      <c r="AE610" s="350"/>
      <c r="AF610" s="350"/>
    </row>
    <row r="611" spans="1:32" s="457" customFormat="1" ht="18" customHeight="1" x14ac:dyDescent="0.2">
      <c r="A611" s="75"/>
      <c r="B611" s="88"/>
      <c r="C611" s="88"/>
      <c r="D611" s="88"/>
      <c r="E611" s="88"/>
      <c r="F611" s="88"/>
      <c r="G611" s="88"/>
      <c r="H611" s="495"/>
      <c r="I611" s="74"/>
      <c r="J611" s="121"/>
      <c r="K611" s="159"/>
      <c r="L611" s="75"/>
      <c r="M611" s="75"/>
      <c r="N611" s="75"/>
      <c r="O611" s="75"/>
      <c r="P611" s="188"/>
      <c r="Q611" s="174"/>
      <c r="R611" s="413"/>
      <c r="S611" s="74"/>
      <c r="T611" s="413"/>
      <c r="U611" s="74"/>
      <c r="V611" s="74"/>
      <c r="W611" s="74"/>
      <c r="X611" s="74"/>
      <c r="Y611" s="606"/>
      <c r="Z611" s="74"/>
      <c r="AA611" s="414"/>
      <c r="AB611" s="416"/>
      <c r="AC611" s="350"/>
      <c r="AD611" s="350"/>
      <c r="AE611" s="350"/>
      <c r="AF611" s="350"/>
    </row>
    <row r="612" spans="1:32" s="457" customFormat="1" ht="18" customHeight="1" x14ac:dyDescent="0.2">
      <c r="A612" s="75"/>
      <c r="B612" s="88"/>
      <c r="C612" s="88"/>
      <c r="D612" s="88"/>
      <c r="E612" s="88"/>
      <c r="F612" s="88"/>
      <c r="G612" s="88"/>
      <c r="H612" s="495"/>
      <c r="I612" s="74"/>
      <c r="J612" s="121"/>
      <c r="K612" s="159"/>
      <c r="L612" s="75"/>
      <c r="M612" s="75"/>
      <c r="N612" s="75"/>
      <c r="O612" s="75"/>
      <c r="P612" s="188"/>
      <c r="Q612" s="174"/>
      <c r="R612" s="413"/>
      <c r="S612" s="74"/>
      <c r="T612" s="413"/>
      <c r="U612" s="74"/>
      <c r="V612" s="74"/>
      <c r="W612" s="74"/>
      <c r="X612" s="74"/>
      <c r="Y612" s="606"/>
      <c r="Z612" s="74"/>
      <c r="AA612" s="414"/>
      <c r="AB612" s="416"/>
      <c r="AC612" s="350"/>
      <c r="AD612" s="350"/>
      <c r="AE612" s="350"/>
      <c r="AF612" s="350"/>
    </row>
    <row r="613" spans="1:32" s="457" customFormat="1" ht="18" customHeight="1" x14ac:dyDescent="0.2">
      <c r="A613" s="75"/>
      <c r="B613" s="88"/>
      <c r="C613" s="88"/>
      <c r="D613" s="88"/>
      <c r="E613" s="88"/>
      <c r="F613" s="88"/>
      <c r="G613" s="88"/>
      <c r="H613" s="495"/>
      <c r="I613" s="74"/>
      <c r="J613" s="121"/>
      <c r="K613" s="159"/>
      <c r="L613" s="75"/>
      <c r="M613" s="75"/>
      <c r="N613" s="75"/>
      <c r="O613" s="75"/>
      <c r="P613" s="188"/>
      <c r="Q613" s="174"/>
      <c r="R613" s="413"/>
      <c r="S613" s="74"/>
      <c r="T613" s="413"/>
      <c r="U613" s="74"/>
      <c r="V613" s="74"/>
      <c r="W613" s="74"/>
      <c r="X613" s="74"/>
      <c r="Y613" s="606"/>
      <c r="Z613" s="74"/>
      <c r="AA613" s="414"/>
      <c r="AB613" s="416"/>
      <c r="AC613" s="350"/>
      <c r="AD613" s="350"/>
      <c r="AE613" s="350"/>
      <c r="AF613" s="350"/>
    </row>
    <row r="614" spans="1:32" s="457" customFormat="1" ht="18" customHeight="1" x14ac:dyDescent="0.2">
      <c r="A614" s="75"/>
      <c r="B614" s="88"/>
      <c r="C614" s="88"/>
      <c r="D614" s="88"/>
      <c r="E614" s="88"/>
      <c r="F614" s="88"/>
      <c r="G614" s="88"/>
      <c r="H614" s="495"/>
      <c r="I614" s="74"/>
      <c r="J614" s="121"/>
      <c r="K614" s="159"/>
      <c r="L614" s="75"/>
      <c r="M614" s="75"/>
      <c r="N614" s="75"/>
      <c r="O614" s="75"/>
      <c r="P614" s="188"/>
      <c r="Q614" s="174"/>
      <c r="R614" s="413"/>
      <c r="S614" s="74"/>
      <c r="T614" s="413"/>
      <c r="U614" s="74"/>
      <c r="V614" s="74"/>
      <c r="W614" s="74"/>
      <c r="X614" s="74"/>
      <c r="Y614" s="606"/>
      <c r="Z614" s="74"/>
      <c r="AA614" s="414"/>
      <c r="AB614" s="416"/>
      <c r="AC614" s="350"/>
      <c r="AD614" s="350"/>
      <c r="AE614" s="350"/>
      <c r="AF614" s="350"/>
    </row>
    <row r="615" spans="1:32" s="457" customFormat="1" ht="18" customHeight="1" x14ac:dyDescent="0.2">
      <c r="A615" s="75"/>
      <c r="B615" s="88"/>
      <c r="C615" s="88"/>
      <c r="D615" s="88"/>
      <c r="E615" s="88"/>
      <c r="F615" s="88"/>
      <c r="G615" s="88"/>
      <c r="H615" s="495"/>
      <c r="I615" s="74"/>
      <c r="J615" s="121"/>
      <c r="K615" s="159"/>
      <c r="L615" s="75"/>
      <c r="M615" s="75"/>
      <c r="N615" s="75"/>
      <c r="O615" s="75"/>
      <c r="P615" s="188"/>
      <c r="Q615" s="174"/>
      <c r="R615" s="413"/>
      <c r="S615" s="74"/>
      <c r="T615" s="413"/>
      <c r="U615" s="74"/>
      <c r="V615" s="74"/>
      <c r="W615" s="74"/>
      <c r="X615" s="74"/>
      <c r="Y615" s="606"/>
      <c r="Z615" s="74"/>
      <c r="AA615" s="414"/>
      <c r="AB615" s="416"/>
      <c r="AC615" s="350"/>
      <c r="AD615" s="350"/>
      <c r="AE615" s="350"/>
      <c r="AF615" s="350"/>
    </row>
    <row r="616" spans="1:32" s="457" customFormat="1" ht="18" customHeight="1" x14ac:dyDescent="0.2">
      <c r="A616" s="75"/>
      <c r="B616" s="88"/>
      <c r="C616" s="88"/>
      <c r="D616" s="88"/>
      <c r="E616" s="88"/>
      <c r="F616" s="88"/>
      <c r="G616" s="88"/>
      <c r="H616" s="495"/>
      <c r="I616" s="74"/>
      <c r="J616" s="121"/>
      <c r="K616" s="159"/>
      <c r="L616" s="75"/>
      <c r="M616" s="75"/>
      <c r="N616" s="75"/>
      <c r="O616" s="75"/>
      <c r="P616" s="188"/>
      <c r="Q616" s="174"/>
      <c r="R616" s="413"/>
      <c r="S616" s="74"/>
      <c r="T616" s="413"/>
      <c r="U616" s="74"/>
      <c r="V616" s="74"/>
      <c r="W616" s="74"/>
      <c r="X616" s="74"/>
      <c r="Y616" s="606"/>
      <c r="Z616" s="74"/>
      <c r="AA616" s="414"/>
      <c r="AB616" s="416"/>
      <c r="AC616" s="350"/>
      <c r="AD616" s="350"/>
      <c r="AE616" s="350"/>
      <c r="AF616" s="350"/>
    </row>
    <row r="617" spans="1:32" s="457" customFormat="1" ht="18" customHeight="1" x14ac:dyDescent="0.2">
      <c r="A617" s="75"/>
      <c r="B617" s="88"/>
      <c r="C617" s="88"/>
      <c r="D617" s="88"/>
      <c r="E617" s="88"/>
      <c r="F617" s="88"/>
      <c r="G617" s="88"/>
      <c r="H617" s="495"/>
      <c r="I617" s="74"/>
      <c r="J617" s="121"/>
      <c r="K617" s="159"/>
      <c r="L617" s="75"/>
      <c r="M617" s="75"/>
      <c r="N617" s="75"/>
      <c r="O617" s="75"/>
      <c r="P617" s="188"/>
      <c r="Q617" s="174"/>
      <c r="R617" s="413"/>
      <c r="S617" s="74"/>
      <c r="T617" s="413"/>
      <c r="U617" s="74"/>
      <c r="V617" s="74"/>
      <c r="W617" s="74"/>
      <c r="X617" s="74"/>
      <c r="Y617" s="606"/>
      <c r="Z617" s="74"/>
      <c r="AA617" s="414"/>
      <c r="AB617" s="416"/>
      <c r="AC617" s="350"/>
      <c r="AD617" s="350"/>
      <c r="AE617" s="350"/>
      <c r="AF617" s="350"/>
    </row>
    <row r="618" spans="1:32" s="457" customFormat="1" ht="18" customHeight="1" x14ac:dyDescent="0.2">
      <c r="A618" s="75"/>
      <c r="B618" s="88"/>
      <c r="C618" s="88"/>
      <c r="D618" s="88"/>
      <c r="E618" s="88"/>
      <c r="F618" s="88"/>
      <c r="G618" s="88"/>
      <c r="H618" s="495"/>
      <c r="I618" s="74"/>
      <c r="J618" s="121"/>
      <c r="K618" s="159"/>
      <c r="L618" s="75"/>
      <c r="M618" s="75"/>
      <c r="N618" s="75"/>
      <c r="O618" s="75"/>
      <c r="P618" s="188"/>
      <c r="Q618" s="174"/>
      <c r="R618" s="413"/>
      <c r="S618" s="74"/>
      <c r="T618" s="413"/>
      <c r="U618" s="74"/>
      <c r="V618" s="74"/>
      <c r="W618" s="74"/>
      <c r="X618" s="74"/>
      <c r="Y618" s="606"/>
      <c r="Z618" s="74"/>
      <c r="AA618" s="414"/>
      <c r="AB618" s="416"/>
      <c r="AC618" s="350"/>
      <c r="AD618" s="350"/>
      <c r="AE618" s="350"/>
      <c r="AF618" s="350"/>
    </row>
    <row r="619" spans="1:32" s="457" customFormat="1" ht="18" customHeight="1" x14ac:dyDescent="0.2">
      <c r="A619" s="75"/>
      <c r="B619" s="88"/>
      <c r="C619" s="88"/>
      <c r="D619" s="88"/>
      <c r="E619" s="88"/>
      <c r="F619" s="88"/>
      <c r="G619" s="88"/>
      <c r="H619" s="495"/>
      <c r="I619" s="74"/>
      <c r="J619" s="121"/>
      <c r="K619" s="159"/>
      <c r="L619" s="75"/>
      <c r="M619" s="75"/>
      <c r="N619" s="75"/>
      <c r="O619" s="75"/>
      <c r="P619" s="188"/>
      <c r="Q619" s="174"/>
      <c r="R619" s="413"/>
      <c r="S619" s="74"/>
      <c r="T619" s="413"/>
      <c r="U619" s="74"/>
      <c r="V619" s="74"/>
      <c r="W619" s="74"/>
      <c r="X619" s="74"/>
      <c r="Y619" s="606"/>
      <c r="Z619" s="74"/>
      <c r="AA619" s="414"/>
      <c r="AB619" s="416"/>
      <c r="AC619" s="350"/>
      <c r="AD619" s="350"/>
      <c r="AE619" s="350"/>
      <c r="AF619" s="350"/>
    </row>
    <row r="620" spans="1:32" s="457" customFormat="1" ht="18" customHeight="1" x14ac:dyDescent="0.2">
      <c r="A620" s="75"/>
      <c r="B620" s="88"/>
      <c r="C620" s="88"/>
      <c r="D620" s="88"/>
      <c r="E620" s="88"/>
      <c r="F620" s="88"/>
      <c r="G620" s="88"/>
      <c r="H620" s="495"/>
      <c r="I620" s="74"/>
      <c r="J620" s="121"/>
      <c r="K620" s="159"/>
      <c r="L620" s="75"/>
      <c r="M620" s="75"/>
      <c r="N620" s="75"/>
      <c r="O620" s="75"/>
      <c r="P620" s="188"/>
      <c r="Q620" s="174"/>
      <c r="R620" s="413"/>
      <c r="S620" s="74"/>
      <c r="T620" s="413"/>
      <c r="U620" s="74"/>
      <c r="V620" s="74"/>
      <c r="W620" s="74"/>
      <c r="X620" s="74"/>
      <c r="Y620" s="606"/>
      <c r="Z620" s="74"/>
      <c r="AA620" s="414"/>
      <c r="AB620" s="416"/>
      <c r="AC620" s="350"/>
      <c r="AD620" s="350"/>
      <c r="AE620" s="350"/>
      <c r="AF620" s="350"/>
    </row>
    <row r="621" spans="1:32" s="457" customFormat="1" ht="18" customHeight="1" x14ac:dyDescent="0.2">
      <c r="A621" s="75"/>
      <c r="B621" s="88"/>
      <c r="C621" s="88"/>
      <c r="D621" s="88"/>
      <c r="E621" s="88"/>
      <c r="F621" s="88"/>
      <c r="G621" s="88"/>
      <c r="H621" s="495"/>
      <c r="I621" s="74"/>
      <c r="J621" s="121"/>
      <c r="K621" s="159"/>
      <c r="L621" s="75"/>
      <c r="M621" s="75"/>
      <c r="N621" s="75"/>
      <c r="O621" s="75"/>
      <c r="P621" s="188"/>
      <c r="Q621" s="174"/>
      <c r="R621" s="413"/>
      <c r="S621" s="74"/>
      <c r="T621" s="413"/>
      <c r="U621" s="74"/>
      <c r="V621" s="74"/>
      <c r="W621" s="74"/>
      <c r="X621" s="74"/>
      <c r="Y621" s="606"/>
      <c r="Z621" s="74"/>
      <c r="AA621" s="414"/>
      <c r="AB621" s="416"/>
      <c r="AC621" s="350"/>
      <c r="AD621" s="350"/>
      <c r="AE621" s="350"/>
      <c r="AF621" s="350"/>
    </row>
    <row r="622" spans="1:32" s="597" customFormat="1" ht="18" customHeight="1" x14ac:dyDescent="0.2">
      <c r="A622" s="1147"/>
      <c r="B622" s="1867"/>
      <c r="C622" s="1867"/>
      <c r="D622" s="1147"/>
      <c r="E622" s="1147"/>
      <c r="F622" s="1147"/>
      <c r="G622" s="1147"/>
      <c r="H622" s="1151"/>
      <c r="I622" s="1868"/>
      <c r="J622" s="1869"/>
      <c r="K622" s="1868"/>
      <c r="L622" s="1147"/>
      <c r="M622" s="1147"/>
      <c r="N622" s="1147"/>
      <c r="O622" s="1147"/>
      <c r="P622" s="1151"/>
      <c r="Q622" s="1871"/>
      <c r="R622" s="1872"/>
      <c r="S622" s="1868"/>
      <c r="T622" s="1872"/>
      <c r="U622" s="1869"/>
      <c r="V622" s="1868"/>
      <c r="W622" s="1868"/>
      <c r="X622" s="1873"/>
      <c r="Y622" s="1873"/>
      <c r="Z622" s="1874"/>
      <c r="AA622" s="1874"/>
      <c r="AB622" s="1849">
        <f>SUM(AB604:AB621)</f>
        <v>1027.2</v>
      </c>
      <c r="AC622" s="1875"/>
      <c r="AD622" s="1875"/>
      <c r="AE622" s="1875"/>
      <c r="AF622" s="1875"/>
    </row>
    <row r="623" spans="1:32" s="457" customFormat="1" ht="18" customHeight="1" x14ac:dyDescent="0.2">
      <c r="A623" s="2737" t="s">
        <v>76</v>
      </c>
      <c r="B623" s="2737"/>
      <c r="C623" s="2738" t="s">
        <v>77</v>
      </c>
      <c r="D623" s="2738"/>
      <c r="E623" s="2738"/>
      <c r="F623" s="2738"/>
      <c r="G623" s="2738"/>
      <c r="H623" s="2738"/>
      <c r="I623" s="457" t="s">
        <v>78</v>
      </c>
      <c r="T623" s="651"/>
      <c r="U623" s="478"/>
      <c r="AB623" s="478"/>
    </row>
    <row r="624" spans="1:32" s="457" customFormat="1" ht="18" customHeight="1" x14ac:dyDescent="0.2">
      <c r="A624" s="448"/>
      <c r="B624" s="479"/>
      <c r="I624" s="457" t="s">
        <v>79</v>
      </c>
      <c r="T624" s="651"/>
      <c r="U624" s="478"/>
      <c r="AB624" s="478"/>
    </row>
    <row r="625" spans="1:33" s="457" customFormat="1" ht="18" customHeight="1" x14ac:dyDescent="0.2">
      <c r="A625" s="448"/>
      <c r="B625" s="479"/>
      <c r="I625" s="457" t="s">
        <v>80</v>
      </c>
      <c r="T625" s="651"/>
      <c r="U625" s="478"/>
      <c r="AB625" s="478"/>
    </row>
    <row r="626" spans="1:33" s="457" customFormat="1" ht="18" customHeight="1" x14ac:dyDescent="0.2">
      <c r="A626" s="448"/>
      <c r="B626" s="479"/>
      <c r="I626" s="457" t="s">
        <v>81</v>
      </c>
      <c r="T626" s="651"/>
      <c r="U626" s="478"/>
      <c r="AB626" s="478"/>
    </row>
    <row r="627" spans="1:33" s="457" customFormat="1" ht="18" customHeight="1" x14ac:dyDescent="0.2">
      <c r="A627" s="448"/>
      <c r="B627" s="479"/>
      <c r="I627" s="457" t="s">
        <v>88</v>
      </c>
      <c r="T627" s="651"/>
      <c r="U627" s="478"/>
      <c r="AB627" s="478"/>
    </row>
    <row r="628" spans="1:33" s="457" customFormat="1" ht="18" customHeight="1" x14ac:dyDescent="0.2">
      <c r="A628" s="456"/>
      <c r="B628" s="455"/>
      <c r="C628" s="455"/>
      <c r="D628" s="455"/>
      <c r="E628" s="455"/>
      <c r="F628" s="455"/>
      <c r="G628" s="455"/>
      <c r="H628" s="455"/>
      <c r="I628" s="455"/>
      <c r="J628" s="455"/>
      <c r="K628" s="455"/>
      <c r="L628" s="455"/>
      <c r="M628" s="455"/>
      <c r="N628" s="455"/>
      <c r="O628" s="455"/>
      <c r="P628" s="455"/>
      <c r="Q628" s="455"/>
      <c r="R628" s="455"/>
      <c r="S628" s="455"/>
      <c r="T628" s="608"/>
      <c r="U628" s="609"/>
      <c r="V628" s="455"/>
      <c r="W628" s="455"/>
      <c r="X628" s="455"/>
      <c r="Y628" s="455"/>
      <c r="Z628" s="455"/>
      <c r="AA628" s="2705" t="s">
        <v>0</v>
      </c>
      <c r="AB628" s="2705"/>
      <c r="AC628" s="455"/>
      <c r="AD628" s="455"/>
      <c r="AE628" s="455"/>
      <c r="AF628" s="455"/>
    </row>
    <row r="629" spans="1:33" s="457" customFormat="1" ht="18" customHeight="1" x14ac:dyDescent="0.2">
      <c r="A629" s="2706" t="s">
        <v>1</v>
      </c>
      <c r="B629" s="2706"/>
      <c r="C629" s="2706"/>
      <c r="D629" s="2706"/>
      <c r="E629" s="2706"/>
      <c r="F629" s="2706"/>
      <c r="G629" s="2706"/>
      <c r="H629" s="2706"/>
      <c r="I629" s="2706"/>
      <c r="J629" s="2706"/>
      <c r="K629" s="2706"/>
      <c r="L629" s="2706"/>
      <c r="M629" s="2706"/>
      <c r="N629" s="2706"/>
      <c r="O629" s="2706"/>
      <c r="P629" s="2706"/>
      <c r="Q629" s="2706"/>
      <c r="R629" s="2706"/>
      <c r="S629" s="2706"/>
      <c r="T629" s="2706"/>
      <c r="U629" s="2706"/>
      <c r="V629" s="2706"/>
      <c r="W629" s="2706"/>
      <c r="X629" s="2706"/>
      <c r="Y629" s="2706"/>
      <c r="Z629" s="2706"/>
      <c r="AA629" s="2706"/>
      <c r="AB629" s="2706"/>
      <c r="AC629" s="610"/>
      <c r="AD629" s="610"/>
      <c r="AE629" s="610"/>
      <c r="AF629" s="610"/>
    </row>
    <row r="630" spans="1:33" s="457" customFormat="1" ht="18" customHeight="1" x14ac:dyDescent="0.2">
      <c r="A630" s="2704" t="s">
        <v>443</v>
      </c>
      <c r="B630" s="2704"/>
      <c r="C630" s="2704"/>
      <c r="D630" s="2704"/>
      <c r="E630" s="2704"/>
      <c r="F630" s="2704"/>
      <c r="G630" s="2704"/>
      <c r="H630" s="2704"/>
      <c r="I630" s="2704"/>
      <c r="J630" s="2704"/>
      <c r="K630" s="2704"/>
      <c r="L630" s="2704"/>
      <c r="M630" s="2704"/>
      <c r="N630" s="2704"/>
      <c r="O630" s="2704"/>
      <c r="P630" s="2704"/>
      <c r="Q630" s="2704"/>
      <c r="R630" s="2704"/>
      <c r="S630" s="2704"/>
      <c r="T630" s="2704"/>
      <c r="U630" s="2704"/>
      <c r="V630" s="2704"/>
      <c r="W630" s="2704"/>
      <c r="X630" s="2704"/>
      <c r="Y630" s="2704"/>
      <c r="Z630" s="2704"/>
      <c r="AA630" s="2704"/>
      <c r="AB630" s="2704"/>
      <c r="AC630" s="611"/>
      <c r="AD630" s="611"/>
      <c r="AE630" s="611"/>
      <c r="AF630" s="611"/>
    </row>
    <row r="631" spans="1:33" s="457" customFormat="1" ht="18" customHeight="1" x14ac:dyDescent="0.2">
      <c r="A631" s="2686" t="s">
        <v>2</v>
      </c>
      <c r="B631" s="360"/>
      <c r="C631" s="2686" t="s">
        <v>3</v>
      </c>
      <c r="D631" s="360"/>
      <c r="E631" s="360"/>
      <c r="F631" s="2693" t="s">
        <v>4</v>
      </c>
      <c r="G631" s="2693"/>
      <c r="H631" s="2693"/>
      <c r="I631" s="2694"/>
      <c r="J631" s="2694"/>
      <c r="K631" s="2695"/>
      <c r="L631" s="361"/>
      <c r="M631" s="2679" t="s">
        <v>5</v>
      </c>
      <c r="N631" s="2679"/>
      <c r="O631" s="2679"/>
      <c r="P631" s="2679"/>
      <c r="Q631" s="2696"/>
      <c r="R631" s="2696"/>
      <c r="S631" s="2696"/>
      <c r="T631" s="2696"/>
      <c r="U631" s="2696"/>
      <c r="V631" s="2697"/>
      <c r="W631" s="362" t="s">
        <v>6</v>
      </c>
      <c r="X631" s="363" t="s">
        <v>7</v>
      </c>
      <c r="Y631" s="364"/>
      <c r="Z631" s="364"/>
      <c r="AA631" s="363"/>
      <c r="AB631" s="458"/>
      <c r="AC631" s="612" t="s">
        <v>8</v>
      </c>
      <c r="AD631" s="613"/>
      <c r="AE631" s="613"/>
      <c r="AF631" s="614"/>
    </row>
    <row r="632" spans="1:33" s="457" customFormat="1" ht="18" customHeight="1" x14ac:dyDescent="0.2">
      <c r="A632" s="2687"/>
      <c r="B632" s="367"/>
      <c r="C632" s="2687"/>
      <c r="D632" s="366" t="s">
        <v>9</v>
      </c>
      <c r="E632" s="366" t="s">
        <v>10</v>
      </c>
      <c r="F632" s="2698" t="s">
        <v>11</v>
      </c>
      <c r="G632" s="2694"/>
      <c r="H632" s="2695"/>
      <c r="I632" s="360"/>
      <c r="J632" s="449" t="s">
        <v>12</v>
      </c>
      <c r="K632" s="360"/>
      <c r="L632" s="2679" t="s">
        <v>2</v>
      </c>
      <c r="M632" s="370"/>
      <c r="N632" s="370"/>
      <c r="O632" s="370"/>
      <c r="P632" s="371"/>
      <c r="Q632" s="459" t="s">
        <v>13</v>
      </c>
      <c r="R632" s="370" t="s">
        <v>12</v>
      </c>
      <c r="S632" s="370" t="s">
        <v>6</v>
      </c>
      <c r="T632" s="2682" t="s">
        <v>14</v>
      </c>
      <c r="U632" s="2683"/>
      <c r="V632" s="375" t="s">
        <v>7</v>
      </c>
      <c r="W632" s="376" t="s">
        <v>15</v>
      </c>
      <c r="X632" s="377" t="s">
        <v>16</v>
      </c>
      <c r="Y632" s="377" t="s">
        <v>17</v>
      </c>
      <c r="Z632" s="377" t="s">
        <v>18</v>
      </c>
      <c r="AA632" s="377"/>
      <c r="AB632" s="460" t="s">
        <v>19</v>
      </c>
      <c r="AC632" s="615" t="s">
        <v>20</v>
      </c>
      <c r="AD632" s="616"/>
      <c r="AE632" s="617" t="s">
        <v>21</v>
      </c>
      <c r="AF632" s="618" t="s">
        <v>22</v>
      </c>
    </row>
    <row r="633" spans="1:33" s="457" customFormat="1" ht="18" customHeight="1" x14ac:dyDescent="0.2">
      <c r="A633" s="2687"/>
      <c r="B633" s="366" t="s">
        <v>23</v>
      </c>
      <c r="C633" s="2687"/>
      <c r="D633" s="366" t="s">
        <v>24</v>
      </c>
      <c r="E633" s="366" t="s">
        <v>25</v>
      </c>
      <c r="F633" s="2699"/>
      <c r="G633" s="2700"/>
      <c r="H633" s="2701"/>
      <c r="I633" s="366" t="s">
        <v>26</v>
      </c>
      <c r="J633" s="380" t="s">
        <v>15</v>
      </c>
      <c r="K633" s="380" t="s">
        <v>6</v>
      </c>
      <c r="L633" s="2680"/>
      <c r="M633" s="381" t="s">
        <v>27</v>
      </c>
      <c r="N633" s="381" t="s">
        <v>10</v>
      </c>
      <c r="O633" s="381" t="s">
        <v>10</v>
      </c>
      <c r="P633" s="385" t="s">
        <v>28</v>
      </c>
      <c r="Q633" s="461" t="s">
        <v>29</v>
      </c>
      <c r="R633" s="385" t="s">
        <v>15</v>
      </c>
      <c r="S633" s="385" t="s">
        <v>15</v>
      </c>
      <c r="T633" s="2684"/>
      <c r="U633" s="2685"/>
      <c r="V633" s="375" t="s">
        <v>30</v>
      </c>
      <c r="W633" s="376" t="s">
        <v>31</v>
      </c>
      <c r="X633" s="377" t="s">
        <v>30</v>
      </c>
      <c r="Y633" s="377" t="s">
        <v>32</v>
      </c>
      <c r="Z633" s="377" t="s">
        <v>7</v>
      </c>
      <c r="AA633" s="377" t="s">
        <v>33</v>
      </c>
      <c r="AB633" s="460" t="s">
        <v>34</v>
      </c>
      <c r="AC633" s="615" t="s">
        <v>35</v>
      </c>
      <c r="AD633" s="617" t="s">
        <v>36</v>
      </c>
      <c r="AE633" s="617" t="s">
        <v>37</v>
      </c>
      <c r="AF633" s="618" t="s">
        <v>38</v>
      </c>
    </row>
    <row r="634" spans="1:33" s="457" customFormat="1" ht="18" customHeight="1" x14ac:dyDescent="0.2">
      <c r="A634" s="2687"/>
      <c r="B634" s="366" t="s">
        <v>39</v>
      </c>
      <c r="C634" s="2687"/>
      <c r="D634" s="366" t="s">
        <v>40</v>
      </c>
      <c r="E634" s="366" t="s">
        <v>41</v>
      </c>
      <c r="F634" s="2686" t="s">
        <v>42</v>
      </c>
      <c r="G634" s="2686" t="s">
        <v>43</v>
      </c>
      <c r="H634" s="2688" t="s">
        <v>44</v>
      </c>
      <c r="I634" s="366" t="s">
        <v>45</v>
      </c>
      <c r="J634" s="380" t="s">
        <v>46</v>
      </c>
      <c r="K634" s="380" t="s">
        <v>47</v>
      </c>
      <c r="L634" s="2680"/>
      <c r="M634" s="381" t="s">
        <v>30</v>
      </c>
      <c r="N634" s="381" t="s">
        <v>30</v>
      </c>
      <c r="O634" s="381" t="s">
        <v>25</v>
      </c>
      <c r="P634" s="385" t="s">
        <v>30</v>
      </c>
      <c r="Q634" s="461" t="s">
        <v>48</v>
      </c>
      <c r="R634" s="385" t="s">
        <v>49</v>
      </c>
      <c r="S634" s="385" t="s">
        <v>30</v>
      </c>
      <c r="T634" s="619" t="s">
        <v>50</v>
      </c>
      <c r="U634" s="620" t="s">
        <v>13</v>
      </c>
      <c r="V634" s="375" t="s">
        <v>51</v>
      </c>
      <c r="W634" s="376" t="s">
        <v>52</v>
      </c>
      <c r="X634" s="377" t="s">
        <v>53</v>
      </c>
      <c r="Y634" s="377" t="s">
        <v>54</v>
      </c>
      <c r="Z634" s="377" t="s">
        <v>55</v>
      </c>
      <c r="AA634" s="377" t="s">
        <v>56</v>
      </c>
      <c r="AB634" s="460" t="s">
        <v>57</v>
      </c>
      <c r="AC634" s="617" t="s">
        <v>58</v>
      </c>
      <c r="AD634" s="617" t="s">
        <v>59</v>
      </c>
      <c r="AE634" s="617" t="s">
        <v>59</v>
      </c>
      <c r="AF634" s="618" t="s">
        <v>60</v>
      </c>
    </row>
    <row r="635" spans="1:33" s="457" customFormat="1" ht="18" customHeight="1" x14ac:dyDescent="0.2">
      <c r="A635" s="2687"/>
      <c r="B635" s="366" t="s">
        <v>61</v>
      </c>
      <c r="C635" s="2687"/>
      <c r="D635" s="366" t="s">
        <v>62</v>
      </c>
      <c r="E635" s="366" t="s">
        <v>63</v>
      </c>
      <c r="F635" s="2687"/>
      <c r="G635" s="2687"/>
      <c r="H635" s="2689"/>
      <c r="I635" s="366" t="s">
        <v>64</v>
      </c>
      <c r="J635" s="380" t="s">
        <v>59</v>
      </c>
      <c r="K635" s="380" t="s">
        <v>59</v>
      </c>
      <c r="L635" s="2680"/>
      <c r="M635" s="381"/>
      <c r="N635" s="381"/>
      <c r="O635" s="381" t="s">
        <v>41</v>
      </c>
      <c r="P635" s="385" t="s">
        <v>65</v>
      </c>
      <c r="Q635" s="461" t="s">
        <v>66</v>
      </c>
      <c r="R635" s="385" t="s">
        <v>67</v>
      </c>
      <c r="S635" s="385" t="s">
        <v>59</v>
      </c>
      <c r="T635" s="621" t="s">
        <v>68</v>
      </c>
      <c r="U635" s="622" t="s">
        <v>14</v>
      </c>
      <c r="V635" s="375" t="s">
        <v>14</v>
      </c>
      <c r="W635" s="376" t="s">
        <v>30</v>
      </c>
      <c r="X635" s="388" t="s">
        <v>69</v>
      </c>
      <c r="Y635" s="388" t="s">
        <v>70</v>
      </c>
      <c r="Z635" s="377" t="s">
        <v>71</v>
      </c>
      <c r="AA635" s="377" t="s">
        <v>72</v>
      </c>
      <c r="AB635" s="460" t="s">
        <v>59</v>
      </c>
      <c r="AC635" s="617" t="s">
        <v>59</v>
      </c>
      <c r="AD635" s="617"/>
      <c r="AE635" s="617"/>
      <c r="AF635" s="618" t="s">
        <v>59</v>
      </c>
    </row>
    <row r="636" spans="1:33" s="457" customFormat="1" ht="18" customHeight="1" x14ac:dyDescent="0.2">
      <c r="A636" s="2692"/>
      <c r="B636" s="390"/>
      <c r="C636" s="2692"/>
      <c r="D636" s="390"/>
      <c r="E636" s="389"/>
      <c r="F636" s="390"/>
      <c r="G636" s="390"/>
      <c r="H636" s="391"/>
      <c r="I636" s="389"/>
      <c r="J636" s="393"/>
      <c r="K636" s="393"/>
      <c r="L636" s="2681"/>
      <c r="M636" s="394"/>
      <c r="N636" s="394"/>
      <c r="O636" s="394" t="s">
        <v>63</v>
      </c>
      <c r="P636" s="394"/>
      <c r="Q636" s="450" t="s">
        <v>72</v>
      </c>
      <c r="R636" s="398" t="s">
        <v>59</v>
      </c>
      <c r="S636" s="398"/>
      <c r="T636" s="623" t="s">
        <v>73</v>
      </c>
      <c r="U636" s="624" t="s">
        <v>59</v>
      </c>
      <c r="V636" s="399" t="s">
        <v>59</v>
      </c>
      <c r="W636" s="400" t="s">
        <v>59</v>
      </c>
      <c r="X636" s="401" t="s">
        <v>59</v>
      </c>
      <c r="Y636" s="401" t="s">
        <v>59</v>
      </c>
      <c r="Z636" s="401" t="s">
        <v>59</v>
      </c>
      <c r="AA636" s="402"/>
      <c r="AB636" s="462"/>
      <c r="AC636" s="625"/>
      <c r="AD636" s="625"/>
      <c r="AE636" s="625"/>
      <c r="AF636" s="626"/>
    </row>
    <row r="637" spans="1:33" s="457" customFormat="1" ht="18" customHeight="1" x14ac:dyDescent="0.2">
      <c r="A637" s="53">
        <v>1</v>
      </c>
      <c r="B637" s="95">
        <v>62830</v>
      </c>
      <c r="C637" s="82">
        <v>1792</v>
      </c>
      <c r="D637" s="82" t="s">
        <v>139</v>
      </c>
      <c r="E637" s="82">
        <v>4</v>
      </c>
      <c r="F637" s="82">
        <v>0</v>
      </c>
      <c r="G637" s="82">
        <v>3</v>
      </c>
      <c r="H637" s="463">
        <v>0</v>
      </c>
      <c r="I637" s="70">
        <f>F637*400+G637*100+H637</f>
        <v>300</v>
      </c>
      <c r="J637" s="123">
        <v>280</v>
      </c>
      <c r="K637" s="124">
        <f>SUM(I637*J637)</f>
        <v>84000</v>
      </c>
      <c r="L637" s="82"/>
      <c r="M637" s="82"/>
      <c r="N637" s="82"/>
      <c r="O637" s="82"/>
      <c r="P637" s="82"/>
      <c r="Q637" s="770"/>
      <c r="R637" s="771"/>
      <c r="S637" s="67"/>
      <c r="T637" s="443"/>
      <c r="U637" s="67"/>
      <c r="V637" s="67"/>
      <c r="W637" s="67">
        <f>K637+V637+K638+K639</f>
        <v>84000</v>
      </c>
      <c r="X637" s="67">
        <f>W637</f>
        <v>84000</v>
      </c>
      <c r="Y637" s="67"/>
      <c r="Z637" s="67">
        <f>+X637</f>
        <v>84000</v>
      </c>
      <c r="AA637" s="464">
        <v>0.6</v>
      </c>
      <c r="AB637" s="465">
        <f>+Z637*AA637/100</f>
        <v>504</v>
      </c>
      <c r="AC637" s="602"/>
      <c r="AD637" s="603">
        <f>AB670-AC637</f>
        <v>336</v>
      </c>
      <c r="AE637" s="603">
        <f>IF(AD637&lt;=0,0,AD637*25/100)</f>
        <v>84</v>
      </c>
      <c r="AF637" s="603">
        <f>IF(AC637+AE637&gt;AB670,AB670,AC637+AE637)</f>
        <v>84</v>
      </c>
      <c r="AG637" s="1750" t="s">
        <v>387</v>
      </c>
    </row>
    <row r="638" spans="1:33" s="457" customFormat="1" ht="18" customHeight="1" x14ac:dyDescent="0.2">
      <c r="A638" s="145"/>
      <c r="B638" s="177"/>
      <c r="C638" s="177"/>
      <c r="D638" s="145"/>
      <c r="E638" s="145"/>
      <c r="F638" s="145"/>
      <c r="G638" s="145"/>
      <c r="H638" s="147"/>
      <c r="I638" s="107"/>
      <c r="J638" s="178"/>
      <c r="K638" s="107"/>
      <c r="L638" s="145"/>
      <c r="M638" s="145"/>
      <c r="N638" s="145"/>
      <c r="O638" s="145"/>
      <c r="P638" s="147"/>
      <c r="Q638" s="148"/>
      <c r="R638" s="437"/>
      <c r="S638" s="107"/>
      <c r="T638" s="437"/>
      <c r="U638" s="178"/>
      <c r="V638" s="107"/>
      <c r="W638" s="107"/>
      <c r="X638" s="470"/>
      <c r="Y638" s="470"/>
      <c r="Z638" s="471"/>
      <c r="AA638" s="471"/>
      <c r="AB638" s="466"/>
      <c r="AC638" s="350"/>
      <c r="AD638" s="350"/>
      <c r="AE638" s="350"/>
      <c r="AF638" s="350"/>
    </row>
    <row r="639" spans="1:33" s="457" customFormat="1" ht="18" customHeight="1" x14ac:dyDescent="0.2">
      <c r="A639" s="145"/>
      <c r="B639" s="177"/>
      <c r="C639" s="177"/>
      <c r="D639" s="145"/>
      <c r="E639" s="145"/>
      <c r="F639" s="145"/>
      <c r="G639" s="145"/>
      <c r="H639" s="147"/>
      <c r="I639" s="107"/>
      <c r="J639" s="178"/>
      <c r="K639" s="107"/>
      <c r="L639" s="145"/>
      <c r="M639" s="145"/>
      <c r="N639" s="145"/>
      <c r="O639" s="145"/>
      <c r="P639" s="147"/>
      <c r="Q639" s="148"/>
      <c r="R639" s="437"/>
      <c r="S639" s="107"/>
      <c r="T639" s="437"/>
      <c r="U639" s="178"/>
      <c r="V639" s="107"/>
      <c r="W639" s="107"/>
      <c r="X639" s="470"/>
      <c r="Y639" s="470"/>
      <c r="Z639" s="471"/>
      <c r="AA639" s="471"/>
      <c r="AB639" s="466"/>
      <c r="AC639" s="350"/>
      <c r="AD639" s="350"/>
      <c r="AE639" s="350"/>
      <c r="AF639" s="350"/>
    </row>
    <row r="640" spans="1:33" s="457" customFormat="1" ht="18" customHeight="1" x14ac:dyDescent="0.2">
      <c r="A640" s="145"/>
      <c r="B640" s="177"/>
      <c r="C640" s="177"/>
      <c r="D640" s="145"/>
      <c r="E640" s="145"/>
      <c r="F640" s="145"/>
      <c r="G640" s="145"/>
      <c r="H640" s="147"/>
      <c r="I640" s="107"/>
      <c r="J640" s="178"/>
      <c r="K640" s="107"/>
      <c r="L640" s="145"/>
      <c r="M640" s="145"/>
      <c r="N640" s="145"/>
      <c r="O640" s="145"/>
      <c r="P640" s="147"/>
      <c r="Q640" s="148"/>
      <c r="R640" s="437"/>
      <c r="S640" s="107"/>
      <c r="T640" s="437"/>
      <c r="U640" s="178"/>
      <c r="V640" s="107"/>
      <c r="W640" s="107"/>
      <c r="X640" s="470"/>
      <c r="Y640" s="470"/>
      <c r="Z640" s="471"/>
      <c r="AA640" s="471"/>
      <c r="AB640" s="466"/>
      <c r="AC640" s="350"/>
      <c r="AD640" s="350"/>
      <c r="AE640" s="350"/>
      <c r="AF640" s="350"/>
    </row>
    <row r="641" spans="1:32" s="457" customFormat="1" ht="18" customHeight="1" x14ac:dyDescent="0.2">
      <c r="A641" s="145"/>
      <c r="B641" s="177"/>
      <c r="C641" s="177"/>
      <c r="D641" s="145"/>
      <c r="E641" s="145"/>
      <c r="F641" s="145"/>
      <c r="G641" s="145"/>
      <c r="H641" s="147"/>
      <c r="I641" s="107"/>
      <c r="J641" s="178"/>
      <c r="K641" s="107"/>
      <c r="L641" s="145"/>
      <c r="M641" s="145"/>
      <c r="N641" s="145"/>
      <c r="O641" s="145"/>
      <c r="P641" s="147"/>
      <c r="Q641" s="148"/>
      <c r="R641" s="437"/>
      <c r="S641" s="107"/>
      <c r="T641" s="437"/>
      <c r="U641" s="178"/>
      <c r="V641" s="107"/>
      <c r="W641" s="107"/>
      <c r="X641" s="470"/>
      <c r="Y641" s="470"/>
      <c r="Z641" s="471"/>
      <c r="AA641" s="471"/>
      <c r="AB641" s="466"/>
      <c r="AC641" s="350"/>
      <c r="AD641" s="350"/>
      <c r="AE641" s="350"/>
      <c r="AF641" s="350"/>
    </row>
    <row r="642" spans="1:32" s="457" customFormat="1" ht="18" customHeight="1" x14ac:dyDescent="0.2">
      <c r="A642" s="145"/>
      <c r="B642" s="177"/>
      <c r="C642" s="177"/>
      <c r="D642" s="145"/>
      <c r="E642" s="145"/>
      <c r="F642" s="145"/>
      <c r="G642" s="145"/>
      <c r="H642" s="147"/>
      <c r="I642" s="107"/>
      <c r="J642" s="178"/>
      <c r="K642" s="107"/>
      <c r="L642" s="145"/>
      <c r="M642" s="145"/>
      <c r="N642" s="145"/>
      <c r="O642" s="145"/>
      <c r="P642" s="147"/>
      <c r="Q642" s="148"/>
      <c r="R642" s="437"/>
      <c r="S642" s="107"/>
      <c r="T642" s="437"/>
      <c r="U642" s="178"/>
      <c r="V642" s="107"/>
      <c r="W642" s="107"/>
      <c r="X642" s="470"/>
      <c r="Y642" s="470"/>
      <c r="Z642" s="471"/>
      <c r="AA642" s="471"/>
      <c r="AB642" s="466"/>
      <c r="AC642" s="350"/>
      <c r="AD642" s="350"/>
      <c r="AE642" s="350"/>
      <c r="AF642" s="350"/>
    </row>
    <row r="643" spans="1:32" s="457" customFormat="1" ht="18" customHeight="1" x14ac:dyDescent="0.2">
      <c r="A643" s="145"/>
      <c r="B643" s="177"/>
      <c r="C643" s="177"/>
      <c r="D643" s="145"/>
      <c r="E643" s="145"/>
      <c r="F643" s="145"/>
      <c r="G643" s="145"/>
      <c r="H643" s="147"/>
      <c r="I643" s="107"/>
      <c r="J643" s="178"/>
      <c r="K643" s="107"/>
      <c r="L643" s="145"/>
      <c r="M643" s="145"/>
      <c r="N643" s="145"/>
      <c r="O643" s="145"/>
      <c r="P643" s="147"/>
      <c r="Q643" s="148"/>
      <c r="R643" s="437"/>
      <c r="S643" s="107"/>
      <c r="T643" s="437"/>
      <c r="U643" s="178"/>
      <c r="V643" s="107"/>
      <c r="W643" s="107"/>
      <c r="X643" s="470"/>
      <c r="Y643" s="470"/>
      <c r="Z643" s="471"/>
      <c r="AA643" s="471"/>
      <c r="AB643" s="466"/>
      <c r="AC643" s="350"/>
      <c r="AD643" s="350"/>
      <c r="AE643" s="350"/>
      <c r="AF643" s="350"/>
    </row>
    <row r="644" spans="1:32" s="457" customFormat="1" ht="18" customHeight="1" x14ac:dyDescent="0.2">
      <c r="A644" s="145"/>
      <c r="B644" s="177"/>
      <c r="C644" s="177"/>
      <c r="D644" s="145"/>
      <c r="E644" s="145"/>
      <c r="F644" s="145"/>
      <c r="G644" s="145"/>
      <c r="H644" s="147"/>
      <c r="I644" s="107"/>
      <c r="J644" s="178"/>
      <c r="K644" s="107"/>
      <c r="L644" s="145"/>
      <c r="M644" s="145"/>
      <c r="N644" s="145"/>
      <c r="O644" s="145"/>
      <c r="P644" s="147"/>
      <c r="Q644" s="148"/>
      <c r="R644" s="437"/>
      <c r="S644" s="107"/>
      <c r="T644" s="437"/>
      <c r="U644" s="178"/>
      <c r="V644" s="107"/>
      <c r="W644" s="107"/>
      <c r="X644" s="470"/>
      <c r="Y644" s="470"/>
      <c r="Z644" s="471"/>
      <c r="AA644" s="471"/>
      <c r="AB644" s="466"/>
      <c r="AC644" s="350"/>
      <c r="AD644" s="350"/>
      <c r="AE644" s="350"/>
      <c r="AF644" s="350"/>
    </row>
    <row r="645" spans="1:32" s="457" customFormat="1" ht="18" customHeight="1" x14ac:dyDescent="0.2">
      <c r="A645" s="145"/>
      <c r="B645" s="177"/>
      <c r="C645" s="177"/>
      <c r="D645" s="145"/>
      <c r="E645" s="145"/>
      <c r="F645" s="145"/>
      <c r="G645" s="145"/>
      <c r="H645" s="147"/>
      <c r="I645" s="107"/>
      <c r="J645" s="178"/>
      <c r="K645" s="107"/>
      <c r="L645" s="145"/>
      <c r="M645" s="145"/>
      <c r="N645" s="145"/>
      <c r="O645" s="145"/>
      <c r="P645" s="147"/>
      <c r="Q645" s="148"/>
      <c r="R645" s="437"/>
      <c r="S645" s="107"/>
      <c r="T645" s="437"/>
      <c r="U645" s="178"/>
      <c r="V645" s="107"/>
      <c r="W645" s="107"/>
      <c r="X645" s="470"/>
      <c r="Y645" s="470"/>
      <c r="Z645" s="471"/>
      <c r="AA645" s="471"/>
      <c r="AB645" s="466"/>
      <c r="AC645" s="350"/>
      <c r="AD645" s="350"/>
      <c r="AE645" s="350"/>
      <c r="AF645" s="350"/>
    </row>
    <row r="646" spans="1:32" s="457" customFormat="1" ht="18" customHeight="1" x14ac:dyDescent="0.2">
      <c r="A646" s="145"/>
      <c r="B646" s="177"/>
      <c r="C646" s="177"/>
      <c r="D646" s="145"/>
      <c r="E646" s="145"/>
      <c r="F646" s="145"/>
      <c r="G646" s="145"/>
      <c r="H646" s="147"/>
      <c r="I646" s="107"/>
      <c r="J646" s="178"/>
      <c r="K646" s="107"/>
      <c r="L646" s="145"/>
      <c r="M646" s="145"/>
      <c r="N646" s="145"/>
      <c r="O646" s="145"/>
      <c r="P646" s="147"/>
      <c r="Q646" s="148"/>
      <c r="R646" s="437"/>
      <c r="S646" s="107"/>
      <c r="T646" s="437"/>
      <c r="U646" s="178"/>
      <c r="V646" s="107"/>
      <c r="W646" s="107"/>
      <c r="X646" s="470"/>
      <c r="Y646" s="470"/>
      <c r="Z646" s="471"/>
      <c r="AA646" s="471"/>
      <c r="AB646" s="466"/>
      <c r="AC646" s="350"/>
      <c r="AD646" s="350"/>
      <c r="AE646" s="350"/>
      <c r="AF646" s="350"/>
    </row>
    <row r="647" spans="1:32" s="457" customFormat="1" ht="18" customHeight="1" x14ac:dyDescent="0.2">
      <c r="A647" s="145"/>
      <c r="B647" s="177"/>
      <c r="C647" s="177"/>
      <c r="D647" s="145"/>
      <c r="E647" s="145"/>
      <c r="F647" s="145"/>
      <c r="G647" s="145"/>
      <c r="H647" s="147"/>
      <c r="I647" s="107"/>
      <c r="J647" s="178"/>
      <c r="K647" s="107"/>
      <c r="L647" s="145"/>
      <c r="M647" s="145"/>
      <c r="N647" s="145"/>
      <c r="O647" s="145"/>
      <c r="P647" s="147"/>
      <c r="Q647" s="148"/>
      <c r="R647" s="437"/>
      <c r="S647" s="107"/>
      <c r="T647" s="437"/>
      <c r="U647" s="178"/>
      <c r="V647" s="107"/>
      <c r="W647" s="107"/>
      <c r="X647" s="470"/>
      <c r="Y647" s="470"/>
      <c r="Z647" s="471"/>
      <c r="AA647" s="471"/>
      <c r="AB647" s="466"/>
      <c r="AC647" s="350"/>
      <c r="AD647" s="350"/>
      <c r="AE647" s="350"/>
      <c r="AF647" s="350"/>
    </row>
    <row r="648" spans="1:32" s="457" customFormat="1" ht="18" customHeight="1" x14ac:dyDescent="0.2">
      <c r="A648" s="145"/>
      <c r="B648" s="177"/>
      <c r="C648" s="177"/>
      <c r="D648" s="145"/>
      <c r="E648" s="145"/>
      <c r="F648" s="145"/>
      <c r="G648" s="145"/>
      <c r="H648" s="147"/>
      <c r="I648" s="107"/>
      <c r="J648" s="178"/>
      <c r="K648" s="107"/>
      <c r="L648" s="145"/>
      <c r="M648" s="145"/>
      <c r="N648" s="145"/>
      <c r="O648" s="145"/>
      <c r="P648" s="147"/>
      <c r="Q648" s="148"/>
      <c r="R648" s="437"/>
      <c r="S648" s="107"/>
      <c r="T648" s="437"/>
      <c r="U648" s="178"/>
      <c r="V648" s="107"/>
      <c r="W648" s="107"/>
      <c r="X648" s="470"/>
      <c r="Y648" s="470"/>
      <c r="Z648" s="471"/>
      <c r="AA648" s="471"/>
      <c r="AB648" s="466"/>
      <c r="AC648" s="350"/>
      <c r="AD648" s="350"/>
      <c r="AE648" s="350"/>
      <c r="AF648" s="350"/>
    </row>
    <row r="649" spans="1:32" s="457" customFormat="1" ht="18" customHeight="1" x14ac:dyDescent="0.2">
      <c r="A649" s="145"/>
      <c r="B649" s="177"/>
      <c r="C649" s="177"/>
      <c r="D649" s="145"/>
      <c r="E649" s="145"/>
      <c r="F649" s="145"/>
      <c r="G649" s="145"/>
      <c r="H649" s="147"/>
      <c r="I649" s="107"/>
      <c r="J649" s="178"/>
      <c r="K649" s="107"/>
      <c r="L649" s="145"/>
      <c r="M649" s="145"/>
      <c r="N649" s="145"/>
      <c r="O649" s="145"/>
      <c r="P649" s="147"/>
      <c r="Q649" s="148"/>
      <c r="R649" s="437"/>
      <c r="S649" s="107"/>
      <c r="T649" s="437"/>
      <c r="U649" s="178"/>
      <c r="V649" s="107"/>
      <c r="W649" s="107"/>
      <c r="X649" s="470"/>
      <c r="Y649" s="470"/>
      <c r="Z649" s="471"/>
      <c r="AA649" s="471"/>
      <c r="AB649" s="466"/>
      <c r="AC649" s="350"/>
      <c r="AD649" s="350"/>
      <c r="AE649" s="350"/>
      <c r="AF649" s="350"/>
    </row>
    <row r="650" spans="1:32" s="457" customFormat="1" ht="18" customHeight="1" x14ac:dyDescent="0.2">
      <c r="A650" s="145"/>
      <c r="B650" s="177"/>
      <c r="C650" s="177"/>
      <c r="D650" s="145"/>
      <c r="E650" s="145"/>
      <c r="F650" s="145"/>
      <c r="G650" s="145"/>
      <c r="H650" s="147"/>
      <c r="I650" s="107"/>
      <c r="J650" s="178"/>
      <c r="K650" s="107"/>
      <c r="L650" s="145"/>
      <c r="M650" s="145"/>
      <c r="N650" s="145"/>
      <c r="O650" s="145"/>
      <c r="P650" s="147"/>
      <c r="Q650" s="148"/>
      <c r="R650" s="437"/>
      <c r="S650" s="107"/>
      <c r="T650" s="437"/>
      <c r="U650" s="178"/>
      <c r="V650" s="107"/>
      <c r="W650" s="107"/>
      <c r="X650" s="470"/>
      <c r="Y650" s="470"/>
      <c r="Z650" s="471"/>
      <c r="AA650" s="471"/>
      <c r="AB650" s="466"/>
      <c r="AC650" s="350"/>
      <c r="AD650" s="350"/>
      <c r="AE650" s="350"/>
      <c r="AF650" s="350"/>
    </row>
    <row r="651" spans="1:32" s="457" customFormat="1" ht="18" customHeight="1" x14ac:dyDescent="0.2">
      <c r="A651" s="145"/>
      <c r="B651" s="177"/>
      <c r="C651" s="177"/>
      <c r="D651" s="145"/>
      <c r="E651" s="145"/>
      <c r="F651" s="145"/>
      <c r="G651" s="145"/>
      <c r="H651" s="147"/>
      <c r="I651" s="107"/>
      <c r="J651" s="178"/>
      <c r="K651" s="107"/>
      <c r="L651" s="145"/>
      <c r="M651" s="145"/>
      <c r="N651" s="145"/>
      <c r="O651" s="145"/>
      <c r="P651" s="147"/>
      <c r="Q651" s="148"/>
      <c r="R651" s="437"/>
      <c r="S651" s="107"/>
      <c r="T651" s="437"/>
      <c r="U651" s="178"/>
      <c r="V651" s="107"/>
      <c r="W651" s="107"/>
      <c r="X651" s="470"/>
      <c r="Y651" s="470"/>
      <c r="Z651" s="471"/>
      <c r="AA651" s="471"/>
      <c r="AB651" s="466"/>
      <c r="AC651" s="350"/>
      <c r="AD651" s="350"/>
      <c r="AE651" s="350"/>
      <c r="AF651" s="350"/>
    </row>
    <row r="652" spans="1:32" s="457" customFormat="1" ht="18" customHeight="1" x14ac:dyDescent="0.2">
      <c r="A652" s="145"/>
      <c r="B652" s="177"/>
      <c r="C652" s="177"/>
      <c r="D652" s="145"/>
      <c r="E652" s="145"/>
      <c r="F652" s="145"/>
      <c r="G652" s="145"/>
      <c r="H652" s="147"/>
      <c r="I652" s="107"/>
      <c r="J652" s="178"/>
      <c r="K652" s="107"/>
      <c r="L652" s="145"/>
      <c r="M652" s="145"/>
      <c r="N652" s="145"/>
      <c r="O652" s="145"/>
      <c r="P652" s="147"/>
      <c r="Q652" s="148"/>
      <c r="R652" s="437"/>
      <c r="S652" s="107"/>
      <c r="T652" s="437"/>
      <c r="U652" s="178"/>
      <c r="V652" s="107"/>
      <c r="W652" s="107"/>
      <c r="X652" s="470"/>
      <c r="Y652" s="470"/>
      <c r="Z652" s="471"/>
      <c r="AA652" s="471"/>
      <c r="AB652" s="466"/>
      <c r="AC652" s="350"/>
      <c r="AD652" s="350"/>
      <c r="AE652" s="350"/>
      <c r="AF652" s="350"/>
    </row>
    <row r="653" spans="1:32" s="457" customFormat="1" ht="18" customHeight="1" x14ac:dyDescent="0.2">
      <c r="A653" s="145"/>
      <c r="B653" s="177"/>
      <c r="C653" s="177"/>
      <c r="D653" s="145"/>
      <c r="E653" s="145"/>
      <c r="F653" s="145"/>
      <c r="G653" s="145"/>
      <c r="H653" s="147"/>
      <c r="I653" s="107"/>
      <c r="J653" s="178"/>
      <c r="K653" s="107"/>
      <c r="L653" s="145"/>
      <c r="M653" s="145"/>
      <c r="N653" s="145"/>
      <c r="O653" s="145"/>
      <c r="P653" s="147"/>
      <c r="Q653" s="148"/>
      <c r="R653" s="437"/>
      <c r="S653" s="107"/>
      <c r="T653" s="437"/>
      <c r="U653" s="178"/>
      <c r="V653" s="107"/>
      <c r="W653" s="107"/>
      <c r="X653" s="470"/>
      <c r="Y653" s="470"/>
      <c r="Z653" s="471"/>
      <c r="AA653" s="471"/>
      <c r="AB653" s="466"/>
      <c r="AC653" s="350"/>
      <c r="AD653" s="350"/>
      <c r="AE653" s="350"/>
      <c r="AF653" s="350"/>
    </row>
    <row r="654" spans="1:32" s="457" customFormat="1" ht="18" customHeight="1" x14ac:dyDescent="0.2">
      <c r="A654" s="145"/>
      <c r="B654" s="177"/>
      <c r="C654" s="177"/>
      <c r="D654" s="145"/>
      <c r="E654" s="145"/>
      <c r="F654" s="145"/>
      <c r="G654" s="145"/>
      <c r="H654" s="147"/>
      <c r="I654" s="107"/>
      <c r="J654" s="178"/>
      <c r="K654" s="107"/>
      <c r="L654" s="145"/>
      <c r="M654" s="145"/>
      <c r="N654" s="145"/>
      <c r="O654" s="145"/>
      <c r="P654" s="147"/>
      <c r="Q654" s="148"/>
      <c r="R654" s="437"/>
      <c r="S654" s="107"/>
      <c r="T654" s="437"/>
      <c r="U654" s="178"/>
      <c r="V654" s="107"/>
      <c r="W654" s="107"/>
      <c r="X654" s="470"/>
      <c r="Y654" s="470"/>
      <c r="Z654" s="471"/>
      <c r="AA654" s="471"/>
      <c r="AB654" s="466"/>
      <c r="AC654" s="350"/>
      <c r="AD654" s="350"/>
      <c r="AE654" s="350"/>
      <c r="AF654" s="350"/>
    </row>
    <row r="655" spans="1:32" s="597" customFormat="1" ht="18" customHeight="1" x14ac:dyDescent="0.2">
      <c r="A655" s="1850"/>
      <c r="B655" s="1850"/>
      <c r="C655" s="1850"/>
      <c r="D655" s="1850"/>
      <c r="E655" s="1850"/>
      <c r="F655" s="1850"/>
      <c r="G655" s="1850"/>
      <c r="H655" s="1851"/>
      <c r="I655" s="1852"/>
      <c r="J655" s="1853"/>
      <c r="K655" s="1852"/>
      <c r="L655" s="1852"/>
      <c r="M655" s="1852"/>
      <c r="N655" s="1852"/>
      <c r="O655" s="1852"/>
      <c r="P655" s="1852"/>
      <c r="Q655" s="1852"/>
      <c r="R655" s="1854"/>
      <c r="S655" s="1852"/>
      <c r="T655" s="1854"/>
      <c r="U655" s="1853"/>
      <c r="V655" s="1852"/>
      <c r="W655" s="1852"/>
      <c r="X655" s="1856"/>
      <c r="Y655" s="1856"/>
      <c r="Z655" s="1857"/>
      <c r="AA655" s="1857"/>
      <c r="AB655" s="1847">
        <f>SUM(AB637:AB654)</f>
        <v>504</v>
      </c>
      <c r="AC655" s="1861"/>
      <c r="AD655" s="1861"/>
      <c r="AE655" s="1861"/>
      <c r="AF655" s="1861"/>
    </row>
    <row r="656" spans="1:32" s="457" customFormat="1" ht="18" customHeight="1" x14ac:dyDescent="0.2">
      <c r="A656" s="2737" t="s">
        <v>76</v>
      </c>
      <c r="B656" s="2737"/>
      <c r="C656" s="2738" t="s">
        <v>77</v>
      </c>
      <c r="D656" s="2738"/>
      <c r="E656" s="2738"/>
      <c r="F656" s="2738"/>
      <c r="G656" s="2738"/>
      <c r="H656" s="2738"/>
      <c r="I656" s="457" t="s">
        <v>78</v>
      </c>
      <c r="T656" s="651"/>
      <c r="U656" s="478"/>
      <c r="AB656" s="478"/>
    </row>
    <row r="657" spans="1:33" s="457" customFormat="1" ht="18" customHeight="1" x14ac:dyDescent="0.2">
      <c r="A657" s="448"/>
      <c r="B657" s="479"/>
      <c r="I657" s="457" t="s">
        <v>79</v>
      </c>
      <c r="T657" s="651"/>
      <c r="U657" s="478"/>
      <c r="AB657" s="478"/>
    </row>
    <row r="658" spans="1:33" s="457" customFormat="1" ht="18" customHeight="1" x14ac:dyDescent="0.2">
      <c r="A658" s="448"/>
      <c r="B658" s="479"/>
      <c r="I658" s="457" t="s">
        <v>80</v>
      </c>
      <c r="T658" s="651"/>
      <c r="U658" s="478"/>
      <c r="AB658" s="478"/>
    </row>
    <row r="659" spans="1:33" s="457" customFormat="1" ht="18" customHeight="1" x14ac:dyDescent="0.2">
      <c r="A659" s="448"/>
      <c r="B659" s="479"/>
      <c r="I659" s="457" t="s">
        <v>81</v>
      </c>
      <c r="T659" s="651"/>
      <c r="U659" s="478"/>
      <c r="AB659" s="478"/>
    </row>
    <row r="660" spans="1:33" s="457" customFormat="1" ht="18" customHeight="1" x14ac:dyDescent="0.2">
      <c r="A660" s="448"/>
      <c r="B660" s="479"/>
      <c r="I660" s="457" t="s">
        <v>88</v>
      </c>
      <c r="T660" s="651"/>
      <c r="U660" s="478"/>
      <c r="AB660" s="478"/>
    </row>
    <row r="661" spans="1:33" s="457" customFormat="1" ht="18" customHeight="1" x14ac:dyDescent="0.2">
      <c r="A661" s="456"/>
      <c r="B661" s="455"/>
      <c r="C661" s="455"/>
      <c r="D661" s="455"/>
      <c r="E661" s="455"/>
      <c r="F661" s="455"/>
      <c r="G661" s="455"/>
      <c r="H661" s="455"/>
      <c r="I661" s="455"/>
      <c r="J661" s="455"/>
      <c r="K661" s="455"/>
      <c r="L661" s="455"/>
      <c r="M661" s="455"/>
      <c r="N661" s="455"/>
      <c r="O661" s="455"/>
      <c r="P661" s="455"/>
      <c r="Q661" s="455"/>
      <c r="R661" s="455"/>
      <c r="S661" s="455"/>
      <c r="T661" s="608"/>
      <c r="U661" s="609"/>
      <c r="V661" s="455"/>
      <c r="W661" s="455"/>
      <c r="X661" s="455"/>
      <c r="Y661" s="455"/>
      <c r="Z661" s="455"/>
      <c r="AA661" s="2705" t="s">
        <v>0</v>
      </c>
      <c r="AB661" s="2705"/>
      <c r="AC661" s="455"/>
      <c r="AD661" s="455"/>
      <c r="AE661" s="455"/>
      <c r="AF661" s="455"/>
    </row>
    <row r="662" spans="1:33" s="457" customFormat="1" ht="18" customHeight="1" x14ac:dyDescent="0.2">
      <c r="A662" s="2706" t="s">
        <v>1</v>
      </c>
      <c r="B662" s="2706"/>
      <c r="C662" s="2706"/>
      <c r="D662" s="2706"/>
      <c r="E662" s="2706"/>
      <c r="F662" s="2706"/>
      <c r="G662" s="2706"/>
      <c r="H662" s="2706"/>
      <c r="I662" s="2706"/>
      <c r="J662" s="2706"/>
      <c r="K662" s="2706"/>
      <c r="L662" s="2706"/>
      <c r="M662" s="2706"/>
      <c r="N662" s="2706"/>
      <c r="O662" s="2706"/>
      <c r="P662" s="2706"/>
      <c r="Q662" s="2706"/>
      <c r="R662" s="2706"/>
      <c r="S662" s="2706"/>
      <c r="T662" s="2706"/>
      <c r="U662" s="2706"/>
      <c r="V662" s="2706"/>
      <c r="W662" s="2706"/>
      <c r="X662" s="2706"/>
      <c r="Y662" s="2706"/>
      <c r="Z662" s="2706"/>
      <c r="AA662" s="2706"/>
      <c r="AB662" s="2706"/>
      <c r="AC662" s="610"/>
      <c r="AD662" s="610"/>
      <c r="AE662" s="610"/>
      <c r="AF662" s="610"/>
    </row>
    <row r="663" spans="1:33" s="457" customFormat="1" ht="18" customHeight="1" x14ac:dyDescent="0.2">
      <c r="A663" s="2704" t="s">
        <v>444</v>
      </c>
      <c r="B663" s="2704"/>
      <c r="C663" s="2704"/>
      <c r="D663" s="2704"/>
      <c r="E663" s="2704"/>
      <c r="F663" s="2704"/>
      <c r="G663" s="2704"/>
      <c r="H663" s="2704"/>
      <c r="I663" s="2704"/>
      <c r="J663" s="2704"/>
      <c r="K663" s="2704"/>
      <c r="L663" s="2704"/>
      <c r="M663" s="2704"/>
      <c r="N663" s="2704"/>
      <c r="O663" s="2704"/>
      <c r="P663" s="2704"/>
      <c r="Q663" s="2704"/>
      <c r="R663" s="2704"/>
      <c r="S663" s="2704"/>
      <c r="T663" s="2704"/>
      <c r="U663" s="2704"/>
      <c r="V663" s="2704"/>
      <c r="W663" s="2704"/>
      <c r="X663" s="2704"/>
      <c r="Y663" s="2704"/>
      <c r="Z663" s="2704"/>
      <c r="AA663" s="2704"/>
      <c r="AB663" s="2704"/>
      <c r="AC663" s="611"/>
      <c r="AD663" s="611"/>
      <c r="AE663" s="611"/>
      <c r="AF663" s="611"/>
    </row>
    <row r="664" spans="1:33" s="457" customFormat="1" ht="18" customHeight="1" x14ac:dyDescent="0.2">
      <c r="A664" s="2686" t="s">
        <v>2</v>
      </c>
      <c r="B664" s="360"/>
      <c r="C664" s="2686" t="s">
        <v>3</v>
      </c>
      <c r="D664" s="360"/>
      <c r="E664" s="360"/>
      <c r="F664" s="2693" t="s">
        <v>4</v>
      </c>
      <c r="G664" s="2693"/>
      <c r="H664" s="2693"/>
      <c r="I664" s="2694"/>
      <c r="J664" s="2694"/>
      <c r="K664" s="2695"/>
      <c r="L664" s="361"/>
      <c r="M664" s="2679" t="s">
        <v>5</v>
      </c>
      <c r="N664" s="2679"/>
      <c r="O664" s="2679"/>
      <c r="P664" s="2679"/>
      <c r="Q664" s="2696"/>
      <c r="R664" s="2696"/>
      <c r="S664" s="2696"/>
      <c r="T664" s="2696"/>
      <c r="U664" s="2696"/>
      <c r="V664" s="2697"/>
      <c r="W664" s="362" t="s">
        <v>6</v>
      </c>
      <c r="X664" s="363" t="s">
        <v>7</v>
      </c>
      <c r="Y664" s="364"/>
      <c r="Z664" s="364"/>
      <c r="AA664" s="363"/>
      <c r="AB664" s="458"/>
      <c r="AC664" s="612" t="s">
        <v>8</v>
      </c>
      <c r="AD664" s="613"/>
      <c r="AE664" s="613"/>
      <c r="AF664" s="614"/>
    </row>
    <row r="665" spans="1:33" s="457" customFormat="1" ht="18" customHeight="1" x14ac:dyDescent="0.2">
      <c r="A665" s="2687"/>
      <c r="B665" s="367"/>
      <c r="C665" s="2687"/>
      <c r="D665" s="366" t="s">
        <v>9</v>
      </c>
      <c r="E665" s="366" t="s">
        <v>10</v>
      </c>
      <c r="F665" s="2698" t="s">
        <v>11</v>
      </c>
      <c r="G665" s="2694"/>
      <c r="H665" s="2695"/>
      <c r="I665" s="360"/>
      <c r="J665" s="449" t="s">
        <v>12</v>
      </c>
      <c r="K665" s="360"/>
      <c r="L665" s="2679" t="s">
        <v>2</v>
      </c>
      <c r="M665" s="370"/>
      <c r="N665" s="370"/>
      <c r="O665" s="370"/>
      <c r="P665" s="371"/>
      <c r="Q665" s="459" t="s">
        <v>13</v>
      </c>
      <c r="R665" s="370" t="s">
        <v>12</v>
      </c>
      <c r="S665" s="370" t="s">
        <v>6</v>
      </c>
      <c r="T665" s="2682" t="s">
        <v>14</v>
      </c>
      <c r="U665" s="2683"/>
      <c r="V665" s="375" t="s">
        <v>7</v>
      </c>
      <c r="W665" s="376" t="s">
        <v>15</v>
      </c>
      <c r="X665" s="377" t="s">
        <v>16</v>
      </c>
      <c r="Y665" s="377" t="s">
        <v>17</v>
      </c>
      <c r="Z665" s="377" t="s">
        <v>18</v>
      </c>
      <c r="AA665" s="377"/>
      <c r="AB665" s="460" t="s">
        <v>19</v>
      </c>
      <c r="AC665" s="615" t="s">
        <v>20</v>
      </c>
      <c r="AD665" s="616"/>
      <c r="AE665" s="617" t="s">
        <v>21</v>
      </c>
      <c r="AF665" s="618" t="s">
        <v>22</v>
      </c>
    </row>
    <row r="666" spans="1:33" s="457" customFormat="1" ht="18" customHeight="1" x14ac:dyDescent="0.2">
      <c r="A666" s="2687"/>
      <c r="B666" s="366" t="s">
        <v>23</v>
      </c>
      <c r="C666" s="2687"/>
      <c r="D666" s="366" t="s">
        <v>24</v>
      </c>
      <c r="E666" s="366" t="s">
        <v>25</v>
      </c>
      <c r="F666" s="2699"/>
      <c r="G666" s="2700"/>
      <c r="H666" s="2701"/>
      <c r="I666" s="366" t="s">
        <v>26</v>
      </c>
      <c r="J666" s="380" t="s">
        <v>15</v>
      </c>
      <c r="K666" s="380" t="s">
        <v>6</v>
      </c>
      <c r="L666" s="2680"/>
      <c r="M666" s="381" t="s">
        <v>27</v>
      </c>
      <c r="N666" s="381" t="s">
        <v>10</v>
      </c>
      <c r="O666" s="381" t="s">
        <v>10</v>
      </c>
      <c r="P666" s="385" t="s">
        <v>28</v>
      </c>
      <c r="Q666" s="461" t="s">
        <v>29</v>
      </c>
      <c r="R666" s="385" t="s">
        <v>15</v>
      </c>
      <c r="S666" s="385" t="s">
        <v>15</v>
      </c>
      <c r="T666" s="2684"/>
      <c r="U666" s="2685"/>
      <c r="V666" s="375" t="s">
        <v>30</v>
      </c>
      <c r="W666" s="376" t="s">
        <v>31</v>
      </c>
      <c r="X666" s="377" t="s">
        <v>30</v>
      </c>
      <c r="Y666" s="377" t="s">
        <v>32</v>
      </c>
      <c r="Z666" s="377" t="s">
        <v>7</v>
      </c>
      <c r="AA666" s="377" t="s">
        <v>33</v>
      </c>
      <c r="AB666" s="460" t="s">
        <v>34</v>
      </c>
      <c r="AC666" s="615" t="s">
        <v>35</v>
      </c>
      <c r="AD666" s="617" t="s">
        <v>36</v>
      </c>
      <c r="AE666" s="617" t="s">
        <v>37</v>
      </c>
      <c r="AF666" s="618" t="s">
        <v>38</v>
      </c>
    </row>
    <row r="667" spans="1:33" s="457" customFormat="1" ht="18" customHeight="1" x14ac:dyDescent="0.2">
      <c r="A667" s="2687"/>
      <c r="B667" s="366" t="s">
        <v>39</v>
      </c>
      <c r="C667" s="2687"/>
      <c r="D667" s="366" t="s">
        <v>40</v>
      </c>
      <c r="E667" s="366" t="s">
        <v>41</v>
      </c>
      <c r="F667" s="2686" t="s">
        <v>42</v>
      </c>
      <c r="G667" s="2686" t="s">
        <v>43</v>
      </c>
      <c r="H667" s="2688" t="s">
        <v>44</v>
      </c>
      <c r="I667" s="366" t="s">
        <v>45</v>
      </c>
      <c r="J667" s="380" t="s">
        <v>46</v>
      </c>
      <c r="K667" s="380" t="s">
        <v>47</v>
      </c>
      <c r="L667" s="2680"/>
      <c r="M667" s="381" t="s">
        <v>30</v>
      </c>
      <c r="N667" s="381" t="s">
        <v>30</v>
      </c>
      <c r="O667" s="381" t="s">
        <v>25</v>
      </c>
      <c r="P667" s="385" t="s">
        <v>30</v>
      </c>
      <c r="Q667" s="461" t="s">
        <v>48</v>
      </c>
      <c r="R667" s="385" t="s">
        <v>49</v>
      </c>
      <c r="S667" s="385" t="s">
        <v>30</v>
      </c>
      <c r="T667" s="619" t="s">
        <v>50</v>
      </c>
      <c r="U667" s="620" t="s">
        <v>13</v>
      </c>
      <c r="V667" s="375" t="s">
        <v>51</v>
      </c>
      <c r="W667" s="376" t="s">
        <v>52</v>
      </c>
      <c r="X667" s="377" t="s">
        <v>53</v>
      </c>
      <c r="Y667" s="377" t="s">
        <v>54</v>
      </c>
      <c r="Z667" s="377" t="s">
        <v>55</v>
      </c>
      <c r="AA667" s="377" t="s">
        <v>56</v>
      </c>
      <c r="AB667" s="460" t="s">
        <v>57</v>
      </c>
      <c r="AC667" s="617" t="s">
        <v>58</v>
      </c>
      <c r="AD667" s="617" t="s">
        <v>59</v>
      </c>
      <c r="AE667" s="617" t="s">
        <v>59</v>
      </c>
      <c r="AF667" s="618" t="s">
        <v>60</v>
      </c>
    </row>
    <row r="668" spans="1:33" s="457" customFormat="1" ht="18" customHeight="1" x14ac:dyDescent="0.2">
      <c r="A668" s="2687"/>
      <c r="B668" s="366" t="s">
        <v>61</v>
      </c>
      <c r="C668" s="2687"/>
      <c r="D668" s="366" t="s">
        <v>62</v>
      </c>
      <c r="E668" s="366" t="s">
        <v>63</v>
      </c>
      <c r="F668" s="2687"/>
      <c r="G668" s="2687"/>
      <c r="H668" s="2689"/>
      <c r="I668" s="366" t="s">
        <v>64</v>
      </c>
      <c r="J668" s="380" t="s">
        <v>59</v>
      </c>
      <c r="K668" s="380" t="s">
        <v>59</v>
      </c>
      <c r="L668" s="2680"/>
      <c r="M668" s="381"/>
      <c r="N668" s="381"/>
      <c r="O668" s="381" t="s">
        <v>41</v>
      </c>
      <c r="P668" s="385" t="s">
        <v>65</v>
      </c>
      <c r="Q668" s="461" t="s">
        <v>66</v>
      </c>
      <c r="R668" s="385" t="s">
        <v>67</v>
      </c>
      <c r="S668" s="385" t="s">
        <v>59</v>
      </c>
      <c r="T668" s="621" t="s">
        <v>68</v>
      </c>
      <c r="U668" s="622" t="s">
        <v>14</v>
      </c>
      <c r="V668" s="375" t="s">
        <v>14</v>
      </c>
      <c r="W668" s="376" t="s">
        <v>30</v>
      </c>
      <c r="X668" s="388" t="s">
        <v>69</v>
      </c>
      <c r="Y668" s="388" t="s">
        <v>70</v>
      </c>
      <c r="Z668" s="377" t="s">
        <v>71</v>
      </c>
      <c r="AA668" s="377" t="s">
        <v>72</v>
      </c>
      <c r="AB668" s="460" t="s">
        <v>59</v>
      </c>
      <c r="AC668" s="617" t="s">
        <v>59</v>
      </c>
      <c r="AD668" s="617"/>
      <c r="AE668" s="617"/>
      <c r="AF668" s="618" t="s">
        <v>59</v>
      </c>
    </row>
    <row r="669" spans="1:33" s="457" customFormat="1" ht="18" customHeight="1" x14ac:dyDescent="0.2">
      <c r="A669" s="2692"/>
      <c r="B669" s="390"/>
      <c r="C669" s="2692"/>
      <c r="D669" s="390"/>
      <c r="E669" s="389"/>
      <c r="F669" s="390"/>
      <c r="G669" s="390"/>
      <c r="H669" s="391"/>
      <c r="I669" s="389"/>
      <c r="J669" s="393"/>
      <c r="K669" s="393"/>
      <c r="L669" s="2681"/>
      <c r="M669" s="394"/>
      <c r="N669" s="394"/>
      <c r="O669" s="394" t="s">
        <v>63</v>
      </c>
      <c r="P669" s="394"/>
      <c r="Q669" s="450" t="s">
        <v>72</v>
      </c>
      <c r="R669" s="398" t="s">
        <v>59</v>
      </c>
      <c r="S669" s="398"/>
      <c r="T669" s="623" t="s">
        <v>73</v>
      </c>
      <c r="U669" s="624" t="s">
        <v>59</v>
      </c>
      <c r="V669" s="399" t="s">
        <v>59</v>
      </c>
      <c r="W669" s="400" t="s">
        <v>59</v>
      </c>
      <c r="X669" s="401" t="s">
        <v>59</v>
      </c>
      <c r="Y669" s="401" t="s">
        <v>59</v>
      </c>
      <c r="Z669" s="401" t="s">
        <v>59</v>
      </c>
      <c r="AA669" s="402"/>
      <c r="AB669" s="462"/>
      <c r="AC669" s="625"/>
      <c r="AD669" s="625"/>
      <c r="AE669" s="625"/>
      <c r="AF669" s="626"/>
    </row>
    <row r="670" spans="1:33" s="457" customFormat="1" ht="18" customHeight="1" x14ac:dyDescent="0.2">
      <c r="A670" s="68">
        <v>1</v>
      </c>
      <c r="B670" s="975">
        <v>62826</v>
      </c>
      <c r="C670" s="153">
        <v>1788</v>
      </c>
      <c r="D670" s="153" t="s">
        <v>139</v>
      </c>
      <c r="E670" s="153">
        <v>4</v>
      </c>
      <c r="F670" s="153">
        <v>0</v>
      </c>
      <c r="G670" s="153">
        <v>2</v>
      </c>
      <c r="H670" s="1444">
        <v>0</v>
      </c>
      <c r="I670" s="1000">
        <f>F670*400+G670*100+H670</f>
        <v>200</v>
      </c>
      <c r="J670" s="801">
        <v>280</v>
      </c>
      <c r="K670" s="1001">
        <f>SUM(I670*J670)</f>
        <v>56000</v>
      </c>
      <c r="L670" s="153"/>
      <c r="M670" s="153"/>
      <c r="N670" s="153"/>
      <c r="O670" s="153"/>
      <c r="P670" s="153"/>
      <c r="Q670" s="955"/>
      <c r="R670" s="971"/>
      <c r="S670" s="972"/>
      <c r="T670" s="956"/>
      <c r="U670" s="972"/>
      <c r="V670" s="972"/>
      <c r="W670" s="972">
        <f>K670+V670+K671+K672</f>
        <v>56000</v>
      </c>
      <c r="X670" s="972">
        <f>W670</f>
        <v>56000</v>
      </c>
      <c r="Y670" s="972"/>
      <c r="Z670" s="972">
        <f>+X670</f>
        <v>56000</v>
      </c>
      <c r="AA670" s="954">
        <v>0.6</v>
      </c>
      <c r="AB670" s="465">
        <f>+Z670*AA670/100</f>
        <v>336</v>
      </c>
      <c r="AC670" s="602"/>
      <c r="AD670" s="603">
        <f>AB703-AC670</f>
        <v>168</v>
      </c>
      <c r="AE670" s="603">
        <f>IF(AD670&lt;=0,0,AD670*25/100)</f>
        <v>42</v>
      </c>
      <c r="AF670" s="603">
        <f>IF(AC670+AE670&gt;AB703,AB703,AC670+AE670)</f>
        <v>42</v>
      </c>
      <c r="AG670" s="1750" t="s">
        <v>387</v>
      </c>
    </row>
    <row r="671" spans="1:33" s="457" customFormat="1" ht="18" customHeight="1" x14ac:dyDescent="0.2">
      <c r="A671" s="88"/>
      <c r="B671" s="239"/>
      <c r="C671" s="88"/>
      <c r="D671" s="88"/>
      <c r="E671" s="88"/>
      <c r="F671" s="88"/>
      <c r="G671" s="88"/>
      <c r="H671" s="495"/>
      <c r="I671" s="74"/>
      <c r="J671" s="121"/>
      <c r="K671" s="159"/>
      <c r="L671" s="72"/>
      <c r="M671" s="648"/>
      <c r="N671" s="72"/>
      <c r="O671" s="72"/>
      <c r="P671" s="72"/>
      <c r="Q671" s="1024"/>
      <c r="R671" s="446"/>
      <c r="S671" s="73"/>
      <c r="T671" s="446"/>
      <c r="U671" s="73"/>
      <c r="V671" s="73"/>
      <c r="W671" s="73"/>
      <c r="X671" s="73"/>
      <c r="Y671" s="73"/>
      <c r="Z671" s="73"/>
      <c r="AA671" s="1026"/>
      <c r="AB671" s="410"/>
      <c r="AC671" s="350"/>
      <c r="AD671" s="350"/>
      <c r="AE671" s="350"/>
      <c r="AF671" s="350"/>
    </row>
    <row r="672" spans="1:33" s="457" customFormat="1" ht="18" customHeight="1" x14ac:dyDescent="0.2">
      <c r="A672" s="145"/>
      <c r="B672" s="177"/>
      <c r="C672" s="177"/>
      <c r="D672" s="145"/>
      <c r="E672" s="145"/>
      <c r="F672" s="145"/>
      <c r="G672" s="145"/>
      <c r="H672" s="147"/>
      <c r="I672" s="107"/>
      <c r="J672" s="178"/>
      <c r="K672" s="107"/>
      <c r="L672" s="145"/>
      <c r="M672" s="145"/>
      <c r="N672" s="145"/>
      <c r="O672" s="145"/>
      <c r="P672" s="147"/>
      <c r="Q672" s="148"/>
      <c r="R672" s="437"/>
      <c r="S672" s="107"/>
      <c r="T672" s="437"/>
      <c r="U672" s="178"/>
      <c r="V672" s="107"/>
      <c r="W672" s="107"/>
      <c r="X672" s="470"/>
      <c r="Y672" s="470"/>
      <c r="Z672" s="471"/>
      <c r="AA672" s="471"/>
      <c r="AB672" s="466"/>
      <c r="AC672" s="350"/>
      <c r="AD672" s="350"/>
      <c r="AE672" s="350"/>
      <c r="AF672" s="350"/>
    </row>
    <row r="673" spans="1:32" s="457" customFormat="1" ht="18" customHeight="1" x14ac:dyDescent="0.2">
      <c r="A673" s="145"/>
      <c r="B673" s="177"/>
      <c r="C673" s="177"/>
      <c r="D673" s="145"/>
      <c r="E673" s="145"/>
      <c r="F673" s="145"/>
      <c r="G673" s="145"/>
      <c r="H673" s="147"/>
      <c r="I673" s="107"/>
      <c r="J673" s="178"/>
      <c r="K673" s="107"/>
      <c r="L673" s="145"/>
      <c r="M673" s="145"/>
      <c r="N673" s="145"/>
      <c r="O673" s="145"/>
      <c r="P673" s="147"/>
      <c r="Q673" s="148"/>
      <c r="R673" s="437"/>
      <c r="S673" s="107"/>
      <c r="T673" s="437"/>
      <c r="U673" s="178"/>
      <c r="V673" s="107"/>
      <c r="W673" s="107"/>
      <c r="X673" s="470"/>
      <c r="Y673" s="470"/>
      <c r="Z673" s="471"/>
      <c r="AA673" s="471"/>
      <c r="AB673" s="466"/>
      <c r="AC673" s="350"/>
      <c r="AD673" s="350"/>
      <c r="AE673" s="350"/>
      <c r="AF673" s="350"/>
    </row>
    <row r="674" spans="1:32" s="457" customFormat="1" ht="18" customHeight="1" x14ac:dyDescent="0.2">
      <c r="A674" s="145"/>
      <c r="B674" s="177"/>
      <c r="C674" s="177"/>
      <c r="D674" s="145"/>
      <c r="E674" s="145"/>
      <c r="F674" s="145"/>
      <c r="G674" s="145"/>
      <c r="H674" s="147"/>
      <c r="I674" s="107"/>
      <c r="J674" s="178"/>
      <c r="K674" s="107"/>
      <c r="L674" s="145"/>
      <c r="M674" s="145"/>
      <c r="N674" s="145"/>
      <c r="O674" s="145"/>
      <c r="P674" s="147"/>
      <c r="Q674" s="148"/>
      <c r="R674" s="437"/>
      <c r="S674" s="107"/>
      <c r="T674" s="437"/>
      <c r="U674" s="178"/>
      <c r="V674" s="107"/>
      <c r="W674" s="107"/>
      <c r="X674" s="470"/>
      <c r="Y674" s="470"/>
      <c r="Z674" s="471"/>
      <c r="AA674" s="471"/>
      <c r="AB674" s="466"/>
      <c r="AC674" s="350"/>
      <c r="AD674" s="350"/>
      <c r="AE674" s="350"/>
      <c r="AF674" s="350"/>
    </row>
    <row r="675" spans="1:32" s="457" customFormat="1" ht="18" customHeight="1" x14ac:dyDescent="0.2">
      <c r="A675" s="145"/>
      <c r="B675" s="177"/>
      <c r="C675" s="177"/>
      <c r="D675" s="145"/>
      <c r="E675" s="145"/>
      <c r="F675" s="145"/>
      <c r="G675" s="145"/>
      <c r="H675" s="147"/>
      <c r="I675" s="107"/>
      <c r="J675" s="178"/>
      <c r="K675" s="107"/>
      <c r="L675" s="145"/>
      <c r="M675" s="145"/>
      <c r="N675" s="145"/>
      <c r="O675" s="145"/>
      <c r="P675" s="147"/>
      <c r="Q675" s="148"/>
      <c r="R675" s="437"/>
      <c r="S675" s="107"/>
      <c r="T675" s="437"/>
      <c r="U675" s="178"/>
      <c r="V675" s="107"/>
      <c r="W675" s="107"/>
      <c r="X675" s="470"/>
      <c r="Y675" s="470"/>
      <c r="Z675" s="471"/>
      <c r="AA675" s="471"/>
      <c r="AB675" s="466"/>
      <c r="AC675" s="350"/>
      <c r="AD675" s="350"/>
      <c r="AE675" s="350"/>
      <c r="AF675" s="350"/>
    </row>
    <row r="676" spans="1:32" s="457" customFormat="1" ht="18" customHeight="1" x14ac:dyDescent="0.2">
      <c r="A676" s="145"/>
      <c r="B676" s="177"/>
      <c r="C676" s="177"/>
      <c r="D676" s="145"/>
      <c r="E676" s="145"/>
      <c r="F676" s="145"/>
      <c r="G676" s="145"/>
      <c r="H676" s="147"/>
      <c r="I676" s="107"/>
      <c r="J676" s="178"/>
      <c r="K676" s="107"/>
      <c r="L676" s="145"/>
      <c r="M676" s="145"/>
      <c r="N676" s="145"/>
      <c r="O676" s="145"/>
      <c r="P676" s="147"/>
      <c r="Q676" s="148"/>
      <c r="R676" s="437"/>
      <c r="S676" s="107"/>
      <c r="T676" s="437"/>
      <c r="U676" s="178"/>
      <c r="V676" s="107"/>
      <c r="W676" s="107"/>
      <c r="X676" s="470"/>
      <c r="Y676" s="470"/>
      <c r="Z676" s="471"/>
      <c r="AA676" s="471"/>
      <c r="AB676" s="466"/>
      <c r="AC676" s="350"/>
      <c r="AD676" s="350"/>
      <c r="AE676" s="350"/>
      <c r="AF676" s="350"/>
    </row>
    <row r="677" spans="1:32" s="457" customFormat="1" ht="18" customHeight="1" x14ac:dyDescent="0.2">
      <c r="A677" s="145"/>
      <c r="B677" s="177"/>
      <c r="C677" s="177"/>
      <c r="D677" s="145"/>
      <c r="E677" s="145"/>
      <c r="F677" s="145"/>
      <c r="G677" s="145"/>
      <c r="H677" s="147"/>
      <c r="I677" s="107"/>
      <c r="J677" s="178"/>
      <c r="K677" s="107"/>
      <c r="L677" s="145"/>
      <c r="M677" s="145"/>
      <c r="N677" s="145"/>
      <c r="O677" s="145"/>
      <c r="P677" s="147"/>
      <c r="Q677" s="148"/>
      <c r="R677" s="437"/>
      <c r="S677" s="107"/>
      <c r="T677" s="437"/>
      <c r="U677" s="178"/>
      <c r="V677" s="107"/>
      <c r="W677" s="107"/>
      <c r="X677" s="470"/>
      <c r="Y677" s="470"/>
      <c r="Z677" s="471"/>
      <c r="AA677" s="471"/>
      <c r="AB677" s="466"/>
      <c r="AC677" s="350"/>
      <c r="AD677" s="350"/>
      <c r="AE677" s="350"/>
      <c r="AF677" s="350"/>
    </row>
    <row r="678" spans="1:32" s="457" customFormat="1" ht="18" customHeight="1" x14ac:dyDescent="0.2">
      <c r="A678" s="145"/>
      <c r="B678" s="177"/>
      <c r="C678" s="177"/>
      <c r="D678" s="145"/>
      <c r="E678" s="145"/>
      <c r="F678" s="145"/>
      <c r="G678" s="145"/>
      <c r="H678" s="147"/>
      <c r="I678" s="107"/>
      <c r="J678" s="178"/>
      <c r="K678" s="107"/>
      <c r="L678" s="145"/>
      <c r="M678" s="145"/>
      <c r="N678" s="145"/>
      <c r="O678" s="145"/>
      <c r="P678" s="147"/>
      <c r="Q678" s="148"/>
      <c r="R678" s="437"/>
      <c r="S678" s="107"/>
      <c r="T678" s="437"/>
      <c r="U678" s="178"/>
      <c r="V678" s="107"/>
      <c r="W678" s="107"/>
      <c r="X678" s="470"/>
      <c r="Y678" s="470"/>
      <c r="Z678" s="471"/>
      <c r="AA678" s="471"/>
      <c r="AB678" s="466"/>
      <c r="AC678" s="350"/>
      <c r="AD678" s="350"/>
      <c r="AE678" s="350"/>
      <c r="AF678" s="350"/>
    </row>
    <row r="679" spans="1:32" s="457" customFormat="1" ht="18" customHeight="1" x14ac:dyDescent="0.2">
      <c r="A679" s="145"/>
      <c r="B679" s="177"/>
      <c r="C679" s="177"/>
      <c r="D679" s="145"/>
      <c r="E679" s="145"/>
      <c r="F679" s="145"/>
      <c r="G679" s="145"/>
      <c r="H679" s="147"/>
      <c r="I679" s="107"/>
      <c r="J679" s="178"/>
      <c r="K679" s="107"/>
      <c r="L679" s="145"/>
      <c r="M679" s="145"/>
      <c r="N679" s="145"/>
      <c r="O679" s="145"/>
      <c r="P679" s="147"/>
      <c r="Q679" s="148"/>
      <c r="R679" s="437"/>
      <c r="S679" s="107"/>
      <c r="T679" s="437"/>
      <c r="U679" s="178"/>
      <c r="V679" s="107"/>
      <c r="W679" s="107"/>
      <c r="X679" s="470"/>
      <c r="Y679" s="470"/>
      <c r="Z679" s="471"/>
      <c r="AA679" s="471"/>
      <c r="AB679" s="466"/>
      <c r="AC679" s="350"/>
      <c r="AD679" s="350"/>
      <c r="AE679" s="350"/>
      <c r="AF679" s="350"/>
    </row>
    <row r="680" spans="1:32" s="457" customFormat="1" ht="18" customHeight="1" x14ac:dyDescent="0.2">
      <c r="A680" s="145"/>
      <c r="B680" s="177"/>
      <c r="C680" s="177"/>
      <c r="D680" s="145"/>
      <c r="E680" s="145"/>
      <c r="F680" s="145"/>
      <c r="G680" s="145"/>
      <c r="H680" s="147"/>
      <c r="I680" s="107"/>
      <c r="J680" s="178"/>
      <c r="K680" s="107"/>
      <c r="L680" s="145"/>
      <c r="M680" s="145"/>
      <c r="N680" s="145"/>
      <c r="O680" s="145"/>
      <c r="P680" s="147"/>
      <c r="Q680" s="148"/>
      <c r="R680" s="437"/>
      <c r="S680" s="107"/>
      <c r="T680" s="437"/>
      <c r="U680" s="178"/>
      <c r="V680" s="107"/>
      <c r="W680" s="107"/>
      <c r="X680" s="470"/>
      <c r="Y680" s="470"/>
      <c r="Z680" s="471"/>
      <c r="AA680" s="471"/>
      <c r="AB680" s="466"/>
      <c r="AC680" s="350"/>
      <c r="AD680" s="350"/>
      <c r="AE680" s="350"/>
      <c r="AF680" s="350"/>
    </row>
    <row r="681" spans="1:32" s="457" customFormat="1" ht="18" customHeight="1" x14ac:dyDescent="0.2">
      <c r="A681" s="145"/>
      <c r="B681" s="177"/>
      <c r="C681" s="177"/>
      <c r="D681" s="145"/>
      <c r="E681" s="145"/>
      <c r="F681" s="145"/>
      <c r="G681" s="145"/>
      <c r="H681" s="147"/>
      <c r="I681" s="107"/>
      <c r="J681" s="178"/>
      <c r="K681" s="107"/>
      <c r="L681" s="145"/>
      <c r="M681" s="145"/>
      <c r="N681" s="145"/>
      <c r="O681" s="145"/>
      <c r="P681" s="147"/>
      <c r="Q681" s="148"/>
      <c r="R681" s="437"/>
      <c r="S681" s="107"/>
      <c r="T681" s="437"/>
      <c r="U681" s="178"/>
      <c r="V681" s="107"/>
      <c r="W681" s="107"/>
      <c r="X681" s="470"/>
      <c r="Y681" s="470"/>
      <c r="Z681" s="471"/>
      <c r="AA681" s="471"/>
      <c r="AB681" s="466"/>
      <c r="AC681" s="350"/>
      <c r="AD681" s="350"/>
      <c r="AE681" s="350"/>
      <c r="AF681" s="350"/>
    </row>
    <row r="682" spans="1:32" s="457" customFormat="1" ht="18" customHeight="1" x14ac:dyDescent="0.2">
      <c r="A682" s="145"/>
      <c r="B682" s="177"/>
      <c r="C682" s="177"/>
      <c r="D682" s="145"/>
      <c r="E682" s="145"/>
      <c r="F682" s="145"/>
      <c r="G682" s="145"/>
      <c r="H682" s="147"/>
      <c r="I682" s="107"/>
      <c r="J682" s="178"/>
      <c r="K682" s="107"/>
      <c r="L682" s="145"/>
      <c r="M682" s="145"/>
      <c r="N682" s="145"/>
      <c r="O682" s="145"/>
      <c r="P682" s="147"/>
      <c r="Q682" s="148"/>
      <c r="R682" s="437"/>
      <c r="S682" s="107"/>
      <c r="T682" s="437"/>
      <c r="U682" s="178"/>
      <c r="V682" s="107"/>
      <c r="W682" s="107"/>
      <c r="X682" s="470"/>
      <c r="Y682" s="470"/>
      <c r="Z682" s="471"/>
      <c r="AA682" s="471"/>
      <c r="AB682" s="466"/>
      <c r="AC682" s="350"/>
      <c r="AD682" s="350"/>
      <c r="AE682" s="350"/>
      <c r="AF682" s="350"/>
    </row>
    <row r="683" spans="1:32" s="457" customFormat="1" ht="18" customHeight="1" x14ac:dyDescent="0.2">
      <c r="A683" s="145"/>
      <c r="B683" s="177"/>
      <c r="C683" s="177"/>
      <c r="D683" s="145"/>
      <c r="E683" s="145"/>
      <c r="F683" s="145"/>
      <c r="G683" s="145"/>
      <c r="H683" s="147"/>
      <c r="I683" s="107"/>
      <c r="J683" s="178"/>
      <c r="K683" s="107"/>
      <c r="L683" s="145"/>
      <c r="M683" s="145"/>
      <c r="N683" s="145"/>
      <c r="O683" s="145"/>
      <c r="P683" s="147"/>
      <c r="Q683" s="148"/>
      <c r="R683" s="437"/>
      <c r="S683" s="107"/>
      <c r="T683" s="437"/>
      <c r="U683" s="178"/>
      <c r="V683" s="107"/>
      <c r="W683" s="107"/>
      <c r="X683" s="470"/>
      <c r="Y683" s="470"/>
      <c r="Z683" s="471"/>
      <c r="AA683" s="471"/>
      <c r="AB683" s="466"/>
      <c r="AC683" s="350"/>
      <c r="AD683" s="350"/>
      <c r="AE683" s="350"/>
      <c r="AF683" s="350"/>
    </row>
    <row r="684" spans="1:32" s="457" customFormat="1" ht="18" customHeight="1" x14ac:dyDescent="0.2">
      <c r="A684" s="145"/>
      <c r="B684" s="177"/>
      <c r="C684" s="177"/>
      <c r="D684" s="145"/>
      <c r="E684" s="145"/>
      <c r="F684" s="145"/>
      <c r="G684" s="145"/>
      <c r="H684" s="147"/>
      <c r="I684" s="107"/>
      <c r="J684" s="178"/>
      <c r="K684" s="107"/>
      <c r="L684" s="145"/>
      <c r="M684" s="145"/>
      <c r="N684" s="145"/>
      <c r="O684" s="145"/>
      <c r="P684" s="147"/>
      <c r="Q684" s="148"/>
      <c r="R684" s="437"/>
      <c r="S684" s="107"/>
      <c r="T684" s="437"/>
      <c r="U684" s="178"/>
      <c r="V684" s="107"/>
      <c r="W684" s="107"/>
      <c r="X684" s="470"/>
      <c r="Y684" s="470"/>
      <c r="Z684" s="471"/>
      <c r="AA684" s="471"/>
      <c r="AB684" s="466"/>
      <c r="AC684" s="350"/>
      <c r="AD684" s="350"/>
      <c r="AE684" s="350"/>
      <c r="AF684" s="350"/>
    </row>
    <row r="685" spans="1:32" s="457" customFormat="1" ht="18" customHeight="1" x14ac:dyDescent="0.2">
      <c r="A685" s="145"/>
      <c r="B685" s="177"/>
      <c r="C685" s="177"/>
      <c r="D685" s="145"/>
      <c r="E685" s="145"/>
      <c r="F685" s="145"/>
      <c r="G685" s="145"/>
      <c r="H685" s="147"/>
      <c r="I685" s="107"/>
      <c r="J685" s="178"/>
      <c r="K685" s="107"/>
      <c r="L685" s="145"/>
      <c r="M685" s="145"/>
      <c r="N685" s="145"/>
      <c r="O685" s="145"/>
      <c r="P685" s="147"/>
      <c r="Q685" s="148"/>
      <c r="R685" s="437"/>
      <c r="S685" s="107"/>
      <c r="T685" s="437"/>
      <c r="U685" s="178"/>
      <c r="V685" s="107"/>
      <c r="W685" s="107"/>
      <c r="X685" s="470"/>
      <c r="Y685" s="470"/>
      <c r="Z685" s="471"/>
      <c r="AA685" s="471"/>
      <c r="AB685" s="466"/>
      <c r="AC685" s="350"/>
      <c r="AD685" s="350"/>
      <c r="AE685" s="350"/>
      <c r="AF685" s="350"/>
    </row>
    <row r="686" spans="1:32" s="457" customFormat="1" ht="18" customHeight="1" x14ac:dyDescent="0.2">
      <c r="A686" s="145"/>
      <c r="B686" s="177"/>
      <c r="C686" s="177"/>
      <c r="D686" s="145"/>
      <c r="E686" s="145"/>
      <c r="F686" s="145"/>
      <c r="G686" s="145"/>
      <c r="H686" s="147"/>
      <c r="I686" s="107"/>
      <c r="J686" s="178"/>
      <c r="K686" s="107"/>
      <c r="L686" s="145"/>
      <c r="M686" s="145"/>
      <c r="N686" s="145"/>
      <c r="O686" s="145"/>
      <c r="P686" s="147"/>
      <c r="Q686" s="148"/>
      <c r="R686" s="437"/>
      <c r="S686" s="107"/>
      <c r="T686" s="437"/>
      <c r="U686" s="178"/>
      <c r="V686" s="107"/>
      <c r="W686" s="107"/>
      <c r="X686" s="470"/>
      <c r="Y686" s="470"/>
      <c r="Z686" s="471"/>
      <c r="AA686" s="471"/>
      <c r="AB686" s="466"/>
      <c r="AC686" s="350"/>
      <c r="AD686" s="350"/>
      <c r="AE686" s="350"/>
      <c r="AF686" s="350"/>
    </row>
    <row r="687" spans="1:32" s="457" customFormat="1" ht="18" customHeight="1" x14ac:dyDescent="0.2">
      <c r="A687" s="145"/>
      <c r="B687" s="177"/>
      <c r="C687" s="177"/>
      <c r="D687" s="145"/>
      <c r="E687" s="145"/>
      <c r="F687" s="145"/>
      <c r="G687" s="145"/>
      <c r="H687" s="147"/>
      <c r="I687" s="107"/>
      <c r="J687" s="178"/>
      <c r="K687" s="107"/>
      <c r="L687" s="145"/>
      <c r="M687" s="145"/>
      <c r="N687" s="145"/>
      <c r="O687" s="145"/>
      <c r="P687" s="147"/>
      <c r="Q687" s="148"/>
      <c r="R687" s="437"/>
      <c r="S687" s="107"/>
      <c r="T687" s="437"/>
      <c r="U687" s="178"/>
      <c r="V687" s="107"/>
      <c r="W687" s="107"/>
      <c r="X687" s="470"/>
      <c r="Y687" s="470"/>
      <c r="Z687" s="471"/>
      <c r="AA687" s="471"/>
      <c r="AB687" s="466"/>
      <c r="AC687" s="350"/>
      <c r="AD687" s="350"/>
      <c r="AE687" s="350"/>
      <c r="AF687" s="350"/>
    </row>
    <row r="688" spans="1:32" s="597" customFormat="1" ht="18" customHeight="1" x14ac:dyDescent="0.2">
      <c r="A688" s="1850"/>
      <c r="B688" s="1850"/>
      <c r="C688" s="1850"/>
      <c r="D688" s="1850"/>
      <c r="E688" s="1850"/>
      <c r="F688" s="1850"/>
      <c r="G688" s="1850"/>
      <c r="H688" s="1851"/>
      <c r="I688" s="1852"/>
      <c r="J688" s="1853"/>
      <c r="K688" s="1852"/>
      <c r="L688" s="1852"/>
      <c r="M688" s="1852"/>
      <c r="N688" s="1852"/>
      <c r="O688" s="1852"/>
      <c r="P688" s="1852"/>
      <c r="Q688" s="1852"/>
      <c r="R688" s="1854"/>
      <c r="S688" s="1852"/>
      <c r="T688" s="1854"/>
      <c r="U688" s="1853"/>
      <c r="V688" s="1852"/>
      <c r="W688" s="1852"/>
      <c r="X688" s="1856"/>
      <c r="Y688" s="1856"/>
      <c r="Z688" s="1857"/>
      <c r="AA688" s="1857"/>
      <c r="AB688" s="1847">
        <f>SUM(AB670:AB687)</f>
        <v>336</v>
      </c>
      <c r="AC688" s="1861"/>
      <c r="AD688" s="1861"/>
      <c r="AE688" s="1861"/>
      <c r="AF688" s="1861"/>
    </row>
    <row r="689" spans="1:33" s="457" customFormat="1" ht="18" customHeight="1" x14ac:dyDescent="0.2">
      <c r="A689" s="2737" t="s">
        <v>76</v>
      </c>
      <c r="B689" s="2737"/>
      <c r="C689" s="2738" t="s">
        <v>77</v>
      </c>
      <c r="D689" s="2738"/>
      <c r="E689" s="2738"/>
      <c r="F689" s="2738"/>
      <c r="G689" s="2738"/>
      <c r="H689" s="2738"/>
      <c r="I689" s="457" t="s">
        <v>78</v>
      </c>
      <c r="T689" s="651"/>
      <c r="U689" s="478"/>
      <c r="AB689" s="478"/>
    </row>
    <row r="690" spans="1:33" s="457" customFormat="1" ht="18" customHeight="1" x14ac:dyDescent="0.2">
      <c r="A690" s="448"/>
      <c r="B690" s="479"/>
      <c r="I690" s="457" t="s">
        <v>79</v>
      </c>
      <c r="T690" s="651"/>
      <c r="U690" s="478"/>
      <c r="AB690" s="478"/>
    </row>
    <row r="691" spans="1:33" s="457" customFormat="1" ht="18" customHeight="1" x14ac:dyDescent="0.2">
      <c r="A691" s="448"/>
      <c r="B691" s="479"/>
      <c r="I691" s="457" t="s">
        <v>80</v>
      </c>
      <c r="T691" s="651"/>
      <c r="U691" s="478"/>
      <c r="AB691" s="478"/>
    </row>
    <row r="692" spans="1:33" s="457" customFormat="1" ht="18" customHeight="1" x14ac:dyDescent="0.2">
      <c r="A692" s="448"/>
      <c r="B692" s="479"/>
      <c r="I692" s="457" t="s">
        <v>81</v>
      </c>
      <c r="T692" s="651"/>
      <c r="U692" s="478"/>
      <c r="AB692" s="478"/>
    </row>
    <row r="693" spans="1:33" s="457" customFormat="1" ht="18" customHeight="1" x14ac:dyDescent="0.2">
      <c r="A693" s="448"/>
      <c r="B693" s="479"/>
      <c r="I693" s="457" t="s">
        <v>88</v>
      </c>
      <c r="T693" s="651"/>
      <c r="U693" s="478"/>
      <c r="AB693" s="478"/>
    </row>
    <row r="694" spans="1:33" s="457" customFormat="1" ht="18" customHeight="1" x14ac:dyDescent="0.2">
      <c r="A694" s="456"/>
      <c r="B694" s="455"/>
      <c r="C694" s="455"/>
      <c r="D694" s="455"/>
      <c r="E694" s="455"/>
      <c r="F694" s="455"/>
      <c r="G694" s="455"/>
      <c r="H694" s="455"/>
      <c r="I694" s="455"/>
      <c r="J694" s="455"/>
      <c r="K694" s="455"/>
      <c r="L694" s="455"/>
      <c r="M694" s="455"/>
      <c r="N694" s="455"/>
      <c r="O694" s="455"/>
      <c r="P694" s="455"/>
      <c r="Q694" s="455"/>
      <c r="R694" s="455"/>
      <c r="S694" s="455"/>
      <c r="T694" s="608"/>
      <c r="U694" s="609"/>
      <c r="V694" s="455"/>
      <c r="W694" s="455"/>
      <c r="X694" s="455"/>
      <c r="Y694" s="455"/>
      <c r="Z694" s="455"/>
      <c r="AA694" s="2705" t="s">
        <v>0</v>
      </c>
      <c r="AB694" s="2705"/>
      <c r="AC694" s="455"/>
      <c r="AD694" s="455"/>
      <c r="AE694" s="455"/>
      <c r="AF694" s="455"/>
    </row>
    <row r="695" spans="1:33" s="457" customFormat="1" ht="18" customHeight="1" x14ac:dyDescent="0.2">
      <c r="A695" s="2706" t="s">
        <v>1</v>
      </c>
      <c r="B695" s="2706"/>
      <c r="C695" s="2706"/>
      <c r="D695" s="2706"/>
      <c r="E695" s="2706"/>
      <c r="F695" s="2706"/>
      <c r="G695" s="2706"/>
      <c r="H695" s="2706"/>
      <c r="I695" s="2706"/>
      <c r="J695" s="2706"/>
      <c r="K695" s="2706"/>
      <c r="L695" s="2706"/>
      <c r="M695" s="2706"/>
      <c r="N695" s="2706"/>
      <c r="O695" s="2706"/>
      <c r="P695" s="2706"/>
      <c r="Q695" s="2706"/>
      <c r="R695" s="2706"/>
      <c r="S695" s="2706"/>
      <c r="T695" s="2706"/>
      <c r="U695" s="2706"/>
      <c r="V695" s="2706"/>
      <c r="W695" s="2706"/>
      <c r="X695" s="2706"/>
      <c r="Y695" s="2706"/>
      <c r="Z695" s="2706"/>
      <c r="AA695" s="2706"/>
      <c r="AB695" s="2706"/>
      <c r="AC695" s="610"/>
      <c r="AD695" s="610"/>
      <c r="AE695" s="610"/>
      <c r="AF695" s="610"/>
    </row>
    <row r="696" spans="1:33" s="457" customFormat="1" ht="18" customHeight="1" x14ac:dyDescent="0.2">
      <c r="A696" s="2704" t="s">
        <v>445</v>
      </c>
      <c r="B696" s="2704"/>
      <c r="C696" s="2704"/>
      <c r="D696" s="2704"/>
      <c r="E696" s="2704"/>
      <c r="F696" s="2704"/>
      <c r="G696" s="2704"/>
      <c r="H696" s="2704"/>
      <c r="I696" s="2704"/>
      <c r="J696" s="2704"/>
      <c r="K696" s="2704"/>
      <c r="L696" s="2704"/>
      <c r="M696" s="2704"/>
      <c r="N696" s="2704"/>
      <c r="O696" s="2704"/>
      <c r="P696" s="2704"/>
      <c r="Q696" s="2704"/>
      <c r="R696" s="2704"/>
      <c r="S696" s="2704"/>
      <c r="T696" s="2704"/>
      <c r="U696" s="2704"/>
      <c r="V696" s="2704"/>
      <c r="W696" s="2704"/>
      <c r="X696" s="2704"/>
      <c r="Y696" s="2704"/>
      <c r="Z696" s="2704"/>
      <c r="AA696" s="2704"/>
      <c r="AB696" s="2704"/>
      <c r="AC696" s="611"/>
      <c r="AD696" s="611"/>
      <c r="AE696" s="611"/>
      <c r="AF696" s="611"/>
    </row>
    <row r="697" spans="1:33" s="457" customFormat="1" ht="18" customHeight="1" x14ac:dyDescent="0.2">
      <c r="A697" s="2686" t="s">
        <v>2</v>
      </c>
      <c r="B697" s="360"/>
      <c r="C697" s="2686" t="s">
        <v>3</v>
      </c>
      <c r="D697" s="360"/>
      <c r="E697" s="360"/>
      <c r="F697" s="2693" t="s">
        <v>4</v>
      </c>
      <c r="G697" s="2693"/>
      <c r="H697" s="2693"/>
      <c r="I697" s="2694"/>
      <c r="J697" s="2694"/>
      <c r="K697" s="2695"/>
      <c r="L697" s="361"/>
      <c r="M697" s="2679" t="s">
        <v>5</v>
      </c>
      <c r="N697" s="2679"/>
      <c r="O697" s="2679"/>
      <c r="P697" s="2679"/>
      <c r="Q697" s="2696"/>
      <c r="R697" s="2696"/>
      <c r="S697" s="2696"/>
      <c r="T697" s="2696"/>
      <c r="U697" s="2696"/>
      <c r="V697" s="2697"/>
      <c r="W697" s="362" t="s">
        <v>6</v>
      </c>
      <c r="X697" s="363" t="s">
        <v>7</v>
      </c>
      <c r="Y697" s="364"/>
      <c r="Z697" s="364"/>
      <c r="AA697" s="363"/>
      <c r="AB697" s="458"/>
      <c r="AC697" s="612" t="s">
        <v>8</v>
      </c>
      <c r="AD697" s="613"/>
      <c r="AE697" s="613"/>
      <c r="AF697" s="614"/>
    </row>
    <row r="698" spans="1:33" s="457" customFormat="1" ht="18" customHeight="1" x14ac:dyDescent="0.2">
      <c r="A698" s="2687"/>
      <c r="B698" s="367"/>
      <c r="C698" s="2687"/>
      <c r="D698" s="366" t="s">
        <v>9</v>
      </c>
      <c r="E698" s="366" t="s">
        <v>10</v>
      </c>
      <c r="F698" s="2698" t="s">
        <v>11</v>
      </c>
      <c r="G698" s="2694"/>
      <c r="H698" s="2695"/>
      <c r="I698" s="360"/>
      <c r="J698" s="449" t="s">
        <v>12</v>
      </c>
      <c r="K698" s="360"/>
      <c r="L698" s="2679" t="s">
        <v>2</v>
      </c>
      <c r="M698" s="370"/>
      <c r="N698" s="370"/>
      <c r="O698" s="370"/>
      <c r="P698" s="371"/>
      <c r="Q698" s="459" t="s">
        <v>13</v>
      </c>
      <c r="R698" s="370" t="s">
        <v>12</v>
      </c>
      <c r="S698" s="370" t="s">
        <v>6</v>
      </c>
      <c r="T698" s="2682" t="s">
        <v>14</v>
      </c>
      <c r="U698" s="2683"/>
      <c r="V698" s="375" t="s">
        <v>7</v>
      </c>
      <c r="W698" s="376" t="s">
        <v>15</v>
      </c>
      <c r="X698" s="377" t="s">
        <v>16</v>
      </c>
      <c r="Y698" s="377" t="s">
        <v>17</v>
      </c>
      <c r="Z698" s="377" t="s">
        <v>18</v>
      </c>
      <c r="AA698" s="377"/>
      <c r="AB698" s="460" t="s">
        <v>19</v>
      </c>
      <c r="AC698" s="615" t="s">
        <v>20</v>
      </c>
      <c r="AD698" s="616"/>
      <c r="AE698" s="617" t="s">
        <v>21</v>
      </c>
      <c r="AF698" s="618" t="s">
        <v>22</v>
      </c>
    </row>
    <row r="699" spans="1:33" s="457" customFormat="1" ht="18" customHeight="1" x14ac:dyDescent="0.2">
      <c r="A699" s="2687"/>
      <c r="B699" s="366" t="s">
        <v>23</v>
      </c>
      <c r="C699" s="2687"/>
      <c r="D699" s="366" t="s">
        <v>24</v>
      </c>
      <c r="E699" s="366" t="s">
        <v>25</v>
      </c>
      <c r="F699" s="2699"/>
      <c r="G699" s="2700"/>
      <c r="H699" s="2701"/>
      <c r="I699" s="366" t="s">
        <v>26</v>
      </c>
      <c r="J699" s="380" t="s">
        <v>15</v>
      </c>
      <c r="K699" s="380" t="s">
        <v>6</v>
      </c>
      <c r="L699" s="2680"/>
      <c r="M699" s="381" t="s">
        <v>27</v>
      </c>
      <c r="N699" s="381" t="s">
        <v>10</v>
      </c>
      <c r="O699" s="381" t="s">
        <v>10</v>
      </c>
      <c r="P699" s="385" t="s">
        <v>28</v>
      </c>
      <c r="Q699" s="461" t="s">
        <v>29</v>
      </c>
      <c r="R699" s="385" t="s">
        <v>15</v>
      </c>
      <c r="S699" s="385" t="s">
        <v>15</v>
      </c>
      <c r="T699" s="2684"/>
      <c r="U699" s="2685"/>
      <c r="V699" s="375" t="s">
        <v>30</v>
      </c>
      <c r="W699" s="376" t="s">
        <v>31</v>
      </c>
      <c r="X699" s="377" t="s">
        <v>30</v>
      </c>
      <c r="Y699" s="377" t="s">
        <v>32</v>
      </c>
      <c r="Z699" s="377" t="s">
        <v>7</v>
      </c>
      <c r="AA699" s="377" t="s">
        <v>33</v>
      </c>
      <c r="AB699" s="460" t="s">
        <v>34</v>
      </c>
      <c r="AC699" s="615" t="s">
        <v>35</v>
      </c>
      <c r="AD699" s="617" t="s">
        <v>36</v>
      </c>
      <c r="AE699" s="617" t="s">
        <v>37</v>
      </c>
      <c r="AF699" s="618" t="s">
        <v>38</v>
      </c>
    </row>
    <row r="700" spans="1:33" s="457" customFormat="1" ht="18" customHeight="1" x14ac:dyDescent="0.2">
      <c r="A700" s="2687"/>
      <c r="B700" s="366" t="s">
        <v>39</v>
      </c>
      <c r="C700" s="2687"/>
      <c r="D700" s="366" t="s">
        <v>40</v>
      </c>
      <c r="E700" s="366" t="s">
        <v>41</v>
      </c>
      <c r="F700" s="2686" t="s">
        <v>42</v>
      </c>
      <c r="G700" s="2686" t="s">
        <v>43</v>
      </c>
      <c r="H700" s="2688" t="s">
        <v>44</v>
      </c>
      <c r="I700" s="366" t="s">
        <v>45</v>
      </c>
      <c r="J700" s="380" t="s">
        <v>46</v>
      </c>
      <c r="K700" s="380" t="s">
        <v>47</v>
      </c>
      <c r="L700" s="2680"/>
      <c r="M700" s="381" t="s">
        <v>30</v>
      </c>
      <c r="N700" s="381" t="s">
        <v>30</v>
      </c>
      <c r="O700" s="381" t="s">
        <v>25</v>
      </c>
      <c r="P700" s="385" t="s">
        <v>30</v>
      </c>
      <c r="Q700" s="461" t="s">
        <v>48</v>
      </c>
      <c r="R700" s="385" t="s">
        <v>49</v>
      </c>
      <c r="S700" s="385" t="s">
        <v>30</v>
      </c>
      <c r="T700" s="619" t="s">
        <v>50</v>
      </c>
      <c r="U700" s="620" t="s">
        <v>13</v>
      </c>
      <c r="V700" s="375" t="s">
        <v>51</v>
      </c>
      <c r="W700" s="376" t="s">
        <v>52</v>
      </c>
      <c r="X700" s="377" t="s">
        <v>53</v>
      </c>
      <c r="Y700" s="377" t="s">
        <v>54</v>
      </c>
      <c r="Z700" s="377" t="s">
        <v>55</v>
      </c>
      <c r="AA700" s="377" t="s">
        <v>56</v>
      </c>
      <c r="AB700" s="460" t="s">
        <v>57</v>
      </c>
      <c r="AC700" s="617" t="s">
        <v>58</v>
      </c>
      <c r="AD700" s="617" t="s">
        <v>59</v>
      </c>
      <c r="AE700" s="617" t="s">
        <v>59</v>
      </c>
      <c r="AF700" s="618" t="s">
        <v>60</v>
      </c>
    </row>
    <row r="701" spans="1:33" s="457" customFormat="1" ht="18" customHeight="1" x14ac:dyDescent="0.2">
      <c r="A701" s="2687"/>
      <c r="B701" s="366" t="s">
        <v>61</v>
      </c>
      <c r="C701" s="2687"/>
      <c r="D701" s="366" t="s">
        <v>62</v>
      </c>
      <c r="E701" s="366" t="s">
        <v>63</v>
      </c>
      <c r="F701" s="2687"/>
      <c r="G701" s="2687"/>
      <c r="H701" s="2689"/>
      <c r="I701" s="366" t="s">
        <v>64</v>
      </c>
      <c r="J701" s="380" t="s">
        <v>59</v>
      </c>
      <c r="K701" s="380" t="s">
        <v>59</v>
      </c>
      <c r="L701" s="2680"/>
      <c r="M701" s="381"/>
      <c r="N701" s="381"/>
      <c r="O701" s="381" t="s">
        <v>41</v>
      </c>
      <c r="P701" s="385" t="s">
        <v>65</v>
      </c>
      <c r="Q701" s="461" t="s">
        <v>66</v>
      </c>
      <c r="R701" s="385" t="s">
        <v>67</v>
      </c>
      <c r="S701" s="385" t="s">
        <v>59</v>
      </c>
      <c r="T701" s="621" t="s">
        <v>68</v>
      </c>
      <c r="U701" s="622" t="s">
        <v>14</v>
      </c>
      <c r="V701" s="375" t="s">
        <v>14</v>
      </c>
      <c r="W701" s="376" t="s">
        <v>30</v>
      </c>
      <c r="X701" s="388" t="s">
        <v>69</v>
      </c>
      <c r="Y701" s="388" t="s">
        <v>70</v>
      </c>
      <c r="Z701" s="377" t="s">
        <v>71</v>
      </c>
      <c r="AA701" s="377" t="s">
        <v>72</v>
      </c>
      <c r="AB701" s="460" t="s">
        <v>59</v>
      </c>
      <c r="AC701" s="617" t="s">
        <v>59</v>
      </c>
      <c r="AD701" s="617"/>
      <c r="AE701" s="617"/>
      <c r="AF701" s="618" t="s">
        <v>59</v>
      </c>
    </row>
    <row r="702" spans="1:33" s="457" customFormat="1" ht="18" customHeight="1" x14ac:dyDescent="0.2">
      <c r="A702" s="2692"/>
      <c r="B702" s="390"/>
      <c r="C702" s="2692"/>
      <c r="D702" s="390"/>
      <c r="E702" s="389"/>
      <c r="F702" s="390"/>
      <c r="G702" s="390"/>
      <c r="H702" s="391"/>
      <c r="I702" s="389"/>
      <c r="J702" s="393"/>
      <c r="K702" s="393"/>
      <c r="L702" s="2681"/>
      <c r="M702" s="394"/>
      <c r="N702" s="394"/>
      <c r="O702" s="394" t="s">
        <v>63</v>
      </c>
      <c r="P702" s="394"/>
      <c r="Q702" s="450" t="s">
        <v>72</v>
      </c>
      <c r="R702" s="398" t="s">
        <v>59</v>
      </c>
      <c r="S702" s="398"/>
      <c r="T702" s="623" t="s">
        <v>73</v>
      </c>
      <c r="U702" s="624" t="s">
        <v>59</v>
      </c>
      <c r="V702" s="399" t="s">
        <v>59</v>
      </c>
      <c r="W702" s="400" t="s">
        <v>59</v>
      </c>
      <c r="X702" s="401" t="s">
        <v>59</v>
      </c>
      <c r="Y702" s="401" t="s">
        <v>59</v>
      </c>
      <c r="Z702" s="401" t="s">
        <v>59</v>
      </c>
      <c r="AA702" s="402"/>
      <c r="AB702" s="462"/>
      <c r="AC702" s="625"/>
      <c r="AD702" s="625"/>
      <c r="AE702" s="625"/>
      <c r="AF702" s="626"/>
    </row>
    <row r="703" spans="1:33" s="457" customFormat="1" ht="18" customHeight="1" x14ac:dyDescent="0.2">
      <c r="A703" s="82">
        <v>1</v>
      </c>
      <c r="B703" s="1046">
        <v>62842</v>
      </c>
      <c r="C703" s="82">
        <v>1804</v>
      </c>
      <c r="D703" s="82" t="s">
        <v>139</v>
      </c>
      <c r="E703" s="82">
        <v>4</v>
      </c>
      <c r="F703" s="82">
        <v>0</v>
      </c>
      <c r="G703" s="82">
        <v>1</v>
      </c>
      <c r="H703" s="463">
        <v>0</v>
      </c>
      <c r="I703" s="70">
        <f>F703*400+G703*100+H703</f>
        <v>100</v>
      </c>
      <c r="J703" s="123">
        <v>280</v>
      </c>
      <c r="K703" s="198">
        <f>SUM(I703*J703)</f>
        <v>28000</v>
      </c>
      <c r="L703" s="82"/>
      <c r="M703" s="82"/>
      <c r="N703" s="82"/>
      <c r="O703" s="82"/>
      <c r="P703" s="82"/>
      <c r="Q703" s="770"/>
      <c r="R703" s="771"/>
      <c r="S703" s="67"/>
      <c r="T703" s="443"/>
      <c r="U703" s="67"/>
      <c r="V703" s="67"/>
      <c r="W703" s="67">
        <f>+K703</f>
        <v>28000</v>
      </c>
      <c r="X703" s="67">
        <f>W703</f>
        <v>28000</v>
      </c>
      <c r="Y703" s="67"/>
      <c r="Z703" s="67">
        <f>+X703</f>
        <v>28000</v>
      </c>
      <c r="AA703" s="464">
        <v>0.6</v>
      </c>
      <c r="AB703" s="465">
        <f>+Z703*AA703/100</f>
        <v>168</v>
      </c>
      <c r="AC703" s="602"/>
      <c r="AD703" s="603" t="e">
        <f>#REF!-AC703</f>
        <v>#REF!</v>
      </c>
      <c r="AE703" s="603" t="e">
        <f>IF(AD703&lt;=0,0,AD703*25/100)</f>
        <v>#REF!</v>
      </c>
      <c r="AF703" s="603" t="e">
        <f>IF(AC703+AE703&gt;#REF!,#REF!,AC703+AE703)</f>
        <v>#REF!</v>
      </c>
      <c r="AG703" s="1750" t="s">
        <v>387</v>
      </c>
    </row>
    <row r="704" spans="1:33" s="457" customFormat="1" ht="18" customHeight="1" x14ac:dyDescent="0.2">
      <c r="A704" s="145"/>
      <c r="B704" s="239"/>
      <c r="C704" s="88"/>
      <c r="D704" s="88"/>
      <c r="E704" s="88"/>
      <c r="F704" s="88"/>
      <c r="G704" s="88"/>
      <c r="H704" s="495"/>
      <c r="I704" s="77"/>
      <c r="J704" s="107"/>
      <c r="K704" s="78"/>
      <c r="L704" s="88"/>
      <c r="M704" s="88"/>
      <c r="N704" s="88"/>
      <c r="O704" s="88"/>
      <c r="P704" s="88"/>
      <c r="Q704" s="129"/>
      <c r="R704" s="446"/>
      <c r="S704" s="73"/>
      <c r="T704" s="440"/>
      <c r="U704" s="73"/>
      <c r="V704" s="73"/>
      <c r="W704" s="73"/>
      <c r="X704" s="73"/>
      <c r="Y704" s="73"/>
      <c r="Z704" s="73"/>
      <c r="AA704" s="417"/>
      <c r="AB704" s="466"/>
      <c r="AC704" s="603"/>
      <c r="AD704" s="603"/>
      <c r="AE704" s="603"/>
      <c r="AF704" s="603"/>
    </row>
    <row r="705" spans="1:32" s="457" customFormat="1" ht="18" customHeight="1" x14ac:dyDescent="0.2">
      <c r="A705" s="242"/>
      <c r="B705" s="242"/>
      <c r="C705" s="496"/>
      <c r="D705" s="88"/>
      <c r="E705" s="85"/>
      <c r="F705" s="411"/>
      <c r="G705" s="242"/>
      <c r="H705" s="497"/>
      <c r="I705" s="74"/>
      <c r="J705" s="121"/>
      <c r="K705" s="159"/>
      <c r="L705" s="242"/>
      <c r="M705" s="75"/>
      <c r="N705" s="75"/>
      <c r="O705" s="75"/>
      <c r="P705" s="188"/>
      <c r="Q705" s="174"/>
      <c r="R705" s="413"/>
      <c r="S705" s="74"/>
      <c r="T705" s="413"/>
      <c r="U705" s="74"/>
      <c r="V705" s="74"/>
      <c r="W705" s="73"/>
      <c r="X705" s="73"/>
      <c r="Y705" s="73"/>
      <c r="Z705" s="73"/>
      <c r="AA705" s="414"/>
      <c r="AB705" s="466"/>
      <c r="AC705" s="350"/>
      <c r="AD705" s="350"/>
      <c r="AE705" s="350"/>
      <c r="AF705" s="350"/>
    </row>
    <row r="706" spans="1:32" s="457" customFormat="1" ht="18" customHeight="1" x14ac:dyDescent="0.2">
      <c r="A706" s="241"/>
      <c r="B706" s="241"/>
      <c r="C706" s="496"/>
      <c r="D706" s="88"/>
      <c r="E706" s="85"/>
      <c r="F706" s="411"/>
      <c r="G706" s="242"/>
      <c r="H706" s="497"/>
      <c r="I706" s="74"/>
      <c r="J706" s="121"/>
      <c r="K706" s="159"/>
      <c r="L706" s="242"/>
      <c r="M706" s="242"/>
      <c r="N706" s="242"/>
      <c r="O706" s="242"/>
      <c r="P706" s="497"/>
      <c r="Q706" s="496"/>
      <c r="R706" s="503"/>
      <c r="S706" s="504"/>
      <c r="T706" s="503"/>
      <c r="U706" s="504"/>
      <c r="V706" s="504"/>
      <c r="W706" s="73"/>
      <c r="X706" s="73"/>
      <c r="Y706" s="73"/>
      <c r="Z706" s="73"/>
      <c r="AA706" s="414"/>
      <c r="AB706" s="466"/>
      <c r="AC706" s="350"/>
      <c r="AD706" s="350"/>
      <c r="AE706" s="350"/>
      <c r="AF706" s="350"/>
    </row>
    <row r="707" spans="1:32" s="457" customFormat="1" ht="18" customHeight="1" x14ac:dyDescent="0.2">
      <c r="A707" s="241"/>
      <c r="B707" s="241"/>
      <c r="C707" s="498"/>
      <c r="D707" s="145"/>
      <c r="E707" s="102"/>
      <c r="F707" s="499"/>
      <c r="G707" s="241"/>
      <c r="H707" s="500"/>
      <c r="I707" s="77"/>
      <c r="J707" s="107"/>
      <c r="K707" s="78"/>
      <c r="L707" s="241"/>
      <c r="M707" s="241"/>
      <c r="N707" s="241"/>
      <c r="O707" s="241"/>
      <c r="P707" s="500"/>
      <c r="Q707" s="498"/>
      <c r="R707" s="501"/>
      <c r="S707" s="103"/>
      <c r="T707" s="501"/>
      <c r="U707" s="103"/>
      <c r="V707" s="103"/>
      <c r="W707" s="94"/>
      <c r="X707" s="94"/>
      <c r="Y707" s="94"/>
      <c r="Z707" s="94"/>
      <c r="AA707" s="409"/>
      <c r="AB707" s="466"/>
      <c r="AC707" s="350"/>
      <c r="AD707" s="350"/>
      <c r="AE707" s="350"/>
      <c r="AF707" s="350"/>
    </row>
    <row r="708" spans="1:32" s="457" customFormat="1" ht="18" customHeight="1" x14ac:dyDescent="0.2">
      <c r="A708" s="241"/>
      <c r="B708" s="241"/>
      <c r="C708" s="498"/>
      <c r="D708" s="145"/>
      <c r="E708" s="102"/>
      <c r="F708" s="499"/>
      <c r="G708" s="241"/>
      <c r="H708" s="500"/>
      <c r="I708" s="77"/>
      <c r="J708" s="107"/>
      <c r="K708" s="78"/>
      <c r="L708" s="241"/>
      <c r="M708" s="241"/>
      <c r="N708" s="241"/>
      <c r="O708" s="241"/>
      <c r="P708" s="500"/>
      <c r="Q708" s="498"/>
      <c r="R708" s="501"/>
      <c r="S708" s="103"/>
      <c r="T708" s="501"/>
      <c r="U708" s="103"/>
      <c r="V708" s="103"/>
      <c r="W708" s="94"/>
      <c r="X708" s="94"/>
      <c r="Y708" s="94"/>
      <c r="Z708" s="94"/>
      <c r="AA708" s="409"/>
      <c r="AB708" s="466"/>
      <c r="AC708" s="350"/>
      <c r="AD708" s="350"/>
      <c r="AE708" s="350"/>
      <c r="AF708" s="350"/>
    </row>
    <row r="709" spans="1:32" s="457" customFormat="1" ht="18" customHeight="1" x14ac:dyDescent="0.2">
      <c r="A709" s="241"/>
      <c r="B709" s="241"/>
      <c r="C709" s="498"/>
      <c r="D709" s="145"/>
      <c r="E709" s="102"/>
      <c r="F709" s="499"/>
      <c r="G709" s="241"/>
      <c r="H709" s="500"/>
      <c r="I709" s="77"/>
      <c r="J709" s="107"/>
      <c r="K709" s="78"/>
      <c r="L709" s="241"/>
      <c r="M709" s="241"/>
      <c r="N709" s="241"/>
      <c r="O709" s="241"/>
      <c r="P709" s="500"/>
      <c r="Q709" s="498"/>
      <c r="R709" s="501"/>
      <c r="S709" s="103"/>
      <c r="T709" s="501"/>
      <c r="U709" s="103"/>
      <c r="V709" s="103"/>
      <c r="W709" s="94"/>
      <c r="X709" s="94"/>
      <c r="Y709" s="94"/>
      <c r="Z709" s="94"/>
      <c r="AA709" s="409"/>
      <c r="AB709" s="466"/>
      <c r="AC709" s="350"/>
      <c r="AD709" s="350"/>
      <c r="AE709" s="350"/>
      <c r="AF709" s="350"/>
    </row>
    <row r="710" spans="1:32" s="457" customFormat="1" ht="18" customHeight="1" x14ac:dyDescent="0.2">
      <c r="A710" s="241"/>
      <c r="B710" s="241"/>
      <c r="C710" s="498"/>
      <c r="D710" s="145"/>
      <c r="E710" s="102"/>
      <c r="F710" s="499"/>
      <c r="G710" s="241"/>
      <c r="H710" s="500"/>
      <c r="I710" s="77"/>
      <c r="J710" s="107"/>
      <c r="K710" s="78"/>
      <c r="L710" s="241"/>
      <c r="M710" s="241"/>
      <c r="N710" s="241"/>
      <c r="O710" s="241"/>
      <c r="P710" s="500"/>
      <c r="Q710" s="498"/>
      <c r="R710" s="501"/>
      <c r="S710" s="103"/>
      <c r="T710" s="501"/>
      <c r="U710" s="103"/>
      <c r="V710" s="103"/>
      <c r="W710" s="94"/>
      <c r="X710" s="94"/>
      <c r="Y710" s="94"/>
      <c r="Z710" s="94"/>
      <c r="AA710" s="409"/>
      <c r="AB710" s="466"/>
      <c r="AC710" s="350"/>
      <c r="AD710" s="350"/>
      <c r="AE710" s="350"/>
      <c r="AF710" s="350"/>
    </row>
    <row r="711" spans="1:32" s="457" customFormat="1" ht="18" customHeight="1" x14ac:dyDescent="0.2">
      <c r="A711" s="241"/>
      <c r="B711" s="241"/>
      <c r="C711" s="498"/>
      <c r="D711" s="145"/>
      <c r="E711" s="102"/>
      <c r="F711" s="499"/>
      <c r="G711" s="241"/>
      <c r="H711" s="500"/>
      <c r="I711" s="77"/>
      <c r="J711" s="107"/>
      <c r="K711" s="78"/>
      <c r="L711" s="241"/>
      <c r="M711" s="241"/>
      <c r="N711" s="241"/>
      <c r="O711" s="241"/>
      <c r="P711" s="500"/>
      <c r="Q711" s="498"/>
      <c r="R711" s="501"/>
      <c r="S711" s="103"/>
      <c r="T711" s="501"/>
      <c r="U711" s="103"/>
      <c r="V711" s="103"/>
      <c r="W711" s="94"/>
      <c r="X711" s="94"/>
      <c r="Y711" s="94"/>
      <c r="Z711" s="94"/>
      <c r="AA711" s="409"/>
      <c r="AB711" s="466"/>
      <c r="AC711" s="350"/>
      <c r="AD711" s="350"/>
      <c r="AE711" s="350"/>
      <c r="AF711" s="350"/>
    </row>
    <row r="712" spans="1:32" s="457" customFormat="1" ht="18" customHeight="1" x14ac:dyDescent="0.2">
      <c r="A712" s="241"/>
      <c r="B712" s="241"/>
      <c r="C712" s="498"/>
      <c r="D712" s="145"/>
      <c r="E712" s="102"/>
      <c r="F712" s="499"/>
      <c r="G712" s="241"/>
      <c r="H712" s="500"/>
      <c r="I712" s="77"/>
      <c r="J712" s="107"/>
      <c r="K712" s="78"/>
      <c r="L712" s="241"/>
      <c r="M712" s="241"/>
      <c r="N712" s="241"/>
      <c r="O712" s="241"/>
      <c r="P712" s="500"/>
      <c r="Q712" s="498"/>
      <c r="R712" s="501"/>
      <c r="S712" s="103"/>
      <c r="T712" s="501"/>
      <c r="U712" s="103"/>
      <c r="V712" s="103"/>
      <c r="W712" s="94"/>
      <c r="X712" s="94"/>
      <c r="Y712" s="94"/>
      <c r="Z712" s="94"/>
      <c r="AA712" s="409"/>
      <c r="AB712" s="466"/>
      <c r="AC712" s="350"/>
      <c r="AD712" s="350"/>
      <c r="AE712" s="350"/>
      <c r="AF712" s="350"/>
    </row>
    <row r="713" spans="1:32" s="457" customFormat="1" ht="18" customHeight="1" x14ac:dyDescent="0.2">
      <c r="A713" s="241"/>
      <c r="B713" s="241"/>
      <c r="C713" s="498"/>
      <c r="D713" s="145"/>
      <c r="E713" s="102"/>
      <c r="F713" s="499"/>
      <c r="G713" s="241"/>
      <c r="H713" s="500"/>
      <c r="I713" s="77"/>
      <c r="J713" s="107"/>
      <c r="K713" s="78"/>
      <c r="L713" s="241"/>
      <c r="M713" s="241"/>
      <c r="N713" s="241"/>
      <c r="O713" s="241"/>
      <c r="P713" s="500"/>
      <c r="Q713" s="498"/>
      <c r="R713" s="501"/>
      <c r="S713" s="103"/>
      <c r="T713" s="501"/>
      <c r="U713" s="103"/>
      <c r="V713" s="103"/>
      <c r="W713" s="94"/>
      <c r="X713" s="94"/>
      <c r="Y713" s="94"/>
      <c r="Z713" s="94"/>
      <c r="AA713" s="409"/>
      <c r="AB713" s="466"/>
      <c r="AC713" s="350"/>
      <c r="AD713" s="350"/>
      <c r="AE713" s="350"/>
      <c r="AF713" s="350"/>
    </row>
    <row r="714" spans="1:32" s="457" customFormat="1" ht="18" customHeight="1" x14ac:dyDescent="0.2">
      <c r="A714" s="241"/>
      <c r="B714" s="241"/>
      <c r="C714" s="498"/>
      <c r="D714" s="145"/>
      <c r="E714" s="102"/>
      <c r="F714" s="499"/>
      <c r="G714" s="241"/>
      <c r="H714" s="500"/>
      <c r="I714" s="77"/>
      <c r="J714" s="107"/>
      <c r="K714" s="78"/>
      <c r="L714" s="241"/>
      <c r="M714" s="241"/>
      <c r="N714" s="241"/>
      <c r="O714" s="241"/>
      <c r="P714" s="500"/>
      <c r="Q714" s="498"/>
      <c r="R714" s="501"/>
      <c r="S714" s="103"/>
      <c r="T714" s="501"/>
      <c r="U714" s="103"/>
      <c r="V714" s="103"/>
      <c r="W714" s="94"/>
      <c r="X714" s="94"/>
      <c r="Y714" s="94"/>
      <c r="Z714" s="94"/>
      <c r="AA714" s="409"/>
      <c r="AB714" s="466"/>
      <c r="AC714" s="350"/>
      <c r="AD714" s="350"/>
      <c r="AE714" s="350"/>
      <c r="AF714" s="350"/>
    </row>
    <row r="715" spans="1:32" s="457" customFormat="1" ht="18" customHeight="1" x14ac:dyDescent="0.2">
      <c r="A715" s="241"/>
      <c r="B715" s="241"/>
      <c r="C715" s="498"/>
      <c r="D715" s="145"/>
      <c r="E715" s="102"/>
      <c r="F715" s="499"/>
      <c r="G715" s="241"/>
      <c r="H715" s="500"/>
      <c r="I715" s="77"/>
      <c r="J715" s="107"/>
      <c r="K715" s="78"/>
      <c r="L715" s="241"/>
      <c r="M715" s="241"/>
      <c r="N715" s="241"/>
      <c r="O715" s="241"/>
      <c r="P715" s="500"/>
      <c r="Q715" s="498"/>
      <c r="R715" s="501"/>
      <c r="S715" s="103"/>
      <c r="T715" s="501"/>
      <c r="U715" s="103"/>
      <c r="V715" s="103"/>
      <c r="W715" s="94"/>
      <c r="X715" s="94"/>
      <c r="Y715" s="94"/>
      <c r="Z715" s="94"/>
      <c r="AA715" s="409"/>
      <c r="AB715" s="466"/>
      <c r="AC715" s="350"/>
      <c r="AD715" s="350"/>
      <c r="AE715" s="350"/>
      <c r="AF715" s="350"/>
    </row>
    <row r="716" spans="1:32" s="457" customFormat="1" ht="18" customHeight="1" x14ac:dyDescent="0.2">
      <c r="A716" s="241"/>
      <c r="B716" s="241"/>
      <c r="C716" s="498"/>
      <c r="D716" s="145"/>
      <c r="E716" s="102"/>
      <c r="F716" s="499"/>
      <c r="G716" s="241"/>
      <c r="H716" s="500"/>
      <c r="I716" s="77"/>
      <c r="J716" s="107"/>
      <c r="K716" s="78"/>
      <c r="L716" s="241"/>
      <c r="M716" s="241"/>
      <c r="N716" s="241"/>
      <c r="O716" s="241"/>
      <c r="P716" s="500"/>
      <c r="Q716" s="498"/>
      <c r="R716" s="501"/>
      <c r="S716" s="103"/>
      <c r="T716" s="501"/>
      <c r="U716" s="103"/>
      <c r="V716" s="103"/>
      <c r="W716" s="94"/>
      <c r="X716" s="94"/>
      <c r="Y716" s="94"/>
      <c r="Z716" s="94"/>
      <c r="AA716" s="409"/>
      <c r="AB716" s="466"/>
      <c r="AC716" s="350"/>
      <c r="AD716" s="350"/>
      <c r="AE716" s="350"/>
      <c r="AF716" s="350"/>
    </row>
    <row r="717" spans="1:32" s="457" customFormat="1" ht="18" customHeight="1" x14ac:dyDescent="0.2">
      <c r="A717" s="241"/>
      <c r="B717" s="241"/>
      <c r="C717" s="498"/>
      <c r="D717" s="145"/>
      <c r="E717" s="102"/>
      <c r="F717" s="499"/>
      <c r="G717" s="241"/>
      <c r="H717" s="500"/>
      <c r="I717" s="77"/>
      <c r="J717" s="107"/>
      <c r="K717" s="78"/>
      <c r="L717" s="241"/>
      <c r="M717" s="241"/>
      <c r="N717" s="241"/>
      <c r="O717" s="241"/>
      <c r="P717" s="500"/>
      <c r="Q717" s="498"/>
      <c r="R717" s="501"/>
      <c r="S717" s="103"/>
      <c r="T717" s="501"/>
      <c r="U717" s="103"/>
      <c r="V717" s="103"/>
      <c r="W717" s="94"/>
      <c r="X717" s="94"/>
      <c r="Y717" s="94"/>
      <c r="Z717" s="94"/>
      <c r="AA717" s="409"/>
      <c r="AB717" s="466"/>
      <c r="AC717" s="350"/>
      <c r="AD717" s="350"/>
      <c r="AE717" s="350"/>
      <c r="AF717" s="350"/>
    </row>
    <row r="718" spans="1:32" s="457" customFormat="1" ht="18" customHeight="1" x14ac:dyDescent="0.2">
      <c r="A718" s="241"/>
      <c r="B718" s="241"/>
      <c r="C718" s="498"/>
      <c r="D718" s="145"/>
      <c r="E718" s="102"/>
      <c r="F718" s="499"/>
      <c r="G718" s="241"/>
      <c r="H718" s="500"/>
      <c r="I718" s="77"/>
      <c r="J718" s="107"/>
      <c r="K718" s="78"/>
      <c r="L718" s="241"/>
      <c r="M718" s="241"/>
      <c r="N718" s="241"/>
      <c r="O718" s="241"/>
      <c r="P718" s="500"/>
      <c r="Q718" s="498"/>
      <c r="R718" s="501"/>
      <c r="S718" s="103"/>
      <c r="T718" s="501"/>
      <c r="U718" s="103"/>
      <c r="V718" s="103"/>
      <c r="W718" s="94"/>
      <c r="X718" s="94"/>
      <c r="Y718" s="94"/>
      <c r="Z718" s="94"/>
      <c r="AA718" s="409"/>
      <c r="AB718" s="466"/>
      <c r="AC718" s="350"/>
      <c r="AD718" s="350"/>
      <c r="AE718" s="350"/>
      <c r="AF718" s="350"/>
    </row>
    <row r="719" spans="1:32" s="457" customFormat="1" ht="18" customHeight="1" x14ac:dyDescent="0.2">
      <c r="A719" s="241"/>
      <c r="B719" s="241"/>
      <c r="C719" s="498"/>
      <c r="D719" s="145"/>
      <c r="E719" s="102"/>
      <c r="F719" s="499"/>
      <c r="G719" s="241"/>
      <c r="H719" s="500"/>
      <c r="I719" s="77"/>
      <c r="J719" s="107"/>
      <c r="K719" s="78"/>
      <c r="L719" s="241"/>
      <c r="M719" s="241"/>
      <c r="N719" s="241"/>
      <c r="O719" s="241"/>
      <c r="P719" s="500"/>
      <c r="Q719" s="498"/>
      <c r="R719" s="501"/>
      <c r="S719" s="103"/>
      <c r="T719" s="501"/>
      <c r="U719" s="103"/>
      <c r="V719" s="103"/>
      <c r="W719" s="94"/>
      <c r="X719" s="94"/>
      <c r="Y719" s="94"/>
      <c r="Z719" s="94"/>
      <c r="AA719" s="409"/>
      <c r="AB719" s="466"/>
      <c r="AC719" s="350"/>
      <c r="AD719" s="350"/>
      <c r="AE719" s="350"/>
      <c r="AF719" s="350"/>
    </row>
    <row r="720" spans="1:32" s="457" customFormat="1" ht="18" customHeight="1" x14ac:dyDescent="0.2">
      <c r="A720" s="241"/>
      <c r="B720" s="241"/>
      <c r="C720" s="498"/>
      <c r="D720" s="145"/>
      <c r="E720" s="102"/>
      <c r="F720" s="499"/>
      <c r="G720" s="241"/>
      <c r="H720" s="500"/>
      <c r="I720" s="77"/>
      <c r="J720" s="107"/>
      <c r="K720" s="78"/>
      <c r="L720" s="241"/>
      <c r="M720" s="241"/>
      <c r="N720" s="241"/>
      <c r="O720" s="241"/>
      <c r="P720" s="500"/>
      <c r="Q720" s="498"/>
      <c r="R720" s="501"/>
      <c r="S720" s="103"/>
      <c r="T720" s="501"/>
      <c r="U720" s="103"/>
      <c r="V720" s="103"/>
      <c r="W720" s="94"/>
      <c r="X720" s="94"/>
      <c r="Y720" s="94"/>
      <c r="Z720" s="94"/>
      <c r="AA720" s="409"/>
      <c r="AB720" s="466"/>
      <c r="AC720" s="350"/>
      <c r="AD720" s="350"/>
      <c r="AE720" s="350"/>
      <c r="AF720" s="350"/>
    </row>
    <row r="721" spans="1:33" s="597" customFormat="1" ht="18" customHeight="1" x14ac:dyDescent="0.2">
      <c r="A721" s="1147"/>
      <c r="B721" s="1867"/>
      <c r="C721" s="1867"/>
      <c r="D721" s="1147"/>
      <c r="E721" s="1147"/>
      <c r="F721" s="1147"/>
      <c r="G721" s="1147"/>
      <c r="H721" s="1151"/>
      <c r="I721" s="1868"/>
      <c r="J721" s="1869"/>
      <c r="K721" s="1868"/>
      <c r="L721" s="1147"/>
      <c r="M721" s="1147"/>
      <c r="N721" s="1147"/>
      <c r="O721" s="1147"/>
      <c r="P721" s="1151"/>
      <c r="Q721" s="1871"/>
      <c r="R721" s="1872"/>
      <c r="S721" s="1868"/>
      <c r="T721" s="1872"/>
      <c r="U721" s="1869"/>
      <c r="V721" s="1868"/>
      <c r="W721" s="1868"/>
      <c r="X721" s="1873"/>
      <c r="Y721" s="1873"/>
      <c r="Z721" s="1874"/>
      <c r="AA721" s="1874"/>
      <c r="AB721" s="1849">
        <f>SUM(AB703:AB720)</f>
        <v>168</v>
      </c>
      <c r="AC721" s="1875"/>
      <c r="AD721" s="1875"/>
      <c r="AE721" s="1875"/>
      <c r="AF721" s="1875"/>
    </row>
    <row r="722" spans="1:33" s="457" customFormat="1" ht="18" customHeight="1" x14ac:dyDescent="0.2">
      <c r="A722" s="2737" t="s">
        <v>76</v>
      </c>
      <c r="B722" s="2737"/>
      <c r="C722" s="2738" t="s">
        <v>77</v>
      </c>
      <c r="D722" s="2738"/>
      <c r="E722" s="2738"/>
      <c r="F722" s="2738"/>
      <c r="G722" s="2738"/>
      <c r="H722" s="2738"/>
      <c r="I722" s="457" t="s">
        <v>78</v>
      </c>
      <c r="T722" s="651"/>
      <c r="U722" s="478"/>
      <c r="AB722" s="478"/>
    </row>
    <row r="723" spans="1:33" s="457" customFormat="1" ht="18" customHeight="1" x14ac:dyDescent="0.2">
      <c r="A723" s="448"/>
      <c r="B723" s="479"/>
      <c r="I723" s="457" t="s">
        <v>79</v>
      </c>
      <c r="T723" s="651"/>
      <c r="U723" s="478"/>
      <c r="AB723" s="478"/>
    </row>
    <row r="724" spans="1:33" s="457" customFormat="1" ht="18" customHeight="1" x14ac:dyDescent="0.2">
      <c r="A724" s="448"/>
      <c r="B724" s="479"/>
      <c r="I724" s="457" t="s">
        <v>80</v>
      </c>
      <c r="T724" s="651"/>
      <c r="U724" s="478"/>
      <c r="AB724" s="478"/>
    </row>
    <row r="725" spans="1:33" s="457" customFormat="1" ht="18" customHeight="1" x14ac:dyDescent="0.2">
      <c r="A725" s="448"/>
      <c r="B725" s="479"/>
      <c r="I725" s="457" t="s">
        <v>81</v>
      </c>
      <c r="T725" s="651"/>
      <c r="U725" s="478"/>
      <c r="AB725" s="478"/>
    </row>
    <row r="726" spans="1:33" s="457" customFormat="1" ht="18" customHeight="1" x14ac:dyDescent="0.2">
      <c r="A726" s="448"/>
      <c r="B726" s="479"/>
      <c r="I726" s="457" t="s">
        <v>88</v>
      </c>
      <c r="T726" s="651"/>
      <c r="U726" s="478"/>
      <c r="AB726" s="478"/>
    </row>
    <row r="727" spans="1:33" s="457" customFormat="1" ht="18" customHeight="1" x14ac:dyDescent="0.2">
      <c r="A727" s="456"/>
      <c r="B727" s="455"/>
      <c r="C727" s="455"/>
      <c r="D727" s="455"/>
      <c r="E727" s="455"/>
      <c r="F727" s="455"/>
      <c r="G727" s="455"/>
      <c r="H727" s="455"/>
      <c r="I727" s="455"/>
      <c r="J727" s="455"/>
      <c r="K727" s="455"/>
      <c r="L727" s="455"/>
      <c r="M727" s="455"/>
      <c r="N727" s="455"/>
      <c r="O727" s="455"/>
      <c r="P727" s="455"/>
      <c r="Q727" s="455"/>
      <c r="R727" s="455"/>
      <c r="S727" s="455"/>
      <c r="T727" s="608"/>
      <c r="U727" s="609"/>
      <c r="V727" s="455"/>
      <c r="W727" s="455"/>
      <c r="X727" s="455"/>
      <c r="Y727" s="455"/>
      <c r="Z727" s="455"/>
      <c r="AA727" s="2705" t="s">
        <v>0</v>
      </c>
      <c r="AB727" s="2705"/>
      <c r="AC727" s="455"/>
      <c r="AD727" s="455"/>
      <c r="AE727" s="455"/>
      <c r="AF727" s="455"/>
    </row>
    <row r="728" spans="1:33" s="457" customFormat="1" ht="18" customHeight="1" x14ac:dyDescent="0.2">
      <c r="A728" s="2706" t="s">
        <v>1</v>
      </c>
      <c r="B728" s="2706"/>
      <c r="C728" s="2706"/>
      <c r="D728" s="2706"/>
      <c r="E728" s="2706"/>
      <c r="F728" s="2706"/>
      <c r="G728" s="2706"/>
      <c r="H728" s="2706"/>
      <c r="I728" s="2706"/>
      <c r="J728" s="2706"/>
      <c r="K728" s="2706"/>
      <c r="L728" s="2706"/>
      <c r="M728" s="2706"/>
      <c r="N728" s="2706"/>
      <c r="O728" s="2706"/>
      <c r="P728" s="2706"/>
      <c r="Q728" s="2706"/>
      <c r="R728" s="2706"/>
      <c r="S728" s="2706"/>
      <c r="T728" s="2706"/>
      <c r="U728" s="2706"/>
      <c r="V728" s="2706"/>
      <c r="W728" s="2706"/>
      <c r="X728" s="2706"/>
      <c r="Y728" s="2706"/>
      <c r="Z728" s="2706"/>
      <c r="AA728" s="2706"/>
      <c r="AB728" s="2706"/>
      <c r="AC728" s="610"/>
      <c r="AD728" s="610"/>
      <c r="AE728" s="610"/>
      <c r="AF728" s="610"/>
    </row>
    <row r="729" spans="1:33" s="457" customFormat="1" ht="18" customHeight="1" x14ac:dyDescent="0.2">
      <c r="A729" s="2704" t="s">
        <v>446</v>
      </c>
      <c r="B729" s="2704"/>
      <c r="C729" s="2704"/>
      <c r="D729" s="2704"/>
      <c r="E729" s="2704"/>
      <c r="F729" s="2704"/>
      <c r="G729" s="2704"/>
      <c r="H729" s="2704"/>
      <c r="I729" s="2704"/>
      <c r="J729" s="2704"/>
      <c r="K729" s="2704"/>
      <c r="L729" s="2704"/>
      <c r="M729" s="2704"/>
      <c r="N729" s="2704"/>
      <c r="O729" s="2704"/>
      <c r="P729" s="2704"/>
      <c r="Q729" s="2704"/>
      <c r="R729" s="2704"/>
      <c r="S729" s="2704"/>
      <c r="T729" s="2704"/>
      <c r="U729" s="2704"/>
      <c r="V729" s="2704"/>
      <c r="W729" s="2704"/>
      <c r="X729" s="2704"/>
      <c r="Y729" s="2704"/>
      <c r="Z729" s="2704"/>
      <c r="AA729" s="2704"/>
      <c r="AB729" s="2704"/>
      <c r="AC729" s="611"/>
      <c r="AD729" s="611"/>
      <c r="AE729" s="611"/>
      <c r="AF729" s="611"/>
    </row>
    <row r="730" spans="1:33" s="457" customFormat="1" ht="18" customHeight="1" x14ac:dyDescent="0.2">
      <c r="A730" s="2686" t="s">
        <v>2</v>
      </c>
      <c r="B730" s="360"/>
      <c r="C730" s="2686" t="s">
        <v>3</v>
      </c>
      <c r="D730" s="360"/>
      <c r="E730" s="360"/>
      <c r="F730" s="2693" t="s">
        <v>4</v>
      </c>
      <c r="G730" s="2693"/>
      <c r="H730" s="2693"/>
      <c r="I730" s="2694"/>
      <c r="J730" s="2694"/>
      <c r="K730" s="2695"/>
      <c r="L730" s="361"/>
      <c r="M730" s="2679" t="s">
        <v>5</v>
      </c>
      <c r="N730" s="2679"/>
      <c r="O730" s="2679"/>
      <c r="P730" s="2679"/>
      <c r="Q730" s="2696"/>
      <c r="R730" s="2696"/>
      <c r="S730" s="2696"/>
      <c r="T730" s="2696"/>
      <c r="U730" s="2696"/>
      <c r="V730" s="2697"/>
      <c r="W730" s="362" t="s">
        <v>6</v>
      </c>
      <c r="X730" s="363" t="s">
        <v>7</v>
      </c>
      <c r="Y730" s="364"/>
      <c r="Z730" s="364"/>
      <c r="AA730" s="363"/>
      <c r="AB730" s="458"/>
      <c r="AC730" s="612" t="s">
        <v>8</v>
      </c>
      <c r="AD730" s="613"/>
      <c r="AE730" s="613"/>
      <c r="AF730" s="614"/>
    </row>
    <row r="731" spans="1:33" s="457" customFormat="1" ht="18" customHeight="1" x14ac:dyDescent="0.2">
      <c r="A731" s="2687"/>
      <c r="B731" s="367"/>
      <c r="C731" s="2687"/>
      <c r="D731" s="366" t="s">
        <v>9</v>
      </c>
      <c r="E731" s="366" t="s">
        <v>10</v>
      </c>
      <c r="F731" s="2698" t="s">
        <v>11</v>
      </c>
      <c r="G731" s="2694"/>
      <c r="H731" s="2695"/>
      <c r="I731" s="360"/>
      <c r="J731" s="449" t="s">
        <v>12</v>
      </c>
      <c r="K731" s="360"/>
      <c r="L731" s="2679" t="s">
        <v>2</v>
      </c>
      <c r="M731" s="370"/>
      <c r="N731" s="370"/>
      <c r="O731" s="370"/>
      <c r="P731" s="371"/>
      <c r="Q731" s="459" t="s">
        <v>13</v>
      </c>
      <c r="R731" s="370" t="s">
        <v>12</v>
      </c>
      <c r="S731" s="370" t="s">
        <v>6</v>
      </c>
      <c r="T731" s="2682" t="s">
        <v>14</v>
      </c>
      <c r="U731" s="2683"/>
      <c r="V731" s="375" t="s">
        <v>7</v>
      </c>
      <c r="W731" s="376" t="s">
        <v>15</v>
      </c>
      <c r="X731" s="377" t="s">
        <v>16</v>
      </c>
      <c r="Y731" s="377" t="s">
        <v>17</v>
      </c>
      <c r="Z731" s="377" t="s">
        <v>18</v>
      </c>
      <c r="AA731" s="377"/>
      <c r="AB731" s="460" t="s">
        <v>19</v>
      </c>
      <c r="AC731" s="615" t="s">
        <v>20</v>
      </c>
      <c r="AD731" s="616"/>
      <c r="AE731" s="617" t="s">
        <v>21</v>
      </c>
      <c r="AF731" s="618" t="s">
        <v>22</v>
      </c>
    </row>
    <row r="732" spans="1:33" s="457" customFormat="1" ht="18" customHeight="1" x14ac:dyDescent="0.2">
      <c r="A732" s="2687"/>
      <c r="B732" s="366" t="s">
        <v>23</v>
      </c>
      <c r="C732" s="2687"/>
      <c r="D732" s="366" t="s">
        <v>24</v>
      </c>
      <c r="E732" s="366" t="s">
        <v>25</v>
      </c>
      <c r="F732" s="2699"/>
      <c r="G732" s="2700"/>
      <c r="H732" s="2701"/>
      <c r="I732" s="366" t="s">
        <v>26</v>
      </c>
      <c r="J732" s="380" t="s">
        <v>15</v>
      </c>
      <c r="K732" s="380" t="s">
        <v>6</v>
      </c>
      <c r="L732" s="2680"/>
      <c r="M732" s="381" t="s">
        <v>27</v>
      </c>
      <c r="N732" s="381" t="s">
        <v>10</v>
      </c>
      <c r="O732" s="381" t="s">
        <v>10</v>
      </c>
      <c r="P732" s="385" t="s">
        <v>28</v>
      </c>
      <c r="Q732" s="461" t="s">
        <v>29</v>
      </c>
      <c r="R732" s="385" t="s">
        <v>15</v>
      </c>
      <c r="S732" s="385" t="s">
        <v>15</v>
      </c>
      <c r="T732" s="2684"/>
      <c r="U732" s="2685"/>
      <c r="V732" s="375" t="s">
        <v>30</v>
      </c>
      <c r="W732" s="376" t="s">
        <v>31</v>
      </c>
      <c r="X732" s="377" t="s">
        <v>30</v>
      </c>
      <c r="Y732" s="377" t="s">
        <v>32</v>
      </c>
      <c r="Z732" s="377" t="s">
        <v>7</v>
      </c>
      <c r="AA732" s="377" t="s">
        <v>33</v>
      </c>
      <c r="AB732" s="460" t="s">
        <v>34</v>
      </c>
      <c r="AC732" s="615" t="s">
        <v>35</v>
      </c>
      <c r="AD732" s="617" t="s">
        <v>36</v>
      </c>
      <c r="AE732" s="617" t="s">
        <v>37</v>
      </c>
      <c r="AF732" s="618" t="s">
        <v>38</v>
      </c>
    </row>
    <row r="733" spans="1:33" s="457" customFormat="1" ht="18" customHeight="1" x14ac:dyDescent="0.2">
      <c r="A733" s="2687"/>
      <c r="B733" s="366" t="s">
        <v>39</v>
      </c>
      <c r="C733" s="2687"/>
      <c r="D733" s="366" t="s">
        <v>40</v>
      </c>
      <c r="E733" s="366" t="s">
        <v>41</v>
      </c>
      <c r="F733" s="2686" t="s">
        <v>42</v>
      </c>
      <c r="G733" s="2686" t="s">
        <v>43</v>
      </c>
      <c r="H733" s="2688" t="s">
        <v>44</v>
      </c>
      <c r="I733" s="366" t="s">
        <v>45</v>
      </c>
      <c r="J733" s="380" t="s">
        <v>46</v>
      </c>
      <c r="K733" s="380" t="s">
        <v>47</v>
      </c>
      <c r="L733" s="2680"/>
      <c r="M733" s="381" t="s">
        <v>30</v>
      </c>
      <c r="N733" s="381" t="s">
        <v>30</v>
      </c>
      <c r="O733" s="381" t="s">
        <v>25</v>
      </c>
      <c r="P733" s="385" t="s">
        <v>30</v>
      </c>
      <c r="Q733" s="461" t="s">
        <v>48</v>
      </c>
      <c r="R733" s="385" t="s">
        <v>49</v>
      </c>
      <c r="S733" s="385" t="s">
        <v>30</v>
      </c>
      <c r="T733" s="619" t="s">
        <v>50</v>
      </c>
      <c r="U733" s="620" t="s">
        <v>13</v>
      </c>
      <c r="V733" s="375" t="s">
        <v>51</v>
      </c>
      <c r="W733" s="376" t="s">
        <v>52</v>
      </c>
      <c r="X733" s="377" t="s">
        <v>53</v>
      </c>
      <c r="Y733" s="377" t="s">
        <v>54</v>
      </c>
      <c r="Z733" s="377" t="s">
        <v>55</v>
      </c>
      <c r="AA733" s="377" t="s">
        <v>56</v>
      </c>
      <c r="AB733" s="460" t="s">
        <v>57</v>
      </c>
      <c r="AC733" s="617" t="s">
        <v>58</v>
      </c>
      <c r="AD733" s="617" t="s">
        <v>59</v>
      </c>
      <c r="AE733" s="617" t="s">
        <v>59</v>
      </c>
      <c r="AF733" s="618" t="s">
        <v>60</v>
      </c>
    </row>
    <row r="734" spans="1:33" s="457" customFormat="1" ht="18" customHeight="1" x14ac:dyDescent="0.2">
      <c r="A734" s="2687"/>
      <c r="B734" s="366" t="s">
        <v>61</v>
      </c>
      <c r="C734" s="2687"/>
      <c r="D734" s="366" t="s">
        <v>62</v>
      </c>
      <c r="E734" s="366" t="s">
        <v>63</v>
      </c>
      <c r="F734" s="2687"/>
      <c r="G734" s="2687"/>
      <c r="H734" s="2689"/>
      <c r="I734" s="366" t="s">
        <v>64</v>
      </c>
      <c r="J734" s="380" t="s">
        <v>59</v>
      </c>
      <c r="K734" s="380" t="s">
        <v>59</v>
      </c>
      <c r="L734" s="2680"/>
      <c r="M734" s="381"/>
      <c r="N734" s="381"/>
      <c r="O734" s="381" t="s">
        <v>41</v>
      </c>
      <c r="P734" s="385" t="s">
        <v>65</v>
      </c>
      <c r="Q734" s="461" t="s">
        <v>66</v>
      </c>
      <c r="R734" s="385" t="s">
        <v>67</v>
      </c>
      <c r="S734" s="385" t="s">
        <v>59</v>
      </c>
      <c r="T734" s="621" t="s">
        <v>68</v>
      </c>
      <c r="U734" s="622" t="s">
        <v>14</v>
      </c>
      <c r="V734" s="375" t="s">
        <v>14</v>
      </c>
      <c r="W734" s="376" t="s">
        <v>30</v>
      </c>
      <c r="X734" s="388" t="s">
        <v>69</v>
      </c>
      <c r="Y734" s="388" t="s">
        <v>70</v>
      </c>
      <c r="Z734" s="377" t="s">
        <v>71</v>
      </c>
      <c r="AA734" s="377" t="s">
        <v>72</v>
      </c>
      <c r="AB734" s="460" t="s">
        <v>59</v>
      </c>
      <c r="AC734" s="617" t="s">
        <v>59</v>
      </c>
      <c r="AD734" s="617"/>
      <c r="AE734" s="617"/>
      <c r="AF734" s="618" t="s">
        <v>59</v>
      </c>
    </row>
    <row r="735" spans="1:33" s="457" customFormat="1" ht="18" customHeight="1" x14ac:dyDescent="0.2">
      <c r="A735" s="2692"/>
      <c r="B735" s="390"/>
      <c r="C735" s="2692"/>
      <c r="D735" s="390"/>
      <c r="E735" s="389"/>
      <c r="F735" s="390"/>
      <c r="G735" s="390"/>
      <c r="H735" s="391"/>
      <c r="I735" s="389"/>
      <c r="J735" s="393"/>
      <c r="K735" s="393"/>
      <c r="L735" s="2681"/>
      <c r="M735" s="394"/>
      <c r="N735" s="394"/>
      <c r="O735" s="394" t="s">
        <v>63</v>
      </c>
      <c r="P735" s="394"/>
      <c r="Q735" s="450" t="s">
        <v>72</v>
      </c>
      <c r="R735" s="398" t="s">
        <v>59</v>
      </c>
      <c r="S735" s="398"/>
      <c r="T735" s="623" t="s">
        <v>73</v>
      </c>
      <c r="U735" s="624" t="s">
        <v>59</v>
      </c>
      <c r="V735" s="399" t="s">
        <v>59</v>
      </c>
      <c r="W735" s="400" t="s">
        <v>59</v>
      </c>
      <c r="X735" s="401" t="s">
        <v>59</v>
      </c>
      <c r="Y735" s="401" t="s">
        <v>59</v>
      </c>
      <c r="Z735" s="401" t="s">
        <v>59</v>
      </c>
      <c r="AA735" s="402"/>
      <c r="AB735" s="462"/>
      <c r="AC735" s="625"/>
      <c r="AD735" s="625"/>
      <c r="AE735" s="625"/>
      <c r="AF735" s="626"/>
    </row>
    <row r="736" spans="1:33" s="457" customFormat="1" ht="18" customHeight="1" x14ac:dyDescent="0.2">
      <c r="A736" s="53">
        <v>1</v>
      </c>
      <c r="B736" s="95">
        <v>5404</v>
      </c>
      <c r="C736" s="82">
        <v>1719</v>
      </c>
      <c r="D736" s="82" t="s">
        <v>139</v>
      </c>
      <c r="E736" s="82">
        <v>2</v>
      </c>
      <c r="F736" s="82">
        <v>0</v>
      </c>
      <c r="G736" s="82">
        <v>3</v>
      </c>
      <c r="H736" s="463">
        <v>0</v>
      </c>
      <c r="I736" s="77">
        <f>F736*400+G736*100+H736</f>
        <v>300</v>
      </c>
      <c r="J736" s="107">
        <v>3300</v>
      </c>
      <c r="K736" s="78">
        <f>SUM(I736*J736)</f>
        <v>990000</v>
      </c>
      <c r="L736" s="75">
        <v>1</v>
      </c>
      <c r="M736" s="61">
        <v>103</v>
      </c>
      <c r="N736" s="61" t="s">
        <v>74</v>
      </c>
      <c r="O736" s="61">
        <v>2</v>
      </c>
      <c r="P736" s="173">
        <f>8*6</f>
        <v>48</v>
      </c>
      <c r="Q736" s="174" t="s">
        <v>75</v>
      </c>
      <c r="R736" s="408">
        <v>9050</v>
      </c>
      <c r="S736" s="77">
        <f>+P736*R736</f>
        <v>434400</v>
      </c>
      <c r="T736" s="189">
        <v>7</v>
      </c>
      <c r="U736" s="128">
        <f>+S736*0.07</f>
        <v>30408.000000000004</v>
      </c>
      <c r="V736" s="74">
        <f>SUM(S736-U736)</f>
        <v>403992</v>
      </c>
      <c r="W736" s="77">
        <f>+K736+V736</f>
        <v>1393992</v>
      </c>
      <c r="X736" s="74">
        <f>W736</f>
        <v>1393992</v>
      </c>
      <c r="Y736" s="676"/>
      <c r="Z736" s="77">
        <f>+X736</f>
        <v>1393992</v>
      </c>
      <c r="AA736" s="409">
        <v>0.02</v>
      </c>
      <c r="AB736" s="406">
        <f>+Z736*AA736/100</f>
        <v>278.79840000000002</v>
      </c>
      <c r="AC736" s="602"/>
      <c r="AD736" s="603">
        <f>AB769-AC736</f>
        <v>0</v>
      </c>
      <c r="AE736" s="603">
        <f>IF(AD736&lt;=0,0,AD736*25/100)</f>
        <v>0</v>
      </c>
      <c r="AF736" s="603">
        <f>IF(AC736+AE736&gt;AB769,AB769,AC736+AE736)</f>
        <v>0</v>
      </c>
      <c r="AG736" s="1750"/>
    </row>
    <row r="737" spans="1:32" s="457" customFormat="1" ht="18" customHeight="1" x14ac:dyDescent="0.2">
      <c r="A737" s="75"/>
      <c r="B737" s="88"/>
      <c r="C737" s="88"/>
      <c r="D737" s="88"/>
      <c r="E737" s="88"/>
      <c r="F737" s="88"/>
      <c r="G737" s="88"/>
      <c r="H737" s="495"/>
      <c r="I737" s="77"/>
      <c r="J737" s="107"/>
      <c r="K737" s="78"/>
      <c r="L737" s="75"/>
      <c r="M737" s="61"/>
      <c r="N737" s="61"/>
      <c r="O737" s="61"/>
      <c r="P737" s="173"/>
      <c r="Q737" s="174"/>
      <c r="R737" s="408"/>
      <c r="S737" s="77"/>
      <c r="T737" s="413"/>
      <c r="U737" s="74"/>
      <c r="V737" s="74"/>
      <c r="W737" s="77"/>
      <c r="X737" s="74"/>
      <c r="Y737" s="676"/>
      <c r="Z737" s="77"/>
      <c r="AA737" s="409"/>
      <c r="AB737" s="415"/>
      <c r="AC737" s="650"/>
      <c r="AD737" s="350"/>
      <c r="AE737" s="350"/>
      <c r="AF737" s="350"/>
    </row>
    <row r="738" spans="1:32" s="457" customFormat="1" ht="18" customHeight="1" x14ac:dyDescent="0.2">
      <c r="A738" s="88"/>
      <c r="B738" s="88"/>
      <c r="C738" s="88"/>
      <c r="D738" s="88"/>
      <c r="E738" s="88"/>
      <c r="F738" s="88"/>
      <c r="G738" s="88"/>
      <c r="H738" s="495"/>
      <c r="I738" s="77"/>
      <c r="J738" s="107"/>
      <c r="K738" s="78"/>
      <c r="L738" s="75"/>
      <c r="M738" s="61"/>
      <c r="N738" s="61"/>
      <c r="O738" s="61"/>
      <c r="P738" s="173"/>
      <c r="Q738" s="174"/>
      <c r="R738" s="408"/>
      <c r="S738" s="77"/>
      <c r="T738" s="413"/>
      <c r="U738" s="74"/>
      <c r="V738" s="74"/>
      <c r="W738" s="77"/>
      <c r="X738" s="74"/>
      <c r="Y738" s="676"/>
      <c r="Z738" s="77"/>
      <c r="AA738" s="409"/>
      <c r="AB738" s="415"/>
      <c r="AC738" s="350"/>
      <c r="AD738" s="350"/>
      <c r="AE738" s="350"/>
      <c r="AF738" s="350"/>
    </row>
    <row r="739" spans="1:32" s="457" customFormat="1" ht="18" customHeight="1" x14ac:dyDescent="0.2">
      <c r="A739" s="61"/>
      <c r="B739" s="145"/>
      <c r="C739" s="145"/>
      <c r="D739" s="88"/>
      <c r="E739" s="145"/>
      <c r="F739" s="145"/>
      <c r="G739" s="145"/>
      <c r="H739" s="407"/>
      <c r="I739" s="77"/>
      <c r="J739" s="107"/>
      <c r="K739" s="78"/>
      <c r="L739" s="75"/>
      <c r="M739" s="61"/>
      <c r="N739" s="61"/>
      <c r="O739" s="61"/>
      <c r="P739" s="173"/>
      <c r="Q739" s="174"/>
      <c r="R739" s="408"/>
      <c r="S739" s="77"/>
      <c r="T739" s="413"/>
      <c r="U739" s="74"/>
      <c r="V739" s="74"/>
      <c r="W739" s="77"/>
      <c r="X739" s="74"/>
      <c r="Y739" s="676"/>
      <c r="Z739" s="77"/>
      <c r="AA739" s="409"/>
      <c r="AB739" s="415"/>
      <c r="AC739" s="350"/>
      <c r="AD739" s="350"/>
      <c r="AE739" s="350"/>
      <c r="AF739" s="350"/>
    </row>
    <row r="740" spans="1:32" s="457" customFormat="1" ht="18" customHeight="1" x14ac:dyDescent="0.2">
      <c r="A740" s="61"/>
      <c r="B740" s="145"/>
      <c r="C740" s="145"/>
      <c r="D740" s="88"/>
      <c r="E740" s="145"/>
      <c r="F740" s="145"/>
      <c r="G740" s="145"/>
      <c r="H740" s="407"/>
      <c r="I740" s="77"/>
      <c r="J740" s="107"/>
      <c r="K740" s="78"/>
      <c r="L740" s="75"/>
      <c r="M740" s="61"/>
      <c r="N740" s="61"/>
      <c r="O740" s="61"/>
      <c r="P740" s="173"/>
      <c r="Q740" s="174"/>
      <c r="R740" s="408"/>
      <c r="S740" s="77"/>
      <c r="T740" s="413"/>
      <c r="U740" s="74"/>
      <c r="V740" s="74"/>
      <c r="W740" s="77"/>
      <c r="X740" s="74"/>
      <c r="Y740" s="676"/>
      <c r="Z740" s="77"/>
      <c r="AA740" s="409"/>
      <c r="AB740" s="410"/>
      <c r="AC740" s="350"/>
      <c r="AD740" s="350"/>
      <c r="AE740" s="350"/>
      <c r="AF740" s="350"/>
    </row>
    <row r="741" spans="1:32" s="457" customFormat="1" ht="18" customHeight="1" x14ac:dyDescent="0.2">
      <c r="A741" s="61"/>
      <c r="B741" s="145"/>
      <c r="C741" s="145"/>
      <c r="D741" s="88"/>
      <c r="E741" s="145"/>
      <c r="F741" s="145"/>
      <c r="G741" s="145"/>
      <c r="H741" s="407"/>
      <c r="I741" s="77"/>
      <c r="J741" s="107"/>
      <c r="K741" s="78"/>
      <c r="L741" s="75"/>
      <c r="M741" s="61"/>
      <c r="N741" s="61"/>
      <c r="O741" s="61"/>
      <c r="P741" s="173"/>
      <c r="Q741" s="174"/>
      <c r="R741" s="408"/>
      <c r="S741" s="77"/>
      <c r="T741" s="413"/>
      <c r="U741" s="74"/>
      <c r="V741" s="74"/>
      <c r="W741" s="77"/>
      <c r="X741" s="74"/>
      <c r="Y741" s="676"/>
      <c r="Z741" s="77"/>
      <c r="AA741" s="409"/>
      <c r="AB741" s="416"/>
      <c r="AC741" s="350"/>
      <c r="AD741" s="350"/>
      <c r="AE741" s="350"/>
      <c r="AF741" s="350"/>
    </row>
    <row r="742" spans="1:32" s="457" customFormat="1" ht="18" customHeight="1" x14ac:dyDescent="0.2">
      <c r="A742" s="145"/>
      <c r="B742" s="177"/>
      <c r="C742" s="177"/>
      <c r="D742" s="145"/>
      <c r="E742" s="145"/>
      <c r="F742" s="145"/>
      <c r="G742" s="145"/>
      <c r="H742" s="147"/>
      <c r="I742" s="107"/>
      <c r="J742" s="178"/>
      <c r="K742" s="107"/>
      <c r="L742" s="145"/>
      <c r="M742" s="145"/>
      <c r="N742" s="145"/>
      <c r="O742" s="145"/>
      <c r="P742" s="147"/>
      <c r="Q742" s="148"/>
      <c r="R742" s="437"/>
      <c r="S742" s="107"/>
      <c r="T742" s="437"/>
      <c r="U742" s="178"/>
      <c r="V742" s="107"/>
      <c r="W742" s="107"/>
      <c r="X742" s="470"/>
      <c r="Y742" s="470"/>
      <c r="Z742" s="471"/>
      <c r="AA742" s="471"/>
      <c r="AB742" s="410"/>
      <c r="AC742" s="350"/>
      <c r="AD742" s="350"/>
      <c r="AE742" s="350"/>
      <c r="AF742" s="350"/>
    </row>
    <row r="743" spans="1:32" s="457" customFormat="1" ht="18" customHeight="1" x14ac:dyDescent="0.2">
      <c r="A743" s="145"/>
      <c r="B743" s="177"/>
      <c r="C743" s="177"/>
      <c r="D743" s="145"/>
      <c r="E743" s="145"/>
      <c r="F743" s="145"/>
      <c r="G743" s="145"/>
      <c r="H743" s="147"/>
      <c r="I743" s="107"/>
      <c r="J743" s="178"/>
      <c r="K743" s="107"/>
      <c r="L743" s="145"/>
      <c r="M743" s="145"/>
      <c r="N743" s="145"/>
      <c r="O743" s="145"/>
      <c r="P743" s="147"/>
      <c r="Q743" s="148"/>
      <c r="R743" s="437"/>
      <c r="S743" s="107"/>
      <c r="T743" s="437"/>
      <c r="U743" s="178"/>
      <c r="V743" s="107"/>
      <c r="W743" s="107"/>
      <c r="X743" s="470"/>
      <c r="Y743" s="470"/>
      <c r="Z743" s="471"/>
      <c r="AA743" s="471"/>
      <c r="AB743" s="466"/>
      <c r="AC743" s="350"/>
      <c r="AD743" s="350"/>
      <c r="AE743" s="350"/>
      <c r="AF743" s="350"/>
    </row>
    <row r="744" spans="1:32" s="457" customFormat="1" ht="18" customHeight="1" x14ac:dyDescent="0.2">
      <c r="A744" s="145"/>
      <c r="B744" s="177"/>
      <c r="C744" s="177"/>
      <c r="D744" s="145"/>
      <c r="E744" s="145"/>
      <c r="F744" s="145"/>
      <c r="G744" s="145"/>
      <c r="H744" s="147"/>
      <c r="I744" s="107"/>
      <c r="J744" s="178"/>
      <c r="K744" s="107"/>
      <c r="L744" s="145"/>
      <c r="M744" s="145"/>
      <c r="N744" s="145"/>
      <c r="O744" s="145"/>
      <c r="P744" s="147"/>
      <c r="Q744" s="148"/>
      <c r="R744" s="437"/>
      <c r="S744" s="107"/>
      <c r="T744" s="437"/>
      <c r="U744" s="178"/>
      <c r="V744" s="107"/>
      <c r="W744" s="107"/>
      <c r="X744" s="470"/>
      <c r="Y744" s="470"/>
      <c r="Z744" s="471"/>
      <c r="AA744" s="471"/>
      <c r="AB744" s="466"/>
      <c r="AC744" s="350"/>
      <c r="AD744" s="350"/>
      <c r="AE744" s="350"/>
      <c r="AF744" s="350"/>
    </row>
    <row r="745" spans="1:32" s="457" customFormat="1" ht="18" customHeight="1" x14ac:dyDescent="0.2">
      <c r="A745" s="145"/>
      <c r="B745" s="177"/>
      <c r="C745" s="177"/>
      <c r="D745" s="145"/>
      <c r="E745" s="145"/>
      <c r="F745" s="145"/>
      <c r="G745" s="145"/>
      <c r="H745" s="147"/>
      <c r="I745" s="107"/>
      <c r="J745" s="178"/>
      <c r="K745" s="107"/>
      <c r="L745" s="145"/>
      <c r="M745" s="145"/>
      <c r="N745" s="145"/>
      <c r="O745" s="145"/>
      <c r="P745" s="147"/>
      <c r="Q745" s="148"/>
      <c r="R745" s="437"/>
      <c r="S745" s="107"/>
      <c r="T745" s="437"/>
      <c r="U745" s="178"/>
      <c r="V745" s="107"/>
      <c r="W745" s="107"/>
      <c r="X745" s="470"/>
      <c r="Y745" s="470"/>
      <c r="Z745" s="471"/>
      <c r="AA745" s="471"/>
      <c r="AB745" s="466"/>
      <c r="AC745" s="350"/>
      <c r="AD745" s="350"/>
      <c r="AE745" s="350"/>
      <c r="AF745" s="350"/>
    </row>
    <row r="746" spans="1:32" s="457" customFormat="1" ht="18" customHeight="1" x14ac:dyDescent="0.2">
      <c r="A746" s="145"/>
      <c r="B746" s="177"/>
      <c r="C746" s="177"/>
      <c r="D746" s="145"/>
      <c r="E746" s="145"/>
      <c r="F746" s="145"/>
      <c r="G746" s="145"/>
      <c r="H746" s="147"/>
      <c r="I746" s="107"/>
      <c r="J746" s="178"/>
      <c r="K746" s="107"/>
      <c r="L746" s="145"/>
      <c r="M746" s="145"/>
      <c r="N746" s="145"/>
      <c r="O746" s="145"/>
      <c r="P746" s="147"/>
      <c r="Q746" s="148"/>
      <c r="R746" s="437"/>
      <c r="S746" s="107"/>
      <c r="T746" s="437"/>
      <c r="U746" s="178"/>
      <c r="V746" s="107"/>
      <c r="W746" s="107"/>
      <c r="X746" s="470"/>
      <c r="Y746" s="470"/>
      <c r="Z746" s="471"/>
      <c r="AA746" s="471"/>
      <c r="AB746" s="466"/>
      <c r="AC746" s="350"/>
      <c r="AD746" s="350"/>
      <c r="AE746" s="350"/>
      <c r="AF746" s="350"/>
    </row>
    <row r="747" spans="1:32" s="457" customFormat="1" ht="18" customHeight="1" x14ac:dyDescent="0.2">
      <c r="A747" s="145"/>
      <c r="B747" s="177"/>
      <c r="C747" s="177"/>
      <c r="D747" s="145"/>
      <c r="E747" s="145"/>
      <c r="F747" s="145"/>
      <c r="G747" s="145"/>
      <c r="H747" s="147"/>
      <c r="I747" s="107"/>
      <c r="J747" s="178"/>
      <c r="K747" s="107"/>
      <c r="L747" s="145"/>
      <c r="M747" s="145"/>
      <c r="N747" s="145"/>
      <c r="O747" s="145"/>
      <c r="P747" s="147"/>
      <c r="Q747" s="148"/>
      <c r="R747" s="437"/>
      <c r="S747" s="107"/>
      <c r="T747" s="437"/>
      <c r="U747" s="178"/>
      <c r="V747" s="107"/>
      <c r="W747" s="107"/>
      <c r="X747" s="470"/>
      <c r="Y747" s="470"/>
      <c r="Z747" s="471"/>
      <c r="AA747" s="471"/>
      <c r="AB747" s="466"/>
      <c r="AC747" s="350"/>
      <c r="AD747" s="350"/>
      <c r="AE747" s="350"/>
      <c r="AF747" s="350"/>
    </row>
    <row r="748" spans="1:32" s="457" customFormat="1" ht="18" customHeight="1" x14ac:dyDescent="0.2">
      <c r="A748" s="145"/>
      <c r="B748" s="177"/>
      <c r="C748" s="177"/>
      <c r="D748" s="145"/>
      <c r="E748" s="145"/>
      <c r="F748" s="145"/>
      <c r="G748" s="145"/>
      <c r="H748" s="147"/>
      <c r="I748" s="107"/>
      <c r="J748" s="178"/>
      <c r="K748" s="107"/>
      <c r="L748" s="145"/>
      <c r="M748" s="145"/>
      <c r="N748" s="145"/>
      <c r="O748" s="145"/>
      <c r="P748" s="147"/>
      <c r="Q748" s="148"/>
      <c r="R748" s="437"/>
      <c r="S748" s="107"/>
      <c r="T748" s="437"/>
      <c r="U748" s="178"/>
      <c r="V748" s="107"/>
      <c r="W748" s="107"/>
      <c r="X748" s="470"/>
      <c r="Y748" s="470"/>
      <c r="Z748" s="471"/>
      <c r="AA748" s="471"/>
      <c r="AB748" s="466"/>
      <c r="AC748" s="350"/>
      <c r="AD748" s="350"/>
      <c r="AE748" s="350"/>
      <c r="AF748" s="350"/>
    </row>
    <row r="749" spans="1:32" s="457" customFormat="1" ht="18" customHeight="1" x14ac:dyDescent="0.2">
      <c r="A749" s="145"/>
      <c r="B749" s="177"/>
      <c r="C749" s="177"/>
      <c r="D749" s="145"/>
      <c r="E749" s="145"/>
      <c r="F749" s="145"/>
      <c r="G749" s="145"/>
      <c r="H749" s="147"/>
      <c r="I749" s="107"/>
      <c r="J749" s="178"/>
      <c r="K749" s="107"/>
      <c r="L749" s="145"/>
      <c r="M749" s="145"/>
      <c r="N749" s="145"/>
      <c r="O749" s="145"/>
      <c r="P749" s="147"/>
      <c r="Q749" s="148"/>
      <c r="R749" s="437"/>
      <c r="S749" s="107"/>
      <c r="T749" s="437"/>
      <c r="U749" s="178"/>
      <c r="V749" s="107"/>
      <c r="W749" s="107"/>
      <c r="X749" s="470"/>
      <c r="Y749" s="470"/>
      <c r="Z749" s="471"/>
      <c r="AA749" s="471"/>
      <c r="AB749" s="466"/>
      <c r="AC749" s="350"/>
      <c r="AD749" s="350"/>
      <c r="AE749" s="350"/>
      <c r="AF749" s="350"/>
    </row>
    <row r="750" spans="1:32" s="457" customFormat="1" ht="18" customHeight="1" x14ac:dyDescent="0.2">
      <c r="A750" s="145"/>
      <c r="B750" s="177"/>
      <c r="C750" s="177"/>
      <c r="D750" s="145"/>
      <c r="E750" s="145"/>
      <c r="F750" s="145"/>
      <c r="G750" s="145"/>
      <c r="H750" s="147"/>
      <c r="I750" s="107"/>
      <c r="J750" s="178"/>
      <c r="K750" s="107"/>
      <c r="L750" s="145"/>
      <c r="M750" s="145"/>
      <c r="N750" s="145"/>
      <c r="O750" s="145"/>
      <c r="P750" s="147"/>
      <c r="Q750" s="148"/>
      <c r="R750" s="437"/>
      <c r="S750" s="107"/>
      <c r="T750" s="437"/>
      <c r="U750" s="178"/>
      <c r="V750" s="107"/>
      <c r="W750" s="107"/>
      <c r="X750" s="470"/>
      <c r="Y750" s="470"/>
      <c r="Z750" s="471"/>
      <c r="AA750" s="471"/>
      <c r="AB750" s="466"/>
      <c r="AC750" s="350"/>
      <c r="AD750" s="350"/>
      <c r="AE750" s="350"/>
      <c r="AF750" s="350"/>
    </row>
    <row r="751" spans="1:32" s="457" customFormat="1" ht="18" customHeight="1" x14ac:dyDescent="0.2">
      <c r="A751" s="145"/>
      <c r="B751" s="177"/>
      <c r="C751" s="177"/>
      <c r="D751" s="145"/>
      <c r="E751" s="145"/>
      <c r="F751" s="145"/>
      <c r="G751" s="145"/>
      <c r="H751" s="147"/>
      <c r="I751" s="107"/>
      <c r="J751" s="178"/>
      <c r="K751" s="107"/>
      <c r="L751" s="145"/>
      <c r="M751" s="145"/>
      <c r="N751" s="145"/>
      <c r="O751" s="145"/>
      <c r="P751" s="147"/>
      <c r="Q751" s="148"/>
      <c r="R751" s="437"/>
      <c r="S751" s="107"/>
      <c r="T751" s="437"/>
      <c r="U751" s="178"/>
      <c r="V751" s="107"/>
      <c r="W751" s="107"/>
      <c r="X751" s="470"/>
      <c r="Y751" s="470"/>
      <c r="Z751" s="471"/>
      <c r="AA751" s="471"/>
      <c r="AB751" s="466"/>
      <c r="AC751" s="350"/>
      <c r="AD751" s="350"/>
      <c r="AE751" s="350"/>
      <c r="AF751" s="350"/>
    </row>
    <row r="752" spans="1:32" s="457" customFormat="1" ht="18" customHeight="1" x14ac:dyDescent="0.2">
      <c r="A752" s="145"/>
      <c r="B752" s="177"/>
      <c r="C752" s="177"/>
      <c r="D752" s="145"/>
      <c r="E752" s="145"/>
      <c r="F752" s="145"/>
      <c r="G752" s="145"/>
      <c r="H752" s="147"/>
      <c r="I752" s="107"/>
      <c r="J752" s="178"/>
      <c r="K752" s="107"/>
      <c r="L752" s="145"/>
      <c r="M752" s="145"/>
      <c r="N752" s="145"/>
      <c r="O752" s="145"/>
      <c r="P752" s="147"/>
      <c r="Q752" s="148"/>
      <c r="R752" s="437"/>
      <c r="S752" s="107"/>
      <c r="T752" s="437"/>
      <c r="U752" s="178"/>
      <c r="V752" s="107"/>
      <c r="W752" s="107"/>
      <c r="X752" s="470"/>
      <c r="Y752" s="470"/>
      <c r="Z752" s="471"/>
      <c r="AA752" s="471"/>
      <c r="AB752" s="466"/>
      <c r="AC752" s="350"/>
      <c r="AD752" s="350"/>
      <c r="AE752" s="350"/>
      <c r="AF752" s="350"/>
    </row>
    <row r="753" spans="1:32" s="457" customFormat="1" ht="18" customHeight="1" x14ac:dyDescent="0.2">
      <c r="A753" s="145"/>
      <c r="B753" s="177"/>
      <c r="C753" s="177"/>
      <c r="D753" s="145"/>
      <c r="E753" s="145"/>
      <c r="F753" s="145"/>
      <c r="G753" s="145"/>
      <c r="H753" s="147"/>
      <c r="I753" s="107"/>
      <c r="J753" s="178"/>
      <c r="K753" s="107"/>
      <c r="L753" s="145"/>
      <c r="M753" s="145"/>
      <c r="N753" s="145"/>
      <c r="O753" s="145"/>
      <c r="P753" s="147"/>
      <c r="Q753" s="148"/>
      <c r="R753" s="437"/>
      <c r="S753" s="107"/>
      <c r="T753" s="437"/>
      <c r="U753" s="178"/>
      <c r="V753" s="107"/>
      <c r="W753" s="107"/>
      <c r="X753" s="470"/>
      <c r="Y753" s="470"/>
      <c r="Z753" s="471"/>
      <c r="AA753" s="471"/>
      <c r="AB753" s="466"/>
      <c r="AC753" s="350"/>
      <c r="AD753" s="350"/>
      <c r="AE753" s="350"/>
      <c r="AF753" s="350"/>
    </row>
    <row r="754" spans="1:32" s="597" customFormat="1" ht="18" customHeight="1" x14ac:dyDescent="0.2">
      <c r="A754" s="1850"/>
      <c r="B754" s="1850"/>
      <c r="C754" s="1850"/>
      <c r="D754" s="1850"/>
      <c r="E754" s="1850"/>
      <c r="F754" s="1850"/>
      <c r="G754" s="1850"/>
      <c r="H754" s="1851"/>
      <c r="I754" s="1852"/>
      <c r="J754" s="1853"/>
      <c r="K754" s="1852"/>
      <c r="L754" s="1852"/>
      <c r="M754" s="1852"/>
      <c r="N754" s="1852"/>
      <c r="O754" s="1852"/>
      <c r="P754" s="1852"/>
      <c r="Q754" s="1852"/>
      <c r="R754" s="1854"/>
      <c r="S754" s="1852"/>
      <c r="T754" s="1854"/>
      <c r="U754" s="1853"/>
      <c r="V754" s="1852"/>
      <c r="W754" s="1852"/>
      <c r="X754" s="1856"/>
      <c r="Y754" s="1856"/>
      <c r="Z754" s="1857"/>
      <c r="AA754" s="1857"/>
      <c r="AB754" s="1847">
        <f>SUM(AB736:AB753)</f>
        <v>278.79840000000002</v>
      </c>
      <c r="AC754" s="1861"/>
      <c r="AD754" s="1861"/>
      <c r="AE754" s="1861"/>
      <c r="AF754" s="1861"/>
    </row>
    <row r="755" spans="1:32" s="457" customFormat="1" ht="18" customHeight="1" x14ac:dyDescent="0.2">
      <c r="A755" s="2737" t="s">
        <v>76</v>
      </c>
      <c r="B755" s="2737"/>
      <c r="C755" s="2738" t="s">
        <v>77</v>
      </c>
      <c r="D755" s="2738"/>
      <c r="E755" s="2738"/>
      <c r="F755" s="2738"/>
      <c r="G755" s="2738"/>
      <c r="H755" s="2738"/>
      <c r="I755" s="457" t="s">
        <v>78</v>
      </c>
      <c r="T755" s="651"/>
      <c r="U755" s="478"/>
      <c r="AB755" s="478"/>
    </row>
    <row r="756" spans="1:32" s="457" customFormat="1" ht="18" customHeight="1" x14ac:dyDescent="0.2">
      <c r="A756" s="448"/>
      <c r="B756" s="479"/>
      <c r="I756" s="457" t="s">
        <v>79</v>
      </c>
      <c r="T756" s="651"/>
      <c r="U756" s="478"/>
      <c r="AB756" s="478"/>
    </row>
    <row r="757" spans="1:32" s="457" customFormat="1" ht="18" customHeight="1" x14ac:dyDescent="0.2">
      <c r="A757" s="448"/>
      <c r="B757" s="479"/>
      <c r="I757" s="457" t="s">
        <v>80</v>
      </c>
      <c r="T757" s="651"/>
      <c r="U757" s="478"/>
      <c r="AB757" s="478"/>
    </row>
    <row r="758" spans="1:32" s="457" customFormat="1" ht="18" customHeight="1" x14ac:dyDescent="0.2">
      <c r="A758" s="448"/>
      <c r="B758" s="479"/>
      <c r="I758" s="457" t="s">
        <v>81</v>
      </c>
      <c r="T758" s="651"/>
      <c r="U758" s="478"/>
      <c r="AB758" s="478"/>
    </row>
    <row r="759" spans="1:32" s="457" customFormat="1" ht="18" customHeight="1" x14ac:dyDescent="0.2">
      <c r="A759" s="448"/>
      <c r="B759" s="479"/>
      <c r="I759" s="457" t="s">
        <v>88</v>
      </c>
      <c r="T759" s="651"/>
      <c r="U759" s="478"/>
      <c r="AB759" s="478"/>
    </row>
    <row r="760" spans="1:32" s="457" customFormat="1" ht="18" customHeight="1" x14ac:dyDescent="0.2">
      <c r="A760" s="456"/>
      <c r="B760" s="455"/>
      <c r="C760" s="455"/>
      <c r="D760" s="455"/>
      <c r="E760" s="455"/>
      <c r="F760" s="455"/>
      <c r="G760" s="455"/>
      <c r="H760" s="455"/>
      <c r="I760" s="455"/>
      <c r="J760" s="455"/>
      <c r="K760" s="455"/>
      <c r="L760" s="455"/>
      <c r="M760" s="455"/>
      <c r="N760" s="455"/>
      <c r="O760" s="455"/>
      <c r="P760" s="455"/>
      <c r="Q760" s="455"/>
      <c r="R760" s="455"/>
      <c r="S760" s="455"/>
      <c r="T760" s="608"/>
      <c r="U760" s="609"/>
      <c r="V760" s="455"/>
      <c r="W760" s="455"/>
      <c r="X760" s="455"/>
      <c r="Y760" s="455"/>
      <c r="Z760" s="455"/>
      <c r="AA760" s="2705" t="s">
        <v>0</v>
      </c>
      <c r="AB760" s="2705"/>
      <c r="AC760" s="455"/>
      <c r="AD760" s="455"/>
      <c r="AE760" s="455"/>
      <c r="AF760" s="455"/>
    </row>
    <row r="761" spans="1:32" s="457" customFormat="1" ht="18" customHeight="1" x14ac:dyDescent="0.2">
      <c r="A761" s="2706" t="s">
        <v>1</v>
      </c>
      <c r="B761" s="2706"/>
      <c r="C761" s="2706"/>
      <c r="D761" s="2706"/>
      <c r="E761" s="2706"/>
      <c r="F761" s="2706"/>
      <c r="G761" s="2706"/>
      <c r="H761" s="2706"/>
      <c r="I761" s="2706"/>
      <c r="J761" s="2706"/>
      <c r="K761" s="2706"/>
      <c r="L761" s="2706"/>
      <c r="M761" s="2706"/>
      <c r="N761" s="2706"/>
      <c r="O761" s="2706"/>
      <c r="P761" s="2706"/>
      <c r="Q761" s="2706"/>
      <c r="R761" s="2706"/>
      <c r="S761" s="2706"/>
      <c r="T761" s="2706"/>
      <c r="U761" s="2706"/>
      <c r="V761" s="2706"/>
      <c r="W761" s="2706"/>
      <c r="X761" s="2706"/>
      <c r="Y761" s="2706"/>
      <c r="Z761" s="2706"/>
      <c r="AA761" s="2706"/>
      <c r="AB761" s="2706"/>
      <c r="AC761" s="610"/>
      <c r="AD761" s="610"/>
      <c r="AE761" s="610"/>
      <c r="AF761" s="610"/>
    </row>
    <row r="762" spans="1:32" s="457" customFormat="1" ht="18" customHeight="1" x14ac:dyDescent="0.2">
      <c r="A762" s="2704" t="s">
        <v>447</v>
      </c>
      <c r="B762" s="2704"/>
      <c r="C762" s="2704"/>
      <c r="D762" s="2704"/>
      <c r="E762" s="2704"/>
      <c r="F762" s="2704"/>
      <c r="G762" s="2704"/>
      <c r="H762" s="2704"/>
      <c r="I762" s="2704"/>
      <c r="J762" s="2704"/>
      <c r="K762" s="2704"/>
      <c r="L762" s="2704"/>
      <c r="M762" s="2704"/>
      <c r="N762" s="2704"/>
      <c r="O762" s="2704"/>
      <c r="P762" s="2704"/>
      <c r="Q762" s="2704"/>
      <c r="R762" s="2704"/>
      <c r="S762" s="2704"/>
      <c r="T762" s="2704"/>
      <c r="U762" s="2704"/>
      <c r="V762" s="2704"/>
      <c r="W762" s="2704"/>
      <c r="X762" s="2704"/>
      <c r="Y762" s="2704"/>
      <c r="Z762" s="2704"/>
      <c r="AA762" s="2704"/>
      <c r="AB762" s="2704"/>
      <c r="AC762" s="611"/>
      <c r="AD762" s="611"/>
      <c r="AE762" s="611"/>
      <c r="AF762" s="611"/>
    </row>
    <row r="763" spans="1:32" s="457" customFormat="1" ht="18" customHeight="1" x14ac:dyDescent="0.2">
      <c r="A763" s="2686" t="s">
        <v>2</v>
      </c>
      <c r="B763" s="360"/>
      <c r="C763" s="2686" t="s">
        <v>3</v>
      </c>
      <c r="D763" s="360"/>
      <c r="E763" s="360"/>
      <c r="F763" s="2693" t="s">
        <v>4</v>
      </c>
      <c r="G763" s="2693"/>
      <c r="H763" s="2693"/>
      <c r="I763" s="2694"/>
      <c r="J763" s="2694"/>
      <c r="K763" s="2695"/>
      <c r="L763" s="361"/>
      <c r="M763" s="2679" t="s">
        <v>5</v>
      </c>
      <c r="N763" s="2679"/>
      <c r="O763" s="2679"/>
      <c r="P763" s="2679"/>
      <c r="Q763" s="2696"/>
      <c r="R763" s="2696"/>
      <c r="S763" s="2696"/>
      <c r="T763" s="2696"/>
      <c r="U763" s="2696"/>
      <c r="V763" s="2697"/>
      <c r="W763" s="362" t="s">
        <v>6</v>
      </c>
      <c r="X763" s="363" t="s">
        <v>7</v>
      </c>
      <c r="Y763" s="364"/>
      <c r="Z763" s="364"/>
      <c r="AA763" s="363"/>
      <c r="AB763" s="458"/>
      <c r="AC763" s="612" t="s">
        <v>8</v>
      </c>
      <c r="AD763" s="613"/>
      <c r="AE763" s="613"/>
      <c r="AF763" s="614"/>
    </row>
    <row r="764" spans="1:32" s="457" customFormat="1" ht="18" customHeight="1" x14ac:dyDescent="0.2">
      <c r="A764" s="2687"/>
      <c r="B764" s="367"/>
      <c r="C764" s="2687"/>
      <c r="D764" s="366" t="s">
        <v>9</v>
      </c>
      <c r="E764" s="366" t="s">
        <v>10</v>
      </c>
      <c r="F764" s="2698" t="s">
        <v>11</v>
      </c>
      <c r="G764" s="2694"/>
      <c r="H764" s="2695"/>
      <c r="I764" s="360"/>
      <c r="J764" s="449" t="s">
        <v>12</v>
      </c>
      <c r="K764" s="360"/>
      <c r="L764" s="2679" t="s">
        <v>2</v>
      </c>
      <c r="M764" s="370"/>
      <c r="N764" s="370"/>
      <c r="O764" s="370"/>
      <c r="P764" s="371"/>
      <c r="Q764" s="459" t="s">
        <v>13</v>
      </c>
      <c r="R764" s="370" t="s">
        <v>12</v>
      </c>
      <c r="S764" s="370" t="s">
        <v>6</v>
      </c>
      <c r="T764" s="2682" t="s">
        <v>14</v>
      </c>
      <c r="U764" s="2683"/>
      <c r="V764" s="375" t="s">
        <v>7</v>
      </c>
      <c r="W764" s="376" t="s">
        <v>15</v>
      </c>
      <c r="X764" s="377" t="s">
        <v>16</v>
      </c>
      <c r="Y764" s="377" t="s">
        <v>17</v>
      </c>
      <c r="Z764" s="377" t="s">
        <v>18</v>
      </c>
      <c r="AA764" s="377"/>
      <c r="AB764" s="460" t="s">
        <v>19</v>
      </c>
      <c r="AC764" s="615" t="s">
        <v>20</v>
      </c>
      <c r="AD764" s="616"/>
      <c r="AE764" s="617" t="s">
        <v>21</v>
      </c>
      <c r="AF764" s="618" t="s">
        <v>22</v>
      </c>
    </row>
    <row r="765" spans="1:32" s="457" customFormat="1" ht="18" customHeight="1" x14ac:dyDescent="0.2">
      <c r="A765" s="2687"/>
      <c r="B765" s="366" t="s">
        <v>23</v>
      </c>
      <c r="C765" s="2687"/>
      <c r="D765" s="366" t="s">
        <v>24</v>
      </c>
      <c r="E765" s="366" t="s">
        <v>25</v>
      </c>
      <c r="F765" s="2699"/>
      <c r="G765" s="2700"/>
      <c r="H765" s="2701"/>
      <c r="I765" s="366" t="s">
        <v>26</v>
      </c>
      <c r="J765" s="380" t="s">
        <v>15</v>
      </c>
      <c r="K765" s="380" t="s">
        <v>6</v>
      </c>
      <c r="L765" s="2680"/>
      <c r="M765" s="381" t="s">
        <v>27</v>
      </c>
      <c r="N765" s="381" t="s">
        <v>10</v>
      </c>
      <c r="O765" s="381" t="s">
        <v>10</v>
      </c>
      <c r="P765" s="385" t="s">
        <v>28</v>
      </c>
      <c r="Q765" s="461" t="s">
        <v>29</v>
      </c>
      <c r="R765" s="385" t="s">
        <v>15</v>
      </c>
      <c r="S765" s="385" t="s">
        <v>15</v>
      </c>
      <c r="T765" s="2684"/>
      <c r="U765" s="2685"/>
      <c r="V765" s="375" t="s">
        <v>30</v>
      </c>
      <c r="W765" s="376" t="s">
        <v>31</v>
      </c>
      <c r="X765" s="377" t="s">
        <v>30</v>
      </c>
      <c r="Y765" s="377" t="s">
        <v>32</v>
      </c>
      <c r="Z765" s="377" t="s">
        <v>7</v>
      </c>
      <c r="AA765" s="377" t="s">
        <v>33</v>
      </c>
      <c r="AB765" s="460" t="s">
        <v>34</v>
      </c>
      <c r="AC765" s="615" t="s">
        <v>35</v>
      </c>
      <c r="AD765" s="617" t="s">
        <v>36</v>
      </c>
      <c r="AE765" s="617" t="s">
        <v>37</v>
      </c>
      <c r="AF765" s="618" t="s">
        <v>38</v>
      </c>
    </row>
    <row r="766" spans="1:32" s="457" customFormat="1" ht="18" customHeight="1" x14ac:dyDescent="0.2">
      <c r="A766" s="2687"/>
      <c r="B766" s="366" t="s">
        <v>39</v>
      </c>
      <c r="C766" s="2687"/>
      <c r="D766" s="366" t="s">
        <v>40</v>
      </c>
      <c r="E766" s="366" t="s">
        <v>41</v>
      </c>
      <c r="F766" s="2686" t="s">
        <v>42</v>
      </c>
      <c r="G766" s="2686" t="s">
        <v>43</v>
      </c>
      <c r="H766" s="2688" t="s">
        <v>44</v>
      </c>
      <c r="I766" s="366" t="s">
        <v>45</v>
      </c>
      <c r="J766" s="380" t="s">
        <v>46</v>
      </c>
      <c r="K766" s="380" t="s">
        <v>47</v>
      </c>
      <c r="L766" s="2680"/>
      <c r="M766" s="381" t="s">
        <v>30</v>
      </c>
      <c r="N766" s="381" t="s">
        <v>30</v>
      </c>
      <c r="O766" s="381" t="s">
        <v>25</v>
      </c>
      <c r="P766" s="385" t="s">
        <v>30</v>
      </c>
      <c r="Q766" s="461" t="s">
        <v>48</v>
      </c>
      <c r="R766" s="385" t="s">
        <v>49</v>
      </c>
      <c r="S766" s="385" t="s">
        <v>30</v>
      </c>
      <c r="T766" s="619" t="s">
        <v>50</v>
      </c>
      <c r="U766" s="620" t="s">
        <v>13</v>
      </c>
      <c r="V766" s="375" t="s">
        <v>51</v>
      </c>
      <c r="W766" s="376" t="s">
        <v>52</v>
      </c>
      <c r="X766" s="377" t="s">
        <v>53</v>
      </c>
      <c r="Y766" s="377" t="s">
        <v>54</v>
      </c>
      <c r="Z766" s="377" t="s">
        <v>55</v>
      </c>
      <c r="AA766" s="377" t="s">
        <v>56</v>
      </c>
      <c r="AB766" s="460" t="s">
        <v>57</v>
      </c>
      <c r="AC766" s="617" t="s">
        <v>58</v>
      </c>
      <c r="AD766" s="617" t="s">
        <v>59</v>
      </c>
      <c r="AE766" s="617" t="s">
        <v>59</v>
      </c>
      <c r="AF766" s="618" t="s">
        <v>60</v>
      </c>
    </row>
    <row r="767" spans="1:32" s="457" customFormat="1" ht="18" customHeight="1" x14ac:dyDescent="0.2">
      <c r="A767" s="2687"/>
      <c r="B767" s="366" t="s">
        <v>61</v>
      </c>
      <c r="C767" s="2687"/>
      <c r="D767" s="366" t="s">
        <v>62</v>
      </c>
      <c r="E767" s="366" t="s">
        <v>63</v>
      </c>
      <c r="F767" s="2687"/>
      <c r="G767" s="2687"/>
      <c r="H767" s="2689"/>
      <c r="I767" s="366" t="s">
        <v>64</v>
      </c>
      <c r="J767" s="380" t="s">
        <v>59</v>
      </c>
      <c r="K767" s="380" t="s">
        <v>59</v>
      </c>
      <c r="L767" s="2680"/>
      <c r="M767" s="381"/>
      <c r="N767" s="381"/>
      <c r="O767" s="381" t="s">
        <v>41</v>
      </c>
      <c r="P767" s="385" t="s">
        <v>65</v>
      </c>
      <c r="Q767" s="461" t="s">
        <v>66</v>
      </c>
      <c r="R767" s="385" t="s">
        <v>67</v>
      </c>
      <c r="S767" s="385" t="s">
        <v>59</v>
      </c>
      <c r="T767" s="621" t="s">
        <v>68</v>
      </c>
      <c r="U767" s="622" t="s">
        <v>14</v>
      </c>
      <c r="V767" s="375" t="s">
        <v>14</v>
      </c>
      <c r="W767" s="376" t="s">
        <v>30</v>
      </c>
      <c r="X767" s="388" t="s">
        <v>69</v>
      </c>
      <c r="Y767" s="388" t="s">
        <v>70</v>
      </c>
      <c r="Z767" s="377" t="s">
        <v>71</v>
      </c>
      <c r="AA767" s="377" t="s">
        <v>72</v>
      </c>
      <c r="AB767" s="460" t="s">
        <v>59</v>
      </c>
      <c r="AC767" s="617" t="s">
        <v>59</v>
      </c>
      <c r="AD767" s="617"/>
      <c r="AE767" s="617"/>
      <c r="AF767" s="618" t="s">
        <v>59</v>
      </c>
    </row>
    <row r="768" spans="1:32" s="457" customFormat="1" ht="18" customHeight="1" x14ac:dyDescent="0.2">
      <c r="A768" s="2692"/>
      <c r="B768" s="390"/>
      <c r="C768" s="2692"/>
      <c r="D768" s="390"/>
      <c r="E768" s="389"/>
      <c r="F768" s="390"/>
      <c r="G768" s="390"/>
      <c r="H768" s="391"/>
      <c r="I768" s="389"/>
      <c r="J768" s="393"/>
      <c r="K768" s="393"/>
      <c r="L768" s="2681"/>
      <c r="M768" s="394"/>
      <c r="N768" s="394"/>
      <c r="O768" s="394" t="s">
        <v>63</v>
      </c>
      <c r="P768" s="394"/>
      <c r="Q768" s="450" t="s">
        <v>72</v>
      </c>
      <c r="R768" s="398" t="s">
        <v>59</v>
      </c>
      <c r="S768" s="398"/>
      <c r="T768" s="623" t="s">
        <v>73</v>
      </c>
      <c r="U768" s="624" t="s">
        <v>59</v>
      </c>
      <c r="V768" s="399" t="s">
        <v>59</v>
      </c>
      <c r="W768" s="400" t="s">
        <v>59</v>
      </c>
      <c r="X768" s="401" t="s">
        <v>59</v>
      </c>
      <c r="Y768" s="401" t="s">
        <v>59</v>
      </c>
      <c r="Z768" s="401" t="s">
        <v>59</v>
      </c>
      <c r="AA768" s="402"/>
      <c r="AB768" s="462"/>
      <c r="AC768" s="625"/>
      <c r="AD768" s="625"/>
      <c r="AE768" s="625"/>
      <c r="AF768" s="626"/>
    </row>
    <row r="769" spans="1:32" s="457" customFormat="1" ht="18" customHeight="1" x14ac:dyDescent="0.25">
      <c r="A769" s="68">
        <v>1</v>
      </c>
      <c r="B769" s="1387">
        <v>2166</v>
      </c>
      <c r="C769" s="1387">
        <v>260</v>
      </c>
      <c r="D769" s="1387" t="s">
        <v>139</v>
      </c>
      <c r="E769" s="1387">
        <v>5</v>
      </c>
      <c r="F769" s="1387">
        <v>1</v>
      </c>
      <c r="G769" s="1387">
        <v>0</v>
      </c>
      <c r="H769" s="1442">
        <v>1</v>
      </c>
      <c r="I769" s="77">
        <f>F769*400+G769*100+H769</f>
        <v>401</v>
      </c>
      <c r="J769" s="331">
        <v>1400</v>
      </c>
      <c r="K769" s="78">
        <f>SUM(I769*J769)</f>
        <v>561400</v>
      </c>
      <c r="L769" s="269">
        <v>1</v>
      </c>
      <c r="M769" s="241">
        <v>103</v>
      </c>
      <c r="N769" s="255" t="s">
        <v>74</v>
      </c>
      <c r="O769" s="255">
        <v>2</v>
      </c>
      <c r="P769" s="848">
        <v>81</v>
      </c>
      <c r="Q769" s="285" t="s">
        <v>75</v>
      </c>
      <c r="R769" s="702">
        <v>9050</v>
      </c>
      <c r="S769" s="320">
        <f>R769*P769</f>
        <v>733050</v>
      </c>
      <c r="T769" s="1864">
        <v>18</v>
      </c>
      <c r="U769" s="1626">
        <f>S769*26/100</f>
        <v>190593</v>
      </c>
      <c r="V769" s="321">
        <f>S769-U769</f>
        <v>542457</v>
      </c>
      <c r="W769" s="320">
        <f>V769+K769</f>
        <v>1103857</v>
      </c>
      <c r="X769" s="321">
        <f>W769</f>
        <v>1103857</v>
      </c>
      <c r="Y769" s="999" t="s">
        <v>87</v>
      </c>
      <c r="Z769" s="320">
        <v>0</v>
      </c>
      <c r="AA769" s="703">
        <v>0.02</v>
      </c>
      <c r="AB769" s="406">
        <f>+Z769*AA769/100</f>
        <v>0</v>
      </c>
      <c r="AC769" s="1424"/>
      <c r="AD769" s="603">
        <f>AB802-AC769</f>
        <v>1737.9</v>
      </c>
      <c r="AE769" s="603">
        <f>IF(AD769&lt;=0,0,AD769*25/100)</f>
        <v>434.47500000000002</v>
      </c>
      <c r="AF769" s="603">
        <f>IF(AC769+AE769&gt;AB802,AB802,AC769+AE769)</f>
        <v>434.47500000000002</v>
      </c>
    </row>
    <row r="770" spans="1:32" s="457" customFormat="1" ht="18" customHeight="1" x14ac:dyDescent="0.25">
      <c r="A770" s="1408"/>
      <c r="B770" s="988"/>
      <c r="C770" s="273"/>
      <c r="D770" s="273"/>
      <c r="E770" s="273"/>
      <c r="F770" s="273"/>
      <c r="G770" s="273"/>
      <c r="H770" s="911"/>
      <c r="I770" s="321"/>
      <c r="J770" s="324"/>
      <c r="K770" s="1076"/>
      <c r="L770" s="269">
        <v>2</v>
      </c>
      <c r="M770" s="242">
        <v>504</v>
      </c>
      <c r="N770" s="269" t="s">
        <v>82</v>
      </c>
      <c r="O770" s="269">
        <v>3</v>
      </c>
      <c r="P770" s="266">
        <v>81</v>
      </c>
      <c r="Q770" s="285" t="s">
        <v>75</v>
      </c>
      <c r="R770" s="1005">
        <v>3100</v>
      </c>
      <c r="S770" s="321">
        <v>251100</v>
      </c>
      <c r="T770" s="1880">
        <v>8</v>
      </c>
      <c r="U770" s="128">
        <f>+S770*0.3</f>
        <v>75330</v>
      </c>
      <c r="V770" s="74">
        <f>SUM(S770-U770)</f>
        <v>175770</v>
      </c>
      <c r="W770" s="77">
        <f>+K770+V770</f>
        <v>175770</v>
      </c>
      <c r="X770" s="321">
        <f>W770</f>
        <v>175770</v>
      </c>
      <c r="Y770" s="1022"/>
      <c r="Z770" s="77">
        <f>+X770</f>
        <v>175770</v>
      </c>
      <c r="AA770" s="708">
        <v>0.3</v>
      </c>
      <c r="AB770" s="410">
        <f>+Z770*AA770/100</f>
        <v>527.30999999999995</v>
      </c>
      <c r="AC770" s="603"/>
      <c r="AD770" s="603"/>
      <c r="AE770" s="603"/>
      <c r="AF770" s="603"/>
    </row>
    <row r="771" spans="1:32" s="457" customFormat="1" ht="18" customHeight="1" x14ac:dyDescent="0.2">
      <c r="A771" s="145"/>
      <c r="B771" s="177"/>
      <c r="C771" s="177"/>
      <c r="D771" s="145"/>
      <c r="E771" s="145"/>
      <c r="F771" s="145"/>
      <c r="G771" s="145"/>
      <c r="H771" s="147"/>
      <c r="I771" s="107"/>
      <c r="J771" s="178"/>
      <c r="K771" s="107"/>
      <c r="L771" s="145"/>
      <c r="M771" s="145"/>
      <c r="N771" s="145"/>
      <c r="O771" s="145"/>
      <c r="P771" s="147"/>
      <c r="Q771" s="148"/>
      <c r="R771" s="437"/>
      <c r="S771" s="107"/>
      <c r="T771" s="437"/>
      <c r="U771" s="178"/>
      <c r="V771" s="107"/>
      <c r="W771" s="107"/>
      <c r="X771" s="470"/>
      <c r="Y771" s="470"/>
      <c r="Z771" s="471"/>
      <c r="AA771" s="471"/>
      <c r="AB771" s="466"/>
      <c r="AC771" s="350"/>
      <c r="AD771" s="350"/>
      <c r="AE771" s="350"/>
      <c r="AF771" s="350"/>
    </row>
    <row r="772" spans="1:32" s="457" customFormat="1" ht="18" customHeight="1" x14ac:dyDescent="0.2">
      <c r="A772" s="145"/>
      <c r="B772" s="177"/>
      <c r="C772" s="177"/>
      <c r="D772" s="145"/>
      <c r="E772" s="145"/>
      <c r="F772" s="145"/>
      <c r="G772" s="145"/>
      <c r="H772" s="147"/>
      <c r="I772" s="107"/>
      <c r="J772" s="178"/>
      <c r="K772" s="107"/>
      <c r="L772" s="145"/>
      <c r="M772" s="145"/>
      <c r="N772" s="145"/>
      <c r="O772" s="145"/>
      <c r="P772" s="147"/>
      <c r="Q772" s="148"/>
      <c r="R772" s="437"/>
      <c r="S772" s="107"/>
      <c r="T772" s="437"/>
      <c r="U772" s="178"/>
      <c r="V772" s="107"/>
      <c r="W772" s="107"/>
      <c r="X772" s="470"/>
      <c r="Y772" s="470"/>
      <c r="Z772" s="471"/>
      <c r="AA772" s="471"/>
      <c r="AB772" s="466"/>
      <c r="AC772" s="350"/>
      <c r="AD772" s="350"/>
      <c r="AE772" s="350"/>
      <c r="AF772" s="350"/>
    </row>
    <row r="773" spans="1:32" s="457" customFormat="1" ht="18" customHeight="1" x14ac:dyDescent="0.2">
      <c r="A773" s="145"/>
      <c r="B773" s="177"/>
      <c r="C773" s="177"/>
      <c r="D773" s="145"/>
      <c r="E773" s="145"/>
      <c r="F773" s="145"/>
      <c r="G773" s="145"/>
      <c r="H773" s="147"/>
      <c r="I773" s="107"/>
      <c r="J773" s="178"/>
      <c r="K773" s="107"/>
      <c r="L773" s="145"/>
      <c r="M773" s="145"/>
      <c r="N773" s="145"/>
      <c r="O773" s="145"/>
      <c r="P773" s="147"/>
      <c r="Q773" s="148"/>
      <c r="R773" s="437"/>
      <c r="S773" s="107"/>
      <c r="T773" s="437"/>
      <c r="U773" s="178"/>
      <c r="V773" s="107"/>
      <c r="W773" s="107"/>
      <c r="X773" s="470"/>
      <c r="Y773" s="470"/>
      <c r="Z773" s="471"/>
      <c r="AA773" s="471"/>
      <c r="AB773" s="466"/>
      <c r="AC773" s="350"/>
      <c r="AD773" s="350"/>
      <c r="AE773" s="350"/>
      <c r="AF773" s="350"/>
    </row>
    <row r="774" spans="1:32" s="457" customFormat="1" ht="18" customHeight="1" x14ac:dyDescent="0.2">
      <c r="A774" s="145"/>
      <c r="B774" s="177"/>
      <c r="C774" s="177"/>
      <c r="D774" s="145"/>
      <c r="E774" s="145"/>
      <c r="F774" s="145"/>
      <c r="G774" s="145"/>
      <c r="H774" s="147"/>
      <c r="I774" s="107"/>
      <c r="J774" s="178"/>
      <c r="K774" s="107"/>
      <c r="L774" s="145"/>
      <c r="M774" s="145"/>
      <c r="N774" s="145"/>
      <c r="O774" s="145"/>
      <c r="P774" s="147"/>
      <c r="Q774" s="148"/>
      <c r="R774" s="437"/>
      <c r="S774" s="107"/>
      <c r="T774" s="437"/>
      <c r="U774" s="178"/>
      <c r="V774" s="107"/>
      <c r="W774" s="107"/>
      <c r="X774" s="470"/>
      <c r="Y774" s="470"/>
      <c r="Z774" s="471"/>
      <c r="AA774" s="471"/>
      <c r="AB774" s="466"/>
      <c r="AC774" s="350"/>
      <c r="AD774" s="350"/>
      <c r="AE774" s="350"/>
      <c r="AF774" s="350"/>
    </row>
    <row r="775" spans="1:32" s="457" customFormat="1" ht="18" customHeight="1" x14ac:dyDescent="0.2">
      <c r="A775" s="145"/>
      <c r="B775" s="177"/>
      <c r="C775" s="177"/>
      <c r="D775" s="145"/>
      <c r="E775" s="145"/>
      <c r="F775" s="145"/>
      <c r="G775" s="145"/>
      <c r="H775" s="147"/>
      <c r="I775" s="107"/>
      <c r="J775" s="178"/>
      <c r="K775" s="107"/>
      <c r="L775" s="145"/>
      <c r="M775" s="145"/>
      <c r="N775" s="145"/>
      <c r="O775" s="145"/>
      <c r="P775" s="147"/>
      <c r="Q775" s="148"/>
      <c r="R775" s="437"/>
      <c r="S775" s="107"/>
      <c r="T775" s="437"/>
      <c r="U775" s="178"/>
      <c r="V775" s="107"/>
      <c r="W775" s="107"/>
      <c r="X775" s="470"/>
      <c r="Y775" s="470"/>
      <c r="Z775" s="471"/>
      <c r="AA775" s="471"/>
      <c r="AB775" s="466"/>
      <c r="AC775" s="350"/>
      <c r="AD775" s="350"/>
      <c r="AE775" s="350"/>
      <c r="AF775" s="350"/>
    </row>
    <row r="776" spans="1:32" s="457" customFormat="1" ht="18" customHeight="1" x14ac:dyDescent="0.2">
      <c r="A776" s="145"/>
      <c r="B776" s="177"/>
      <c r="C776" s="177"/>
      <c r="D776" s="145"/>
      <c r="E776" s="145"/>
      <c r="F776" s="145"/>
      <c r="G776" s="145"/>
      <c r="H776" s="147"/>
      <c r="I776" s="107"/>
      <c r="J776" s="178"/>
      <c r="K776" s="107"/>
      <c r="L776" s="145"/>
      <c r="M776" s="145"/>
      <c r="N776" s="145"/>
      <c r="O776" s="145"/>
      <c r="P776" s="147"/>
      <c r="Q776" s="148"/>
      <c r="R776" s="437"/>
      <c r="S776" s="107"/>
      <c r="T776" s="437"/>
      <c r="U776" s="178"/>
      <c r="V776" s="107"/>
      <c r="W776" s="107"/>
      <c r="X776" s="470"/>
      <c r="Y776" s="470"/>
      <c r="Z776" s="471"/>
      <c r="AA776" s="471"/>
      <c r="AB776" s="466"/>
      <c r="AC776" s="350"/>
      <c r="AD776" s="350"/>
      <c r="AE776" s="350"/>
      <c r="AF776" s="350"/>
    </row>
    <row r="777" spans="1:32" s="457" customFormat="1" ht="18" customHeight="1" x14ac:dyDescent="0.2">
      <c r="A777" s="145"/>
      <c r="B777" s="177"/>
      <c r="C777" s="177"/>
      <c r="D777" s="145"/>
      <c r="E777" s="145"/>
      <c r="F777" s="145"/>
      <c r="G777" s="145"/>
      <c r="H777" s="147"/>
      <c r="I777" s="107"/>
      <c r="J777" s="178"/>
      <c r="K777" s="107"/>
      <c r="L777" s="145"/>
      <c r="M777" s="145"/>
      <c r="N777" s="145"/>
      <c r="O777" s="145"/>
      <c r="P777" s="147"/>
      <c r="Q777" s="148"/>
      <c r="R777" s="437"/>
      <c r="S777" s="107"/>
      <c r="T777" s="437"/>
      <c r="U777" s="178"/>
      <c r="V777" s="107"/>
      <c r="W777" s="107"/>
      <c r="X777" s="470"/>
      <c r="Y777" s="470"/>
      <c r="Z777" s="471"/>
      <c r="AA777" s="471"/>
      <c r="AB777" s="466"/>
      <c r="AC777" s="350"/>
      <c r="AD777" s="350"/>
      <c r="AE777" s="350"/>
      <c r="AF777" s="350"/>
    </row>
    <row r="778" spans="1:32" s="457" customFormat="1" ht="18" customHeight="1" x14ac:dyDescent="0.2">
      <c r="A778" s="145"/>
      <c r="B778" s="177"/>
      <c r="C778" s="177"/>
      <c r="D778" s="145"/>
      <c r="E778" s="145"/>
      <c r="F778" s="145"/>
      <c r="G778" s="145"/>
      <c r="H778" s="147"/>
      <c r="I778" s="107"/>
      <c r="J778" s="178"/>
      <c r="K778" s="107"/>
      <c r="L778" s="145"/>
      <c r="M778" s="145"/>
      <c r="N778" s="145"/>
      <c r="O778" s="145"/>
      <c r="P778" s="147"/>
      <c r="Q778" s="148"/>
      <c r="R778" s="437"/>
      <c r="S778" s="107"/>
      <c r="T778" s="437"/>
      <c r="U778" s="178"/>
      <c r="V778" s="107"/>
      <c r="W778" s="107"/>
      <c r="X778" s="470"/>
      <c r="Y778" s="470"/>
      <c r="Z778" s="471"/>
      <c r="AA778" s="471"/>
      <c r="AB778" s="466"/>
      <c r="AC778" s="350"/>
      <c r="AD778" s="350"/>
      <c r="AE778" s="350"/>
      <c r="AF778" s="350"/>
    </row>
    <row r="779" spans="1:32" s="457" customFormat="1" ht="18" customHeight="1" x14ac:dyDescent="0.2">
      <c r="A779" s="145"/>
      <c r="B779" s="177"/>
      <c r="C779" s="177"/>
      <c r="D779" s="145"/>
      <c r="E779" s="145"/>
      <c r="F779" s="145"/>
      <c r="G779" s="145"/>
      <c r="H779" s="147"/>
      <c r="I779" s="107"/>
      <c r="J779" s="178"/>
      <c r="K779" s="107"/>
      <c r="L779" s="145"/>
      <c r="M779" s="145"/>
      <c r="N779" s="145"/>
      <c r="O779" s="145"/>
      <c r="P779" s="147"/>
      <c r="Q779" s="148"/>
      <c r="R779" s="437"/>
      <c r="S779" s="107"/>
      <c r="T779" s="437"/>
      <c r="U779" s="178"/>
      <c r="V779" s="107"/>
      <c r="W779" s="107"/>
      <c r="X779" s="470"/>
      <c r="Y779" s="470"/>
      <c r="Z779" s="471"/>
      <c r="AA779" s="471"/>
      <c r="AB779" s="466"/>
      <c r="AC779" s="350"/>
      <c r="AD779" s="350"/>
      <c r="AE779" s="350"/>
      <c r="AF779" s="350"/>
    </row>
    <row r="780" spans="1:32" s="457" customFormat="1" ht="18" customHeight="1" x14ac:dyDescent="0.2">
      <c r="A780" s="145"/>
      <c r="B780" s="177"/>
      <c r="C780" s="177"/>
      <c r="D780" s="145"/>
      <c r="E780" s="145"/>
      <c r="F780" s="145"/>
      <c r="G780" s="145"/>
      <c r="H780" s="147"/>
      <c r="I780" s="107"/>
      <c r="J780" s="178"/>
      <c r="K780" s="107"/>
      <c r="L780" s="145"/>
      <c r="M780" s="145"/>
      <c r="N780" s="145"/>
      <c r="O780" s="145"/>
      <c r="P780" s="147"/>
      <c r="Q780" s="148"/>
      <c r="R780" s="437"/>
      <c r="S780" s="107"/>
      <c r="T780" s="437"/>
      <c r="U780" s="178"/>
      <c r="V780" s="107"/>
      <c r="W780" s="107"/>
      <c r="X780" s="470"/>
      <c r="Y780" s="470"/>
      <c r="Z780" s="471"/>
      <c r="AA780" s="471"/>
      <c r="AB780" s="466"/>
      <c r="AC780" s="350"/>
      <c r="AD780" s="350"/>
      <c r="AE780" s="350"/>
      <c r="AF780" s="350"/>
    </row>
    <row r="781" spans="1:32" s="457" customFormat="1" ht="18" customHeight="1" x14ac:dyDescent="0.2">
      <c r="A781" s="145"/>
      <c r="B781" s="177"/>
      <c r="C781" s="177"/>
      <c r="D781" s="145"/>
      <c r="E781" s="145"/>
      <c r="F781" s="145"/>
      <c r="G781" s="145"/>
      <c r="H781" s="147"/>
      <c r="I781" s="107"/>
      <c r="J781" s="178"/>
      <c r="K781" s="107"/>
      <c r="L781" s="145"/>
      <c r="M781" s="145"/>
      <c r="N781" s="145"/>
      <c r="O781" s="145"/>
      <c r="P781" s="147"/>
      <c r="Q781" s="148"/>
      <c r="R781" s="437"/>
      <c r="S781" s="107"/>
      <c r="T781" s="437"/>
      <c r="U781" s="178"/>
      <c r="V781" s="107"/>
      <c r="W781" s="107"/>
      <c r="X781" s="470"/>
      <c r="Y781" s="470"/>
      <c r="Z781" s="471"/>
      <c r="AA781" s="471"/>
      <c r="AB781" s="466"/>
      <c r="AC781" s="350"/>
      <c r="AD781" s="350"/>
      <c r="AE781" s="350"/>
      <c r="AF781" s="350"/>
    </row>
    <row r="782" spans="1:32" s="457" customFormat="1" ht="18" customHeight="1" x14ac:dyDescent="0.2">
      <c r="A782" s="145"/>
      <c r="B782" s="177"/>
      <c r="C782" s="177"/>
      <c r="D782" s="145"/>
      <c r="E782" s="145"/>
      <c r="F782" s="145"/>
      <c r="G782" s="145"/>
      <c r="H782" s="147"/>
      <c r="I782" s="107"/>
      <c r="J782" s="178"/>
      <c r="K782" s="107"/>
      <c r="L782" s="145"/>
      <c r="M782" s="145"/>
      <c r="N782" s="145"/>
      <c r="O782" s="145"/>
      <c r="P782" s="147"/>
      <c r="Q782" s="148"/>
      <c r="R782" s="437"/>
      <c r="S782" s="107"/>
      <c r="T782" s="437"/>
      <c r="U782" s="178"/>
      <c r="V782" s="107"/>
      <c r="W782" s="107"/>
      <c r="X782" s="470"/>
      <c r="Y782" s="470"/>
      <c r="Z782" s="471"/>
      <c r="AA782" s="471"/>
      <c r="AB782" s="466"/>
      <c r="AC782" s="350"/>
      <c r="AD782" s="350"/>
      <c r="AE782" s="350"/>
      <c r="AF782" s="350"/>
    </row>
    <row r="783" spans="1:32" s="457" customFormat="1" ht="18" customHeight="1" x14ac:dyDescent="0.2">
      <c r="A783" s="145"/>
      <c r="B783" s="177"/>
      <c r="C783" s="177"/>
      <c r="D783" s="145"/>
      <c r="E783" s="145"/>
      <c r="F783" s="145"/>
      <c r="G783" s="145"/>
      <c r="H783" s="147"/>
      <c r="I783" s="107"/>
      <c r="J783" s="178"/>
      <c r="K783" s="107"/>
      <c r="L783" s="145"/>
      <c r="M783" s="145"/>
      <c r="N783" s="145"/>
      <c r="O783" s="145"/>
      <c r="P783" s="147"/>
      <c r="Q783" s="148"/>
      <c r="R783" s="437"/>
      <c r="S783" s="107"/>
      <c r="T783" s="437"/>
      <c r="U783" s="178"/>
      <c r="V783" s="107"/>
      <c r="W783" s="107"/>
      <c r="X783" s="470"/>
      <c r="Y783" s="470"/>
      <c r="Z783" s="471"/>
      <c r="AA783" s="471"/>
      <c r="AB783" s="466"/>
      <c r="AC783" s="350"/>
      <c r="AD783" s="350"/>
      <c r="AE783" s="350"/>
      <c r="AF783" s="350"/>
    </row>
    <row r="784" spans="1:32" s="457" customFormat="1" ht="18" customHeight="1" x14ac:dyDescent="0.2">
      <c r="A784" s="145"/>
      <c r="B784" s="177"/>
      <c r="C784" s="177"/>
      <c r="D784" s="145"/>
      <c r="E784" s="145"/>
      <c r="F784" s="145"/>
      <c r="G784" s="145"/>
      <c r="H784" s="147"/>
      <c r="I784" s="107"/>
      <c r="J784" s="178"/>
      <c r="K784" s="107"/>
      <c r="L784" s="145"/>
      <c r="M784" s="145"/>
      <c r="N784" s="145"/>
      <c r="O784" s="145"/>
      <c r="P784" s="147"/>
      <c r="Q784" s="148"/>
      <c r="R784" s="437"/>
      <c r="S784" s="107"/>
      <c r="T784" s="437"/>
      <c r="U784" s="178"/>
      <c r="V784" s="107"/>
      <c r="W784" s="107"/>
      <c r="X784" s="470"/>
      <c r="Y784" s="470"/>
      <c r="Z784" s="471"/>
      <c r="AA784" s="471"/>
      <c r="AB784" s="466"/>
      <c r="AC784" s="350"/>
      <c r="AD784" s="350"/>
      <c r="AE784" s="350"/>
      <c r="AF784" s="350"/>
    </row>
    <row r="785" spans="1:32" s="457" customFormat="1" ht="18" customHeight="1" x14ac:dyDescent="0.2">
      <c r="A785" s="145"/>
      <c r="B785" s="177"/>
      <c r="C785" s="177"/>
      <c r="D785" s="145"/>
      <c r="E785" s="145"/>
      <c r="F785" s="145"/>
      <c r="G785" s="145"/>
      <c r="H785" s="147"/>
      <c r="I785" s="107"/>
      <c r="J785" s="178"/>
      <c r="K785" s="107"/>
      <c r="L785" s="145"/>
      <c r="M785" s="145"/>
      <c r="N785" s="145"/>
      <c r="O785" s="145"/>
      <c r="P785" s="147"/>
      <c r="Q785" s="148"/>
      <c r="R785" s="437"/>
      <c r="S785" s="107"/>
      <c r="T785" s="437"/>
      <c r="U785" s="178"/>
      <c r="V785" s="107"/>
      <c r="W785" s="107"/>
      <c r="X785" s="470"/>
      <c r="Y785" s="470"/>
      <c r="Z785" s="471"/>
      <c r="AA785" s="471"/>
      <c r="AB785" s="466"/>
      <c r="AC785" s="350"/>
      <c r="AD785" s="350"/>
      <c r="AE785" s="350"/>
      <c r="AF785" s="350"/>
    </row>
    <row r="786" spans="1:32" s="457" customFormat="1" ht="18" customHeight="1" x14ac:dyDescent="0.2">
      <c r="A786" s="145"/>
      <c r="B786" s="177"/>
      <c r="C786" s="177"/>
      <c r="D786" s="145"/>
      <c r="E786" s="145"/>
      <c r="F786" s="145"/>
      <c r="G786" s="145"/>
      <c r="H786" s="147"/>
      <c r="I786" s="107"/>
      <c r="J786" s="178"/>
      <c r="K786" s="107"/>
      <c r="L786" s="145"/>
      <c r="M786" s="145"/>
      <c r="N786" s="145"/>
      <c r="O786" s="145"/>
      <c r="P786" s="147"/>
      <c r="Q786" s="148"/>
      <c r="R786" s="437"/>
      <c r="S786" s="107"/>
      <c r="T786" s="437"/>
      <c r="U786" s="178"/>
      <c r="V786" s="107"/>
      <c r="W786" s="107"/>
      <c r="X786" s="470"/>
      <c r="Y786" s="470"/>
      <c r="Z786" s="471"/>
      <c r="AA786" s="471"/>
      <c r="AB786" s="466"/>
      <c r="AC786" s="350"/>
      <c r="AD786" s="350"/>
      <c r="AE786" s="350"/>
      <c r="AF786" s="350"/>
    </row>
    <row r="787" spans="1:32" s="597" customFormat="1" ht="18" customHeight="1" x14ac:dyDescent="0.2">
      <c r="A787" s="1850"/>
      <c r="B787" s="1850"/>
      <c r="C787" s="1850"/>
      <c r="D787" s="1850"/>
      <c r="E787" s="1850"/>
      <c r="F787" s="1850"/>
      <c r="G787" s="1850"/>
      <c r="H787" s="1851"/>
      <c r="I787" s="1852"/>
      <c r="J787" s="1853"/>
      <c r="K787" s="1852"/>
      <c r="L787" s="1852"/>
      <c r="M787" s="1852"/>
      <c r="N787" s="1852"/>
      <c r="O787" s="1852"/>
      <c r="P787" s="1852"/>
      <c r="Q787" s="1852"/>
      <c r="R787" s="1854"/>
      <c r="S787" s="1852"/>
      <c r="T787" s="1854"/>
      <c r="U787" s="1853"/>
      <c r="V787" s="1852"/>
      <c r="W787" s="1852"/>
      <c r="X787" s="1856"/>
      <c r="Y787" s="1856"/>
      <c r="Z787" s="1857"/>
      <c r="AA787" s="1857"/>
      <c r="AB787" s="1847">
        <f>SUM(AB769:AB786)</f>
        <v>527.30999999999995</v>
      </c>
      <c r="AC787" s="1861"/>
      <c r="AD787" s="1861"/>
      <c r="AE787" s="1861"/>
      <c r="AF787" s="1861"/>
    </row>
    <row r="788" spans="1:32" s="457" customFormat="1" ht="18" customHeight="1" x14ac:dyDescent="0.2">
      <c r="A788" s="2737" t="s">
        <v>76</v>
      </c>
      <c r="B788" s="2737"/>
      <c r="C788" s="2738" t="s">
        <v>77</v>
      </c>
      <c r="D788" s="2738"/>
      <c r="E788" s="2738"/>
      <c r="F788" s="2738"/>
      <c r="G788" s="2738"/>
      <c r="H788" s="2738"/>
      <c r="I788" s="457" t="s">
        <v>78</v>
      </c>
      <c r="T788" s="651"/>
      <c r="U788" s="478"/>
      <c r="AB788" s="478"/>
    </row>
    <row r="789" spans="1:32" s="457" customFormat="1" ht="18" customHeight="1" x14ac:dyDescent="0.2">
      <c r="A789" s="448"/>
      <c r="B789" s="479"/>
      <c r="I789" s="457" t="s">
        <v>79</v>
      </c>
      <c r="T789" s="651"/>
      <c r="U789" s="478"/>
      <c r="AB789" s="478"/>
    </row>
    <row r="790" spans="1:32" s="457" customFormat="1" ht="18" customHeight="1" x14ac:dyDescent="0.2">
      <c r="A790" s="448"/>
      <c r="B790" s="479"/>
      <c r="I790" s="457" t="s">
        <v>80</v>
      </c>
      <c r="T790" s="651"/>
      <c r="U790" s="478"/>
      <c r="AB790" s="478"/>
    </row>
    <row r="791" spans="1:32" s="457" customFormat="1" ht="18" customHeight="1" x14ac:dyDescent="0.2">
      <c r="A791" s="448"/>
      <c r="B791" s="479"/>
      <c r="I791" s="457" t="s">
        <v>81</v>
      </c>
      <c r="T791" s="651"/>
      <c r="U791" s="478"/>
      <c r="AB791" s="478"/>
    </row>
    <row r="792" spans="1:32" s="457" customFormat="1" ht="18" customHeight="1" x14ac:dyDescent="0.2">
      <c r="A792" s="448"/>
      <c r="B792" s="479"/>
      <c r="I792" s="457" t="s">
        <v>88</v>
      </c>
      <c r="T792" s="651"/>
      <c r="U792" s="478"/>
      <c r="AB792" s="478"/>
    </row>
    <row r="793" spans="1:32" s="457" customFormat="1" ht="18" customHeight="1" x14ac:dyDescent="0.2">
      <c r="A793" s="456"/>
      <c r="B793" s="455"/>
      <c r="C793" s="455"/>
      <c r="D793" s="455"/>
      <c r="E793" s="455"/>
      <c r="F793" s="455"/>
      <c r="G793" s="455"/>
      <c r="H793" s="455"/>
      <c r="I793" s="455"/>
      <c r="J793" s="455"/>
      <c r="K793" s="455"/>
      <c r="L793" s="455"/>
      <c r="M793" s="455"/>
      <c r="N793" s="455"/>
      <c r="O793" s="455"/>
      <c r="P793" s="455"/>
      <c r="Q793" s="455"/>
      <c r="R793" s="455"/>
      <c r="S793" s="455"/>
      <c r="T793" s="608"/>
      <c r="U793" s="609"/>
      <c r="V793" s="455"/>
      <c r="W793" s="455"/>
      <c r="X793" s="455"/>
      <c r="Y793" s="455"/>
      <c r="Z793" s="455"/>
      <c r="AA793" s="2705" t="s">
        <v>0</v>
      </c>
      <c r="AB793" s="2705"/>
      <c r="AC793" s="455"/>
      <c r="AD793" s="455"/>
      <c r="AE793" s="455"/>
      <c r="AF793" s="455"/>
    </row>
    <row r="794" spans="1:32" s="457" customFormat="1" ht="18" customHeight="1" x14ac:dyDescent="0.2">
      <c r="A794" s="2706" t="s">
        <v>1</v>
      </c>
      <c r="B794" s="2706"/>
      <c r="C794" s="2706"/>
      <c r="D794" s="2706"/>
      <c r="E794" s="2706"/>
      <c r="F794" s="2706"/>
      <c r="G794" s="2706"/>
      <c r="H794" s="2706"/>
      <c r="I794" s="2706"/>
      <c r="J794" s="2706"/>
      <c r="K794" s="2706"/>
      <c r="L794" s="2706"/>
      <c r="M794" s="2706"/>
      <c r="N794" s="2706"/>
      <c r="O794" s="2706"/>
      <c r="P794" s="2706"/>
      <c r="Q794" s="2706"/>
      <c r="R794" s="2706"/>
      <c r="S794" s="2706"/>
      <c r="T794" s="2706"/>
      <c r="U794" s="2706"/>
      <c r="V794" s="2706"/>
      <c r="W794" s="2706"/>
      <c r="X794" s="2706"/>
      <c r="Y794" s="2706"/>
      <c r="Z794" s="2706"/>
      <c r="AA794" s="2706"/>
      <c r="AB794" s="2706"/>
      <c r="AC794" s="610"/>
      <c r="AD794" s="610"/>
      <c r="AE794" s="610"/>
      <c r="AF794" s="610"/>
    </row>
    <row r="795" spans="1:32" s="457" customFormat="1" ht="18" customHeight="1" x14ac:dyDescent="0.2">
      <c r="A795" s="2704" t="s">
        <v>448</v>
      </c>
      <c r="B795" s="2704"/>
      <c r="C795" s="2704"/>
      <c r="D795" s="2704"/>
      <c r="E795" s="2704"/>
      <c r="F795" s="2704"/>
      <c r="G795" s="2704"/>
      <c r="H795" s="2704"/>
      <c r="I795" s="2704"/>
      <c r="J795" s="2704"/>
      <c r="K795" s="2704"/>
      <c r="L795" s="2704"/>
      <c r="M795" s="2704"/>
      <c r="N795" s="2704"/>
      <c r="O795" s="2704"/>
      <c r="P795" s="2704"/>
      <c r="Q795" s="2704"/>
      <c r="R795" s="2704"/>
      <c r="S795" s="2704"/>
      <c r="T795" s="2704"/>
      <c r="U795" s="2704"/>
      <c r="V795" s="2704"/>
      <c r="W795" s="2704"/>
      <c r="X795" s="2704"/>
      <c r="Y795" s="2704"/>
      <c r="Z795" s="2704"/>
      <c r="AA795" s="2704"/>
      <c r="AB795" s="2704"/>
      <c r="AC795" s="611"/>
      <c r="AD795" s="611"/>
      <c r="AE795" s="611"/>
      <c r="AF795" s="611"/>
    </row>
    <row r="796" spans="1:32" s="457" customFormat="1" ht="18" customHeight="1" x14ac:dyDescent="0.2">
      <c r="A796" s="2686" t="s">
        <v>2</v>
      </c>
      <c r="B796" s="360"/>
      <c r="C796" s="2686" t="s">
        <v>3</v>
      </c>
      <c r="D796" s="360"/>
      <c r="E796" s="360"/>
      <c r="F796" s="2693" t="s">
        <v>4</v>
      </c>
      <c r="G796" s="2693"/>
      <c r="H796" s="2693"/>
      <c r="I796" s="2694"/>
      <c r="J796" s="2694"/>
      <c r="K796" s="2695"/>
      <c r="L796" s="361"/>
      <c r="M796" s="2679" t="s">
        <v>5</v>
      </c>
      <c r="N796" s="2679"/>
      <c r="O796" s="2679"/>
      <c r="P796" s="2679"/>
      <c r="Q796" s="2696"/>
      <c r="R796" s="2696"/>
      <c r="S796" s="2696"/>
      <c r="T796" s="2696"/>
      <c r="U796" s="2696"/>
      <c r="V796" s="2697"/>
      <c r="W796" s="362" t="s">
        <v>6</v>
      </c>
      <c r="X796" s="363" t="s">
        <v>7</v>
      </c>
      <c r="Y796" s="364"/>
      <c r="Z796" s="364"/>
      <c r="AA796" s="363"/>
      <c r="AB796" s="458"/>
      <c r="AC796" s="612" t="s">
        <v>8</v>
      </c>
      <c r="AD796" s="613"/>
      <c r="AE796" s="613"/>
      <c r="AF796" s="614"/>
    </row>
    <row r="797" spans="1:32" s="457" customFormat="1" ht="18" customHeight="1" x14ac:dyDescent="0.2">
      <c r="A797" s="2687"/>
      <c r="B797" s="367"/>
      <c r="C797" s="2687"/>
      <c r="D797" s="366" t="s">
        <v>9</v>
      </c>
      <c r="E797" s="366" t="s">
        <v>10</v>
      </c>
      <c r="F797" s="2698" t="s">
        <v>11</v>
      </c>
      <c r="G797" s="2694"/>
      <c r="H797" s="2695"/>
      <c r="I797" s="360"/>
      <c r="J797" s="449" t="s">
        <v>12</v>
      </c>
      <c r="K797" s="360"/>
      <c r="L797" s="2734" t="s">
        <v>2</v>
      </c>
      <c r="M797" s="370"/>
      <c r="N797" s="370"/>
      <c r="O797" s="370"/>
      <c r="P797" s="371"/>
      <c r="Q797" s="459" t="s">
        <v>13</v>
      </c>
      <c r="R797" s="370" t="s">
        <v>12</v>
      </c>
      <c r="S797" s="370" t="s">
        <v>6</v>
      </c>
      <c r="T797" s="2682" t="s">
        <v>14</v>
      </c>
      <c r="U797" s="2683"/>
      <c r="V797" s="375" t="s">
        <v>7</v>
      </c>
      <c r="W797" s="376" t="s">
        <v>15</v>
      </c>
      <c r="X797" s="377" t="s">
        <v>16</v>
      </c>
      <c r="Y797" s="377" t="s">
        <v>17</v>
      </c>
      <c r="Z797" s="377" t="s">
        <v>18</v>
      </c>
      <c r="AA797" s="377"/>
      <c r="AB797" s="460" t="s">
        <v>19</v>
      </c>
      <c r="AC797" s="615" t="s">
        <v>20</v>
      </c>
      <c r="AD797" s="616"/>
      <c r="AE797" s="617" t="s">
        <v>21</v>
      </c>
      <c r="AF797" s="618" t="s">
        <v>22</v>
      </c>
    </row>
    <row r="798" spans="1:32" s="457" customFormat="1" ht="18" customHeight="1" x14ac:dyDescent="0.2">
      <c r="A798" s="2687"/>
      <c r="B798" s="366" t="s">
        <v>23</v>
      </c>
      <c r="C798" s="2687"/>
      <c r="D798" s="366" t="s">
        <v>24</v>
      </c>
      <c r="E798" s="366" t="s">
        <v>25</v>
      </c>
      <c r="F798" s="2699"/>
      <c r="G798" s="2700"/>
      <c r="H798" s="2701"/>
      <c r="I798" s="366" t="s">
        <v>26</v>
      </c>
      <c r="J798" s="380" t="s">
        <v>15</v>
      </c>
      <c r="K798" s="380" t="s">
        <v>6</v>
      </c>
      <c r="L798" s="2735"/>
      <c r="M798" s="381" t="s">
        <v>27</v>
      </c>
      <c r="N798" s="381" t="s">
        <v>10</v>
      </c>
      <c r="O798" s="381" t="s">
        <v>10</v>
      </c>
      <c r="P798" s="385" t="s">
        <v>28</v>
      </c>
      <c r="Q798" s="461" t="s">
        <v>29</v>
      </c>
      <c r="R798" s="385" t="s">
        <v>15</v>
      </c>
      <c r="S798" s="385" t="s">
        <v>15</v>
      </c>
      <c r="T798" s="2684"/>
      <c r="U798" s="2685"/>
      <c r="V798" s="375" t="s">
        <v>30</v>
      </c>
      <c r="W798" s="376" t="s">
        <v>31</v>
      </c>
      <c r="X798" s="377" t="s">
        <v>30</v>
      </c>
      <c r="Y798" s="377" t="s">
        <v>32</v>
      </c>
      <c r="Z798" s="377" t="s">
        <v>7</v>
      </c>
      <c r="AA798" s="377" t="s">
        <v>33</v>
      </c>
      <c r="AB798" s="460" t="s">
        <v>34</v>
      </c>
      <c r="AC798" s="615" t="s">
        <v>35</v>
      </c>
      <c r="AD798" s="617" t="s">
        <v>36</v>
      </c>
      <c r="AE798" s="617" t="s">
        <v>37</v>
      </c>
      <c r="AF798" s="618" t="s">
        <v>38</v>
      </c>
    </row>
    <row r="799" spans="1:32" s="457" customFormat="1" ht="18" customHeight="1" x14ac:dyDescent="0.2">
      <c r="A799" s="2687"/>
      <c r="B799" s="366" t="s">
        <v>39</v>
      </c>
      <c r="C799" s="2687"/>
      <c r="D799" s="366" t="s">
        <v>40</v>
      </c>
      <c r="E799" s="366" t="s">
        <v>41</v>
      </c>
      <c r="F799" s="2686" t="s">
        <v>42</v>
      </c>
      <c r="G799" s="2686" t="s">
        <v>43</v>
      </c>
      <c r="H799" s="2688" t="s">
        <v>44</v>
      </c>
      <c r="I799" s="366" t="s">
        <v>45</v>
      </c>
      <c r="J799" s="380" t="s">
        <v>46</v>
      </c>
      <c r="K799" s="380" t="s">
        <v>47</v>
      </c>
      <c r="L799" s="2735"/>
      <c r="M799" s="381" t="s">
        <v>30</v>
      </c>
      <c r="N799" s="381" t="s">
        <v>30</v>
      </c>
      <c r="O799" s="381" t="s">
        <v>25</v>
      </c>
      <c r="P799" s="385" t="s">
        <v>30</v>
      </c>
      <c r="Q799" s="461" t="s">
        <v>48</v>
      </c>
      <c r="R799" s="385" t="s">
        <v>49</v>
      </c>
      <c r="S799" s="385" t="s">
        <v>30</v>
      </c>
      <c r="T799" s="619" t="s">
        <v>50</v>
      </c>
      <c r="U799" s="620" t="s">
        <v>13</v>
      </c>
      <c r="V799" s="375" t="s">
        <v>51</v>
      </c>
      <c r="W799" s="376" t="s">
        <v>52</v>
      </c>
      <c r="X799" s="377" t="s">
        <v>53</v>
      </c>
      <c r="Y799" s="377" t="s">
        <v>54</v>
      </c>
      <c r="Z799" s="377" t="s">
        <v>55</v>
      </c>
      <c r="AA799" s="377" t="s">
        <v>56</v>
      </c>
      <c r="AB799" s="460" t="s">
        <v>57</v>
      </c>
      <c r="AC799" s="617" t="s">
        <v>58</v>
      </c>
      <c r="AD799" s="617" t="s">
        <v>59</v>
      </c>
      <c r="AE799" s="617" t="s">
        <v>59</v>
      </c>
      <c r="AF799" s="618" t="s">
        <v>60</v>
      </c>
    </row>
    <row r="800" spans="1:32" s="457" customFormat="1" ht="18" customHeight="1" x14ac:dyDescent="0.2">
      <c r="A800" s="2687"/>
      <c r="B800" s="366" t="s">
        <v>61</v>
      </c>
      <c r="C800" s="2687"/>
      <c r="D800" s="366" t="s">
        <v>62</v>
      </c>
      <c r="E800" s="366" t="s">
        <v>63</v>
      </c>
      <c r="F800" s="2687"/>
      <c r="G800" s="2687"/>
      <c r="H800" s="2689"/>
      <c r="I800" s="366" t="s">
        <v>64</v>
      </c>
      <c r="J800" s="380" t="s">
        <v>59</v>
      </c>
      <c r="K800" s="380" t="s">
        <v>59</v>
      </c>
      <c r="L800" s="2735"/>
      <c r="M800" s="381"/>
      <c r="N800" s="381"/>
      <c r="O800" s="381" t="s">
        <v>41</v>
      </c>
      <c r="P800" s="385" t="s">
        <v>65</v>
      </c>
      <c r="Q800" s="461" t="s">
        <v>66</v>
      </c>
      <c r="R800" s="385" t="s">
        <v>67</v>
      </c>
      <c r="S800" s="385" t="s">
        <v>59</v>
      </c>
      <c r="T800" s="621" t="s">
        <v>68</v>
      </c>
      <c r="U800" s="622" t="s">
        <v>14</v>
      </c>
      <c r="V800" s="375" t="s">
        <v>14</v>
      </c>
      <c r="W800" s="376" t="s">
        <v>30</v>
      </c>
      <c r="X800" s="388" t="s">
        <v>69</v>
      </c>
      <c r="Y800" s="388" t="s">
        <v>70</v>
      </c>
      <c r="Z800" s="377" t="s">
        <v>71</v>
      </c>
      <c r="AA800" s="377" t="s">
        <v>72</v>
      </c>
      <c r="AB800" s="460" t="s">
        <v>59</v>
      </c>
      <c r="AC800" s="617" t="s">
        <v>59</v>
      </c>
      <c r="AD800" s="617"/>
      <c r="AE800" s="617"/>
      <c r="AF800" s="618" t="s">
        <v>59</v>
      </c>
    </row>
    <row r="801" spans="1:32" s="457" customFormat="1" ht="18" customHeight="1" x14ac:dyDescent="0.2">
      <c r="A801" s="2692"/>
      <c r="B801" s="390"/>
      <c r="C801" s="2692"/>
      <c r="D801" s="390"/>
      <c r="E801" s="389"/>
      <c r="F801" s="390"/>
      <c r="G801" s="390"/>
      <c r="H801" s="391"/>
      <c r="I801" s="389"/>
      <c r="J801" s="393"/>
      <c r="K801" s="393"/>
      <c r="L801" s="2736"/>
      <c r="M801" s="394"/>
      <c r="N801" s="394"/>
      <c r="O801" s="394" t="s">
        <v>63</v>
      </c>
      <c r="P801" s="394"/>
      <c r="Q801" s="450" t="s">
        <v>72</v>
      </c>
      <c r="R801" s="398" t="s">
        <v>59</v>
      </c>
      <c r="S801" s="398"/>
      <c r="T801" s="623" t="s">
        <v>73</v>
      </c>
      <c r="U801" s="624" t="s">
        <v>59</v>
      </c>
      <c r="V801" s="399" t="s">
        <v>59</v>
      </c>
      <c r="W801" s="400" t="s">
        <v>59</v>
      </c>
      <c r="X801" s="401" t="s">
        <v>59</v>
      </c>
      <c r="Y801" s="401" t="s">
        <v>59</v>
      </c>
      <c r="Z801" s="401" t="s">
        <v>59</v>
      </c>
      <c r="AA801" s="402"/>
      <c r="AB801" s="462"/>
      <c r="AC801" s="625"/>
      <c r="AD801" s="625"/>
      <c r="AE801" s="625"/>
      <c r="AF801" s="626"/>
    </row>
    <row r="802" spans="1:32" s="457" customFormat="1" ht="18" customHeight="1" x14ac:dyDescent="0.25">
      <c r="A802" s="61">
        <v>1</v>
      </c>
      <c r="B802" s="287">
        <v>46873</v>
      </c>
      <c r="C802" s="287">
        <v>1410</v>
      </c>
      <c r="D802" s="287" t="s">
        <v>139</v>
      </c>
      <c r="E802" s="287">
        <v>3</v>
      </c>
      <c r="F802" s="287">
        <v>0</v>
      </c>
      <c r="G802" s="287">
        <v>1</v>
      </c>
      <c r="H802" s="785">
        <v>76.8</v>
      </c>
      <c r="I802" s="77">
        <f>F802*400+G802*100+H802</f>
        <v>176.8</v>
      </c>
      <c r="J802" s="331">
        <v>1000</v>
      </c>
      <c r="K802" s="78">
        <f>SUM(I802*J802)</f>
        <v>176800</v>
      </c>
      <c r="L802" s="255">
        <v>1</v>
      </c>
      <c r="M802" s="241">
        <v>513</v>
      </c>
      <c r="N802" s="287" t="s">
        <v>74</v>
      </c>
      <c r="O802" s="709">
        <v>3</v>
      </c>
      <c r="P802" s="848">
        <v>70</v>
      </c>
      <c r="Q802" s="334" t="s">
        <v>75</v>
      </c>
      <c r="R802" s="998">
        <v>6250</v>
      </c>
      <c r="S802" s="331">
        <v>437500</v>
      </c>
      <c r="T802" s="2056">
        <v>8</v>
      </c>
      <c r="U802" s="128">
        <f>+S802*0.08</f>
        <v>35000</v>
      </c>
      <c r="V802" s="74">
        <f>SUM(S802-U802)</f>
        <v>402500</v>
      </c>
      <c r="W802" s="77">
        <f>+K802+V802</f>
        <v>579300</v>
      </c>
      <c r="X802" s="321">
        <f>W802</f>
        <v>579300</v>
      </c>
      <c r="Y802" s="999"/>
      <c r="Z802" s="77">
        <f>+X802</f>
        <v>579300</v>
      </c>
      <c r="AA802" s="703">
        <v>0.3</v>
      </c>
      <c r="AB802" s="465">
        <f>+Z802*AA802/100</f>
        <v>1737.9</v>
      </c>
      <c r="AC802" s="602"/>
      <c r="AD802" s="603" t="e">
        <f>#REF!-AC802</f>
        <v>#REF!</v>
      </c>
      <c r="AE802" s="603" t="e">
        <f>IF(AD802&lt;=0,0,AD802*25/100)</f>
        <v>#REF!</v>
      </c>
      <c r="AF802" s="603" t="e">
        <f>IF(AC802+AE802&gt;#REF!,#REF!,AC802+AE802)</f>
        <v>#REF!</v>
      </c>
    </row>
    <row r="803" spans="1:32" s="457" customFormat="1" ht="18" customHeight="1" x14ac:dyDescent="0.2">
      <c r="A803" s="75"/>
      <c r="B803" s="88"/>
      <c r="C803" s="88"/>
      <c r="D803" s="145"/>
      <c r="E803" s="88"/>
      <c r="F803" s="88"/>
      <c r="G803" s="88"/>
      <c r="H803" s="495"/>
      <c r="I803" s="121"/>
      <c r="J803" s="121"/>
      <c r="K803" s="159"/>
      <c r="L803" s="88"/>
      <c r="M803" s="88"/>
      <c r="N803" s="88"/>
      <c r="O803" s="72"/>
      <c r="P803" s="120"/>
      <c r="Q803" s="129"/>
      <c r="R803" s="446"/>
      <c r="S803" s="73"/>
      <c r="T803" s="446"/>
      <c r="U803" s="73"/>
      <c r="V803" s="73"/>
      <c r="W803" s="73"/>
      <c r="X803" s="73"/>
      <c r="Y803" s="414"/>
      <c r="Z803" s="73"/>
      <c r="AA803" s="414"/>
      <c r="AB803" s="466"/>
      <c r="AC803" s="602"/>
      <c r="AD803" s="603"/>
      <c r="AE803" s="603"/>
      <c r="AF803" s="603"/>
    </row>
    <row r="804" spans="1:32" s="457" customFormat="1" ht="18" customHeight="1" x14ac:dyDescent="0.2">
      <c r="A804" s="61"/>
      <c r="B804" s="145"/>
      <c r="C804" s="145"/>
      <c r="D804" s="145"/>
      <c r="E804" s="145"/>
      <c r="F804" s="145"/>
      <c r="G804" s="145"/>
      <c r="H804" s="407"/>
      <c r="I804" s="77"/>
      <c r="J804" s="107"/>
      <c r="K804" s="107"/>
      <c r="L804" s="130"/>
      <c r="M804" s="727"/>
      <c r="N804" s="727"/>
      <c r="O804" s="727"/>
      <c r="P804" s="728"/>
      <c r="Q804" s="728"/>
      <c r="R804" s="729"/>
      <c r="S804" s="729"/>
      <c r="T804" s="730"/>
      <c r="U804" s="731"/>
      <c r="V804" s="729"/>
      <c r="W804" s="94"/>
      <c r="X804" s="94"/>
      <c r="Y804" s="409"/>
      <c r="Z804" s="94"/>
      <c r="AA804" s="409"/>
      <c r="AB804" s="466"/>
      <c r="AC804" s="350"/>
      <c r="AD804" s="719"/>
      <c r="AE804" s="719"/>
      <c r="AF804" s="719"/>
    </row>
    <row r="805" spans="1:32" s="457" customFormat="1" ht="18" customHeight="1" x14ac:dyDescent="0.2">
      <c r="A805" s="145"/>
      <c r="B805" s="177"/>
      <c r="C805" s="177"/>
      <c r="D805" s="145"/>
      <c r="E805" s="145"/>
      <c r="F805" s="145"/>
      <c r="G805" s="145"/>
      <c r="H805" s="147"/>
      <c r="I805" s="107"/>
      <c r="J805" s="178"/>
      <c r="K805" s="107"/>
      <c r="L805" s="145"/>
      <c r="M805" s="145"/>
      <c r="N805" s="145"/>
      <c r="O805" s="145"/>
      <c r="P805" s="147"/>
      <c r="Q805" s="148"/>
      <c r="R805" s="437"/>
      <c r="S805" s="107"/>
      <c r="T805" s="437"/>
      <c r="U805" s="178"/>
      <c r="V805" s="107"/>
      <c r="W805" s="107"/>
      <c r="X805" s="470"/>
      <c r="Y805" s="470"/>
      <c r="Z805" s="471"/>
      <c r="AA805" s="471"/>
      <c r="AB805" s="466"/>
      <c r="AC805" s="350"/>
      <c r="AD805" s="350"/>
      <c r="AE805" s="350"/>
      <c r="AF805" s="350"/>
    </row>
    <row r="806" spans="1:32" s="457" customFormat="1" ht="18" customHeight="1" x14ac:dyDescent="0.2">
      <c r="A806" s="145"/>
      <c r="B806" s="177"/>
      <c r="C806" s="177"/>
      <c r="D806" s="145"/>
      <c r="E806" s="145"/>
      <c r="F806" s="145"/>
      <c r="G806" s="145"/>
      <c r="H806" s="147"/>
      <c r="I806" s="107"/>
      <c r="J806" s="178"/>
      <c r="K806" s="107"/>
      <c r="L806" s="145"/>
      <c r="M806" s="145"/>
      <c r="N806" s="145"/>
      <c r="O806" s="145"/>
      <c r="P806" s="147"/>
      <c r="Q806" s="148"/>
      <c r="R806" s="437"/>
      <c r="S806" s="107"/>
      <c r="T806" s="437"/>
      <c r="U806" s="178"/>
      <c r="V806" s="107"/>
      <c r="W806" s="107"/>
      <c r="X806" s="470"/>
      <c r="Y806" s="470"/>
      <c r="Z806" s="471"/>
      <c r="AA806" s="471"/>
      <c r="AB806" s="466"/>
      <c r="AC806" s="350"/>
      <c r="AD806" s="350"/>
      <c r="AE806" s="350"/>
      <c r="AF806" s="350"/>
    </row>
    <row r="807" spans="1:32" s="457" customFormat="1" ht="18" customHeight="1" x14ac:dyDescent="0.2">
      <c r="A807" s="145"/>
      <c r="B807" s="177"/>
      <c r="C807" s="177"/>
      <c r="D807" s="145"/>
      <c r="E807" s="145"/>
      <c r="F807" s="145"/>
      <c r="G807" s="145"/>
      <c r="H807" s="147"/>
      <c r="I807" s="107"/>
      <c r="J807" s="178"/>
      <c r="K807" s="107"/>
      <c r="L807" s="145"/>
      <c r="M807" s="145"/>
      <c r="N807" s="145"/>
      <c r="O807" s="145"/>
      <c r="P807" s="147"/>
      <c r="Q807" s="148"/>
      <c r="R807" s="437"/>
      <c r="S807" s="107"/>
      <c r="T807" s="437"/>
      <c r="U807" s="178"/>
      <c r="V807" s="107"/>
      <c r="W807" s="107"/>
      <c r="X807" s="470"/>
      <c r="Y807" s="470"/>
      <c r="Z807" s="471"/>
      <c r="AA807" s="471"/>
      <c r="AB807" s="466"/>
      <c r="AC807" s="350"/>
      <c r="AD807" s="350"/>
      <c r="AE807" s="350"/>
      <c r="AF807" s="350"/>
    </row>
    <row r="808" spans="1:32" s="457" customFormat="1" ht="18" customHeight="1" x14ac:dyDescent="0.2">
      <c r="A808" s="145"/>
      <c r="B808" s="177"/>
      <c r="C808" s="177"/>
      <c r="D808" s="145"/>
      <c r="E808" s="145"/>
      <c r="F808" s="145"/>
      <c r="G808" s="145"/>
      <c r="H808" s="147"/>
      <c r="I808" s="107"/>
      <c r="J808" s="178"/>
      <c r="K808" s="107"/>
      <c r="L808" s="145"/>
      <c r="M808" s="145"/>
      <c r="N808" s="145"/>
      <c r="O808" s="145"/>
      <c r="P808" s="147"/>
      <c r="Q808" s="148"/>
      <c r="R808" s="437"/>
      <c r="S808" s="107"/>
      <c r="T808" s="437"/>
      <c r="U808" s="178"/>
      <c r="V808" s="107"/>
      <c r="W808" s="107"/>
      <c r="X808" s="470"/>
      <c r="Y808" s="470"/>
      <c r="Z808" s="471"/>
      <c r="AA808" s="471"/>
      <c r="AB808" s="466"/>
      <c r="AC808" s="350"/>
      <c r="AD808" s="350"/>
      <c r="AE808" s="350"/>
      <c r="AF808" s="350"/>
    </row>
    <row r="809" spans="1:32" s="457" customFormat="1" ht="18" customHeight="1" x14ac:dyDescent="0.2">
      <c r="A809" s="145"/>
      <c r="B809" s="177"/>
      <c r="C809" s="177"/>
      <c r="D809" s="145"/>
      <c r="E809" s="145"/>
      <c r="F809" s="145"/>
      <c r="G809" s="145"/>
      <c r="H809" s="147"/>
      <c r="I809" s="107"/>
      <c r="J809" s="178"/>
      <c r="K809" s="107"/>
      <c r="L809" s="145"/>
      <c r="M809" s="145"/>
      <c r="N809" s="145"/>
      <c r="O809" s="145"/>
      <c r="P809" s="147"/>
      <c r="Q809" s="148"/>
      <c r="R809" s="437"/>
      <c r="S809" s="107"/>
      <c r="T809" s="437"/>
      <c r="U809" s="178"/>
      <c r="V809" s="107"/>
      <c r="W809" s="107"/>
      <c r="X809" s="470"/>
      <c r="Y809" s="470"/>
      <c r="Z809" s="471"/>
      <c r="AA809" s="471"/>
      <c r="AB809" s="466"/>
      <c r="AC809" s="350"/>
      <c r="AD809" s="350"/>
      <c r="AE809" s="350"/>
      <c r="AF809" s="350"/>
    </row>
    <row r="810" spans="1:32" s="457" customFormat="1" ht="18" customHeight="1" x14ac:dyDescent="0.2">
      <c r="A810" s="145"/>
      <c r="B810" s="177"/>
      <c r="C810" s="177"/>
      <c r="D810" s="145"/>
      <c r="E810" s="145"/>
      <c r="F810" s="145"/>
      <c r="G810" s="145"/>
      <c r="H810" s="147"/>
      <c r="I810" s="107"/>
      <c r="J810" s="178"/>
      <c r="K810" s="107"/>
      <c r="L810" s="145"/>
      <c r="M810" s="145"/>
      <c r="N810" s="145"/>
      <c r="O810" s="145"/>
      <c r="P810" s="147"/>
      <c r="Q810" s="148"/>
      <c r="R810" s="437"/>
      <c r="S810" s="107"/>
      <c r="T810" s="437"/>
      <c r="U810" s="178"/>
      <c r="V810" s="107"/>
      <c r="W810" s="107"/>
      <c r="X810" s="470"/>
      <c r="Y810" s="470"/>
      <c r="Z810" s="471"/>
      <c r="AA810" s="471"/>
      <c r="AB810" s="466"/>
      <c r="AC810" s="350"/>
      <c r="AD810" s="350"/>
      <c r="AE810" s="350"/>
      <c r="AF810" s="350"/>
    </row>
    <row r="811" spans="1:32" s="457" customFormat="1" ht="18" customHeight="1" x14ac:dyDescent="0.2">
      <c r="A811" s="145"/>
      <c r="B811" s="177"/>
      <c r="C811" s="177"/>
      <c r="D811" s="145"/>
      <c r="E811" s="145"/>
      <c r="F811" s="145"/>
      <c r="G811" s="145"/>
      <c r="H811" s="147"/>
      <c r="I811" s="107"/>
      <c r="J811" s="178"/>
      <c r="K811" s="107"/>
      <c r="L811" s="145"/>
      <c r="M811" s="145"/>
      <c r="N811" s="145"/>
      <c r="O811" s="145"/>
      <c r="P811" s="147"/>
      <c r="Q811" s="148"/>
      <c r="R811" s="437"/>
      <c r="S811" s="107"/>
      <c r="T811" s="437"/>
      <c r="U811" s="178"/>
      <c r="V811" s="107"/>
      <c r="W811" s="107"/>
      <c r="X811" s="470"/>
      <c r="Y811" s="470"/>
      <c r="Z811" s="471"/>
      <c r="AA811" s="471"/>
      <c r="AB811" s="466"/>
      <c r="AC811" s="350"/>
      <c r="AD811" s="350"/>
      <c r="AE811" s="350"/>
      <c r="AF811" s="350"/>
    </row>
    <row r="812" spans="1:32" s="457" customFormat="1" ht="18" customHeight="1" x14ac:dyDescent="0.2">
      <c r="A812" s="145"/>
      <c r="B812" s="177"/>
      <c r="C812" s="177"/>
      <c r="D812" s="145"/>
      <c r="E812" s="145"/>
      <c r="F812" s="145"/>
      <c r="G812" s="145"/>
      <c r="H812" s="147"/>
      <c r="I812" s="107"/>
      <c r="J812" s="178"/>
      <c r="K812" s="107"/>
      <c r="L812" s="145"/>
      <c r="M812" s="145"/>
      <c r="N812" s="145"/>
      <c r="O812" s="145"/>
      <c r="P812" s="147"/>
      <c r="Q812" s="148"/>
      <c r="R812" s="437"/>
      <c r="S812" s="107"/>
      <c r="T812" s="437"/>
      <c r="U812" s="178"/>
      <c r="V812" s="107"/>
      <c r="W812" s="107"/>
      <c r="X812" s="470"/>
      <c r="Y812" s="470"/>
      <c r="Z812" s="471"/>
      <c r="AA812" s="471"/>
      <c r="AB812" s="466"/>
      <c r="AC812" s="350"/>
      <c r="AD812" s="350"/>
      <c r="AE812" s="350"/>
      <c r="AF812" s="350"/>
    </row>
    <row r="813" spans="1:32" s="457" customFormat="1" ht="18" customHeight="1" x14ac:dyDescent="0.2">
      <c r="A813" s="145"/>
      <c r="B813" s="177"/>
      <c r="C813" s="177"/>
      <c r="D813" s="145"/>
      <c r="E813" s="145"/>
      <c r="F813" s="145"/>
      <c r="G813" s="145"/>
      <c r="H813" s="147"/>
      <c r="I813" s="107"/>
      <c r="J813" s="178"/>
      <c r="K813" s="107"/>
      <c r="L813" s="145"/>
      <c r="M813" s="145"/>
      <c r="N813" s="145"/>
      <c r="O813" s="145"/>
      <c r="P813" s="147"/>
      <c r="Q813" s="148"/>
      <c r="R813" s="437"/>
      <c r="S813" s="107"/>
      <c r="T813" s="437"/>
      <c r="U813" s="178"/>
      <c r="V813" s="107"/>
      <c r="W813" s="107"/>
      <c r="X813" s="470"/>
      <c r="Y813" s="470"/>
      <c r="Z813" s="471"/>
      <c r="AA813" s="471"/>
      <c r="AB813" s="466"/>
      <c r="AC813" s="350"/>
      <c r="AD813" s="350"/>
      <c r="AE813" s="350"/>
      <c r="AF813" s="350"/>
    </row>
    <row r="814" spans="1:32" s="457" customFormat="1" ht="18" customHeight="1" x14ac:dyDescent="0.2">
      <c r="A814" s="145"/>
      <c r="B814" s="177"/>
      <c r="C814" s="177"/>
      <c r="D814" s="145"/>
      <c r="E814" s="145"/>
      <c r="F814" s="145"/>
      <c r="G814" s="145"/>
      <c r="H814" s="147"/>
      <c r="I814" s="107"/>
      <c r="J814" s="178"/>
      <c r="K814" s="107"/>
      <c r="L814" s="145"/>
      <c r="M814" s="145"/>
      <c r="N814" s="145"/>
      <c r="O814" s="145"/>
      <c r="P814" s="147"/>
      <c r="Q814" s="148"/>
      <c r="R814" s="437"/>
      <c r="S814" s="107"/>
      <c r="T814" s="437"/>
      <c r="U814" s="178"/>
      <c r="V814" s="107"/>
      <c r="W814" s="107"/>
      <c r="X814" s="470"/>
      <c r="Y814" s="470"/>
      <c r="Z814" s="471"/>
      <c r="AA814" s="471"/>
      <c r="AB814" s="466"/>
      <c r="AC814" s="350"/>
      <c r="AD814" s="350"/>
      <c r="AE814" s="350"/>
      <c r="AF814" s="350"/>
    </row>
    <row r="815" spans="1:32" s="457" customFormat="1" ht="18" customHeight="1" x14ac:dyDescent="0.2">
      <c r="A815" s="145"/>
      <c r="B815" s="177"/>
      <c r="C815" s="177"/>
      <c r="D815" s="145"/>
      <c r="E815" s="145"/>
      <c r="F815" s="145"/>
      <c r="G815" s="145"/>
      <c r="H815" s="147"/>
      <c r="I815" s="107"/>
      <c r="J815" s="178"/>
      <c r="K815" s="107"/>
      <c r="L815" s="145"/>
      <c r="M815" s="145"/>
      <c r="N815" s="145"/>
      <c r="O815" s="145"/>
      <c r="P815" s="147"/>
      <c r="Q815" s="148"/>
      <c r="R815" s="437"/>
      <c r="S815" s="107"/>
      <c r="T815" s="437"/>
      <c r="U815" s="178"/>
      <c r="V815" s="107"/>
      <c r="W815" s="107"/>
      <c r="X815" s="470"/>
      <c r="Y815" s="470"/>
      <c r="Z815" s="471"/>
      <c r="AA815" s="471"/>
      <c r="AB815" s="466"/>
      <c r="AC815" s="350"/>
      <c r="AD815" s="350"/>
      <c r="AE815" s="350"/>
      <c r="AF815" s="350"/>
    </row>
    <row r="816" spans="1:32" s="457" customFormat="1" ht="18" customHeight="1" x14ac:dyDescent="0.2">
      <c r="A816" s="145"/>
      <c r="B816" s="177"/>
      <c r="C816" s="177"/>
      <c r="D816" s="145"/>
      <c r="E816" s="145"/>
      <c r="F816" s="145"/>
      <c r="G816" s="145"/>
      <c r="H816" s="147"/>
      <c r="I816" s="107"/>
      <c r="J816" s="178"/>
      <c r="K816" s="107"/>
      <c r="L816" s="145"/>
      <c r="M816" s="145"/>
      <c r="N816" s="145"/>
      <c r="O816" s="145"/>
      <c r="P816" s="147"/>
      <c r="Q816" s="148"/>
      <c r="R816" s="437"/>
      <c r="S816" s="107"/>
      <c r="T816" s="437"/>
      <c r="U816" s="178"/>
      <c r="V816" s="107"/>
      <c r="W816" s="107"/>
      <c r="X816" s="470"/>
      <c r="Y816" s="470"/>
      <c r="Z816" s="471"/>
      <c r="AA816" s="471"/>
      <c r="AB816" s="466"/>
      <c r="AC816" s="350"/>
      <c r="AD816" s="350"/>
      <c r="AE816" s="350"/>
      <c r="AF816" s="350"/>
    </row>
    <row r="817" spans="1:32" s="457" customFormat="1" ht="18" customHeight="1" x14ac:dyDescent="0.2">
      <c r="A817" s="145"/>
      <c r="B817" s="177"/>
      <c r="C817" s="177"/>
      <c r="D817" s="145"/>
      <c r="E817" s="145"/>
      <c r="F817" s="145"/>
      <c r="G817" s="145"/>
      <c r="H817" s="147"/>
      <c r="I817" s="107"/>
      <c r="J817" s="178"/>
      <c r="K817" s="107"/>
      <c r="L817" s="145"/>
      <c r="M817" s="145"/>
      <c r="N817" s="145"/>
      <c r="O817" s="145"/>
      <c r="P817" s="147"/>
      <c r="Q817" s="148"/>
      <c r="R817" s="437"/>
      <c r="S817" s="107"/>
      <c r="T817" s="437"/>
      <c r="U817" s="178"/>
      <c r="V817" s="107"/>
      <c r="W817" s="107"/>
      <c r="X817" s="470"/>
      <c r="Y817" s="470"/>
      <c r="Z817" s="471"/>
      <c r="AA817" s="471"/>
      <c r="AB817" s="466"/>
      <c r="AC817" s="350"/>
      <c r="AD817" s="350"/>
      <c r="AE817" s="350"/>
      <c r="AF817" s="350"/>
    </row>
    <row r="818" spans="1:32" s="457" customFormat="1" ht="18" customHeight="1" x14ac:dyDescent="0.2">
      <c r="A818" s="145"/>
      <c r="B818" s="177"/>
      <c r="C818" s="177"/>
      <c r="D818" s="145"/>
      <c r="E818" s="145"/>
      <c r="F818" s="145"/>
      <c r="G818" s="145"/>
      <c r="H818" s="147"/>
      <c r="I818" s="107"/>
      <c r="J818" s="178"/>
      <c r="K818" s="107"/>
      <c r="L818" s="145"/>
      <c r="M818" s="145"/>
      <c r="N818" s="145"/>
      <c r="O818" s="145"/>
      <c r="P818" s="147"/>
      <c r="Q818" s="148"/>
      <c r="R818" s="437"/>
      <c r="S818" s="107"/>
      <c r="T818" s="437"/>
      <c r="U818" s="178"/>
      <c r="V818" s="107"/>
      <c r="W818" s="107"/>
      <c r="X818" s="470"/>
      <c r="Y818" s="470"/>
      <c r="Z818" s="471"/>
      <c r="AA818" s="471"/>
      <c r="AB818" s="466"/>
      <c r="AC818" s="350"/>
      <c r="AD818" s="350"/>
      <c r="AE818" s="350"/>
      <c r="AF818" s="350"/>
    </row>
    <row r="819" spans="1:32" s="457" customFormat="1" ht="18" customHeight="1" x14ac:dyDescent="0.2">
      <c r="A819" s="145"/>
      <c r="B819" s="177"/>
      <c r="C819" s="177"/>
      <c r="D819" s="145"/>
      <c r="E819" s="145"/>
      <c r="F819" s="145"/>
      <c r="G819" s="145"/>
      <c r="H819" s="147"/>
      <c r="I819" s="107"/>
      <c r="J819" s="178"/>
      <c r="K819" s="107"/>
      <c r="L819" s="145"/>
      <c r="M819" s="145"/>
      <c r="N819" s="145"/>
      <c r="O819" s="145"/>
      <c r="P819" s="147"/>
      <c r="Q819" s="148"/>
      <c r="R819" s="437"/>
      <c r="S819" s="107"/>
      <c r="T819" s="437"/>
      <c r="U819" s="178"/>
      <c r="V819" s="107"/>
      <c r="W819" s="107"/>
      <c r="X819" s="470"/>
      <c r="Y819" s="470"/>
      <c r="Z819" s="471"/>
      <c r="AA819" s="471"/>
      <c r="AB819" s="466"/>
      <c r="AC819" s="350"/>
      <c r="AD819" s="350"/>
      <c r="AE819" s="350"/>
      <c r="AF819" s="350"/>
    </row>
    <row r="820" spans="1:32" s="457" customFormat="1" ht="18" customHeight="1" x14ac:dyDescent="0.2">
      <c r="A820" s="183"/>
      <c r="B820" s="183"/>
      <c r="C820" s="183"/>
      <c r="D820" s="183"/>
      <c r="E820" s="183"/>
      <c r="F820" s="183"/>
      <c r="G820" s="183"/>
      <c r="H820" s="184"/>
      <c r="I820" s="185"/>
      <c r="J820" s="186"/>
      <c r="K820" s="185"/>
      <c r="L820" s="185"/>
      <c r="M820" s="185"/>
      <c r="N820" s="185"/>
      <c r="O820" s="185"/>
      <c r="P820" s="185"/>
      <c r="Q820" s="185"/>
      <c r="R820" s="438"/>
      <c r="S820" s="185"/>
      <c r="T820" s="438"/>
      <c r="U820" s="186"/>
      <c r="V820" s="185"/>
      <c r="W820" s="185"/>
      <c r="X820" s="474"/>
      <c r="Y820" s="474"/>
      <c r="Z820" s="475"/>
      <c r="AA820" s="475"/>
      <c r="AB820" s="476">
        <f>SUM(AB802:AB819)</f>
        <v>1737.9</v>
      </c>
      <c r="AC820" s="349"/>
      <c r="AD820" s="349"/>
      <c r="AE820" s="349"/>
      <c r="AF820" s="349"/>
    </row>
    <row r="821" spans="1:32" s="457" customFormat="1" ht="18" customHeight="1" x14ac:dyDescent="0.2">
      <c r="A821" s="2737" t="s">
        <v>76</v>
      </c>
      <c r="B821" s="2737"/>
      <c r="C821" s="2738" t="s">
        <v>77</v>
      </c>
      <c r="D821" s="2738"/>
      <c r="E821" s="2738"/>
      <c r="F821" s="2738"/>
      <c r="G821" s="2738"/>
      <c r="H821" s="2738"/>
      <c r="I821" s="457" t="s">
        <v>78</v>
      </c>
      <c r="T821" s="651"/>
      <c r="U821" s="478"/>
      <c r="AB821" s="478"/>
    </row>
    <row r="822" spans="1:32" s="457" customFormat="1" ht="18" customHeight="1" x14ac:dyDescent="0.2">
      <c r="A822" s="448"/>
      <c r="B822" s="479"/>
      <c r="I822" s="457" t="s">
        <v>79</v>
      </c>
      <c r="T822" s="651"/>
      <c r="U822" s="478"/>
      <c r="AB822" s="478"/>
    </row>
    <row r="823" spans="1:32" s="457" customFormat="1" ht="18" customHeight="1" x14ac:dyDescent="0.2">
      <c r="A823" s="448"/>
      <c r="B823" s="479"/>
      <c r="I823" s="457" t="s">
        <v>80</v>
      </c>
      <c r="T823" s="651"/>
      <c r="U823" s="478"/>
      <c r="AB823" s="478"/>
    </row>
    <row r="824" spans="1:32" s="457" customFormat="1" ht="18" customHeight="1" x14ac:dyDescent="0.2">
      <c r="A824" s="448"/>
      <c r="B824" s="479"/>
      <c r="I824" s="457" t="s">
        <v>81</v>
      </c>
      <c r="T824" s="651"/>
      <c r="U824" s="478"/>
      <c r="AB824" s="478"/>
    </row>
    <row r="825" spans="1:32" s="457" customFormat="1" ht="18" customHeight="1" x14ac:dyDescent="0.2">
      <c r="A825" s="448"/>
      <c r="B825" s="479"/>
      <c r="I825" s="457" t="s">
        <v>88</v>
      </c>
      <c r="T825" s="651"/>
      <c r="U825" s="478"/>
      <c r="AB825" s="478"/>
    </row>
    <row r="826" spans="1:32" s="457" customFormat="1" ht="18" customHeight="1" x14ac:dyDescent="0.2">
      <c r="A826" s="456"/>
      <c r="B826" s="455"/>
      <c r="C826" s="455"/>
      <c r="D826" s="455"/>
      <c r="E826" s="455"/>
      <c r="F826" s="455"/>
      <c r="G826" s="455"/>
      <c r="H826" s="455"/>
      <c r="I826" s="455"/>
      <c r="J826" s="455"/>
      <c r="K826" s="455"/>
      <c r="L826" s="455"/>
      <c r="M826" s="455"/>
      <c r="N826" s="455"/>
      <c r="O826" s="455"/>
      <c r="P826" s="455"/>
      <c r="Q826" s="455"/>
      <c r="R826" s="455"/>
      <c r="S826" s="455"/>
      <c r="T826" s="608"/>
      <c r="U826" s="609"/>
      <c r="V826" s="455"/>
      <c r="W826" s="455"/>
      <c r="X826" s="455"/>
      <c r="Y826" s="455"/>
      <c r="Z826" s="455"/>
      <c r="AA826" s="2705" t="s">
        <v>0</v>
      </c>
      <c r="AB826" s="2705"/>
    </row>
    <row r="827" spans="1:32" s="457" customFormat="1" ht="18" customHeight="1" x14ac:dyDescent="0.2">
      <c r="A827" s="2706" t="s">
        <v>1</v>
      </c>
      <c r="B827" s="2706"/>
      <c r="C827" s="2706"/>
      <c r="D827" s="2706"/>
      <c r="E827" s="2706"/>
      <c r="F827" s="2706"/>
      <c r="G827" s="2706"/>
      <c r="H827" s="2706"/>
      <c r="I827" s="2706"/>
      <c r="J827" s="2706"/>
      <c r="K827" s="2706"/>
      <c r="L827" s="2706"/>
      <c r="M827" s="2706"/>
      <c r="N827" s="2706"/>
      <c r="O827" s="2706"/>
      <c r="P827" s="2706"/>
      <c r="Q827" s="2706"/>
      <c r="R827" s="2706"/>
      <c r="S827" s="2706"/>
      <c r="T827" s="2706"/>
      <c r="U827" s="2706"/>
      <c r="V827" s="2706"/>
      <c r="W827" s="2706"/>
      <c r="X827" s="2706"/>
      <c r="Y827" s="2706"/>
      <c r="Z827" s="2706"/>
      <c r="AA827" s="2706"/>
      <c r="AB827" s="2706"/>
    </row>
    <row r="828" spans="1:32" s="457" customFormat="1" ht="18" customHeight="1" x14ac:dyDescent="0.2">
      <c r="A828" s="2704" t="s">
        <v>451</v>
      </c>
      <c r="B828" s="2704"/>
      <c r="C828" s="2704"/>
      <c r="D828" s="2704"/>
      <c r="E828" s="2704"/>
      <c r="F828" s="2704"/>
      <c r="G828" s="2704"/>
      <c r="H828" s="2704"/>
      <c r="I828" s="2704"/>
      <c r="J828" s="2704"/>
      <c r="K828" s="2704"/>
      <c r="L828" s="2704"/>
      <c r="M828" s="2704"/>
      <c r="N828" s="2704"/>
      <c r="O828" s="2704"/>
      <c r="P828" s="2704"/>
      <c r="Q828" s="2704"/>
      <c r="R828" s="2704"/>
      <c r="S828" s="2704"/>
      <c r="T828" s="2704"/>
      <c r="U828" s="2704"/>
      <c r="V828" s="2704"/>
      <c r="W828" s="2704"/>
      <c r="X828" s="2704"/>
      <c r="Y828" s="2704"/>
      <c r="Z828" s="2704"/>
      <c r="AA828" s="2704"/>
      <c r="AB828" s="2704"/>
    </row>
    <row r="829" spans="1:32" s="457" customFormat="1" ht="18" customHeight="1" x14ac:dyDescent="0.2">
      <c r="A829" s="2686" t="s">
        <v>2</v>
      </c>
      <c r="B829" s="360"/>
      <c r="C829" s="2686" t="s">
        <v>3</v>
      </c>
      <c r="D829" s="360"/>
      <c r="E829" s="360"/>
      <c r="F829" s="2693" t="s">
        <v>4</v>
      </c>
      <c r="G829" s="2693"/>
      <c r="H829" s="2693"/>
      <c r="I829" s="2694"/>
      <c r="J829" s="2694"/>
      <c r="K829" s="2695"/>
      <c r="L829" s="361"/>
      <c r="M829" s="2679" t="s">
        <v>5</v>
      </c>
      <c r="N829" s="2679"/>
      <c r="O829" s="2679"/>
      <c r="P829" s="2679"/>
      <c r="Q829" s="2696"/>
      <c r="R829" s="2696"/>
      <c r="S829" s="2696"/>
      <c r="T829" s="2696"/>
      <c r="U829" s="2696"/>
      <c r="V829" s="2697"/>
      <c r="W829" s="362" t="s">
        <v>6</v>
      </c>
      <c r="X829" s="363" t="s">
        <v>7</v>
      </c>
      <c r="Y829" s="364"/>
      <c r="Z829" s="364"/>
      <c r="AA829" s="363"/>
      <c r="AB829" s="458"/>
    </row>
    <row r="830" spans="1:32" s="457" customFormat="1" ht="18" customHeight="1" x14ac:dyDescent="0.2">
      <c r="A830" s="2687"/>
      <c r="B830" s="367"/>
      <c r="C830" s="2687"/>
      <c r="D830" s="366" t="s">
        <v>9</v>
      </c>
      <c r="E830" s="366" t="s">
        <v>10</v>
      </c>
      <c r="F830" s="2698" t="s">
        <v>11</v>
      </c>
      <c r="G830" s="2694"/>
      <c r="H830" s="2695"/>
      <c r="I830" s="360"/>
      <c r="J830" s="449" t="s">
        <v>12</v>
      </c>
      <c r="K830" s="360"/>
      <c r="L830" s="2734" t="s">
        <v>2</v>
      </c>
      <c r="M830" s="370"/>
      <c r="N830" s="370"/>
      <c r="O830" s="370"/>
      <c r="P830" s="371"/>
      <c r="Q830" s="459" t="s">
        <v>13</v>
      </c>
      <c r="R830" s="370" t="s">
        <v>12</v>
      </c>
      <c r="S830" s="370" t="s">
        <v>6</v>
      </c>
      <c r="T830" s="2682" t="s">
        <v>14</v>
      </c>
      <c r="U830" s="2683"/>
      <c r="V830" s="375" t="s">
        <v>7</v>
      </c>
      <c r="W830" s="376" t="s">
        <v>15</v>
      </c>
      <c r="X830" s="377" t="s">
        <v>16</v>
      </c>
      <c r="Y830" s="377" t="s">
        <v>17</v>
      </c>
      <c r="Z830" s="377" t="s">
        <v>18</v>
      </c>
      <c r="AA830" s="377"/>
      <c r="AB830" s="460" t="s">
        <v>19</v>
      </c>
    </row>
    <row r="831" spans="1:32" s="457" customFormat="1" ht="18" customHeight="1" x14ac:dyDescent="0.2">
      <c r="A831" s="2687"/>
      <c r="B831" s="366" t="s">
        <v>23</v>
      </c>
      <c r="C831" s="2687"/>
      <c r="D831" s="366" t="s">
        <v>24</v>
      </c>
      <c r="E831" s="366" t="s">
        <v>25</v>
      </c>
      <c r="F831" s="2699"/>
      <c r="G831" s="2700"/>
      <c r="H831" s="2701"/>
      <c r="I831" s="366" t="s">
        <v>26</v>
      </c>
      <c r="J831" s="380" t="s">
        <v>15</v>
      </c>
      <c r="K831" s="380" t="s">
        <v>6</v>
      </c>
      <c r="L831" s="2735"/>
      <c r="M831" s="381" t="s">
        <v>27</v>
      </c>
      <c r="N831" s="381" t="s">
        <v>10</v>
      </c>
      <c r="O831" s="381" t="s">
        <v>10</v>
      </c>
      <c r="P831" s="385" t="s">
        <v>28</v>
      </c>
      <c r="Q831" s="461" t="s">
        <v>29</v>
      </c>
      <c r="R831" s="385" t="s">
        <v>15</v>
      </c>
      <c r="S831" s="385" t="s">
        <v>15</v>
      </c>
      <c r="T831" s="2684"/>
      <c r="U831" s="2685"/>
      <c r="V831" s="375" t="s">
        <v>30</v>
      </c>
      <c r="W831" s="376" t="s">
        <v>31</v>
      </c>
      <c r="X831" s="377" t="s">
        <v>30</v>
      </c>
      <c r="Y831" s="377" t="s">
        <v>32</v>
      </c>
      <c r="Z831" s="377" t="s">
        <v>7</v>
      </c>
      <c r="AA831" s="377" t="s">
        <v>33</v>
      </c>
      <c r="AB831" s="460" t="s">
        <v>34</v>
      </c>
    </row>
    <row r="832" spans="1:32" s="457" customFormat="1" ht="18" customHeight="1" x14ac:dyDescent="0.2">
      <c r="A832" s="2687"/>
      <c r="B832" s="366" t="s">
        <v>39</v>
      </c>
      <c r="C832" s="2687"/>
      <c r="D832" s="366" t="s">
        <v>40</v>
      </c>
      <c r="E832" s="366" t="s">
        <v>41</v>
      </c>
      <c r="F832" s="2686" t="s">
        <v>42</v>
      </c>
      <c r="G832" s="2686" t="s">
        <v>43</v>
      </c>
      <c r="H832" s="2688" t="s">
        <v>44</v>
      </c>
      <c r="I832" s="366" t="s">
        <v>45</v>
      </c>
      <c r="J832" s="380" t="s">
        <v>46</v>
      </c>
      <c r="K832" s="380" t="s">
        <v>47</v>
      </c>
      <c r="L832" s="2735"/>
      <c r="M832" s="381" t="s">
        <v>30</v>
      </c>
      <c r="N832" s="381" t="s">
        <v>30</v>
      </c>
      <c r="O832" s="381" t="s">
        <v>25</v>
      </c>
      <c r="P832" s="385" t="s">
        <v>30</v>
      </c>
      <c r="Q832" s="461" t="s">
        <v>48</v>
      </c>
      <c r="R832" s="385" t="s">
        <v>49</v>
      </c>
      <c r="S832" s="385" t="s">
        <v>30</v>
      </c>
      <c r="T832" s="619" t="s">
        <v>50</v>
      </c>
      <c r="U832" s="620" t="s">
        <v>13</v>
      </c>
      <c r="V832" s="375" t="s">
        <v>51</v>
      </c>
      <c r="W832" s="376" t="s">
        <v>52</v>
      </c>
      <c r="X832" s="377" t="s">
        <v>53</v>
      </c>
      <c r="Y832" s="377" t="s">
        <v>54</v>
      </c>
      <c r="Z832" s="377" t="s">
        <v>55</v>
      </c>
      <c r="AA832" s="377" t="s">
        <v>56</v>
      </c>
      <c r="AB832" s="460" t="s">
        <v>57</v>
      </c>
    </row>
    <row r="833" spans="1:28" s="457" customFormat="1" ht="18" customHeight="1" x14ac:dyDescent="0.2">
      <c r="A833" s="2687"/>
      <c r="B833" s="366" t="s">
        <v>61</v>
      </c>
      <c r="C833" s="2687"/>
      <c r="D833" s="366" t="s">
        <v>62</v>
      </c>
      <c r="E833" s="366" t="s">
        <v>63</v>
      </c>
      <c r="F833" s="2687"/>
      <c r="G833" s="2687"/>
      <c r="H833" s="2689"/>
      <c r="I833" s="366" t="s">
        <v>64</v>
      </c>
      <c r="J833" s="380" t="s">
        <v>59</v>
      </c>
      <c r="K833" s="380" t="s">
        <v>59</v>
      </c>
      <c r="L833" s="2735"/>
      <c r="M833" s="381"/>
      <c r="N833" s="381"/>
      <c r="O833" s="381" t="s">
        <v>41</v>
      </c>
      <c r="P833" s="385" t="s">
        <v>65</v>
      </c>
      <c r="Q833" s="461" t="s">
        <v>66</v>
      </c>
      <c r="R833" s="385" t="s">
        <v>67</v>
      </c>
      <c r="S833" s="385" t="s">
        <v>59</v>
      </c>
      <c r="T833" s="621" t="s">
        <v>68</v>
      </c>
      <c r="U833" s="622" t="s">
        <v>14</v>
      </c>
      <c r="V833" s="375" t="s">
        <v>14</v>
      </c>
      <c r="W833" s="376" t="s">
        <v>30</v>
      </c>
      <c r="X833" s="388" t="s">
        <v>69</v>
      </c>
      <c r="Y833" s="388" t="s">
        <v>70</v>
      </c>
      <c r="Z833" s="377" t="s">
        <v>71</v>
      </c>
      <c r="AA833" s="377" t="s">
        <v>72</v>
      </c>
      <c r="AB833" s="460" t="s">
        <v>59</v>
      </c>
    </row>
    <row r="834" spans="1:28" s="457" customFormat="1" ht="18" customHeight="1" x14ac:dyDescent="0.2">
      <c r="A834" s="2692"/>
      <c r="B834" s="390"/>
      <c r="C834" s="2692"/>
      <c r="D834" s="390"/>
      <c r="E834" s="389"/>
      <c r="F834" s="390"/>
      <c r="G834" s="390"/>
      <c r="H834" s="391"/>
      <c r="I834" s="389"/>
      <c r="J834" s="393"/>
      <c r="K834" s="393"/>
      <c r="L834" s="2736"/>
      <c r="M834" s="394"/>
      <c r="N834" s="394"/>
      <c r="O834" s="394" t="s">
        <v>63</v>
      </c>
      <c r="P834" s="394"/>
      <c r="Q834" s="450" t="s">
        <v>72</v>
      </c>
      <c r="R834" s="398" t="s">
        <v>59</v>
      </c>
      <c r="S834" s="398"/>
      <c r="T834" s="623" t="s">
        <v>73</v>
      </c>
      <c r="U834" s="624" t="s">
        <v>59</v>
      </c>
      <c r="V834" s="399" t="s">
        <v>59</v>
      </c>
      <c r="W834" s="400" t="s">
        <v>59</v>
      </c>
      <c r="X834" s="401" t="s">
        <v>59</v>
      </c>
      <c r="Y834" s="401" t="s">
        <v>59</v>
      </c>
      <c r="Z834" s="401" t="s">
        <v>59</v>
      </c>
      <c r="AA834" s="402"/>
      <c r="AB834" s="462"/>
    </row>
    <row r="835" spans="1:28" s="457" customFormat="1" ht="18" customHeight="1" x14ac:dyDescent="0.25">
      <c r="A835" s="53">
        <v>1</v>
      </c>
      <c r="B835" s="1046">
        <v>62833</v>
      </c>
      <c r="C835" s="68">
        <v>1795</v>
      </c>
      <c r="D835" s="145" t="s">
        <v>139</v>
      </c>
      <c r="E835" s="82">
        <v>4</v>
      </c>
      <c r="F835" s="53">
        <v>0</v>
      </c>
      <c r="G835" s="53">
        <v>2</v>
      </c>
      <c r="H835" s="82">
        <v>0</v>
      </c>
      <c r="I835" s="77">
        <f>F835*400+G835*100+H835</f>
        <v>200</v>
      </c>
      <c r="J835" s="1048">
        <v>280</v>
      </c>
      <c r="K835" s="78">
        <f t="shared" ref="K835:K838" si="65">SUM(I835*J835)</f>
        <v>56000</v>
      </c>
      <c r="L835" s="61"/>
      <c r="M835" s="61"/>
      <c r="N835" s="145"/>
      <c r="O835" s="467">
        <v>4</v>
      </c>
      <c r="P835" s="173"/>
      <c r="Q835" s="196"/>
      <c r="R835" s="1050"/>
      <c r="S835" s="1048"/>
      <c r="T835" s="442"/>
      <c r="U835" s="1048"/>
      <c r="V835" s="1049"/>
      <c r="W835" s="77">
        <f>+K835+V835</f>
        <v>56000</v>
      </c>
      <c r="X835" s="321">
        <f>W835</f>
        <v>56000</v>
      </c>
      <c r="Y835" s="811"/>
      <c r="Z835" s="77">
        <f>+X835</f>
        <v>56000</v>
      </c>
      <c r="AA835" s="1051">
        <v>0.3</v>
      </c>
      <c r="AB835" s="465">
        <f>+Z835*AA835/100</f>
        <v>168</v>
      </c>
    </row>
    <row r="836" spans="1:28" s="457" customFormat="1" ht="18" customHeight="1" x14ac:dyDescent="0.25">
      <c r="A836" s="88">
        <v>2</v>
      </c>
      <c r="B836" s="499">
        <v>62850</v>
      </c>
      <c r="C836" s="145">
        <v>1812</v>
      </c>
      <c r="D836" s="238" t="s">
        <v>139</v>
      </c>
      <c r="E836" s="145">
        <v>4</v>
      </c>
      <c r="F836" s="88">
        <v>0</v>
      </c>
      <c r="G836" s="75">
        <v>2</v>
      </c>
      <c r="H836" s="88">
        <v>70</v>
      </c>
      <c r="I836" s="77">
        <f t="shared" ref="I836:I838" si="66">F836*400+G836*100+H836</f>
        <v>270</v>
      </c>
      <c r="J836" s="920">
        <v>280</v>
      </c>
      <c r="K836" s="78">
        <f t="shared" si="65"/>
        <v>75600</v>
      </c>
      <c r="L836" s="88"/>
      <c r="M836" s="88"/>
      <c r="N836" s="88"/>
      <c r="O836" s="467">
        <v>4</v>
      </c>
      <c r="P836" s="120"/>
      <c r="Q836" s="129"/>
      <c r="R836" s="1052"/>
      <c r="S836" s="1053"/>
      <c r="T836" s="446"/>
      <c r="U836" s="1053"/>
      <c r="V836" s="1053"/>
      <c r="W836" s="77">
        <f t="shared" ref="W836:W838" si="67">+K836+V836</f>
        <v>75600</v>
      </c>
      <c r="X836" s="321">
        <f t="shared" ref="X836:X838" si="68">W836</f>
        <v>75600</v>
      </c>
      <c r="Y836" s="811"/>
      <c r="Z836" s="77">
        <f t="shared" ref="Z836:Z838" si="69">+X836</f>
        <v>75600</v>
      </c>
      <c r="AA836" s="1054">
        <v>0.3</v>
      </c>
      <c r="AB836" s="410">
        <f>+Z836*AA836/100</f>
        <v>226.8</v>
      </c>
    </row>
    <row r="837" spans="1:28" s="457" customFormat="1" ht="18" customHeight="1" x14ac:dyDescent="0.25">
      <c r="A837" s="145">
        <v>3</v>
      </c>
      <c r="B837" s="786">
        <v>62834</v>
      </c>
      <c r="C837" s="88">
        <v>1796</v>
      </c>
      <c r="D837" s="238" t="s">
        <v>139</v>
      </c>
      <c r="E837" s="145">
        <v>4</v>
      </c>
      <c r="F837" s="75">
        <v>1</v>
      </c>
      <c r="G837" s="88">
        <v>0</v>
      </c>
      <c r="H837" s="239">
        <v>0</v>
      </c>
      <c r="I837" s="77">
        <f t="shared" si="66"/>
        <v>400</v>
      </c>
      <c r="J837" s="1048">
        <v>280</v>
      </c>
      <c r="K837" s="78">
        <f t="shared" si="65"/>
        <v>112000</v>
      </c>
      <c r="L837" s="130"/>
      <c r="M837" s="727"/>
      <c r="N837" s="727"/>
      <c r="O837" s="467">
        <v>4</v>
      </c>
      <c r="P837" s="728"/>
      <c r="Q837" s="728"/>
      <c r="R837" s="729"/>
      <c r="S837" s="729"/>
      <c r="T837" s="730"/>
      <c r="U837" s="1055"/>
      <c r="V837" s="729"/>
      <c r="W837" s="77">
        <f t="shared" si="67"/>
        <v>112000</v>
      </c>
      <c r="X837" s="321">
        <f t="shared" si="68"/>
        <v>112000</v>
      </c>
      <c r="Y837" s="811"/>
      <c r="Z837" s="77">
        <f t="shared" si="69"/>
        <v>112000</v>
      </c>
      <c r="AA837" s="812">
        <v>0.3</v>
      </c>
      <c r="AB837" s="466">
        <f>+Z837*AA837/100</f>
        <v>336</v>
      </c>
    </row>
    <row r="838" spans="1:28" s="457" customFormat="1" ht="18" customHeight="1" x14ac:dyDescent="0.25">
      <c r="A838" s="88">
        <v>4</v>
      </c>
      <c r="B838" s="786">
        <v>62851</v>
      </c>
      <c r="C838" s="88">
        <v>1813</v>
      </c>
      <c r="D838" s="238" t="s">
        <v>86</v>
      </c>
      <c r="E838" s="145">
        <v>4</v>
      </c>
      <c r="F838" s="75">
        <v>1</v>
      </c>
      <c r="G838" s="115">
        <v>3</v>
      </c>
      <c r="H838" s="2055">
        <v>65.2</v>
      </c>
      <c r="I838" s="77">
        <f t="shared" si="66"/>
        <v>765.2</v>
      </c>
      <c r="J838" s="1048">
        <v>280</v>
      </c>
      <c r="K838" s="78">
        <f t="shared" si="65"/>
        <v>214256</v>
      </c>
      <c r="L838" s="130"/>
      <c r="M838" s="727"/>
      <c r="N838" s="727"/>
      <c r="O838" s="467">
        <v>4</v>
      </c>
      <c r="P838" s="728"/>
      <c r="Q838" s="728"/>
      <c r="R838" s="729"/>
      <c r="S838" s="729"/>
      <c r="T838" s="730"/>
      <c r="U838" s="1055"/>
      <c r="V838" s="729"/>
      <c r="W838" s="77">
        <f t="shared" si="67"/>
        <v>214256</v>
      </c>
      <c r="X838" s="321">
        <f t="shared" si="68"/>
        <v>214256</v>
      </c>
      <c r="Y838" s="811"/>
      <c r="Z838" s="77">
        <f t="shared" si="69"/>
        <v>214256</v>
      </c>
      <c r="AA838" s="812">
        <v>0.3</v>
      </c>
      <c r="AB838" s="466">
        <f>+Z838*AA838/100</f>
        <v>642.76799999999992</v>
      </c>
    </row>
    <row r="839" spans="1:28" s="457" customFormat="1" ht="18" customHeight="1" x14ac:dyDescent="0.2">
      <c r="A839" s="145"/>
      <c r="B839" s="177"/>
      <c r="C839" s="177"/>
      <c r="D839" s="145"/>
      <c r="E839" s="145"/>
      <c r="F839" s="145"/>
      <c r="G839" s="145"/>
      <c r="H839" s="147"/>
      <c r="I839" s="107"/>
      <c r="J839" s="178"/>
      <c r="K839" s="107"/>
      <c r="L839" s="145"/>
      <c r="M839" s="145"/>
      <c r="N839" s="145"/>
      <c r="O839" s="145"/>
      <c r="P839" s="147"/>
      <c r="Q839" s="148"/>
      <c r="R839" s="437"/>
      <c r="S839" s="107"/>
      <c r="T839" s="437"/>
      <c r="U839" s="178"/>
      <c r="V839" s="107"/>
      <c r="W839" s="107"/>
      <c r="X839" s="470"/>
      <c r="Y839" s="470"/>
      <c r="Z839" s="471"/>
      <c r="AA839" s="471"/>
      <c r="AB839" s="466"/>
    </row>
    <row r="840" spans="1:28" s="457" customFormat="1" ht="18" customHeight="1" x14ac:dyDescent="0.2">
      <c r="A840" s="145"/>
      <c r="B840" s="177"/>
      <c r="C840" s="177"/>
      <c r="D840" s="145"/>
      <c r="E840" s="145"/>
      <c r="F840" s="145"/>
      <c r="G840" s="145"/>
      <c r="H840" s="147"/>
      <c r="I840" s="107"/>
      <c r="J840" s="178"/>
      <c r="K840" s="107"/>
      <c r="L840" s="145"/>
      <c r="M840" s="145"/>
      <c r="N840" s="145"/>
      <c r="O840" s="145"/>
      <c r="P840" s="147"/>
      <c r="Q840" s="148"/>
      <c r="R840" s="437"/>
      <c r="S840" s="107"/>
      <c r="T840" s="437"/>
      <c r="U840" s="178"/>
      <c r="V840" s="107"/>
      <c r="W840" s="107"/>
      <c r="X840" s="470"/>
      <c r="Y840" s="470"/>
      <c r="Z840" s="471"/>
      <c r="AA840" s="471"/>
      <c r="AB840" s="466"/>
    </row>
    <row r="841" spans="1:28" s="457" customFormat="1" ht="18" customHeight="1" x14ac:dyDescent="0.2">
      <c r="A841" s="145"/>
      <c r="B841" s="177"/>
      <c r="C841" s="177"/>
      <c r="D841" s="145"/>
      <c r="E841" s="145"/>
      <c r="F841" s="145"/>
      <c r="G841" s="145"/>
      <c r="H841" s="147"/>
      <c r="I841" s="107"/>
      <c r="J841" s="178"/>
      <c r="K841" s="107"/>
      <c r="L841" s="145"/>
      <c r="M841" s="145"/>
      <c r="N841" s="145"/>
      <c r="O841" s="145"/>
      <c r="P841" s="147"/>
      <c r="Q841" s="148"/>
      <c r="R841" s="437"/>
      <c r="S841" s="107"/>
      <c r="T841" s="437"/>
      <c r="U841" s="178"/>
      <c r="V841" s="107"/>
      <c r="W841" s="107"/>
      <c r="X841" s="470"/>
      <c r="Y841" s="470"/>
      <c r="Z841" s="471"/>
      <c r="AA841" s="471"/>
      <c r="AB841" s="466"/>
    </row>
    <row r="842" spans="1:28" s="457" customFormat="1" ht="18" customHeight="1" x14ac:dyDescent="0.2">
      <c r="A842" s="145"/>
      <c r="B842" s="177"/>
      <c r="C842" s="177"/>
      <c r="D842" s="145"/>
      <c r="E842" s="145"/>
      <c r="F842" s="145"/>
      <c r="G842" s="145"/>
      <c r="H842" s="147"/>
      <c r="I842" s="107"/>
      <c r="J842" s="178"/>
      <c r="K842" s="107"/>
      <c r="L842" s="145"/>
      <c r="M842" s="145"/>
      <c r="N842" s="145"/>
      <c r="O842" s="145"/>
      <c r="P842" s="147"/>
      <c r="Q842" s="148"/>
      <c r="R842" s="437"/>
      <c r="S842" s="107"/>
      <c r="T842" s="437"/>
      <c r="U842" s="178"/>
      <c r="V842" s="107"/>
      <c r="W842" s="107"/>
      <c r="X842" s="470"/>
      <c r="Y842" s="470"/>
      <c r="Z842" s="471"/>
      <c r="AA842" s="471"/>
      <c r="AB842" s="466"/>
    </row>
    <row r="843" spans="1:28" s="457" customFormat="1" ht="18" customHeight="1" x14ac:dyDescent="0.2">
      <c r="A843" s="145"/>
      <c r="B843" s="177"/>
      <c r="C843" s="177"/>
      <c r="D843" s="145"/>
      <c r="E843" s="145"/>
      <c r="F843" s="145"/>
      <c r="G843" s="145"/>
      <c r="H843" s="147"/>
      <c r="I843" s="107"/>
      <c r="J843" s="178"/>
      <c r="K843" s="107"/>
      <c r="L843" s="145"/>
      <c r="M843" s="145"/>
      <c r="N843" s="145"/>
      <c r="O843" s="145"/>
      <c r="P843" s="147"/>
      <c r="Q843" s="148"/>
      <c r="R843" s="437"/>
      <c r="S843" s="107"/>
      <c r="T843" s="437"/>
      <c r="U843" s="178"/>
      <c r="V843" s="107"/>
      <c r="W843" s="107"/>
      <c r="X843" s="470"/>
      <c r="Y843" s="470"/>
      <c r="Z843" s="471"/>
      <c r="AA843" s="471"/>
      <c r="AB843" s="466"/>
    </row>
    <row r="844" spans="1:28" s="457" customFormat="1" ht="18" customHeight="1" x14ac:dyDescent="0.2">
      <c r="A844" s="145"/>
      <c r="B844" s="177"/>
      <c r="C844" s="177"/>
      <c r="D844" s="145"/>
      <c r="E844" s="145"/>
      <c r="F844" s="145"/>
      <c r="G844" s="145"/>
      <c r="H844" s="147"/>
      <c r="I844" s="107"/>
      <c r="J844" s="178"/>
      <c r="K844" s="107"/>
      <c r="L844" s="145"/>
      <c r="M844" s="145"/>
      <c r="N844" s="145"/>
      <c r="O844" s="145"/>
      <c r="P844" s="147"/>
      <c r="Q844" s="148"/>
      <c r="R844" s="437"/>
      <c r="S844" s="107"/>
      <c r="T844" s="437"/>
      <c r="U844" s="178"/>
      <c r="V844" s="107"/>
      <c r="W844" s="107"/>
      <c r="X844" s="470"/>
      <c r="Y844" s="470"/>
      <c r="Z844" s="471"/>
      <c r="AA844" s="471"/>
      <c r="AB844" s="466"/>
    </row>
    <row r="845" spans="1:28" s="457" customFormat="1" ht="18" customHeight="1" x14ac:dyDescent="0.2">
      <c r="A845" s="145"/>
      <c r="B845" s="177"/>
      <c r="C845" s="177"/>
      <c r="D845" s="145"/>
      <c r="E845" s="145"/>
      <c r="F845" s="145"/>
      <c r="G845" s="145"/>
      <c r="H845" s="147"/>
      <c r="I845" s="107"/>
      <c r="J845" s="178"/>
      <c r="K845" s="107"/>
      <c r="L845" s="145"/>
      <c r="M845" s="145"/>
      <c r="N845" s="145"/>
      <c r="O845" s="145"/>
      <c r="P845" s="147"/>
      <c r="Q845" s="148"/>
      <c r="R845" s="437"/>
      <c r="S845" s="107"/>
      <c r="T845" s="437"/>
      <c r="U845" s="178"/>
      <c r="V845" s="107"/>
      <c r="W845" s="107"/>
      <c r="X845" s="470"/>
      <c r="Y845" s="470"/>
      <c r="Z845" s="471"/>
      <c r="AA845" s="471"/>
      <c r="AB845" s="466"/>
    </row>
    <row r="846" spans="1:28" s="457" customFormat="1" ht="18" customHeight="1" x14ac:dyDescent="0.2">
      <c r="A846" s="145"/>
      <c r="B846" s="177"/>
      <c r="C846" s="177"/>
      <c r="D846" s="145"/>
      <c r="E846" s="145"/>
      <c r="F846" s="145"/>
      <c r="G846" s="145"/>
      <c r="H846" s="147"/>
      <c r="I846" s="107"/>
      <c r="J846" s="178"/>
      <c r="K846" s="107"/>
      <c r="L846" s="145"/>
      <c r="M846" s="145"/>
      <c r="N846" s="145"/>
      <c r="O846" s="145"/>
      <c r="P846" s="147"/>
      <c r="Q846" s="148"/>
      <c r="R846" s="437"/>
      <c r="S846" s="107"/>
      <c r="T846" s="437"/>
      <c r="U846" s="178"/>
      <c r="V846" s="107"/>
      <c r="W846" s="107"/>
      <c r="X846" s="470"/>
      <c r="Y846" s="470"/>
      <c r="Z846" s="471"/>
      <c r="AA846" s="471"/>
      <c r="AB846" s="466"/>
    </row>
    <row r="847" spans="1:28" s="457" customFormat="1" ht="18" customHeight="1" x14ac:dyDescent="0.2">
      <c r="A847" s="145"/>
      <c r="B847" s="177"/>
      <c r="C847" s="177"/>
      <c r="D847" s="145"/>
      <c r="E847" s="145"/>
      <c r="F847" s="145"/>
      <c r="G847" s="145"/>
      <c r="H847" s="147"/>
      <c r="I847" s="107"/>
      <c r="J847" s="178"/>
      <c r="K847" s="107"/>
      <c r="L847" s="145"/>
      <c r="M847" s="145"/>
      <c r="N847" s="145"/>
      <c r="O847" s="145"/>
      <c r="P847" s="147"/>
      <c r="Q847" s="148"/>
      <c r="R847" s="437"/>
      <c r="S847" s="107"/>
      <c r="T847" s="437"/>
      <c r="U847" s="178"/>
      <c r="V847" s="107"/>
      <c r="W847" s="107"/>
      <c r="X847" s="470"/>
      <c r="Y847" s="470"/>
      <c r="Z847" s="471"/>
      <c r="AA847" s="471"/>
      <c r="AB847" s="466"/>
    </row>
    <row r="848" spans="1:28" s="457" customFormat="1" ht="18" customHeight="1" x14ac:dyDescent="0.2">
      <c r="A848" s="145"/>
      <c r="B848" s="177"/>
      <c r="C848" s="177"/>
      <c r="D848" s="145"/>
      <c r="E848" s="145"/>
      <c r="F848" s="145"/>
      <c r="G848" s="145"/>
      <c r="H848" s="147"/>
      <c r="I848" s="107"/>
      <c r="J848" s="178"/>
      <c r="K848" s="107"/>
      <c r="L848" s="145"/>
      <c r="M848" s="145"/>
      <c r="N848" s="145"/>
      <c r="O848" s="145"/>
      <c r="P848" s="147"/>
      <c r="Q848" s="148"/>
      <c r="R848" s="437"/>
      <c r="S848" s="107"/>
      <c r="T848" s="437"/>
      <c r="U848" s="178"/>
      <c r="V848" s="107"/>
      <c r="W848" s="107"/>
      <c r="X848" s="470"/>
      <c r="Y848" s="470"/>
      <c r="Z848" s="471"/>
      <c r="AA848" s="471"/>
      <c r="AB848" s="466"/>
    </row>
    <row r="849" spans="1:28" s="457" customFormat="1" ht="18" customHeight="1" x14ac:dyDescent="0.2">
      <c r="A849" s="145"/>
      <c r="B849" s="177"/>
      <c r="C849" s="177"/>
      <c r="D849" s="145"/>
      <c r="E849" s="145"/>
      <c r="F849" s="145"/>
      <c r="G849" s="145"/>
      <c r="H849" s="147"/>
      <c r="I849" s="107"/>
      <c r="J849" s="178"/>
      <c r="K849" s="107"/>
      <c r="L849" s="145"/>
      <c r="M849" s="145"/>
      <c r="N849" s="145"/>
      <c r="O849" s="145"/>
      <c r="P849" s="147"/>
      <c r="Q849" s="148"/>
      <c r="R849" s="437"/>
      <c r="S849" s="107"/>
      <c r="T849" s="437"/>
      <c r="U849" s="178"/>
      <c r="V849" s="107"/>
      <c r="W849" s="107"/>
      <c r="X849" s="470"/>
      <c r="Y849" s="470"/>
      <c r="Z849" s="471"/>
      <c r="AA849" s="471"/>
      <c r="AB849" s="466"/>
    </row>
    <row r="850" spans="1:28" s="457" customFormat="1" ht="18" customHeight="1" x14ac:dyDescent="0.2">
      <c r="A850" s="145"/>
      <c r="B850" s="177"/>
      <c r="C850" s="177"/>
      <c r="D850" s="145"/>
      <c r="E850" s="145"/>
      <c r="F850" s="145"/>
      <c r="G850" s="145"/>
      <c r="H850" s="147"/>
      <c r="I850" s="107"/>
      <c r="J850" s="178"/>
      <c r="K850" s="107"/>
      <c r="L850" s="145"/>
      <c r="M850" s="145"/>
      <c r="N850" s="145"/>
      <c r="O850" s="145"/>
      <c r="P850" s="147"/>
      <c r="Q850" s="148"/>
      <c r="R850" s="437"/>
      <c r="S850" s="107"/>
      <c r="T850" s="437"/>
      <c r="U850" s="178"/>
      <c r="V850" s="107"/>
      <c r="W850" s="107"/>
      <c r="X850" s="470"/>
      <c r="Y850" s="470"/>
      <c r="Z850" s="471"/>
      <c r="AA850" s="471"/>
      <c r="AB850" s="466"/>
    </row>
    <row r="851" spans="1:28" s="457" customFormat="1" ht="18" customHeight="1" x14ac:dyDescent="0.2">
      <c r="A851" s="145"/>
      <c r="B851" s="177"/>
      <c r="C851" s="177"/>
      <c r="D851" s="145"/>
      <c r="E851" s="145"/>
      <c r="F851" s="145"/>
      <c r="G851" s="145"/>
      <c r="H851" s="147"/>
      <c r="I851" s="107"/>
      <c r="J851" s="178"/>
      <c r="K851" s="107"/>
      <c r="L851" s="145"/>
      <c r="M851" s="145"/>
      <c r="N851" s="145"/>
      <c r="O851" s="145"/>
      <c r="P851" s="147"/>
      <c r="Q851" s="148"/>
      <c r="R851" s="437"/>
      <c r="S851" s="107"/>
      <c r="T851" s="437"/>
      <c r="U851" s="178"/>
      <c r="V851" s="107"/>
      <c r="W851" s="107"/>
      <c r="X851" s="470"/>
      <c r="Y851" s="470"/>
      <c r="Z851" s="471"/>
      <c r="AA851" s="471"/>
      <c r="AB851" s="466"/>
    </row>
    <row r="852" spans="1:28" s="457" customFormat="1" ht="18" customHeight="1" x14ac:dyDescent="0.2">
      <c r="A852" s="145"/>
      <c r="B852" s="177"/>
      <c r="C852" s="177"/>
      <c r="D852" s="145"/>
      <c r="E852" s="145"/>
      <c r="F852" s="145"/>
      <c r="G852" s="145"/>
      <c r="H852" s="147"/>
      <c r="I852" s="107"/>
      <c r="J852" s="178"/>
      <c r="K852" s="107"/>
      <c r="L852" s="145"/>
      <c r="M852" s="145"/>
      <c r="N852" s="145"/>
      <c r="O852" s="145"/>
      <c r="P852" s="147"/>
      <c r="Q852" s="148"/>
      <c r="R852" s="437"/>
      <c r="S852" s="107"/>
      <c r="T852" s="437"/>
      <c r="U852" s="178"/>
      <c r="V852" s="107"/>
      <c r="W852" s="107"/>
      <c r="X852" s="470"/>
      <c r="Y852" s="470"/>
      <c r="Z852" s="471"/>
      <c r="AA852" s="471"/>
      <c r="AB852" s="466"/>
    </row>
    <row r="853" spans="1:28" s="597" customFormat="1" ht="18" customHeight="1" x14ac:dyDescent="0.2">
      <c r="A853" s="1850"/>
      <c r="B853" s="1850"/>
      <c r="C853" s="1850"/>
      <c r="D853" s="1850"/>
      <c r="E853" s="1850"/>
      <c r="F853" s="1850"/>
      <c r="G853" s="1850"/>
      <c r="H853" s="1851"/>
      <c r="I853" s="1852"/>
      <c r="J853" s="1853"/>
      <c r="K853" s="1852"/>
      <c r="L853" s="1852"/>
      <c r="M853" s="1852"/>
      <c r="N853" s="1852"/>
      <c r="O853" s="1852"/>
      <c r="P853" s="1852"/>
      <c r="Q853" s="1852"/>
      <c r="R853" s="1854"/>
      <c r="S853" s="1852"/>
      <c r="T853" s="1854"/>
      <c r="U853" s="1853"/>
      <c r="V853" s="1852"/>
      <c r="W853" s="1852"/>
      <c r="X853" s="1856"/>
      <c r="Y853" s="1856"/>
      <c r="Z853" s="1857"/>
      <c r="AA853" s="1857"/>
      <c r="AB853" s="1847">
        <f>SUM(AB835:AB852)</f>
        <v>1373.5679999999998</v>
      </c>
    </row>
    <row r="854" spans="1:28" s="457" customFormat="1" ht="18" customHeight="1" x14ac:dyDescent="0.2">
      <c r="A854" s="2737" t="s">
        <v>76</v>
      </c>
      <c r="B854" s="2737"/>
      <c r="C854" s="2738" t="s">
        <v>77</v>
      </c>
      <c r="D854" s="2738"/>
      <c r="E854" s="2738"/>
      <c r="F854" s="2738"/>
      <c r="G854" s="2738"/>
      <c r="H854" s="2738"/>
      <c r="I854" s="457" t="s">
        <v>78</v>
      </c>
      <c r="T854" s="651"/>
      <c r="U854" s="478"/>
      <c r="AB854" s="478"/>
    </row>
    <row r="855" spans="1:28" s="457" customFormat="1" ht="18" customHeight="1" x14ac:dyDescent="0.2">
      <c r="A855" s="448"/>
      <c r="B855" s="479"/>
      <c r="I855" s="457" t="s">
        <v>79</v>
      </c>
      <c r="T855" s="651"/>
      <c r="U855" s="478"/>
      <c r="AB855" s="478"/>
    </row>
    <row r="856" spans="1:28" s="457" customFormat="1" ht="18" customHeight="1" x14ac:dyDescent="0.2">
      <c r="A856" s="448"/>
      <c r="B856" s="479"/>
      <c r="I856" s="457" t="s">
        <v>80</v>
      </c>
      <c r="T856" s="651"/>
      <c r="U856" s="478"/>
      <c r="AB856" s="478"/>
    </row>
    <row r="857" spans="1:28" s="457" customFormat="1" ht="18" customHeight="1" x14ac:dyDescent="0.2">
      <c r="A857" s="448"/>
      <c r="B857" s="479"/>
      <c r="I857" s="457" t="s">
        <v>81</v>
      </c>
      <c r="T857" s="651"/>
      <c r="U857" s="478"/>
      <c r="AB857" s="478"/>
    </row>
    <row r="858" spans="1:28" s="457" customFormat="1" ht="18" customHeight="1" x14ac:dyDescent="0.2">
      <c r="A858" s="448"/>
      <c r="B858" s="479"/>
      <c r="I858" s="457" t="s">
        <v>88</v>
      </c>
      <c r="T858" s="651"/>
      <c r="U858" s="478"/>
      <c r="AB858" s="478"/>
    </row>
    <row r="859" spans="1:28" s="457" customFormat="1" ht="18" customHeight="1" x14ac:dyDescent="0.2">
      <c r="A859" s="456"/>
      <c r="B859" s="455"/>
      <c r="C859" s="455"/>
      <c r="D859" s="455"/>
      <c r="E859" s="455"/>
      <c r="F859" s="455"/>
      <c r="G859" s="455"/>
      <c r="H859" s="455"/>
      <c r="I859" s="455"/>
      <c r="J859" s="455"/>
      <c r="K859" s="455"/>
      <c r="L859" s="455"/>
      <c r="M859" s="455"/>
      <c r="N859" s="455"/>
      <c r="O859" s="455"/>
      <c r="P859" s="455"/>
      <c r="Q859" s="455"/>
      <c r="R859" s="455"/>
      <c r="S859" s="455"/>
      <c r="T859" s="608"/>
      <c r="U859" s="609"/>
      <c r="V859" s="455"/>
      <c r="W859" s="455"/>
      <c r="X859" s="455"/>
      <c r="Y859" s="455"/>
      <c r="Z859" s="455"/>
      <c r="AA859" s="2705" t="s">
        <v>0</v>
      </c>
      <c r="AB859" s="2705"/>
    </row>
    <row r="860" spans="1:28" s="457" customFormat="1" ht="18" customHeight="1" x14ac:dyDescent="0.2">
      <c r="A860" s="2706" t="s">
        <v>1</v>
      </c>
      <c r="B860" s="2706"/>
      <c r="C860" s="2706"/>
      <c r="D860" s="2706"/>
      <c r="E860" s="2706"/>
      <c r="F860" s="2706"/>
      <c r="G860" s="2706"/>
      <c r="H860" s="2706"/>
      <c r="I860" s="2706"/>
      <c r="J860" s="2706"/>
      <c r="K860" s="2706"/>
      <c r="L860" s="2706"/>
      <c r="M860" s="2706"/>
      <c r="N860" s="2706"/>
      <c r="O860" s="2706"/>
      <c r="P860" s="2706"/>
      <c r="Q860" s="2706"/>
      <c r="R860" s="2706"/>
      <c r="S860" s="2706"/>
      <c r="T860" s="2706"/>
      <c r="U860" s="2706"/>
      <c r="V860" s="2706"/>
      <c r="W860" s="2706"/>
      <c r="X860" s="2706"/>
      <c r="Y860" s="2706"/>
      <c r="Z860" s="2706"/>
      <c r="AA860" s="2706"/>
      <c r="AB860" s="2706"/>
    </row>
    <row r="861" spans="1:28" s="457" customFormat="1" ht="18" customHeight="1" x14ac:dyDescent="0.2">
      <c r="A861" s="2704" t="s">
        <v>452</v>
      </c>
      <c r="B861" s="2704"/>
      <c r="C861" s="2704"/>
      <c r="D861" s="2704"/>
      <c r="E861" s="2704"/>
      <c r="F861" s="2704"/>
      <c r="G861" s="2704"/>
      <c r="H861" s="2704"/>
      <c r="I861" s="2704"/>
      <c r="J861" s="2704"/>
      <c r="K861" s="2704"/>
      <c r="L861" s="2704"/>
      <c r="M861" s="2704"/>
      <c r="N861" s="2704"/>
      <c r="O861" s="2704"/>
      <c r="P861" s="2704"/>
      <c r="Q861" s="2704"/>
      <c r="R861" s="2704"/>
      <c r="S861" s="2704"/>
      <c r="T861" s="2704"/>
      <c r="U861" s="2704"/>
      <c r="V861" s="2704"/>
      <c r="W861" s="2704"/>
      <c r="X861" s="2704"/>
      <c r="Y861" s="2704"/>
      <c r="Z861" s="2704"/>
      <c r="AA861" s="2704"/>
      <c r="AB861" s="2704"/>
    </row>
    <row r="862" spans="1:28" s="457" customFormat="1" ht="18" customHeight="1" x14ac:dyDescent="0.2">
      <c r="A862" s="2686" t="s">
        <v>2</v>
      </c>
      <c r="B862" s="360"/>
      <c r="C862" s="2686" t="s">
        <v>3</v>
      </c>
      <c r="D862" s="360"/>
      <c r="E862" s="360"/>
      <c r="F862" s="2693" t="s">
        <v>4</v>
      </c>
      <c r="G862" s="2693"/>
      <c r="H862" s="2693"/>
      <c r="I862" s="2694"/>
      <c r="J862" s="2694"/>
      <c r="K862" s="2695"/>
      <c r="L862" s="361"/>
      <c r="M862" s="2679" t="s">
        <v>5</v>
      </c>
      <c r="N862" s="2679"/>
      <c r="O862" s="2679"/>
      <c r="P862" s="2679"/>
      <c r="Q862" s="2696"/>
      <c r="R862" s="2696"/>
      <c r="S862" s="2696"/>
      <c r="T862" s="2696"/>
      <c r="U862" s="2696"/>
      <c r="V862" s="2697"/>
      <c r="W862" s="362" t="s">
        <v>6</v>
      </c>
      <c r="X862" s="363" t="s">
        <v>7</v>
      </c>
      <c r="Y862" s="364"/>
      <c r="Z862" s="364"/>
      <c r="AA862" s="363"/>
      <c r="AB862" s="458"/>
    </row>
    <row r="863" spans="1:28" s="457" customFormat="1" ht="18" customHeight="1" x14ac:dyDescent="0.2">
      <c r="A863" s="2687"/>
      <c r="B863" s="367"/>
      <c r="C863" s="2687"/>
      <c r="D863" s="366" t="s">
        <v>9</v>
      </c>
      <c r="E863" s="366" t="s">
        <v>10</v>
      </c>
      <c r="F863" s="2698" t="s">
        <v>11</v>
      </c>
      <c r="G863" s="2694"/>
      <c r="H863" s="2695"/>
      <c r="I863" s="360"/>
      <c r="J863" s="449" t="s">
        <v>12</v>
      </c>
      <c r="K863" s="360"/>
      <c r="L863" s="2734" t="s">
        <v>2</v>
      </c>
      <c r="M863" s="370"/>
      <c r="N863" s="370"/>
      <c r="O863" s="370"/>
      <c r="P863" s="371"/>
      <c r="Q863" s="459" t="s">
        <v>13</v>
      </c>
      <c r="R863" s="370" t="s">
        <v>12</v>
      </c>
      <c r="S863" s="370" t="s">
        <v>6</v>
      </c>
      <c r="T863" s="2682" t="s">
        <v>14</v>
      </c>
      <c r="U863" s="2683"/>
      <c r="V863" s="375" t="s">
        <v>7</v>
      </c>
      <c r="W863" s="376" t="s">
        <v>15</v>
      </c>
      <c r="X863" s="377" t="s">
        <v>16</v>
      </c>
      <c r="Y863" s="377" t="s">
        <v>17</v>
      </c>
      <c r="Z863" s="377" t="s">
        <v>18</v>
      </c>
      <c r="AA863" s="377"/>
      <c r="AB863" s="460" t="s">
        <v>19</v>
      </c>
    </row>
    <row r="864" spans="1:28" s="457" customFormat="1" ht="18" customHeight="1" x14ac:dyDescent="0.2">
      <c r="A864" s="2687"/>
      <c r="B864" s="366" t="s">
        <v>23</v>
      </c>
      <c r="C864" s="2687"/>
      <c r="D864" s="366" t="s">
        <v>24</v>
      </c>
      <c r="E864" s="366" t="s">
        <v>25</v>
      </c>
      <c r="F864" s="2699"/>
      <c r="G864" s="2700"/>
      <c r="H864" s="2701"/>
      <c r="I864" s="366" t="s">
        <v>26</v>
      </c>
      <c r="J864" s="380" t="s">
        <v>15</v>
      </c>
      <c r="K864" s="380" t="s">
        <v>6</v>
      </c>
      <c r="L864" s="2735"/>
      <c r="M864" s="381" t="s">
        <v>27</v>
      </c>
      <c r="N864" s="381" t="s">
        <v>10</v>
      </c>
      <c r="O864" s="381" t="s">
        <v>10</v>
      </c>
      <c r="P864" s="385" t="s">
        <v>28</v>
      </c>
      <c r="Q864" s="461" t="s">
        <v>29</v>
      </c>
      <c r="R864" s="385" t="s">
        <v>15</v>
      </c>
      <c r="S864" s="385" t="s">
        <v>15</v>
      </c>
      <c r="T864" s="2684"/>
      <c r="U864" s="2685"/>
      <c r="V864" s="375" t="s">
        <v>30</v>
      </c>
      <c r="W864" s="376" t="s">
        <v>31</v>
      </c>
      <c r="X864" s="377" t="s">
        <v>30</v>
      </c>
      <c r="Y864" s="377" t="s">
        <v>32</v>
      </c>
      <c r="Z864" s="377" t="s">
        <v>7</v>
      </c>
      <c r="AA864" s="377" t="s">
        <v>33</v>
      </c>
      <c r="AB864" s="460" t="s">
        <v>34</v>
      </c>
    </row>
    <row r="865" spans="1:33" s="457" customFormat="1" ht="18" customHeight="1" x14ac:dyDescent="0.2">
      <c r="A865" s="2687"/>
      <c r="B865" s="366" t="s">
        <v>39</v>
      </c>
      <c r="C865" s="2687"/>
      <c r="D865" s="366" t="s">
        <v>40</v>
      </c>
      <c r="E865" s="366" t="s">
        <v>41</v>
      </c>
      <c r="F865" s="2686" t="s">
        <v>42</v>
      </c>
      <c r="G865" s="2686" t="s">
        <v>43</v>
      </c>
      <c r="H865" s="2688" t="s">
        <v>44</v>
      </c>
      <c r="I865" s="366" t="s">
        <v>45</v>
      </c>
      <c r="J865" s="380" t="s">
        <v>46</v>
      </c>
      <c r="K865" s="380" t="s">
        <v>47</v>
      </c>
      <c r="L865" s="2735"/>
      <c r="M865" s="381" t="s">
        <v>30</v>
      </c>
      <c r="N865" s="381" t="s">
        <v>30</v>
      </c>
      <c r="O865" s="381" t="s">
        <v>25</v>
      </c>
      <c r="P865" s="385" t="s">
        <v>30</v>
      </c>
      <c r="Q865" s="461" t="s">
        <v>48</v>
      </c>
      <c r="R865" s="385" t="s">
        <v>49</v>
      </c>
      <c r="S865" s="385" t="s">
        <v>30</v>
      </c>
      <c r="T865" s="619" t="s">
        <v>50</v>
      </c>
      <c r="U865" s="620" t="s">
        <v>13</v>
      </c>
      <c r="V865" s="375" t="s">
        <v>51</v>
      </c>
      <c r="W865" s="376" t="s">
        <v>52</v>
      </c>
      <c r="X865" s="377" t="s">
        <v>53</v>
      </c>
      <c r="Y865" s="377" t="s">
        <v>54</v>
      </c>
      <c r="Z865" s="377" t="s">
        <v>55</v>
      </c>
      <c r="AA865" s="377" t="s">
        <v>56</v>
      </c>
      <c r="AB865" s="460" t="s">
        <v>57</v>
      </c>
    </row>
    <row r="866" spans="1:33" s="457" customFormat="1" ht="18" customHeight="1" x14ac:dyDescent="0.2">
      <c r="A866" s="2687"/>
      <c r="B866" s="366" t="s">
        <v>61</v>
      </c>
      <c r="C866" s="2687"/>
      <c r="D866" s="366" t="s">
        <v>62</v>
      </c>
      <c r="E866" s="366" t="s">
        <v>63</v>
      </c>
      <c r="F866" s="2687"/>
      <c r="G866" s="2687"/>
      <c r="H866" s="2689"/>
      <c r="I866" s="366" t="s">
        <v>64</v>
      </c>
      <c r="J866" s="380" t="s">
        <v>59</v>
      </c>
      <c r="K866" s="380" t="s">
        <v>59</v>
      </c>
      <c r="L866" s="2735"/>
      <c r="M866" s="381"/>
      <c r="N866" s="381"/>
      <c r="O866" s="381" t="s">
        <v>41</v>
      </c>
      <c r="P866" s="385" t="s">
        <v>65</v>
      </c>
      <c r="Q866" s="461" t="s">
        <v>66</v>
      </c>
      <c r="R866" s="385" t="s">
        <v>67</v>
      </c>
      <c r="S866" s="385" t="s">
        <v>59</v>
      </c>
      <c r="T866" s="621" t="s">
        <v>68</v>
      </c>
      <c r="U866" s="622" t="s">
        <v>14</v>
      </c>
      <c r="V866" s="375" t="s">
        <v>14</v>
      </c>
      <c r="W866" s="376" t="s">
        <v>30</v>
      </c>
      <c r="X866" s="388" t="s">
        <v>69</v>
      </c>
      <c r="Y866" s="388" t="s">
        <v>70</v>
      </c>
      <c r="Z866" s="377" t="s">
        <v>71</v>
      </c>
      <c r="AA866" s="377" t="s">
        <v>72</v>
      </c>
      <c r="AB866" s="460" t="s">
        <v>59</v>
      </c>
    </row>
    <row r="867" spans="1:33" s="457" customFormat="1" ht="18" customHeight="1" x14ac:dyDescent="0.2">
      <c r="A867" s="2692"/>
      <c r="B867" s="390"/>
      <c r="C867" s="2692"/>
      <c r="D867" s="390"/>
      <c r="E867" s="389"/>
      <c r="F867" s="390"/>
      <c r="G867" s="390"/>
      <c r="H867" s="391"/>
      <c r="I867" s="389"/>
      <c r="J867" s="393"/>
      <c r="K867" s="393"/>
      <c r="L867" s="2736"/>
      <c r="M867" s="394"/>
      <c r="N867" s="394"/>
      <c r="O867" s="394" t="s">
        <v>63</v>
      </c>
      <c r="P867" s="394"/>
      <c r="Q867" s="450" t="s">
        <v>72</v>
      </c>
      <c r="R867" s="398" t="s">
        <v>59</v>
      </c>
      <c r="S867" s="398"/>
      <c r="T867" s="623" t="s">
        <v>73</v>
      </c>
      <c r="U867" s="624" t="s">
        <v>59</v>
      </c>
      <c r="V867" s="399" t="s">
        <v>59</v>
      </c>
      <c r="W867" s="400" t="s">
        <v>59</v>
      </c>
      <c r="X867" s="401" t="s">
        <v>59</v>
      </c>
      <c r="Y867" s="401" t="s">
        <v>59</v>
      </c>
      <c r="Z867" s="401" t="s">
        <v>59</v>
      </c>
      <c r="AA867" s="402"/>
      <c r="AB867" s="462"/>
    </row>
    <row r="868" spans="1:33" s="457" customFormat="1" ht="18" customHeight="1" x14ac:dyDescent="0.2">
      <c r="A868" s="53">
        <v>1</v>
      </c>
      <c r="B868" s="1936">
        <v>64544</v>
      </c>
      <c r="C868" s="68">
        <v>1906</v>
      </c>
      <c r="D868" s="145" t="s">
        <v>139</v>
      </c>
      <c r="E868" s="82">
        <v>4</v>
      </c>
      <c r="F868" s="53">
        <v>0</v>
      </c>
      <c r="G868" s="53">
        <v>0</v>
      </c>
      <c r="H868" s="82">
        <v>50</v>
      </c>
      <c r="I868" s="123">
        <f>F868*400+G868*100+H868</f>
        <v>50</v>
      </c>
      <c r="J868" s="107">
        <v>280</v>
      </c>
      <c r="K868" s="78">
        <f>SUM(I868*J868)</f>
        <v>14000</v>
      </c>
      <c r="L868" s="61"/>
      <c r="M868" s="61"/>
      <c r="N868" s="145"/>
      <c r="O868" s="467"/>
      <c r="P868" s="173"/>
      <c r="Q868" s="196"/>
      <c r="R868" s="442"/>
      <c r="S868" s="107"/>
      <c r="T868" s="442"/>
      <c r="U868" s="107"/>
      <c r="V868" s="78"/>
      <c r="W868" s="77">
        <f>+K868+V868</f>
        <v>14000</v>
      </c>
      <c r="X868" s="77">
        <f>W868</f>
        <v>14000</v>
      </c>
      <c r="Y868" s="676"/>
      <c r="Z868" s="77">
        <f>+X868</f>
        <v>14000</v>
      </c>
      <c r="AA868" s="464">
        <v>0.6</v>
      </c>
      <c r="AB868" s="465">
        <f>+Z868*AA868/100</f>
        <v>84</v>
      </c>
      <c r="AG868" s="1750" t="s">
        <v>387</v>
      </c>
    </row>
    <row r="869" spans="1:33" s="457" customFormat="1" ht="18" customHeight="1" x14ac:dyDescent="0.2">
      <c r="A869" s="88"/>
      <c r="B869" s="467"/>
      <c r="C869" s="145"/>
      <c r="D869" s="238"/>
      <c r="E869" s="145"/>
      <c r="F869" s="88"/>
      <c r="G869" s="75"/>
      <c r="H869" s="88"/>
      <c r="I869" s="107"/>
      <c r="J869" s="121"/>
      <c r="K869" s="78"/>
      <c r="L869" s="88"/>
      <c r="M869" s="88"/>
      <c r="N869" s="88"/>
      <c r="O869" s="72"/>
      <c r="P869" s="120"/>
      <c r="Q869" s="129"/>
      <c r="R869" s="446"/>
      <c r="S869" s="73"/>
      <c r="T869" s="446"/>
      <c r="U869" s="73"/>
      <c r="V869" s="73"/>
      <c r="W869" s="77"/>
      <c r="X869" s="77"/>
      <c r="Y869" s="676"/>
      <c r="Z869" s="74"/>
      <c r="AA869" s="414"/>
      <c r="AB869" s="410"/>
    </row>
    <row r="870" spans="1:33" s="457" customFormat="1" ht="18" customHeight="1" x14ac:dyDescent="0.2">
      <c r="A870" s="145"/>
      <c r="B870" s="239"/>
      <c r="C870" s="88"/>
      <c r="D870" s="238"/>
      <c r="E870" s="145"/>
      <c r="F870" s="75"/>
      <c r="G870" s="88"/>
      <c r="H870" s="239"/>
      <c r="I870" s="107"/>
      <c r="J870" s="107"/>
      <c r="K870" s="78"/>
      <c r="L870" s="130"/>
      <c r="M870" s="727"/>
      <c r="N870" s="727"/>
      <c r="O870" s="727"/>
      <c r="P870" s="728"/>
      <c r="Q870" s="728"/>
      <c r="R870" s="729"/>
      <c r="S870" s="729"/>
      <c r="T870" s="730"/>
      <c r="U870" s="731"/>
      <c r="V870" s="729"/>
      <c r="W870" s="77"/>
      <c r="X870" s="77"/>
      <c r="Y870" s="676"/>
      <c r="Z870" s="77"/>
      <c r="AA870" s="409"/>
      <c r="AB870" s="466"/>
    </row>
    <row r="871" spans="1:33" s="457" customFormat="1" ht="18" customHeight="1" x14ac:dyDescent="0.2">
      <c r="A871" s="88"/>
      <c r="B871" s="239"/>
      <c r="C871" s="88"/>
      <c r="D871" s="239"/>
      <c r="E871" s="145"/>
      <c r="F871" s="145"/>
      <c r="G871" s="145"/>
      <c r="H871" s="147"/>
      <c r="I871" s="107"/>
      <c r="J871" s="178"/>
      <c r="K871" s="107"/>
      <c r="L871" s="145"/>
      <c r="M871" s="145"/>
      <c r="N871" s="145"/>
      <c r="O871" s="145"/>
      <c r="P871" s="147"/>
      <c r="Q871" s="148"/>
      <c r="R871" s="437"/>
      <c r="S871" s="107"/>
      <c r="T871" s="437"/>
      <c r="U871" s="178"/>
      <c r="V871" s="107"/>
      <c r="W871" s="107"/>
      <c r="X871" s="470"/>
      <c r="Y871" s="470"/>
      <c r="Z871" s="471"/>
      <c r="AA871" s="471"/>
      <c r="AB871" s="466"/>
    </row>
    <row r="872" spans="1:33" s="457" customFormat="1" ht="18" customHeight="1" x14ac:dyDescent="0.2">
      <c r="A872" s="145"/>
      <c r="B872" s="177"/>
      <c r="C872" s="177"/>
      <c r="D872" s="145"/>
      <c r="E872" s="145"/>
      <c r="F872" s="145"/>
      <c r="G872" s="145"/>
      <c r="H872" s="147"/>
      <c r="I872" s="107"/>
      <c r="J872" s="178"/>
      <c r="K872" s="107"/>
      <c r="L872" s="145"/>
      <c r="M872" s="145"/>
      <c r="N872" s="145"/>
      <c r="O872" s="145"/>
      <c r="P872" s="147"/>
      <c r="Q872" s="148"/>
      <c r="R872" s="437"/>
      <c r="S872" s="107"/>
      <c r="T872" s="437"/>
      <c r="U872" s="178"/>
      <c r="V872" s="107"/>
      <c r="W872" s="107"/>
      <c r="X872" s="470"/>
      <c r="Y872" s="470"/>
      <c r="Z872" s="471"/>
      <c r="AA872" s="471"/>
      <c r="AB872" s="466"/>
    </row>
    <row r="873" spans="1:33" s="457" customFormat="1" ht="18" customHeight="1" x14ac:dyDescent="0.2">
      <c r="A873" s="145"/>
      <c r="B873" s="177"/>
      <c r="C873" s="177"/>
      <c r="D873" s="145"/>
      <c r="E873" s="145"/>
      <c r="F873" s="145"/>
      <c r="G873" s="145"/>
      <c r="H873" s="147"/>
      <c r="I873" s="107"/>
      <c r="J873" s="178"/>
      <c r="K873" s="107"/>
      <c r="L873" s="145"/>
      <c r="M873" s="145"/>
      <c r="N873" s="145"/>
      <c r="O873" s="145"/>
      <c r="P873" s="147"/>
      <c r="Q873" s="148"/>
      <c r="R873" s="437"/>
      <c r="S873" s="107"/>
      <c r="T873" s="437"/>
      <c r="U873" s="178"/>
      <c r="V873" s="107"/>
      <c r="W873" s="107"/>
      <c r="X873" s="470"/>
      <c r="Y873" s="470"/>
      <c r="Z873" s="471"/>
      <c r="AA873" s="471"/>
      <c r="AB873" s="466"/>
    </row>
    <row r="874" spans="1:33" s="457" customFormat="1" ht="18" customHeight="1" x14ac:dyDescent="0.2">
      <c r="A874" s="145"/>
      <c r="B874" s="177"/>
      <c r="C874" s="177"/>
      <c r="D874" s="145"/>
      <c r="E874" s="145"/>
      <c r="F874" s="145"/>
      <c r="G874" s="145"/>
      <c r="H874" s="147"/>
      <c r="I874" s="107"/>
      <c r="J874" s="178"/>
      <c r="K874" s="107"/>
      <c r="L874" s="145"/>
      <c r="M874" s="145"/>
      <c r="N874" s="145"/>
      <c r="O874" s="145"/>
      <c r="P874" s="147"/>
      <c r="Q874" s="148"/>
      <c r="R874" s="437"/>
      <c r="S874" s="107"/>
      <c r="T874" s="437"/>
      <c r="U874" s="178"/>
      <c r="V874" s="107"/>
      <c r="W874" s="107"/>
      <c r="X874" s="470"/>
      <c r="Y874" s="470"/>
      <c r="Z874" s="471"/>
      <c r="AA874" s="471"/>
      <c r="AB874" s="466"/>
    </row>
    <row r="875" spans="1:33" s="457" customFormat="1" ht="18" customHeight="1" x14ac:dyDescent="0.2">
      <c r="A875" s="145"/>
      <c r="B875" s="177"/>
      <c r="C875" s="177"/>
      <c r="D875" s="145"/>
      <c r="E875" s="145"/>
      <c r="F875" s="145"/>
      <c r="G875" s="145"/>
      <c r="H875" s="147"/>
      <c r="I875" s="107"/>
      <c r="J875" s="178"/>
      <c r="K875" s="107"/>
      <c r="L875" s="145"/>
      <c r="M875" s="145"/>
      <c r="N875" s="145"/>
      <c r="O875" s="145"/>
      <c r="P875" s="147"/>
      <c r="Q875" s="148"/>
      <c r="R875" s="437"/>
      <c r="S875" s="107"/>
      <c r="T875" s="437"/>
      <c r="U875" s="178"/>
      <c r="V875" s="107"/>
      <c r="W875" s="107"/>
      <c r="X875" s="470"/>
      <c r="Y875" s="470"/>
      <c r="Z875" s="471"/>
      <c r="AA875" s="471"/>
      <c r="AB875" s="466"/>
    </row>
    <row r="876" spans="1:33" s="457" customFormat="1" ht="18" customHeight="1" x14ac:dyDescent="0.2">
      <c r="A876" s="145"/>
      <c r="B876" s="177"/>
      <c r="C876" s="177"/>
      <c r="D876" s="145"/>
      <c r="E876" s="145"/>
      <c r="F876" s="145"/>
      <c r="G876" s="145"/>
      <c r="H876" s="147"/>
      <c r="I876" s="107"/>
      <c r="J876" s="178"/>
      <c r="K876" s="107"/>
      <c r="L876" s="145"/>
      <c r="M876" s="145"/>
      <c r="N876" s="145"/>
      <c r="O876" s="145"/>
      <c r="P876" s="147"/>
      <c r="Q876" s="148"/>
      <c r="R876" s="437"/>
      <c r="S876" s="107"/>
      <c r="T876" s="437"/>
      <c r="U876" s="178"/>
      <c r="V876" s="107"/>
      <c r="W876" s="107"/>
      <c r="X876" s="470"/>
      <c r="Y876" s="470"/>
      <c r="Z876" s="471"/>
      <c r="AA876" s="471"/>
      <c r="AB876" s="466"/>
    </row>
    <row r="877" spans="1:33" s="457" customFormat="1" ht="18" customHeight="1" x14ac:dyDescent="0.2">
      <c r="A877" s="145"/>
      <c r="B877" s="177"/>
      <c r="C877" s="177"/>
      <c r="D877" s="145"/>
      <c r="E877" s="145"/>
      <c r="F877" s="145"/>
      <c r="G877" s="145"/>
      <c r="H877" s="147"/>
      <c r="I877" s="107"/>
      <c r="J877" s="178"/>
      <c r="K877" s="107"/>
      <c r="L877" s="145"/>
      <c r="M877" s="145"/>
      <c r="N877" s="145"/>
      <c r="O877" s="145"/>
      <c r="P877" s="147"/>
      <c r="Q877" s="148"/>
      <c r="R877" s="437"/>
      <c r="S877" s="107"/>
      <c r="T877" s="437"/>
      <c r="U877" s="178"/>
      <c r="V877" s="107"/>
      <c r="W877" s="107"/>
      <c r="X877" s="470"/>
      <c r="Y877" s="470"/>
      <c r="Z877" s="471"/>
      <c r="AA877" s="471"/>
      <c r="AB877" s="466"/>
    </row>
    <row r="878" spans="1:33" s="457" customFormat="1" ht="18" customHeight="1" x14ac:dyDescent="0.2">
      <c r="A878" s="145"/>
      <c r="B878" s="177"/>
      <c r="C878" s="177"/>
      <c r="D878" s="145"/>
      <c r="E878" s="145"/>
      <c r="F878" s="145"/>
      <c r="G878" s="145"/>
      <c r="H878" s="147"/>
      <c r="I878" s="107"/>
      <c r="J878" s="178"/>
      <c r="K878" s="107"/>
      <c r="L878" s="145"/>
      <c r="M878" s="145"/>
      <c r="N878" s="145"/>
      <c r="O878" s="145"/>
      <c r="P878" s="147"/>
      <c r="Q878" s="148"/>
      <c r="R878" s="437"/>
      <c r="S878" s="107"/>
      <c r="T878" s="437"/>
      <c r="U878" s="178"/>
      <c r="V878" s="107"/>
      <c r="W878" s="107"/>
      <c r="X878" s="470"/>
      <c r="Y878" s="470"/>
      <c r="Z878" s="471"/>
      <c r="AA878" s="471"/>
      <c r="AB878" s="466"/>
    </row>
    <row r="879" spans="1:33" s="457" customFormat="1" ht="18" customHeight="1" x14ac:dyDescent="0.2">
      <c r="A879" s="145"/>
      <c r="B879" s="177"/>
      <c r="C879" s="177"/>
      <c r="D879" s="145"/>
      <c r="E879" s="145"/>
      <c r="F879" s="145"/>
      <c r="G879" s="145"/>
      <c r="H879" s="147"/>
      <c r="I879" s="107"/>
      <c r="J879" s="178"/>
      <c r="K879" s="107"/>
      <c r="L879" s="145"/>
      <c r="M879" s="145"/>
      <c r="N879" s="145"/>
      <c r="O879" s="145"/>
      <c r="P879" s="147"/>
      <c r="Q879" s="148"/>
      <c r="R879" s="437"/>
      <c r="S879" s="107"/>
      <c r="T879" s="437"/>
      <c r="U879" s="178"/>
      <c r="V879" s="107"/>
      <c r="W879" s="107"/>
      <c r="X879" s="470"/>
      <c r="Y879" s="470"/>
      <c r="Z879" s="471"/>
      <c r="AA879" s="471"/>
      <c r="AB879" s="466"/>
    </row>
    <row r="880" spans="1:33" s="457" customFormat="1" ht="18" customHeight="1" x14ac:dyDescent="0.2">
      <c r="A880" s="145"/>
      <c r="B880" s="177"/>
      <c r="C880" s="177"/>
      <c r="D880" s="145"/>
      <c r="E880" s="145"/>
      <c r="F880" s="145"/>
      <c r="G880" s="145"/>
      <c r="H880" s="147"/>
      <c r="I880" s="107"/>
      <c r="J880" s="178"/>
      <c r="K880" s="107"/>
      <c r="L880" s="145"/>
      <c r="M880" s="145"/>
      <c r="N880" s="145"/>
      <c r="O880" s="145"/>
      <c r="P880" s="147"/>
      <c r="Q880" s="148"/>
      <c r="R880" s="437"/>
      <c r="S880" s="107"/>
      <c r="T880" s="437"/>
      <c r="U880" s="178"/>
      <c r="V880" s="107"/>
      <c r="W880" s="107"/>
      <c r="X880" s="470"/>
      <c r="Y880" s="470"/>
      <c r="Z880" s="471"/>
      <c r="AA880" s="471"/>
      <c r="AB880" s="466"/>
    </row>
    <row r="881" spans="1:28" s="457" customFormat="1" ht="18" customHeight="1" x14ac:dyDescent="0.2">
      <c r="A881" s="145"/>
      <c r="B881" s="177"/>
      <c r="C881" s="177"/>
      <c r="D881" s="145"/>
      <c r="E881" s="145"/>
      <c r="F881" s="145"/>
      <c r="G881" s="145"/>
      <c r="H881" s="147"/>
      <c r="I881" s="107"/>
      <c r="J881" s="178"/>
      <c r="K881" s="107"/>
      <c r="L881" s="145"/>
      <c r="M881" s="145"/>
      <c r="N881" s="145"/>
      <c r="O881" s="145"/>
      <c r="P881" s="147"/>
      <c r="Q881" s="148"/>
      <c r="R881" s="437"/>
      <c r="S881" s="107"/>
      <c r="T881" s="437"/>
      <c r="U881" s="178"/>
      <c r="V881" s="107"/>
      <c r="W881" s="107"/>
      <c r="X881" s="470"/>
      <c r="Y881" s="470"/>
      <c r="Z881" s="471"/>
      <c r="AA881" s="471"/>
      <c r="AB881" s="466"/>
    </row>
    <row r="882" spans="1:28" s="457" customFormat="1" ht="18" customHeight="1" x14ac:dyDescent="0.2">
      <c r="A882" s="145"/>
      <c r="B882" s="177"/>
      <c r="C882" s="177"/>
      <c r="D882" s="145"/>
      <c r="E882" s="145"/>
      <c r="F882" s="145"/>
      <c r="G882" s="145"/>
      <c r="H882" s="147"/>
      <c r="I882" s="107"/>
      <c r="J882" s="178"/>
      <c r="K882" s="107"/>
      <c r="L882" s="145"/>
      <c r="M882" s="145"/>
      <c r="N882" s="145"/>
      <c r="O882" s="145"/>
      <c r="P882" s="147"/>
      <c r="Q882" s="148"/>
      <c r="R882" s="437"/>
      <c r="S882" s="107"/>
      <c r="T882" s="437"/>
      <c r="U882" s="178"/>
      <c r="V882" s="107"/>
      <c r="W882" s="107"/>
      <c r="X882" s="470"/>
      <c r="Y882" s="470"/>
      <c r="Z882" s="471"/>
      <c r="AA882" s="471"/>
      <c r="AB882" s="466"/>
    </row>
    <row r="883" spans="1:28" s="457" customFormat="1" ht="18" customHeight="1" x14ac:dyDescent="0.2">
      <c r="A883" s="145"/>
      <c r="B883" s="177"/>
      <c r="C883" s="177"/>
      <c r="D883" s="145"/>
      <c r="E883" s="145"/>
      <c r="F883" s="145"/>
      <c r="G883" s="145"/>
      <c r="H883" s="147"/>
      <c r="I883" s="107"/>
      <c r="J883" s="178"/>
      <c r="K883" s="107"/>
      <c r="L883" s="145"/>
      <c r="M883" s="145"/>
      <c r="N883" s="145"/>
      <c r="O883" s="145"/>
      <c r="P883" s="147"/>
      <c r="Q883" s="148"/>
      <c r="R883" s="437"/>
      <c r="S883" s="107"/>
      <c r="T883" s="437"/>
      <c r="U883" s="178"/>
      <c r="V883" s="107"/>
      <c r="W883" s="107"/>
      <c r="X883" s="470"/>
      <c r="Y883" s="470"/>
      <c r="Z883" s="471"/>
      <c r="AA883" s="471"/>
      <c r="AB883" s="466"/>
    </row>
    <row r="884" spans="1:28" s="457" customFormat="1" ht="18" customHeight="1" x14ac:dyDescent="0.2">
      <c r="A884" s="145"/>
      <c r="B884" s="177"/>
      <c r="C884" s="177"/>
      <c r="D884" s="145"/>
      <c r="E884" s="145"/>
      <c r="F884" s="145"/>
      <c r="G884" s="145"/>
      <c r="H884" s="147"/>
      <c r="I884" s="107"/>
      <c r="J884" s="178"/>
      <c r="K884" s="107"/>
      <c r="L884" s="145"/>
      <c r="M884" s="145"/>
      <c r="N884" s="145"/>
      <c r="O884" s="145"/>
      <c r="P884" s="147"/>
      <c r="Q884" s="148"/>
      <c r="R884" s="437"/>
      <c r="S884" s="107"/>
      <c r="T884" s="437"/>
      <c r="U884" s="178"/>
      <c r="V884" s="107"/>
      <c r="W884" s="107"/>
      <c r="X884" s="470"/>
      <c r="Y884" s="470"/>
      <c r="Z884" s="471"/>
      <c r="AA884" s="471"/>
      <c r="AB884" s="466"/>
    </row>
    <row r="885" spans="1:28" s="457" customFormat="1" ht="18" customHeight="1" x14ac:dyDescent="0.2">
      <c r="A885" s="145"/>
      <c r="B885" s="177"/>
      <c r="C885" s="177"/>
      <c r="D885" s="145"/>
      <c r="E885" s="145"/>
      <c r="F885" s="145"/>
      <c r="G885" s="145"/>
      <c r="H885" s="147"/>
      <c r="I885" s="107"/>
      <c r="J885" s="178"/>
      <c r="K885" s="107"/>
      <c r="L885" s="145"/>
      <c r="M885" s="145"/>
      <c r="N885" s="145"/>
      <c r="O885" s="145"/>
      <c r="P885" s="147"/>
      <c r="Q885" s="148"/>
      <c r="R885" s="437"/>
      <c r="S885" s="107"/>
      <c r="T885" s="437"/>
      <c r="U885" s="178"/>
      <c r="V885" s="107"/>
      <c r="W885" s="107"/>
      <c r="X885" s="470"/>
      <c r="Y885" s="470"/>
      <c r="Z885" s="471"/>
      <c r="AA885" s="471"/>
      <c r="AB885" s="466"/>
    </row>
    <row r="886" spans="1:28" s="597" customFormat="1" ht="18" customHeight="1" x14ac:dyDescent="0.2">
      <c r="A886" s="1850"/>
      <c r="B886" s="1850"/>
      <c r="C886" s="1850"/>
      <c r="D886" s="1850"/>
      <c r="E886" s="1850"/>
      <c r="F886" s="1850"/>
      <c r="G886" s="1850"/>
      <c r="H886" s="1851"/>
      <c r="I886" s="1852"/>
      <c r="J886" s="1853"/>
      <c r="K886" s="1852"/>
      <c r="L886" s="1852"/>
      <c r="M886" s="1852"/>
      <c r="N886" s="1852"/>
      <c r="O886" s="1852"/>
      <c r="P886" s="1852"/>
      <c r="Q886" s="1852"/>
      <c r="R886" s="1854"/>
      <c r="S886" s="1852"/>
      <c r="T886" s="1854"/>
      <c r="U886" s="1853"/>
      <c r="V886" s="1852"/>
      <c r="W886" s="1852"/>
      <c r="X886" s="1856"/>
      <c r="Y886" s="1856"/>
      <c r="Z886" s="1857"/>
      <c r="AA886" s="1857"/>
      <c r="AB886" s="1847">
        <f>SUM(AB868:AB885)</f>
        <v>84</v>
      </c>
    </row>
    <row r="887" spans="1:28" s="457" customFormat="1" ht="18" customHeight="1" x14ac:dyDescent="0.2">
      <c r="A887" s="2737" t="s">
        <v>76</v>
      </c>
      <c r="B887" s="2737"/>
      <c r="C887" s="2738" t="s">
        <v>77</v>
      </c>
      <c r="D887" s="2738"/>
      <c r="E887" s="2738"/>
      <c r="F887" s="2738"/>
      <c r="G887" s="2738"/>
      <c r="H887" s="2738"/>
      <c r="I887" s="457" t="s">
        <v>78</v>
      </c>
      <c r="T887" s="651"/>
      <c r="U887" s="478"/>
      <c r="AB887" s="478"/>
    </row>
    <row r="888" spans="1:28" s="457" customFormat="1" ht="18" customHeight="1" x14ac:dyDescent="0.2">
      <c r="A888" s="448"/>
      <c r="B888" s="479"/>
      <c r="I888" s="457" t="s">
        <v>79</v>
      </c>
      <c r="T888" s="651"/>
      <c r="U888" s="478"/>
      <c r="AB888" s="478"/>
    </row>
    <row r="889" spans="1:28" s="457" customFormat="1" ht="18" customHeight="1" x14ac:dyDescent="0.2">
      <c r="A889" s="448"/>
      <c r="B889" s="479"/>
      <c r="I889" s="457" t="s">
        <v>80</v>
      </c>
      <c r="T889" s="651"/>
      <c r="U889" s="478"/>
      <c r="AB889" s="478"/>
    </row>
    <row r="890" spans="1:28" s="457" customFormat="1" ht="18" customHeight="1" x14ac:dyDescent="0.2">
      <c r="A890" s="448"/>
      <c r="B890" s="479"/>
      <c r="I890" s="457" t="s">
        <v>81</v>
      </c>
      <c r="T890" s="651"/>
      <c r="U890" s="478"/>
      <c r="AB890" s="478"/>
    </row>
    <row r="891" spans="1:28" s="457" customFormat="1" ht="18" customHeight="1" x14ac:dyDescent="0.2">
      <c r="A891" s="448"/>
      <c r="B891" s="479"/>
      <c r="I891" s="457" t="s">
        <v>88</v>
      </c>
      <c r="T891" s="651"/>
      <c r="U891" s="478"/>
      <c r="AB891" s="478"/>
    </row>
    <row r="892" spans="1:28" s="457" customFormat="1" ht="18" customHeight="1" x14ac:dyDescent="0.2">
      <c r="A892" s="456"/>
      <c r="B892" s="455"/>
      <c r="C892" s="455"/>
      <c r="D892" s="455"/>
      <c r="E892" s="455"/>
      <c r="F892" s="455"/>
      <c r="G892" s="455"/>
      <c r="H892" s="455"/>
      <c r="I892" s="455"/>
      <c r="J892" s="455"/>
      <c r="K892" s="455"/>
      <c r="L892" s="455"/>
      <c r="M892" s="455"/>
      <c r="N892" s="455"/>
      <c r="O892" s="455"/>
      <c r="P892" s="455"/>
      <c r="Q892" s="455"/>
      <c r="R892" s="455"/>
      <c r="S892" s="455"/>
      <c r="T892" s="608"/>
      <c r="U892" s="609"/>
      <c r="V892" s="455"/>
      <c r="W892" s="455"/>
      <c r="X892" s="455"/>
      <c r="Y892" s="455"/>
      <c r="Z892" s="455"/>
      <c r="AA892" s="2705" t="s">
        <v>0</v>
      </c>
      <c r="AB892" s="2705"/>
    </row>
    <row r="893" spans="1:28" s="457" customFormat="1" ht="18" customHeight="1" x14ac:dyDescent="0.2">
      <c r="A893" s="2706" t="s">
        <v>1</v>
      </c>
      <c r="B893" s="2706"/>
      <c r="C893" s="2706"/>
      <c r="D893" s="2706"/>
      <c r="E893" s="2706"/>
      <c r="F893" s="2706"/>
      <c r="G893" s="2706"/>
      <c r="H893" s="2706"/>
      <c r="I893" s="2706"/>
      <c r="J893" s="2706"/>
      <c r="K893" s="2706"/>
      <c r="L893" s="2706"/>
      <c r="M893" s="2706"/>
      <c r="N893" s="2706"/>
      <c r="O893" s="2706"/>
      <c r="P893" s="2706"/>
      <c r="Q893" s="2706"/>
      <c r="R893" s="2706"/>
      <c r="S893" s="2706"/>
      <c r="T893" s="2706"/>
      <c r="U893" s="2706"/>
      <c r="V893" s="2706"/>
      <c r="W893" s="2706"/>
      <c r="X893" s="2706"/>
      <c r="Y893" s="2706"/>
      <c r="Z893" s="2706"/>
      <c r="AA893" s="2706"/>
      <c r="AB893" s="2706"/>
    </row>
    <row r="894" spans="1:28" s="457" customFormat="1" ht="18" customHeight="1" x14ac:dyDescent="0.2">
      <c r="A894" s="2704" t="s">
        <v>453</v>
      </c>
      <c r="B894" s="2704"/>
      <c r="C894" s="2704"/>
      <c r="D894" s="2704"/>
      <c r="E894" s="2704"/>
      <c r="F894" s="2704"/>
      <c r="G894" s="2704"/>
      <c r="H894" s="2704"/>
      <c r="I894" s="2704"/>
      <c r="J894" s="2704"/>
      <c r="K894" s="2704"/>
      <c r="L894" s="2704"/>
      <c r="M894" s="2704"/>
      <c r="N894" s="2704"/>
      <c r="O894" s="2704"/>
      <c r="P894" s="2704"/>
      <c r="Q894" s="2704"/>
      <c r="R894" s="2704"/>
      <c r="S894" s="2704"/>
      <c r="T894" s="2704"/>
      <c r="U894" s="2704"/>
      <c r="V894" s="2704"/>
      <c r="W894" s="2704"/>
      <c r="X894" s="2704"/>
      <c r="Y894" s="2704"/>
      <c r="Z894" s="2704"/>
      <c r="AA894" s="2704"/>
      <c r="AB894" s="2704"/>
    </row>
    <row r="895" spans="1:28" s="457" customFormat="1" ht="18" customHeight="1" x14ac:dyDescent="0.2">
      <c r="A895" s="2686" t="s">
        <v>2</v>
      </c>
      <c r="B895" s="360"/>
      <c r="C895" s="2686" t="s">
        <v>3</v>
      </c>
      <c r="D895" s="360"/>
      <c r="E895" s="360"/>
      <c r="F895" s="2693" t="s">
        <v>4</v>
      </c>
      <c r="G895" s="2693"/>
      <c r="H895" s="2693"/>
      <c r="I895" s="2694"/>
      <c r="J895" s="2694"/>
      <c r="K895" s="2695"/>
      <c r="L895" s="361"/>
      <c r="M895" s="2679" t="s">
        <v>5</v>
      </c>
      <c r="N895" s="2679"/>
      <c r="O895" s="2679"/>
      <c r="P895" s="2679"/>
      <c r="Q895" s="2696"/>
      <c r="R895" s="2696"/>
      <c r="S895" s="2696"/>
      <c r="T895" s="2696"/>
      <c r="U895" s="2696"/>
      <c r="V895" s="2697"/>
      <c r="W895" s="362" t="s">
        <v>6</v>
      </c>
      <c r="X895" s="363" t="s">
        <v>7</v>
      </c>
      <c r="Y895" s="364"/>
      <c r="Z895" s="364"/>
      <c r="AA895" s="363"/>
      <c r="AB895" s="458"/>
    </row>
    <row r="896" spans="1:28" s="457" customFormat="1" ht="18" customHeight="1" x14ac:dyDescent="0.2">
      <c r="A896" s="2687"/>
      <c r="B896" s="367"/>
      <c r="C896" s="2687"/>
      <c r="D896" s="366" t="s">
        <v>9</v>
      </c>
      <c r="E896" s="366" t="s">
        <v>10</v>
      </c>
      <c r="F896" s="2698" t="s">
        <v>11</v>
      </c>
      <c r="G896" s="2694"/>
      <c r="H896" s="2695"/>
      <c r="I896" s="360"/>
      <c r="J896" s="449" t="s">
        <v>12</v>
      </c>
      <c r="K896" s="360"/>
      <c r="L896" s="2734" t="s">
        <v>2</v>
      </c>
      <c r="M896" s="370"/>
      <c r="N896" s="370"/>
      <c r="O896" s="370"/>
      <c r="P896" s="371"/>
      <c r="Q896" s="459" t="s">
        <v>13</v>
      </c>
      <c r="R896" s="370" t="s">
        <v>12</v>
      </c>
      <c r="S896" s="370" t="s">
        <v>6</v>
      </c>
      <c r="T896" s="2682" t="s">
        <v>14</v>
      </c>
      <c r="U896" s="2683"/>
      <c r="V896" s="375" t="s">
        <v>7</v>
      </c>
      <c r="W896" s="376" t="s">
        <v>15</v>
      </c>
      <c r="X896" s="377" t="s">
        <v>16</v>
      </c>
      <c r="Y896" s="377" t="s">
        <v>17</v>
      </c>
      <c r="Z896" s="377" t="s">
        <v>18</v>
      </c>
      <c r="AA896" s="377"/>
      <c r="AB896" s="460" t="s">
        <v>19</v>
      </c>
    </row>
    <row r="897" spans="1:33" s="457" customFormat="1" ht="18" customHeight="1" x14ac:dyDescent="0.2">
      <c r="A897" s="2687"/>
      <c r="B897" s="366" t="s">
        <v>23</v>
      </c>
      <c r="C897" s="2687"/>
      <c r="D897" s="366" t="s">
        <v>24</v>
      </c>
      <c r="E897" s="366" t="s">
        <v>25</v>
      </c>
      <c r="F897" s="2699"/>
      <c r="G897" s="2700"/>
      <c r="H897" s="2701"/>
      <c r="I897" s="366" t="s">
        <v>26</v>
      </c>
      <c r="J897" s="380" t="s">
        <v>15</v>
      </c>
      <c r="K897" s="380" t="s">
        <v>6</v>
      </c>
      <c r="L897" s="2735"/>
      <c r="M897" s="381" t="s">
        <v>27</v>
      </c>
      <c r="N897" s="381" t="s">
        <v>10</v>
      </c>
      <c r="O897" s="381" t="s">
        <v>10</v>
      </c>
      <c r="P897" s="385" t="s">
        <v>28</v>
      </c>
      <c r="Q897" s="461" t="s">
        <v>29</v>
      </c>
      <c r="R897" s="385" t="s">
        <v>15</v>
      </c>
      <c r="S897" s="385" t="s">
        <v>15</v>
      </c>
      <c r="T897" s="2684"/>
      <c r="U897" s="2685"/>
      <c r="V897" s="375" t="s">
        <v>30</v>
      </c>
      <c r="W897" s="376" t="s">
        <v>31</v>
      </c>
      <c r="X897" s="377" t="s">
        <v>30</v>
      </c>
      <c r="Y897" s="377" t="s">
        <v>32</v>
      </c>
      <c r="Z897" s="377" t="s">
        <v>7</v>
      </c>
      <c r="AA897" s="377" t="s">
        <v>33</v>
      </c>
      <c r="AB897" s="460" t="s">
        <v>34</v>
      </c>
    </row>
    <row r="898" spans="1:33" s="457" customFormat="1" ht="18" customHeight="1" x14ac:dyDescent="0.2">
      <c r="A898" s="2687"/>
      <c r="B898" s="366" t="s">
        <v>39</v>
      </c>
      <c r="C898" s="2687"/>
      <c r="D898" s="366" t="s">
        <v>40</v>
      </c>
      <c r="E898" s="366" t="s">
        <v>41</v>
      </c>
      <c r="F898" s="2686" t="s">
        <v>42</v>
      </c>
      <c r="G898" s="2686" t="s">
        <v>43</v>
      </c>
      <c r="H898" s="2688" t="s">
        <v>44</v>
      </c>
      <c r="I898" s="366" t="s">
        <v>45</v>
      </c>
      <c r="J898" s="380" t="s">
        <v>46</v>
      </c>
      <c r="K898" s="380" t="s">
        <v>47</v>
      </c>
      <c r="L898" s="2735"/>
      <c r="M898" s="381" t="s">
        <v>30</v>
      </c>
      <c r="N898" s="381" t="s">
        <v>30</v>
      </c>
      <c r="O898" s="381" t="s">
        <v>25</v>
      </c>
      <c r="P898" s="385" t="s">
        <v>30</v>
      </c>
      <c r="Q898" s="461" t="s">
        <v>48</v>
      </c>
      <c r="R898" s="385" t="s">
        <v>49</v>
      </c>
      <c r="S898" s="385" t="s">
        <v>30</v>
      </c>
      <c r="T898" s="619" t="s">
        <v>50</v>
      </c>
      <c r="U898" s="620" t="s">
        <v>13</v>
      </c>
      <c r="V898" s="375" t="s">
        <v>51</v>
      </c>
      <c r="W898" s="376" t="s">
        <v>52</v>
      </c>
      <c r="X898" s="377" t="s">
        <v>53</v>
      </c>
      <c r="Y898" s="377" t="s">
        <v>54</v>
      </c>
      <c r="Z898" s="377" t="s">
        <v>55</v>
      </c>
      <c r="AA898" s="377" t="s">
        <v>56</v>
      </c>
      <c r="AB898" s="460" t="s">
        <v>57</v>
      </c>
    </row>
    <row r="899" spans="1:33" s="457" customFormat="1" ht="18" customHeight="1" x14ac:dyDescent="0.2">
      <c r="A899" s="2687"/>
      <c r="B899" s="366" t="s">
        <v>61</v>
      </c>
      <c r="C899" s="2687"/>
      <c r="D899" s="366" t="s">
        <v>62</v>
      </c>
      <c r="E899" s="366" t="s">
        <v>63</v>
      </c>
      <c r="F899" s="2687"/>
      <c r="G899" s="2687"/>
      <c r="H899" s="2689"/>
      <c r="I899" s="366" t="s">
        <v>64</v>
      </c>
      <c r="J899" s="380" t="s">
        <v>59</v>
      </c>
      <c r="K899" s="380" t="s">
        <v>59</v>
      </c>
      <c r="L899" s="2735"/>
      <c r="M899" s="381"/>
      <c r="N899" s="381"/>
      <c r="O899" s="381" t="s">
        <v>41</v>
      </c>
      <c r="P899" s="385" t="s">
        <v>65</v>
      </c>
      <c r="Q899" s="461" t="s">
        <v>66</v>
      </c>
      <c r="R899" s="385" t="s">
        <v>67</v>
      </c>
      <c r="S899" s="385" t="s">
        <v>59</v>
      </c>
      <c r="T899" s="621" t="s">
        <v>68</v>
      </c>
      <c r="U899" s="622" t="s">
        <v>14</v>
      </c>
      <c r="V899" s="375" t="s">
        <v>14</v>
      </c>
      <c r="W899" s="376" t="s">
        <v>30</v>
      </c>
      <c r="X899" s="388" t="s">
        <v>69</v>
      </c>
      <c r="Y899" s="388" t="s">
        <v>70</v>
      </c>
      <c r="Z899" s="377" t="s">
        <v>71</v>
      </c>
      <c r="AA899" s="377" t="s">
        <v>72</v>
      </c>
      <c r="AB899" s="460" t="s">
        <v>59</v>
      </c>
    </row>
    <row r="900" spans="1:33" s="457" customFormat="1" ht="18" customHeight="1" x14ac:dyDescent="0.2">
      <c r="A900" s="2692"/>
      <c r="B900" s="390"/>
      <c r="C900" s="2692"/>
      <c r="D900" s="390"/>
      <c r="E900" s="389"/>
      <c r="F900" s="390"/>
      <c r="G900" s="390"/>
      <c r="H900" s="391"/>
      <c r="I900" s="389"/>
      <c r="J900" s="393"/>
      <c r="K900" s="393"/>
      <c r="L900" s="2736"/>
      <c r="M900" s="394"/>
      <c r="N900" s="394"/>
      <c r="O900" s="394" t="s">
        <v>63</v>
      </c>
      <c r="P900" s="394"/>
      <c r="Q900" s="450" t="s">
        <v>72</v>
      </c>
      <c r="R900" s="398" t="s">
        <v>59</v>
      </c>
      <c r="S900" s="398"/>
      <c r="T900" s="623" t="s">
        <v>73</v>
      </c>
      <c r="U900" s="624" t="s">
        <v>59</v>
      </c>
      <c r="V900" s="399" t="s">
        <v>59</v>
      </c>
      <c r="W900" s="400" t="s">
        <v>59</v>
      </c>
      <c r="X900" s="401" t="s">
        <v>59</v>
      </c>
      <c r="Y900" s="401" t="s">
        <v>59</v>
      </c>
      <c r="Z900" s="401" t="s">
        <v>59</v>
      </c>
      <c r="AA900" s="402"/>
      <c r="AB900" s="462"/>
    </row>
    <row r="901" spans="1:33" s="457" customFormat="1" ht="18" customHeight="1" x14ac:dyDescent="0.25">
      <c r="A901" s="53">
        <v>1</v>
      </c>
      <c r="B901" s="333">
        <v>62330</v>
      </c>
      <c r="C901" s="333">
        <v>1768</v>
      </c>
      <c r="D901" s="333" t="s">
        <v>139</v>
      </c>
      <c r="E901" s="333">
        <v>4</v>
      </c>
      <c r="F901" s="333">
        <v>0</v>
      </c>
      <c r="G901" s="333">
        <v>0</v>
      </c>
      <c r="H901" s="627">
        <v>72</v>
      </c>
      <c r="I901" s="123">
        <f>F901*400+G901*100+H901</f>
        <v>72</v>
      </c>
      <c r="J901" s="327">
        <v>1000</v>
      </c>
      <c r="K901" s="78">
        <f>SUM(I901*J901)</f>
        <v>72000</v>
      </c>
      <c r="L901" s="254"/>
      <c r="M901" s="240"/>
      <c r="N901" s="254"/>
      <c r="O901" s="254"/>
      <c r="P901" s="335"/>
      <c r="Q901" s="336"/>
      <c r="R901" s="751"/>
      <c r="S901" s="328"/>
      <c r="T901" s="447"/>
      <c r="U901" s="328"/>
      <c r="V901" s="328"/>
      <c r="W901" s="77">
        <f>+K901+V901</f>
        <v>72000</v>
      </c>
      <c r="X901" s="77">
        <f>W901</f>
        <v>72000</v>
      </c>
      <c r="Y901" s="676"/>
      <c r="Z901" s="77">
        <f>+X901</f>
        <v>72000</v>
      </c>
      <c r="AA901" s="464">
        <v>0.6</v>
      </c>
      <c r="AB901" s="465">
        <f>+Z901*AA901/100</f>
        <v>432</v>
      </c>
      <c r="AG901" s="1750" t="s">
        <v>387</v>
      </c>
    </row>
    <row r="902" spans="1:33" s="457" customFormat="1" ht="18" customHeight="1" x14ac:dyDescent="0.2">
      <c r="A902" s="88"/>
      <c r="B902" s="467"/>
      <c r="C902" s="145"/>
      <c r="D902" s="238"/>
      <c r="E902" s="145"/>
      <c r="F902" s="88"/>
      <c r="G902" s="75"/>
      <c r="H902" s="88"/>
      <c r="I902" s="107"/>
      <c r="J902" s="121"/>
      <c r="K902" s="78"/>
      <c r="L902" s="88"/>
      <c r="M902" s="88"/>
      <c r="N902" s="88"/>
      <c r="O902" s="72"/>
      <c r="P902" s="120"/>
      <c r="Q902" s="129"/>
      <c r="R902" s="446"/>
      <c r="S902" s="73"/>
      <c r="T902" s="446"/>
      <c r="U902" s="73"/>
      <c r="V902" s="73"/>
      <c r="W902" s="77"/>
      <c r="X902" s="77"/>
      <c r="Y902" s="676"/>
      <c r="Z902" s="74"/>
      <c r="AA902" s="414"/>
      <c r="AB902" s="410"/>
    </row>
    <row r="903" spans="1:33" s="457" customFormat="1" ht="18" customHeight="1" x14ac:dyDescent="0.2">
      <c r="A903" s="145"/>
      <c r="B903" s="239"/>
      <c r="C903" s="88"/>
      <c r="D903" s="238"/>
      <c r="E903" s="145"/>
      <c r="F903" s="75"/>
      <c r="G903" s="88"/>
      <c r="H903" s="239"/>
      <c r="I903" s="107"/>
      <c r="J903" s="107"/>
      <c r="K903" s="78"/>
      <c r="L903" s="130"/>
      <c r="M903" s="727"/>
      <c r="N903" s="727"/>
      <c r="O903" s="727"/>
      <c r="P903" s="728"/>
      <c r="Q903" s="728"/>
      <c r="R903" s="729"/>
      <c r="S903" s="729"/>
      <c r="T903" s="730"/>
      <c r="U903" s="731"/>
      <c r="V903" s="729"/>
      <c r="W903" s="77"/>
      <c r="X903" s="77"/>
      <c r="Y903" s="676"/>
      <c r="Z903" s="77"/>
      <c r="AA903" s="409"/>
      <c r="AB903" s="466"/>
    </row>
    <row r="904" spans="1:33" s="457" customFormat="1" ht="18" customHeight="1" x14ac:dyDescent="0.2">
      <c r="A904" s="88"/>
      <c r="B904" s="239"/>
      <c r="C904" s="88"/>
      <c r="D904" s="239"/>
      <c r="E904" s="145"/>
      <c r="F904" s="145"/>
      <c r="G904" s="145"/>
      <c r="H904" s="147"/>
      <c r="I904" s="107"/>
      <c r="J904" s="178"/>
      <c r="K904" s="107"/>
      <c r="L904" s="145"/>
      <c r="M904" s="145"/>
      <c r="N904" s="145"/>
      <c r="O904" s="145"/>
      <c r="P904" s="147"/>
      <c r="Q904" s="148"/>
      <c r="R904" s="437"/>
      <c r="S904" s="107"/>
      <c r="T904" s="437"/>
      <c r="U904" s="178"/>
      <c r="V904" s="107"/>
      <c r="W904" s="107"/>
      <c r="X904" s="470"/>
      <c r="Y904" s="470"/>
      <c r="Z904" s="471"/>
      <c r="AA904" s="471"/>
      <c r="AB904" s="466"/>
    </row>
    <row r="905" spans="1:33" s="457" customFormat="1" ht="18" customHeight="1" x14ac:dyDescent="0.2">
      <c r="A905" s="145"/>
      <c r="B905" s="177"/>
      <c r="C905" s="177"/>
      <c r="D905" s="145"/>
      <c r="E905" s="145"/>
      <c r="F905" s="145"/>
      <c r="G905" s="145"/>
      <c r="H905" s="147"/>
      <c r="I905" s="107"/>
      <c r="J905" s="178"/>
      <c r="K905" s="107"/>
      <c r="L905" s="145"/>
      <c r="M905" s="145"/>
      <c r="N905" s="145"/>
      <c r="O905" s="145"/>
      <c r="P905" s="147"/>
      <c r="Q905" s="148"/>
      <c r="R905" s="437"/>
      <c r="S905" s="107"/>
      <c r="T905" s="437"/>
      <c r="U905" s="178"/>
      <c r="V905" s="107"/>
      <c r="W905" s="107"/>
      <c r="X905" s="470"/>
      <c r="Y905" s="470"/>
      <c r="Z905" s="471"/>
      <c r="AA905" s="471"/>
      <c r="AB905" s="466"/>
    </row>
    <row r="906" spans="1:33" s="457" customFormat="1" ht="18" customHeight="1" x14ac:dyDescent="0.2">
      <c r="A906" s="145"/>
      <c r="B906" s="177"/>
      <c r="C906" s="177"/>
      <c r="D906" s="145"/>
      <c r="E906" s="145"/>
      <c r="F906" s="145"/>
      <c r="G906" s="145"/>
      <c r="H906" s="147"/>
      <c r="I906" s="107"/>
      <c r="J906" s="178"/>
      <c r="K906" s="107"/>
      <c r="L906" s="145"/>
      <c r="M906" s="145"/>
      <c r="N906" s="145"/>
      <c r="O906" s="145"/>
      <c r="P906" s="147"/>
      <c r="Q906" s="148"/>
      <c r="R906" s="437"/>
      <c r="S906" s="107"/>
      <c r="T906" s="437"/>
      <c r="U906" s="178"/>
      <c r="V906" s="107"/>
      <c r="W906" s="107"/>
      <c r="X906" s="470"/>
      <c r="Y906" s="470"/>
      <c r="Z906" s="471"/>
      <c r="AA906" s="471"/>
      <c r="AB906" s="466"/>
    </row>
    <row r="907" spans="1:33" s="457" customFormat="1" ht="18" customHeight="1" x14ac:dyDescent="0.2">
      <c r="A907" s="145"/>
      <c r="B907" s="177"/>
      <c r="C907" s="177"/>
      <c r="D907" s="145"/>
      <c r="E907" s="145"/>
      <c r="F907" s="145"/>
      <c r="G907" s="145"/>
      <c r="H907" s="147"/>
      <c r="I907" s="107"/>
      <c r="J907" s="178"/>
      <c r="K907" s="107"/>
      <c r="L907" s="145"/>
      <c r="M907" s="145"/>
      <c r="N907" s="145"/>
      <c r="O907" s="145"/>
      <c r="P907" s="147"/>
      <c r="Q907" s="148"/>
      <c r="R907" s="437"/>
      <c r="S907" s="107"/>
      <c r="T907" s="437"/>
      <c r="U907" s="178"/>
      <c r="V907" s="107"/>
      <c r="W907" s="107"/>
      <c r="X907" s="470"/>
      <c r="Y907" s="470"/>
      <c r="Z907" s="471"/>
      <c r="AA907" s="471"/>
      <c r="AB907" s="466"/>
    </row>
    <row r="908" spans="1:33" s="457" customFormat="1" ht="18" customHeight="1" x14ac:dyDescent="0.2">
      <c r="A908" s="145"/>
      <c r="B908" s="177"/>
      <c r="C908" s="177"/>
      <c r="D908" s="145"/>
      <c r="E908" s="145"/>
      <c r="F908" s="145"/>
      <c r="G908" s="145"/>
      <c r="H908" s="147"/>
      <c r="I908" s="107"/>
      <c r="J908" s="178"/>
      <c r="K908" s="107"/>
      <c r="L908" s="145"/>
      <c r="M908" s="145"/>
      <c r="N908" s="145"/>
      <c r="O908" s="145"/>
      <c r="P908" s="147"/>
      <c r="Q908" s="148"/>
      <c r="R908" s="437"/>
      <c r="S908" s="107"/>
      <c r="T908" s="437"/>
      <c r="U908" s="178"/>
      <c r="V908" s="107"/>
      <c r="W908" s="107"/>
      <c r="X908" s="470"/>
      <c r="Y908" s="470"/>
      <c r="Z908" s="471"/>
      <c r="AA908" s="471"/>
      <c r="AB908" s="466"/>
    </row>
    <row r="909" spans="1:33" s="457" customFormat="1" ht="18" customHeight="1" x14ac:dyDescent="0.2">
      <c r="A909" s="145"/>
      <c r="B909" s="177"/>
      <c r="C909" s="177"/>
      <c r="D909" s="145"/>
      <c r="E909" s="145"/>
      <c r="F909" s="145"/>
      <c r="G909" s="145"/>
      <c r="H909" s="147"/>
      <c r="I909" s="107"/>
      <c r="J909" s="178"/>
      <c r="K909" s="107"/>
      <c r="L909" s="145"/>
      <c r="M909" s="145"/>
      <c r="N909" s="145"/>
      <c r="O909" s="145"/>
      <c r="P909" s="147"/>
      <c r="Q909" s="148"/>
      <c r="R909" s="437"/>
      <c r="S909" s="107"/>
      <c r="T909" s="437"/>
      <c r="U909" s="178"/>
      <c r="V909" s="107"/>
      <c r="W909" s="107"/>
      <c r="X909" s="470"/>
      <c r="Y909" s="470"/>
      <c r="Z909" s="471"/>
      <c r="AA909" s="471"/>
      <c r="AB909" s="466"/>
    </row>
    <row r="910" spans="1:33" s="457" customFormat="1" ht="18" customHeight="1" x14ac:dyDescent="0.2">
      <c r="A910" s="145"/>
      <c r="B910" s="177"/>
      <c r="C910" s="177"/>
      <c r="D910" s="145"/>
      <c r="E910" s="145"/>
      <c r="F910" s="145"/>
      <c r="G910" s="145"/>
      <c r="H910" s="147"/>
      <c r="I910" s="107"/>
      <c r="J910" s="178"/>
      <c r="K910" s="107"/>
      <c r="L910" s="145"/>
      <c r="M910" s="145"/>
      <c r="N910" s="145"/>
      <c r="O910" s="145"/>
      <c r="P910" s="147"/>
      <c r="Q910" s="148"/>
      <c r="R910" s="437"/>
      <c r="S910" s="107"/>
      <c r="T910" s="437"/>
      <c r="U910" s="178"/>
      <c r="V910" s="107"/>
      <c r="W910" s="107"/>
      <c r="X910" s="470"/>
      <c r="Y910" s="470"/>
      <c r="Z910" s="471"/>
      <c r="AA910" s="471"/>
      <c r="AB910" s="466"/>
    </row>
    <row r="911" spans="1:33" s="457" customFormat="1" ht="18" customHeight="1" x14ac:dyDescent="0.2">
      <c r="A911" s="145"/>
      <c r="B911" s="177"/>
      <c r="C911" s="177"/>
      <c r="D911" s="145"/>
      <c r="E911" s="145"/>
      <c r="F911" s="145"/>
      <c r="G911" s="145"/>
      <c r="H911" s="147"/>
      <c r="I911" s="107"/>
      <c r="J911" s="178"/>
      <c r="K911" s="107"/>
      <c r="L911" s="145"/>
      <c r="M911" s="145"/>
      <c r="N911" s="145"/>
      <c r="O911" s="145"/>
      <c r="P911" s="147"/>
      <c r="Q911" s="148"/>
      <c r="R911" s="437"/>
      <c r="S911" s="107"/>
      <c r="T911" s="437"/>
      <c r="U911" s="178"/>
      <c r="V911" s="107"/>
      <c r="W911" s="107"/>
      <c r="X911" s="470"/>
      <c r="Y911" s="470"/>
      <c r="Z911" s="471"/>
      <c r="AA911" s="471"/>
      <c r="AB911" s="466"/>
    </row>
    <row r="912" spans="1:33" s="457" customFormat="1" ht="18" customHeight="1" x14ac:dyDescent="0.2">
      <c r="A912" s="145"/>
      <c r="B912" s="177"/>
      <c r="C912" s="177"/>
      <c r="D912" s="145"/>
      <c r="E912" s="145"/>
      <c r="F912" s="145"/>
      <c r="G912" s="145"/>
      <c r="H912" s="147"/>
      <c r="I912" s="107"/>
      <c r="J912" s="178"/>
      <c r="K912" s="107"/>
      <c r="L912" s="145"/>
      <c r="M912" s="145"/>
      <c r="N912" s="145"/>
      <c r="O912" s="145"/>
      <c r="P912" s="147"/>
      <c r="Q912" s="148"/>
      <c r="R912" s="437"/>
      <c r="S912" s="107"/>
      <c r="T912" s="437"/>
      <c r="U912" s="178"/>
      <c r="V912" s="107"/>
      <c r="W912" s="107"/>
      <c r="X912" s="470"/>
      <c r="Y912" s="470"/>
      <c r="Z912" s="471"/>
      <c r="AA912" s="471"/>
      <c r="AB912" s="466"/>
    </row>
    <row r="913" spans="1:28" s="457" customFormat="1" ht="18" customHeight="1" x14ac:dyDescent="0.2">
      <c r="A913" s="145"/>
      <c r="B913" s="177"/>
      <c r="C913" s="177"/>
      <c r="D913" s="145"/>
      <c r="E913" s="145"/>
      <c r="F913" s="145"/>
      <c r="G913" s="145"/>
      <c r="H913" s="147"/>
      <c r="I913" s="107"/>
      <c r="J913" s="178"/>
      <c r="K913" s="107"/>
      <c r="L913" s="145"/>
      <c r="M913" s="145"/>
      <c r="N913" s="145"/>
      <c r="O913" s="145"/>
      <c r="P913" s="147"/>
      <c r="Q913" s="148"/>
      <c r="R913" s="437"/>
      <c r="S913" s="107"/>
      <c r="T913" s="437"/>
      <c r="U913" s="178"/>
      <c r="V913" s="107"/>
      <c r="W913" s="107"/>
      <c r="X913" s="470"/>
      <c r="Y913" s="470"/>
      <c r="Z913" s="471"/>
      <c r="AA913" s="471"/>
      <c r="AB913" s="466"/>
    </row>
    <row r="914" spans="1:28" s="457" customFormat="1" ht="18" customHeight="1" x14ac:dyDescent="0.2">
      <c r="A914" s="145"/>
      <c r="B914" s="177"/>
      <c r="C914" s="177"/>
      <c r="D914" s="145"/>
      <c r="E914" s="145"/>
      <c r="F914" s="145"/>
      <c r="G914" s="145"/>
      <c r="H914" s="147"/>
      <c r="I914" s="107"/>
      <c r="J914" s="178"/>
      <c r="K914" s="107"/>
      <c r="L914" s="145"/>
      <c r="M914" s="145"/>
      <c r="N914" s="145"/>
      <c r="O914" s="145"/>
      <c r="P914" s="147"/>
      <c r="Q914" s="148"/>
      <c r="R914" s="437"/>
      <c r="S914" s="107"/>
      <c r="T914" s="437"/>
      <c r="U914" s="178"/>
      <c r="V914" s="107"/>
      <c r="W914" s="107"/>
      <c r="X914" s="470"/>
      <c r="Y914" s="470"/>
      <c r="Z914" s="471"/>
      <c r="AA914" s="471"/>
      <c r="AB914" s="466"/>
    </row>
    <row r="915" spans="1:28" s="457" customFormat="1" ht="18" customHeight="1" x14ac:dyDescent="0.2">
      <c r="A915" s="145"/>
      <c r="B915" s="177"/>
      <c r="C915" s="177"/>
      <c r="D915" s="145"/>
      <c r="E915" s="145"/>
      <c r="F915" s="145"/>
      <c r="G915" s="145"/>
      <c r="H915" s="147"/>
      <c r="I915" s="107"/>
      <c r="J915" s="178"/>
      <c r="K915" s="107"/>
      <c r="L915" s="145"/>
      <c r="M915" s="145"/>
      <c r="N915" s="145"/>
      <c r="O915" s="145"/>
      <c r="P915" s="147"/>
      <c r="Q915" s="148"/>
      <c r="R915" s="437"/>
      <c r="S915" s="107"/>
      <c r="T915" s="437"/>
      <c r="U915" s="178"/>
      <c r="V915" s="107"/>
      <c r="W915" s="107"/>
      <c r="X915" s="470"/>
      <c r="Y915" s="470"/>
      <c r="Z915" s="471"/>
      <c r="AA915" s="471"/>
      <c r="AB915" s="466"/>
    </row>
    <row r="916" spans="1:28" s="457" customFormat="1" ht="18" customHeight="1" x14ac:dyDescent="0.2">
      <c r="A916" s="145"/>
      <c r="B916" s="177"/>
      <c r="C916" s="177"/>
      <c r="D916" s="145"/>
      <c r="E916" s="145"/>
      <c r="F916" s="145"/>
      <c r="G916" s="145"/>
      <c r="H916" s="147"/>
      <c r="I916" s="107"/>
      <c r="J916" s="178"/>
      <c r="K916" s="107"/>
      <c r="L916" s="145"/>
      <c r="M916" s="145"/>
      <c r="N916" s="145"/>
      <c r="O916" s="145"/>
      <c r="P916" s="147"/>
      <c r="Q916" s="148"/>
      <c r="R916" s="437"/>
      <c r="S916" s="107"/>
      <c r="T916" s="437"/>
      <c r="U916" s="178"/>
      <c r="V916" s="107"/>
      <c r="W916" s="107"/>
      <c r="X916" s="470"/>
      <c r="Y916" s="470"/>
      <c r="Z916" s="471"/>
      <c r="AA916" s="471"/>
      <c r="AB916" s="466"/>
    </row>
    <row r="917" spans="1:28" s="457" customFormat="1" ht="18" customHeight="1" x14ac:dyDescent="0.2">
      <c r="A917" s="145"/>
      <c r="B917" s="177"/>
      <c r="C917" s="177"/>
      <c r="D917" s="145"/>
      <c r="E917" s="145"/>
      <c r="F917" s="145"/>
      <c r="G917" s="145"/>
      <c r="H917" s="147"/>
      <c r="I917" s="107"/>
      <c r="J917" s="178"/>
      <c r="K917" s="107"/>
      <c r="L917" s="145"/>
      <c r="M917" s="145"/>
      <c r="N917" s="145"/>
      <c r="O917" s="145"/>
      <c r="P917" s="147"/>
      <c r="Q917" s="148"/>
      <c r="R917" s="437"/>
      <c r="S917" s="107"/>
      <c r="T917" s="437"/>
      <c r="U917" s="178"/>
      <c r="V917" s="107"/>
      <c r="W917" s="107"/>
      <c r="X917" s="470"/>
      <c r="Y917" s="470"/>
      <c r="Z917" s="471"/>
      <c r="AA917" s="471"/>
      <c r="AB917" s="466"/>
    </row>
    <row r="918" spans="1:28" s="457" customFormat="1" ht="18" customHeight="1" x14ac:dyDescent="0.2">
      <c r="A918" s="145"/>
      <c r="B918" s="177"/>
      <c r="C918" s="177"/>
      <c r="D918" s="145"/>
      <c r="E918" s="145"/>
      <c r="F918" s="145"/>
      <c r="G918" s="145"/>
      <c r="H918" s="147"/>
      <c r="I918" s="107"/>
      <c r="J918" s="178"/>
      <c r="K918" s="107"/>
      <c r="L918" s="145"/>
      <c r="M918" s="145"/>
      <c r="N918" s="145"/>
      <c r="O918" s="145"/>
      <c r="P918" s="147"/>
      <c r="Q918" s="148"/>
      <c r="R918" s="437"/>
      <c r="S918" s="107"/>
      <c r="T918" s="437"/>
      <c r="U918" s="178"/>
      <c r="V918" s="107"/>
      <c r="W918" s="107"/>
      <c r="X918" s="470"/>
      <c r="Y918" s="470"/>
      <c r="Z918" s="471"/>
      <c r="AA918" s="471"/>
      <c r="AB918" s="466"/>
    </row>
    <row r="919" spans="1:28" s="597" customFormat="1" ht="18" customHeight="1" x14ac:dyDescent="0.2">
      <c r="A919" s="1850"/>
      <c r="B919" s="1850"/>
      <c r="C919" s="1850"/>
      <c r="D919" s="1850"/>
      <c r="E919" s="1850"/>
      <c r="F919" s="1850"/>
      <c r="G919" s="1850"/>
      <c r="H919" s="1851"/>
      <c r="I919" s="1852"/>
      <c r="J919" s="1853"/>
      <c r="K919" s="1852"/>
      <c r="L919" s="1852"/>
      <c r="M919" s="1852"/>
      <c r="N919" s="1852"/>
      <c r="O919" s="1852"/>
      <c r="P919" s="1852"/>
      <c r="Q919" s="1852"/>
      <c r="R919" s="1854"/>
      <c r="S919" s="1852"/>
      <c r="T919" s="1854"/>
      <c r="U919" s="1853"/>
      <c r="V919" s="1852"/>
      <c r="W919" s="1852"/>
      <c r="X919" s="1856"/>
      <c r="Y919" s="1856"/>
      <c r="Z919" s="1857"/>
      <c r="AA919" s="1857"/>
      <c r="AB919" s="1847">
        <f>SUM(AB901:AB918)</f>
        <v>432</v>
      </c>
    </row>
    <row r="920" spans="1:28" s="457" customFormat="1" ht="18" customHeight="1" x14ac:dyDescent="0.2">
      <c r="A920" s="2737" t="s">
        <v>76</v>
      </c>
      <c r="B920" s="2737"/>
      <c r="C920" s="2738" t="s">
        <v>77</v>
      </c>
      <c r="D920" s="2738"/>
      <c r="E920" s="2738"/>
      <c r="F920" s="2738"/>
      <c r="G920" s="2738"/>
      <c r="H920" s="2738"/>
      <c r="I920" s="457" t="s">
        <v>78</v>
      </c>
      <c r="T920" s="651"/>
      <c r="U920" s="478"/>
      <c r="AB920" s="478"/>
    </row>
    <row r="921" spans="1:28" s="457" customFormat="1" ht="18" customHeight="1" x14ac:dyDescent="0.2">
      <c r="A921" s="448"/>
      <c r="B921" s="479"/>
      <c r="I921" s="457" t="s">
        <v>79</v>
      </c>
      <c r="T921" s="651"/>
      <c r="U921" s="478"/>
      <c r="AB921" s="478"/>
    </row>
    <row r="922" spans="1:28" s="457" customFormat="1" ht="18" customHeight="1" x14ac:dyDescent="0.2">
      <c r="A922" s="448"/>
      <c r="B922" s="479"/>
      <c r="I922" s="457" t="s">
        <v>80</v>
      </c>
      <c r="T922" s="651"/>
      <c r="U922" s="478"/>
      <c r="AB922" s="478"/>
    </row>
    <row r="923" spans="1:28" s="457" customFormat="1" ht="18" customHeight="1" x14ac:dyDescent="0.2">
      <c r="A923" s="448"/>
      <c r="B923" s="479"/>
      <c r="I923" s="457" t="s">
        <v>81</v>
      </c>
      <c r="T923" s="651"/>
      <c r="U923" s="478"/>
      <c r="AB923" s="478"/>
    </row>
    <row r="924" spans="1:28" s="457" customFormat="1" ht="18" customHeight="1" x14ac:dyDescent="0.2">
      <c r="A924" s="448"/>
      <c r="B924" s="479"/>
      <c r="I924" s="457" t="s">
        <v>88</v>
      </c>
      <c r="T924" s="651"/>
      <c r="U924" s="478"/>
      <c r="AB924" s="478"/>
    </row>
    <row r="925" spans="1:28" s="457" customFormat="1" ht="18" customHeight="1" x14ac:dyDescent="0.2">
      <c r="A925" s="456"/>
      <c r="B925" s="455"/>
      <c r="C925" s="455"/>
      <c r="D925" s="455"/>
      <c r="E925" s="455"/>
      <c r="F925" s="455"/>
      <c r="G925" s="455"/>
      <c r="H925" s="455"/>
      <c r="I925" s="455"/>
      <c r="J925" s="455"/>
      <c r="K925" s="455"/>
      <c r="L925" s="455"/>
      <c r="M925" s="455"/>
      <c r="N925" s="455"/>
      <c r="O925" s="455"/>
      <c r="P925" s="455"/>
      <c r="Q925" s="455"/>
      <c r="R925" s="455"/>
      <c r="S925" s="455"/>
      <c r="T925" s="608"/>
      <c r="U925" s="609"/>
      <c r="V925" s="455"/>
      <c r="W925" s="455"/>
      <c r="X925" s="455"/>
      <c r="Y925" s="455"/>
      <c r="Z925" s="455"/>
      <c r="AA925" s="2705" t="s">
        <v>0</v>
      </c>
      <c r="AB925" s="2705"/>
    </row>
    <row r="926" spans="1:28" s="457" customFormat="1" ht="18" customHeight="1" x14ac:dyDescent="0.2">
      <c r="A926" s="2706" t="s">
        <v>1</v>
      </c>
      <c r="B926" s="2706"/>
      <c r="C926" s="2706"/>
      <c r="D926" s="2706"/>
      <c r="E926" s="2706"/>
      <c r="F926" s="2706"/>
      <c r="G926" s="2706"/>
      <c r="H926" s="2706"/>
      <c r="I926" s="2706"/>
      <c r="J926" s="2706"/>
      <c r="K926" s="2706"/>
      <c r="L926" s="2706"/>
      <c r="M926" s="2706"/>
      <c r="N926" s="2706"/>
      <c r="O926" s="2706"/>
      <c r="P926" s="2706"/>
      <c r="Q926" s="2706"/>
      <c r="R926" s="2706"/>
      <c r="S926" s="2706"/>
      <c r="T926" s="2706"/>
      <c r="U926" s="2706"/>
      <c r="V926" s="2706"/>
      <c r="W926" s="2706"/>
      <c r="X926" s="2706"/>
      <c r="Y926" s="2706"/>
      <c r="Z926" s="2706"/>
      <c r="AA926" s="2706"/>
      <c r="AB926" s="2706"/>
    </row>
    <row r="927" spans="1:28" s="457" customFormat="1" ht="18" customHeight="1" x14ac:dyDescent="0.2">
      <c r="A927" s="2704" t="s">
        <v>454</v>
      </c>
      <c r="B927" s="2704"/>
      <c r="C927" s="2704"/>
      <c r="D927" s="2704"/>
      <c r="E927" s="2704"/>
      <c r="F927" s="2704"/>
      <c r="G927" s="2704"/>
      <c r="H927" s="2704"/>
      <c r="I927" s="2704"/>
      <c r="J927" s="2704"/>
      <c r="K927" s="2704"/>
      <c r="L927" s="2704"/>
      <c r="M927" s="2704"/>
      <c r="N927" s="2704"/>
      <c r="O927" s="2704"/>
      <c r="P927" s="2704"/>
      <c r="Q927" s="2704"/>
      <c r="R927" s="2704"/>
      <c r="S927" s="2704"/>
      <c r="T927" s="2704"/>
      <c r="U927" s="2704"/>
      <c r="V927" s="2704"/>
      <c r="W927" s="2704"/>
      <c r="X927" s="2704"/>
      <c r="Y927" s="2704"/>
      <c r="Z927" s="2704"/>
      <c r="AA927" s="2704"/>
      <c r="AB927" s="2704"/>
    </row>
    <row r="928" spans="1:28" s="457" customFormat="1" ht="18" customHeight="1" x14ac:dyDescent="0.2">
      <c r="A928" s="2686" t="s">
        <v>2</v>
      </c>
      <c r="B928" s="360"/>
      <c r="C928" s="2686" t="s">
        <v>3</v>
      </c>
      <c r="D928" s="360"/>
      <c r="E928" s="360"/>
      <c r="F928" s="2693" t="s">
        <v>4</v>
      </c>
      <c r="G928" s="2693"/>
      <c r="H928" s="2693"/>
      <c r="I928" s="2694"/>
      <c r="J928" s="2694"/>
      <c r="K928" s="2695"/>
      <c r="L928" s="361"/>
      <c r="M928" s="2679" t="s">
        <v>5</v>
      </c>
      <c r="N928" s="2679"/>
      <c r="O928" s="2679"/>
      <c r="P928" s="2679"/>
      <c r="Q928" s="2696"/>
      <c r="R928" s="2696"/>
      <c r="S928" s="2696"/>
      <c r="T928" s="2696"/>
      <c r="U928" s="2696"/>
      <c r="V928" s="2697"/>
      <c r="W928" s="362" t="s">
        <v>6</v>
      </c>
      <c r="X928" s="363" t="s">
        <v>7</v>
      </c>
      <c r="Y928" s="364"/>
      <c r="Z928" s="364"/>
      <c r="AA928" s="363"/>
      <c r="AB928" s="458"/>
    </row>
    <row r="929" spans="1:33" s="457" customFormat="1" ht="18" customHeight="1" x14ac:dyDescent="0.2">
      <c r="A929" s="2687"/>
      <c r="B929" s="367"/>
      <c r="C929" s="2687"/>
      <c r="D929" s="366" t="s">
        <v>9</v>
      </c>
      <c r="E929" s="366" t="s">
        <v>10</v>
      </c>
      <c r="F929" s="2698" t="s">
        <v>11</v>
      </c>
      <c r="G929" s="2694"/>
      <c r="H929" s="2695"/>
      <c r="I929" s="360"/>
      <c r="J929" s="449" t="s">
        <v>12</v>
      </c>
      <c r="K929" s="360"/>
      <c r="L929" s="2734" t="s">
        <v>2</v>
      </c>
      <c r="M929" s="370"/>
      <c r="N929" s="370"/>
      <c r="O929" s="370"/>
      <c r="P929" s="371"/>
      <c r="Q929" s="459" t="s">
        <v>13</v>
      </c>
      <c r="R929" s="370" t="s">
        <v>12</v>
      </c>
      <c r="S929" s="370" t="s">
        <v>6</v>
      </c>
      <c r="T929" s="2682" t="s">
        <v>14</v>
      </c>
      <c r="U929" s="2683"/>
      <c r="V929" s="375" t="s">
        <v>7</v>
      </c>
      <c r="W929" s="376" t="s">
        <v>15</v>
      </c>
      <c r="X929" s="377" t="s">
        <v>16</v>
      </c>
      <c r="Y929" s="377" t="s">
        <v>17</v>
      </c>
      <c r="Z929" s="377" t="s">
        <v>18</v>
      </c>
      <c r="AA929" s="377"/>
      <c r="AB929" s="460" t="s">
        <v>19</v>
      </c>
    </row>
    <row r="930" spans="1:33" s="457" customFormat="1" ht="18" customHeight="1" x14ac:dyDescent="0.2">
      <c r="A930" s="2687"/>
      <c r="B930" s="366" t="s">
        <v>23</v>
      </c>
      <c r="C930" s="2687"/>
      <c r="D930" s="366" t="s">
        <v>24</v>
      </c>
      <c r="E930" s="366" t="s">
        <v>25</v>
      </c>
      <c r="F930" s="2699"/>
      <c r="G930" s="2700"/>
      <c r="H930" s="2701"/>
      <c r="I930" s="366" t="s">
        <v>26</v>
      </c>
      <c r="J930" s="380" t="s">
        <v>15</v>
      </c>
      <c r="K930" s="380" t="s">
        <v>6</v>
      </c>
      <c r="L930" s="2735"/>
      <c r="M930" s="381" t="s">
        <v>27</v>
      </c>
      <c r="N930" s="381" t="s">
        <v>10</v>
      </c>
      <c r="O930" s="381" t="s">
        <v>10</v>
      </c>
      <c r="P930" s="385" t="s">
        <v>28</v>
      </c>
      <c r="Q930" s="461" t="s">
        <v>29</v>
      </c>
      <c r="R930" s="385" t="s">
        <v>15</v>
      </c>
      <c r="S930" s="385" t="s">
        <v>15</v>
      </c>
      <c r="T930" s="2684"/>
      <c r="U930" s="2685"/>
      <c r="V930" s="375" t="s">
        <v>30</v>
      </c>
      <c r="W930" s="376" t="s">
        <v>31</v>
      </c>
      <c r="X930" s="377" t="s">
        <v>30</v>
      </c>
      <c r="Y930" s="377" t="s">
        <v>32</v>
      </c>
      <c r="Z930" s="377" t="s">
        <v>7</v>
      </c>
      <c r="AA930" s="377" t="s">
        <v>33</v>
      </c>
      <c r="AB930" s="460" t="s">
        <v>34</v>
      </c>
    </row>
    <row r="931" spans="1:33" s="457" customFormat="1" ht="18" customHeight="1" x14ac:dyDescent="0.2">
      <c r="A931" s="2687"/>
      <c r="B931" s="366" t="s">
        <v>39</v>
      </c>
      <c r="C931" s="2687"/>
      <c r="D931" s="366" t="s">
        <v>40</v>
      </c>
      <c r="E931" s="366" t="s">
        <v>41</v>
      </c>
      <c r="F931" s="2686" t="s">
        <v>42</v>
      </c>
      <c r="G931" s="2686" t="s">
        <v>43</v>
      </c>
      <c r="H931" s="2688" t="s">
        <v>44</v>
      </c>
      <c r="I931" s="366" t="s">
        <v>45</v>
      </c>
      <c r="J931" s="380" t="s">
        <v>46</v>
      </c>
      <c r="K931" s="380" t="s">
        <v>47</v>
      </c>
      <c r="L931" s="2735"/>
      <c r="M931" s="381" t="s">
        <v>30</v>
      </c>
      <c r="N931" s="381" t="s">
        <v>30</v>
      </c>
      <c r="O931" s="381" t="s">
        <v>25</v>
      </c>
      <c r="P931" s="385" t="s">
        <v>30</v>
      </c>
      <c r="Q931" s="461" t="s">
        <v>48</v>
      </c>
      <c r="R931" s="385" t="s">
        <v>49</v>
      </c>
      <c r="S931" s="385" t="s">
        <v>30</v>
      </c>
      <c r="T931" s="619" t="s">
        <v>50</v>
      </c>
      <c r="U931" s="620" t="s">
        <v>13</v>
      </c>
      <c r="V931" s="375" t="s">
        <v>51</v>
      </c>
      <c r="W931" s="376" t="s">
        <v>52</v>
      </c>
      <c r="X931" s="377" t="s">
        <v>53</v>
      </c>
      <c r="Y931" s="377" t="s">
        <v>54</v>
      </c>
      <c r="Z931" s="377" t="s">
        <v>55</v>
      </c>
      <c r="AA931" s="377" t="s">
        <v>56</v>
      </c>
      <c r="AB931" s="460" t="s">
        <v>57</v>
      </c>
    </row>
    <row r="932" spans="1:33" s="457" customFormat="1" ht="18" customHeight="1" x14ac:dyDescent="0.2">
      <c r="A932" s="2687"/>
      <c r="B932" s="366" t="s">
        <v>61</v>
      </c>
      <c r="C932" s="2687"/>
      <c r="D932" s="366" t="s">
        <v>62</v>
      </c>
      <c r="E932" s="366" t="s">
        <v>63</v>
      </c>
      <c r="F932" s="2687"/>
      <c r="G932" s="2687"/>
      <c r="H932" s="2689"/>
      <c r="I932" s="366" t="s">
        <v>64</v>
      </c>
      <c r="J932" s="380" t="s">
        <v>59</v>
      </c>
      <c r="K932" s="380" t="s">
        <v>59</v>
      </c>
      <c r="L932" s="2735"/>
      <c r="M932" s="381"/>
      <c r="N932" s="381"/>
      <c r="O932" s="381" t="s">
        <v>41</v>
      </c>
      <c r="P932" s="385" t="s">
        <v>65</v>
      </c>
      <c r="Q932" s="461" t="s">
        <v>66</v>
      </c>
      <c r="R932" s="385" t="s">
        <v>67</v>
      </c>
      <c r="S932" s="385" t="s">
        <v>59</v>
      </c>
      <c r="T932" s="621" t="s">
        <v>68</v>
      </c>
      <c r="U932" s="622" t="s">
        <v>14</v>
      </c>
      <c r="V932" s="375" t="s">
        <v>14</v>
      </c>
      <c r="W932" s="376" t="s">
        <v>30</v>
      </c>
      <c r="X932" s="388" t="s">
        <v>69</v>
      </c>
      <c r="Y932" s="388" t="s">
        <v>70</v>
      </c>
      <c r="Z932" s="377" t="s">
        <v>71</v>
      </c>
      <c r="AA932" s="377" t="s">
        <v>72</v>
      </c>
      <c r="AB932" s="460" t="s">
        <v>59</v>
      </c>
    </row>
    <row r="933" spans="1:33" s="457" customFormat="1" ht="18" customHeight="1" x14ac:dyDescent="0.2">
      <c r="A933" s="2692"/>
      <c r="B933" s="390"/>
      <c r="C933" s="2692"/>
      <c r="D933" s="390"/>
      <c r="E933" s="389"/>
      <c r="F933" s="390"/>
      <c r="G933" s="390"/>
      <c r="H933" s="391"/>
      <c r="I933" s="389"/>
      <c r="J933" s="393"/>
      <c r="K933" s="393"/>
      <c r="L933" s="2736"/>
      <c r="M933" s="394"/>
      <c r="N933" s="394"/>
      <c r="O933" s="394" t="s">
        <v>63</v>
      </c>
      <c r="P933" s="394"/>
      <c r="Q933" s="450" t="s">
        <v>72</v>
      </c>
      <c r="R933" s="398" t="s">
        <v>59</v>
      </c>
      <c r="S933" s="398"/>
      <c r="T933" s="623" t="s">
        <v>73</v>
      </c>
      <c r="U933" s="624" t="s">
        <v>59</v>
      </c>
      <c r="V933" s="399" t="s">
        <v>59</v>
      </c>
      <c r="W933" s="400" t="s">
        <v>59</v>
      </c>
      <c r="X933" s="401" t="s">
        <v>59</v>
      </c>
      <c r="Y933" s="401" t="s">
        <v>59</v>
      </c>
      <c r="Z933" s="401" t="s">
        <v>59</v>
      </c>
      <c r="AA933" s="402"/>
      <c r="AB933" s="462"/>
    </row>
    <row r="934" spans="1:33" s="457" customFormat="1" ht="18" customHeight="1" x14ac:dyDescent="0.25">
      <c r="A934" s="981">
        <v>1</v>
      </c>
      <c r="B934" s="975">
        <v>73611</v>
      </c>
      <c r="C934" s="153">
        <v>2203</v>
      </c>
      <c r="D934" s="333" t="s">
        <v>139</v>
      </c>
      <c r="E934" s="333">
        <v>1</v>
      </c>
      <c r="F934" s="63">
        <v>0</v>
      </c>
      <c r="G934" s="63">
        <v>3</v>
      </c>
      <c r="H934" s="259">
        <v>30</v>
      </c>
      <c r="I934" s="123">
        <f>F934*400+G934*100+H934</f>
        <v>330</v>
      </c>
      <c r="J934" s="327">
        <v>280</v>
      </c>
      <c r="K934" s="78">
        <f>SUM(I934*J934)</f>
        <v>92400</v>
      </c>
      <c r="L934" s="254"/>
      <c r="M934" s="240"/>
      <c r="N934" s="254"/>
      <c r="O934" s="254"/>
      <c r="P934" s="335"/>
      <c r="Q934" s="336"/>
      <c r="R934" s="751"/>
      <c r="S934" s="328"/>
      <c r="T934" s="447"/>
      <c r="U934" s="328">
        <v>0</v>
      </c>
      <c r="V934" s="328">
        <v>0</v>
      </c>
      <c r="W934" s="77">
        <f>+K934+V934</f>
        <v>92400</v>
      </c>
      <c r="X934" s="77">
        <f>W934</f>
        <v>92400</v>
      </c>
      <c r="Y934" s="676"/>
      <c r="Z934" s="77">
        <f>+X934</f>
        <v>92400</v>
      </c>
      <c r="AA934" s="464">
        <v>0.3</v>
      </c>
      <c r="AB934" s="465">
        <f>+Z934*AA934/100</f>
        <v>277.2</v>
      </c>
      <c r="AG934" s="1750" t="s">
        <v>455</v>
      </c>
    </row>
    <row r="935" spans="1:33" s="457" customFormat="1" ht="18" customHeight="1" x14ac:dyDescent="0.25">
      <c r="A935" s="287">
        <v>2</v>
      </c>
      <c r="B935" s="87">
        <v>67368</v>
      </c>
      <c r="C935" s="231">
        <v>2010</v>
      </c>
      <c r="D935" s="287" t="s">
        <v>139</v>
      </c>
      <c r="E935" s="287">
        <v>1</v>
      </c>
      <c r="F935" s="270">
        <v>0</v>
      </c>
      <c r="G935" s="58">
        <v>1</v>
      </c>
      <c r="H935" s="270">
        <v>40</v>
      </c>
      <c r="I935" s="123">
        <f>F935*400+G935*100+H935</f>
        <v>140</v>
      </c>
      <c r="J935" s="331">
        <v>280</v>
      </c>
      <c r="K935" s="78">
        <f>SUM(I935*J935)</f>
        <v>39200</v>
      </c>
      <c r="L935" s="287"/>
      <c r="M935" s="287"/>
      <c r="N935" s="287"/>
      <c r="O935" s="287"/>
      <c r="P935" s="326"/>
      <c r="Q935" s="1060"/>
      <c r="R935" s="1061"/>
      <c r="S935" s="331"/>
      <c r="T935" s="1062"/>
      <c r="U935" s="992"/>
      <c r="V935" s="331"/>
      <c r="W935" s="77">
        <f>+K935+V935</f>
        <v>39200</v>
      </c>
      <c r="X935" s="77">
        <f>W935</f>
        <v>39200</v>
      </c>
      <c r="Y935" s="999"/>
      <c r="Z935" s="77">
        <f>+X935</f>
        <v>39200</v>
      </c>
      <c r="AA935" s="703">
        <v>0.3</v>
      </c>
      <c r="AB935" s="465">
        <f>+Z935*AA935/100</f>
        <v>117.6</v>
      </c>
      <c r="AC935" s="851"/>
      <c r="AD935" s="851"/>
      <c r="AE935" s="851"/>
      <c r="AF935" s="851"/>
    </row>
    <row r="936" spans="1:33" s="457" customFormat="1" ht="18" customHeight="1" x14ac:dyDescent="0.2">
      <c r="A936" s="145"/>
      <c r="B936" s="239"/>
      <c r="C936" s="88"/>
      <c r="D936" s="238"/>
      <c r="E936" s="145"/>
      <c r="F936" s="75"/>
      <c r="G936" s="88"/>
      <c r="H936" s="239"/>
      <c r="I936" s="107"/>
      <c r="J936" s="107"/>
      <c r="K936" s="78"/>
      <c r="L936" s="130"/>
      <c r="M936" s="727"/>
      <c r="N936" s="727"/>
      <c r="O936" s="727"/>
      <c r="P936" s="728"/>
      <c r="Q936" s="728"/>
      <c r="R936" s="729"/>
      <c r="S936" s="729"/>
      <c r="T936" s="730"/>
      <c r="U936" s="731"/>
      <c r="V936" s="729"/>
      <c r="W936" s="77"/>
      <c r="X936" s="77"/>
      <c r="Y936" s="676"/>
      <c r="Z936" s="77"/>
      <c r="AA936" s="409"/>
      <c r="AB936" s="466"/>
    </row>
    <row r="937" spans="1:33" s="457" customFormat="1" ht="18" customHeight="1" x14ac:dyDescent="0.2">
      <c r="A937" s="88"/>
      <c r="B937" s="239"/>
      <c r="C937" s="88"/>
      <c r="D937" s="239"/>
      <c r="E937" s="145"/>
      <c r="F937" s="145"/>
      <c r="G937" s="145"/>
      <c r="H937" s="147"/>
      <c r="I937" s="107"/>
      <c r="J937" s="178"/>
      <c r="K937" s="107"/>
      <c r="L937" s="145"/>
      <c r="M937" s="145"/>
      <c r="N937" s="145"/>
      <c r="O937" s="145"/>
      <c r="P937" s="147"/>
      <c r="Q937" s="148"/>
      <c r="R937" s="437"/>
      <c r="S937" s="107"/>
      <c r="T937" s="437"/>
      <c r="U937" s="178"/>
      <c r="V937" s="107"/>
      <c r="W937" s="107"/>
      <c r="X937" s="470"/>
      <c r="Y937" s="470"/>
      <c r="Z937" s="471"/>
      <c r="AA937" s="471"/>
      <c r="AB937" s="466"/>
    </row>
    <row r="938" spans="1:33" s="457" customFormat="1" ht="18" customHeight="1" x14ac:dyDescent="0.2">
      <c r="A938" s="145"/>
      <c r="B938" s="177"/>
      <c r="C938" s="177"/>
      <c r="D938" s="145"/>
      <c r="E938" s="145"/>
      <c r="F938" s="145"/>
      <c r="G938" s="145"/>
      <c r="H938" s="147"/>
      <c r="I938" s="107"/>
      <c r="J938" s="178"/>
      <c r="K938" s="107"/>
      <c r="L938" s="145"/>
      <c r="M938" s="145"/>
      <c r="N938" s="145"/>
      <c r="O938" s="145"/>
      <c r="P938" s="147"/>
      <c r="Q938" s="148"/>
      <c r="R938" s="437"/>
      <c r="S938" s="107"/>
      <c r="T938" s="437"/>
      <c r="U938" s="178"/>
      <c r="V938" s="107"/>
      <c r="W938" s="107"/>
      <c r="X938" s="470"/>
      <c r="Y938" s="470"/>
      <c r="Z938" s="471"/>
      <c r="AA938" s="471"/>
      <c r="AB938" s="466"/>
    </row>
    <row r="939" spans="1:33" s="457" customFormat="1" ht="18" customHeight="1" x14ac:dyDescent="0.2">
      <c r="A939" s="145"/>
      <c r="B939" s="177"/>
      <c r="C939" s="177"/>
      <c r="D939" s="145"/>
      <c r="E939" s="145"/>
      <c r="F939" s="145"/>
      <c r="G939" s="145"/>
      <c r="H939" s="147"/>
      <c r="I939" s="107"/>
      <c r="J939" s="178"/>
      <c r="K939" s="107"/>
      <c r="L939" s="145"/>
      <c r="M939" s="145"/>
      <c r="N939" s="145"/>
      <c r="O939" s="145"/>
      <c r="P939" s="147"/>
      <c r="Q939" s="148"/>
      <c r="R939" s="437"/>
      <c r="S939" s="107"/>
      <c r="T939" s="437"/>
      <c r="U939" s="178"/>
      <c r="V939" s="107"/>
      <c r="W939" s="107"/>
      <c r="X939" s="470"/>
      <c r="Y939" s="470"/>
      <c r="Z939" s="471"/>
      <c r="AA939" s="471"/>
      <c r="AB939" s="466"/>
    </row>
    <row r="940" spans="1:33" s="457" customFormat="1" ht="18" customHeight="1" x14ac:dyDescent="0.2">
      <c r="A940" s="145"/>
      <c r="B940" s="177"/>
      <c r="C940" s="177"/>
      <c r="D940" s="145"/>
      <c r="E940" s="145"/>
      <c r="F940" s="145"/>
      <c r="G940" s="145"/>
      <c r="H940" s="147"/>
      <c r="I940" s="107"/>
      <c r="J940" s="178"/>
      <c r="K940" s="107"/>
      <c r="L940" s="145"/>
      <c r="M940" s="145"/>
      <c r="N940" s="145"/>
      <c r="O940" s="145"/>
      <c r="P940" s="147"/>
      <c r="Q940" s="148"/>
      <c r="R940" s="437"/>
      <c r="S940" s="107"/>
      <c r="T940" s="437"/>
      <c r="U940" s="178"/>
      <c r="V940" s="107"/>
      <c r="W940" s="107"/>
      <c r="X940" s="470"/>
      <c r="Y940" s="470"/>
      <c r="Z940" s="471"/>
      <c r="AA940" s="471"/>
      <c r="AB940" s="466"/>
    </row>
    <row r="941" spans="1:33" s="457" customFormat="1" ht="18" customHeight="1" x14ac:dyDescent="0.2">
      <c r="A941" s="145"/>
      <c r="B941" s="177"/>
      <c r="C941" s="177"/>
      <c r="D941" s="145"/>
      <c r="E941" s="145"/>
      <c r="F941" s="145"/>
      <c r="G941" s="145"/>
      <c r="H941" s="147"/>
      <c r="I941" s="107"/>
      <c r="J941" s="178"/>
      <c r="K941" s="107"/>
      <c r="L941" s="145"/>
      <c r="M941" s="145"/>
      <c r="N941" s="145"/>
      <c r="O941" s="145"/>
      <c r="P941" s="147"/>
      <c r="Q941" s="148"/>
      <c r="R941" s="437"/>
      <c r="S941" s="107"/>
      <c r="T941" s="437"/>
      <c r="U941" s="178"/>
      <c r="V941" s="107"/>
      <c r="W941" s="107"/>
      <c r="X941" s="470"/>
      <c r="Y941" s="470"/>
      <c r="Z941" s="471"/>
      <c r="AA941" s="471"/>
      <c r="AB941" s="466"/>
    </row>
    <row r="942" spans="1:33" s="457" customFormat="1" ht="18" customHeight="1" x14ac:dyDescent="0.2">
      <c r="A942" s="145"/>
      <c r="B942" s="177"/>
      <c r="C942" s="177"/>
      <c r="D942" s="145"/>
      <c r="E942" s="145"/>
      <c r="F942" s="145"/>
      <c r="G942" s="145"/>
      <c r="H942" s="147"/>
      <c r="I942" s="107"/>
      <c r="J942" s="178"/>
      <c r="K942" s="107"/>
      <c r="L942" s="145"/>
      <c r="M942" s="145"/>
      <c r="N942" s="145"/>
      <c r="O942" s="145"/>
      <c r="P942" s="147"/>
      <c r="Q942" s="148"/>
      <c r="R942" s="437"/>
      <c r="S942" s="107"/>
      <c r="T942" s="437"/>
      <c r="U942" s="178"/>
      <c r="V942" s="107"/>
      <c r="W942" s="107"/>
      <c r="X942" s="470"/>
      <c r="Y942" s="470"/>
      <c r="Z942" s="471"/>
      <c r="AA942" s="471"/>
      <c r="AB942" s="466"/>
    </row>
    <row r="943" spans="1:33" s="457" customFormat="1" ht="18" customHeight="1" x14ac:dyDescent="0.2">
      <c r="A943" s="145"/>
      <c r="B943" s="177"/>
      <c r="C943" s="177"/>
      <c r="D943" s="145"/>
      <c r="E943" s="145"/>
      <c r="F943" s="145"/>
      <c r="G943" s="145"/>
      <c r="H943" s="147"/>
      <c r="I943" s="107"/>
      <c r="J943" s="178"/>
      <c r="K943" s="107"/>
      <c r="L943" s="145"/>
      <c r="M943" s="145"/>
      <c r="N943" s="145"/>
      <c r="O943" s="145"/>
      <c r="P943" s="147"/>
      <c r="Q943" s="148"/>
      <c r="R943" s="437"/>
      <c r="S943" s="107"/>
      <c r="T943" s="437"/>
      <c r="U943" s="178"/>
      <c r="V943" s="107"/>
      <c r="W943" s="107"/>
      <c r="X943" s="470"/>
      <c r="Y943" s="470"/>
      <c r="Z943" s="471"/>
      <c r="AA943" s="471"/>
      <c r="AB943" s="466"/>
    </row>
    <row r="944" spans="1:33" s="457" customFormat="1" ht="18" customHeight="1" x14ac:dyDescent="0.2">
      <c r="A944" s="145"/>
      <c r="B944" s="177"/>
      <c r="C944" s="177"/>
      <c r="D944" s="145"/>
      <c r="E944" s="145"/>
      <c r="F944" s="145"/>
      <c r="G944" s="145"/>
      <c r="H944" s="147"/>
      <c r="I944" s="107"/>
      <c r="J944" s="178"/>
      <c r="K944" s="107"/>
      <c r="L944" s="145"/>
      <c r="M944" s="145"/>
      <c r="N944" s="145"/>
      <c r="O944" s="145"/>
      <c r="P944" s="147"/>
      <c r="Q944" s="148"/>
      <c r="R944" s="437"/>
      <c r="S944" s="107"/>
      <c r="T944" s="437"/>
      <c r="U944" s="178"/>
      <c r="V944" s="107"/>
      <c r="W944" s="107"/>
      <c r="X944" s="470"/>
      <c r="Y944" s="470"/>
      <c r="Z944" s="471"/>
      <c r="AA944" s="471"/>
      <c r="AB944" s="466"/>
    </row>
    <row r="945" spans="1:28" s="457" customFormat="1" ht="18" customHeight="1" x14ac:dyDescent="0.2">
      <c r="A945" s="145"/>
      <c r="B945" s="177"/>
      <c r="C945" s="177"/>
      <c r="D945" s="145"/>
      <c r="E945" s="145"/>
      <c r="F945" s="145"/>
      <c r="G945" s="145"/>
      <c r="H945" s="147"/>
      <c r="I945" s="107"/>
      <c r="J945" s="178"/>
      <c r="K945" s="107"/>
      <c r="L945" s="145"/>
      <c r="M945" s="145"/>
      <c r="N945" s="145"/>
      <c r="O945" s="145"/>
      <c r="P945" s="147"/>
      <c r="Q945" s="148"/>
      <c r="R945" s="437"/>
      <c r="S945" s="107"/>
      <c r="T945" s="437"/>
      <c r="U945" s="178"/>
      <c r="V945" s="107"/>
      <c r="W945" s="107"/>
      <c r="X945" s="470"/>
      <c r="Y945" s="470"/>
      <c r="Z945" s="471"/>
      <c r="AA945" s="471"/>
      <c r="AB945" s="466"/>
    </row>
    <row r="946" spans="1:28" s="457" customFormat="1" ht="18" customHeight="1" x14ac:dyDescent="0.2">
      <c r="A946" s="145"/>
      <c r="B946" s="177"/>
      <c r="C946" s="177"/>
      <c r="D946" s="145"/>
      <c r="E946" s="145"/>
      <c r="F946" s="145"/>
      <c r="G946" s="145"/>
      <c r="H946" s="147"/>
      <c r="I946" s="107"/>
      <c r="J946" s="178"/>
      <c r="K946" s="107"/>
      <c r="L946" s="145"/>
      <c r="M946" s="145"/>
      <c r="N946" s="145"/>
      <c r="O946" s="145"/>
      <c r="P946" s="147"/>
      <c r="Q946" s="148"/>
      <c r="R946" s="437"/>
      <c r="S946" s="107"/>
      <c r="T946" s="437"/>
      <c r="U946" s="178"/>
      <c r="V946" s="107"/>
      <c r="W946" s="107"/>
      <c r="X946" s="470"/>
      <c r="Y946" s="470"/>
      <c r="Z946" s="471"/>
      <c r="AA946" s="471"/>
      <c r="AB946" s="466"/>
    </row>
    <row r="947" spans="1:28" s="457" customFormat="1" ht="18" customHeight="1" x14ac:dyDescent="0.2">
      <c r="A947" s="145"/>
      <c r="B947" s="177"/>
      <c r="C947" s="177"/>
      <c r="D947" s="145"/>
      <c r="E947" s="145"/>
      <c r="F947" s="145"/>
      <c r="G947" s="145"/>
      <c r="H947" s="147"/>
      <c r="I947" s="107"/>
      <c r="J947" s="178"/>
      <c r="K947" s="107"/>
      <c r="L947" s="145"/>
      <c r="M947" s="145"/>
      <c r="N947" s="145"/>
      <c r="O947" s="145"/>
      <c r="P947" s="147"/>
      <c r="Q947" s="148"/>
      <c r="R947" s="437"/>
      <c r="S947" s="107"/>
      <c r="T947" s="437"/>
      <c r="U947" s="178"/>
      <c r="V947" s="107"/>
      <c r="W947" s="107"/>
      <c r="X947" s="470"/>
      <c r="Y947" s="470"/>
      <c r="Z947" s="471"/>
      <c r="AA947" s="471"/>
      <c r="AB947" s="466"/>
    </row>
    <row r="948" spans="1:28" s="457" customFormat="1" ht="18" customHeight="1" x14ac:dyDescent="0.2">
      <c r="A948" s="145"/>
      <c r="B948" s="177"/>
      <c r="C948" s="177"/>
      <c r="D948" s="145"/>
      <c r="E948" s="145"/>
      <c r="F948" s="145"/>
      <c r="G948" s="145"/>
      <c r="H948" s="147"/>
      <c r="I948" s="107"/>
      <c r="J948" s="178"/>
      <c r="K948" s="107"/>
      <c r="L948" s="145"/>
      <c r="M948" s="145"/>
      <c r="N948" s="145"/>
      <c r="O948" s="145"/>
      <c r="P948" s="147"/>
      <c r="Q948" s="148"/>
      <c r="R948" s="437"/>
      <c r="S948" s="107"/>
      <c r="T948" s="437"/>
      <c r="U948" s="178"/>
      <c r="V948" s="107"/>
      <c r="W948" s="107"/>
      <c r="X948" s="470"/>
      <c r="Y948" s="470"/>
      <c r="Z948" s="471"/>
      <c r="AA948" s="471"/>
      <c r="AB948" s="466"/>
    </row>
    <row r="949" spans="1:28" s="457" customFormat="1" ht="18" customHeight="1" x14ac:dyDescent="0.2">
      <c r="A949" s="145"/>
      <c r="B949" s="177"/>
      <c r="C949" s="177"/>
      <c r="D949" s="145"/>
      <c r="E949" s="145"/>
      <c r="F949" s="145"/>
      <c r="G949" s="145"/>
      <c r="H949" s="147"/>
      <c r="I949" s="107"/>
      <c r="J949" s="178"/>
      <c r="K949" s="107"/>
      <c r="L949" s="145"/>
      <c r="M949" s="145"/>
      <c r="N949" s="145"/>
      <c r="O949" s="145"/>
      <c r="P949" s="147"/>
      <c r="Q949" s="148"/>
      <c r="R949" s="437"/>
      <c r="S949" s="107"/>
      <c r="T949" s="437"/>
      <c r="U949" s="178"/>
      <c r="V949" s="107"/>
      <c r="W949" s="107"/>
      <c r="X949" s="470"/>
      <c r="Y949" s="470"/>
      <c r="Z949" s="471"/>
      <c r="AA949" s="471"/>
      <c r="AB949" s="466"/>
    </row>
    <row r="950" spans="1:28" s="457" customFormat="1" ht="18" customHeight="1" x14ac:dyDescent="0.2">
      <c r="A950" s="145"/>
      <c r="B950" s="177"/>
      <c r="C950" s="177"/>
      <c r="D950" s="145"/>
      <c r="E950" s="145"/>
      <c r="F950" s="145"/>
      <c r="G950" s="145"/>
      <c r="H950" s="147"/>
      <c r="I950" s="107"/>
      <c r="J950" s="178"/>
      <c r="K950" s="107"/>
      <c r="L950" s="145"/>
      <c r="M950" s="145"/>
      <c r="N950" s="145"/>
      <c r="O950" s="145"/>
      <c r="P950" s="147"/>
      <c r="Q950" s="148"/>
      <c r="R950" s="437"/>
      <c r="S950" s="107"/>
      <c r="T950" s="437"/>
      <c r="U950" s="178"/>
      <c r="V950" s="107"/>
      <c r="W950" s="107"/>
      <c r="X950" s="470"/>
      <c r="Y950" s="470"/>
      <c r="Z950" s="471"/>
      <c r="AA950" s="471"/>
      <c r="AB950" s="466"/>
    </row>
    <row r="951" spans="1:28" s="457" customFormat="1" ht="18" customHeight="1" x14ac:dyDescent="0.2">
      <c r="A951" s="145"/>
      <c r="B951" s="177"/>
      <c r="C951" s="177"/>
      <c r="D951" s="145"/>
      <c r="E951" s="145"/>
      <c r="F951" s="145"/>
      <c r="G951" s="145"/>
      <c r="H951" s="147"/>
      <c r="I951" s="107"/>
      <c r="J951" s="178"/>
      <c r="K951" s="107"/>
      <c r="L951" s="145"/>
      <c r="M951" s="145"/>
      <c r="N951" s="145"/>
      <c r="O951" s="145"/>
      <c r="P951" s="147"/>
      <c r="Q951" s="148"/>
      <c r="R951" s="437"/>
      <c r="S951" s="107"/>
      <c r="T951" s="437"/>
      <c r="U951" s="178"/>
      <c r="V951" s="107"/>
      <c r="W951" s="107"/>
      <c r="X951" s="470"/>
      <c r="Y951" s="470"/>
      <c r="Z951" s="471"/>
      <c r="AA951" s="471"/>
      <c r="AB951" s="466"/>
    </row>
    <row r="952" spans="1:28" s="597" customFormat="1" ht="18" customHeight="1" x14ac:dyDescent="0.2">
      <c r="A952" s="1850"/>
      <c r="B952" s="1850"/>
      <c r="C952" s="1850"/>
      <c r="D952" s="1850"/>
      <c r="E952" s="1850"/>
      <c r="F952" s="1850"/>
      <c r="G952" s="1850"/>
      <c r="H952" s="1851"/>
      <c r="I952" s="1852"/>
      <c r="J952" s="1853"/>
      <c r="K952" s="1852"/>
      <c r="L952" s="1852"/>
      <c r="M952" s="1852"/>
      <c r="N952" s="1852"/>
      <c r="O952" s="1852"/>
      <c r="P952" s="1852"/>
      <c r="Q952" s="1852"/>
      <c r="R952" s="1854"/>
      <c r="S952" s="1852"/>
      <c r="T952" s="1854"/>
      <c r="U952" s="1853"/>
      <c r="V952" s="1852"/>
      <c r="W952" s="1852"/>
      <c r="X952" s="1856"/>
      <c r="Y952" s="1856"/>
      <c r="Z952" s="1857"/>
      <c r="AA952" s="1857"/>
      <c r="AB952" s="1847">
        <f>SUM(AB934:AB951)</f>
        <v>394.79999999999995</v>
      </c>
    </row>
    <row r="953" spans="1:28" s="457" customFormat="1" ht="18" customHeight="1" x14ac:dyDescent="0.2">
      <c r="A953" s="2737" t="s">
        <v>76</v>
      </c>
      <c r="B953" s="2737"/>
      <c r="C953" s="2738" t="s">
        <v>77</v>
      </c>
      <c r="D953" s="2738"/>
      <c r="E953" s="2738"/>
      <c r="F953" s="2738"/>
      <c r="G953" s="2738"/>
      <c r="H953" s="2738"/>
      <c r="I953" s="457" t="s">
        <v>78</v>
      </c>
      <c r="T953" s="651"/>
      <c r="U953" s="478"/>
      <c r="W953" s="457" t="s">
        <v>287</v>
      </c>
      <c r="AB953" s="478"/>
    </row>
    <row r="954" spans="1:28" s="457" customFormat="1" ht="18" customHeight="1" x14ac:dyDescent="0.2">
      <c r="A954" s="448"/>
      <c r="B954" s="479"/>
      <c r="I954" s="457" t="s">
        <v>79</v>
      </c>
      <c r="T954" s="651"/>
      <c r="U954" s="478"/>
      <c r="AB954" s="478"/>
    </row>
    <row r="955" spans="1:28" s="457" customFormat="1" ht="18" customHeight="1" x14ac:dyDescent="0.2">
      <c r="A955" s="448"/>
      <c r="B955" s="479"/>
      <c r="I955" s="457" t="s">
        <v>80</v>
      </c>
      <c r="T955" s="651"/>
      <c r="U955" s="478"/>
      <c r="AB955" s="478"/>
    </row>
    <row r="956" spans="1:28" s="457" customFormat="1" ht="18" customHeight="1" x14ac:dyDescent="0.2">
      <c r="A956" s="448"/>
      <c r="B956" s="479"/>
      <c r="I956" s="457" t="s">
        <v>81</v>
      </c>
      <c r="T956" s="651"/>
      <c r="U956" s="478"/>
      <c r="AB956" s="478"/>
    </row>
    <row r="957" spans="1:28" s="457" customFormat="1" ht="18" customHeight="1" x14ac:dyDescent="0.2">
      <c r="A957" s="448"/>
      <c r="B957" s="479"/>
      <c r="I957" s="457" t="s">
        <v>88</v>
      </c>
      <c r="T957" s="651"/>
      <c r="U957" s="478"/>
      <c r="AB957" s="478"/>
    </row>
    <row r="958" spans="1:28" s="457" customFormat="1" ht="18" customHeight="1" x14ac:dyDescent="0.2">
      <c r="A958" s="456"/>
      <c r="B958" s="455"/>
      <c r="C958" s="455"/>
      <c r="D958" s="455"/>
      <c r="E958" s="455"/>
      <c r="F958" s="455"/>
      <c r="G958" s="455"/>
      <c r="H958" s="455"/>
      <c r="I958" s="455"/>
      <c r="J958" s="455"/>
      <c r="K958" s="455"/>
      <c r="L958" s="455"/>
      <c r="M958" s="455"/>
      <c r="N958" s="455"/>
      <c r="O958" s="455"/>
      <c r="P958" s="455"/>
      <c r="Q958" s="455"/>
      <c r="R958" s="455"/>
      <c r="S958" s="455"/>
      <c r="T958" s="608"/>
      <c r="U958" s="609"/>
      <c r="V958" s="455"/>
      <c r="W958" s="455"/>
      <c r="X958" s="455"/>
      <c r="Y958" s="455"/>
      <c r="Z958" s="455"/>
      <c r="AA958" s="2705" t="s">
        <v>0</v>
      </c>
      <c r="AB958" s="2705"/>
    </row>
    <row r="959" spans="1:28" s="457" customFormat="1" ht="18" customHeight="1" x14ac:dyDescent="0.2">
      <c r="A959" s="2706" t="s">
        <v>1</v>
      </c>
      <c r="B959" s="2706"/>
      <c r="C959" s="2706"/>
      <c r="D959" s="2706"/>
      <c r="E959" s="2706"/>
      <c r="F959" s="2706"/>
      <c r="G959" s="2706"/>
      <c r="H959" s="2706"/>
      <c r="I959" s="2706"/>
      <c r="J959" s="2706"/>
      <c r="K959" s="2706"/>
      <c r="L959" s="2706"/>
      <c r="M959" s="2706"/>
      <c r="N959" s="2706"/>
      <c r="O959" s="2706"/>
      <c r="P959" s="2706"/>
      <c r="Q959" s="2706"/>
      <c r="R959" s="2706"/>
      <c r="S959" s="2706"/>
      <c r="T959" s="2706"/>
      <c r="U959" s="2706"/>
      <c r="V959" s="2706"/>
      <c r="W959" s="2706"/>
      <c r="X959" s="2706"/>
      <c r="Y959" s="2706"/>
      <c r="Z959" s="2706"/>
      <c r="AA959" s="2706"/>
      <c r="AB959" s="2706"/>
    </row>
    <row r="960" spans="1:28" s="457" customFormat="1" ht="18" customHeight="1" x14ac:dyDescent="0.2">
      <c r="A960" s="2704" t="s">
        <v>344</v>
      </c>
      <c r="B960" s="2704"/>
      <c r="C960" s="2704"/>
      <c r="D960" s="2704"/>
      <c r="E960" s="2704"/>
      <c r="F960" s="2704"/>
      <c r="G960" s="2704"/>
      <c r="H960" s="2704"/>
      <c r="I960" s="2704"/>
      <c r="J960" s="2704"/>
      <c r="K960" s="2704"/>
      <c r="L960" s="2704"/>
      <c r="M960" s="2704"/>
      <c r="N960" s="2704"/>
      <c r="O960" s="2704"/>
      <c r="P960" s="2704"/>
      <c r="Q960" s="2704"/>
      <c r="R960" s="2704"/>
      <c r="S960" s="2704"/>
      <c r="T960" s="2704"/>
      <c r="U960" s="2704"/>
      <c r="V960" s="2704"/>
      <c r="W960" s="2704"/>
      <c r="X960" s="2704"/>
      <c r="Y960" s="2704"/>
      <c r="Z960" s="2704"/>
      <c r="AA960" s="2704"/>
      <c r="AB960" s="2704"/>
    </row>
    <row r="961" spans="1:32" s="457" customFormat="1" ht="18" customHeight="1" x14ac:dyDescent="0.2">
      <c r="A961" s="2686" t="s">
        <v>2</v>
      </c>
      <c r="B961" s="360"/>
      <c r="C961" s="2686" t="s">
        <v>3</v>
      </c>
      <c r="D961" s="360"/>
      <c r="E961" s="360"/>
      <c r="F961" s="2693" t="s">
        <v>4</v>
      </c>
      <c r="G961" s="2693"/>
      <c r="H961" s="2693"/>
      <c r="I961" s="2694"/>
      <c r="J961" s="2694"/>
      <c r="K961" s="2695"/>
      <c r="L961" s="361"/>
      <c r="M961" s="2679" t="s">
        <v>5</v>
      </c>
      <c r="N961" s="2679"/>
      <c r="O961" s="2679"/>
      <c r="P961" s="2679"/>
      <c r="Q961" s="2696"/>
      <c r="R961" s="2696"/>
      <c r="S961" s="2696"/>
      <c r="T961" s="2696"/>
      <c r="U961" s="2696"/>
      <c r="V961" s="2697"/>
      <c r="W961" s="362" t="s">
        <v>6</v>
      </c>
      <c r="X961" s="363" t="s">
        <v>7</v>
      </c>
      <c r="Y961" s="364"/>
      <c r="Z961" s="364"/>
      <c r="AA961" s="363"/>
      <c r="AB961" s="458"/>
    </row>
    <row r="962" spans="1:32" s="457" customFormat="1" ht="18" customHeight="1" x14ac:dyDescent="0.2">
      <c r="A962" s="2687"/>
      <c r="B962" s="367"/>
      <c r="C962" s="2687"/>
      <c r="D962" s="366" t="s">
        <v>9</v>
      </c>
      <c r="E962" s="366" t="s">
        <v>10</v>
      </c>
      <c r="F962" s="2698" t="s">
        <v>11</v>
      </c>
      <c r="G962" s="2694"/>
      <c r="H962" s="2695"/>
      <c r="I962" s="360"/>
      <c r="J962" s="449" t="s">
        <v>12</v>
      </c>
      <c r="K962" s="360"/>
      <c r="L962" s="2734" t="s">
        <v>2</v>
      </c>
      <c r="M962" s="370"/>
      <c r="N962" s="370"/>
      <c r="O962" s="370"/>
      <c r="P962" s="371"/>
      <c r="Q962" s="459" t="s">
        <v>13</v>
      </c>
      <c r="R962" s="370" t="s">
        <v>12</v>
      </c>
      <c r="S962" s="370" t="s">
        <v>6</v>
      </c>
      <c r="T962" s="2682" t="s">
        <v>14</v>
      </c>
      <c r="U962" s="2683"/>
      <c r="V962" s="375" t="s">
        <v>7</v>
      </c>
      <c r="W962" s="376" t="s">
        <v>15</v>
      </c>
      <c r="X962" s="377" t="s">
        <v>16</v>
      </c>
      <c r="Y962" s="377" t="s">
        <v>17</v>
      </c>
      <c r="Z962" s="377" t="s">
        <v>18</v>
      </c>
      <c r="AA962" s="377"/>
      <c r="AB962" s="460" t="s">
        <v>19</v>
      </c>
    </row>
    <row r="963" spans="1:32" s="457" customFormat="1" ht="18" customHeight="1" x14ac:dyDescent="0.2">
      <c r="A963" s="2687"/>
      <c r="B963" s="366" t="s">
        <v>23</v>
      </c>
      <c r="C963" s="2687"/>
      <c r="D963" s="366" t="s">
        <v>24</v>
      </c>
      <c r="E963" s="366" t="s">
        <v>25</v>
      </c>
      <c r="F963" s="2699"/>
      <c r="G963" s="2700"/>
      <c r="H963" s="2701"/>
      <c r="I963" s="366" t="s">
        <v>26</v>
      </c>
      <c r="J963" s="380" t="s">
        <v>15</v>
      </c>
      <c r="K963" s="380" t="s">
        <v>6</v>
      </c>
      <c r="L963" s="2735"/>
      <c r="M963" s="381" t="s">
        <v>27</v>
      </c>
      <c r="N963" s="381" t="s">
        <v>10</v>
      </c>
      <c r="O963" s="381" t="s">
        <v>10</v>
      </c>
      <c r="P963" s="385" t="s">
        <v>28</v>
      </c>
      <c r="Q963" s="461" t="s">
        <v>29</v>
      </c>
      <c r="R963" s="385" t="s">
        <v>15</v>
      </c>
      <c r="S963" s="385" t="s">
        <v>15</v>
      </c>
      <c r="T963" s="2684"/>
      <c r="U963" s="2685"/>
      <c r="V963" s="375" t="s">
        <v>30</v>
      </c>
      <c r="W963" s="376" t="s">
        <v>31</v>
      </c>
      <c r="X963" s="377" t="s">
        <v>30</v>
      </c>
      <c r="Y963" s="377" t="s">
        <v>32</v>
      </c>
      <c r="Z963" s="377" t="s">
        <v>7</v>
      </c>
      <c r="AA963" s="377" t="s">
        <v>33</v>
      </c>
      <c r="AB963" s="460" t="s">
        <v>34</v>
      </c>
    </row>
    <row r="964" spans="1:32" s="457" customFormat="1" ht="18" customHeight="1" x14ac:dyDescent="0.2">
      <c r="A964" s="2687"/>
      <c r="B964" s="366" t="s">
        <v>39</v>
      </c>
      <c r="C964" s="2687"/>
      <c r="D964" s="366" t="s">
        <v>40</v>
      </c>
      <c r="E964" s="366" t="s">
        <v>41</v>
      </c>
      <c r="F964" s="2686" t="s">
        <v>42</v>
      </c>
      <c r="G964" s="2686" t="s">
        <v>43</v>
      </c>
      <c r="H964" s="2688" t="s">
        <v>44</v>
      </c>
      <c r="I964" s="366" t="s">
        <v>45</v>
      </c>
      <c r="J964" s="380" t="s">
        <v>46</v>
      </c>
      <c r="K964" s="380" t="s">
        <v>47</v>
      </c>
      <c r="L964" s="2735"/>
      <c r="M964" s="381" t="s">
        <v>30</v>
      </c>
      <c r="N964" s="381" t="s">
        <v>30</v>
      </c>
      <c r="O964" s="381" t="s">
        <v>25</v>
      </c>
      <c r="P964" s="385" t="s">
        <v>30</v>
      </c>
      <c r="Q964" s="461" t="s">
        <v>48</v>
      </c>
      <c r="R964" s="385" t="s">
        <v>49</v>
      </c>
      <c r="S964" s="385" t="s">
        <v>30</v>
      </c>
      <c r="T964" s="619" t="s">
        <v>50</v>
      </c>
      <c r="U964" s="620" t="s">
        <v>13</v>
      </c>
      <c r="V964" s="375" t="s">
        <v>51</v>
      </c>
      <c r="W964" s="376" t="s">
        <v>52</v>
      </c>
      <c r="X964" s="377" t="s">
        <v>53</v>
      </c>
      <c r="Y964" s="377" t="s">
        <v>54</v>
      </c>
      <c r="Z964" s="377" t="s">
        <v>55</v>
      </c>
      <c r="AA964" s="377" t="s">
        <v>56</v>
      </c>
      <c r="AB964" s="460" t="s">
        <v>57</v>
      </c>
    </row>
    <row r="965" spans="1:32" s="457" customFormat="1" ht="18" customHeight="1" x14ac:dyDescent="0.2">
      <c r="A965" s="2687"/>
      <c r="B965" s="366" t="s">
        <v>61</v>
      </c>
      <c r="C965" s="2687"/>
      <c r="D965" s="366" t="s">
        <v>62</v>
      </c>
      <c r="E965" s="366" t="s">
        <v>63</v>
      </c>
      <c r="F965" s="2687"/>
      <c r="G965" s="2687"/>
      <c r="H965" s="2689"/>
      <c r="I965" s="366" t="s">
        <v>64</v>
      </c>
      <c r="J965" s="380" t="s">
        <v>59</v>
      </c>
      <c r="K965" s="380" t="s">
        <v>59</v>
      </c>
      <c r="L965" s="2735"/>
      <c r="M965" s="381"/>
      <c r="N965" s="381"/>
      <c r="O965" s="381" t="s">
        <v>41</v>
      </c>
      <c r="P965" s="385" t="s">
        <v>65</v>
      </c>
      <c r="Q965" s="461" t="s">
        <v>66</v>
      </c>
      <c r="R965" s="385" t="s">
        <v>67</v>
      </c>
      <c r="S965" s="385" t="s">
        <v>59</v>
      </c>
      <c r="T965" s="621" t="s">
        <v>68</v>
      </c>
      <c r="U965" s="622" t="s">
        <v>14</v>
      </c>
      <c r="V965" s="375" t="s">
        <v>14</v>
      </c>
      <c r="W965" s="376" t="s">
        <v>30</v>
      </c>
      <c r="X965" s="388" t="s">
        <v>69</v>
      </c>
      <c r="Y965" s="388" t="s">
        <v>70</v>
      </c>
      <c r="Z965" s="377" t="s">
        <v>71</v>
      </c>
      <c r="AA965" s="377" t="s">
        <v>72</v>
      </c>
      <c r="AB965" s="460" t="s">
        <v>59</v>
      </c>
    </row>
    <row r="966" spans="1:32" s="457" customFormat="1" ht="18" customHeight="1" x14ac:dyDescent="0.2">
      <c r="A966" s="2692"/>
      <c r="B966" s="390"/>
      <c r="C966" s="2692"/>
      <c r="D966" s="390"/>
      <c r="E966" s="389"/>
      <c r="F966" s="390"/>
      <c r="G966" s="390"/>
      <c r="H966" s="391"/>
      <c r="I966" s="389"/>
      <c r="J966" s="393"/>
      <c r="K966" s="393"/>
      <c r="L966" s="2736"/>
      <c r="M966" s="394"/>
      <c r="N966" s="394"/>
      <c r="O966" s="394" t="s">
        <v>63</v>
      </c>
      <c r="P966" s="394"/>
      <c r="Q966" s="450" t="s">
        <v>72</v>
      </c>
      <c r="R966" s="398" t="s">
        <v>59</v>
      </c>
      <c r="S966" s="398"/>
      <c r="T966" s="623" t="s">
        <v>73</v>
      </c>
      <c r="U966" s="624" t="s">
        <v>59</v>
      </c>
      <c r="V966" s="399" t="s">
        <v>59</v>
      </c>
      <c r="W966" s="400" t="s">
        <v>59</v>
      </c>
      <c r="X966" s="401" t="s">
        <v>59</v>
      </c>
      <c r="Y966" s="401" t="s">
        <v>59</v>
      </c>
      <c r="Z966" s="401" t="s">
        <v>59</v>
      </c>
      <c r="AA966" s="402"/>
      <c r="AB966" s="462"/>
    </row>
    <row r="967" spans="1:32" s="457" customFormat="1" ht="18" customHeight="1" x14ac:dyDescent="0.25">
      <c r="A967" s="981">
        <v>1</v>
      </c>
      <c r="B967" s="1633">
        <v>31158</v>
      </c>
      <c r="C967" s="259">
        <v>899</v>
      </c>
      <c r="D967" s="333" t="s">
        <v>139</v>
      </c>
      <c r="E967" s="333">
        <v>4</v>
      </c>
      <c r="F967" s="1710">
        <v>0</v>
      </c>
      <c r="G967" s="1711">
        <v>0</v>
      </c>
      <c r="H967" s="1711">
        <v>2</v>
      </c>
      <c r="I967" s="123">
        <f>F967*400+G967*100+H967</f>
        <v>2</v>
      </c>
      <c r="J967" s="1690">
        <v>1600</v>
      </c>
      <c r="K967" s="327">
        <f>J967*I967</f>
        <v>3200</v>
      </c>
      <c r="L967" s="254"/>
      <c r="M967" s="240"/>
      <c r="N967" s="254"/>
      <c r="O967" s="254"/>
      <c r="P967" s="335"/>
      <c r="Q967" s="336"/>
      <c r="R967" s="751"/>
      <c r="S967" s="328"/>
      <c r="T967" s="447"/>
      <c r="U967" s="328">
        <v>0</v>
      </c>
      <c r="V967" s="328">
        <v>0</v>
      </c>
      <c r="W967" s="328">
        <f>K967</f>
        <v>3200</v>
      </c>
      <c r="X967" s="328">
        <f>W967</f>
        <v>3200</v>
      </c>
      <c r="Y967" s="752"/>
      <c r="Z967" s="327">
        <f>X967</f>
        <v>3200</v>
      </c>
      <c r="AA967" s="753">
        <v>0.3</v>
      </c>
      <c r="AB967" s="465">
        <f>+Z967*AA967/100</f>
        <v>9.6</v>
      </c>
      <c r="AC967" s="850"/>
      <c r="AD967" s="850"/>
      <c r="AE967" s="850"/>
      <c r="AF967" s="850"/>
    </row>
    <row r="968" spans="1:32" s="457" customFormat="1" ht="18" customHeight="1" x14ac:dyDescent="0.25">
      <c r="A968" s="287">
        <v>2</v>
      </c>
      <c r="B968" s="288">
        <v>31167</v>
      </c>
      <c r="C968" s="270">
        <v>884</v>
      </c>
      <c r="D968" s="287" t="s">
        <v>139</v>
      </c>
      <c r="E968" s="287">
        <v>4</v>
      </c>
      <c r="F968" s="1712">
        <v>0</v>
      </c>
      <c r="G968" s="1713">
        <v>1</v>
      </c>
      <c r="H968" s="1713">
        <v>39</v>
      </c>
      <c r="I968" s="123">
        <f>F968*400+G968*100+H968</f>
        <v>139</v>
      </c>
      <c r="J968" s="1714">
        <v>1600</v>
      </c>
      <c r="K968" s="324">
        <f>J968*I968</f>
        <v>222400</v>
      </c>
      <c r="L968" s="287"/>
      <c r="M968" s="287"/>
      <c r="N968" s="287"/>
      <c r="O968" s="287"/>
      <c r="P968" s="326"/>
      <c r="Q968" s="1060"/>
      <c r="R968" s="1061"/>
      <c r="S968" s="331"/>
      <c r="T968" s="1062"/>
      <c r="U968" s="992"/>
      <c r="V968" s="331"/>
      <c r="W968" s="331">
        <f>K968</f>
        <v>222400</v>
      </c>
      <c r="X968" s="1063">
        <f>W968</f>
        <v>222400</v>
      </c>
      <c r="Y968" s="999"/>
      <c r="Z968" s="324">
        <f>X968</f>
        <v>222400</v>
      </c>
      <c r="AA968" s="703">
        <v>0.3</v>
      </c>
      <c r="AB968" s="410">
        <f>+Z968*AA968/100</f>
        <v>667.2</v>
      </c>
      <c r="AC968" s="851"/>
      <c r="AD968" s="851"/>
      <c r="AE968" s="851"/>
      <c r="AF968" s="851"/>
    </row>
    <row r="969" spans="1:32" s="457" customFormat="1" ht="18" customHeight="1" x14ac:dyDescent="0.2">
      <c r="A969" s="145"/>
      <c r="B969" s="786"/>
      <c r="C969" s="88"/>
      <c r="D969" s="238"/>
      <c r="E969" s="145"/>
      <c r="F969" s="75"/>
      <c r="G969" s="88"/>
      <c r="H969" s="239"/>
      <c r="I969" s="107"/>
      <c r="J969" s="107"/>
      <c r="K969" s="78"/>
      <c r="L969" s="130"/>
      <c r="M969" s="727"/>
      <c r="N969" s="727"/>
      <c r="O969" s="727"/>
      <c r="P969" s="728"/>
      <c r="Q969" s="728"/>
      <c r="R969" s="729"/>
      <c r="S969" s="729"/>
      <c r="T969" s="730"/>
      <c r="U969" s="731"/>
      <c r="V969" s="729"/>
      <c r="W969" s="77"/>
      <c r="X969" s="77"/>
      <c r="Y969" s="676"/>
      <c r="Z969" s="77"/>
      <c r="AA969" s="409"/>
      <c r="AB969" s="466"/>
    </row>
    <row r="970" spans="1:32" s="457" customFormat="1" ht="18" customHeight="1" x14ac:dyDescent="0.2">
      <c r="A970" s="88"/>
      <c r="B970" s="239"/>
      <c r="C970" s="88"/>
      <c r="D970" s="239"/>
      <c r="E970" s="145"/>
      <c r="F970" s="145"/>
      <c r="G970" s="145"/>
      <c r="H970" s="147"/>
      <c r="I970" s="107"/>
      <c r="J970" s="178"/>
      <c r="K970" s="107"/>
      <c r="L970" s="145"/>
      <c r="M970" s="145"/>
      <c r="N970" s="145"/>
      <c r="O970" s="145"/>
      <c r="P970" s="147"/>
      <c r="Q970" s="148"/>
      <c r="R970" s="437"/>
      <c r="S970" s="107"/>
      <c r="T970" s="437"/>
      <c r="U970" s="178"/>
      <c r="V970" s="107"/>
      <c r="W970" s="107"/>
      <c r="X970" s="470"/>
      <c r="Y970" s="470"/>
      <c r="Z970" s="471"/>
      <c r="AA970" s="471"/>
      <c r="AB970" s="466"/>
    </row>
    <row r="971" spans="1:32" s="457" customFormat="1" ht="18" customHeight="1" x14ac:dyDescent="0.2">
      <c r="A971" s="145"/>
      <c r="B971" s="177"/>
      <c r="C971" s="177"/>
      <c r="D971" s="145"/>
      <c r="E971" s="145"/>
      <c r="F971" s="145"/>
      <c r="G971" s="145"/>
      <c r="H971" s="147"/>
      <c r="I971" s="107"/>
      <c r="J971" s="178"/>
      <c r="K971" s="107"/>
      <c r="L971" s="145"/>
      <c r="M971" s="145"/>
      <c r="N971" s="145"/>
      <c r="O971" s="145"/>
      <c r="P971" s="147"/>
      <c r="Q971" s="148"/>
      <c r="R971" s="437"/>
      <c r="S971" s="107"/>
      <c r="T971" s="437"/>
      <c r="U971" s="178"/>
      <c r="V971" s="107"/>
      <c r="W971" s="107"/>
      <c r="X971" s="470"/>
      <c r="Y971" s="470"/>
      <c r="Z971" s="471"/>
      <c r="AA971" s="471"/>
      <c r="AB971" s="466"/>
    </row>
    <row r="972" spans="1:32" s="457" customFormat="1" ht="18" customHeight="1" x14ac:dyDescent="0.2">
      <c r="A972" s="145"/>
      <c r="B972" s="177"/>
      <c r="C972" s="177"/>
      <c r="D972" s="145"/>
      <c r="E972" s="145"/>
      <c r="F972" s="145"/>
      <c r="G972" s="145"/>
      <c r="H972" s="147"/>
      <c r="I972" s="107"/>
      <c r="J972" s="178"/>
      <c r="K972" s="107"/>
      <c r="L972" s="145"/>
      <c r="M972" s="145"/>
      <c r="N972" s="145"/>
      <c r="O972" s="145"/>
      <c r="P972" s="147"/>
      <c r="Q972" s="148"/>
      <c r="R972" s="437"/>
      <c r="S972" s="107"/>
      <c r="T972" s="437"/>
      <c r="U972" s="178"/>
      <c r="V972" s="107"/>
      <c r="W972" s="107"/>
      <c r="X972" s="470"/>
      <c r="Y972" s="470"/>
      <c r="Z972" s="471"/>
      <c r="AA972" s="471"/>
      <c r="AB972" s="466"/>
    </row>
    <row r="973" spans="1:32" s="457" customFormat="1" ht="18" customHeight="1" x14ac:dyDescent="0.2">
      <c r="A973" s="145"/>
      <c r="B973" s="177"/>
      <c r="C973" s="177"/>
      <c r="D973" s="145"/>
      <c r="E973" s="145"/>
      <c r="F973" s="145"/>
      <c r="G973" s="145"/>
      <c r="H973" s="147"/>
      <c r="I973" s="107"/>
      <c r="J973" s="178"/>
      <c r="K973" s="107"/>
      <c r="L973" s="145"/>
      <c r="M973" s="145"/>
      <c r="N973" s="145"/>
      <c r="O973" s="145"/>
      <c r="P973" s="147"/>
      <c r="Q973" s="148"/>
      <c r="R973" s="437"/>
      <c r="S973" s="107"/>
      <c r="T973" s="437"/>
      <c r="U973" s="178"/>
      <c r="V973" s="107"/>
      <c r="W973" s="107"/>
      <c r="X973" s="470"/>
      <c r="Y973" s="470"/>
      <c r="Z973" s="471"/>
      <c r="AA973" s="471"/>
      <c r="AB973" s="466"/>
    </row>
    <row r="974" spans="1:32" s="457" customFormat="1" ht="18" customHeight="1" x14ac:dyDescent="0.2">
      <c r="A974" s="145"/>
      <c r="B974" s="177"/>
      <c r="C974" s="177"/>
      <c r="D974" s="145"/>
      <c r="E974" s="145"/>
      <c r="F974" s="145"/>
      <c r="G974" s="145"/>
      <c r="H974" s="147"/>
      <c r="I974" s="107"/>
      <c r="J974" s="178"/>
      <c r="K974" s="107"/>
      <c r="L974" s="145"/>
      <c r="M974" s="145"/>
      <c r="N974" s="145"/>
      <c r="O974" s="145"/>
      <c r="P974" s="147"/>
      <c r="Q974" s="148"/>
      <c r="R974" s="437"/>
      <c r="S974" s="107"/>
      <c r="T974" s="437"/>
      <c r="U974" s="178"/>
      <c r="V974" s="107"/>
      <c r="W974" s="107"/>
      <c r="X974" s="470"/>
      <c r="Y974" s="470"/>
      <c r="Z974" s="471"/>
      <c r="AA974" s="471"/>
      <c r="AB974" s="466"/>
    </row>
    <row r="975" spans="1:32" s="457" customFormat="1" ht="18" customHeight="1" x14ac:dyDescent="0.2">
      <c r="A975" s="145"/>
      <c r="B975" s="177"/>
      <c r="C975" s="177"/>
      <c r="D975" s="145"/>
      <c r="E975" s="145"/>
      <c r="F975" s="145"/>
      <c r="G975" s="145"/>
      <c r="H975" s="147"/>
      <c r="I975" s="107"/>
      <c r="J975" s="178"/>
      <c r="K975" s="107"/>
      <c r="L975" s="145"/>
      <c r="M975" s="145"/>
      <c r="N975" s="145"/>
      <c r="O975" s="145"/>
      <c r="P975" s="147"/>
      <c r="Q975" s="148"/>
      <c r="R975" s="437"/>
      <c r="S975" s="107"/>
      <c r="T975" s="437"/>
      <c r="U975" s="178"/>
      <c r="V975" s="107"/>
      <c r="W975" s="107"/>
      <c r="X975" s="470"/>
      <c r="Y975" s="470"/>
      <c r="Z975" s="471"/>
      <c r="AA975" s="471"/>
      <c r="AB975" s="466"/>
    </row>
    <row r="976" spans="1:32" s="457" customFormat="1" ht="18" customHeight="1" x14ac:dyDescent="0.2">
      <c r="A976" s="145"/>
      <c r="B976" s="177"/>
      <c r="C976" s="177"/>
      <c r="D976" s="145"/>
      <c r="E976" s="145"/>
      <c r="F976" s="145"/>
      <c r="G976" s="145"/>
      <c r="H976" s="147"/>
      <c r="I976" s="107"/>
      <c r="J976" s="178"/>
      <c r="K976" s="107"/>
      <c r="L976" s="145"/>
      <c r="M976" s="145"/>
      <c r="N976" s="145"/>
      <c r="O976" s="145"/>
      <c r="P976" s="147"/>
      <c r="Q976" s="148"/>
      <c r="R976" s="437"/>
      <c r="S976" s="107"/>
      <c r="T976" s="437"/>
      <c r="U976" s="178"/>
      <c r="V976" s="107"/>
      <c r="W976" s="107"/>
      <c r="X976" s="470"/>
      <c r="Y976" s="470"/>
      <c r="Z976" s="471"/>
      <c r="AA976" s="471"/>
      <c r="AB976" s="466"/>
    </row>
    <row r="977" spans="1:28" s="457" customFormat="1" ht="18" customHeight="1" x14ac:dyDescent="0.2">
      <c r="A977" s="145"/>
      <c r="B977" s="177"/>
      <c r="C977" s="177"/>
      <c r="D977" s="145"/>
      <c r="E977" s="145"/>
      <c r="F977" s="145"/>
      <c r="G977" s="145"/>
      <c r="H977" s="147"/>
      <c r="I977" s="107"/>
      <c r="J977" s="178"/>
      <c r="K977" s="107"/>
      <c r="L977" s="145"/>
      <c r="M977" s="145"/>
      <c r="N977" s="145"/>
      <c r="O977" s="145"/>
      <c r="P977" s="147"/>
      <c r="Q977" s="148"/>
      <c r="R977" s="437"/>
      <c r="S977" s="107"/>
      <c r="T977" s="437"/>
      <c r="U977" s="178"/>
      <c r="V977" s="107"/>
      <c r="W977" s="107"/>
      <c r="X977" s="470"/>
      <c r="Y977" s="470"/>
      <c r="Z977" s="471"/>
      <c r="AA977" s="471"/>
      <c r="AB977" s="466"/>
    </row>
    <row r="978" spans="1:28" s="457" customFormat="1" ht="18" customHeight="1" x14ac:dyDescent="0.2">
      <c r="A978" s="145"/>
      <c r="B978" s="177"/>
      <c r="C978" s="177"/>
      <c r="D978" s="145"/>
      <c r="E978" s="145"/>
      <c r="F978" s="145"/>
      <c r="G978" s="145"/>
      <c r="H978" s="147"/>
      <c r="I978" s="107"/>
      <c r="J978" s="178"/>
      <c r="K978" s="107"/>
      <c r="L978" s="145"/>
      <c r="M978" s="145"/>
      <c r="N978" s="145"/>
      <c r="O978" s="145"/>
      <c r="P978" s="147"/>
      <c r="Q978" s="148"/>
      <c r="R978" s="437"/>
      <c r="S978" s="107"/>
      <c r="T978" s="437"/>
      <c r="U978" s="178"/>
      <c r="V978" s="107"/>
      <c r="W978" s="107"/>
      <c r="X978" s="470"/>
      <c r="Y978" s="470"/>
      <c r="Z978" s="471"/>
      <c r="AA978" s="471"/>
      <c r="AB978" s="466"/>
    </row>
    <row r="979" spans="1:28" s="457" customFormat="1" ht="18" customHeight="1" x14ac:dyDescent="0.2">
      <c r="A979" s="145"/>
      <c r="B979" s="177"/>
      <c r="C979" s="177"/>
      <c r="D979" s="145"/>
      <c r="E979" s="145"/>
      <c r="F979" s="145"/>
      <c r="G979" s="145"/>
      <c r="H979" s="147"/>
      <c r="I979" s="107"/>
      <c r="J979" s="178"/>
      <c r="K979" s="107"/>
      <c r="L979" s="145"/>
      <c r="M979" s="145"/>
      <c r="N979" s="145"/>
      <c r="O979" s="145"/>
      <c r="P979" s="147"/>
      <c r="Q979" s="148"/>
      <c r="R979" s="437"/>
      <c r="S979" s="107"/>
      <c r="T979" s="437"/>
      <c r="U979" s="178"/>
      <c r="V979" s="107"/>
      <c r="W979" s="107"/>
      <c r="X979" s="470"/>
      <c r="Y979" s="470"/>
      <c r="Z979" s="471"/>
      <c r="AA979" s="471"/>
      <c r="AB979" s="466"/>
    </row>
    <row r="980" spans="1:28" s="457" customFormat="1" ht="18" customHeight="1" x14ac:dyDescent="0.2">
      <c r="A980" s="145"/>
      <c r="B980" s="177"/>
      <c r="C980" s="177"/>
      <c r="D980" s="145"/>
      <c r="E980" s="145"/>
      <c r="F980" s="145"/>
      <c r="G980" s="145"/>
      <c r="H980" s="147"/>
      <c r="I980" s="107"/>
      <c r="J980" s="178"/>
      <c r="K980" s="107"/>
      <c r="L980" s="145"/>
      <c r="M980" s="145"/>
      <c r="N980" s="145"/>
      <c r="O980" s="145"/>
      <c r="P980" s="147"/>
      <c r="Q980" s="148"/>
      <c r="R980" s="437"/>
      <c r="S980" s="107"/>
      <c r="T980" s="437"/>
      <c r="U980" s="178"/>
      <c r="V980" s="107"/>
      <c r="W980" s="107"/>
      <c r="X980" s="470"/>
      <c r="Y980" s="470"/>
      <c r="Z980" s="471"/>
      <c r="AA980" s="471"/>
      <c r="AB980" s="466"/>
    </row>
    <row r="981" spans="1:28" s="457" customFormat="1" ht="18" customHeight="1" x14ac:dyDescent="0.2">
      <c r="A981" s="145"/>
      <c r="B981" s="177"/>
      <c r="C981" s="177"/>
      <c r="D981" s="145"/>
      <c r="E981" s="145"/>
      <c r="F981" s="145"/>
      <c r="G981" s="145"/>
      <c r="H981" s="147"/>
      <c r="I981" s="107"/>
      <c r="J981" s="178"/>
      <c r="K981" s="107"/>
      <c r="L981" s="145"/>
      <c r="M981" s="145"/>
      <c r="N981" s="145"/>
      <c r="O981" s="145"/>
      <c r="P981" s="147"/>
      <c r="Q981" s="148"/>
      <c r="R981" s="437"/>
      <c r="S981" s="107"/>
      <c r="T981" s="437"/>
      <c r="U981" s="178"/>
      <c r="V981" s="107"/>
      <c r="W981" s="107"/>
      <c r="X981" s="470"/>
      <c r="Y981" s="470"/>
      <c r="Z981" s="471"/>
      <c r="AA981" s="471"/>
      <c r="AB981" s="466"/>
    </row>
    <row r="982" spans="1:28" s="457" customFormat="1" ht="18" customHeight="1" x14ac:dyDescent="0.2">
      <c r="A982" s="145"/>
      <c r="B982" s="177"/>
      <c r="C982" s="177"/>
      <c r="D982" s="145"/>
      <c r="E982" s="145"/>
      <c r="F982" s="145"/>
      <c r="G982" s="145"/>
      <c r="H982" s="147"/>
      <c r="I982" s="107"/>
      <c r="J982" s="178"/>
      <c r="K982" s="107"/>
      <c r="L982" s="145"/>
      <c r="M982" s="145"/>
      <c r="N982" s="145"/>
      <c r="O982" s="145"/>
      <c r="P982" s="147"/>
      <c r="Q982" s="148"/>
      <c r="R982" s="437"/>
      <c r="S982" s="107"/>
      <c r="T982" s="437"/>
      <c r="U982" s="178"/>
      <c r="V982" s="107"/>
      <c r="W982" s="107"/>
      <c r="X982" s="470"/>
      <c r="Y982" s="470"/>
      <c r="Z982" s="471"/>
      <c r="AA982" s="471"/>
      <c r="AB982" s="466"/>
    </row>
    <row r="983" spans="1:28" s="457" customFormat="1" ht="18" customHeight="1" x14ac:dyDescent="0.2">
      <c r="A983" s="145"/>
      <c r="B983" s="177"/>
      <c r="C983" s="177"/>
      <c r="D983" s="145"/>
      <c r="E983" s="145"/>
      <c r="F983" s="145"/>
      <c r="G983" s="145"/>
      <c r="H983" s="147"/>
      <c r="I983" s="107"/>
      <c r="J983" s="178"/>
      <c r="K983" s="107"/>
      <c r="L983" s="145"/>
      <c r="M983" s="145"/>
      <c r="N983" s="145"/>
      <c r="O983" s="145"/>
      <c r="P983" s="147"/>
      <c r="Q983" s="148"/>
      <c r="R983" s="437"/>
      <c r="S983" s="107"/>
      <c r="T983" s="437"/>
      <c r="U983" s="178"/>
      <c r="V983" s="107"/>
      <c r="W983" s="107"/>
      <c r="X983" s="470"/>
      <c r="Y983" s="470"/>
      <c r="Z983" s="471"/>
      <c r="AA983" s="471"/>
      <c r="AB983" s="466"/>
    </row>
    <row r="984" spans="1:28" s="457" customFormat="1" ht="18" customHeight="1" x14ac:dyDescent="0.2">
      <c r="A984" s="145"/>
      <c r="B984" s="177"/>
      <c r="C984" s="177"/>
      <c r="D984" s="145"/>
      <c r="E984" s="145"/>
      <c r="F984" s="145"/>
      <c r="G984" s="145"/>
      <c r="H984" s="147"/>
      <c r="I984" s="107"/>
      <c r="J984" s="178"/>
      <c r="K984" s="107"/>
      <c r="L984" s="145"/>
      <c r="M984" s="145"/>
      <c r="N984" s="145"/>
      <c r="O984" s="145"/>
      <c r="P984" s="147"/>
      <c r="Q984" s="148"/>
      <c r="R984" s="437"/>
      <c r="S984" s="107"/>
      <c r="T984" s="437"/>
      <c r="U984" s="178"/>
      <c r="V984" s="107"/>
      <c r="W984" s="107"/>
      <c r="X984" s="470"/>
      <c r="Y984" s="470"/>
      <c r="Z984" s="471"/>
      <c r="AA984" s="471"/>
      <c r="AB984" s="466"/>
    </row>
    <row r="985" spans="1:28" s="457" customFormat="1" ht="18" customHeight="1" x14ac:dyDescent="0.2">
      <c r="A985" s="183"/>
      <c r="B985" s="183"/>
      <c r="C985" s="183"/>
      <c r="D985" s="183"/>
      <c r="E985" s="183"/>
      <c r="F985" s="183"/>
      <c r="G985" s="183"/>
      <c r="H985" s="184"/>
      <c r="I985" s="185"/>
      <c r="J985" s="186"/>
      <c r="K985" s="185"/>
      <c r="L985" s="185"/>
      <c r="M985" s="185"/>
      <c r="N985" s="185"/>
      <c r="O985" s="185"/>
      <c r="P985" s="185"/>
      <c r="Q985" s="185"/>
      <c r="R985" s="438"/>
      <c r="S985" s="185"/>
      <c r="T985" s="438"/>
      <c r="U985" s="186"/>
      <c r="V985" s="185"/>
      <c r="W985" s="185"/>
      <c r="X985" s="474"/>
      <c r="Y985" s="474"/>
      <c r="Z985" s="475"/>
      <c r="AA985" s="475"/>
      <c r="AB985" s="476">
        <f>SUM(AB967:AB984)</f>
        <v>676.80000000000007</v>
      </c>
    </row>
    <row r="986" spans="1:28" s="457" customFormat="1" ht="18" customHeight="1" x14ac:dyDescent="0.2">
      <c r="A986" s="2737" t="s">
        <v>76</v>
      </c>
      <c r="B986" s="2737"/>
      <c r="C986" s="2738" t="s">
        <v>77</v>
      </c>
      <c r="D986" s="2738"/>
      <c r="E986" s="2738"/>
      <c r="F986" s="2738"/>
      <c r="G986" s="2738"/>
      <c r="H986" s="2738"/>
      <c r="I986" s="457" t="s">
        <v>78</v>
      </c>
      <c r="T986" s="651"/>
      <c r="U986" s="478"/>
      <c r="Z986" s="457" t="s">
        <v>295</v>
      </c>
      <c r="AB986" s="478"/>
    </row>
    <row r="987" spans="1:28" s="457" customFormat="1" ht="18" customHeight="1" x14ac:dyDescent="0.2">
      <c r="A987" s="448"/>
      <c r="B987" s="479"/>
      <c r="I987" s="457" t="s">
        <v>79</v>
      </c>
      <c r="T987" s="651"/>
      <c r="U987" s="478"/>
      <c r="AB987" s="478"/>
    </row>
    <row r="988" spans="1:28" s="457" customFormat="1" ht="18" customHeight="1" x14ac:dyDescent="0.2">
      <c r="A988" s="448"/>
      <c r="B988" s="479"/>
      <c r="I988" s="457" t="s">
        <v>80</v>
      </c>
      <c r="T988" s="651"/>
      <c r="U988" s="478"/>
      <c r="AB988" s="478"/>
    </row>
    <row r="989" spans="1:28" s="457" customFormat="1" ht="18" customHeight="1" x14ac:dyDescent="0.2">
      <c r="A989" s="448"/>
      <c r="B989" s="479"/>
      <c r="I989" s="457" t="s">
        <v>81</v>
      </c>
      <c r="T989" s="651"/>
      <c r="U989" s="478"/>
      <c r="AB989" s="478"/>
    </row>
    <row r="990" spans="1:28" s="457" customFormat="1" ht="18" customHeight="1" x14ac:dyDescent="0.2">
      <c r="A990" s="448"/>
      <c r="B990" s="479"/>
      <c r="I990" s="457" t="s">
        <v>88</v>
      </c>
      <c r="T990" s="651"/>
      <c r="U990" s="478"/>
      <c r="AB990" s="478"/>
    </row>
    <row r="991" spans="1:28" s="457" customFormat="1" ht="18" customHeight="1" x14ac:dyDescent="0.2">
      <c r="A991" s="456"/>
      <c r="B991" s="455"/>
      <c r="C991" s="455"/>
      <c r="D991" s="455"/>
      <c r="E991" s="455"/>
      <c r="F991" s="455"/>
      <c r="G991" s="455"/>
      <c r="H991" s="455"/>
      <c r="I991" s="455"/>
      <c r="J991" s="455"/>
      <c r="K991" s="455"/>
      <c r="L991" s="455"/>
      <c r="M991" s="455"/>
      <c r="N991" s="455"/>
      <c r="O991" s="455"/>
      <c r="P991" s="455"/>
      <c r="Q991" s="455"/>
      <c r="R991" s="455"/>
      <c r="S991" s="455"/>
      <c r="T991" s="608"/>
      <c r="U991" s="609"/>
      <c r="V991" s="455"/>
      <c r="W991" s="455"/>
      <c r="X991" s="455"/>
      <c r="Y991" s="455"/>
      <c r="Z991" s="455"/>
      <c r="AA991" s="2705" t="s">
        <v>0</v>
      </c>
      <c r="AB991" s="2705"/>
    </row>
    <row r="992" spans="1:28" s="457" customFormat="1" ht="18" customHeight="1" x14ac:dyDescent="0.2">
      <c r="A992" s="2706" t="s">
        <v>1</v>
      </c>
      <c r="B992" s="2706"/>
      <c r="C992" s="2706"/>
      <c r="D992" s="2706"/>
      <c r="E992" s="2706"/>
      <c r="F992" s="2706"/>
      <c r="G992" s="2706"/>
      <c r="H992" s="2706"/>
      <c r="I992" s="2706"/>
      <c r="J992" s="2706"/>
      <c r="K992" s="2706"/>
      <c r="L992" s="2706"/>
      <c r="M992" s="2706"/>
      <c r="N992" s="2706"/>
      <c r="O992" s="2706"/>
      <c r="P992" s="2706"/>
      <c r="Q992" s="2706"/>
      <c r="R992" s="2706"/>
      <c r="S992" s="2706"/>
      <c r="T992" s="2706"/>
      <c r="U992" s="2706"/>
      <c r="V992" s="2706"/>
      <c r="W992" s="2706"/>
      <c r="X992" s="2706"/>
      <c r="Y992" s="2706"/>
      <c r="Z992" s="2706"/>
      <c r="AA992" s="2706"/>
      <c r="AB992" s="2706"/>
    </row>
    <row r="993" spans="1:32" s="457" customFormat="1" ht="18" customHeight="1" x14ac:dyDescent="0.2">
      <c r="A993" s="2704" t="s">
        <v>456</v>
      </c>
      <c r="B993" s="2704"/>
      <c r="C993" s="2704"/>
      <c r="D993" s="2704"/>
      <c r="E993" s="2704"/>
      <c r="F993" s="2704"/>
      <c r="G993" s="2704"/>
      <c r="H993" s="2704"/>
      <c r="I993" s="2704"/>
      <c r="J993" s="2704"/>
      <c r="K993" s="2704"/>
      <c r="L993" s="2704"/>
      <c r="M993" s="2704"/>
      <c r="N993" s="2704"/>
      <c r="O993" s="2704"/>
      <c r="P993" s="2704"/>
      <c r="Q993" s="2704"/>
      <c r="R993" s="2704"/>
      <c r="S993" s="2704"/>
      <c r="T993" s="2704"/>
      <c r="U993" s="2704"/>
      <c r="V993" s="2704"/>
      <c r="W993" s="2704"/>
      <c r="X993" s="2704"/>
      <c r="Y993" s="2704"/>
      <c r="Z993" s="2704"/>
      <c r="AA993" s="2704"/>
      <c r="AB993" s="2704"/>
    </row>
    <row r="994" spans="1:32" s="457" customFormat="1" ht="18" customHeight="1" x14ac:dyDescent="0.2">
      <c r="A994" s="2686" t="s">
        <v>2</v>
      </c>
      <c r="B994" s="360"/>
      <c r="C994" s="2686" t="s">
        <v>3</v>
      </c>
      <c r="D994" s="360"/>
      <c r="E994" s="360"/>
      <c r="F994" s="2693" t="s">
        <v>4</v>
      </c>
      <c r="G994" s="2693"/>
      <c r="H994" s="2693"/>
      <c r="I994" s="2694"/>
      <c r="J994" s="2694"/>
      <c r="K994" s="2695"/>
      <c r="L994" s="361"/>
      <c r="M994" s="2679" t="s">
        <v>5</v>
      </c>
      <c r="N994" s="2679"/>
      <c r="O994" s="2679"/>
      <c r="P994" s="2679"/>
      <c r="Q994" s="2696"/>
      <c r="R994" s="2696"/>
      <c r="S994" s="2696"/>
      <c r="T994" s="2696"/>
      <c r="U994" s="2696"/>
      <c r="V994" s="2697"/>
      <c r="W994" s="362" t="s">
        <v>6</v>
      </c>
      <c r="X994" s="363" t="s">
        <v>7</v>
      </c>
      <c r="Y994" s="364"/>
      <c r="Z994" s="364"/>
      <c r="AA994" s="363"/>
      <c r="AB994" s="458"/>
    </row>
    <row r="995" spans="1:32" s="457" customFormat="1" ht="18" customHeight="1" x14ac:dyDescent="0.2">
      <c r="A995" s="2687"/>
      <c r="B995" s="367"/>
      <c r="C995" s="2687"/>
      <c r="D995" s="366" t="s">
        <v>9</v>
      </c>
      <c r="E995" s="366" t="s">
        <v>10</v>
      </c>
      <c r="F995" s="2698" t="s">
        <v>11</v>
      </c>
      <c r="G995" s="2694"/>
      <c r="H995" s="2695"/>
      <c r="I995" s="360"/>
      <c r="J995" s="449" t="s">
        <v>12</v>
      </c>
      <c r="K995" s="360"/>
      <c r="L995" s="2734" t="s">
        <v>2</v>
      </c>
      <c r="M995" s="370"/>
      <c r="N995" s="370"/>
      <c r="O995" s="370"/>
      <c r="P995" s="371"/>
      <c r="Q995" s="459" t="s">
        <v>13</v>
      </c>
      <c r="R995" s="370" t="s">
        <v>12</v>
      </c>
      <c r="S995" s="370" t="s">
        <v>6</v>
      </c>
      <c r="T995" s="2682" t="s">
        <v>14</v>
      </c>
      <c r="U995" s="2683"/>
      <c r="V995" s="375" t="s">
        <v>7</v>
      </c>
      <c r="W995" s="376" t="s">
        <v>15</v>
      </c>
      <c r="X995" s="377" t="s">
        <v>16</v>
      </c>
      <c r="Y995" s="377" t="s">
        <v>17</v>
      </c>
      <c r="Z995" s="377" t="s">
        <v>18</v>
      </c>
      <c r="AA995" s="377"/>
      <c r="AB995" s="460" t="s">
        <v>19</v>
      </c>
    </row>
    <row r="996" spans="1:32" s="457" customFormat="1" ht="18" customHeight="1" x14ac:dyDescent="0.2">
      <c r="A996" s="2687"/>
      <c r="B996" s="366" t="s">
        <v>23</v>
      </c>
      <c r="C996" s="2687"/>
      <c r="D996" s="366" t="s">
        <v>24</v>
      </c>
      <c r="E996" s="366" t="s">
        <v>25</v>
      </c>
      <c r="F996" s="2699"/>
      <c r="G996" s="2700"/>
      <c r="H996" s="2701"/>
      <c r="I996" s="366" t="s">
        <v>26</v>
      </c>
      <c r="J996" s="380" t="s">
        <v>15</v>
      </c>
      <c r="K996" s="380" t="s">
        <v>6</v>
      </c>
      <c r="L996" s="2735"/>
      <c r="M996" s="381" t="s">
        <v>27</v>
      </c>
      <c r="N996" s="381" t="s">
        <v>10</v>
      </c>
      <c r="O996" s="381" t="s">
        <v>10</v>
      </c>
      <c r="P996" s="385" t="s">
        <v>28</v>
      </c>
      <c r="Q996" s="461" t="s">
        <v>29</v>
      </c>
      <c r="R996" s="385" t="s">
        <v>15</v>
      </c>
      <c r="S996" s="385" t="s">
        <v>15</v>
      </c>
      <c r="T996" s="2684"/>
      <c r="U996" s="2685"/>
      <c r="V996" s="375" t="s">
        <v>30</v>
      </c>
      <c r="W996" s="376" t="s">
        <v>31</v>
      </c>
      <c r="X996" s="377" t="s">
        <v>30</v>
      </c>
      <c r="Y996" s="377" t="s">
        <v>32</v>
      </c>
      <c r="Z996" s="377" t="s">
        <v>7</v>
      </c>
      <c r="AA996" s="377" t="s">
        <v>33</v>
      </c>
      <c r="AB996" s="460" t="s">
        <v>34</v>
      </c>
    </row>
    <row r="997" spans="1:32" s="457" customFormat="1" ht="18" customHeight="1" x14ac:dyDescent="0.2">
      <c r="A997" s="2687"/>
      <c r="B997" s="366" t="s">
        <v>39</v>
      </c>
      <c r="C997" s="2687"/>
      <c r="D997" s="366" t="s">
        <v>40</v>
      </c>
      <c r="E997" s="366" t="s">
        <v>41</v>
      </c>
      <c r="F997" s="2686" t="s">
        <v>42</v>
      </c>
      <c r="G997" s="2686" t="s">
        <v>43</v>
      </c>
      <c r="H997" s="2688" t="s">
        <v>44</v>
      </c>
      <c r="I997" s="366" t="s">
        <v>45</v>
      </c>
      <c r="J997" s="380" t="s">
        <v>46</v>
      </c>
      <c r="K997" s="380" t="s">
        <v>47</v>
      </c>
      <c r="L997" s="2735"/>
      <c r="M997" s="381" t="s">
        <v>30</v>
      </c>
      <c r="N997" s="381" t="s">
        <v>30</v>
      </c>
      <c r="O997" s="381" t="s">
        <v>25</v>
      </c>
      <c r="P997" s="385" t="s">
        <v>30</v>
      </c>
      <c r="Q997" s="461" t="s">
        <v>48</v>
      </c>
      <c r="R997" s="385" t="s">
        <v>49</v>
      </c>
      <c r="S997" s="385" t="s">
        <v>30</v>
      </c>
      <c r="T997" s="619" t="s">
        <v>50</v>
      </c>
      <c r="U997" s="620" t="s">
        <v>13</v>
      </c>
      <c r="V997" s="375" t="s">
        <v>51</v>
      </c>
      <c r="W997" s="376" t="s">
        <v>52</v>
      </c>
      <c r="X997" s="377" t="s">
        <v>53</v>
      </c>
      <c r="Y997" s="377" t="s">
        <v>54</v>
      </c>
      <c r="Z997" s="377" t="s">
        <v>55</v>
      </c>
      <c r="AA997" s="377" t="s">
        <v>56</v>
      </c>
      <c r="AB997" s="460" t="s">
        <v>57</v>
      </c>
    </row>
    <row r="998" spans="1:32" s="457" customFormat="1" ht="18" customHeight="1" x14ac:dyDescent="0.2">
      <c r="A998" s="2687"/>
      <c r="B998" s="366" t="s">
        <v>61</v>
      </c>
      <c r="C998" s="2687"/>
      <c r="D998" s="366" t="s">
        <v>62</v>
      </c>
      <c r="E998" s="366" t="s">
        <v>63</v>
      </c>
      <c r="F998" s="2687"/>
      <c r="G998" s="2687"/>
      <c r="H998" s="2689"/>
      <c r="I998" s="366" t="s">
        <v>64</v>
      </c>
      <c r="J998" s="380" t="s">
        <v>59</v>
      </c>
      <c r="K998" s="380" t="s">
        <v>59</v>
      </c>
      <c r="L998" s="2735"/>
      <c r="M998" s="381"/>
      <c r="N998" s="381"/>
      <c r="O998" s="381" t="s">
        <v>41</v>
      </c>
      <c r="P998" s="385" t="s">
        <v>65</v>
      </c>
      <c r="Q998" s="461" t="s">
        <v>66</v>
      </c>
      <c r="R998" s="385" t="s">
        <v>67</v>
      </c>
      <c r="S998" s="385" t="s">
        <v>59</v>
      </c>
      <c r="T998" s="621" t="s">
        <v>68</v>
      </c>
      <c r="U998" s="622" t="s">
        <v>14</v>
      </c>
      <c r="V998" s="375" t="s">
        <v>14</v>
      </c>
      <c r="W998" s="376" t="s">
        <v>30</v>
      </c>
      <c r="X998" s="388" t="s">
        <v>69</v>
      </c>
      <c r="Y998" s="388" t="s">
        <v>70</v>
      </c>
      <c r="Z998" s="377" t="s">
        <v>71</v>
      </c>
      <c r="AA998" s="377" t="s">
        <v>72</v>
      </c>
      <c r="AB998" s="460" t="s">
        <v>59</v>
      </c>
    </row>
    <row r="999" spans="1:32" s="457" customFormat="1" ht="18" customHeight="1" x14ac:dyDescent="0.2">
      <c r="A999" s="2692"/>
      <c r="B999" s="390"/>
      <c r="C999" s="2692"/>
      <c r="D999" s="390"/>
      <c r="E999" s="389"/>
      <c r="F999" s="390"/>
      <c r="G999" s="390"/>
      <c r="H999" s="391"/>
      <c r="I999" s="389"/>
      <c r="J999" s="393"/>
      <c r="K999" s="393"/>
      <c r="L999" s="2736"/>
      <c r="M999" s="394"/>
      <c r="N999" s="394"/>
      <c r="O999" s="394" t="s">
        <v>63</v>
      </c>
      <c r="P999" s="394"/>
      <c r="Q999" s="450" t="s">
        <v>72</v>
      </c>
      <c r="R999" s="398" t="s">
        <v>59</v>
      </c>
      <c r="S999" s="398"/>
      <c r="T999" s="623" t="s">
        <v>73</v>
      </c>
      <c r="U999" s="624" t="s">
        <v>59</v>
      </c>
      <c r="V999" s="399" t="s">
        <v>59</v>
      </c>
      <c r="W999" s="400" t="s">
        <v>59</v>
      </c>
      <c r="X999" s="401" t="s">
        <v>59</v>
      </c>
      <c r="Y999" s="401" t="s">
        <v>59</v>
      </c>
      <c r="Z999" s="401" t="s">
        <v>59</v>
      </c>
      <c r="AA999" s="402"/>
      <c r="AB999" s="462"/>
    </row>
    <row r="1000" spans="1:32" s="457" customFormat="1" ht="18" customHeight="1" x14ac:dyDescent="0.25">
      <c r="A1000" s="981">
        <v>1</v>
      </c>
      <c r="B1000" s="1633">
        <v>2253</v>
      </c>
      <c r="C1000" s="259">
        <v>308</v>
      </c>
      <c r="D1000" s="333" t="s">
        <v>139</v>
      </c>
      <c r="E1000" s="333">
        <v>1</v>
      </c>
      <c r="F1000" s="41">
        <v>0</v>
      </c>
      <c r="G1000" s="41">
        <v>2</v>
      </c>
      <c r="H1000" s="41">
        <v>41</v>
      </c>
      <c r="I1000" s="123">
        <f>F1000*400+G1000*100+H1000</f>
        <v>241</v>
      </c>
      <c r="J1000" s="1332">
        <v>1000</v>
      </c>
      <c r="K1000" s="1332">
        <f>J1000*I1000</f>
        <v>241000</v>
      </c>
      <c r="L1000" s="1333"/>
      <c r="M1000" s="1334"/>
      <c r="N1000" s="1333"/>
      <c r="O1000" s="1333"/>
      <c r="P1000" s="1335"/>
      <c r="Q1000" s="1336"/>
      <c r="R1000" s="1337"/>
      <c r="S1000" s="1331"/>
      <c r="T1000" s="1338"/>
      <c r="U1000" s="1331">
        <v>0</v>
      </c>
      <c r="V1000" s="1331">
        <v>0</v>
      </c>
      <c r="W1000" s="1331">
        <f>K1000</f>
        <v>241000</v>
      </c>
      <c r="X1000" s="1331">
        <f>W1000</f>
        <v>241000</v>
      </c>
      <c r="Y1000" s="1339" t="s">
        <v>297</v>
      </c>
      <c r="Z1000" s="1332"/>
      <c r="AA1000" s="1340"/>
      <c r="AB1000" s="1341"/>
      <c r="AC1000" s="1342"/>
      <c r="AD1000" s="1342"/>
      <c r="AE1000" s="1342"/>
      <c r="AF1000" s="1342"/>
    </row>
    <row r="1001" spans="1:32" s="457" customFormat="1" ht="18" customHeight="1" x14ac:dyDescent="0.25">
      <c r="A1001" s="287">
        <v>2</v>
      </c>
      <c r="B1001" s="288">
        <v>25698</v>
      </c>
      <c r="C1001" s="270">
        <v>696</v>
      </c>
      <c r="D1001" s="287" t="s">
        <v>139</v>
      </c>
      <c r="E1001" s="287">
        <v>4</v>
      </c>
      <c r="F1001" s="27">
        <v>0</v>
      </c>
      <c r="G1001" s="27">
        <v>1</v>
      </c>
      <c r="H1001" s="27">
        <v>0</v>
      </c>
      <c r="I1001" s="123">
        <f t="shared" ref="I1001:I1005" si="70">F1001*400+G1001*100+H1001</f>
        <v>100</v>
      </c>
      <c r="J1001" s="1344">
        <v>280</v>
      </c>
      <c r="K1001" s="1345">
        <f>J1001*I1001</f>
        <v>28000</v>
      </c>
      <c r="L1001" s="1346"/>
      <c r="M1001" s="1346"/>
      <c r="N1001" s="1346"/>
      <c r="O1001" s="1346"/>
      <c r="P1001" s="1347"/>
      <c r="Q1001" s="1348"/>
      <c r="R1001" s="1349"/>
      <c r="S1001" s="1344"/>
      <c r="T1001" s="1350"/>
      <c r="U1001" s="1351"/>
      <c r="V1001" s="1344"/>
      <c r="W1001" s="1344">
        <f>K1001</f>
        <v>28000</v>
      </c>
      <c r="X1001" s="1352">
        <f>W1001</f>
        <v>28000</v>
      </c>
      <c r="Y1001" s="1353"/>
      <c r="Z1001" s="1345">
        <f>X1001</f>
        <v>28000</v>
      </c>
      <c r="AA1001" s="1354">
        <v>0.3</v>
      </c>
      <c r="AB1001" s="1355">
        <f>+Z1001*AA1001/100</f>
        <v>84</v>
      </c>
      <c r="AC1001" s="1356"/>
      <c r="AD1001" s="1356"/>
      <c r="AE1001" s="1356"/>
      <c r="AF1001" s="1356"/>
    </row>
    <row r="1002" spans="1:32" s="457" customFormat="1" ht="18" customHeight="1" x14ac:dyDescent="0.25">
      <c r="A1002" s="145">
        <v>3</v>
      </c>
      <c r="B1002" s="786">
        <v>2254</v>
      </c>
      <c r="C1002" s="88">
        <v>307</v>
      </c>
      <c r="D1002" s="287" t="s">
        <v>139</v>
      </c>
      <c r="E1002" s="145">
        <v>2</v>
      </c>
      <c r="F1002" s="88">
        <v>0</v>
      </c>
      <c r="G1002" s="88">
        <v>0</v>
      </c>
      <c r="H1002" s="88">
        <v>92.5</v>
      </c>
      <c r="I1002" s="123">
        <f t="shared" si="70"/>
        <v>92.5</v>
      </c>
      <c r="J1002" s="107">
        <v>2300</v>
      </c>
      <c r="K1002" s="1345">
        <f>J1002*I1002</f>
        <v>212750</v>
      </c>
      <c r="L1002" s="1357">
        <v>1</v>
      </c>
      <c r="M1002" s="1358">
        <v>105</v>
      </c>
      <c r="N1002" s="1358" t="s">
        <v>74</v>
      </c>
      <c r="O1002" s="1358">
        <v>2</v>
      </c>
      <c r="P1002" s="1359">
        <v>120</v>
      </c>
      <c r="Q1002" s="1359">
        <v>100</v>
      </c>
      <c r="R1002" s="1360">
        <v>8800</v>
      </c>
      <c r="S1002" s="1361">
        <f>R1002*P1002</f>
        <v>1056000</v>
      </c>
      <c r="T1002" s="1937">
        <v>26</v>
      </c>
      <c r="U1002" s="1938">
        <f>S1002*42/100</f>
        <v>443520</v>
      </c>
      <c r="V1002" s="1362">
        <f>S1002-U1002</f>
        <v>612480</v>
      </c>
      <c r="W1002" s="1363">
        <f>V1002+K1002</f>
        <v>825230</v>
      </c>
      <c r="X1002" s="1363">
        <f>W1002</f>
        <v>825230</v>
      </c>
      <c r="Y1002" s="1354" t="s">
        <v>297</v>
      </c>
      <c r="Z1002" s="1363"/>
      <c r="AA1002" s="1364"/>
      <c r="AB1002" s="1365"/>
      <c r="AC1002" s="1366"/>
      <c r="AD1002" s="1366"/>
      <c r="AE1002" s="1366"/>
      <c r="AF1002" s="1366"/>
    </row>
    <row r="1003" spans="1:32" s="457" customFormat="1" ht="18" customHeight="1" x14ac:dyDescent="0.25">
      <c r="A1003" s="88">
        <v>3</v>
      </c>
      <c r="B1003" s="786">
        <v>62963</v>
      </c>
      <c r="C1003" s="88">
        <v>1786</v>
      </c>
      <c r="D1003" s="287" t="s">
        <v>139</v>
      </c>
      <c r="E1003" s="145">
        <v>1</v>
      </c>
      <c r="F1003" s="145">
        <v>4</v>
      </c>
      <c r="G1003" s="145">
        <v>2</v>
      </c>
      <c r="H1003" s="147">
        <v>19.5</v>
      </c>
      <c r="I1003" s="123">
        <f>F1003*400+G1003*100+H1003</f>
        <v>1819.5</v>
      </c>
      <c r="J1003" s="178">
        <v>1400</v>
      </c>
      <c r="K1003" s="107">
        <f>J1003*I1003</f>
        <v>2547300</v>
      </c>
      <c r="L1003" s="145"/>
      <c r="M1003" s="145"/>
      <c r="N1003" s="145"/>
      <c r="O1003" s="145"/>
      <c r="P1003" s="147"/>
      <c r="Q1003" s="148"/>
      <c r="R1003" s="437"/>
      <c r="S1003" s="107"/>
      <c r="T1003" s="437"/>
      <c r="U1003" s="178"/>
      <c r="V1003" s="107"/>
      <c r="W1003" s="1367">
        <f t="shared" ref="W1003:W1006" si="71">V1003+K1003</f>
        <v>2547300</v>
      </c>
      <c r="X1003" s="1367">
        <f t="shared" ref="X1003:X1006" si="72">W1003</f>
        <v>2547300</v>
      </c>
      <c r="Y1003" s="1353" t="s">
        <v>297</v>
      </c>
      <c r="Z1003" s="471"/>
      <c r="AA1003" s="471"/>
      <c r="AB1003" s="466"/>
    </row>
    <row r="1004" spans="1:32" s="457" customFormat="1" ht="18" customHeight="1" x14ac:dyDescent="0.25">
      <c r="A1004" s="145">
        <v>4</v>
      </c>
      <c r="B1004" s="1088">
        <v>43279</v>
      </c>
      <c r="C1004" s="177">
        <v>1287</v>
      </c>
      <c r="D1004" s="287" t="s">
        <v>139</v>
      </c>
      <c r="E1004" s="145">
        <v>1</v>
      </c>
      <c r="F1004" s="145">
        <v>1</v>
      </c>
      <c r="G1004" s="145">
        <v>3</v>
      </c>
      <c r="H1004" s="147">
        <v>86</v>
      </c>
      <c r="I1004" s="123">
        <f t="shared" si="70"/>
        <v>786</v>
      </c>
      <c r="J1004" s="178">
        <v>280</v>
      </c>
      <c r="K1004" s="107">
        <f>I1004*J1004</f>
        <v>220080</v>
      </c>
      <c r="L1004" s="145"/>
      <c r="M1004" s="145"/>
      <c r="N1004" s="145"/>
      <c r="O1004" s="145"/>
      <c r="P1004" s="147"/>
      <c r="Q1004" s="148"/>
      <c r="R1004" s="437"/>
      <c r="S1004" s="107"/>
      <c r="T1004" s="437"/>
      <c r="U1004" s="178"/>
      <c r="V1004" s="107"/>
      <c r="W1004" s="1367">
        <f t="shared" si="71"/>
        <v>220080</v>
      </c>
      <c r="X1004" s="1367">
        <f t="shared" si="72"/>
        <v>220080</v>
      </c>
      <c r="Y1004" s="1353" t="s">
        <v>297</v>
      </c>
      <c r="Z1004" s="471"/>
      <c r="AA1004" s="471"/>
      <c r="AB1004" s="466"/>
    </row>
    <row r="1005" spans="1:32" s="457" customFormat="1" ht="18" customHeight="1" x14ac:dyDescent="0.25">
      <c r="A1005" s="145">
        <v>5</v>
      </c>
      <c r="B1005" s="1088">
        <v>2170</v>
      </c>
      <c r="C1005" s="177">
        <v>266</v>
      </c>
      <c r="D1005" s="287" t="s">
        <v>139</v>
      </c>
      <c r="E1005" s="145">
        <v>1</v>
      </c>
      <c r="F1005" s="145">
        <v>6</v>
      </c>
      <c r="G1005" s="145">
        <v>3</v>
      </c>
      <c r="H1005" s="147">
        <v>43</v>
      </c>
      <c r="I1005" s="123">
        <f t="shared" si="70"/>
        <v>2743</v>
      </c>
      <c r="J1005" s="178">
        <v>1400</v>
      </c>
      <c r="K1005" s="107">
        <f>I1005*J1005</f>
        <v>3840200</v>
      </c>
      <c r="L1005" s="145"/>
      <c r="M1005" s="145"/>
      <c r="N1005" s="145"/>
      <c r="O1005" s="145"/>
      <c r="P1005" s="147"/>
      <c r="Q1005" s="148"/>
      <c r="R1005" s="437"/>
      <c r="S1005" s="107"/>
      <c r="T1005" s="437"/>
      <c r="U1005" s="178"/>
      <c r="V1005" s="107"/>
      <c r="W1005" s="1367">
        <f t="shared" si="71"/>
        <v>3840200</v>
      </c>
      <c r="X1005" s="1367">
        <f t="shared" si="72"/>
        <v>3840200</v>
      </c>
      <c r="Y1005" s="1353" t="s">
        <v>297</v>
      </c>
      <c r="Z1005" s="471"/>
      <c r="AA1005" s="471"/>
      <c r="AB1005" s="466"/>
    </row>
    <row r="1006" spans="1:32" s="457" customFormat="1" ht="18" customHeight="1" x14ac:dyDescent="0.25">
      <c r="A1006" s="145">
        <v>6</v>
      </c>
      <c r="B1006" s="1088">
        <v>55492</v>
      </c>
      <c r="C1006" s="177">
        <v>1670</v>
      </c>
      <c r="D1006" s="287" t="s">
        <v>139</v>
      </c>
      <c r="E1006" s="145">
        <v>1</v>
      </c>
      <c r="F1006" s="145">
        <v>0</v>
      </c>
      <c r="G1006" s="145">
        <v>1</v>
      </c>
      <c r="H1006" s="147">
        <v>0</v>
      </c>
      <c r="I1006" s="123">
        <f>F1006*400+G1006*100+H1006</f>
        <v>100</v>
      </c>
      <c r="J1006" s="178">
        <v>280</v>
      </c>
      <c r="K1006" s="107">
        <f>J1006*I1006</f>
        <v>28000</v>
      </c>
      <c r="L1006" s="145"/>
      <c r="M1006" s="145"/>
      <c r="N1006" s="145"/>
      <c r="O1006" s="145"/>
      <c r="P1006" s="147"/>
      <c r="Q1006" s="148"/>
      <c r="R1006" s="437"/>
      <c r="S1006" s="107"/>
      <c r="T1006" s="437"/>
      <c r="U1006" s="178"/>
      <c r="V1006" s="107"/>
      <c r="W1006" s="1367">
        <f t="shared" si="71"/>
        <v>28000</v>
      </c>
      <c r="X1006" s="1367">
        <f t="shared" si="72"/>
        <v>28000</v>
      </c>
      <c r="Y1006" s="1353" t="s">
        <v>297</v>
      </c>
      <c r="Z1006" s="471"/>
      <c r="AA1006" s="471"/>
      <c r="AB1006" s="466"/>
    </row>
    <row r="1007" spans="1:32" s="457" customFormat="1" ht="18" customHeight="1" x14ac:dyDescent="0.25">
      <c r="A1007" s="145">
        <v>7</v>
      </c>
      <c r="B1007" s="1088">
        <v>38450</v>
      </c>
      <c r="C1007" s="177">
        <v>1143</v>
      </c>
      <c r="D1007" s="287" t="s">
        <v>139</v>
      </c>
      <c r="E1007" s="145">
        <v>1</v>
      </c>
      <c r="F1007" s="145">
        <v>0</v>
      </c>
      <c r="G1007" s="145">
        <v>1</v>
      </c>
      <c r="H1007" s="147">
        <v>8</v>
      </c>
      <c r="I1007" s="107">
        <v>54</v>
      </c>
      <c r="J1007" s="178">
        <v>2300</v>
      </c>
      <c r="K1007" s="107">
        <f>I1007*J1007</f>
        <v>124200</v>
      </c>
      <c r="L1007" s="145"/>
      <c r="M1007" s="145"/>
      <c r="N1007" s="145"/>
      <c r="O1007" s="145"/>
      <c r="P1007" s="147"/>
      <c r="Q1007" s="148"/>
      <c r="R1007" s="437"/>
      <c r="S1007" s="107"/>
      <c r="T1007" s="437"/>
      <c r="U1007" s="178"/>
      <c r="V1007" s="107"/>
      <c r="W1007" s="1367">
        <f>V1007+K1007</f>
        <v>124200</v>
      </c>
      <c r="X1007" s="1367">
        <f>W1007</f>
        <v>124200</v>
      </c>
      <c r="Y1007" s="1353" t="s">
        <v>297</v>
      </c>
      <c r="Z1007" s="471"/>
      <c r="AA1007" s="471"/>
      <c r="AB1007" s="466"/>
    </row>
    <row r="1008" spans="1:32" s="457" customFormat="1" ht="18" customHeight="1" x14ac:dyDescent="0.2">
      <c r="A1008" s="145"/>
      <c r="B1008" s="177"/>
      <c r="C1008" s="177"/>
      <c r="D1008" s="145"/>
      <c r="E1008" s="145">
        <v>3</v>
      </c>
      <c r="F1008" s="145"/>
      <c r="G1008" s="145"/>
      <c r="H1008" s="147"/>
      <c r="I1008" s="107">
        <v>54</v>
      </c>
      <c r="J1008" s="178">
        <v>2300</v>
      </c>
      <c r="K1008" s="107">
        <f t="shared" ref="K1008" si="73">I1008*J1008</f>
        <v>124200</v>
      </c>
      <c r="L1008" s="145"/>
      <c r="M1008" s="145"/>
      <c r="N1008" s="145"/>
      <c r="O1008" s="145"/>
      <c r="P1008" s="147"/>
      <c r="Q1008" s="148"/>
      <c r="R1008" s="437"/>
      <c r="S1008" s="107"/>
      <c r="T1008" s="437"/>
      <c r="U1008" s="178"/>
      <c r="V1008" s="107"/>
      <c r="W1008" s="1367">
        <f>V1008+K1008</f>
        <v>124200</v>
      </c>
      <c r="X1008" s="1367">
        <f>W1008</f>
        <v>124200</v>
      </c>
      <c r="Y1008" s="1353"/>
      <c r="Z1008" s="471">
        <f>X1008</f>
        <v>124200</v>
      </c>
      <c r="AA1008" s="471">
        <v>0.3</v>
      </c>
      <c r="AB1008" s="466">
        <f>Z1008*AA1008/100</f>
        <v>372.6</v>
      </c>
    </row>
    <row r="1009" spans="1:28" s="457" customFormat="1" ht="18" customHeight="1" x14ac:dyDescent="0.2">
      <c r="A1009" s="145"/>
      <c r="B1009" s="177"/>
      <c r="C1009" s="177"/>
      <c r="D1009" s="145"/>
      <c r="E1009" s="145"/>
      <c r="F1009" s="145"/>
      <c r="G1009" s="145"/>
      <c r="H1009" s="147"/>
      <c r="I1009" s="107"/>
      <c r="J1009" s="178"/>
      <c r="K1009" s="107"/>
      <c r="L1009" s="145"/>
      <c r="M1009" s="145"/>
      <c r="N1009" s="145"/>
      <c r="O1009" s="145"/>
      <c r="P1009" s="147"/>
      <c r="Q1009" s="148"/>
      <c r="R1009" s="437"/>
      <c r="S1009" s="107"/>
      <c r="T1009" s="437"/>
      <c r="U1009" s="178"/>
      <c r="V1009" s="107"/>
      <c r="W1009" s="107"/>
      <c r="X1009" s="470"/>
      <c r="Y1009" s="470"/>
      <c r="Z1009" s="471"/>
      <c r="AA1009" s="471"/>
      <c r="AB1009" s="466"/>
    </row>
    <row r="1010" spans="1:28" s="457" customFormat="1" ht="18" customHeight="1" x14ac:dyDescent="0.2">
      <c r="A1010" s="145"/>
      <c r="B1010" s="177"/>
      <c r="C1010" s="177"/>
      <c r="D1010" s="145"/>
      <c r="E1010" s="145"/>
      <c r="F1010" s="145"/>
      <c r="G1010" s="145"/>
      <c r="H1010" s="147"/>
      <c r="I1010" s="107"/>
      <c r="J1010" s="178"/>
      <c r="K1010" s="107"/>
      <c r="L1010" s="145"/>
      <c r="M1010" s="145"/>
      <c r="N1010" s="145"/>
      <c r="O1010" s="145"/>
      <c r="P1010" s="147"/>
      <c r="Q1010" s="148"/>
      <c r="R1010" s="437"/>
      <c r="S1010" s="107"/>
      <c r="T1010" s="437"/>
      <c r="U1010" s="178"/>
      <c r="V1010" s="107"/>
      <c r="W1010" s="107"/>
      <c r="X1010" s="470"/>
      <c r="Y1010" s="470"/>
      <c r="Z1010" s="471"/>
      <c r="AA1010" s="471"/>
      <c r="AB1010" s="466"/>
    </row>
    <row r="1011" spans="1:28" s="457" customFormat="1" ht="18" customHeight="1" x14ac:dyDescent="0.2">
      <c r="A1011" s="145"/>
      <c r="B1011" s="177"/>
      <c r="C1011" s="177"/>
      <c r="D1011" s="145"/>
      <c r="E1011" s="145"/>
      <c r="F1011" s="145"/>
      <c r="G1011" s="145"/>
      <c r="H1011" s="147"/>
      <c r="I1011" s="107"/>
      <c r="J1011" s="178"/>
      <c r="K1011" s="107"/>
      <c r="L1011" s="145"/>
      <c r="M1011" s="145"/>
      <c r="N1011" s="145"/>
      <c r="O1011" s="145"/>
      <c r="P1011" s="147"/>
      <c r="Q1011" s="148"/>
      <c r="R1011" s="437"/>
      <c r="S1011" s="107"/>
      <c r="T1011" s="437"/>
      <c r="U1011" s="178"/>
      <c r="V1011" s="107"/>
      <c r="W1011" s="107"/>
      <c r="X1011" s="470"/>
      <c r="Y1011" s="470"/>
      <c r="Z1011" s="471"/>
      <c r="AA1011" s="471"/>
      <c r="AB1011" s="466"/>
    </row>
    <row r="1012" spans="1:28" s="457" customFormat="1" ht="18" customHeight="1" x14ac:dyDescent="0.2">
      <c r="A1012" s="145"/>
      <c r="B1012" s="177"/>
      <c r="C1012" s="177"/>
      <c r="D1012" s="145"/>
      <c r="E1012" s="145"/>
      <c r="F1012" s="145"/>
      <c r="G1012" s="145"/>
      <c r="H1012" s="147"/>
      <c r="I1012" s="107"/>
      <c r="J1012" s="178"/>
      <c r="K1012" s="107"/>
      <c r="L1012" s="145"/>
      <c r="M1012" s="145"/>
      <c r="N1012" s="145"/>
      <c r="O1012" s="145"/>
      <c r="P1012" s="147"/>
      <c r="Q1012" s="148"/>
      <c r="R1012" s="437"/>
      <c r="S1012" s="107"/>
      <c r="T1012" s="437"/>
      <c r="U1012" s="178"/>
      <c r="V1012" s="107"/>
      <c r="W1012" s="107"/>
      <c r="X1012" s="470"/>
      <c r="Y1012" s="470"/>
      <c r="Z1012" s="471"/>
      <c r="AA1012" s="471"/>
      <c r="AB1012" s="466"/>
    </row>
    <row r="1013" spans="1:28" s="457" customFormat="1" ht="18" customHeight="1" x14ac:dyDescent="0.2">
      <c r="A1013" s="145"/>
      <c r="B1013" s="177"/>
      <c r="C1013" s="177"/>
      <c r="D1013" s="145"/>
      <c r="E1013" s="145"/>
      <c r="F1013" s="145"/>
      <c r="G1013" s="145"/>
      <c r="H1013" s="147"/>
      <c r="I1013" s="107"/>
      <c r="J1013" s="178"/>
      <c r="K1013" s="107"/>
      <c r="L1013" s="145"/>
      <c r="M1013" s="145"/>
      <c r="N1013" s="145"/>
      <c r="O1013" s="145"/>
      <c r="P1013" s="147"/>
      <c r="Q1013" s="148"/>
      <c r="R1013" s="437"/>
      <c r="S1013" s="107"/>
      <c r="T1013" s="437"/>
      <c r="U1013" s="178"/>
      <c r="V1013" s="107"/>
      <c r="W1013" s="107"/>
      <c r="X1013" s="470"/>
      <c r="Y1013" s="470"/>
      <c r="Z1013" s="471"/>
      <c r="AA1013" s="471"/>
      <c r="AB1013" s="466"/>
    </row>
    <row r="1014" spans="1:28" s="457" customFormat="1" ht="18" customHeight="1" x14ac:dyDescent="0.2">
      <c r="A1014" s="1528"/>
      <c r="B1014" s="177"/>
      <c r="C1014" s="177"/>
      <c r="D1014" s="1528"/>
      <c r="E1014" s="1528"/>
      <c r="F1014" s="1528"/>
      <c r="G1014" s="1528"/>
      <c r="H1014" s="1530"/>
      <c r="I1014" s="1531"/>
      <c r="J1014" s="178"/>
      <c r="K1014" s="1531"/>
      <c r="L1014" s="1528"/>
      <c r="M1014" s="1528"/>
      <c r="N1014" s="1528"/>
      <c r="O1014" s="1528"/>
      <c r="P1014" s="1530"/>
      <c r="Q1014" s="1529"/>
      <c r="R1014" s="437"/>
      <c r="S1014" s="1531"/>
      <c r="T1014" s="437"/>
      <c r="U1014" s="178"/>
      <c r="V1014" s="1531"/>
      <c r="W1014" s="1531"/>
      <c r="X1014" s="470"/>
      <c r="Y1014" s="470"/>
      <c r="Z1014" s="471"/>
      <c r="AA1014" s="471"/>
      <c r="AB1014" s="466"/>
    </row>
    <row r="1015" spans="1:28" s="457" customFormat="1" ht="18" customHeight="1" x14ac:dyDescent="0.2">
      <c r="A1015" s="1528"/>
      <c r="B1015" s="177"/>
      <c r="C1015" s="177"/>
      <c r="D1015" s="1528"/>
      <c r="E1015" s="1528"/>
      <c r="F1015" s="1528"/>
      <c r="G1015" s="1528"/>
      <c r="H1015" s="1530"/>
      <c r="I1015" s="1531"/>
      <c r="J1015" s="178"/>
      <c r="K1015" s="1531"/>
      <c r="L1015" s="1528"/>
      <c r="M1015" s="1528"/>
      <c r="N1015" s="1528"/>
      <c r="O1015" s="1528"/>
      <c r="P1015" s="1530"/>
      <c r="Q1015" s="1529"/>
      <c r="R1015" s="437"/>
      <c r="S1015" s="1531"/>
      <c r="T1015" s="437"/>
      <c r="U1015" s="178"/>
      <c r="V1015" s="1531"/>
      <c r="W1015" s="1531"/>
      <c r="X1015" s="470"/>
      <c r="Y1015" s="470"/>
      <c r="Z1015" s="471"/>
      <c r="AA1015" s="471"/>
      <c r="AB1015" s="466"/>
    </row>
    <row r="1016" spans="1:28" s="457" customFormat="1" ht="18" customHeight="1" x14ac:dyDescent="0.2">
      <c r="A1016" s="1528"/>
      <c r="B1016" s="177"/>
      <c r="C1016" s="177"/>
      <c r="D1016" s="1528"/>
      <c r="E1016" s="1528"/>
      <c r="F1016" s="1528"/>
      <c r="G1016" s="1528"/>
      <c r="H1016" s="1530"/>
      <c r="I1016" s="1531"/>
      <c r="J1016" s="178"/>
      <c r="K1016" s="1531"/>
      <c r="L1016" s="1528"/>
      <c r="M1016" s="1528"/>
      <c r="N1016" s="1528"/>
      <c r="O1016" s="1528"/>
      <c r="P1016" s="1530"/>
      <c r="Q1016" s="1529"/>
      <c r="R1016" s="437"/>
      <c r="S1016" s="1531"/>
      <c r="T1016" s="437"/>
      <c r="U1016" s="178"/>
      <c r="V1016" s="1531"/>
      <c r="W1016" s="1531"/>
      <c r="X1016" s="470"/>
      <c r="Y1016" s="470"/>
      <c r="Z1016" s="471"/>
      <c r="AA1016" s="471"/>
      <c r="AB1016" s="466"/>
    </row>
    <row r="1017" spans="1:28" s="457" customFormat="1" ht="18" customHeight="1" x14ac:dyDescent="0.2">
      <c r="A1017" s="145"/>
      <c r="B1017" s="177"/>
      <c r="C1017" s="177"/>
      <c r="D1017" s="145"/>
      <c r="E1017" s="145"/>
      <c r="F1017" s="145"/>
      <c r="G1017" s="145"/>
      <c r="H1017" s="147"/>
      <c r="I1017" s="107"/>
      <c r="J1017" s="178"/>
      <c r="K1017" s="107"/>
      <c r="L1017" s="145"/>
      <c r="M1017" s="145"/>
      <c r="N1017" s="145"/>
      <c r="O1017" s="145"/>
      <c r="P1017" s="147"/>
      <c r="Q1017" s="148"/>
      <c r="R1017" s="437"/>
      <c r="S1017" s="107"/>
      <c r="T1017" s="437"/>
      <c r="U1017" s="178"/>
      <c r="V1017" s="107"/>
      <c r="W1017" s="107"/>
      <c r="X1017" s="470"/>
      <c r="Y1017" s="470"/>
      <c r="Z1017" s="471"/>
      <c r="AA1017" s="471"/>
      <c r="AB1017" s="466"/>
    </row>
    <row r="1018" spans="1:28" s="457" customFormat="1" ht="18" customHeight="1" x14ac:dyDescent="0.2">
      <c r="A1018" s="145"/>
      <c r="B1018" s="177"/>
      <c r="C1018" s="177"/>
      <c r="D1018" s="145"/>
      <c r="E1018" s="145"/>
      <c r="F1018" s="145"/>
      <c r="G1018" s="145"/>
      <c r="H1018" s="147"/>
      <c r="I1018" s="107"/>
      <c r="J1018" s="178"/>
      <c r="K1018" s="107"/>
      <c r="L1018" s="145"/>
      <c r="M1018" s="145"/>
      <c r="N1018" s="145"/>
      <c r="O1018" s="145"/>
      <c r="P1018" s="147"/>
      <c r="Q1018" s="148"/>
      <c r="R1018" s="437"/>
      <c r="S1018" s="107"/>
      <c r="T1018" s="437"/>
      <c r="U1018" s="178"/>
      <c r="V1018" s="107"/>
      <c r="W1018" s="107"/>
      <c r="X1018" s="470"/>
      <c r="Y1018" s="470"/>
      <c r="Z1018" s="471"/>
      <c r="AA1018" s="471"/>
      <c r="AB1018" s="466"/>
    </row>
    <row r="1019" spans="1:28" s="457" customFormat="1" ht="18" customHeight="1" x14ac:dyDescent="0.2">
      <c r="A1019" s="145"/>
      <c r="B1019" s="177"/>
      <c r="C1019" s="177"/>
      <c r="D1019" s="145"/>
      <c r="E1019" s="145"/>
      <c r="F1019" s="145"/>
      <c r="G1019" s="145"/>
      <c r="H1019" s="147"/>
      <c r="I1019" s="107"/>
      <c r="J1019" s="178"/>
      <c r="K1019" s="107"/>
      <c r="L1019" s="145"/>
      <c r="M1019" s="145"/>
      <c r="N1019" s="145"/>
      <c r="O1019" s="145"/>
      <c r="P1019" s="147"/>
      <c r="Q1019" s="148"/>
      <c r="R1019" s="437"/>
      <c r="S1019" s="107"/>
      <c r="T1019" s="437"/>
      <c r="U1019" s="178"/>
      <c r="V1019" s="107"/>
      <c r="W1019" s="107"/>
      <c r="X1019" s="470"/>
      <c r="Y1019" s="470"/>
      <c r="Z1019" s="471"/>
      <c r="AA1019" s="471"/>
      <c r="AB1019" s="466"/>
    </row>
    <row r="1020" spans="1:28" s="457" customFormat="1" ht="18" customHeight="1" x14ac:dyDescent="0.2">
      <c r="A1020" s="145"/>
      <c r="B1020" s="177"/>
      <c r="C1020" s="177"/>
      <c r="D1020" s="145"/>
      <c r="E1020" s="145"/>
      <c r="F1020" s="145"/>
      <c r="G1020" s="145"/>
      <c r="H1020" s="147"/>
      <c r="I1020" s="107"/>
      <c r="J1020" s="178"/>
      <c r="K1020" s="107"/>
      <c r="L1020" s="145"/>
      <c r="M1020" s="145"/>
      <c r="N1020" s="145"/>
      <c r="O1020" s="145"/>
      <c r="P1020" s="147"/>
      <c r="Q1020" s="148"/>
      <c r="R1020" s="437"/>
      <c r="S1020" s="107"/>
      <c r="T1020" s="437"/>
      <c r="U1020" s="178"/>
      <c r="V1020" s="107"/>
      <c r="W1020" s="107"/>
      <c r="X1020" s="470"/>
      <c r="Y1020" s="470"/>
      <c r="Z1020" s="471"/>
      <c r="AA1020" s="471"/>
      <c r="AB1020" s="466"/>
    </row>
    <row r="1021" spans="1:28" s="597" customFormat="1" ht="18" customHeight="1" x14ac:dyDescent="0.2">
      <c r="A1021" s="1850"/>
      <c r="B1021" s="1850"/>
      <c r="C1021" s="1850"/>
      <c r="D1021" s="1850"/>
      <c r="E1021" s="1850"/>
      <c r="F1021" s="1850"/>
      <c r="G1021" s="1850"/>
      <c r="H1021" s="1851"/>
      <c r="I1021" s="1852"/>
      <c r="J1021" s="1853"/>
      <c r="K1021" s="1852"/>
      <c r="L1021" s="1852"/>
      <c r="M1021" s="1852"/>
      <c r="N1021" s="1852"/>
      <c r="O1021" s="1852"/>
      <c r="P1021" s="1852"/>
      <c r="Q1021" s="1852"/>
      <c r="R1021" s="1854"/>
      <c r="S1021" s="1852"/>
      <c r="T1021" s="1854"/>
      <c r="U1021" s="1853"/>
      <c r="V1021" s="1852"/>
      <c r="W1021" s="1852"/>
      <c r="X1021" s="1856"/>
      <c r="Y1021" s="1856"/>
      <c r="Z1021" s="1857"/>
      <c r="AA1021" s="1857"/>
      <c r="AB1021" s="1847">
        <f>SUM(AB1000:AB1020)</f>
        <v>456.6</v>
      </c>
    </row>
    <row r="1022" spans="1:28" s="457" customFormat="1" ht="18" customHeight="1" x14ac:dyDescent="0.2">
      <c r="A1022" s="2737" t="s">
        <v>76</v>
      </c>
      <c r="B1022" s="2737"/>
      <c r="C1022" s="2738" t="s">
        <v>77</v>
      </c>
      <c r="D1022" s="2738"/>
      <c r="E1022" s="2738"/>
      <c r="F1022" s="2738"/>
      <c r="G1022" s="2738"/>
      <c r="H1022" s="2738"/>
      <c r="I1022" s="457" t="s">
        <v>78</v>
      </c>
      <c r="T1022" s="651"/>
      <c r="U1022" s="478"/>
      <c r="Z1022" s="457" t="s">
        <v>298</v>
      </c>
      <c r="AB1022" s="478"/>
    </row>
    <row r="1023" spans="1:28" s="457" customFormat="1" ht="18" customHeight="1" x14ac:dyDescent="0.2">
      <c r="A1023" s="448"/>
      <c r="B1023" s="479"/>
      <c r="I1023" s="457" t="s">
        <v>79</v>
      </c>
      <c r="T1023" s="651"/>
      <c r="U1023" s="478"/>
      <c r="AB1023" s="478"/>
    </row>
    <row r="1024" spans="1:28" s="457" customFormat="1" ht="18" customHeight="1" x14ac:dyDescent="0.2">
      <c r="A1024" s="448"/>
      <c r="B1024" s="479"/>
      <c r="I1024" s="457" t="s">
        <v>80</v>
      </c>
      <c r="T1024" s="651"/>
      <c r="U1024" s="478"/>
      <c r="AB1024" s="478"/>
    </row>
    <row r="1025" spans="1:32" s="457" customFormat="1" ht="18" customHeight="1" x14ac:dyDescent="0.2">
      <c r="A1025" s="448"/>
      <c r="B1025" s="479"/>
      <c r="I1025" s="457" t="s">
        <v>81</v>
      </c>
      <c r="T1025" s="651"/>
      <c r="U1025" s="478"/>
      <c r="AB1025" s="478"/>
    </row>
    <row r="1026" spans="1:32" s="457" customFormat="1" ht="18" customHeight="1" x14ac:dyDescent="0.2">
      <c r="A1026" s="448"/>
      <c r="B1026" s="479"/>
      <c r="I1026" s="457" t="s">
        <v>88</v>
      </c>
      <c r="T1026" s="651"/>
      <c r="U1026" s="478"/>
      <c r="AB1026" s="478"/>
    </row>
    <row r="1027" spans="1:32" s="457" customFormat="1" ht="18" customHeight="1" x14ac:dyDescent="0.2">
      <c r="A1027" s="1524"/>
      <c r="B1027" s="455"/>
      <c r="C1027" s="455"/>
      <c r="D1027" s="455"/>
      <c r="E1027" s="455"/>
      <c r="F1027" s="455"/>
      <c r="G1027" s="455"/>
      <c r="H1027" s="455"/>
      <c r="I1027" s="455"/>
      <c r="J1027" s="455"/>
      <c r="K1027" s="455"/>
      <c r="L1027" s="455"/>
      <c r="M1027" s="455"/>
      <c r="N1027" s="455"/>
      <c r="O1027" s="455"/>
      <c r="P1027" s="455"/>
      <c r="Q1027" s="455"/>
      <c r="R1027" s="455"/>
      <c r="S1027" s="455"/>
      <c r="T1027" s="608"/>
      <c r="U1027" s="609"/>
      <c r="V1027" s="455"/>
      <c r="W1027" s="455"/>
      <c r="X1027" s="455"/>
      <c r="Y1027" s="455"/>
      <c r="Z1027" s="455"/>
      <c r="AA1027" s="2705" t="s">
        <v>0</v>
      </c>
      <c r="AB1027" s="2705"/>
    </row>
    <row r="1028" spans="1:32" s="457" customFormat="1" ht="18" customHeight="1" x14ac:dyDescent="0.2">
      <c r="A1028" s="2706" t="s">
        <v>1</v>
      </c>
      <c r="B1028" s="2706"/>
      <c r="C1028" s="2706"/>
      <c r="D1028" s="2706"/>
      <c r="E1028" s="2706"/>
      <c r="F1028" s="2706"/>
      <c r="G1028" s="2706"/>
      <c r="H1028" s="2706"/>
      <c r="I1028" s="2706"/>
      <c r="J1028" s="2706"/>
      <c r="K1028" s="2706"/>
      <c r="L1028" s="2706"/>
      <c r="M1028" s="2706"/>
      <c r="N1028" s="2706"/>
      <c r="O1028" s="2706"/>
      <c r="P1028" s="2706"/>
      <c r="Q1028" s="2706"/>
      <c r="R1028" s="2706"/>
      <c r="S1028" s="2706"/>
      <c r="T1028" s="2706"/>
      <c r="U1028" s="2706"/>
      <c r="V1028" s="2706"/>
      <c r="W1028" s="2706"/>
      <c r="X1028" s="2706"/>
      <c r="Y1028" s="2706"/>
      <c r="Z1028" s="2706"/>
      <c r="AA1028" s="2706"/>
      <c r="AB1028" s="2706"/>
    </row>
    <row r="1029" spans="1:32" ht="18" customHeight="1" x14ac:dyDescent="0.2">
      <c r="A1029" s="2741" t="s">
        <v>332</v>
      </c>
      <c r="B1029" s="2741"/>
      <c r="C1029" s="2741"/>
      <c r="D1029" s="2741"/>
      <c r="E1029" s="2741"/>
      <c r="F1029" s="2741"/>
      <c r="G1029" s="2741"/>
      <c r="H1029" s="2741"/>
      <c r="I1029" s="2741"/>
      <c r="J1029" s="2741"/>
      <c r="K1029" s="2741"/>
      <c r="L1029" s="2741"/>
      <c r="M1029" s="2741"/>
      <c r="N1029" s="2741"/>
      <c r="O1029" s="2741"/>
      <c r="P1029" s="2741"/>
      <c r="Q1029" s="2741"/>
      <c r="R1029" s="2741"/>
      <c r="S1029" s="2741"/>
      <c r="T1029" s="2741"/>
      <c r="U1029" s="2741"/>
      <c r="V1029" s="2741"/>
      <c r="W1029" s="2741"/>
      <c r="X1029" s="2741"/>
      <c r="Y1029" s="2741"/>
      <c r="Z1029" s="2741"/>
      <c r="AA1029" s="2741"/>
      <c r="AB1029" s="2741"/>
    </row>
    <row r="1030" spans="1:32" s="457" customFormat="1" ht="18" customHeight="1" x14ac:dyDescent="0.2">
      <c r="A1030" s="2686" t="s">
        <v>2</v>
      </c>
      <c r="B1030" s="360"/>
      <c r="C1030" s="2686" t="s">
        <v>3</v>
      </c>
      <c r="D1030" s="360"/>
      <c r="E1030" s="360"/>
      <c r="F1030" s="2693" t="s">
        <v>4</v>
      </c>
      <c r="G1030" s="2693"/>
      <c r="H1030" s="2693"/>
      <c r="I1030" s="2694"/>
      <c r="J1030" s="2694"/>
      <c r="K1030" s="2695"/>
      <c r="L1030" s="361"/>
      <c r="M1030" s="2679" t="s">
        <v>5</v>
      </c>
      <c r="N1030" s="2679"/>
      <c r="O1030" s="2679"/>
      <c r="P1030" s="2679"/>
      <c r="Q1030" s="2696"/>
      <c r="R1030" s="2696"/>
      <c r="S1030" s="2696"/>
      <c r="T1030" s="2696"/>
      <c r="U1030" s="2696"/>
      <c r="V1030" s="2697"/>
      <c r="W1030" s="362" t="s">
        <v>6</v>
      </c>
      <c r="X1030" s="363" t="s">
        <v>7</v>
      </c>
      <c r="Y1030" s="364"/>
      <c r="Z1030" s="364"/>
      <c r="AA1030" s="363"/>
      <c r="AB1030" s="458"/>
    </row>
    <row r="1031" spans="1:32" s="457" customFormat="1" ht="18" customHeight="1" x14ac:dyDescent="0.2">
      <c r="A1031" s="2687"/>
      <c r="B1031" s="367"/>
      <c r="C1031" s="2687"/>
      <c r="D1031" s="1520" t="s">
        <v>9</v>
      </c>
      <c r="E1031" s="1520" t="s">
        <v>10</v>
      </c>
      <c r="F1031" s="2698" t="s">
        <v>11</v>
      </c>
      <c r="G1031" s="2694"/>
      <c r="H1031" s="2695"/>
      <c r="I1031" s="360"/>
      <c r="J1031" s="1519" t="s">
        <v>12</v>
      </c>
      <c r="K1031" s="360"/>
      <c r="L1031" s="2734" t="s">
        <v>2</v>
      </c>
      <c r="M1031" s="1525"/>
      <c r="N1031" s="1525"/>
      <c r="O1031" s="1525"/>
      <c r="P1031" s="371"/>
      <c r="Q1031" s="459" t="s">
        <v>13</v>
      </c>
      <c r="R1031" s="1525" t="s">
        <v>12</v>
      </c>
      <c r="S1031" s="1525" t="s">
        <v>6</v>
      </c>
      <c r="T1031" s="2682" t="s">
        <v>14</v>
      </c>
      <c r="U1031" s="2683"/>
      <c r="V1031" s="375" t="s">
        <v>7</v>
      </c>
      <c r="W1031" s="376" t="s">
        <v>15</v>
      </c>
      <c r="X1031" s="377" t="s">
        <v>16</v>
      </c>
      <c r="Y1031" s="377" t="s">
        <v>17</v>
      </c>
      <c r="Z1031" s="377" t="s">
        <v>18</v>
      </c>
      <c r="AA1031" s="377"/>
      <c r="AB1031" s="460" t="s">
        <v>19</v>
      </c>
    </row>
    <row r="1032" spans="1:32" s="457" customFormat="1" ht="18" customHeight="1" x14ac:dyDescent="0.2">
      <c r="A1032" s="2687"/>
      <c r="B1032" s="1520" t="s">
        <v>23</v>
      </c>
      <c r="C1032" s="2687"/>
      <c r="D1032" s="1520" t="s">
        <v>24</v>
      </c>
      <c r="E1032" s="1520" t="s">
        <v>25</v>
      </c>
      <c r="F1032" s="2699"/>
      <c r="G1032" s="2700"/>
      <c r="H1032" s="2701"/>
      <c r="I1032" s="1520" t="s">
        <v>26</v>
      </c>
      <c r="J1032" s="1523" t="s">
        <v>15</v>
      </c>
      <c r="K1032" s="1523" t="s">
        <v>6</v>
      </c>
      <c r="L1032" s="2735"/>
      <c r="M1032" s="1526" t="s">
        <v>27</v>
      </c>
      <c r="N1032" s="1526" t="s">
        <v>10</v>
      </c>
      <c r="O1032" s="1526" t="s">
        <v>10</v>
      </c>
      <c r="P1032" s="385" t="s">
        <v>28</v>
      </c>
      <c r="Q1032" s="461" t="s">
        <v>29</v>
      </c>
      <c r="R1032" s="385" t="s">
        <v>15</v>
      </c>
      <c r="S1032" s="385" t="s">
        <v>15</v>
      </c>
      <c r="T1032" s="2684"/>
      <c r="U1032" s="2685"/>
      <c r="V1032" s="375" t="s">
        <v>30</v>
      </c>
      <c r="W1032" s="376" t="s">
        <v>31</v>
      </c>
      <c r="X1032" s="377" t="s">
        <v>30</v>
      </c>
      <c r="Y1032" s="377" t="s">
        <v>32</v>
      </c>
      <c r="Z1032" s="377" t="s">
        <v>7</v>
      </c>
      <c r="AA1032" s="377" t="s">
        <v>33</v>
      </c>
      <c r="AB1032" s="460" t="s">
        <v>34</v>
      </c>
    </row>
    <row r="1033" spans="1:32" s="457" customFormat="1" ht="18" customHeight="1" x14ac:dyDescent="0.2">
      <c r="A1033" s="2687"/>
      <c r="B1033" s="1520" t="s">
        <v>39</v>
      </c>
      <c r="C1033" s="2687"/>
      <c r="D1033" s="1520" t="s">
        <v>40</v>
      </c>
      <c r="E1033" s="1520" t="s">
        <v>41</v>
      </c>
      <c r="F1033" s="2686" t="s">
        <v>42</v>
      </c>
      <c r="G1033" s="2686" t="s">
        <v>43</v>
      </c>
      <c r="H1033" s="2688" t="s">
        <v>44</v>
      </c>
      <c r="I1033" s="1520" t="s">
        <v>45</v>
      </c>
      <c r="J1033" s="1523" t="s">
        <v>46</v>
      </c>
      <c r="K1033" s="1523" t="s">
        <v>47</v>
      </c>
      <c r="L1033" s="2735"/>
      <c r="M1033" s="1526" t="s">
        <v>30</v>
      </c>
      <c r="N1033" s="1526" t="s">
        <v>30</v>
      </c>
      <c r="O1033" s="1526" t="s">
        <v>25</v>
      </c>
      <c r="P1033" s="385" t="s">
        <v>30</v>
      </c>
      <c r="Q1033" s="461" t="s">
        <v>48</v>
      </c>
      <c r="R1033" s="385" t="s">
        <v>49</v>
      </c>
      <c r="S1033" s="385" t="s">
        <v>30</v>
      </c>
      <c r="T1033" s="619" t="s">
        <v>50</v>
      </c>
      <c r="U1033" s="620" t="s">
        <v>13</v>
      </c>
      <c r="V1033" s="375" t="s">
        <v>51</v>
      </c>
      <c r="W1033" s="376" t="s">
        <v>52</v>
      </c>
      <c r="X1033" s="377" t="s">
        <v>53</v>
      </c>
      <c r="Y1033" s="377" t="s">
        <v>54</v>
      </c>
      <c r="Z1033" s="377" t="s">
        <v>55</v>
      </c>
      <c r="AA1033" s="377" t="s">
        <v>56</v>
      </c>
      <c r="AB1033" s="460" t="s">
        <v>57</v>
      </c>
    </row>
    <row r="1034" spans="1:32" s="457" customFormat="1" ht="18" customHeight="1" x14ac:dyDescent="0.2">
      <c r="A1034" s="2687"/>
      <c r="B1034" s="1520" t="s">
        <v>61</v>
      </c>
      <c r="C1034" s="2687"/>
      <c r="D1034" s="1520" t="s">
        <v>62</v>
      </c>
      <c r="E1034" s="1520" t="s">
        <v>63</v>
      </c>
      <c r="F1034" s="2687"/>
      <c r="G1034" s="2687"/>
      <c r="H1034" s="2689"/>
      <c r="I1034" s="1520" t="s">
        <v>64</v>
      </c>
      <c r="J1034" s="1523" t="s">
        <v>59</v>
      </c>
      <c r="K1034" s="1523" t="s">
        <v>59</v>
      </c>
      <c r="L1034" s="2735"/>
      <c r="M1034" s="1526"/>
      <c r="N1034" s="1526"/>
      <c r="O1034" s="1526" t="s">
        <v>41</v>
      </c>
      <c r="P1034" s="385" t="s">
        <v>65</v>
      </c>
      <c r="Q1034" s="461" t="s">
        <v>66</v>
      </c>
      <c r="R1034" s="385" t="s">
        <v>67</v>
      </c>
      <c r="S1034" s="385" t="s">
        <v>59</v>
      </c>
      <c r="T1034" s="621" t="s">
        <v>68</v>
      </c>
      <c r="U1034" s="622" t="s">
        <v>14</v>
      </c>
      <c r="V1034" s="375" t="s">
        <v>14</v>
      </c>
      <c r="W1034" s="376" t="s">
        <v>30</v>
      </c>
      <c r="X1034" s="388" t="s">
        <v>69</v>
      </c>
      <c r="Y1034" s="388" t="s">
        <v>70</v>
      </c>
      <c r="Z1034" s="377" t="s">
        <v>71</v>
      </c>
      <c r="AA1034" s="377" t="s">
        <v>72</v>
      </c>
      <c r="AB1034" s="460" t="s">
        <v>59</v>
      </c>
    </row>
    <row r="1035" spans="1:32" s="457" customFormat="1" ht="18" customHeight="1" x14ac:dyDescent="0.2">
      <c r="A1035" s="2692"/>
      <c r="B1035" s="390"/>
      <c r="C1035" s="2692"/>
      <c r="D1035" s="390"/>
      <c r="E1035" s="1521"/>
      <c r="F1035" s="390"/>
      <c r="G1035" s="390"/>
      <c r="H1035" s="391"/>
      <c r="I1035" s="1521"/>
      <c r="J1035" s="393"/>
      <c r="K1035" s="393"/>
      <c r="L1035" s="2736"/>
      <c r="M1035" s="1527"/>
      <c r="N1035" s="1527"/>
      <c r="O1035" s="1527" t="s">
        <v>63</v>
      </c>
      <c r="P1035" s="1527"/>
      <c r="Q1035" s="1522" t="s">
        <v>72</v>
      </c>
      <c r="R1035" s="398" t="s">
        <v>59</v>
      </c>
      <c r="S1035" s="398"/>
      <c r="T1035" s="623" t="s">
        <v>73</v>
      </c>
      <c r="U1035" s="624" t="s">
        <v>59</v>
      </c>
      <c r="V1035" s="399" t="s">
        <v>59</v>
      </c>
      <c r="W1035" s="400" t="s">
        <v>59</v>
      </c>
      <c r="X1035" s="401" t="s">
        <v>59</v>
      </c>
      <c r="Y1035" s="401" t="s">
        <v>59</v>
      </c>
      <c r="Z1035" s="401" t="s">
        <v>59</v>
      </c>
      <c r="AA1035" s="402"/>
      <c r="AB1035" s="462"/>
    </row>
    <row r="1036" spans="1:32" s="457" customFormat="1" ht="18" customHeight="1" x14ac:dyDescent="0.25">
      <c r="A1036" s="981">
        <v>1</v>
      </c>
      <c r="B1036" s="1633">
        <v>67362</v>
      </c>
      <c r="C1036" s="259">
        <v>2004</v>
      </c>
      <c r="D1036" s="333" t="s">
        <v>139</v>
      </c>
      <c r="E1036" s="333">
        <v>1</v>
      </c>
      <c r="F1036" s="1615">
        <v>0</v>
      </c>
      <c r="G1036" s="1615">
        <v>2</v>
      </c>
      <c r="H1036" s="1615">
        <v>0</v>
      </c>
      <c r="I1036" s="18">
        <f>F1036*400+G1036*100+H1036</f>
        <v>200</v>
      </c>
      <c r="J1036" s="1634">
        <v>280</v>
      </c>
      <c r="K1036" s="1332">
        <f>J1036*I1036</f>
        <v>56000</v>
      </c>
      <c r="L1036" s="1333">
        <v>1</v>
      </c>
      <c r="M1036" s="1334">
        <v>103</v>
      </c>
      <c r="N1036" s="1333" t="s">
        <v>74</v>
      </c>
      <c r="O1036" s="1333">
        <v>2</v>
      </c>
      <c r="P1036" s="1335">
        <v>81</v>
      </c>
      <c r="Q1036" s="1336" t="s">
        <v>75</v>
      </c>
      <c r="R1036" s="1337">
        <v>9050</v>
      </c>
      <c r="S1036" s="18">
        <f t="shared" ref="S1036" si="74">+P1036*R1036</f>
        <v>733050</v>
      </c>
      <c r="T1036" s="1338">
        <v>1</v>
      </c>
      <c r="U1036" s="47">
        <f>+S1036*0.1</f>
        <v>73305</v>
      </c>
      <c r="V1036" s="47">
        <f t="shared" ref="V1036" si="75">SUM(S1036-U1036)</f>
        <v>659745</v>
      </c>
      <c r="W1036" s="18">
        <f t="shared" ref="W1036" si="76">K1036+V1036</f>
        <v>715745</v>
      </c>
      <c r="X1036" s="47">
        <f t="shared" ref="X1036" si="77">W1036</f>
        <v>715745</v>
      </c>
      <c r="Y1036" s="1339"/>
      <c r="Z1036" s="256">
        <f>+X1036*Q1036/100</f>
        <v>715745</v>
      </c>
      <c r="AA1036" s="1411">
        <v>0.02</v>
      </c>
      <c r="AB1036" s="466">
        <f>Z1036*AA1036/100</f>
        <v>143.149</v>
      </c>
      <c r="AC1036" s="350"/>
      <c r="AD1036" s="350"/>
      <c r="AE1036" s="350"/>
      <c r="AF1036" s="350"/>
    </row>
    <row r="1037" spans="1:32" s="457" customFormat="1" ht="18" customHeight="1" x14ac:dyDescent="0.25">
      <c r="A1037" s="287"/>
      <c r="B1037" s="288"/>
      <c r="C1037" s="270"/>
      <c r="D1037" s="287"/>
      <c r="E1037" s="287"/>
      <c r="F1037" s="27"/>
      <c r="G1037" s="27"/>
      <c r="H1037" s="27"/>
      <c r="I1037" s="1343"/>
      <c r="J1037" s="1344"/>
      <c r="K1037" s="1345"/>
      <c r="L1037" s="1346"/>
      <c r="M1037" s="1346"/>
      <c r="N1037" s="1346"/>
      <c r="O1037" s="1346"/>
      <c r="P1037" s="1347"/>
      <c r="Q1037" s="1348"/>
      <c r="R1037" s="1349"/>
      <c r="S1037" s="1344"/>
      <c r="T1037" s="1350"/>
      <c r="U1037" s="1351"/>
      <c r="V1037" s="1344"/>
      <c r="W1037" s="1344"/>
      <c r="X1037" s="1352"/>
      <c r="Y1037" s="1353"/>
      <c r="Z1037" s="1345"/>
      <c r="AA1037" s="1354"/>
      <c r="AB1037" s="1355"/>
      <c r="AC1037" s="1356"/>
      <c r="AD1037" s="1356"/>
      <c r="AE1037" s="1356"/>
      <c r="AF1037" s="1356"/>
    </row>
    <row r="1038" spans="1:32" s="1491" customFormat="1" ht="18" customHeight="1" x14ac:dyDescent="0.25">
      <c r="A1038" s="1470"/>
      <c r="B1038" s="1582"/>
      <c r="C1038" s="1472"/>
      <c r="D1038" s="1473"/>
      <c r="E1038" s="1473"/>
      <c r="F1038" s="1471"/>
      <c r="G1038" s="1472"/>
      <c r="H1038" s="1471"/>
      <c r="I1038" s="1474"/>
      <c r="J1038" s="1475"/>
      <c r="K1038" s="1476"/>
      <c r="L1038" s="1477"/>
      <c r="M1038" s="1478"/>
      <c r="N1038" s="1479"/>
      <c r="O1038" s="1480"/>
      <c r="P1038" s="1481"/>
      <c r="Q1038" s="1482"/>
      <c r="R1038" s="1483"/>
      <c r="S1038" s="1484"/>
      <c r="T1038" s="1485"/>
      <c r="U1038" s="1486"/>
      <c r="V1038" s="1486"/>
      <c r="W1038" s="1484"/>
      <c r="X1038" s="1486"/>
      <c r="Y1038" s="1486"/>
      <c r="Z1038" s="1487"/>
      <c r="AA1038" s="1488"/>
      <c r="AB1038" s="1489"/>
      <c r="AC1038" s="1490"/>
      <c r="AD1038" s="1490"/>
      <c r="AE1038" s="1490"/>
      <c r="AF1038" s="1490"/>
    </row>
    <row r="1039" spans="1:32" s="457" customFormat="1" ht="18" customHeight="1" x14ac:dyDescent="0.25">
      <c r="A1039" s="88"/>
      <c r="B1039" s="786"/>
      <c r="C1039" s="88"/>
      <c r="D1039" s="287"/>
      <c r="E1039" s="1528"/>
      <c r="F1039" s="1528"/>
      <c r="G1039" s="1528"/>
      <c r="H1039" s="1530"/>
      <c r="I1039" s="1531"/>
      <c r="J1039" s="178"/>
      <c r="K1039" s="1531"/>
      <c r="L1039" s="1528"/>
      <c r="M1039" s="1528"/>
      <c r="N1039" s="1528"/>
      <c r="O1039" s="1528"/>
      <c r="P1039" s="1530"/>
      <c r="Q1039" s="1529"/>
      <c r="R1039" s="437"/>
      <c r="S1039" s="1531"/>
      <c r="T1039" s="437"/>
      <c r="U1039" s="178"/>
      <c r="V1039" s="1531"/>
      <c r="W1039" s="1367"/>
      <c r="X1039" s="1367"/>
      <c r="Y1039" s="1353"/>
      <c r="Z1039" s="471"/>
      <c r="AA1039" s="471"/>
      <c r="AB1039" s="466"/>
    </row>
    <row r="1040" spans="1:32" s="457" customFormat="1" ht="18" customHeight="1" x14ac:dyDescent="0.25">
      <c r="A1040" s="1528"/>
      <c r="B1040" s="1088"/>
      <c r="C1040" s="177"/>
      <c r="D1040" s="287"/>
      <c r="E1040" s="1528"/>
      <c r="F1040" s="1528"/>
      <c r="G1040" s="1528"/>
      <c r="H1040" s="1530"/>
      <c r="I1040" s="1531"/>
      <c r="J1040" s="178"/>
      <c r="K1040" s="1531"/>
      <c r="L1040" s="1528"/>
      <c r="M1040" s="1528"/>
      <c r="N1040" s="1528"/>
      <c r="O1040" s="1528"/>
      <c r="P1040" s="1530"/>
      <c r="Q1040" s="1529"/>
      <c r="R1040" s="437"/>
      <c r="S1040" s="1531"/>
      <c r="T1040" s="437"/>
      <c r="U1040" s="178"/>
      <c r="V1040" s="1531"/>
      <c r="W1040" s="1367"/>
      <c r="X1040" s="1367"/>
      <c r="Y1040" s="1353"/>
      <c r="Z1040" s="471"/>
      <c r="AA1040" s="471"/>
      <c r="AB1040" s="466"/>
    </row>
    <row r="1041" spans="1:28" s="457" customFormat="1" ht="18" customHeight="1" x14ac:dyDescent="0.25">
      <c r="A1041" s="1528"/>
      <c r="B1041" s="1088"/>
      <c r="C1041" s="177"/>
      <c r="D1041" s="287"/>
      <c r="E1041" s="1528"/>
      <c r="F1041" s="1528"/>
      <c r="G1041" s="1528"/>
      <c r="H1041" s="1530"/>
      <c r="I1041" s="1531"/>
      <c r="J1041" s="178"/>
      <c r="K1041" s="1531"/>
      <c r="L1041" s="1528"/>
      <c r="M1041" s="1528"/>
      <c r="N1041" s="1528"/>
      <c r="O1041" s="1528"/>
      <c r="P1041" s="1530"/>
      <c r="Q1041" s="1529"/>
      <c r="R1041" s="437"/>
      <c r="S1041" s="1531"/>
      <c r="T1041" s="437"/>
      <c r="U1041" s="178"/>
      <c r="V1041" s="1531"/>
      <c r="W1041" s="1367"/>
      <c r="X1041" s="1367"/>
      <c r="Y1041" s="1353"/>
      <c r="Z1041" s="471"/>
      <c r="AA1041" s="471"/>
      <c r="AB1041" s="466"/>
    </row>
    <row r="1042" spans="1:28" s="457" customFormat="1" ht="18" customHeight="1" x14ac:dyDescent="0.25">
      <c r="A1042" s="1528"/>
      <c r="B1042" s="1088"/>
      <c r="C1042" s="177"/>
      <c r="D1042" s="287"/>
      <c r="E1042" s="1528"/>
      <c r="F1042" s="1528"/>
      <c r="G1042" s="1528"/>
      <c r="H1042" s="1530"/>
      <c r="I1042" s="1531"/>
      <c r="J1042" s="178"/>
      <c r="K1042" s="1531"/>
      <c r="L1042" s="1528"/>
      <c r="M1042" s="1528"/>
      <c r="N1042" s="1528"/>
      <c r="O1042" s="1528"/>
      <c r="P1042" s="1530"/>
      <c r="Q1042" s="1529"/>
      <c r="R1042" s="437"/>
      <c r="S1042" s="1531"/>
      <c r="T1042" s="437"/>
      <c r="U1042" s="178"/>
      <c r="V1042" s="1531"/>
      <c r="W1042" s="1367"/>
      <c r="X1042" s="1367"/>
      <c r="Y1042" s="1353"/>
      <c r="Z1042" s="471"/>
      <c r="AA1042" s="471"/>
      <c r="AB1042" s="466"/>
    </row>
    <row r="1043" spans="1:28" s="457" customFormat="1" ht="18" customHeight="1" x14ac:dyDescent="0.25">
      <c r="A1043" s="1528"/>
      <c r="B1043" s="1088"/>
      <c r="C1043" s="177"/>
      <c r="D1043" s="287"/>
      <c r="E1043" s="1528"/>
      <c r="F1043" s="1528"/>
      <c r="G1043" s="1528"/>
      <c r="H1043" s="1530"/>
      <c r="I1043" s="1531"/>
      <c r="J1043" s="178"/>
      <c r="K1043" s="1531"/>
      <c r="L1043" s="1528"/>
      <c r="M1043" s="1528"/>
      <c r="N1043" s="1528"/>
      <c r="O1043" s="1528"/>
      <c r="P1043" s="1530"/>
      <c r="Q1043" s="1529"/>
      <c r="R1043" s="437"/>
      <c r="S1043" s="1531"/>
      <c r="T1043" s="437"/>
      <c r="U1043" s="178"/>
      <c r="V1043" s="1531"/>
      <c r="W1043" s="1367"/>
      <c r="X1043" s="1367"/>
      <c r="Y1043" s="1353"/>
      <c r="Z1043" s="471"/>
      <c r="AA1043" s="471"/>
      <c r="AB1043" s="466"/>
    </row>
    <row r="1044" spans="1:28" s="457" customFormat="1" ht="18" customHeight="1" x14ac:dyDescent="0.2">
      <c r="A1044" s="1528"/>
      <c r="B1044" s="177"/>
      <c r="C1044" s="177"/>
      <c r="D1044" s="1528"/>
      <c r="E1044" s="1528"/>
      <c r="F1044" s="1528"/>
      <c r="G1044" s="1528"/>
      <c r="H1044" s="1530"/>
      <c r="I1044" s="1531"/>
      <c r="J1044" s="178"/>
      <c r="K1044" s="1531"/>
      <c r="L1044" s="1528"/>
      <c r="M1044" s="1528"/>
      <c r="N1044" s="1528"/>
      <c r="O1044" s="1528"/>
      <c r="P1044" s="1530"/>
      <c r="Q1044" s="1529"/>
      <c r="R1044" s="437"/>
      <c r="S1044" s="1531"/>
      <c r="T1044" s="437"/>
      <c r="U1044" s="178"/>
      <c r="V1044" s="1531"/>
      <c r="W1044" s="1367"/>
      <c r="X1044" s="1367"/>
      <c r="Y1044" s="1353"/>
      <c r="Z1044" s="471"/>
      <c r="AA1044" s="471"/>
      <c r="AB1044" s="466"/>
    </row>
    <row r="1045" spans="1:28" s="457" customFormat="1" ht="18" customHeight="1" x14ac:dyDescent="0.2">
      <c r="A1045" s="1528"/>
      <c r="B1045" s="177"/>
      <c r="C1045" s="177"/>
      <c r="D1045" s="1528"/>
      <c r="E1045" s="1528"/>
      <c r="F1045" s="1528"/>
      <c r="G1045" s="1528"/>
      <c r="H1045" s="1530"/>
      <c r="I1045" s="1531"/>
      <c r="J1045" s="178"/>
      <c r="K1045" s="1531"/>
      <c r="L1045" s="1528"/>
      <c r="M1045" s="1528"/>
      <c r="N1045" s="1528"/>
      <c r="O1045" s="1528"/>
      <c r="P1045" s="1530"/>
      <c r="Q1045" s="1529"/>
      <c r="R1045" s="437"/>
      <c r="S1045" s="1531"/>
      <c r="T1045" s="437"/>
      <c r="U1045" s="178"/>
      <c r="V1045" s="1531"/>
      <c r="W1045" s="1531"/>
      <c r="X1045" s="470"/>
      <c r="Y1045" s="470"/>
      <c r="Z1045" s="471"/>
      <c r="AA1045" s="471"/>
      <c r="AB1045" s="466"/>
    </row>
    <row r="1046" spans="1:28" s="457" customFormat="1" ht="18" customHeight="1" x14ac:dyDescent="0.2">
      <c r="A1046" s="1528"/>
      <c r="B1046" s="177"/>
      <c r="C1046" s="177"/>
      <c r="D1046" s="1528"/>
      <c r="E1046" s="1528"/>
      <c r="F1046" s="1528"/>
      <c r="G1046" s="1528"/>
      <c r="H1046" s="1530"/>
      <c r="I1046" s="1531"/>
      <c r="J1046" s="178"/>
      <c r="K1046" s="1531"/>
      <c r="L1046" s="1528"/>
      <c r="M1046" s="1528"/>
      <c r="N1046" s="1528"/>
      <c r="O1046" s="1528"/>
      <c r="P1046" s="1530"/>
      <c r="Q1046" s="1529"/>
      <c r="R1046" s="437"/>
      <c r="S1046" s="1531"/>
      <c r="T1046" s="437"/>
      <c r="U1046" s="178"/>
      <c r="V1046" s="1531"/>
      <c r="W1046" s="1531"/>
      <c r="X1046" s="470"/>
      <c r="Y1046" s="470"/>
      <c r="Z1046" s="471"/>
      <c r="AA1046" s="471"/>
      <c r="AB1046" s="466"/>
    </row>
    <row r="1047" spans="1:28" s="457" customFormat="1" ht="18" customHeight="1" x14ac:dyDescent="0.2">
      <c r="A1047" s="1528"/>
      <c r="B1047" s="177"/>
      <c r="C1047" s="177"/>
      <c r="D1047" s="1528"/>
      <c r="E1047" s="1528"/>
      <c r="F1047" s="1528"/>
      <c r="G1047" s="1528"/>
      <c r="H1047" s="1530"/>
      <c r="I1047" s="1531"/>
      <c r="J1047" s="178"/>
      <c r="K1047" s="1531"/>
      <c r="L1047" s="1528"/>
      <c r="M1047" s="1528"/>
      <c r="N1047" s="1528"/>
      <c r="O1047" s="1528"/>
      <c r="P1047" s="1530"/>
      <c r="Q1047" s="1529"/>
      <c r="R1047" s="437"/>
      <c r="S1047" s="1531"/>
      <c r="T1047" s="437"/>
      <c r="U1047" s="178"/>
      <c r="V1047" s="1531"/>
      <c r="W1047" s="1531"/>
      <c r="X1047" s="470"/>
      <c r="Y1047" s="470"/>
      <c r="Z1047" s="471"/>
      <c r="AA1047" s="471"/>
      <c r="AB1047" s="466"/>
    </row>
    <row r="1048" spans="1:28" s="457" customFormat="1" ht="18" customHeight="1" x14ac:dyDescent="0.2">
      <c r="A1048" s="1528"/>
      <c r="B1048" s="177"/>
      <c r="C1048" s="177"/>
      <c r="D1048" s="1528"/>
      <c r="E1048" s="1528"/>
      <c r="F1048" s="1528"/>
      <c r="G1048" s="1528"/>
      <c r="H1048" s="1530"/>
      <c r="I1048" s="1531"/>
      <c r="J1048" s="178"/>
      <c r="K1048" s="1531"/>
      <c r="L1048" s="1528"/>
      <c r="M1048" s="1528"/>
      <c r="N1048" s="1528"/>
      <c r="O1048" s="1528"/>
      <c r="P1048" s="1530"/>
      <c r="Q1048" s="1529"/>
      <c r="R1048" s="437"/>
      <c r="S1048" s="1531"/>
      <c r="T1048" s="437"/>
      <c r="U1048" s="178"/>
      <c r="V1048" s="1531"/>
      <c r="W1048" s="1531"/>
      <c r="X1048" s="470"/>
      <c r="Y1048" s="470"/>
      <c r="Z1048" s="471"/>
      <c r="AA1048" s="471"/>
      <c r="AB1048" s="466"/>
    </row>
    <row r="1049" spans="1:28" s="457" customFormat="1" ht="18" customHeight="1" x14ac:dyDescent="0.2">
      <c r="A1049" s="1528"/>
      <c r="B1049" s="177"/>
      <c r="C1049" s="177"/>
      <c r="D1049" s="1528"/>
      <c r="E1049" s="1528"/>
      <c r="F1049" s="1528"/>
      <c r="G1049" s="1528"/>
      <c r="H1049" s="1530"/>
      <c r="I1049" s="1531"/>
      <c r="J1049" s="178"/>
      <c r="K1049" s="1531"/>
      <c r="L1049" s="1528"/>
      <c r="M1049" s="1528"/>
      <c r="N1049" s="1528"/>
      <c r="O1049" s="1528"/>
      <c r="P1049" s="1530"/>
      <c r="Q1049" s="1529"/>
      <c r="R1049" s="437"/>
      <c r="S1049" s="1531"/>
      <c r="T1049" s="437"/>
      <c r="U1049" s="178"/>
      <c r="V1049" s="1531"/>
      <c r="W1049" s="1531"/>
      <c r="X1049" s="470"/>
      <c r="Y1049" s="470"/>
      <c r="Z1049" s="471"/>
      <c r="AA1049" s="471"/>
      <c r="AB1049" s="466"/>
    </row>
    <row r="1050" spans="1:28" s="457" customFormat="1" ht="18" customHeight="1" x14ac:dyDescent="0.2">
      <c r="A1050" s="1528"/>
      <c r="B1050" s="177"/>
      <c r="C1050" s="177"/>
      <c r="D1050" s="1528"/>
      <c r="E1050" s="1528"/>
      <c r="F1050" s="1528"/>
      <c r="G1050" s="1528"/>
      <c r="H1050" s="1530"/>
      <c r="I1050" s="1531"/>
      <c r="J1050" s="178"/>
      <c r="K1050" s="1531"/>
      <c r="L1050" s="1528"/>
      <c r="M1050" s="1528"/>
      <c r="N1050" s="1528"/>
      <c r="O1050" s="1528"/>
      <c r="P1050" s="1530"/>
      <c r="Q1050" s="1529"/>
      <c r="R1050" s="437"/>
      <c r="S1050" s="1531"/>
      <c r="T1050" s="437"/>
      <c r="U1050" s="178"/>
      <c r="V1050" s="1531"/>
      <c r="W1050" s="1531"/>
      <c r="X1050" s="470"/>
      <c r="Y1050" s="470"/>
      <c r="Z1050" s="471"/>
      <c r="AA1050" s="471"/>
      <c r="AB1050" s="466"/>
    </row>
    <row r="1051" spans="1:28" s="457" customFormat="1" ht="18" customHeight="1" x14ac:dyDescent="0.2">
      <c r="A1051" s="1528"/>
      <c r="B1051" s="177"/>
      <c r="C1051" s="177"/>
      <c r="D1051" s="1528"/>
      <c r="E1051" s="1528"/>
      <c r="F1051" s="1528"/>
      <c r="G1051" s="1528"/>
      <c r="H1051" s="1530"/>
      <c r="I1051" s="1531"/>
      <c r="J1051" s="178"/>
      <c r="K1051" s="1531"/>
      <c r="L1051" s="1528"/>
      <c r="M1051" s="1528"/>
      <c r="N1051" s="1528"/>
      <c r="O1051" s="1528"/>
      <c r="P1051" s="1530"/>
      <c r="Q1051" s="1529"/>
      <c r="R1051" s="437"/>
      <c r="S1051" s="1531"/>
      <c r="T1051" s="437"/>
      <c r="U1051" s="178"/>
      <c r="V1051" s="1531"/>
      <c r="W1051" s="1531"/>
      <c r="X1051" s="470"/>
      <c r="Y1051" s="470"/>
      <c r="Z1051" s="471"/>
      <c r="AA1051" s="471"/>
      <c r="AB1051" s="466"/>
    </row>
    <row r="1052" spans="1:28" s="457" customFormat="1" ht="18" customHeight="1" x14ac:dyDescent="0.2">
      <c r="A1052" s="1528"/>
      <c r="B1052" s="177"/>
      <c r="C1052" s="177"/>
      <c r="D1052" s="1528"/>
      <c r="E1052" s="1528"/>
      <c r="F1052" s="1528"/>
      <c r="G1052" s="1528"/>
      <c r="H1052" s="1530"/>
      <c r="I1052" s="1531"/>
      <c r="J1052" s="178"/>
      <c r="K1052" s="1531"/>
      <c r="L1052" s="1528"/>
      <c r="M1052" s="1528"/>
      <c r="N1052" s="1528"/>
      <c r="O1052" s="1528"/>
      <c r="P1052" s="1530"/>
      <c r="Q1052" s="1529"/>
      <c r="R1052" s="437"/>
      <c r="S1052" s="1531"/>
      <c r="T1052" s="437"/>
      <c r="U1052" s="178"/>
      <c r="V1052" s="1531"/>
      <c r="W1052" s="1531"/>
      <c r="X1052" s="470"/>
      <c r="Y1052" s="470"/>
      <c r="Z1052" s="471"/>
      <c r="AA1052" s="471"/>
      <c r="AB1052" s="466"/>
    </row>
    <row r="1053" spans="1:28" s="457" customFormat="1" ht="18" customHeight="1" x14ac:dyDescent="0.2">
      <c r="A1053" s="1528"/>
      <c r="B1053" s="177"/>
      <c r="C1053" s="177"/>
      <c r="D1053" s="1528"/>
      <c r="E1053" s="1528"/>
      <c r="F1053" s="1528"/>
      <c r="G1053" s="1528"/>
      <c r="H1053" s="1530"/>
      <c r="I1053" s="1531"/>
      <c r="J1053" s="178"/>
      <c r="K1053" s="1531"/>
      <c r="L1053" s="1528"/>
      <c r="M1053" s="1528"/>
      <c r="N1053" s="1528"/>
      <c r="O1053" s="1528"/>
      <c r="P1053" s="1530"/>
      <c r="Q1053" s="1529"/>
      <c r="R1053" s="437"/>
      <c r="S1053" s="1531"/>
      <c r="T1053" s="437"/>
      <c r="U1053" s="178"/>
      <c r="V1053" s="1531"/>
      <c r="W1053" s="1531"/>
      <c r="X1053" s="470"/>
      <c r="Y1053" s="470"/>
      <c r="Z1053" s="471"/>
      <c r="AA1053" s="471"/>
      <c r="AB1053" s="466"/>
    </row>
    <row r="1054" spans="1:28" s="597" customFormat="1" ht="18" customHeight="1" x14ac:dyDescent="0.2">
      <c r="A1054" s="1850"/>
      <c r="B1054" s="1850"/>
      <c r="C1054" s="1850"/>
      <c r="D1054" s="1850"/>
      <c r="E1054" s="1850"/>
      <c r="F1054" s="1850"/>
      <c r="G1054" s="1850"/>
      <c r="H1054" s="1851"/>
      <c r="I1054" s="1852"/>
      <c r="J1054" s="1853"/>
      <c r="K1054" s="1852"/>
      <c r="L1054" s="1852"/>
      <c r="M1054" s="1852"/>
      <c r="N1054" s="1852"/>
      <c r="O1054" s="1852"/>
      <c r="P1054" s="1852"/>
      <c r="Q1054" s="1852"/>
      <c r="R1054" s="1854"/>
      <c r="S1054" s="1852"/>
      <c r="T1054" s="1854"/>
      <c r="U1054" s="1853"/>
      <c r="V1054" s="1852"/>
      <c r="W1054" s="1852"/>
      <c r="X1054" s="1856"/>
      <c r="Y1054" s="1856"/>
      <c r="Z1054" s="1857"/>
      <c r="AA1054" s="1857"/>
      <c r="AB1054" s="1847">
        <f>SUM(AB1036:AB1053)</f>
        <v>143.149</v>
      </c>
    </row>
    <row r="1055" spans="1:28" s="457" customFormat="1" ht="18" customHeight="1" x14ac:dyDescent="0.2">
      <c r="A1055" s="2737" t="s">
        <v>76</v>
      </c>
      <c r="B1055" s="2737"/>
      <c r="C1055" s="2738" t="s">
        <v>77</v>
      </c>
      <c r="D1055" s="2738"/>
      <c r="E1055" s="2738"/>
      <c r="F1055" s="2738"/>
      <c r="G1055" s="2738"/>
      <c r="H1055" s="2738"/>
      <c r="I1055" s="457" t="s">
        <v>78</v>
      </c>
      <c r="T1055" s="651"/>
      <c r="U1055" s="478"/>
      <c r="Z1055" s="457" t="s">
        <v>298</v>
      </c>
      <c r="AB1055" s="478"/>
    </row>
    <row r="1056" spans="1:28" s="457" customFormat="1" ht="18" customHeight="1" x14ac:dyDescent="0.2">
      <c r="A1056" s="448"/>
      <c r="B1056" s="479"/>
      <c r="I1056" s="457" t="s">
        <v>79</v>
      </c>
      <c r="T1056" s="651"/>
      <c r="U1056" s="478"/>
      <c r="AB1056" s="478"/>
    </row>
    <row r="1057" spans="1:33" s="457" customFormat="1" ht="18" customHeight="1" x14ac:dyDescent="0.2">
      <c r="A1057" s="448"/>
      <c r="B1057" s="479"/>
      <c r="I1057" s="457" t="s">
        <v>80</v>
      </c>
      <c r="T1057" s="651"/>
      <c r="U1057" s="478"/>
      <c r="AB1057" s="478"/>
    </row>
    <row r="1058" spans="1:33" s="457" customFormat="1" ht="18" customHeight="1" x14ac:dyDescent="0.2">
      <c r="A1058" s="448"/>
      <c r="B1058" s="479"/>
      <c r="I1058" s="457" t="s">
        <v>81</v>
      </c>
      <c r="T1058" s="651"/>
      <c r="U1058" s="478"/>
      <c r="AB1058" s="478"/>
    </row>
    <row r="1059" spans="1:33" s="457" customFormat="1" ht="18" customHeight="1" x14ac:dyDescent="0.2">
      <c r="A1059" s="448"/>
      <c r="B1059" s="479"/>
      <c r="I1059" s="457" t="s">
        <v>88</v>
      </c>
      <c r="T1059" s="651"/>
      <c r="U1059" s="478"/>
      <c r="AB1059" s="478"/>
    </row>
    <row r="1063" spans="1:33" s="1885" customFormat="1" ht="18" customHeight="1" x14ac:dyDescent="0.2">
      <c r="A1063" s="1881"/>
      <c r="B1063" s="1882"/>
      <c r="C1063" s="1882"/>
      <c r="D1063" s="1882"/>
      <c r="E1063" s="1882"/>
      <c r="F1063" s="1882"/>
      <c r="G1063" s="1882"/>
      <c r="H1063" s="1882"/>
      <c r="I1063" s="1882"/>
      <c r="J1063" s="1882"/>
      <c r="K1063" s="1882"/>
      <c r="L1063" s="1882"/>
      <c r="M1063" s="1882"/>
      <c r="N1063" s="1882"/>
      <c r="O1063" s="1882"/>
      <c r="P1063" s="1882"/>
      <c r="Q1063" s="1882"/>
      <c r="R1063" s="1882"/>
      <c r="S1063" s="1882"/>
      <c r="T1063" s="1882"/>
      <c r="U1063" s="1883"/>
      <c r="V1063" s="1882"/>
      <c r="W1063" s="1882"/>
      <c r="X1063" s="1882"/>
      <c r="Y1063" s="1882"/>
      <c r="Z1063" s="1882"/>
      <c r="AA1063" s="2797" t="s">
        <v>0</v>
      </c>
      <c r="AB1063" s="2797"/>
      <c r="AC1063" s="1884"/>
      <c r="AD1063" s="1884"/>
      <c r="AE1063" s="1884"/>
      <c r="AF1063" s="1884"/>
    </row>
    <row r="1064" spans="1:33" s="1885" customFormat="1" ht="18" customHeight="1" x14ac:dyDescent="0.2">
      <c r="A1064" s="2797" t="s">
        <v>1</v>
      </c>
      <c r="B1064" s="2797"/>
      <c r="C1064" s="2797"/>
      <c r="D1064" s="2797"/>
      <c r="E1064" s="2797"/>
      <c r="F1064" s="2797"/>
      <c r="G1064" s="2797"/>
      <c r="H1064" s="2797"/>
      <c r="I1064" s="2797"/>
      <c r="J1064" s="2797"/>
      <c r="K1064" s="2797"/>
      <c r="L1064" s="2797"/>
      <c r="M1064" s="2797"/>
      <c r="N1064" s="2797"/>
      <c r="O1064" s="2797"/>
      <c r="P1064" s="2797"/>
      <c r="Q1064" s="2797"/>
      <c r="R1064" s="2797"/>
      <c r="S1064" s="2797"/>
      <c r="T1064" s="2797"/>
      <c r="U1064" s="2797"/>
      <c r="V1064" s="2797"/>
      <c r="W1064" s="2797"/>
      <c r="X1064" s="2797"/>
      <c r="Y1064" s="2797"/>
      <c r="Z1064" s="2797"/>
      <c r="AA1064" s="2797"/>
      <c r="AB1064" s="2797"/>
      <c r="AC1064" s="1882"/>
      <c r="AD1064" s="1882"/>
      <c r="AE1064" s="1882"/>
      <c r="AF1064" s="1882"/>
    </row>
    <row r="1065" spans="1:33" s="1885" customFormat="1" ht="18" customHeight="1" x14ac:dyDescent="0.2">
      <c r="A1065" s="2741" t="s">
        <v>450</v>
      </c>
      <c r="B1065" s="2741"/>
      <c r="C1065" s="2741"/>
      <c r="D1065" s="2741"/>
      <c r="E1065" s="2741"/>
      <c r="F1065" s="2741"/>
      <c r="G1065" s="2741"/>
      <c r="H1065" s="2741"/>
      <c r="I1065" s="2741"/>
      <c r="J1065" s="2741"/>
      <c r="K1065" s="2741"/>
      <c r="L1065" s="2741"/>
      <c r="M1065" s="2741"/>
      <c r="N1065" s="2741"/>
      <c r="O1065" s="2741"/>
      <c r="P1065" s="2741"/>
      <c r="Q1065" s="2741"/>
      <c r="R1065" s="2741"/>
      <c r="S1065" s="2741"/>
      <c r="T1065" s="2741"/>
      <c r="U1065" s="2741"/>
      <c r="V1065" s="2741"/>
      <c r="W1065" s="2741"/>
      <c r="X1065" s="2741"/>
      <c r="Y1065" s="2741"/>
      <c r="Z1065" s="2741"/>
      <c r="AA1065" s="2741"/>
      <c r="AB1065" s="2741"/>
      <c r="AC1065" s="1886"/>
      <c r="AD1065" s="1886"/>
      <c r="AE1065" s="1886"/>
      <c r="AF1065" s="1886"/>
    </row>
    <row r="1066" spans="1:33" s="1885" customFormat="1" ht="18" customHeight="1" x14ac:dyDescent="0.2">
      <c r="A1066" s="2709" t="s">
        <v>2</v>
      </c>
      <c r="B1066" s="160"/>
      <c r="C1066" s="2709" t="s">
        <v>3</v>
      </c>
      <c r="D1066" s="160"/>
      <c r="E1066" s="160"/>
      <c r="F1066" s="2712" t="s">
        <v>4</v>
      </c>
      <c r="G1066" s="2712"/>
      <c r="H1066" s="2712"/>
      <c r="I1066" s="2713"/>
      <c r="J1066" s="2713"/>
      <c r="K1066" s="2714"/>
      <c r="L1066" s="2"/>
      <c r="M1066" s="2715" t="s">
        <v>5</v>
      </c>
      <c r="N1066" s="2715"/>
      <c r="O1066" s="2715"/>
      <c r="P1066" s="2715"/>
      <c r="Q1066" s="2716"/>
      <c r="R1066" s="2716"/>
      <c r="S1066" s="2716"/>
      <c r="T1066" s="2716"/>
      <c r="U1066" s="2716"/>
      <c r="V1066" s="2717"/>
      <c r="W1066" s="161" t="s">
        <v>6</v>
      </c>
      <c r="X1066" s="162" t="s">
        <v>7</v>
      </c>
      <c r="Y1066" s="163"/>
      <c r="Z1066" s="163"/>
      <c r="AA1066" s="162"/>
      <c r="AB1066" s="1887"/>
      <c r="AC1066" s="1888" t="s">
        <v>8</v>
      </c>
      <c r="AD1066" s="1889"/>
      <c r="AE1066" s="1889"/>
      <c r="AF1066" s="1890"/>
    </row>
    <row r="1067" spans="1:33" s="1885" customFormat="1" ht="18" customHeight="1" x14ac:dyDescent="0.2">
      <c r="A1067" s="2710"/>
      <c r="B1067" s="4"/>
      <c r="C1067" s="2710"/>
      <c r="D1067" s="1834" t="s">
        <v>9</v>
      </c>
      <c r="E1067" s="1834" t="s">
        <v>10</v>
      </c>
      <c r="F1067" s="2718" t="s">
        <v>11</v>
      </c>
      <c r="G1067" s="2713"/>
      <c r="H1067" s="2714"/>
      <c r="I1067" s="160"/>
      <c r="J1067" s="1833" t="s">
        <v>12</v>
      </c>
      <c r="K1067" s="160"/>
      <c r="L1067" s="2715" t="s">
        <v>2</v>
      </c>
      <c r="M1067" s="141"/>
      <c r="N1067" s="141"/>
      <c r="O1067" s="141"/>
      <c r="P1067" s="164"/>
      <c r="Q1067" s="1891" t="s">
        <v>13</v>
      </c>
      <c r="R1067" s="141" t="s">
        <v>12</v>
      </c>
      <c r="S1067" s="141" t="s">
        <v>6</v>
      </c>
      <c r="T1067" s="2724" t="s">
        <v>14</v>
      </c>
      <c r="U1067" s="2725"/>
      <c r="V1067" s="165" t="s">
        <v>7</v>
      </c>
      <c r="W1067" s="166" t="s">
        <v>15</v>
      </c>
      <c r="X1067" s="5" t="s">
        <v>16</v>
      </c>
      <c r="Y1067" s="5" t="s">
        <v>17</v>
      </c>
      <c r="Z1067" s="5" t="s">
        <v>18</v>
      </c>
      <c r="AA1067" s="5"/>
      <c r="AB1067" s="1892" t="s">
        <v>19</v>
      </c>
      <c r="AC1067" s="1893" t="s">
        <v>20</v>
      </c>
      <c r="AD1067" s="1894"/>
      <c r="AE1067" s="1895" t="s">
        <v>21</v>
      </c>
      <c r="AF1067" s="1896" t="s">
        <v>22</v>
      </c>
    </row>
    <row r="1068" spans="1:33" s="1885" customFormat="1" ht="18" customHeight="1" x14ac:dyDescent="0.2">
      <c r="A1068" s="2710"/>
      <c r="B1068" s="1834" t="s">
        <v>23</v>
      </c>
      <c r="C1068" s="2710"/>
      <c r="D1068" s="1834" t="s">
        <v>24</v>
      </c>
      <c r="E1068" s="1834" t="s">
        <v>25</v>
      </c>
      <c r="F1068" s="2719"/>
      <c r="G1068" s="2720"/>
      <c r="H1068" s="2721"/>
      <c r="I1068" s="1834" t="s">
        <v>26</v>
      </c>
      <c r="J1068" s="1838" t="s">
        <v>15</v>
      </c>
      <c r="K1068" s="1838" t="s">
        <v>6</v>
      </c>
      <c r="L1068" s="2722"/>
      <c r="M1068" s="142" t="s">
        <v>27</v>
      </c>
      <c r="N1068" s="142" t="s">
        <v>10</v>
      </c>
      <c r="O1068" s="142" t="s">
        <v>10</v>
      </c>
      <c r="P1068" s="8" t="s">
        <v>28</v>
      </c>
      <c r="Q1068" s="1897" t="s">
        <v>29</v>
      </c>
      <c r="R1068" s="8" t="s">
        <v>15</v>
      </c>
      <c r="S1068" s="8" t="s">
        <v>15</v>
      </c>
      <c r="T1068" s="2726"/>
      <c r="U1068" s="2727"/>
      <c r="V1068" s="165" t="s">
        <v>30</v>
      </c>
      <c r="W1068" s="166" t="s">
        <v>449</v>
      </c>
      <c r="X1068" s="5" t="s">
        <v>30</v>
      </c>
      <c r="Y1068" s="5" t="s">
        <v>32</v>
      </c>
      <c r="Z1068" s="5" t="s">
        <v>7</v>
      </c>
      <c r="AA1068" s="5" t="s">
        <v>33</v>
      </c>
      <c r="AB1068" s="1892" t="s">
        <v>34</v>
      </c>
      <c r="AC1068" s="1893" t="s">
        <v>35</v>
      </c>
      <c r="AD1068" s="1895" t="s">
        <v>36</v>
      </c>
      <c r="AE1068" s="1895" t="s">
        <v>37</v>
      </c>
      <c r="AF1068" s="1896" t="s">
        <v>38</v>
      </c>
    </row>
    <row r="1069" spans="1:33" s="1885" customFormat="1" ht="18" customHeight="1" x14ac:dyDescent="0.2">
      <c r="A1069" s="2710"/>
      <c r="B1069" s="1834" t="s">
        <v>39</v>
      </c>
      <c r="C1069" s="2710"/>
      <c r="D1069" s="1834" t="s">
        <v>40</v>
      </c>
      <c r="E1069" s="1834" t="s">
        <v>41</v>
      </c>
      <c r="F1069" s="2709" t="s">
        <v>42</v>
      </c>
      <c r="G1069" s="2709" t="s">
        <v>43</v>
      </c>
      <c r="H1069" s="2728" t="s">
        <v>44</v>
      </c>
      <c r="I1069" s="1834" t="s">
        <v>45</v>
      </c>
      <c r="J1069" s="1838" t="s">
        <v>46</v>
      </c>
      <c r="K1069" s="1838" t="s">
        <v>47</v>
      </c>
      <c r="L1069" s="2722"/>
      <c r="M1069" s="142" t="s">
        <v>30</v>
      </c>
      <c r="N1069" s="142" t="s">
        <v>30</v>
      </c>
      <c r="O1069" s="142" t="s">
        <v>25</v>
      </c>
      <c r="P1069" s="8" t="s">
        <v>30</v>
      </c>
      <c r="Q1069" s="1897" t="s">
        <v>48</v>
      </c>
      <c r="R1069" s="8" t="s">
        <v>49</v>
      </c>
      <c r="S1069" s="8" t="s">
        <v>30</v>
      </c>
      <c r="T1069" s="1837" t="s">
        <v>50</v>
      </c>
      <c r="U1069" s="1898" t="s">
        <v>13</v>
      </c>
      <c r="V1069" s="165" t="s">
        <v>51</v>
      </c>
      <c r="W1069" s="166" t="s">
        <v>52</v>
      </c>
      <c r="X1069" s="5" t="s">
        <v>53</v>
      </c>
      <c r="Y1069" s="5" t="s">
        <v>54</v>
      </c>
      <c r="Z1069" s="5" t="s">
        <v>55</v>
      </c>
      <c r="AA1069" s="5" t="s">
        <v>56</v>
      </c>
      <c r="AB1069" s="1892" t="s">
        <v>57</v>
      </c>
      <c r="AC1069" s="1895" t="s">
        <v>58</v>
      </c>
      <c r="AD1069" s="1895" t="s">
        <v>59</v>
      </c>
      <c r="AE1069" s="1895" t="s">
        <v>59</v>
      </c>
      <c r="AF1069" s="1896" t="s">
        <v>60</v>
      </c>
    </row>
    <row r="1070" spans="1:33" s="1885" customFormat="1" ht="18" customHeight="1" x14ac:dyDescent="0.2">
      <c r="A1070" s="2710"/>
      <c r="B1070" s="1834" t="s">
        <v>61</v>
      </c>
      <c r="C1070" s="2710"/>
      <c r="D1070" s="1834" t="s">
        <v>62</v>
      </c>
      <c r="E1070" s="1834" t="s">
        <v>63</v>
      </c>
      <c r="F1070" s="2710"/>
      <c r="G1070" s="2710"/>
      <c r="H1070" s="2729"/>
      <c r="I1070" s="1834" t="s">
        <v>64</v>
      </c>
      <c r="J1070" s="1838" t="s">
        <v>59</v>
      </c>
      <c r="K1070" s="1838" t="s">
        <v>59</v>
      </c>
      <c r="L1070" s="2722"/>
      <c r="M1070" s="142"/>
      <c r="N1070" s="142"/>
      <c r="O1070" s="142" t="s">
        <v>41</v>
      </c>
      <c r="P1070" s="8" t="s">
        <v>65</v>
      </c>
      <c r="Q1070" s="1897" t="s">
        <v>66</v>
      </c>
      <c r="R1070" s="8" t="s">
        <v>67</v>
      </c>
      <c r="S1070" s="8" t="s">
        <v>59</v>
      </c>
      <c r="T1070" s="165" t="s">
        <v>68</v>
      </c>
      <c r="U1070" s="1899" t="s">
        <v>14</v>
      </c>
      <c r="V1070" s="165" t="s">
        <v>14</v>
      </c>
      <c r="W1070" s="166" t="s">
        <v>30</v>
      </c>
      <c r="X1070" s="167" t="s">
        <v>69</v>
      </c>
      <c r="Y1070" s="167" t="s">
        <v>70</v>
      </c>
      <c r="Z1070" s="5" t="s">
        <v>71</v>
      </c>
      <c r="AA1070" s="5" t="s">
        <v>72</v>
      </c>
      <c r="AB1070" s="1892" t="s">
        <v>59</v>
      </c>
      <c r="AC1070" s="1895" t="s">
        <v>59</v>
      </c>
      <c r="AD1070" s="1895"/>
      <c r="AE1070" s="1895"/>
      <c r="AF1070" s="1896" t="s">
        <v>59</v>
      </c>
    </row>
    <row r="1071" spans="1:33" s="1885" customFormat="1" ht="18" customHeight="1" x14ac:dyDescent="0.2">
      <c r="A1071" s="2711"/>
      <c r="B1071" s="9"/>
      <c r="C1071" s="2711"/>
      <c r="D1071" s="9"/>
      <c r="E1071" s="1835"/>
      <c r="F1071" s="9"/>
      <c r="G1071" s="9"/>
      <c r="H1071" s="10"/>
      <c r="I1071" s="1835"/>
      <c r="J1071" s="168"/>
      <c r="K1071" s="168"/>
      <c r="L1071" s="2723"/>
      <c r="M1071" s="143"/>
      <c r="N1071" s="143"/>
      <c r="O1071" s="143" t="s">
        <v>63</v>
      </c>
      <c r="P1071" s="143"/>
      <c r="Q1071" s="1836" t="s">
        <v>72</v>
      </c>
      <c r="R1071" s="169" t="s">
        <v>59</v>
      </c>
      <c r="S1071" s="169"/>
      <c r="T1071" s="169" t="s">
        <v>73</v>
      </c>
      <c r="U1071" s="1900" t="s">
        <v>59</v>
      </c>
      <c r="V1071" s="170" t="s">
        <v>59</v>
      </c>
      <c r="W1071" s="171" t="s">
        <v>59</v>
      </c>
      <c r="X1071" s="172" t="s">
        <v>59</v>
      </c>
      <c r="Y1071" s="172" t="s">
        <v>59</v>
      </c>
      <c r="Z1071" s="172" t="s">
        <v>59</v>
      </c>
      <c r="AA1071" s="11"/>
      <c r="AB1071" s="1901"/>
      <c r="AC1071" s="1902"/>
      <c r="AD1071" s="1902"/>
      <c r="AE1071" s="1902"/>
      <c r="AF1071" s="1903"/>
    </row>
    <row r="1072" spans="1:33" s="1885" customFormat="1" ht="18" customHeight="1" x14ac:dyDescent="0.2">
      <c r="A1072" s="82">
        <v>1</v>
      </c>
      <c r="B1072" s="1939">
        <v>35837</v>
      </c>
      <c r="C1072" s="51">
        <v>1088</v>
      </c>
      <c r="D1072" s="51" t="s">
        <v>139</v>
      </c>
      <c r="E1072" s="69">
        <v>4</v>
      </c>
      <c r="F1072" s="51">
        <v>0</v>
      </c>
      <c r="G1072" s="51">
        <v>1</v>
      </c>
      <c r="H1072" s="823">
        <v>7</v>
      </c>
      <c r="I1072" s="70">
        <f>F1072*400+G1072*100+H1072</f>
        <v>107</v>
      </c>
      <c r="J1072" s="71">
        <v>1600</v>
      </c>
      <c r="K1072" s="124">
        <f>SUM(I1072*J1072)</f>
        <v>171200</v>
      </c>
      <c r="L1072" s="82"/>
      <c r="M1072" s="51"/>
      <c r="N1072" s="51"/>
      <c r="O1072" s="69"/>
      <c r="P1072" s="51"/>
      <c r="Q1072" s="1904"/>
      <c r="R1072" s="1905"/>
      <c r="S1072" s="67"/>
      <c r="T1072" s="1056"/>
      <c r="U1072" s="1906"/>
      <c r="V1072" s="67"/>
      <c r="W1072" s="67">
        <f>+K1072+V1072</f>
        <v>171200</v>
      </c>
      <c r="X1072" s="67">
        <f>W1072</f>
        <v>171200</v>
      </c>
      <c r="Y1072" s="1906"/>
      <c r="Z1072" s="1907">
        <f>+X1072</f>
        <v>171200</v>
      </c>
      <c r="AA1072" s="84">
        <v>0.6</v>
      </c>
      <c r="AB1072" s="825">
        <f>+Z1072*AA1072/100</f>
        <v>1027.2</v>
      </c>
      <c r="AC1072" s="1908"/>
      <c r="AD1072" s="1909">
        <f>AB1108-AC1072</f>
        <v>0</v>
      </c>
      <c r="AE1072" s="1909">
        <f>IF(AD1072&lt;=0,0,AD1072*25/100)</f>
        <v>0</v>
      </c>
      <c r="AF1072" s="1909">
        <f>IF(AC1072+AE1072&gt;AB1108,AB1108,AC1072+AE1072)</f>
        <v>0</v>
      </c>
      <c r="AG1072" s="1885" t="s">
        <v>413</v>
      </c>
    </row>
    <row r="1073" spans="1:32" s="1885" customFormat="1" ht="18" customHeight="1" x14ac:dyDescent="0.2">
      <c r="A1073" s="75"/>
      <c r="B1073" s="54"/>
      <c r="C1073" s="54"/>
      <c r="D1073" s="54"/>
      <c r="E1073" s="115"/>
      <c r="F1073" s="54"/>
      <c r="G1073" s="54"/>
      <c r="H1073" s="158"/>
      <c r="I1073" s="121"/>
      <c r="J1073" s="117"/>
      <c r="K1073" s="159"/>
      <c r="L1073" s="72"/>
      <c r="M1073" s="1910"/>
      <c r="N1073" s="1910"/>
      <c r="O1073" s="1911"/>
      <c r="P1073" s="1910"/>
      <c r="Q1073" s="1912"/>
      <c r="R1073" s="1913"/>
      <c r="S1073" s="73"/>
      <c r="T1073" s="1025"/>
      <c r="U1073" s="1844"/>
      <c r="V1073" s="73"/>
      <c r="W1073" s="73"/>
      <c r="X1073" s="73"/>
      <c r="Y1073" s="1844"/>
      <c r="Z1073" s="1914"/>
      <c r="AA1073" s="1915"/>
      <c r="AB1073" s="1291"/>
      <c r="AC1073" s="1909"/>
      <c r="AD1073" s="1909"/>
      <c r="AE1073" s="1909"/>
      <c r="AF1073" s="1909"/>
    </row>
    <row r="1074" spans="1:32" s="1885" customFormat="1" ht="18" customHeight="1" x14ac:dyDescent="0.2">
      <c r="A1074" s="231"/>
      <c r="B1074" s="231"/>
      <c r="C1074" s="231"/>
      <c r="D1074" s="231"/>
      <c r="E1074" s="231"/>
      <c r="F1074" s="231"/>
      <c r="G1074" s="231"/>
      <c r="H1074" s="152"/>
      <c r="I1074" s="232"/>
      <c r="J1074" s="232"/>
      <c r="K1074" s="1916"/>
      <c r="L1074" s="231"/>
      <c r="M1074" s="233"/>
      <c r="N1074" s="231"/>
      <c r="O1074" s="231"/>
      <c r="P1074" s="1917"/>
      <c r="Q1074" s="234"/>
      <c r="R1074" s="1918"/>
      <c r="S1074" s="1916"/>
      <c r="T1074" s="1919"/>
      <c r="U1074" s="1916"/>
      <c r="V1074" s="1916"/>
      <c r="W1074" s="1916"/>
      <c r="X1074" s="1920"/>
      <c r="Y1074" s="235"/>
      <c r="Z1074" s="1921"/>
      <c r="AA1074" s="236"/>
      <c r="AB1074" s="1922"/>
      <c r="AC1074" s="1909"/>
      <c r="AD1074" s="1909"/>
      <c r="AE1074" s="1909"/>
      <c r="AF1074" s="1909"/>
    </row>
    <row r="1075" spans="1:32" s="1885" customFormat="1" ht="18" customHeight="1" x14ac:dyDescent="0.2">
      <c r="A1075" s="1408"/>
      <c r="B1075" s="88"/>
      <c r="C1075" s="88"/>
      <c r="D1075" s="88"/>
      <c r="E1075" s="88"/>
      <c r="F1075" s="88"/>
      <c r="G1075" s="88"/>
      <c r="H1075" s="120"/>
      <c r="I1075" s="181"/>
      <c r="J1075" s="181"/>
      <c r="K1075" s="835"/>
      <c r="L1075" s="88"/>
      <c r="M1075" s="237"/>
      <c r="N1075" s="88"/>
      <c r="O1075" s="88"/>
      <c r="P1075" s="1923"/>
      <c r="Q1075" s="129"/>
      <c r="R1075" s="834"/>
      <c r="S1075" s="835"/>
      <c r="T1075" s="81"/>
      <c r="U1075" s="835"/>
      <c r="V1075" s="835"/>
      <c r="W1075" s="835"/>
      <c r="X1075" s="836"/>
      <c r="Y1075" s="192"/>
      <c r="Z1075" s="1924"/>
      <c r="AA1075" s="193"/>
      <c r="AB1075" s="1922"/>
      <c r="AC1075" s="1925"/>
      <c r="AD1075" s="1925"/>
      <c r="AE1075" s="1925"/>
      <c r="AF1075" s="1925"/>
    </row>
    <row r="1076" spans="1:32" s="1885" customFormat="1" ht="18" customHeight="1" x14ac:dyDescent="0.2">
      <c r="A1076" s="238"/>
      <c r="B1076" s="1839"/>
      <c r="C1076" s="1839"/>
      <c r="D1076" s="1839"/>
      <c r="E1076" s="88"/>
      <c r="F1076" s="88"/>
      <c r="G1076" s="88"/>
      <c r="H1076" s="120"/>
      <c r="I1076" s="181"/>
      <c r="J1076" s="181"/>
      <c r="K1076" s="835"/>
      <c r="L1076" s="88"/>
      <c r="M1076" s="237"/>
      <c r="N1076" s="88"/>
      <c r="O1076" s="88"/>
      <c r="P1076" s="1923"/>
      <c r="Q1076" s="129"/>
      <c r="R1076" s="834"/>
      <c r="S1076" s="835"/>
      <c r="T1076" s="81"/>
      <c r="U1076" s="835"/>
      <c r="V1076" s="835"/>
      <c r="W1076" s="835"/>
      <c r="X1076" s="836"/>
      <c r="Y1076" s="192"/>
      <c r="Z1076" s="1924"/>
      <c r="AA1076" s="193"/>
      <c r="AB1076" s="1922"/>
      <c r="AC1076" s="1925"/>
      <c r="AD1076" s="1925"/>
      <c r="AE1076" s="1925"/>
      <c r="AF1076" s="1925"/>
    </row>
    <row r="1077" spans="1:32" s="1885" customFormat="1" ht="18" customHeight="1" x14ac:dyDescent="0.2">
      <c r="A1077" s="238"/>
      <c r="B1077" s="1839"/>
      <c r="C1077" s="1839"/>
      <c r="D1077" s="1839"/>
      <c r="E1077" s="88"/>
      <c r="F1077" s="88"/>
      <c r="G1077" s="88"/>
      <c r="H1077" s="120"/>
      <c r="I1077" s="181"/>
      <c r="J1077" s="181"/>
      <c r="K1077" s="835"/>
      <c r="L1077" s="88"/>
      <c r="M1077" s="237"/>
      <c r="N1077" s="88"/>
      <c r="O1077" s="88"/>
      <c r="P1077" s="1923"/>
      <c r="Q1077" s="129"/>
      <c r="R1077" s="834"/>
      <c r="S1077" s="835"/>
      <c r="T1077" s="81"/>
      <c r="U1077" s="835"/>
      <c r="V1077" s="835"/>
      <c r="W1077" s="835"/>
      <c r="X1077" s="836"/>
      <c r="Y1077" s="192"/>
      <c r="Z1077" s="1924"/>
      <c r="AA1077" s="193"/>
      <c r="AB1077" s="1922"/>
      <c r="AC1077" s="1925"/>
      <c r="AD1077" s="1925"/>
      <c r="AE1077" s="1925"/>
      <c r="AF1077" s="1925"/>
    </row>
    <row r="1078" spans="1:32" s="1885" customFormat="1" ht="18" customHeight="1" x14ac:dyDescent="0.2">
      <c r="A1078" s="238"/>
      <c r="B1078" s="1839"/>
      <c r="C1078" s="1839"/>
      <c r="D1078" s="1839"/>
      <c r="E1078" s="88"/>
      <c r="F1078" s="88"/>
      <c r="G1078" s="88"/>
      <c r="H1078" s="120"/>
      <c r="I1078" s="181"/>
      <c r="J1078" s="181"/>
      <c r="K1078" s="835"/>
      <c r="L1078" s="88"/>
      <c r="M1078" s="237"/>
      <c r="N1078" s="88"/>
      <c r="O1078" s="88"/>
      <c r="P1078" s="1923"/>
      <c r="Q1078" s="129"/>
      <c r="R1078" s="834"/>
      <c r="S1078" s="835"/>
      <c r="T1078" s="81"/>
      <c r="U1078" s="835"/>
      <c r="V1078" s="835"/>
      <c r="W1078" s="835"/>
      <c r="X1078" s="836"/>
      <c r="Y1078" s="192"/>
      <c r="Z1078" s="1924"/>
      <c r="AA1078" s="193"/>
      <c r="AB1078" s="1922"/>
      <c r="AC1078" s="1925"/>
      <c r="AD1078" s="1925"/>
      <c r="AE1078" s="1925"/>
      <c r="AF1078" s="1925"/>
    </row>
    <row r="1079" spans="1:32" s="1885" customFormat="1" ht="18" customHeight="1" x14ac:dyDescent="0.2">
      <c r="A1079" s="238"/>
      <c r="B1079" s="1839"/>
      <c r="C1079" s="1839"/>
      <c r="D1079" s="1839"/>
      <c r="E1079" s="88"/>
      <c r="F1079" s="88"/>
      <c r="G1079" s="88"/>
      <c r="H1079" s="120"/>
      <c r="I1079" s="181"/>
      <c r="J1079" s="181"/>
      <c r="K1079" s="835"/>
      <c r="L1079" s="88"/>
      <c r="M1079" s="237"/>
      <c r="N1079" s="88"/>
      <c r="O1079" s="88"/>
      <c r="P1079" s="1923"/>
      <c r="Q1079" s="129"/>
      <c r="R1079" s="834"/>
      <c r="S1079" s="835"/>
      <c r="T1079" s="81"/>
      <c r="U1079" s="835"/>
      <c r="V1079" s="835"/>
      <c r="W1079" s="835"/>
      <c r="X1079" s="836"/>
      <c r="Y1079" s="192"/>
      <c r="Z1079" s="1924"/>
      <c r="AA1079" s="193"/>
      <c r="AB1079" s="1922"/>
      <c r="AC1079" s="1925"/>
      <c r="AD1079" s="1925"/>
      <c r="AE1079" s="1925"/>
      <c r="AF1079" s="1925"/>
    </row>
    <row r="1080" spans="1:32" s="1885" customFormat="1" ht="18" customHeight="1" x14ac:dyDescent="0.2">
      <c r="A1080" s="238"/>
      <c r="B1080" s="1839"/>
      <c r="C1080" s="1839"/>
      <c r="D1080" s="1839"/>
      <c r="E1080" s="88"/>
      <c r="F1080" s="88"/>
      <c r="G1080" s="88"/>
      <c r="H1080" s="120"/>
      <c r="I1080" s="181"/>
      <c r="J1080" s="181"/>
      <c r="K1080" s="835"/>
      <c r="L1080" s="88"/>
      <c r="M1080" s="237"/>
      <c r="N1080" s="88"/>
      <c r="O1080" s="88"/>
      <c r="P1080" s="1923"/>
      <c r="Q1080" s="129"/>
      <c r="R1080" s="834"/>
      <c r="S1080" s="835"/>
      <c r="T1080" s="81"/>
      <c r="U1080" s="835"/>
      <c r="V1080" s="835"/>
      <c r="W1080" s="835"/>
      <c r="X1080" s="836"/>
      <c r="Y1080" s="192"/>
      <c r="Z1080" s="1924"/>
      <c r="AA1080" s="193"/>
      <c r="AB1080" s="1922"/>
      <c r="AC1080" s="1925"/>
      <c r="AD1080" s="1925"/>
      <c r="AE1080" s="1925"/>
      <c r="AF1080" s="1925"/>
    </row>
    <row r="1081" spans="1:32" s="1885" customFormat="1" ht="18" customHeight="1" x14ac:dyDescent="0.2">
      <c r="A1081" s="238"/>
      <c r="B1081" s="1839"/>
      <c r="C1081" s="1839"/>
      <c r="D1081" s="1839"/>
      <c r="E1081" s="88"/>
      <c r="F1081" s="88"/>
      <c r="G1081" s="88"/>
      <c r="H1081" s="120"/>
      <c r="I1081" s="181"/>
      <c r="J1081" s="181"/>
      <c r="K1081" s="835"/>
      <c r="L1081" s="88"/>
      <c r="M1081" s="237"/>
      <c r="N1081" s="88"/>
      <c r="O1081" s="88"/>
      <c r="P1081" s="1923"/>
      <c r="Q1081" s="129"/>
      <c r="R1081" s="834"/>
      <c r="S1081" s="835"/>
      <c r="T1081" s="81"/>
      <c r="U1081" s="835"/>
      <c r="V1081" s="835"/>
      <c r="W1081" s="835"/>
      <c r="X1081" s="836"/>
      <c r="Y1081" s="192"/>
      <c r="Z1081" s="1924"/>
      <c r="AA1081" s="193"/>
      <c r="AB1081" s="1922"/>
      <c r="AC1081" s="1925"/>
      <c r="AD1081" s="1925"/>
      <c r="AE1081" s="1925"/>
      <c r="AF1081" s="1925"/>
    </row>
    <row r="1082" spans="1:32" s="1885" customFormat="1" ht="18" customHeight="1" x14ac:dyDescent="0.2">
      <c r="A1082" s="238"/>
      <c r="B1082" s="1839"/>
      <c r="C1082" s="1839"/>
      <c r="D1082" s="1839"/>
      <c r="E1082" s="88"/>
      <c r="F1082" s="88"/>
      <c r="G1082" s="88"/>
      <c r="H1082" s="120"/>
      <c r="I1082" s="181"/>
      <c r="J1082" s="181"/>
      <c r="K1082" s="835"/>
      <c r="L1082" s="88"/>
      <c r="M1082" s="237"/>
      <c r="N1082" s="88"/>
      <c r="O1082" s="88"/>
      <c r="P1082" s="1923"/>
      <c r="Q1082" s="129"/>
      <c r="R1082" s="834"/>
      <c r="S1082" s="835"/>
      <c r="T1082" s="81"/>
      <c r="U1082" s="835"/>
      <c r="V1082" s="835"/>
      <c r="W1082" s="835"/>
      <c r="X1082" s="836"/>
      <c r="Y1082" s="192"/>
      <c r="Z1082" s="1924"/>
      <c r="AA1082" s="193"/>
      <c r="AB1082" s="1922"/>
      <c r="AC1082" s="1925"/>
      <c r="AD1082" s="1925"/>
      <c r="AE1082" s="1925"/>
      <c r="AF1082" s="1925"/>
    </row>
    <row r="1083" spans="1:32" s="1885" customFormat="1" ht="18" customHeight="1" x14ac:dyDescent="0.2">
      <c r="A1083" s="238"/>
      <c r="B1083" s="1839"/>
      <c r="C1083" s="1839"/>
      <c r="D1083" s="1839"/>
      <c r="E1083" s="88"/>
      <c r="F1083" s="88"/>
      <c r="G1083" s="88"/>
      <c r="H1083" s="120"/>
      <c r="I1083" s="181"/>
      <c r="J1083" s="181"/>
      <c r="K1083" s="835"/>
      <c r="L1083" s="88"/>
      <c r="M1083" s="237"/>
      <c r="N1083" s="88"/>
      <c r="O1083" s="88"/>
      <c r="P1083" s="1923"/>
      <c r="Q1083" s="129"/>
      <c r="R1083" s="834"/>
      <c r="S1083" s="835"/>
      <c r="T1083" s="81"/>
      <c r="U1083" s="835"/>
      <c r="V1083" s="835"/>
      <c r="W1083" s="835"/>
      <c r="X1083" s="836"/>
      <c r="Y1083" s="192"/>
      <c r="Z1083" s="1924"/>
      <c r="AA1083" s="193"/>
      <c r="AB1083" s="1922"/>
      <c r="AC1083" s="1925"/>
      <c r="AD1083" s="1925"/>
      <c r="AE1083" s="1925"/>
      <c r="AF1083" s="1925"/>
    </row>
    <row r="1084" spans="1:32" s="1885" customFormat="1" ht="18" customHeight="1" x14ac:dyDescent="0.2">
      <c r="A1084" s="238"/>
      <c r="B1084" s="1839"/>
      <c r="C1084" s="1839"/>
      <c r="D1084" s="1839"/>
      <c r="E1084" s="88"/>
      <c r="F1084" s="88"/>
      <c r="G1084" s="88"/>
      <c r="H1084" s="120"/>
      <c r="I1084" s="181"/>
      <c r="J1084" s="181"/>
      <c r="K1084" s="835"/>
      <c r="L1084" s="88"/>
      <c r="M1084" s="237"/>
      <c r="N1084" s="88"/>
      <c r="O1084" s="88"/>
      <c r="P1084" s="1923"/>
      <c r="Q1084" s="129"/>
      <c r="R1084" s="834"/>
      <c r="S1084" s="835"/>
      <c r="T1084" s="81"/>
      <c r="U1084" s="835"/>
      <c r="V1084" s="835"/>
      <c r="W1084" s="835"/>
      <c r="X1084" s="836"/>
      <c r="Y1084" s="192"/>
      <c r="Z1084" s="1924"/>
      <c r="AA1084" s="193"/>
      <c r="AB1084" s="1922"/>
      <c r="AC1084" s="1925"/>
      <c r="AD1084" s="1925"/>
      <c r="AE1084" s="1925"/>
      <c r="AF1084" s="1925"/>
    </row>
    <row r="1085" spans="1:32" s="1885" customFormat="1" ht="18" customHeight="1" x14ac:dyDescent="0.2">
      <c r="A1085" s="238"/>
      <c r="B1085" s="1839"/>
      <c r="C1085" s="1839"/>
      <c r="D1085" s="1839"/>
      <c r="E1085" s="88"/>
      <c r="F1085" s="88"/>
      <c r="G1085" s="88"/>
      <c r="H1085" s="120"/>
      <c r="I1085" s="181"/>
      <c r="J1085" s="181"/>
      <c r="K1085" s="835"/>
      <c r="L1085" s="88"/>
      <c r="M1085" s="237"/>
      <c r="N1085" s="88"/>
      <c r="O1085" s="88"/>
      <c r="P1085" s="1923"/>
      <c r="Q1085" s="129"/>
      <c r="R1085" s="834"/>
      <c r="S1085" s="835"/>
      <c r="T1085" s="81"/>
      <c r="U1085" s="835"/>
      <c r="V1085" s="835"/>
      <c r="W1085" s="835"/>
      <c r="X1085" s="836"/>
      <c r="Y1085" s="192"/>
      <c r="Z1085" s="1924"/>
      <c r="AA1085" s="193"/>
      <c r="AB1085" s="1922"/>
      <c r="AC1085" s="1925"/>
      <c r="AD1085" s="1925"/>
      <c r="AE1085" s="1925"/>
      <c r="AF1085" s="1925"/>
    </row>
    <row r="1086" spans="1:32" s="1885" customFormat="1" ht="18" customHeight="1" x14ac:dyDescent="0.2">
      <c r="A1086" s="238"/>
      <c r="B1086" s="1839"/>
      <c r="C1086" s="1839"/>
      <c r="D1086" s="1839"/>
      <c r="E1086" s="88"/>
      <c r="F1086" s="88"/>
      <c r="G1086" s="88"/>
      <c r="H1086" s="120"/>
      <c r="I1086" s="181"/>
      <c r="J1086" s="181"/>
      <c r="K1086" s="835"/>
      <c r="L1086" s="88"/>
      <c r="M1086" s="237"/>
      <c r="N1086" s="88"/>
      <c r="O1086" s="88"/>
      <c r="P1086" s="1923"/>
      <c r="Q1086" s="129"/>
      <c r="R1086" s="834"/>
      <c r="S1086" s="835"/>
      <c r="T1086" s="81"/>
      <c r="U1086" s="835"/>
      <c r="V1086" s="835"/>
      <c r="W1086" s="835"/>
      <c r="X1086" s="836"/>
      <c r="Y1086" s="192"/>
      <c r="Z1086" s="1924"/>
      <c r="AA1086" s="193"/>
      <c r="AB1086" s="1922"/>
      <c r="AC1086" s="1925"/>
      <c r="AD1086" s="1925"/>
      <c r="AE1086" s="1925"/>
      <c r="AF1086" s="1925"/>
    </row>
    <row r="1087" spans="1:32" s="1885" customFormat="1" ht="18" customHeight="1" x14ac:dyDescent="0.2">
      <c r="A1087" s="238"/>
      <c r="B1087" s="1839"/>
      <c r="C1087" s="1839"/>
      <c r="D1087" s="1839"/>
      <c r="E1087" s="88"/>
      <c r="F1087" s="88"/>
      <c r="G1087" s="88"/>
      <c r="H1087" s="120"/>
      <c r="I1087" s="181"/>
      <c r="J1087" s="181"/>
      <c r="K1087" s="835"/>
      <c r="L1087" s="88"/>
      <c r="M1087" s="237"/>
      <c r="N1087" s="88"/>
      <c r="O1087" s="88"/>
      <c r="P1087" s="1923"/>
      <c r="Q1087" s="129"/>
      <c r="R1087" s="834"/>
      <c r="S1087" s="835"/>
      <c r="T1087" s="81"/>
      <c r="U1087" s="835"/>
      <c r="V1087" s="835"/>
      <c r="W1087" s="835"/>
      <c r="X1087" s="836"/>
      <c r="Y1087" s="192"/>
      <c r="Z1087" s="1924"/>
      <c r="AA1087" s="193"/>
      <c r="AB1087" s="1922"/>
      <c r="AC1087" s="1925"/>
      <c r="AD1087" s="1925"/>
      <c r="AE1087" s="1925"/>
      <c r="AF1087" s="1925"/>
    </row>
    <row r="1088" spans="1:32" s="1885" customFormat="1" ht="18" customHeight="1" x14ac:dyDescent="0.2">
      <c r="A1088" s="238"/>
      <c r="B1088" s="1839"/>
      <c r="C1088" s="1839"/>
      <c r="D1088" s="1839"/>
      <c r="E1088" s="88"/>
      <c r="F1088" s="88"/>
      <c r="G1088" s="88"/>
      <c r="H1088" s="120"/>
      <c r="I1088" s="181"/>
      <c r="J1088" s="181"/>
      <c r="K1088" s="835"/>
      <c r="L1088" s="88"/>
      <c r="M1088" s="237"/>
      <c r="N1088" s="88"/>
      <c r="O1088" s="88"/>
      <c r="P1088" s="1923"/>
      <c r="Q1088" s="129"/>
      <c r="R1088" s="834"/>
      <c r="S1088" s="835"/>
      <c r="T1088" s="81"/>
      <c r="U1088" s="835"/>
      <c r="V1088" s="835"/>
      <c r="W1088" s="835"/>
      <c r="X1088" s="836"/>
      <c r="Y1088" s="192"/>
      <c r="Z1088" s="1924"/>
      <c r="AA1088" s="193"/>
      <c r="AB1088" s="1922"/>
      <c r="AC1088" s="1925"/>
      <c r="AD1088" s="1925"/>
      <c r="AE1088" s="1925"/>
      <c r="AF1088" s="1925"/>
    </row>
    <row r="1089" spans="1:32" s="1885" customFormat="1" ht="18" customHeight="1" x14ac:dyDescent="0.2">
      <c r="A1089" s="238"/>
      <c r="B1089" s="1839"/>
      <c r="C1089" s="1839"/>
      <c r="D1089" s="1839"/>
      <c r="E1089" s="88"/>
      <c r="F1089" s="88"/>
      <c r="G1089" s="88"/>
      <c r="H1089" s="120"/>
      <c r="I1089" s="181"/>
      <c r="J1089" s="181"/>
      <c r="K1089" s="835"/>
      <c r="L1089" s="88"/>
      <c r="M1089" s="237"/>
      <c r="N1089" s="88"/>
      <c r="O1089" s="88"/>
      <c r="P1089" s="1923"/>
      <c r="Q1089" s="129"/>
      <c r="R1089" s="834"/>
      <c r="S1089" s="835"/>
      <c r="T1089" s="81"/>
      <c r="U1089" s="835"/>
      <c r="V1089" s="835"/>
      <c r="W1089" s="835"/>
      <c r="X1089" s="836"/>
      <c r="Y1089" s="192"/>
      <c r="Z1089" s="1924"/>
      <c r="AA1089" s="193"/>
      <c r="AB1089" s="1922"/>
      <c r="AC1089" s="1925"/>
      <c r="AD1089" s="1925"/>
      <c r="AE1089" s="1925"/>
      <c r="AF1089" s="1925"/>
    </row>
    <row r="1090" spans="1:32" s="1885" customFormat="1" ht="18" customHeight="1" x14ac:dyDescent="0.2">
      <c r="A1090" s="238"/>
      <c r="B1090" s="1839"/>
      <c r="C1090" s="1839"/>
      <c r="D1090" s="1839"/>
      <c r="E1090" s="88"/>
      <c r="F1090" s="88"/>
      <c r="G1090" s="88"/>
      <c r="H1090" s="120"/>
      <c r="I1090" s="181"/>
      <c r="J1090" s="181"/>
      <c r="K1090" s="835"/>
      <c r="L1090" s="88"/>
      <c r="M1090" s="237"/>
      <c r="N1090" s="88"/>
      <c r="O1090" s="88"/>
      <c r="P1090" s="1923"/>
      <c r="Q1090" s="129"/>
      <c r="R1090" s="834"/>
      <c r="S1090" s="835"/>
      <c r="T1090" s="81"/>
      <c r="U1090" s="835"/>
      <c r="V1090" s="835"/>
      <c r="W1090" s="835"/>
      <c r="X1090" s="836"/>
      <c r="Y1090" s="192"/>
      <c r="Z1090" s="1924"/>
      <c r="AA1090" s="193"/>
      <c r="AB1090" s="1922"/>
      <c r="AC1090" s="1925"/>
      <c r="AD1090" s="1925"/>
      <c r="AE1090" s="1925"/>
      <c r="AF1090" s="1925"/>
    </row>
    <row r="1091" spans="1:32" s="1885" customFormat="1" ht="18" customHeight="1" x14ac:dyDescent="0.2">
      <c r="A1091" s="238"/>
      <c r="B1091" s="1839"/>
      <c r="C1091" s="1839"/>
      <c r="D1091" s="1839"/>
      <c r="E1091" s="88"/>
      <c r="F1091" s="88"/>
      <c r="G1091" s="88"/>
      <c r="H1091" s="120"/>
      <c r="I1091" s="181"/>
      <c r="J1091" s="181"/>
      <c r="K1091" s="835"/>
      <c r="L1091" s="88"/>
      <c r="M1091" s="237"/>
      <c r="N1091" s="88"/>
      <c r="O1091" s="88"/>
      <c r="P1091" s="1923"/>
      <c r="Q1091" s="129"/>
      <c r="R1091" s="834"/>
      <c r="S1091" s="835"/>
      <c r="T1091" s="81"/>
      <c r="U1091" s="835"/>
      <c r="V1091" s="835"/>
      <c r="W1091" s="835"/>
      <c r="X1091" s="836"/>
      <c r="Y1091" s="192"/>
      <c r="Z1091" s="1924"/>
      <c r="AA1091" s="193"/>
      <c r="AB1091" s="1922"/>
      <c r="AC1091" s="1925"/>
      <c r="AD1091" s="1925"/>
      <c r="AE1091" s="1925"/>
      <c r="AF1091" s="1925"/>
    </row>
    <row r="1092" spans="1:32" s="1885" customFormat="1" ht="18" customHeight="1" x14ac:dyDescent="0.2">
      <c r="A1092" s="238"/>
      <c r="B1092" s="1839"/>
      <c r="C1092" s="1839"/>
      <c r="D1092" s="1839"/>
      <c r="E1092" s="88"/>
      <c r="F1092" s="88"/>
      <c r="G1092" s="88"/>
      <c r="H1092" s="120"/>
      <c r="I1092" s="181"/>
      <c r="J1092" s="181"/>
      <c r="K1092" s="835"/>
      <c r="L1092" s="88"/>
      <c r="M1092" s="237"/>
      <c r="N1092" s="88"/>
      <c r="O1092" s="88"/>
      <c r="P1092" s="1923"/>
      <c r="Q1092" s="129"/>
      <c r="R1092" s="834"/>
      <c r="S1092" s="835"/>
      <c r="T1092" s="81"/>
      <c r="U1092" s="835"/>
      <c r="V1092" s="835"/>
      <c r="W1092" s="835"/>
      <c r="X1092" s="836"/>
      <c r="Y1092" s="192"/>
      <c r="Z1092" s="1924"/>
      <c r="AA1092" s="193"/>
      <c r="AB1092" s="1922"/>
      <c r="AC1092" s="1925"/>
      <c r="AD1092" s="1925"/>
      <c r="AE1092" s="1925"/>
      <c r="AF1092" s="1925"/>
    </row>
    <row r="1093" spans="1:32" s="844" customFormat="1" ht="18" customHeight="1" x14ac:dyDescent="0.2">
      <c r="A1093" s="1850"/>
      <c r="B1093" s="1850"/>
      <c r="C1093" s="1850"/>
      <c r="D1093" s="1850"/>
      <c r="E1093" s="1850"/>
      <c r="F1093" s="1850"/>
      <c r="G1093" s="1850"/>
      <c r="H1093" s="1851"/>
      <c r="I1093" s="1852"/>
      <c r="J1093" s="1853"/>
      <c r="K1093" s="1929"/>
      <c r="L1093" s="1929"/>
      <c r="M1093" s="1929"/>
      <c r="N1093" s="1929"/>
      <c r="O1093" s="1929"/>
      <c r="P1093" s="1929"/>
      <c r="Q1093" s="1929"/>
      <c r="R1093" s="1930"/>
      <c r="S1093" s="1929"/>
      <c r="T1093" s="1855"/>
      <c r="U1093" s="1931"/>
      <c r="V1093" s="1929"/>
      <c r="W1093" s="1929"/>
      <c r="X1093" s="1932"/>
      <c r="Y1093" s="1932"/>
      <c r="Z1093" s="1933"/>
      <c r="AA1093" s="1933"/>
      <c r="AB1093" s="1934">
        <f>SUM(AB1072:AB1092)</f>
        <v>1027.2</v>
      </c>
      <c r="AC1093" s="1935"/>
      <c r="AD1093" s="1935"/>
      <c r="AE1093" s="1935"/>
      <c r="AF1093" s="1935"/>
    </row>
    <row r="1094" spans="1:32" s="1885" customFormat="1" ht="18" customHeight="1" x14ac:dyDescent="0.2">
      <c r="A1094" s="2795" t="s">
        <v>76</v>
      </c>
      <c r="B1094" s="2795"/>
      <c r="C1094" s="2796" t="s">
        <v>77</v>
      </c>
      <c r="D1094" s="2796"/>
      <c r="E1094" s="2796"/>
      <c r="F1094" s="2796"/>
      <c r="G1094" s="2796"/>
      <c r="H1094" s="2796"/>
      <c r="I1094" s="1885" t="s">
        <v>78</v>
      </c>
      <c r="U1094" s="1926"/>
      <c r="AB1094" s="1926"/>
    </row>
    <row r="1095" spans="1:32" s="1885" customFormat="1" ht="18" customHeight="1" x14ac:dyDescent="0.2">
      <c r="A1095" s="1927"/>
      <c r="B1095" s="1928"/>
      <c r="I1095" s="1885" t="s">
        <v>79</v>
      </c>
      <c r="U1095" s="1926"/>
      <c r="AB1095" s="1926"/>
    </row>
    <row r="1096" spans="1:32" s="1885" customFormat="1" ht="18" customHeight="1" x14ac:dyDescent="0.2">
      <c r="A1096" s="1927"/>
      <c r="B1096" s="1928"/>
      <c r="I1096" s="1885" t="s">
        <v>80</v>
      </c>
      <c r="U1096" s="1926"/>
      <c r="AB1096" s="1926"/>
    </row>
    <row r="1097" spans="1:32" s="1885" customFormat="1" ht="18" customHeight="1" x14ac:dyDescent="0.2">
      <c r="A1097" s="1927"/>
      <c r="B1097" s="1928"/>
      <c r="I1097" s="1885" t="s">
        <v>81</v>
      </c>
      <c r="U1097" s="1926"/>
      <c r="AB1097" s="1926"/>
    </row>
    <row r="1098" spans="1:32" s="1885" customFormat="1" ht="18" customHeight="1" x14ac:dyDescent="0.2">
      <c r="A1098" s="1927"/>
      <c r="B1098" s="1928"/>
      <c r="I1098" s="1885" t="s">
        <v>88</v>
      </c>
      <c r="U1098" s="1926"/>
      <c r="AB1098" s="1926"/>
    </row>
    <row r="1099" spans="1:32" s="1885" customFormat="1" ht="18" customHeight="1" x14ac:dyDescent="0.2">
      <c r="A1099" s="2053"/>
      <c r="B1099" s="1882"/>
      <c r="C1099" s="1882"/>
      <c r="D1099" s="1882"/>
      <c r="E1099" s="1882"/>
      <c r="F1099" s="1882"/>
      <c r="G1099" s="1882"/>
      <c r="H1099" s="1882"/>
      <c r="I1099" s="1882"/>
      <c r="J1099" s="1882"/>
      <c r="K1099" s="1882"/>
      <c r="L1099" s="1882"/>
      <c r="M1099" s="1882"/>
      <c r="N1099" s="1882"/>
      <c r="O1099" s="1882"/>
      <c r="P1099" s="1882"/>
      <c r="Q1099" s="1882"/>
      <c r="R1099" s="1882"/>
      <c r="S1099" s="1882"/>
      <c r="T1099" s="1882"/>
      <c r="U1099" s="1883"/>
      <c r="V1099" s="1882"/>
      <c r="W1099" s="1882"/>
      <c r="X1099" s="1882"/>
      <c r="Y1099" s="1882"/>
      <c r="Z1099" s="1882"/>
      <c r="AA1099" s="2797" t="s">
        <v>0</v>
      </c>
      <c r="AB1099" s="2797"/>
      <c r="AC1099" s="1884"/>
      <c r="AD1099" s="1884"/>
      <c r="AE1099" s="1884"/>
      <c r="AF1099" s="1884"/>
    </row>
    <row r="1100" spans="1:32" s="1885" customFormat="1" ht="18" customHeight="1" x14ac:dyDescent="0.2">
      <c r="A1100" s="2797" t="s">
        <v>1</v>
      </c>
      <c r="B1100" s="2797"/>
      <c r="C1100" s="2797"/>
      <c r="D1100" s="2797"/>
      <c r="E1100" s="2797"/>
      <c r="F1100" s="2797"/>
      <c r="G1100" s="2797"/>
      <c r="H1100" s="2797"/>
      <c r="I1100" s="2797"/>
      <c r="J1100" s="2797"/>
      <c r="K1100" s="2797"/>
      <c r="L1100" s="2797"/>
      <c r="M1100" s="2797"/>
      <c r="N1100" s="2797"/>
      <c r="O1100" s="2797"/>
      <c r="P1100" s="2797"/>
      <c r="Q1100" s="2797"/>
      <c r="R1100" s="2797"/>
      <c r="S1100" s="2797"/>
      <c r="T1100" s="2797"/>
      <c r="U1100" s="2797"/>
      <c r="V1100" s="2797"/>
      <c r="W1100" s="2797"/>
      <c r="X1100" s="2797"/>
      <c r="Y1100" s="2797"/>
      <c r="Z1100" s="2797"/>
      <c r="AA1100" s="2797"/>
      <c r="AB1100" s="2797"/>
      <c r="AC1100" s="1882"/>
      <c r="AD1100" s="1882"/>
      <c r="AE1100" s="1882"/>
      <c r="AF1100" s="1882"/>
    </row>
    <row r="1101" spans="1:32" s="1885" customFormat="1" ht="18" customHeight="1" x14ac:dyDescent="0.2">
      <c r="A1101" s="2741" t="s">
        <v>532</v>
      </c>
      <c r="B1101" s="2741"/>
      <c r="C1101" s="2741"/>
      <c r="D1101" s="2741"/>
      <c r="E1101" s="2741"/>
      <c r="F1101" s="2741"/>
      <c r="G1101" s="2741"/>
      <c r="H1101" s="2741"/>
      <c r="I1101" s="2741"/>
      <c r="J1101" s="2741"/>
      <c r="K1101" s="2741"/>
      <c r="L1101" s="2741"/>
      <c r="M1101" s="2741"/>
      <c r="N1101" s="2741"/>
      <c r="O1101" s="2741"/>
      <c r="P1101" s="2741"/>
      <c r="Q1101" s="2741"/>
      <c r="R1101" s="2741"/>
      <c r="S1101" s="2741"/>
      <c r="T1101" s="2741"/>
      <c r="U1101" s="2741"/>
      <c r="V1101" s="2741"/>
      <c r="W1101" s="2741"/>
      <c r="X1101" s="2741"/>
      <c r="Y1101" s="2741"/>
      <c r="Z1101" s="2741"/>
      <c r="AA1101" s="2741"/>
      <c r="AB1101" s="2741"/>
      <c r="AC1101" s="1886"/>
      <c r="AD1101" s="1886"/>
      <c r="AE1101" s="1886"/>
      <c r="AF1101" s="1886"/>
    </row>
    <row r="1102" spans="1:32" s="1885" customFormat="1" ht="18" customHeight="1" x14ac:dyDescent="0.2">
      <c r="A1102" s="2709" t="s">
        <v>2</v>
      </c>
      <c r="B1102" s="160"/>
      <c r="C1102" s="2709" t="s">
        <v>3</v>
      </c>
      <c r="D1102" s="160"/>
      <c r="E1102" s="160"/>
      <c r="F1102" s="2712" t="s">
        <v>4</v>
      </c>
      <c r="G1102" s="2712"/>
      <c r="H1102" s="2712"/>
      <c r="I1102" s="2713"/>
      <c r="J1102" s="2713"/>
      <c r="K1102" s="2714"/>
      <c r="L1102" s="2"/>
      <c r="M1102" s="2715" t="s">
        <v>5</v>
      </c>
      <c r="N1102" s="2715"/>
      <c r="O1102" s="2715"/>
      <c r="P1102" s="2715"/>
      <c r="Q1102" s="2716"/>
      <c r="R1102" s="2716"/>
      <c r="S1102" s="2716"/>
      <c r="T1102" s="2716"/>
      <c r="U1102" s="2716"/>
      <c r="V1102" s="2717"/>
      <c r="W1102" s="161" t="s">
        <v>6</v>
      </c>
      <c r="X1102" s="162" t="s">
        <v>7</v>
      </c>
      <c r="Y1102" s="163"/>
      <c r="Z1102" s="163"/>
      <c r="AA1102" s="162"/>
      <c r="AB1102" s="1887"/>
      <c r="AC1102" s="1888" t="s">
        <v>8</v>
      </c>
      <c r="AD1102" s="1889"/>
      <c r="AE1102" s="1889"/>
      <c r="AF1102" s="1890"/>
    </row>
    <row r="1103" spans="1:32" s="1885" customFormat="1" ht="18" customHeight="1" x14ac:dyDescent="0.2">
      <c r="A1103" s="2710"/>
      <c r="B1103" s="4"/>
      <c r="C1103" s="2710"/>
      <c r="D1103" s="2048" t="s">
        <v>9</v>
      </c>
      <c r="E1103" s="2048" t="s">
        <v>10</v>
      </c>
      <c r="F1103" s="2718" t="s">
        <v>11</v>
      </c>
      <c r="G1103" s="2713"/>
      <c r="H1103" s="2714"/>
      <c r="I1103" s="160"/>
      <c r="J1103" s="2047" t="s">
        <v>12</v>
      </c>
      <c r="K1103" s="160"/>
      <c r="L1103" s="2715" t="s">
        <v>2</v>
      </c>
      <c r="M1103" s="141"/>
      <c r="N1103" s="141"/>
      <c r="O1103" s="141"/>
      <c r="P1103" s="164"/>
      <c r="Q1103" s="1891" t="s">
        <v>13</v>
      </c>
      <c r="R1103" s="141" t="s">
        <v>12</v>
      </c>
      <c r="S1103" s="141" t="s">
        <v>6</v>
      </c>
      <c r="T1103" s="2724" t="s">
        <v>14</v>
      </c>
      <c r="U1103" s="2725"/>
      <c r="V1103" s="165" t="s">
        <v>7</v>
      </c>
      <c r="W1103" s="166" t="s">
        <v>15</v>
      </c>
      <c r="X1103" s="5" t="s">
        <v>16</v>
      </c>
      <c r="Y1103" s="5" t="s">
        <v>17</v>
      </c>
      <c r="Z1103" s="5" t="s">
        <v>18</v>
      </c>
      <c r="AA1103" s="5"/>
      <c r="AB1103" s="1892" t="s">
        <v>19</v>
      </c>
      <c r="AC1103" s="1893" t="s">
        <v>20</v>
      </c>
      <c r="AD1103" s="1894"/>
      <c r="AE1103" s="1895" t="s">
        <v>21</v>
      </c>
      <c r="AF1103" s="1896" t="s">
        <v>22</v>
      </c>
    </row>
    <row r="1104" spans="1:32" s="1885" customFormat="1" ht="18" customHeight="1" x14ac:dyDescent="0.2">
      <c r="A1104" s="2710"/>
      <c r="B1104" s="2048" t="s">
        <v>23</v>
      </c>
      <c r="C1104" s="2710"/>
      <c r="D1104" s="2048" t="s">
        <v>24</v>
      </c>
      <c r="E1104" s="2048" t="s">
        <v>25</v>
      </c>
      <c r="F1104" s="2719"/>
      <c r="G1104" s="2720"/>
      <c r="H1104" s="2721"/>
      <c r="I1104" s="2048" t="s">
        <v>26</v>
      </c>
      <c r="J1104" s="2052" t="s">
        <v>15</v>
      </c>
      <c r="K1104" s="2052" t="s">
        <v>6</v>
      </c>
      <c r="L1104" s="2722"/>
      <c r="M1104" s="142" t="s">
        <v>27</v>
      </c>
      <c r="N1104" s="142" t="s">
        <v>10</v>
      </c>
      <c r="O1104" s="142" t="s">
        <v>10</v>
      </c>
      <c r="P1104" s="8" t="s">
        <v>28</v>
      </c>
      <c r="Q1104" s="1897" t="s">
        <v>29</v>
      </c>
      <c r="R1104" s="8" t="s">
        <v>15</v>
      </c>
      <c r="S1104" s="8" t="s">
        <v>15</v>
      </c>
      <c r="T1104" s="2726"/>
      <c r="U1104" s="2727"/>
      <c r="V1104" s="165" t="s">
        <v>30</v>
      </c>
      <c r="W1104" s="166" t="s">
        <v>449</v>
      </c>
      <c r="X1104" s="5" t="s">
        <v>30</v>
      </c>
      <c r="Y1104" s="5" t="s">
        <v>32</v>
      </c>
      <c r="Z1104" s="5" t="s">
        <v>7</v>
      </c>
      <c r="AA1104" s="5" t="s">
        <v>33</v>
      </c>
      <c r="AB1104" s="1892" t="s">
        <v>34</v>
      </c>
      <c r="AC1104" s="1893" t="s">
        <v>35</v>
      </c>
      <c r="AD1104" s="1895" t="s">
        <v>36</v>
      </c>
      <c r="AE1104" s="1895" t="s">
        <v>37</v>
      </c>
      <c r="AF1104" s="1896" t="s">
        <v>38</v>
      </c>
    </row>
    <row r="1105" spans="1:33" s="1885" customFormat="1" ht="18" customHeight="1" x14ac:dyDescent="0.2">
      <c r="A1105" s="2710"/>
      <c r="B1105" s="2048" t="s">
        <v>39</v>
      </c>
      <c r="C1105" s="2710"/>
      <c r="D1105" s="2048" t="s">
        <v>40</v>
      </c>
      <c r="E1105" s="2048" t="s">
        <v>41</v>
      </c>
      <c r="F1105" s="2709" t="s">
        <v>42</v>
      </c>
      <c r="G1105" s="2709" t="s">
        <v>43</v>
      </c>
      <c r="H1105" s="2728" t="s">
        <v>44</v>
      </c>
      <c r="I1105" s="2048" t="s">
        <v>45</v>
      </c>
      <c r="J1105" s="2052" t="s">
        <v>46</v>
      </c>
      <c r="K1105" s="2052" t="s">
        <v>47</v>
      </c>
      <c r="L1105" s="2722"/>
      <c r="M1105" s="142" t="s">
        <v>30</v>
      </c>
      <c r="N1105" s="142" t="s">
        <v>30</v>
      </c>
      <c r="O1105" s="142" t="s">
        <v>25</v>
      </c>
      <c r="P1105" s="8" t="s">
        <v>30</v>
      </c>
      <c r="Q1105" s="1897" t="s">
        <v>48</v>
      </c>
      <c r="R1105" s="8" t="s">
        <v>49</v>
      </c>
      <c r="S1105" s="8" t="s">
        <v>30</v>
      </c>
      <c r="T1105" s="2051" t="s">
        <v>50</v>
      </c>
      <c r="U1105" s="1898" t="s">
        <v>13</v>
      </c>
      <c r="V1105" s="165" t="s">
        <v>51</v>
      </c>
      <c r="W1105" s="166" t="s">
        <v>52</v>
      </c>
      <c r="X1105" s="5" t="s">
        <v>53</v>
      </c>
      <c r="Y1105" s="5" t="s">
        <v>54</v>
      </c>
      <c r="Z1105" s="5" t="s">
        <v>55</v>
      </c>
      <c r="AA1105" s="5" t="s">
        <v>56</v>
      </c>
      <c r="AB1105" s="1892" t="s">
        <v>57</v>
      </c>
      <c r="AC1105" s="1895" t="s">
        <v>58</v>
      </c>
      <c r="AD1105" s="1895" t="s">
        <v>59</v>
      </c>
      <c r="AE1105" s="1895" t="s">
        <v>59</v>
      </c>
      <c r="AF1105" s="1896" t="s">
        <v>60</v>
      </c>
    </row>
    <row r="1106" spans="1:33" s="1885" customFormat="1" ht="18" customHeight="1" x14ac:dyDescent="0.2">
      <c r="A1106" s="2710"/>
      <c r="B1106" s="2048" t="s">
        <v>61</v>
      </c>
      <c r="C1106" s="2710"/>
      <c r="D1106" s="2048" t="s">
        <v>62</v>
      </c>
      <c r="E1106" s="2048" t="s">
        <v>63</v>
      </c>
      <c r="F1106" s="2710"/>
      <c r="G1106" s="2710"/>
      <c r="H1106" s="2729"/>
      <c r="I1106" s="2048" t="s">
        <v>64</v>
      </c>
      <c r="J1106" s="2052" t="s">
        <v>59</v>
      </c>
      <c r="K1106" s="2052" t="s">
        <v>59</v>
      </c>
      <c r="L1106" s="2722"/>
      <c r="M1106" s="142"/>
      <c r="N1106" s="142"/>
      <c r="O1106" s="142" t="s">
        <v>41</v>
      </c>
      <c r="P1106" s="8" t="s">
        <v>65</v>
      </c>
      <c r="Q1106" s="1897" t="s">
        <v>66</v>
      </c>
      <c r="R1106" s="8" t="s">
        <v>67</v>
      </c>
      <c r="S1106" s="8" t="s">
        <v>59</v>
      </c>
      <c r="T1106" s="165" t="s">
        <v>68</v>
      </c>
      <c r="U1106" s="1899" t="s">
        <v>14</v>
      </c>
      <c r="V1106" s="165" t="s">
        <v>14</v>
      </c>
      <c r="W1106" s="166" t="s">
        <v>30</v>
      </c>
      <c r="X1106" s="167" t="s">
        <v>69</v>
      </c>
      <c r="Y1106" s="167" t="s">
        <v>70</v>
      </c>
      <c r="Z1106" s="5" t="s">
        <v>71</v>
      </c>
      <c r="AA1106" s="5" t="s">
        <v>72</v>
      </c>
      <c r="AB1106" s="1892" t="s">
        <v>59</v>
      </c>
      <c r="AC1106" s="1895" t="s">
        <v>59</v>
      </c>
      <c r="AD1106" s="1895"/>
      <c r="AE1106" s="1895"/>
      <c r="AF1106" s="1896" t="s">
        <v>59</v>
      </c>
    </row>
    <row r="1107" spans="1:33" s="1885" customFormat="1" ht="18" customHeight="1" x14ac:dyDescent="0.2">
      <c r="A1107" s="2711"/>
      <c r="B1107" s="9"/>
      <c r="C1107" s="2711"/>
      <c r="D1107" s="9"/>
      <c r="E1107" s="2049"/>
      <c r="F1107" s="9"/>
      <c r="G1107" s="9"/>
      <c r="H1107" s="10"/>
      <c r="I1107" s="2049"/>
      <c r="J1107" s="168"/>
      <c r="K1107" s="168"/>
      <c r="L1107" s="2723"/>
      <c r="M1107" s="143"/>
      <c r="N1107" s="143"/>
      <c r="O1107" s="143" t="s">
        <v>63</v>
      </c>
      <c r="P1107" s="143"/>
      <c r="Q1107" s="2050" t="s">
        <v>72</v>
      </c>
      <c r="R1107" s="169" t="s">
        <v>59</v>
      </c>
      <c r="S1107" s="169"/>
      <c r="T1107" s="169" t="s">
        <v>73</v>
      </c>
      <c r="U1107" s="1900" t="s">
        <v>59</v>
      </c>
      <c r="V1107" s="170" t="s">
        <v>59</v>
      </c>
      <c r="W1107" s="171" t="s">
        <v>59</v>
      </c>
      <c r="X1107" s="172" t="s">
        <v>59</v>
      </c>
      <c r="Y1107" s="172" t="s">
        <v>59</v>
      </c>
      <c r="Z1107" s="172" t="s">
        <v>59</v>
      </c>
      <c r="AA1107" s="11"/>
      <c r="AB1107" s="1901"/>
      <c r="AC1107" s="1902"/>
      <c r="AD1107" s="1902"/>
      <c r="AE1107" s="1902"/>
      <c r="AF1107" s="1903"/>
    </row>
    <row r="1108" spans="1:33" s="457" customFormat="1" ht="18" customHeight="1" x14ac:dyDescent="0.2">
      <c r="A1108" s="82">
        <v>1</v>
      </c>
      <c r="B1108" s="95">
        <v>2142</v>
      </c>
      <c r="C1108" s="82">
        <v>228</v>
      </c>
      <c r="D1108" s="82" t="s">
        <v>139</v>
      </c>
      <c r="E1108" s="82">
        <v>1</v>
      </c>
      <c r="F1108" s="82">
        <v>7</v>
      </c>
      <c r="G1108" s="82">
        <v>0</v>
      </c>
      <c r="H1108" s="463">
        <v>56</v>
      </c>
      <c r="I1108" s="70">
        <f>F1108*400+G1108*100+H1108</f>
        <v>2856</v>
      </c>
      <c r="J1108" s="123">
        <v>280</v>
      </c>
      <c r="K1108" s="124">
        <f>SUM(I1108*J1108)</f>
        <v>799680</v>
      </c>
      <c r="L1108" s="82"/>
      <c r="M1108" s="82"/>
      <c r="N1108" s="82"/>
      <c r="O1108" s="82" t="s">
        <v>311</v>
      </c>
      <c r="P1108" s="82"/>
      <c r="Q1108" s="770"/>
      <c r="R1108" s="771"/>
      <c r="S1108" s="67"/>
      <c r="T1108" s="1056"/>
      <c r="U1108" s="67"/>
      <c r="V1108" s="67"/>
      <c r="W1108" s="67">
        <f>+K1108+V1108</f>
        <v>799680</v>
      </c>
      <c r="X1108" s="67">
        <f>W1108</f>
        <v>799680</v>
      </c>
      <c r="Y1108" s="123" t="s">
        <v>213</v>
      </c>
      <c r="Z1108" s="67">
        <v>0</v>
      </c>
      <c r="AA1108" s="464">
        <v>0.01</v>
      </c>
      <c r="AB1108" s="406">
        <f>+Z1108*AA1108/100</f>
        <v>0</v>
      </c>
      <c r="AC1108" s="602"/>
      <c r="AD1108" s="603">
        <f>AB1144-AC1108</f>
        <v>0</v>
      </c>
      <c r="AE1108" s="603">
        <f>IF(AD1108&lt;=0,0,AD1108*25/100)</f>
        <v>0</v>
      </c>
      <c r="AF1108" s="603">
        <f>IF(AC1108+AE1108&gt;AB1144,AB1144,AC1108+AE1108)</f>
        <v>0</v>
      </c>
      <c r="AG1108" s="1750" t="s">
        <v>354</v>
      </c>
    </row>
    <row r="1109" spans="1:33" s="457" customFormat="1" ht="18" customHeight="1" x14ac:dyDescent="0.2">
      <c r="A1109" s="75">
        <v>2</v>
      </c>
      <c r="B1109" s="88">
        <v>49326</v>
      </c>
      <c r="C1109" s="88">
        <v>1572</v>
      </c>
      <c r="D1109" s="82" t="s">
        <v>139</v>
      </c>
      <c r="E1109" s="88">
        <v>4</v>
      </c>
      <c r="F1109" s="88">
        <v>1</v>
      </c>
      <c r="G1109" s="88">
        <v>0</v>
      </c>
      <c r="H1109" s="495">
        <v>37</v>
      </c>
      <c r="I1109" s="70">
        <f t="shared" ref="I1109:I1110" si="78">F1109*400+G1109*100+H1109</f>
        <v>437</v>
      </c>
      <c r="J1109" s="121">
        <v>1600</v>
      </c>
      <c r="K1109" s="124">
        <f t="shared" ref="K1109:K1110" si="79">SUM(I1109*J1109)</f>
        <v>699200</v>
      </c>
      <c r="L1109" s="72"/>
      <c r="M1109" s="72"/>
      <c r="N1109" s="72"/>
      <c r="O1109" s="72"/>
      <c r="P1109" s="72"/>
      <c r="Q1109" s="1024"/>
      <c r="R1109" s="446"/>
      <c r="S1109" s="73"/>
      <c r="T1109" s="1025"/>
      <c r="U1109" s="73"/>
      <c r="V1109" s="73"/>
      <c r="W1109" s="67">
        <f t="shared" ref="W1109:W1110" si="80">+K1109+V1109</f>
        <v>699200</v>
      </c>
      <c r="X1109" s="67">
        <f t="shared" ref="X1109:X1110" si="81">W1109</f>
        <v>699200</v>
      </c>
      <c r="Y1109" s="123">
        <v>0</v>
      </c>
      <c r="Z1109" s="67">
        <f t="shared" ref="Z1109:Z1110" si="82">+X1109</f>
        <v>699200</v>
      </c>
      <c r="AA1109" s="464">
        <v>0.3</v>
      </c>
      <c r="AB1109" s="406">
        <f t="shared" ref="AB1109:AB1110" si="83">+Z1109*AA1109/100</f>
        <v>2097.6</v>
      </c>
      <c r="AC1109" s="603"/>
      <c r="AD1109" s="603"/>
      <c r="AE1109" s="603"/>
      <c r="AF1109" s="603"/>
    </row>
    <row r="1110" spans="1:33" s="457" customFormat="1" ht="18" customHeight="1" x14ac:dyDescent="0.2">
      <c r="A1110" s="231">
        <v>3</v>
      </c>
      <c r="B1110" s="231">
        <v>23288</v>
      </c>
      <c r="C1110" s="231">
        <v>652</v>
      </c>
      <c r="D1110" s="82" t="s">
        <v>139</v>
      </c>
      <c r="E1110" s="231">
        <v>4</v>
      </c>
      <c r="F1110" s="231">
        <v>0</v>
      </c>
      <c r="G1110" s="231">
        <v>1</v>
      </c>
      <c r="H1110" s="152">
        <v>91</v>
      </c>
      <c r="I1110" s="70">
        <f t="shared" si="78"/>
        <v>191</v>
      </c>
      <c r="J1110" s="232">
        <v>1600</v>
      </c>
      <c r="K1110" s="124">
        <f t="shared" si="79"/>
        <v>305600</v>
      </c>
      <c r="L1110" s="231"/>
      <c r="M1110" s="233"/>
      <c r="N1110" s="231"/>
      <c r="O1110" s="231"/>
      <c r="P1110" s="654"/>
      <c r="Q1110" s="234"/>
      <c r="R1110" s="655"/>
      <c r="S1110" s="232"/>
      <c r="T1110" s="65"/>
      <c r="U1110" s="232"/>
      <c r="V1110" s="232"/>
      <c r="W1110" s="67">
        <f t="shared" si="80"/>
        <v>305600</v>
      </c>
      <c r="X1110" s="67">
        <f t="shared" si="81"/>
        <v>305600</v>
      </c>
      <c r="Y1110" s="123">
        <v>0</v>
      </c>
      <c r="Z1110" s="67">
        <f t="shared" si="82"/>
        <v>305600</v>
      </c>
      <c r="AA1110" s="464">
        <v>0.3</v>
      </c>
      <c r="AB1110" s="406">
        <f t="shared" si="83"/>
        <v>916.8</v>
      </c>
      <c r="AC1110" s="603"/>
      <c r="AD1110" s="603"/>
      <c r="AE1110" s="603"/>
      <c r="AF1110" s="603"/>
    </row>
    <row r="1111" spans="1:33" s="457" customFormat="1" ht="18" customHeight="1" x14ac:dyDescent="0.2">
      <c r="A1111" s="1408"/>
      <c r="B1111" s="88"/>
      <c r="C1111" s="88"/>
      <c r="D1111" s="88"/>
      <c r="E1111" s="88"/>
      <c r="F1111" s="88"/>
      <c r="G1111" s="88"/>
      <c r="H1111" s="120"/>
      <c r="I1111" s="181"/>
      <c r="J1111" s="181"/>
      <c r="K1111" s="181"/>
      <c r="L1111" s="88"/>
      <c r="M1111" s="237"/>
      <c r="N1111" s="88"/>
      <c r="O1111" s="88"/>
      <c r="P1111" s="188"/>
      <c r="Q1111" s="129"/>
      <c r="R1111" s="445"/>
      <c r="S1111" s="181"/>
      <c r="T1111" s="75"/>
      <c r="U1111" s="181"/>
      <c r="V1111" s="181"/>
      <c r="W1111" s="181"/>
      <c r="X1111" s="472"/>
      <c r="Y1111" s="192"/>
      <c r="Z1111" s="659"/>
      <c r="AA1111" s="193"/>
      <c r="AB1111" s="660"/>
      <c r="AC1111" s="350"/>
      <c r="AD1111" s="350"/>
      <c r="AE1111" s="350"/>
      <c r="AF1111" s="350"/>
    </row>
    <row r="1112" spans="1:33" s="457" customFormat="1" ht="18" customHeight="1" x14ac:dyDescent="0.2">
      <c r="A1112" s="238"/>
      <c r="B1112" s="2054"/>
      <c r="C1112" s="2054"/>
      <c r="D1112" s="2054"/>
      <c r="E1112" s="88"/>
      <c r="F1112" s="88"/>
      <c r="G1112" s="88"/>
      <c r="H1112" s="120"/>
      <c r="I1112" s="181"/>
      <c r="J1112" s="181"/>
      <c r="K1112" s="181"/>
      <c r="L1112" s="88"/>
      <c r="M1112" s="237"/>
      <c r="N1112" s="88"/>
      <c r="O1112" s="88"/>
      <c r="P1112" s="188"/>
      <c r="Q1112" s="129"/>
      <c r="R1112" s="445"/>
      <c r="S1112" s="181"/>
      <c r="T1112" s="75"/>
      <c r="U1112" s="181"/>
      <c r="V1112" s="181"/>
      <c r="W1112" s="181"/>
      <c r="X1112" s="472"/>
      <c r="Y1112" s="192"/>
      <c r="Z1112" s="659"/>
      <c r="AA1112" s="193"/>
      <c r="AB1112" s="660"/>
      <c r="AC1112" s="350"/>
      <c r="AD1112" s="350"/>
      <c r="AE1112" s="350"/>
      <c r="AF1112" s="350"/>
    </row>
    <row r="1113" spans="1:33" s="1885" customFormat="1" ht="18" customHeight="1" x14ac:dyDescent="0.2">
      <c r="A1113" s="238"/>
      <c r="B1113" s="2054"/>
      <c r="C1113" s="2054"/>
      <c r="D1113" s="2054"/>
      <c r="E1113" s="88"/>
      <c r="F1113" s="88"/>
      <c r="G1113" s="88"/>
      <c r="H1113" s="120"/>
      <c r="I1113" s="181"/>
      <c r="J1113" s="181"/>
      <c r="K1113" s="835"/>
      <c r="L1113" s="88"/>
      <c r="M1113" s="237"/>
      <c r="N1113" s="88"/>
      <c r="O1113" s="88"/>
      <c r="P1113" s="1923"/>
      <c r="Q1113" s="129"/>
      <c r="R1113" s="834"/>
      <c r="S1113" s="835"/>
      <c r="T1113" s="81"/>
      <c r="U1113" s="835"/>
      <c r="V1113" s="835"/>
      <c r="W1113" s="835"/>
      <c r="X1113" s="836"/>
      <c r="Y1113" s="192"/>
      <c r="Z1113" s="1924"/>
      <c r="AA1113" s="193"/>
      <c r="AB1113" s="1922"/>
      <c r="AC1113" s="1925"/>
      <c r="AD1113" s="1925"/>
      <c r="AE1113" s="1925"/>
      <c r="AF1113" s="1925"/>
    </row>
    <row r="1114" spans="1:33" s="1885" customFormat="1" ht="18" customHeight="1" x14ac:dyDescent="0.2">
      <c r="A1114" s="238"/>
      <c r="B1114" s="2054"/>
      <c r="C1114" s="2054"/>
      <c r="D1114" s="2054"/>
      <c r="E1114" s="88"/>
      <c r="F1114" s="88"/>
      <c r="G1114" s="88"/>
      <c r="H1114" s="120"/>
      <c r="I1114" s="181"/>
      <c r="J1114" s="181"/>
      <c r="K1114" s="835"/>
      <c r="L1114" s="88"/>
      <c r="M1114" s="237"/>
      <c r="N1114" s="88"/>
      <c r="O1114" s="88"/>
      <c r="P1114" s="1923"/>
      <c r="Q1114" s="129"/>
      <c r="R1114" s="834"/>
      <c r="S1114" s="835"/>
      <c r="T1114" s="81"/>
      <c r="U1114" s="835"/>
      <c r="V1114" s="835"/>
      <c r="W1114" s="835"/>
      <c r="X1114" s="836"/>
      <c r="Y1114" s="192"/>
      <c r="Z1114" s="1924"/>
      <c r="AA1114" s="193"/>
      <c r="AB1114" s="1922"/>
      <c r="AC1114" s="1925"/>
      <c r="AD1114" s="1925"/>
      <c r="AE1114" s="1925"/>
      <c r="AF1114" s="1925"/>
    </row>
    <row r="1115" spans="1:33" s="1885" customFormat="1" ht="18" customHeight="1" x14ac:dyDescent="0.2">
      <c r="A1115" s="238"/>
      <c r="B1115" s="2054"/>
      <c r="C1115" s="2054"/>
      <c r="D1115" s="2054"/>
      <c r="E1115" s="88"/>
      <c r="F1115" s="88"/>
      <c r="G1115" s="88"/>
      <c r="H1115" s="120"/>
      <c r="I1115" s="181"/>
      <c r="J1115" s="181"/>
      <c r="K1115" s="835"/>
      <c r="L1115" s="88"/>
      <c r="M1115" s="237"/>
      <c r="N1115" s="88"/>
      <c r="O1115" s="88"/>
      <c r="P1115" s="1923"/>
      <c r="Q1115" s="129"/>
      <c r="R1115" s="834"/>
      <c r="S1115" s="835"/>
      <c r="T1115" s="81"/>
      <c r="U1115" s="835"/>
      <c r="V1115" s="835"/>
      <c r="W1115" s="835"/>
      <c r="X1115" s="836"/>
      <c r="Y1115" s="192"/>
      <c r="Z1115" s="1924"/>
      <c r="AA1115" s="193"/>
      <c r="AB1115" s="1922"/>
      <c r="AC1115" s="1925"/>
      <c r="AD1115" s="1925"/>
      <c r="AE1115" s="1925"/>
      <c r="AF1115" s="1925"/>
    </row>
    <row r="1116" spans="1:33" s="1885" customFormat="1" ht="18" customHeight="1" x14ac:dyDescent="0.2">
      <c r="A1116" s="238"/>
      <c r="B1116" s="2054"/>
      <c r="C1116" s="2054"/>
      <c r="D1116" s="2054"/>
      <c r="E1116" s="88"/>
      <c r="F1116" s="88"/>
      <c r="G1116" s="88"/>
      <c r="H1116" s="120"/>
      <c r="I1116" s="181"/>
      <c r="J1116" s="181"/>
      <c r="K1116" s="835"/>
      <c r="L1116" s="88"/>
      <c r="M1116" s="237"/>
      <c r="N1116" s="88"/>
      <c r="O1116" s="88"/>
      <c r="P1116" s="1923"/>
      <c r="Q1116" s="129"/>
      <c r="R1116" s="834"/>
      <c r="S1116" s="835"/>
      <c r="T1116" s="81"/>
      <c r="U1116" s="835"/>
      <c r="V1116" s="835"/>
      <c r="W1116" s="835"/>
      <c r="X1116" s="836"/>
      <c r="Y1116" s="192"/>
      <c r="Z1116" s="1924"/>
      <c r="AA1116" s="193"/>
      <c r="AB1116" s="1922"/>
      <c r="AC1116" s="1925"/>
      <c r="AD1116" s="1925"/>
      <c r="AE1116" s="1925"/>
      <c r="AF1116" s="1925"/>
    </row>
    <row r="1117" spans="1:33" s="1885" customFormat="1" ht="18" customHeight="1" x14ac:dyDescent="0.2">
      <c r="A1117" s="238"/>
      <c r="B1117" s="2054"/>
      <c r="C1117" s="2054"/>
      <c r="D1117" s="2054"/>
      <c r="E1117" s="88"/>
      <c r="F1117" s="88"/>
      <c r="G1117" s="88"/>
      <c r="H1117" s="120"/>
      <c r="I1117" s="181"/>
      <c r="J1117" s="181"/>
      <c r="K1117" s="835"/>
      <c r="L1117" s="88"/>
      <c r="M1117" s="237"/>
      <c r="N1117" s="88"/>
      <c r="O1117" s="88"/>
      <c r="P1117" s="1923"/>
      <c r="Q1117" s="129"/>
      <c r="R1117" s="834"/>
      <c r="S1117" s="835"/>
      <c r="T1117" s="81"/>
      <c r="U1117" s="835"/>
      <c r="V1117" s="835"/>
      <c r="W1117" s="835"/>
      <c r="X1117" s="836"/>
      <c r="Y1117" s="192"/>
      <c r="Z1117" s="1924"/>
      <c r="AA1117" s="193"/>
      <c r="AB1117" s="1922"/>
      <c r="AC1117" s="1925"/>
      <c r="AD1117" s="1925"/>
      <c r="AE1117" s="1925"/>
      <c r="AF1117" s="1925"/>
    </row>
    <row r="1118" spans="1:33" s="1885" customFormat="1" ht="18" customHeight="1" x14ac:dyDescent="0.2">
      <c r="A1118" s="238"/>
      <c r="B1118" s="2054"/>
      <c r="C1118" s="2054"/>
      <c r="D1118" s="2054"/>
      <c r="E1118" s="88"/>
      <c r="F1118" s="88"/>
      <c r="G1118" s="88"/>
      <c r="H1118" s="120"/>
      <c r="I1118" s="181"/>
      <c r="J1118" s="181"/>
      <c r="K1118" s="835"/>
      <c r="L1118" s="88"/>
      <c r="M1118" s="237"/>
      <c r="N1118" s="88"/>
      <c r="O1118" s="88"/>
      <c r="P1118" s="1923"/>
      <c r="Q1118" s="129"/>
      <c r="R1118" s="834"/>
      <c r="S1118" s="835"/>
      <c r="T1118" s="81"/>
      <c r="U1118" s="835"/>
      <c r="V1118" s="835"/>
      <c r="W1118" s="835"/>
      <c r="X1118" s="836"/>
      <c r="Y1118" s="192"/>
      <c r="Z1118" s="1924"/>
      <c r="AA1118" s="193"/>
      <c r="AB1118" s="1922"/>
      <c r="AC1118" s="1925"/>
      <c r="AD1118" s="1925"/>
      <c r="AE1118" s="1925"/>
      <c r="AF1118" s="1925"/>
    </row>
    <row r="1119" spans="1:33" s="1885" customFormat="1" ht="18" customHeight="1" x14ac:dyDescent="0.2">
      <c r="A1119" s="238"/>
      <c r="B1119" s="2054"/>
      <c r="C1119" s="2054"/>
      <c r="D1119" s="2054"/>
      <c r="E1119" s="88"/>
      <c r="F1119" s="88"/>
      <c r="G1119" s="88"/>
      <c r="H1119" s="120"/>
      <c r="I1119" s="181"/>
      <c r="J1119" s="181"/>
      <c r="K1119" s="835"/>
      <c r="L1119" s="88"/>
      <c r="M1119" s="237"/>
      <c r="N1119" s="88"/>
      <c r="O1119" s="88"/>
      <c r="P1119" s="1923"/>
      <c r="Q1119" s="129"/>
      <c r="R1119" s="834"/>
      <c r="S1119" s="835"/>
      <c r="T1119" s="81"/>
      <c r="U1119" s="835"/>
      <c r="V1119" s="835"/>
      <c r="W1119" s="835"/>
      <c r="X1119" s="836"/>
      <c r="Y1119" s="192"/>
      <c r="Z1119" s="1924"/>
      <c r="AA1119" s="193"/>
      <c r="AB1119" s="1922"/>
      <c r="AC1119" s="1925"/>
      <c r="AD1119" s="1925"/>
      <c r="AE1119" s="1925"/>
      <c r="AF1119" s="1925"/>
    </row>
    <row r="1120" spans="1:33" s="1885" customFormat="1" ht="18" customHeight="1" x14ac:dyDescent="0.2">
      <c r="A1120" s="238"/>
      <c r="B1120" s="2054"/>
      <c r="C1120" s="2054"/>
      <c r="D1120" s="2054"/>
      <c r="E1120" s="88"/>
      <c r="F1120" s="88"/>
      <c r="G1120" s="88"/>
      <c r="H1120" s="120"/>
      <c r="I1120" s="181"/>
      <c r="J1120" s="181"/>
      <c r="K1120" s="835"/>
      <c r="L1120" s="88"/>
      <c r="M1120" s="237"/>
      <c r="N1120" s="88"/>
      <c r="O1120" s="88"/>
      <c r="P1120" s="1923"/>
      <c r="Q1120" s="129"/>
      <c r="R1120" s="834"/>
      <c r="S1120" s="835"/>
      <c r="T1120" s="81"/>
      <c r="U1120" s="835"/>
      <c r="V1120" s="835"/>
      <c r="W1120" s="835"/>
      <c r="X1120" s="836"/>
      <c r="Y1120" s="192"/>
      <c r="Z1120" s="1924"/>
      <c r="AA1120" s="193"/>
      <c r="AB1120" s="1922"/>
      <c r="AC1120" s="1925"/>
      <c r="AD1120" s="1925"/>
      <c r="AE1120" s="1925"/>
      <c r="AF1120" s="1925"/>
    </row>
    <row r="1121" spans="1:32" s="1885" customFormat="1" ht="18" customHeight="1" x14ac:dyDescent="0.2">
      <c r="A1121" s="238"/>
      <c r="B1121" s="2054"/>
      <c r="C1121" s="2054"/>
      <c r="D1121" s="2054"/>
      <c r="E1121" s="88"/>
      <c r="F1121" s="88"/>
      <c r="G1121" s="88"/>
      <c r="H1121" s="120"/>
      <c r="I1121" s="181"/>
      <c r="J1121" s="181"/>
      <c r="K1121" s="835"/>
      <c r="L1121" s="88"/>
      <c r="M1121" s="237"/>
      <c r="N1121" s="88"/>
      <c r="O1121" s="88"/>
      <c r="P1121" s="1923"/>
      <c r="Q1121" s="129"/>
      <c r="R1121" s="834"/>
      <c r="S1121" s="835"/>
      <c r="T1121" s="81"/>
      <c r="U1121" s="835"/>
      <c r="V1121" s="835"/>
      <c r="W1121" s="835"/>
      <c r="X1121" s="836"/>
      <c r="Y1121" s="192"/>
      <c r="Z1121" s="1924"/>
      <c r="AA1121" s="193"/>
      <c r="AB1121" s="1922"/>
      <c r="AC1121" s="1925"/>
      <c r="AD1121" s="1925"/>
      <c r="AE1121" s="1925"/>
      <c r="AF1121" s="1925"/>
    </row>
    <row r="1122" spans="1:32" s="1885" customFormat="1" ht="18" customHeight="1" x14ac:dyDescent="0.2">
      <c r="A1122" s="238"/>
      <c r="B1122" s="2054"/>
      <c r="C1122" s="2054"/>
      <c r="D1122" s="2054"/>
      <c r="E1122" s="88"/>
      <c r="F1122" s="88"/>
      <c r="G1122" s="88"/>
      <c r="H1122" s="120"/>
      <c r="I1122" s="181"/>
      <c r="J1122" s="181"/>
      <c r="K1122" s="835"/>
      <c r="L1122" s="88"/>
      <c r="M1122" s="237"/>
      <c r="N1122" s="88"/>
      <c r="O1122" s="88"/>
      <c r="P1122" s="1923"/>
      <c r="Q1122" s="129"/>
      <c r="R1122" s="834"/>
      <c r="S1122" s="835"/>
      <c r="T1122" s="81"/>
      <c r="U1122" s="835"/>
      <c r="V1122" s="835"/>
      <c r="W1122" s="835"/>
      <c r="X1122" s="836"/>
      <c r="Y1122" s="192"/>
      <c r="Z1122" s="1924"/>
      <c r="AA1122" s="193"/>
      <c r="AB1122" s="1922"/>
      <c r="AC1122" s="1925"/>
      <c r="AD1122" s="1925"/>
      <c r="AE1122" s="1925"/>
      <c r="AF1122" s="1925"/>
    </row>
    <row r="1123" spans="1:32" s="1885" customFormat="1" ht="18" customHeight="1" x14ac:dyDescent="0.2">
      <c r="A1123" s="238"/>
      <c r="B1123" s="2054"/>
      <c r="C1123" s="2054"/>
      <c r="D1123" s="2054"/>
      <c r="E1123" s="88"/>
      <c r="F1123" s="88"/>
      <c r="G1123" s="88"/>
      <c r="H1123" s="120"/>
      <c r="I1123" s="181"/>
      <c r="J1123" s="181"/>
      <c r="K1123" s="835"/>
      <c r="L1123" s="88"/>
      <c r="M1123" s="237"/>
      <c r="N1123" s="88"/>
      <c r="O1123" s="88"/>
      <c r="P1123" s="1923"/>
      <c r="Q1123" s="129"/>
      <c r="R1123" s="834"/>
      <c r="S1123" s="835"/>
      <c r="T1123" s="81"/>
      <c r="U1123" s="835"/>
      <c r="V1123" s="835"/>
      <c r="W1123" s="835"/>
      <c r="X1123" s="836"/>
      <c r="Y1123" s="192"/>
      <c r="Z1123" s="1924"/>
      <c r="AA1123" s="193"/>
      <c r="AB1123" s="1922"/>
      <c r="AC1123" s="1925"/>
      <c r="AD1123" s="1925"/>
      <c r="AE1123" s="1925"/>
      <c r="AF1123" s="1925"/>
    </row>
    <row r="1124" spans="1:32" s="1885" customFormat="1" ht="18" customHeight="1" x14ac:dyDescent="0.2">
      <c r="A1124" s="238"/>
      <c r="B1124" s="2054"/>
      <c r="C1124" s="2054"/>
      <c r="D1124" s="2054"/>
      <c r="E1124" s="88"/>
      <c r="F1124" s="88"/>
      <c r="G1124" s="88"/>
      <c r="H1124" s="120"/>
      <c r="I1124" s="181"/>
      <c r="J1124" s="181"/>
      <c r="K1124" s="835"/>
      <c r="L1124" s="88"/>
      <c r="M1124" s="237"/>
      <c r="N1124" s="88"/>
      <c r="O1124" s="88"/>
      <c r="P1124" s="1923"/>
      <c r="Q1124" s="129"/>
      <c r="R1124" s="834"/>
      <c r="S1124" s="835"/>
      <c r="T1124" s="81"/>
      <c r="U1124" s="835"/>
      <c r="V1124" s="835"/>
      <c r="W1124" s="835"/>
      <c r="X1124" s="836"/>
      <c r="Y1124" s="192"/>
      <c r="Z1124" s="1924"/>
      <c r="AA1124" s="193"/>
      <c r="AB1124" s="1922"/>
      <c r="AC1124" s="1925"/>
      <c r="AD1124" s="1925"/>
      <c r="AE1124" s="1925"/>
      <c r="AF1124" s="1925"/>
    </row>
    <row r="1125" spans="1:32" s="1885" customFormat="1" ht="18" customHeight="1" x14ac:dyDescent="0.2">
      <c r="A1125" s="238"/>
      <c r="B1125" s="2054"/>
      <c r="C1125" s="2054"/>
      <c r="D1125" s="2054"/>
      <c r="E1125" s="88"/>
      <c r="F1125" s="88"/>
      <c r="G1125" s="88"/>
      <c r="H1125" s="120"/>
      <c r="I1125" s="181"/>
      <c r="J1125" s="181"/>
      <c r="K1125" s="835"/>
      <c r="L1125" s="88"/>
      <c r="M1125" s="237"/>
      <c r="N1125" s="88"/>
      <c r="O1125" s="88"/>
      <c r="P1125" s="1923"/>
      <c r="Q1125" s="129"/>
      <c r="R1125" s="834"/>
      <c r="S1125" s="835"/>
      <c r="T1125" s="81"/>
      <c r="U1125" s="835"/>
      <c r="V1125" s="835"/>
      <c r="W1125" s="835"/>
      <c r="X1125" s="836"/>
      <c r="Y1125" s="192"/>
      <c r="Z1125" s="1924"/>
      <c r="AA1125" s="193"/>
      <c r="AB1125" s="1922"/>
      <c r="AC1125" s="1925"/>
      <c r="AD1125" s="1925"/>
      <c r="AE1125" s="1925"/>
      <c r="AF1125" s="1925"/>
    </row>
    <row r="1126" spans="1:32" s="1885" customFormat="1" ht="18" customHeight="1" x14ac:dyDescent="0.2">
      <c r="A1126" s="238"/>
      <c r="B1126" s="2054"/>
      <c r="C1126" s="2054"/>
      <c r="D1126" s="2054"/>
      <c r="E1126" s="88"/>
      <c r="F1126" s="88"/>
      <c r="G1126" s="88"/>
      <c r="H1126" s="120"/>
      <c r="I1126" s="181"/>
      <c r="J1126" s="181"/>
      <c r="K1126" s="835"/>
      <c r="L1126" s="88"/>
      <c r="M1126" s="237"/>
      <c r="N1126" s="88"/>
      <c r="O1126" s="88"/>
      <c r="P1126" s="1923"/>
      <c r="Q1126" s="129"/>
      <c r="R1126" s="834"/>
      <c r="S1126" s="835"/>
      <c r="T1126" s="81"/>
      <c r="U1126" s="835"/>
      <c r="V1126" s="835"/>
      <c r="W1126" s="835"/>
      <c r="X1126" s="836"/>
      <c r="Y1126" s="192"/>
      <c r="Z1126" s="1924"/>
      <c r="AA1126" s="193"/>
      <c r="AB1126" s="1922"/>
      <c r="AC1126" s="1925"/>
      <c r="AD1126" s="1925"/>
      <c r="AE1126" s="1925"/>
      <c r="AF1126" s="1925"/>
    </row>
    <row r="1127" spans="1:32" s="1885" customFormat="1" ht="18" customHeight="1" x14ac:dyDescent="0.2">
      <c r="A1127" s="238"/>
      <c r="B1127" s="2054"/>
      <c r="C1127" s="2054"/>
      <c r="D1127" s="2054"/>
      <c r="E1127" s="88"/>
      <c r="F1127" s="88"/>
      <c r="G1127" s="88"/>
      <c r="H1127" s="120"/>
      <c r="I1127" s="181"/>
      <c r="J1127" s="181"/>
      <c r="K1127" s="835"/>
      <c r="L1127" s="88"/>
      <c r="M1127" s="237"/>
      <c r="N1127" s="88"/>
      <c r="O1127" s="88"/>
      <c r="P1127" s="1923"/>
      <c r="Q1127" s="129"/>
      <c r="R1127" s="834"/>
      <c r="S1127" s="835"/>
      <c r="T1127" s="81"/>
      <c r="U1127" s="835"/>
      <c r="V1127" s="835"/>
      <c r="W1127" s="835"/>
      <c r="X1127" s="836"/>
      <c r="Y1127" s="192"/>
      <c r="Z1127" s="1924"/>
      <c r="AA1127" s="193"/>
      <c r="AB1127" s="1922"/>
      <c r="AC1127" s="1925"/>
      <c r="AD1127" s="1925"/>
      <c r="AE1127" s="1925"/>
      <c r="AF1127" s="1925"/>
    </row>
    <row r="1128" spans="1:32" s="1885" customFormat="1" ht="18" customHeight="1" x14ac:dyDescent="0.2">
      <c r="A1128" s="238"/>
      <c r="B1128" s="2054"/>
      <c r="C1128" s="2054"/>
      <c r="D1128" s="2054"/>
      <c r="E1128" s="88"/>
      <c r="F1128" s="88"/>
      <c r="G1128" s="88"/>
      <c r="H1128" s="120"/>
      <c r="I1128" s="181"/>
      <c r="J1128" s="181"/>
      <c r="K1128" s="835"/>
      <c r="L1128" s="88"/>
      <c r="M1128" s="237"/>
      <c r="N1128" s="88"/>
      <c r="O1128" s="88"/>
      <c r="P1128" s="1923"/>
      <c r="Q1128" s="129"/>
      <c r="R1128" s="834"/>
      <c r="S1128" s="835"/>
      <c r="T1128" s="81"/>
      <c r="U1128" s="835"/>
      <c r="V1128" s="835"/>
      <c r="W1128" s="835"/>
      <c r="X1128" s="836"/>
      <c r="Y1128" s="192"/>
      <c r="Z1128" s="1924"/>
      <c r="AA1128" s="193"/>
      <c r="AB1128" s="1922"/>
      <c r="AC1128" s="1925"/>
      <c r="AD1128" s="1925"/>
      <c r="AE1128" s="1925"/>
      <c r="AF1128" s="1925"/>
    </row>
    <row r="1129" spans="1:32" s="844" customFormat="1" ht="18" customHeight="1" x14ac:dyDescent="0.2">
      <c r="A1129" s="1850"/>
      <c r="B1129" s="1850"/>
      <c r="C1129" s="1850"/>
      <c r="D1129" s="1850"/>
      <c r="E1129" s="1850"/>
      <c r="F1129" s="1850"/>
      <c r="G1129" s="1850"/>
      <c r="H1129" s="1851"/>
      <c r="I1129" s="1852"/>
      <c r="J1129" s="1853"/>
      <c r="K1129" s="1929"/>
      <c r="L1129" s="1929"/>
      <c r="M1129" s="1929"/>
      <c r="N1129" s="1929"/>
      <c r="O1129" s="1929"/>
      <c r="P1129" s="1929"/>
      <c r="Q1129" s="1929"/>
      <c r="R1129" s="1930"/>
      <c r="S1129" s="1929"/>
      <c r="T1129" s="1855"/>
      <c r="U1129" s="1931"/>
      <c r="V1129" s="1929"/>
      <c r="W1129" s="1929"/>
      <c r="X1129" s="1932"/>
      <c r="Y1129" s="1932"/>
      <c r="Z1129" s="1933"/>
      <c r="AA1129" s="1933"/>
      <c r="AB1129" s="1934">
        <f>SUM(AB1108:AB1128)</f>
        <v>3014.3999999999996</v>
      </c>
      <c r="AC1129" s="1935"/>
      <c r="AD1129" s="1935"/>
      <c r="AE1129" s="1935"/>
      <c r="AF1129" s="1935"/>
    </row>
    <row r="1130" spans="1:32" s="1885" customFormat="1" ht="18" customHeight="1" x14ac:dyDescent="0.2">
      <c r="A1130" s="2795" t="s">
        <v>76</v>
      </c>
      <c r="B1130" s="2795"/>
      <c r="C1130" s="2796" t="s">
        <v>77</v>
      </c>
      <c r="D1130" s="2796"/>
      <c r="E1130" s="2796"/>
      <c r="F1130" s="2796"/>
      <c r="G1130" s="2796"/>
      <c r="H1130" s="2796"/>
      <c r="I1130" s="1885" t="s">
        <v>78</v>
      </c>
      <c r="U1130" s="1926"/>
      <c r="AB1130" s="1926"/>
    </row>
    <row r="1131" spans="1:32" s="1885" customFormat="1" ht="18" customHeight="1" x14ac:dyDescent="0.2">
      <c r="A1131" s="1927"/>
      <c r="B1131" s="1928"/>
      <c r="I1131" s="1885" t="s">
        <v>79</v>
      </c>
      <c r="U1131" s="1926"/>
      <c r="AB1131" s="1926"/>
    </row>
    <row r="1132" spans="1:32" s="1885" customFormat="1" ht="18" customHeight="1" x14ac:dyDescent="0.2">
      <c r="A1132" s="1927"/>
      <c r="B1132" s="1928"/>
      <c r="I1132" s="1885" t="s">
        <v>80</v>
      </c>
      <c r="U1132" s="1926"/>
      <c r="AB1132" s="1926"/>
    </row>
    <row r="1133" spans="1:32" s="1885" customFormat="1" ht="18" customHeight="1" x14ac:dyDescent="0.2">
      <c r="A1133" s="1927"/>
      <c r="B1133" s="1928"/>
      <c r="I1133" s="1885" t="s">
        <v>81</v>
      </c>
      <c r="U1133" s="1926"/>
      <c r="AB1133" s="1926"/>
    </row>
    <row r="1134" spans="1:32" s="1885" customFormat="1" ht="18" customHeight="1" x14ac:dyDescent="0.2">
      <c r="A1134" s="1927"/>
      <c r="B1134" s="1928"/>
      <c r="I1134" s="1885" t="s">
        <v>88</v>
      </c>
      <c r="U1134" s="1926"/>
      <c r="AB1134" s="1926"/>
    </row>
  </sheetData>
  <mergeCells count="510">
    <mergeCell ref="A887:B887"/>
    <mergeCell ref="C887:H887"/>
    <mergeCell ref="A920:B920"/>
    <mergeCell ref="C920:H920"/>
    <mergeCell ref="AA892:AB892"/>
    <mergeCell ref="A893:AB893"/>
    <mergeCell ref="A894:AB894"/>
    <mergeCell ref="A895:A900"/>
    <mergeCell ref="C895:C900"/>
    <mergeCell ref="F895:K895"/>
    <mergeCell ref="M895:V895"/>
    <mergeCell ref="F896:H897"/>
    <mergeCell ref="L896:L900"/>
    <mergeCell ref="T896:U897"/>
    <mergeCell ref="F898:F899"/>
    <mergeCell ref="G898:G899"/>
    <mergeCell ref="H898:H899"/>
    <mergeCell ref="A854:B854"/>
    <mergeCell ref="C854:H854"/>
    <mergeCell ref="AA859:AB859"/>
    <mergeCell ref="A860:AB860"/>
    <mergeCell ref="A861:AB861"/>
    <mergeCell ref="A862:A867"/>
    <mergeCell ref="C862:C867"/>
    <mergeCell ref="F862:K862"/>
    <mergeCell ref="M862:V862"/>
    <mergeCell ref="F863:H864"/>
    <mergeCell ref="L863:L867"/>
    <mergeCell ref="T863:U864"/>
    <mergeCell ref="F865:F866"/>
    <mergeCell ref="G865:G866"/>
    <mergeCell ref="H865:H866"/>
    <mergeCell ref="AA826:AB826"/>
    <mergeCell ref="A827:AB827"/>
    <mergeCell ref="A828:AB828"/>
    <mergeCell ref="A829:A834"/>
    <mergeCell ref="C829:C834"/>
    <mergeCell ref="F829:K829"/>
    <mergeCell ref="M829:V829"/>
    <mergeCell ref="F830:H831"/>
    <mergeCell ref="L830:L834"/>
    <mergeCell ref="T830:U831"/>
    <mergeCell ref="F832:F833"/>
    <mergeCell ref="G832:G833"/>
    <mergeCell ref="H832:H833"/>
    <mergeCell ref="F7:F8"/>
    <mergeCell ref="G7:G8"/>
    <mergeCell ref="H7:H8"/>
    <mergeCell ref="A29:B29"/>
    <mergeCell ref="C29:H29"/>
    <mergeCell ref="AA34:AB34"/>
    <mergeCell ref="AA1:AB1"/>
    <mergeCell ref="A2:AB2"/>
    <mergeCell ref="A3:AB3"/>
    <mergeCell ref="A4:A9"/>
    <mergeCell ref="C4:C9"/>
    <mergeCell ref="F4:K4"/>
    <mergeCell ref="M4:V4"/>
    <mergeCell ref="F5:H6"/>
    <mergeCell ref="L5:L9"/>
    <mergeCell ref="T5:U6"/>
    <mergeCell ref="G40:G41"/>
    <mergeCell ref="H40:H41"/>
    <mergeCell ref="A62:B62"/>
    <mergeCell ref="C62:H62"/>
    <mergeCell ref="AA67:AB67"/>
    <mergeCell ref="A68:AB68"/>
    <mergeCell ref="A35:AB35"/>
    <mergeCell ref="A36:AB36"/>
    <mergeCell ref="A37:A42"/>
    <mergeCell ref="C37:C42"/>
    <mergeCell ref="F37:K37"/>
    <mergeCell ref="M37:V37"/>
    <mergeCell ref="F38:H39"/>
    <mergeCell ref="L38:L42"/>
    <mergeCell ref="T38:U39"/>
    <mergeCell ref="F40:F41"/>
    <mergeCell ref="H73:H74"/>
    <mergeCell ref="A95:B95"/>
    <mergeCell ref="C95:H95"/>
    <mergeCell ref="AA100:AB100"/>
    <mergeCell ref="A101:AB101"/>
    <mergeCell ref="A102:AB102"/>
    <mergeCell ref="A69:AB69"/>
    <mergeCell ref="A70:A75"/>
    <mergeCell ref="C70:C75"/>
    <mergeCell ref="F70:K70"/>
    <mergeCell ref="M70:V70"/>
    <mergeCell ref="F71:H72"/>
    <mergeCell ref="L71:L75"/>
    <mergeCell ref="T71:U72"/>
    <mergeCell ref="F73:F74"/>
    <mergeCell ref="G73:G74"/>
    <mergeCell ref="AA133:AB133"/>
    <mergeCell ref="A134:AB134"/>
    <mergeCell ref="A135:AB135"/>
    <mergeCell ref="A136:A141"/>
    <mergeCell ref="C136:C141"/>
    <mergeCell ref="F136:K136"/>
    <mergeCell ref="M136:V136"/>
    <mergeCell ref="F137:H138"/>
    <mergeCell ref="A103:A108"/>
    <mergeCell ref="C103:C108"/>
    <mergeCell ref="F103:K103"/>
    <mergeCell ref="M103:V103"/>
    <mergeCell ref="F104:H105"/>
    <mergeCell ref="L104:L108"/>
    <mergeCell ref="T104:U105"/>
    <mergeCell ref="F106:F107"/>
    <mergeCell ref="G106:G107"/>
    <mergeCell ref="H106:H107"/>
    <mergeCell ref="L137:L141"/>
    <mergeCell ref="T137:U138"/>
    <mergeCell ref="F139:F140"/>
    <mergeCell ref="G139:G140"/>
    <mergeCell ref="H139:H140"/>
    <mergeCell ref="A161:B161"/>
    <mergeCell ref="C161:H161"/>
    <mergeCell ref="A128:B128"/>
    <mergeCell ref="C128:H128"/>
    <mergeCell ref="F173:F174"/>
    <mergeCell ref="G173:G174"/>
    <mergeCell ref="H173:H174"/>
    <mergeCell ref="A194:B194"/>
    <mergeCell ref="C194:H194"/>
    <mergeCell ref="AA199:AB199"/>
    <mergeCell ref="AA167:AB167"/>
    <mergeCell ref="A168:AB168"/>
    <mergeCell ref="A169:AB169"/>
    <mergeCell ref="A170:A175"/>
    <mergeCell ref="C170:C175"/>
    <mergeCell ref="F170:K170"/>
    <mergeCell ref="M170:V170"/>
    <mergeCell ref="F171:H172"/>
    <mergeCell ref="L171:L175"/>
    <mergeCell ref="T171:U172"/>
    <mergeCell ref="G205:G206"/>
    <mergeCell ref="H205:H206"/>
    <mergeCell ref="A227:B227"/>
    <mergeCell ref="C227:H227"/>
    <mergeCell ref="A200:AB200"/>
    <mergeCell ref="A201:AB201"/>
    <mergeCell ref="A202:A207"/>
    <mergeCell ref="C202:C207"/>
    <mergeCell ref="F202:K202"/>
    <mergeCell ref="M202:V202"/>
    <mergeCell ref="F203:H204"/>
    <mergeCell ref="L203:L207"/>
    <mergeCell ref="T203:U204"/>
    <mergeCell ref="F205:F206"/>
    <mergeCell ref="AA232:AB232"/>
    <mergeCell ref="G238:G239"/>
    <mergeCell ref="H238:H239"/>
    <mergeCell ref="A260:B260"/>
    <mergeCell ref="C260:H260"/>
    <mergeCell ref="A233:AB233"/>
    <mergeCell ref="A234:AB234"/>
    <mergeCell ref="A235:A240"/>
    <mergeCell ref="C235:C240"/>
    <mergeCell ref="F235:K235"/>
    <mergeCell ref="M235:V235"/>
    <mergeCell ref="F236:H237"/>
    <mergeCell ref="L236:L240"/>
    <mergeCell ref="T236:U237"/>
    <mergeCell ref="F238:F239"/>
    <mergeCell ref="AA265:AB265"/>
    <mergeCell ref="A266:AB266"/>
    <mergeCell ref="H271:H272"/>
    <mergeCell ref="A293:B293"/>
    <mergeCell ref="C293:H293"/>
    <mergeCell ref="A267:AB267"/>
    <mergeCell ref="A268:A273"/>
    <mergeCell ref="C268:C273"/>
    <mergeCell ref="F268:K268"/>
    <mergeCell ref="M268:V268"/>
    <mergeCell ref="F269:H270"/>
    <mergeCell ref="L269:L273"/>
    <mergeCell ref="T269:U270"/>
    <mergeCell ref="F271:F272"/>
    <mergeCell ref="G271:G272"/>
    <mergeCell ref="AA331:AB331"/>
    <mergeCell ref="A326:B326"/>
    <mergeCell ref="C326:H326"/>
    <mergeCell ref="AA298:AB298"/>
    <mergeCell ref="A299:AB299"/>
    <mergeCell ref="A300:AB300"/>
    <mergeCell ref="A301:A306"/>
    <mergeCell ref="C301:C306"/>
    <mergeCell ref="F301:K301"/>
    <mergeCell ref="M301:V301"/>
    <mergeCell ref="F302:H303"/>
    <mergeCell ref="L302:L306"/>
    <mergeCell ref="T302:U303"/>
    <mergeCell ref="F304:F305"/>
    <mergeCell ref="G304:G305"/>
    <mergeCell ref="H304:H305"/>
    <mergeCell ref="G337:G338"/>
    <mergeCell ref="H337:H338"/>
    <mergeCell ref="A359:B359"/>
    <mergeCell ref="C359:H359"/>
    <mergeCell ref="AA364:AB364"/>
    <mergeCell ref="A365:AB365"/>
    <mergeCell ref="A332:AB332"/>
    <mergeCell ref="A333:AB333"/>
    <mergeCell ref="A334:A339"/>
    <mergeCell ref="C334:C339"/>
    <mergeCell ref="F334:K334"/>
    <mergeCell ref="M334:V334"/>
    <mergeCell ref="F335:H336"/>
    <mergeCell ref="L335:L339"/>
    <mergeCell ref="T335:U336"/>
    <mergeCell ref="F337:F338"/>
    <mergeCell ref="H370:H371"/>
    <mergeCell ref="A392:B392"/>
    <mergeCell ref="C392:H392"/>
    <mergeCell ref="A366:AB366"/>
    <mergeCell ref="A367:A372"/>
    <mergeCell ref="C367:C372"/>
    <mergeCell ref="F367:K367"/>
    <mergeCell ref="M367:V367"/>
    <mergeCell ref="F368:H369"/>
    <mergeCell ref="L368:L372"/>
    <mergeCell ref="T368:U369"/>
    <mergeCell ref="F370:F371"/>
    <mergeCell ref="G370:G371"/>
    <mergeCell ref="A425:B425"/>
    <mergeCell ref="C425:H425"/>
    <mergeCell ref="F436:F437"/>
    <mergeCell ref="G436:G437"/>
    <mergeCell ref="H436:H437"/>
    <mergeCell ref="A458:B458"/>
    <mergeCell ref="C458:H458"/>
    <mergeCell ref="AA397:AB397"/>
    <mergeCell ref="A398:AB398"/>
    <mergeCell ref="A399:AB399"/>
    <mergeCell ref="A400:A405"/>
    <mergeCell ref="C400:C405"/>
    <mergeCell ref="F400:K400"/>
    <mergeCell ref="M400:V400"/>
    <mergeCell ref="F401:H402"/>
    <mergeCell ref="L401:L405"/>
    <mergeCell ref="T401:U402"/>
    <mergeCell ref="F403:F404"/>
    <mergeCell ref="G403:G404"/>
    <mergeCell ref="H403:H404"/>
    <mergeCell ref="AA463:AB463"/>
    <mergeCell ref="AA430:AB430"/>
    <mergeCell ref="A431:AB431"/>
    <mergeCell ref="A432:AB432"/>
    <mergeCell ref="A433:A438"/>
    <mergeCell ref="C433:C438"/>
    <mergeCell ref="F433:K433"/>
    <mergeCell ref="M433:V433"/>
    <mergeCell ref="F434:H435"/>
    <mergeCell ref="L434:L438"/>
    <mergeCell ref="T434:U435"/>
    <mergeCell ref="G469:G470"/>
    <mergeCell ref="H469:H470"/>
    <mergeCell ref="A491:B491"/>
    <mergeCell ref="C491:H491"/>
    <mergeCell ref="A464:AB464"/>
    <mergeCell ref="A465:AB465"/>
    <mergeCell ref="A466:A471"/>
    <mergeCell ref="C466:C471"/>
    <mergeCell ref="F466:K466"/>
    <mergeCell ref="M466:V466"/>
    <mergeCell ref="F467:H468"/>
    <mergeCell ref="L467:L471"/>
    <mergeCell ref="T467:U468"/>
    <mergeCell ref="F469:F470"/>
    <mergeCell ref="AA529:AB529"/>
    <mergeCell ref="AA496:AB496"/>
    <mergeCell ref="A497:AB497"/>
    <mergeCell ref="A498:AB498"/>
    <mergeCell ref="A499:A504"/>
    <mergeCell ref="C499:C504"/>
    <mergeCell ref="F499:K499"/>
    <mergeCell ref="M499:V499"/>
    <mergeCell ref="F500:H501"/>
    <mergeCell ref="L500:L504"/>
    <mergeCell ref="T500:U501"/>
    <mergeCell ref="F502:F503"/>
    <mergeCell ref="G502:G503"/>
    <mergeCell ref="H502:H503"/>
    <mergeCell ref="A524:B524"/>
    <mergeCell ref="C524:H524"/>
    <mergeCell ref="G535:G536"/>
    <mergeCell ref="H535:H536"/>
    <mergeCell ref="A557:B557"/>
    <mergeCell ref="C557:H557"/>
    <mergeCell ref="A530:AB530"/>
    <mergeCell ref="A531:AB531"/>
    <mergeCell ref="A532:A537"/>
    <mergeCell ref="C532:C537"/>
    <mergeCell ref="F532:K532"/>
    <mergeCell ref="M532:V532"/>
    <mergeCell ref="F533:H534"/>
    <mergeCell ref="L533:L537"/>
    <mergeCell ref="T533:U534"/>
    <mergeCell ref="F535:F536"/>
    <mergeCell ref="M565:V565"/>
    <mergeCell ref="F566:H567"/>
    <mergeCell ref="L566:L570"/>
    <mergeCell ref="T566:U567"/>
    <mergeCell ref="F568:F569"/>
    <mergeCell ref="G568:G569"/>
    <mergeCell ref="H568:H569"/>
    <mergeCell ref="AA562:AB562"/>
    <mergeCell ref="A563:AB563"/>
    <mergeCell ref="A564:AB564"/>
    <mergeCell ref="A590:B590"/>
    <mergeCell ref="C590:H590"/>
    <mergeCell ref="F601:F602"/>
    <mergeCell ref="G601:G602"/>
    <mergeCell ref="H601:H602"/>
    <mergeCell ref="A623:B623"/>
    <mergeCell ref="C623:H623"/>
    <mergeCell ref="A565:A570"/>
    <mergeCell ref="C565:C570"/>
    <mergeCell ref="F565:K565"/>
    <mergeCell ref="AA628:AB628"/>
    <mergeCell ref="AA595:AB595"/>
    <mergeCell ref="A596:AB596"/>
    <mergeCell ref="A597:AB597"/>
    <mergeCell ref="A598:A603"/>
    <mergeCell ref="C598:C603"/>
    <mergeCell ref="F598:K598"/>
    <mergeCell ref="M598:V598"/>
    <mergeCell ref="F599:H600"/>
    <mergeCell ref="L599:L603"/>
    <mergeCell ref="T599:U600"/>
    <mergeCell ref="G634:G635"/>
    <mergeCell ref="H634:H635"/>
    <mergeCell ref="A656:B656"/>
    <mergeCell ref="C656:H656"/>
    <mergeCell ref="AA661:AB661"/>
    <mergeCell ref="A662:AB662"/>
    <mergeCell ref="A629:AB629"/>
    <mergeCell ref="A630:AB630"/>
    <mergeCell ref="A631:A636"/>
    <mergeCell ref="C631:C636"/>
    <mergeCell ref="F631:K631"/>
    <mergeCell ref="M631:V631"/>
    <mergeCell ref="F632:H633"/>
    <mergeCell ref="L632:L636"/>
    <mergeCell ref="T632:U633"/>
    <mergeCell ref="F634:F635"/>
    <mergeCell ref="H667:H668"/>
    <mergeCell ref="A689:B689"/>
    <mergeCell ref="C689:H689"/>
    <mergeCell ref="AA694:AB694"/>
    <mergeCell ref="A695:AB695"/>
    <mergeCell ref="A696:AB696"/>
    <mergeCell ref="A663:AB663"/>
    <mergeCell ref="A664:A669"/>
    <mergeCell ref="C664:C669"/>
    <mergeCell ref="F664:K664"/>
    <mergeCell ref="M664:V664"/>
    <mergeCell ref="F665:H666"/>
    <mergeCell ref="L665:L669"/>
    <mergeCell ref="T665:U666"/>
    <mergeCell ref="F667:F668"/>
    <mergeCell ref="G667:G668"/>
    <mergeCell ref="A697:A702"/>
    <mergeCell ref="C697:C702"/>
    <mergeCell ref="F697:K697"/>
    <mergeCell ref="M697:V697"/>
    <mergeCell ref="F698:H699"/>
    <mergeCell ref="L698:L702"/>
    <mergeCell ref="T698:U699"/>
    <mergeCell ref="F700:F701"/>
    <mergeCell ref="G700:G701"/>
    <mergeCell ref="H700:H701"/>
    <mergeCell ref="A722:B722"/>
    <mergeCell ref="C722:H722"/>
    <mergeCell ref="F733:F734"/>
    <mergeCell ref="G733:G734"/>
    <mergeCell ref="H733:H734"/>
    <mergeCell ref="A755:B755"/>
    <mergeCell ref="C755:H755"/>
    <mergeCell ref="AA760:AB760"/>
    <mergeCell ref="AA727:AB727"/>
    <mergeCell ref="A728:AB728"/>
    <mergeCell ref="A729:AB729"/>
    <mergeCell ref="A730:A735"/>
    <mergeCell ref="C730:C735"/>
    <mergeCell ref="F730:K730"/>
    <mergeCell ref="M730:V730"/>
    <mergeCell ref="F731:H732"/>
    <mergeCell ref="L731:L735"/>
    <mergeCell ref="T731:U732"/>
    <mergeCell ref="G766:G767"/>
    <mergeCell ref="H766:H767"/>
    <mergeCell ref="A788:B788"/>
    <mergeCell ref="C788:H788"/>
    <mergeCell ref="AA793:AB793"/>
    <mergeCell ref="A794:AB794"/>
    <mergeCell ref="A761:AB761"/>
    <mergeCell ref="A762:AB762"/>
    <mergeCell ref="A763:A768"/>
    <mergeCell ref="C763:C768"/>
    <mergeCell ref="F763:K763"/>
    <mergeCell ref="M763:V763"/>
    <mergeCell ref="F764:H765"/>
    <mergeCell ref="L764:L768"/>
    <mergeCell ref="T764:U765"/>
    <mergeCell ref="F766:F767"/>
    <mergeCell ref="H799:H800"/>
    <mergeCell ref="A821:B821"/>
    <mergeCell ref="C821:H821"/>
    <mergeCell ref="A795:AB795"/>
    <mergeCell ref="A796:A801"/>
    <mergeCell ref="C796:C801"/>
    <mergeCell ref="F796:K796"/>
    <mergeCell ref="M796:V796"/>
    <mergeCell ref="F797:H798"/>
    <mergeCell ref="L797:L801"/>
    <mergeCell ref="T797:U798"/>
    <mergeCell ref="F799:F800"/>
    <mergeCell ref="G799:G800"/>
    <mergeCell ref="A953:B953"/>
    <mergeCell ref="C953:H953"/>
    <mergeCell ref="AA925:AB925"/>
    <mergeCell ref="A926:AB926"/>
    <mergeCell ref="A927:AB927"/>
    <mergeCell ref="A928:A933"/>
    <mergeCell ref="C928:C933"/>
    <mergeCell ref="F928:K928"/>
    <mergeCell ref="M928:V928"/>
    <mergeCell ref="F929:H930"/>
    <mergeCell ref="L929:L933"/>
    <mergeCell ref="T929:U930"/>
    <mergeCell ref="F931:F932"/>
    <mergeCell ref="G931:G932"/>
    <mergeCell ref="H931:H932"/>
    <mergeCell ref="A986:B986"/>
    <mergeCell ref="C986:H986"/>
    <mergeCell ref="AA958:AB958"/>
    <mergeCell ref="A959:AB959"/>
    <mergeCell ref="A960:AB960"/>
    <mergeCell ref="A961:A966"/>
    <mergeCell ref="C961:C966"/>
    <mergeCell ref="F961:K961"/>
    <mergeCell ref="M961:V961"/>
    <mergeCell ref="F962:H963"/>
    <mergeCell ref="L962:L966"/>
    <mergeCell ref="T962:U963"/>
    <mergeCell ref="F964:F965"/>
    <mergeCell ref="G964:G965"/>
    <mergeCell ref="H964:H965"/>
    <mergeCell ref="A1022:B1022"/>
    <mergeCell ref="C1022:H1022"/>
    <mergeCell ref="AA991:AB991"/>
    <mergeCell ref="A992:AB992"/>
    <mergeCell ref="A993:AB993"/>
    <mergeCell ref="A994:A999"/>
    <mergeCell ref="C994:C999"/>
    <mergeCell ref="F994:K994"/>
    <mergeCell ref="M994:V994"/>
    <mergeCell ref="F995:H996"/>
    <mergeCell ref="L995:L999"/>
    <mergeCell ref="T995:U996"/>
    <mergeCell ref="F997:F998"/>
    <mergeCell ref="G997:G998"/>
    <mergeCell ref="H997:H998"/>
    <mergeCell ref="A1055:B1055"/>
    <mergeCell ref="C1055:H1055"/>
    <mergeCell ref="AA1027:AB1027"/>
    <mergeCell ref="A1028:AB1028"/>
    <mergeCell ref="A1029:AB1029"/>
    <mergeCell ref="A1030:A1035"/>
    <mergeCell ref="C1030:C1035"/>
    <mergeCell ref="F1030:K1030"/>
    <mergeCell ref="M1030:V1030"/>
    <mergeCell ref="F1031:H1032"/>
    <mergeCell ref="L1031:L1035"/>
    <mergeCell ref="T1031:U1032"/>
    <mergeCell ref="F1033:F1034"/>
    <mergeCell ref="G1033:G1034"/>
    <mergeCell ref="H1033:H1034"/>
    <mergeCell ref="A1094:B1094"/>
    <mergeCell ref="C1094:H1094"/>
    <mergeCell ref="AA1063:AB1063"/>
    <mergeCell ref="A1064:AB1064"/>
    <mergeCell ref="A1065:AB1065"/>
    <mergeCell ref="A1066:A1071"/>
    <mergeCell ref="C1066:C1071"/>
    <mergeCell ref="F1066:K1066"/>
    <mergeCell ref="M1066:V1066"/>
    <mergeCell ref="F1067:H1068"/>
    <mergeCell ref="L1067:L1071"/>
    <mergeCell ref="T1067:U1068"/>
    <mergeCell ref="F1069:F1070"/>
    <mergeCell ref="G1069:G1070"/>
    <mergeCell ref="H1069:H1070"/>
    <mergeCell ref="A1130:B1130"/>
    <mergeCell ref="C1130:H1130"/>
    <mergeCell ref="AA1099:AB1099"/>
    <mergeCell ref="A1100:AB1100"/>
    <mergeCell ref="A1101:AB1101"/>
    <mergeCell ref="A1102:A1107"/>
    <mergeCell ref="C1102:C1107"/>
    <mergeCell ref="F1102:K1102"/>
    <mergeCell ref="M1102:V1102"/>
    <mergeCell ref="F1103:H1104"/>
    <mergeCell ref="L1103:L1107"/>
    <mergeCell ref="T1103:U1104"/>
    <mergeCell ref="F1105:F1106"/>
    <mergeCell ref="G1105:G1106"/>
    <mergeCell ref="H1105:H1106"/>
  </mergeCells>
  <pageMargins left="0.11811023622047245" right="0.11811023622047245" top="0.55118110236220474" bottom="0.74803149606299213" header="0.31496062992125984" footer="0.31496062992125984"/>
  <pageSetup paperSize="9" scale="76" orientation="landscape" r:id="rId1"/>
  <rowBreaks count="30" manualBreakCount="30">
    <brk id="33" max="16383" man="1"/>
    <brk id="66" max="33" man="1"/>
    <brk id="99" max="33" man="1"/>
    <brk id="132" max="33" man="1"/>
    <brk id="166" max="33" man="1"/>
    <brk id="198" max="33" man="1"/>
    <brk id="231" max="33" man="1"/>
    <brk id="264" max="33" man="1"/>
    <brk id="297" max="33" man="1"/>
    <brk id="330" max="33" man="1"/>
    <brk id="363" max="33" man="1"/>
    <brk id="396" max="33" man="1"/>
    <brk id="429" max="33" man="1"/>
    <brk id="462" max="33" man="1"/>
    <brk id="495" max="33" man="1"/>
    <brk id="528" max="33" man="1"/>
    <brk id="561" max="33" man="1"/>
    <brk id="594" max="33" man="1"/>
    <brk id="627" max="33" man="1"/>
    <brk id="660" max="33" man="1"/>
    <brk id="693" max="33" man="1"/>
    <brk id="726" max="33" man="1"/>
    <brk id="759" max="33" man="1"/>
    <brk id="792" max="33" man="1"/>
    <brk id="825" max="33" man="1"/>
    <brk id="858" max="33" man="1"/>
    <brk id="891" max="33" man="1"/>
    <brk id="924" max="33" man="1"/>
    <brk id="957" max="33" man="1"/>
    <brk id="990" max="3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AF1789"/>
  <sheetViews>
    <sheetView view="pageBreakPreview" topLeftCell="K1" zoomScale="120" zoomScaleNormal="98" zoomScaleSheetLayoutView="120" workbookViewId="0">
      <selection activeCell="AG1" sqref="AG1:AJ1048576"/>
    </sheetView>
  </sheetViews>
  <sheetFormatPr defaultColWidth="9" defaultRowHeight="18" customHeight="1" x14ac:dyDescent="0.2"/>
  <cols>
    <col min="1" max="1" width="2.25" style="433" customWidth="1"/>
    <col min="2" max="2" width="4.375" style="433" customWidth="1"/>
    <col min="3" max="3" width="3.25" style="433" customWidth="1"/>
    <col min="4" max="4" width="3.625" style="433" customWidth="1"/>
    <col min="5" max="5" width="2.625" style="433" customWidth="1"/>
    <col min="6" max="7" width="2.125" style="433" customWidth="1"/>
    <col min="8" max="8" width="4" style="433" customWidth="1"/>
    <col min="9" max="9" width="7.625" style="433" customWidth="1"/>
    <col min="10" max="10" width="6.625" style="433" bestFit="1" customWidth="1"/>
    <col min="11" max="11" width="7.5" style="433" customWidth="1"/>
    <col min="12" max="12" width="2.625" style="433" customWidth="1"/>
    <col min="13" max="13" width="5.375" style="433" customWidth="1"/>
    <col min="14" max="14" width="4.75" style="433" customWidth="1"/>
    <col min="15" max="15" width="2.625" style="433" customWidth="1"/>
    <col min="16" max="16" width="5.25" style="433" customWidth="1"/>
    <col min="17" max="17" width="3.625" style="433" customWidth="1"/>
    <col min="18" max="18" width="4.375" style="433" customWidth="1"/>
    <col min="19" max="19" width="7.875" style="433" customWidth="1"/>
    <col min="20" max="20" width="2.625" style="433" customWidth="1"/>
    <col min="21" max="21" width="8" style="433" bestFit="1" customWidth="1"/>
    <col min="22" max="22" width="9.625" style="433" customWidth="1"/>
    <col min="23" max="23" width="8" style="433" customWidth="1"/>
    <col min="24" max="24" width="7.875" style="433" customWidth="1"/>
    <col min="25" max="25" width="5" style="433" customWidth="1"/>
    <col min="26" max="26" width="8.125" style="433" customWidth="1"/>
    <col min="27" max="27" width="3.375" style="433" customWidth="1"/>
    <col min="28" max="28" width="8.375" style="434" customWidth="1"/>
    <col min="29" max="30" width="4.25" style="433" hidden="1" customWidth="1"/>
    <col min="31" max="31" width="5" style="433" hidden="1" customWidth="1"/>
    <col min="32" max="32" width="0.375" style="433" hidden="1" customWidth="1"/>
    <col min="33" max="16384" width="9" style="433"/>
  </cols>
  <sheetData>
    <row r="1" spans="1:32" s="457" customFormat="1" ht="18" customHeight="1" x14ac:dyDescent="0.2">
      <c r="A1" s="455"/>
      <c r="B1" s="455"/>
      <c r="C1" s="455"/>
      <c r="D1" s="455"/>
      <c r="E1" s="455"/>
      <c r="F1" s="455"/>
      <c r="G1" s="455"/>
      <c r="H1" s="455"/>
      <c r="I1" s="455"/>
      <c r="J1" s="455"/>
      <c r="K1" s="455"/>
      <c r="L1" s="455"/>
      <c r="M1" s="455"/>
      <c r="N1" s="455"/>
      <c r="O1" s="455"/>
      <c r="P1" s="455"/>
      <c r="Q1" s="455"/>
      <c r="R1" s="455"/>
      <c r="S1" s="455"/>
      <c r="T1" s="455"/>
      <c r="U1" s="455"/>
      <c r="V1" s="455"/>
      <c r="W1" s="455"/>
      <c r="X1" s="455"/>
      <c r="Y1" s="455"/>
      <c r="Z1" s="455"/>
      <c r="AA1" s="2705" t="s">
        <v>0</v>
      </c>
      <c r="AB1" s="2705"/>
      <c r="AC1" s="455"/>
      <c r="AD1" s="455"/>
      <c r="AE1" s="455"/>
      <c r="AF1" s="455"/>
    </row>
    <row r="2" spans="1:32" s="457" customFormat="1" ht="18" customHeight="1" x14ac:dyDescent="0.2">
      <c r="A2" s="2706" t="s">
        <v>1</v>
      </c>
      <c r="B2" s="2706"/>
      <c r="C2" s="2706"/>
      <c r="D2" s="2706"/>
      <c r="E2" s="2706"/>
      <c r="F2" s="2706"/>
      <c r="G2" s="2706"/>
      <c r="H2" s="2706"/>
      <c r="I2" s="2706"/>
      <c r="J2" s="2706"/>
      <c r="K2" s="2706"/>
      <c r="L2" s="2706"/>
      <c r="M2" s="2706"/>
      <c r="N2" s="2706"/>
      <c r="O2" s="2706"/>
      <c r="P2" s="2706"/>
      <c r="Q2" s="2706"/>
      <c r="R2" s="2706"/>
      <c r="S2" s="2706"/>
      <c r="T2" s="2706"/>
      <c r="U2" s="2706"/>
      <c r="V2" s="2706"/>
      <c r="W2" s="2706"/>
      <c r="X2" s="2706"/>
      <c r="Y2" s="2706"/>
      <c r="Z2" s="2706"/>
      <c r="AA2" s="2706"/>
      <c r="AB2" s="2706"/>
      <c r="AC2" s="610"/>
      <c r="AD2" s="610"/>
      <c r="AE2" s="610"/>
      <c r="AF2" s="610"/>
    </row>
    <row r="3" spans="1:32" s="457" customFormat="1" ht="18" customHeight="1" x14ac:dyDescent="0.2">
      <c r="A3" s="2704" t="s">
        <v>367</v>
      </c>
      <c r="B3" s="2704"/>
      <c r="C3" s="2704"/>
      <c r="D3" s="2704"/>
      <c r="E3" s="2704"/>
      <c r="F3" s="2704"/>
      <c r="G3" s="2704"/>
      <c r="H3" s="2704"/>
      <c r="I3" s="2704"/>
      <c r="J3" s="2704"/>
      <c r="K3" s="2704"/>
      <c r="L3" s="2704"/>
      <c r="M3" s="2704"/>
      <c r="N3" s="2704"/>
      <c r="O3" s="2704"/>
      <c r="P3" s="2704"/>
      <c r="Q3" s="2704"/>
      <c r="R3" s="2704"/>
      <c r="S3" s="2704"/>
      <c r="T3" s="2704"/>
      <c r="U3" s="2704"/>
      <c r="V3" s="2704"/>
      <c r="W3" s="2704"/>
      <c r="X3" s="2704"/>
      <c r="Y3" s="2704"/>
      <c r="Z3" s="2704"/>
      <c r="AA3" s="2704"/>
      <c r="AB3" s="2704"/>
      <c r="AC3" s="611"/>
      <c r="AD3" s="611"/>
      <c r="AE3" s="611"/>
      <c r="AF3" s="611"/>
    </row>
    <row r="4" spans="1:32" s="457" customFormat="1" ht="18" customHeight="1" x14ac:dyDescent="0.2">
      <c r="A4" s="2686" t="s">
        <v>2</v>
      </c>
      <c r="B4" s="360"/>
      <c r="C4" s="2686" t="s">
        <v>3</v>
      </c>
      <c r="D4" s="360"/>
      <c r="E4" s="360"/>
      <c r="F4" s="2693" t="s">
        <v>4</v>
      </c>
      <c r="G4" s="2693"/>
      <c r="H4" s="2693"/>
      <c r="I4" s="2694"/>
      <c r="J4" s="2694"/>
      <c r="K4" s="2695"/>
      <c r="L4" s="361"/>
      <c r="M4" s="2679" t="s">
        <v>5</v>
      </c>
      <c r="N4" s="2679"/>
      <c r="O4" s="2679"/>
      <c r="P4" s="2679"/>
      <c r="Q4" s="2696"/>
      <c r="R4" s="2696"/>
      <c r="S4" s="2696"/>
      <c r="T4" s="2696"/>
      <c r="U4" s="2696"/>
      <c r="V4" s="2697"/>
      <c r="W4" s="362" t="s">
        <v>6</v>
      </c>
      <c r="X4" s="363" t="s">
        <v>7</v>
      </c>
      <c r="Y4" s="364"/>
      <c r="Z4" s="364"/>
      <c r="AA4" s="363"/>
      <c r="AB4" s="458"/>
      <c r="AC4" s="612" t="s">
        <v>8</v>
      </c>
      <c r="AD4" s="613"/>
      <c r="AE4" s="613"/>
      <c r="AF4" s="614"/>
    </row>
    <row r="5" spans="1:32" s="457" customFormat="1" ht="18" customHeight="1" x14ac:dyDescent="0.2">
      <c r="A5" s="2687"/>
      <c r="B5" s="367"/>
      <c r="C5" s="2687"/>
      <c r="D5" s="366" t="s">
        <v>9</v>
      </c>
      <c r="E5" s="366" t="s">
        <v>10</v>
      </c>
      <c r="F5" s="2698" t="s">
        <v>11</v>
      </c>
      <c r="G5" s="2694"/>
      <c r="H5" s="2695"/>
      <c r="I5" s="360"/>
      <c r="J5" s="449" t="s">
        <v>12</v>
      </c>
      <c r="K5" s="360"/>
      <c r="L5" s="2679" t="s">
        <v>2</v>
      </c>
      <c r="M5" s="370"/>
      <c r="N5" s="370"/>
      <c r="O5" s="370"/>
      <c r="P5" s="371"/>
      <c r="Q5" s="459" t="s">
        <v>13</v>
      </c>
      <c r="R5" s="370" t="s">
        <v>12</v>
      </c>
      <c r="S5" s="370" t="s">
        <v>6</v>
      </c>
      <c r="T5" s="2682" t="s">
        <v>14</v>
      </c>
      <c r="U5" s="2683"/>
      <c r="V5" s="375" t="s">
        <v>7</v>
      </c>
      <c r="W5" s="376" t="s">
        <v>15</v>
      </c>
      <c r="X5" s="377" t="s">
        <v>16</v>
      </c>
      <c r="Y5" s="377" t="s">
        <v>17</v>
      </c>
      <c r="Z5" s="377" t="s">
        <v>18</v>
      </c>
      <c r="AA5" s="377"/>
      <c r="AB5" s="460" t="s">
        <v>19</v>
      </c>
      <c r="AC5" s="615" t="s">
        <v>20</v>
      </c>
      <c r="AD5" s="616"/>
      <c r="AE5" s="617" t="s">
        <v>21</v>
      </c>
      <c r="AF5" s="618" t="s">
        <v>22</v>
      </c>
    </row>
    <row r="6" spans="1:32" s="457" customFormat="1" ht="18" customHeight="1" x14ac:dyDescent="0.2">
      <c r="A6" s="2687"/>
      <c r="B6" s="366" t="s">
        <v>23</v>
      </c>
      <c r="C6" s="2687"/>
      <c r="D6" s="366" t="s">
        <v>24</v>
      </c>
      <c r="E6" s="366" t="s">
        <v>25</v>
      </c>
      <c r="F6" s="2699"/>
      <c r="G6" s="2700"/>
      <c r="H6" s="2701"/>
      <c r="I6" s="366" t="s">
        <v>26</v>
      </c>
      <c r="J6" s="380" t="s">
        <v>15</v>
      </c>
      <c r="K6" s="380" t="s">
        <v>6</v>
      </c>
      <c r="L6" s="2680"/>
      <c r="M6" s="381" t="s">
        <v>27</v>
      </c>
      <c r="N6" s="381" t="s">
        <v>10</v>
      </c>
      <c r="O6" s="381" t="s">
        <v>10</v>
      </c>
      <c r="P6" s="385" t="s">
        <v>28</v>
      </c>
      <c r="Q6" s="461" t="s">
        <v>29</v>
      </c>
      <c r="R6" s="385" t="s">
        <v>15</v>
      </c>
      <c r="S6" s="385" t="s">
        <v>15</v>
      </c>
      <c r="T6" s="2684"/>
      <c r="U6" s="2685"/>
      <c r="V6" s="375" t="s">
        <v>30</v>
      </c>
      <c r="W6" s="376" t="s">
        <v>31</v>
      </c>
      <c r="X6" s="377" t="s">
        <v>30</v>
      </c>
      <c r="Y6" s="377" t="s">
        <v>32</v>
      </c>
      <c r="Z6" s="377" t="s">
        <v>7</v>
      </c>
      <c r="AA6" s="377" t="s">
        <v>33</v>
      </c>
      <c r="AB6" s="460" t="s">
        <v>34</v>
      </c>
      <c r="AC6" s="615" t="s">
        <v>35</v>
      </c>
      <c r="AD6" s="617" t="s">
        <v>36</v>
      </c>
      <c r="AE6" s="617" t="s">
        <v>37</v>
      </c>
      <c r="AF6" s="618" t="s">
        <v>38</v>
      </c>
    </row>
    <row r="7" spans="1:32" s="457" customFormat="1" ht="18" customHeight="1" x14ac:dyDescent="0.2">
      <c r="A7" s="2687"/>
      <c r="B7" s="366" t="s">
        <v>39</v>
      </c>
      <c r="C7" s="2687"/>
      <c r="D7" s="366" t="s">
        <v>40</v>
      </c>
      <c r="E7" s="366" t="s">
        <v>41</v>
      </c>
      <c r="F7" s="2686" t="s">
        <v>42</v>
      </c>
      <c r="G7" s="2686" t="s">
        <v>43</v>
      </c>
      <c r="H7" s="2688" t="s">
        <v>44</v>
      </c>
      <c r="I7" s="366" t="s">
        <v>45</v>
      </c>
      <c r="J7" s="380" t="s">
        <v>46</v>
      </c>
      <c r="K7" s="380" t="s">
        <v>47</v>
      </c>
      <c r="L7" s="2680"/>
      <c r="M7" s="381" t="s">
        <v>30</v>
      </c>
      <c r="N7" s="381" t="s">
        <v>30</v>
      </c>
      <c r="O7" s="381" t="s">
        <v>25</v>
      </c>
      <c r="P7" s="385" t="s">
        <v>30</v>
      </c>
      <c r="Q7" s="461" t="s">
        <v>48</v>
      </c>
      <c r="R7" s="385" t="s">
        <v>49</v>
      </c>
      <c r="S7" s="385" t="s">
        <v>30</v>
      </c>
      <c r="T7" s="374" t="s">
        <v>50</v>
      </c>
      <c r="U7" s="374" t="s">
        <v>13</v>
      </c>
      <c r="V7" s="375" t="s">
        <v>51</v>
      </c>
      <c r="W7" s="376" t="s">
        <v>52</v>
      </c>
      <c r="X7" s="377" t="s">
        <v>53</v>
      </c>
      <c r="Y7" s="377" t="s">
        <v>54</v>
      </c>
      <c r="Z7" s="377" t="s">
        <v>55</v>
      </c>
      <c r="AA7" s="377" t="s">
        <v>56</v>
      </c>
      <c r="AB7" s="460" t="s">
        <v>57</v>
      </c>
      <c r="AC7" s="617" t="s">
        <v>58</v>
      </c>
      <c r="AD7" s="617" t="s">
        <v>59</v>
      </c>
      <c r="AE7" s="617" t="s">
        <v>59</v>
      </c>
      <c r="AF7" s="618" t="s">
        <v>60</v>
      </c>
    </row>
    <row r="8" spans="1:32" s="457" customFormat="1" ht="18" customHeight="1" x14ac:dyDescent="0.2">
      <c r="A8" s="2687"/>
      <c r="B8" s="366" t="s">
        <v>61</v>
      </c>
      <c r="C8" s="2687"/>
      <c r="D8" s="366" t="s">
        <v>62</v>
      </c>
      <c r="E8" s="366" t="s">
        <v>63</v>
      </c>
      <c r="F8" s="2687"/>
      <c r="G8" s="2687"/>
      <c r="H8" s="2689"/>
      <c r="I8" s="366" t="s">
        <v>64</v>
      </c>
      <c r="J8" s="380" t="s">
        <v>59</v>
      </c>
      <c r="K8" s="380" t="s">
        <v>59</v>
      </c>
      <c r="L8" s="2680"/>
      <c r="M8" s="381"/>
      <c r="N8" s="381"/>
      <c r="O8" s="381" t="s">
        <v>41</v>
      </c>
      <c r="P8" s="385" t="s">
        <v>65</v>
      </c>
      <c r="Q8" s="461" t="s">
        <v>66</v>
      </c>
      <c r="R8" s="385" t="s">
        <v>67</v>
      </c>
      <c r="S8" s="385" t="s">
        <v>59</v>
      </c>
      <c r="T8" s="375" t="s">
        <v>68</v>
      </c>
      <c r="U8" s="375" t="s">
        <v>14</v>
      </c>
      <c r="V8" s="375" t="s">
        <v>14</v>
      </c>
      <c r="W8" s="376" t="s">
        <v>30</v>
      </c>
      <c r="X8" s="388" t="s">
        <v>69</v>
      </c>
      <c r="Y8" s="388" t="s">
        <v>70</v>
      </c>
      <c r="Z8" s="377" t="s">
        <v>71</v>
      </c>
      <c r="AA8" s="377" t="s">
        <v>72</v>
      </c>
      <c r="AB8" s="460" t="s">
        <v>59</v>
      </c>
      <c r="AC8" s="617" t="s">
        <v>59</v>
      </c>
      <c r="AD8" s="617"/>
      <c r="AE8" s="617"/>
      <c r="AF8" s="618" t="s">
        <v>59</v>
      </c>
    </row>
    <row r="9" spans="1:32" s="457" customFormat="1" ht="18" customHeight="1" x14ac:dyDescent="0.2">
      <c r="A9" s="2692"/>
      <c r="B9" s="390"/>
      <c r="C9" s="2692"/>
      <c r="D9" s="390"/>
      <c r="E9" s="389"/>
      <c r="F9" s="390"/>
      <c r="G9" s="390"/>
      <c r="H9" s="391"/>
      <c r="I9" s="389"/>
      <c r="J9" s="393"/>
      <c r="K9" s="393"/>
      <c r="L9" s="2681"/>
      <c r="M9" s="394"/>
      <c r="N9" s="394"/>
      <c r="O9" s="394" t="s">
        <v>63</v>
      </c>
      <c r="P9" s="394"/>
      <c r="Q9" s="450" t="s">
        <v>72</v>
      </c>
      <c r="R9" s="398" t="s">
        <v>59</v>
      </c>
      <c r="S9" s="398"/>
      <c r="T9" s="398" t="s">
        <v>73</v>
      </c>
      <c r="U9" s="398" t="s">
        <v>59</v>
      </c>
      <c r="V9" s="399" t="s">
        <v>59</v>
      </c>
      <c r="W9" s="400" t="s">
        <v>59</v>
      </c>
      <c r="X9" s="401" t="s">
        <v>59</v>
      </c>
      <c r="Y9" s="401" t="s">
        <v>59</v>
      </c>
      <c r="Z9" s="401" t="s">
        <v>59</v>
      </c>
      <c r="AA9" s="402"/>
      <c r="AB9" s="462"/>
      <c r="AC9" s="625"/>
      <c r="AD9" s="625"/>
      <c r="AE9" s="625"/>
      <c r="AF9" s="626"/>
    </row>
    <row r="10" spans="1:32" s="457" customFormat="1" ht="18" customHeight="1" x14ac:dyDescent="0.2">
      <c r="A10" s="242">
        <v>1</v>
      </c>
      <c r="B10" s="242">
        <v>4059</v>
      </c>
      <c r="C10" s="496" t="s">
        <v>152</v>
      </c>
      <c r="D10" s="85" t="s">
        <v>86</v>
      </c>
      <c r="E10" s="145">
        <v>1</v>
      </c>
      <c r="F10" s="411">
        <v>2</v>
      </c>
      <c r="G10" s="242">
        <v>1</v>
      </c>
      <c r="H10" s="497">
        <v>0.9</v>
      </c>
      <c r="I10" s="77">
        <f>F10*400+G10*100+H10</f>
        <v>900.9</v>
      </c>
      <c r="J10" s="275">
        <v>300</v>
      </c>
      <c r="K10" s="78">
        <f>SUM(I10*J10)</f>
        <v>270270</v>
      </c>
      <c r="L10" s="75"/>
      <c r="M10" s="61"/>
      <c r="N10" s="61"/>
      <c r="O10" s="61"/>
      <c r="P10" s="173"/>
      <c r="Q10" s="174"/>
      <c r="R10" s="408"/>
      <c r="S10" s="77"/>
      <c r="T10" s="135"/>
      <c r="U10" s="74"/>
      <c r="V10" s="74"/>
      <c r="W10" s="77">
        <f>+K10+V10</f>
        <v>270270</v>
      </c>
      <c r="X10" s="47">
        <f t="shared" ref="X10:X12" si="0">W10</f>
        <v>270270</v>
      </c>
      <c r="Y10" s="77" t="s">
        <v>87</v>
      </c>
      <c r="Z10" s="77">
        <v>0</v>
      </c>
      <c r="AA10" s="409">
        <v>0.01</v>
      </c>
      <c r="AB10" s="406">
        <f>+Z10*AA10/100</f>
        <v>0</v>
      </c>
      <c r="AC10" s="1014"/>
      <c r="AD10" s="349">
        <f>AB10-AC10</f>
        <v>0</v>
      </c>
      <c r="AE10" s="349">
        <f>IF(AD10&lt;=0,0,AD10*25/100)</f>
        <v>0</v>
      </c>
      <c r="AF10" s="349">
        <f>IF(AC10+AE10&gt;AB10,AB10,AC10+AE10)</f>
        <v>0</v>
      </c>
    </row>
    <row r="11" spans="1:32" s="457" customFormat="1" ht="18" customHeight="1" x14ac:dyDescent="0.25">
      <c r="A11" s="61">
        <v>2</v>
      </c>
      <c r="B11" s="287">
        <v>2326</v>
      </c>
      <c r="C11" s="15">
        <v>345</v>
      </c>
      <c r="D11" s="270" t="s">
        <v>86</v>
      </c>
      <c r="E11" s="15">
        <v>5</v>
      </c>
      <c r="F11" s="15">
        <v>0</v>
      </c>
      <c r="G11" s="15">
        <v>3</v>
      </c>
      <c r="H11" s="284">
        <v>64</v>
      </c>
      <c r="I11" s="77">
        <f>F11*400+G11*100+H11</f>
        <v>364</v>
      </c>
      <c r="J11" s="306">
        <v>2300</v>
      </c>
      <c r="K11" s="297">
        <v>837200</v>
      </c>
      <c r="L11" s="50">
        <v>1</v>
      </c>
      <c r="M11" s="145">
        <v>106</v>
      </c>
      <c r="N11" s="15" t="s">
        <v>96</v>
      </c>
      <c r="O11" s="50">
        <v>2</v>
      </c>
      <c r="P11" s="15">
        <v>157.12</v>
      </c>
      <c r="Q11" s="76" t="s">
        <v>75</v>
      </c>
      <c r="R11" s="672">
        <v>7950</v>
      </c>
      <c r="S11" s="296">
        <v>1249104</v>
      </c>
      <c r="T11" s="1515">
        <v>34</v>
      </c>
      <c r="U11" s="1511">
        <f>S11*0.85</f>
        <v>1061738.3999999999</v>
      </c>
      <c r="V11" s="296">
        <f>S11-U11</f>
        <v>187365.60000000009</v>
      </c>
      <c r="W11" s="18">
        <f t="shared" ref="W11" si="1">K11+V11</f>
        <v>1024565.6000000001</v>
      </c>
      <c r="X11" s="47">
        <f t="shared" si="0"/>
        <v>1024565.6000000001</v>
      </c>
      <c r="Y11" s="77" t="s">
        <v>87</v>
      </c>
      <c r="Z11" s="18">
        <v>0</v>
      </c>
      <c r="AA11" s="264">
        <v>0.02</v>
      </c>
      <c r="AB11" s="465">
        <f t="shared" ref="AB11" si="2">+Z11*AA11/100</f>
        <v>0</v>
      </c>
      <c r="AC11" s="602"/>
      <c r="AD11" s="603"/>
      <c r="AE11" s="603"/>
      <c r="AF11" s="603"/>
    </row>
    <row r="12" spans="1:32" s="457" customFormat="1" ht="18" customHeight="1" x14ac:dyDescent="0.25">
      <c r="A12" s="242"/>
      <c r="B12" s="269"/>
      <c r="C12" s="285"/>
      <c r="D12" s="15"/>
      <c r="E12" s="15"/>
      <c r="F12" s="268"/>
      <c r="G12" s="269"/>
      <c r="H12" s="266"/>
      <c r="I12" s="296"/>
      <c r="J12" s="306"/>
      <c r="K12" s="297"/>
      <c r="L12" s="45">
        <v>2</v>
      </c>
      <c r="M12" s="145">
        <v>521</v>
      </c>
      <c r="N12" s="15" t="s">
        <v>74</v>
      </c>
      <c r="O12" s="50">
        <v>3</v>
      </c>
      <c r="P12" s="15">
        <v>33.332999999999998</v>
      </c>
      <c r="Q12" s="62" t="s">
        <v>75</v>
      </c>
      <c r="R12" s="672">
        <v>5650</v>
      </c>
      <c r="S12" s="296">
        <v>188331.44999999998</v>
      </c>
      <c r="T12" s="1501">
        <v>19</v>
      </c>
      <c r="U12" s="1511">
        <f>S12*0.28</f>
        <v>52732.805999999997</v>
      </c>
      <c r="V12" s="296">
        <f>S12-U12</f>
        <v>135598.64399999997</v>
      </c>
      <c r="W12" s="77">
        <f t="shared" ref="W12" si="3">+K12+V12</f>
        <v>135598.64399999997</v>
      </c>
      <c r="X12" s="47">
        <f t="shared" si="0"/>
        <v>135598.64399999997</v>
      </c>
      <c r="Y12" s="296"/>
      <c r="Z12" s="296">
        <f>X12</f>
        <v>135598.64399999997</v>
      </c>
      <c r="AA12" s="494">
        <v>0.3</v>
      </c>
      <c r="AB12" s="410">
        <f>+Z12*AA12/100</f>
        <v>406.79593199999988</v>
      </c>
      <c r="AC12" s="350"/>
      <c r="AD12" s="349"/>
      <c r="AE12" s="349"/>
      <c r="AF12" s="349"/>
    </row>
    <row r="13" spans="1:32" s="457" customFormat="1" ht="18" customHeight="1" x14ac:dyDescent="0.2">
      <c r="A13" s="75"/>
      <c r="B13" s="75"/>
      <c r="C13" s="174"/>
      <c r="D13" s="88"/>
      <c r="E13" s="88"/>
      <c r="F13" s="418"/>
      <c r="G13" s="75"/>
      <c r="H13" s="188"/>
      <c r="I13" s="77"/>
      <c r="J13" s="121"/>
      <c r="K13" s="159"/>
      <c r="L13" s="75"/>
      <c r="M13" s="145"/>
      <c r="N13" s="145"/>
      <c r="O13" s="61"/>
      <c r="P13" s="145"/>
      <c r="Q13" s="174"/>
      <c r="R13" s="408"/>
      <c r="S13" s="77"/>
      <c r="T13" s="135"/>
      <c r="U13" s="74"/>
      <c r="V13" s="74"/>
      <c r="W13" s="77"/>
      <c r="X13" s="74"/>
      <c r="Y13" s="77"/>
      <c r="Z13" s="77"/>
      <c r="AA13" s="409"/>
      <c r="AB13" s="415"/>
      <c r="AC13" s="350"/>
      <c r="AD13" s="349"/>
      <c r="AE13" s="349"/>
      <c r="AF13" s="349"/>
    </row>
    <row r="14" spans="1:32" s="457" customFormat="1" ht="18" customHeight="1" x14ac:dyDescent="0.2">
      <c r="A14" s="75"/>
      <c r="B14" s="75"/>
      <c r="C14" s="174"/>
      <c r="D14" s="88"/>
      <c r="E14" s="88"/>
      <c r="F14" s="418"/>
      <c r="G14" s="75"/>
      <c r="H14" s="188"/>
      <c r="I14" s="77"/>
      <c r="J14" s="121"/>
      <c r="K14" s="159"/>
      <c r="L14" s="75"/>
      <c r="M14" s="145"/>
      <c r="N14" s="145"/>
      <c r="O14" s="61"/>
      <c r="P14" s="145"/>
      <c r="Q14" s="174"/>
      <c r="R14" s="408"/>
      <c r="S14" s="77"/>
      <c r="T14" s="135"/>
      <c r="U14" s="74"/>
      <c r="V14" s="74"/>
      <c r="W14" s="77"/>
      <c r="X14" s="74"/>
      <c r="Y14" s="77"/>
      <c r="Z14" s="77"/>
      <c r="AA14" s="409"/>
      <c r="AB14" s="410"/>
      <c r="AC14" s="350"/>
      <c r="AD14" s="349"/>
      <c r="AE14" s="349"/>
      <c r="AF14" s="349"/>
    </row>
    <row r="15" spans="1:32" s="457" customFormat="1" ht="18" customHeight="1" x14ac:dyDescent="0.2">
      <c r="A15" s="75"/>
      <c r="B15" s="75"/>
      <c r="C15" s="174"/>
      <c r="D15" s="88"/>
      <c r="E15" s="88"/>
      <c r="F15" s="418"/>
      <c r="G15" s="75"/>
      <c r="H15" s="188"/>
      <c r="I15" s="77"/>
      <c r="J15" s="121"/>
      <c r="K15" s="159"/>
      <c r="L15" s="75"/>
      <c r="M15" s="75"/>
      <c r="N15" s="75"/>
      <c r="O15" s="75"/>
      <c r="P15" s="188"/>
      <c r="Q15" s="174"/>
      <c r="R15" s="408"/>
      <c r="S15" s="77"/>
      <c r="T15" s="135"/>
      <c r="U15" s="74"/>
      <c r="V15" s="74"/>
      <c r="W15" s="77"/>
      <c r="X15" s="74"/>
      <c r="Y15" s="77"/>
      <c r="Z15" s="77"/>
      <c r="AA15" s="414"/>
      <c r="AB15" s="506"/>
      <c r="AC15" s="350"/>
      <c r="AD15" s="349"/>
      <c r="AE15" s="349"/>
      <c r="AF15" s="349"/>
    </row>
    <row r="16" spans="1:32" s="457" customFormat="1" ht="18" customHeight="1" x14ac:dyDescent="0.2">
      <c r="A16" s="61"/>
      <c r="B16" s="61"/>
      <c r="C16" s="196"/>
      <c r="D16" s="145"/>
      <c r="E16" s="145"/>
      <c r="F16" s="467"/>
      <c r="G16" s="61"/>
      <c r="H16" s="173"/>
      <c r="I16" s="77"/>
      <c r="J16" s="107"/>
      <c r="K16" s="78"/>
      <c r="L16" s="61"/>
      <c r="M16" s="61"/>
      <c r="N16" s="61"/>
      <c r="O16" s="61"/>
      <c r="P16" s="173"/>
      <c r="Q16" s="196"/>
      <c r="R16" s="408"/>
      <c r="S16" s="77"/>
      <c r="T16" s="803"/>
      <c r="U16" s="77"/>
      <c r="V16" s="77"/>
      <c r="W16" s="77"/>
      <c r="X16" s="77"/>
      <c r="Y16" s="77"/>
      <c r="Z16" s="77"/>
      <c r="AA16" s="409"/>
      <c r="AB16" s="506"/>
      <c r="AC16" s="350"/>
      <c r="AD16" s="719"/>
      <c r="AE16" s="719"/>
      <c r="AF16" s="719"/>
    </row>
    <row r="17" spans="1:32" s="457" customFormat="1" ht="18" customHeight="1" x14ac:dyDescent="0.2">
      <c r="A17" s="61"/>
      <c r="B17" s="61"/>
      <c r="C17" s="196"/>
      <c r="D17" s="145"/>
      <c r="E17" s="145"/>
      <c r="F17" s="467"/>
      <c r="G17" s="61"/>
      <c r="H17" s="173"/>
      <c r="I17" s="77"/>
      <c r="J17" s="107"/>
      <c r="K17" s="78"/>
      <c r="L17" s="61"/>
      <c r="M17" s="61"/>
      <c r="N17" s="61"/>
      <c r="O17" s="61"/>
      <c r="P17" s="173"/>
      <c r="Q17" s="196"/>
      <c r="R17" s="408"/>
      <c r="S17" s="77"/>
      <c r="T17" s="803"/>
      <c r="U17" s="77"/>
      <c r="V17" s="77"/>
      <c r="W17" s="77"/>
      <c r="X17" s="77"/>
      <c r="Y17" s="77"/>
      <c r="Z17" s="77"/>
      <c r="AA17" s="409"/>
      <c r="AB17" s="506"/>
      <c r="AC17" s="350"/>
      <c r="AD17" s="719"/>
      <c r="AE17" s="719"/>
      <c r="AF17" s="719"/>
    </row>
    <row r="18" spans="1:32" s="457" customFormat="1" ht="18" customHeight="1" x14ac:dyDescent="0.2">
      <c r="A18" s="61"/>
      <c r="B18" s="61"/>
      <c r="C18" s="196"/>
      <c r="D18" s="145"/>
      <c r="E18" s="145"/>
      <c r="F18" s="467"/>
      <c r="G18" s="61"/>
      <c r="H18" s="173"/>
      <c r="I18" s="77"/>
      <c r="J18" s="107"/>
      <c r="K18" s="78"/>
      <c r="L18" s="61"/>
      <c r="M18" s="61"/>
      <c r="N18" s="61"/>
      <c r="O18" s="61"/>
      <c r="P18" s="173"/>
      <c r="Q18" s="196"/>
      <c r="R18" s="408"/>
      <c r="S18" s="77"/>
      <c r="T18" s="803"/>
      <c r="U18" s="77"/>
      <c r="V18" s="77"/>
      <c r="W18" s="77"/>
      <c r="X18" s="77"/>
      <c r="Y18" s="77"/>
      <c r="Z18" s="77"/>
      <c r="AA18" s="409"/>
      <c r="AB18" s="506"/>
      <c r="AC18" s="350"/>
      <c r="AD18" s="719"/>
      <c r="AE18" s="719"/>
      <c r="AF18" s="719"/>
    </row>
    <row r="19" spans="1:32" s="457" customFormat="1" ht="18" customHeight="1" x14ac:dyDescent="0.2">
      <c r="A19" s="61"/>
      <c r="B19" s="61"/>
      <c r="C19" s="196"/>
      <c r="D19" s="145"/>
      <c r="E19" s="145"/>
      <c r="F19" s="467"/>
      <c r="G19" s="61"/>
      <c r="H19" s="173"/>
      <c r="I19" s="77"/>
      <c r="J19" s="107"/>
      <c r="K19" s="78"/>
      <c r="L19" s="61"/>
      <c r="M19" s="61"/>
      <c r="N19" s="61"/>
      <c r="O19" s="61"/>
      <c r="P19" s="173"/>
      <c r="Q19" s="196"/>
      <c r="R19" s="408"/>
      <c r="S19" s="77"/>
      <c r="T19" s="803"/>
      <c r="U19" s="77"/>
      <c r="V19" s="77"/>
      <c r="W19" s="77"/>
      <c r="X19" s="77"/>
      <c r="Y19" s="77"/>
      <c r="Z19" s="77"/>
      <c r="AA19" s="409"/>
      <c r="AB19" s="506"/>
      <c r="AC19" s="350"/>
      <c r="AD19" s="719"/>
      <c r="AE19" s="719"/>
      <c r="AF19" s="719"/>
    </row>
    <row r="20" spans="1:32" s="457" customFormat="1" ht="18" customHeight="1" x14ac:dyDescent="0.2">
      <c r="A20" s="145"/>
      <c r="B20" s="177"/>
      <c r="C20" s="177"/>
      <c r="D20" s="145"/>
      <c r="E20" s="145"/>
      <c r="F20" s="145"/>
      <c r="G20" s="145"/>
      <c r="H20" s="147"/>
      <c r="I20" s="107"/>
      <c r="J20" s="178"/>
      <c r="K20" s="107"/>
      <c r="L20" s="145"/>
      <c r="M20" s="145"/>
      <c r="N20" s="145"/>
      <c r="O20" s="145"/>
      <c r="P20" s="147"/>
      <c r="Q20" s="148"/>
      <c r="R20" s="437"/>
      <c r="S20" s="107"/>
      <c r="T20" s="179"/>
      <c r="U20" s="178"/>
      <c r="V20" s="107"/>
      <c r="W20" s="107"/>
      <c r="X20" s="470"/>
      <c r="Y20" s="470"/>
      <c r="Z20" s="471"/>
      <c r="AA20" s="471"/>
      <c r="AB20" s="466"/>
      <c r="AC20" s="350"/>
      <c r="AD20" s="350"/>
      <c r="AE20" s="350"/>
      <c r="AF20" s="350"/>
    </row>
    <row r="21" spans="1:32" s="457" customFormat="1" ht="18" customHeight="1" x14ac:dyDescent="0.2">
      <c r="A21" s="145"/>
      <c r="B21" s="177"/>
      <c r="C21" s="177"/>
      <c r="D21" s="145"/>
      <c r="E21" s="145"/>
      <c r="F21" s="145"/>
      <c r="G21" s="145"/>
      <c r="H21" s="147"/>
      <c r="I21" s="107"/>
      <c r="J21" s="178"/>
      <c r="K21" s="107"/>
      <c r="L21" s="145"/>
      <c r="M21" s="145"/>
      <c r="N21" s="145"/>
      <c r="O21" s="145"/>
      <c r="P21" s="147"/>
      <c r="Q21" s="148"/>
      <c r="R21" s="437"/>
      <c r="S21" s="107"/>
      <c r="T21" s="179"/>
      <c r="U21" s="178"/>
      <c r="V21" s="107"/>
      <c r="W21" s="107"/>
      <c r="X21" s="470"/>
      <c r="Y21" s="470"/>
      <c r="Z21" s="471"/>
      <c r="AA21" s="471"/>
      <c r="AB21" s="466"/>
      <c r="AC21" s="350"/>
      <c r="AD21" s="350"/>
      <c r="AE21" s="350"/>
      <c r="AF21" s="350"/>
    </row>
    <row r="22" spans="1:32" s="457" customFormat="1" ht="18" customHeight="1" x14ac:dyDescent="0.2">
      <c r="A22" s="145"/>
      <c r="B22" s="177"/>
      <c r="C22" s="177"/>
      <c r="D22" s="145"/>
      <c r="E22" s="145"/>
      <c r="F22" s="145"/>
      <c r="G22" s="145"/>
      <c r="H22" s="147"/>
      <c r="I22" s="107"/>
      <c r="J22" s="178"/>
      <c r="K22" s="107"/>
      <c r="L22" s="145"/>
      <c r="M22" s="145"/>
      <c r="N22" s="145"/>
      <c r="O22" s="145"/>
      <c r="P22" s="147"/>
      <c r="Q22" s="148"/>
      <c r="R22" s="437"/>
      <c r="S22" s="107"/>
      <c r="T22" s="179"/>
      <c r="U22" s="178"/>
      <c r="V22" s="107"/>
      <c r="W22" s="107"/>
      <c r="X22" s="470"/>
      <c r="Y22" s="470"/>
      <c r="Z22" s="471"/>
      <c r="AA22" s="471"/>
      <c r="AB22" s="466"/>
      <c r="AC22" s="350"/>
      <c r="AD22" s="350"/>
      <c r="AE22" s="350"/>
      <c r="AF22" s="350"/>
    </row>
    <row r="23" spans="1:32" s="457" customFormat="1" ht="18" customHeight="1" x14ac:dyDescent="0.2">
      <c r="A23" s="145"/>
      <c r="B23" s="177"/>
      <c r="C23" s="177"/>
      <c r="D23" s="145"/>
      <c r="E23" s="145"/>
      <c r="F23" s="145"/>
      <c r="G23" s="145"/>
      <c r="H23" s="147"/>
      <c r="I23" s="107"/>
      <c r="J23" s="178"/>
      <c r="K23" s="107"/>
      <c r="L23" s="145"/>
      <c r="M23" s="145"/>
      <c r="N23" s="145"/>
      <c r="O23" s="145"/>
      <c r="P23" s="147"/>
      <c r="Q23" s="148"/>
      <c r="R23" s="437"/>
      <c r="S23" s="107"/>
      <c r="T23" s="179"/>
      <c r="U23" s="178"/>
      <c r="V23" s="107"/>
      <c r="W23" s="107"/>
      <c r="X23" s="470"/>
      <c r="Y23" s="470"/>
      <c r="Z23" s="471"/>
      <c r="AA23" s="471"/>
      <c r="AB23" s="466"/>
      <c r="AC23" s="350"/>
      <c r="AD23" s="350"/>
      <c r="AE23" s="350"/>
      <c r="AF23" s="350"/>
    </row>
    <row r="24" spans="1:32" s="457" customFormat="1" ht="18" customHeight="1" x14ac:dyDescent="0.2">
      <c r="A24" s="88"/>
      <c r="B24" s="180"/>
      <c r="C24" s="180"/>
      <c r="D24" s="88"/>
      <c r="E24" s="88"/>
      <c r="F24" s="88"/>
      <c r="G24" s="88"/>
      <c r="H24" s="120"/>
      <c r="I24" s="121"/>
      <c r="J24" s="181"/>
      <c r="K24" s="121"/>
      <c r="L24" s="88"/>
      <c r="M24" s="88"/>
      <c r="N24" s="88"/>
      <c r="O24" s="88"/>
      <c r="P24" s="88"/>
      <c r="Q24" s="129"/>
      <c r="R24" s="445"/>
      <c r="S24" s="121"/>
      <c r="T24" s="182"/>
      <c r="U24" s="181"/>
      <c r="V24" s="121"/>
      <c r="W24" s="121"/>
      <c r="X24" s="472"/>
      <c r="Y24" s="472"/>
      <c r="Z24" s="473"/>
      <c r="AA24" s="473"/>
      <c r="AB24" s="410"/>
      <c r="AC24" s="351"/>
      <c r="AD24" s="351"/>
      <c r="AE24" s="351"/>
      <c r="AF24" s="351"/>
    </row>
    <row r="25" spans="1:32" s="457" customFormat="1" ht="18" customHeight="1" x14ac:dyDescent="0.2">
      <c r="A25" s="183"/>
      <c r="B25" s="183"/>
      <c r="C25" s="183"/>
      <c r="D25" s="183"/>
      <c r="E25" s="183"/>
      <c r="F25" s="183"/>
      <c r="G25" s="183"/>
      <c r="H25" s="184"/>
      <c r="I25" s="185"/>
      <c r="J25" s="186"/>
      <c r="K25" s="185"/>
      <c r="L25" s="185"/>
      <c r="M25" s="185"/>
      <c r="N25" s="185"/>
      <c r="O25" s="185"/>
      <c r="P25" s="185"/>
      <c r="Q25" s="185"/>
      <c r="R25" s="438"/>
      <c r="S25" s="185"/>
      <c r="T25" s="187"/>
      <c r="U25" s="186"/>
      <c r="V25" s="185"/>
      <c r="W25" s="185"/>
      <c r="X25" s="474"/>
      <c r="Y25" s="474"/>
      <c r="Z25" s="475"/>
      <c r="AA25" s="475"/>
      <c r="AB25" s="1847">
        <f>SUM(AB10:AB24)</f>
        <v>406.79593199999988</v>
      </c>
      <c r="AC25" s="349"/>
      <c r="AD25" s="349"/>
      <c r="AE25" s="349"/>
      <c r="AF25" s="349"/>
    </row>
    <row r="26" spans="1:32" s="457" customFormat="1" ht="18" customHeight="1" x14ac:dyDescent="0.2">
      <c r="A26" s="2737" t="s">
        <v>76</v>
      </c>
      <c r="B26" s="2737"/>
      <c r="C26" s="2738" t="s">
        <v>77</v>
      </c>
      <c r="D26" s="2738"/>
      <c r="E26" s="2738"/>
      <c r="F26" s="2738"/>
      <c r="G26" s="2738"/>
      <c r="H26" s="2738"/>
      <c r="I26" s="457" t="s">
        <v>78</v>
      </c>
      <c r="AB26" s="478"/>
    </row>
    <row r="27" spans="1:32" s="457" customFormat="1" ht="18" customHeight="1" x14ac:dyDescent="0.2">
      <c r="B27" s="479"/>
      <c r="I27" s="457" t="s">
        <v>79</v>
      </c>
      <c r="AB27" s="478"/>
    </row>
    <row r="28" spans="1:32" s="457" customFormat="1" ht="18" customHeight="1" x14ac:dyDescent="0.2">
      <c r="B28" s="479"/>
      <c r="I28" s="457" t="s">
        <v>80</v>
      </c>
      <c r="AB28" s="478"/>
    </row>
    <row r="29" spans="1:32" s="457" customFormat="1" ht="18" customHeight="1" x14ac:dyDescent="0.2">
      <c r="B29" s="479"/>
      <c r="I29" s="457" t="s">
        <v>81</v>
      </c>
      <c r="AB29" s="478"/>
    </row>
    <row r="30" spans="1:32" s="457" customFormat="1" ht="18" customHeight="1" x14ac:dyDescent="0.2">
      <c r="B30" s="479"/>
      <c r="I30" s="457" t="s">
        <v>88</v>
      </c>
      <c r="AB30" s="478"/>
    </row>
    <row r="31" spans="1:32" s="457" customFormat="1" ht="18" customHeight="1" x14ac:dyDescent="0.2">
      <c r="A31" s="455"/>
      <c r="B31" s="455"/>
      <c r="C31" s="455"/>
      <c r="D31" s="455"/>
      <c r="E31" s="455"/>
      <c r="F31" s="455"/>
      <c r="G31" s="455"/>
      <c r="H31" s="455"/>
      <c r="I31" s="455"/>
      <c r="J31" s="455"/>
      <c r="K31" s="455"/>
      <c r="L31" s="455"/>
      <c r="M31" s="455"/>
      <c r="N31" s="455"/>
      <c r="O31" s="455"/>
      <c r="P31" s="455"/>
      <c r="Q31" s="455"/>
      <c r="R31" s="455"/>
      <c r="S31" s="455"/>
      <c r="T31" s="455"/>
      <c r="U31" s="455"/>
      <c r="V31" s="455"/>
      <c r="W31" s="455"/>
      <c r="X31" s="455"/>
      <c r="Y31" s="455"/>
      <c r="Z31" s="455"/>
      <c r="AA31" s="2705" t="s">
        <v>0</v>
      </c>
      <c r="AB31" s="2705"/>
      <c r="AC31" s="455"/>
      <c r="AD31" s="455"/>
      <c r="AE31" s="455"/>
      <c r="AF31" s="455"/>
    </row>
    <row r="32" spans="1:32" s="457" customFormat="1" ht="18" customHeight="1" x14ac:dyDescent="0.2">
      <c r="A32" s="2706" t="s">
        <v>1</v>
      </c>
      <c r="B32" s="2706"/>
      <c r="C32" s="2706"/>
      <c r="D32" s="2706"/>
      <c r="E32" s="2706"/>
      <c r="F32" s="2706"/>
      <c r="G32" s="2706"/>
      <c r="H32" s="2706"/>
      <c r="I32" s="2706"/>
      <c r="J32" s="2706"/>
      <c r="K32" s="2706"/>
      <c r="L32" s="2706"/>
      <c r="M32" s="2706"/>
      <c r="N32" s="2706"/>
      <c r="O32" s="2706"/>
      <c r="P32" s="2706"/>
      <c r="Q32" s="2706"/>
      <c r="R32" s="2706"/>
      <c r="S32" s="2706"/>
      <c r="T32" s="2706"/>
      <c r="U32" s="2706"/>
      <c r="V32" s="2706"/>
      <c r="W32" s="2706"/>
      <c r="X32" s="2706"/>
      <c r="Y32" s="2706"/>
      <c r="Z32" s="2706"/>
      <c r="AA32" s="2706"/>
      <c r="AB32" s="2706"/>
      <c r="AC32" s="610"/>
      <c r="AD32" s="610"/>
      <c r="AE32" s="610"/>
      <c r="AF32" s="610"/>
    </row>
    <row r="33" spans="1:32" s="457" customFormat="1" ht="18" customHeight="1" x14ac:dyDescent="0.2">
      <c r="A33" s="2704" t="s">
        <v>368</v>
      </c>
      <c r="B33" s="2704"/>
      <c r="C33" s="2704"/>
      <c r="D33" s="2704"/>
      <c r="E33" s="2704"/>
      <c r="F33" s="2704"/>
      <c r="G33" s="2704"/>
      <c r="H33" s="2704"/>
      <c r="I33" s="2704"/>
      <c r="J33" s="2704"/>
      <c r="K33" s="2704"/>
      <c r="L33" s="2704"/>
      <c r="M33" s="2704"/>
      <c r="N33" s="2704"/>
      <c r="O33" s="2704"/>
      <c r="P33" s="2704"/>
      <c r="Q33" s="2704"/>
      <c r="R33" s="2704"/>
      <c r="S33" s="2704"/>
      <c r="T33" s="2704"/>
      <c r="U33" s="2704"/>
      <c r="V33" s="2704"/>
      <c r="W33" s="2704"/>
      <c r="X33" s="2704"/>
      <c r="Y33" s="2704"/>
      <c r="Z33" s="2704"/>
      <c r="AA33" s="2704"/>
      <c r="AB33" s="2704"/>
      <c r="AC33" s="611"/>
      <c r="AD33" s="611"/>
      <c r="AE33" s="611"/>
      <c r="AF33" s="611"/>
    </row>
    <row r="34" spans="1:32" s="457" customFormat="1" ht="18" customHeight="1" x14ac:dyDescent="0.2">
      <c r="A34" s="2686" t="s">
        <v>2</v>
      </c>
      <c r="B34" s="360"/>
      <c r="C34" s="2686" t="s">
        <v>3</v>
      </c>
      <c r="D34" s="360"/>
      <c r="E34" s="360"/>
      <c r="F34" s="2693" t="s">
        <v>4</v>
      </c>
      <c r="G34" s="2693"/>
      <c r="H34" s="2693"/>
      <c r="I34" s="2694"/>
      <c r="J34" s="2694"/>
      <c r="K34" s="2695"/>
      <c r="L34" s="361"/>
      <c r="M34" s="2679" t="s">
        <v>5</v>
      </c>
      <c r="N34" s="2679"/>
      <c r="O34" s="2679"/>
      <c r="P34" s="2679"/>
      <c r="Q34" s="2696"/>
      <c r="R34" s="2696"/>
      <c r="S34" s="2696"/>
      <c r="T34" s="2696"/>
      <c r="U34" s="2696"/>
      <c r="V34" s="2697"/>
      <c r="W34" s="362" t="s">
        <v>6</v>
      </c>
      <c r="X34" s="363" t="s">
        <v>7</v>
      </c>
      <c r="Y34" s="364"/>
      <c r="Z34" s="364"/>
      <c r="AA34" s="363"/>
      <c r="AB34" s="458"/>
      <c r="AC34" s="612" t="s">
        <v>8</v>
      </c>
      <c r="AD34" s="613"/>
      <c r="AE34" s="613"/>
      <c r="AF34" s="614"/>
    </row>
    <row r="35" spans="1:32" s="457" customFormat="1" ht="18" customHeight="1" x14ac:dyDescent="0.2">
      <c r="A35" s="2687"/>
      <c r="B35" s="367"/>
      <c r="C35" s="2687"/>
      <c r="D35" s="366" t="s">
        <v>9</v>
      </c>
      <c r="E35" s="366" t="s">
        <v>10</v>
      </c>
      <c r="F35" s="2698" t="s">
        <v>11</v>
      </c>
      <c r="G35" s="2694"/>
      <c r="H35" s="2695"/>
      <c r="I35" s="360"/>
      <c r="J35" s="449" t="s">
        <v>12</v>
      </c>
      <c r="K35" s="360"/>
      <c r="L35" s="2679" t="s">
        <v>2</v>
      </c>
      <c r="M35" s="370"/>
      <c r="N35" s="370"/>
      <c r="O35" s="370"/>
      <c r="P35" s="371"/>
      <c r="Q35" s="459" t="s">
        <v>13</v>
      </c>
      <c r="R35" s="370" t="s">
        <v>12</v>
      </c>
      <c r="S35" s="370" t="s">
        <v>6</v>
      </c>
      <c r="T35" s="2682" t="s">
        <v>14</v>
      </c>
      <c r="U35" s="2683"/>
      <c r="V35" s="375" t="s">
        <v>7</v>
      </c>
      <c r="W35" s="376" t="s">
        <v>15</v>
      </c>
      <c r="X35" s="377" t="s">
        <v>16</v>
      </c>
      <c r="Y35" s="377" t="s">
        <v>17</v>
      </c>
      <c r="Z35" s="377" t="s">
        <v>18</v>
      </c>
      <c r="AA35" s="377"/>
      <c r="AB35" s="460" t="s">
        <v>19</v>
      </c>
      <c r="AC35" s="615" t="s">
        <v>20</v>
      </c>
      <c r="AD35" s="616"/>
      <c r="AE35" s="617" t="s">
        <v>21</v>
      </c>
      <c r="AF35" s="618" t="s">
        <v>22</v>
      </c>
    </row>
    <row r="36" spans="1:32" s="457" customFormat="1" ht="18" customHeight="1" x14ac:dyDescent="0.2">
      <c r="A36" s="2687"/>
      <c r="B36" s="366" t="s">
        <v>23</v>
      </c>
      <c r="C36" s="2687"/>
      <c r="D36" s="366" t="s">
        <v>24</v>
      </c>
      <c r="E36" s="366" t="s">
        <v>25</v>
      </c>
      <c r="F36" s="2699"/>
      <c r="G36" s="2700"/>
      <c r="H36" s="2701"/>
      <c r="I36" s="366" t="s">
        <v>26</v>
      </c>
      <c r="J36" s="380" t="s">
        <v>15</v>
      </c>
      <c r="K36" s="380" t="s">
        <v>6</v>
      </c>
      <c r="L36" s="2680"/>
      <c r="M36" s="381" t="s">
        <v>27</v>
      </c>
      <c r="N36" s="381" t="s">
        <v>10</v>
      </c>
      <c r="O36" s="381" t="s">
        <v>10</v>
      </c>
      <c r="P36" s="385" t="s">
        <v>28</v>
      </c>
      <c r="Q36" s="461" t="s">
        <v>29</v>
      </c>
      <c r="R36" s="385" t="s">
        <v>15</v>
      </c>
      <c r="S36" s="385" t="s">
        <v>15</v>
      </c>
      <c r="T36" s="2684"/>
      <c r="U36" s="2685"/>
      <c r="V36" s="375" t="s">
        <v>30</v>
      </c>
      <c r="W36" s="376" t="s">
        <v>31</v>
      </c>
      <c r="X36" s="377" t="s">
        <v>30</v>
      </c>
      <c r="Y36" s="377" t="s">
        <v>32</v>
      </c>
      <c r="Z36" s="377" t="s">
        <v>7</v>
      </c>
      <c r="AA36" s="377" t="s">
        <v>33</v>
      </c>
      <c r="AB36" s="460" t="s">
        <v>34</v>
      </c>
      <c r="AC36" s="615" t="s">
        <v>35</v>
      </c>
      <c r="AD36" s="617" t="s">
        <v>36</v>
      </c>
      <c r="AE36" s="617" t="s">
        <v>37</v>
      </c>
      <c r="AF36" s="618" t="s">
        <v>38</v>
      </c>
    </row>
    <row r="37" spans="1:32" s="457" customFormat="1" ht="18" customHeight="1" x14ac:dyDescent="0.2">
      <c r="A37" s="2687"/>
      <c r="B37" s="366" t="s">
        <v>39</v>
      </c>
      <c r="C37" s="2687"/>
      <c r="D37" s="366" t="s">
        <v>40</v>
      </c>
      <c r="E37" s="366" t="s">
        <v>41</v>
      </c>
      <c r="F37" s="2686" t="s">
        <v>42</v>
      </c>
      <c r="G37" s="2686" t="s">
        <v>43</v>
      </c>
      <c r="H37" s="2688" t="s">
        <v>44</v>
      </c>
      <c r="I37" s="366" t="s">
        <v>45</v>
      </c>
      <c r="J37" s="380" t="s">
        <v>46</v>
      </c>
      <c r="K37" s="380" t="s">
        <v>47</v>
      </c>
      <c r="L37" s="2680"/>
      <c r="M37" s="381" t="s">
        <v>30</v>
      </c>
      <c r="N37" s="381" t="s">
        <v>30</v>
      </c>
      <c r="O37" s="381" t="s">
        <v>25</v>
      </c>
      <c r="P37" s="385" t="s">
        <v>30</v>
      </c>
      <c r="Q37" s="461" t="s">
        <v>48</v>
      </c>
      <c r="R37" s="385" t="s">
        <v>49</v>
      </c>
      <c r="S37" s="385" t="s">
        <v>30</v>
      </c>
      <c r="T37" s="374" t="s">
        <v>50</v>
      </c>
      <c r="U37" s="374" t="s">
        <v>13</v>
      </c>
      <c r="V37" s="375" t="s">
        <v>51</v>
      </c>
      <c r="W37" s="376" t="s">
        <v>52</v>
      </c>
      <c r="X37" s="377" t="s">
        <v>53</v>
      </c>
      <c r="Y37" s="377" t="s">
        <v>54</v>
      </c>
      <c r="Z37" s="377" t="s">
        <v>55</v>
      </c>
      <c r="AA37" s="377" t="s">
        <v>56</v>
      </c>
      <c r="AB37" s="460" t="s">
        <v>57</v>
      </c>
      <c r="AC37" s="617" t="s">
        <v>58</v>
      </c>
      <c r="AD37" s="617" t="s">
        <v>59</v>
      </c>
      <c r="AE37" s="617" t="s">
        <v>59</v>
      </c>
      <c r="AF37" s="618" t="s">
        <v>60</v>
      </c>
    </row>
    <row r="38" spans="1:32" s="457" customFormat="1" ht="18" customHeight="1" x14ac:dyDescent="0.2">
      <c r="A38" s="2687"/>
      <c r="B38" s="366" t="s">
        <v>61</v>
      </c>
      <c r="C38" s="2687"/>
      <c r="D38" s="366" t="s">
        <v>62</v>
      </c>
      <c r="E38" s="366" t="s">
        <v>63</v>
      </c>
      <c r="F38" s="2687"/>
      <c r="G38" s="2687"/>
      <c r="H38" s="2689"/>
      <c r="I38" s="366" t="s">
        <v>64</v>
      </c>
      <c r="J38" s="380" t="s">
        <v>59</v>
      </c>
      <c r="K38" s="380" t="s">
        <v>59</v>
      </c>
      <c r="L38" s="2680"/>
      <c r="M38" s="381"/>
      <c r="N38" s="381"/>
      <c r="O38" s="381" t="s">
        <v>41</v>
      </c>
      <c r="P38" s="385" t="s">
        <v>65</v>
      </c>
      <c r="Q38" s="461" t="s">
        <v>66</v>
      </c>
      <c r="R38" s="385" t="s">
        <v>67</v>
      </c>
      <c r="S38" s="385" t="s">
        <v>59</v>
      </c>
      <c r="T38" s="375" t="s">
        <v>68</v>
      </c>
      <c r="U38" s="375" t="s">
        <v>14</v>
      </c>
      <c r="V38" s="375" t="s">
        <v>14</v>
      </c>
      <c r="W38" s="376" t="s">
        <v>30</v>
      </c>
      <c r="X38" s="388" t="s">
        <v>69</v>
      </c>
      <c r="Y38" s="388" t="s">
        <v>70</v>
      </c>
      <c r="Z38" s="377" t="s">
        <v>71</v>
      </c>
      <c r="AA38" s="377" t="s">
        <v>72</v>
      </c>
      <c r="AB38" s="460" t="s">
        <v>59</v>
      </c>
      <c r="AC38" s="617" t="s">
        <v>59</v>
      </c>
      <c r="AD38" s="617"/>
      <c r="AE38" s="617"/>
      <c r="AF38" s="618" t="s">
        <v>59</v>
      </c>
    </row>
    <row r="39" spans="1:32" s="457" customFormat="1" ht="18" customHeight="1" x14ac:dyDescent="0.2">
      <c r="A39" s="2692"/>
      <c r="B39" s="390"/>
      <c r="C39" s="2692"/>
      <c r="D39" s="390"/>
      <c r="E39" s="389"/>
      <c r="F39" s="390"/>
      <c r="G39" s="390"/>
      <c r="H39" s="391"/>
      <c r="I39" s="389"/>
      <c r="J39" s="393"/>
      <c r="K39" s="393"/>
      <c r="L39" s="2681"/>
      <c r="M39" s="394"/>
      <c r="N39" s="394"/>
      <c r="O39" s="394" t="s">
        <v>63</v>
      </c>
      <c r="P39" s="394"/>
      <c r="Q39" s="450" t="s">
        <v>72</v>
      </c>
      <c r="R39" s="398" t="s">
        <v>59</v>
      </c>
      <c r="S39" s="398"/>
      <c r="T39" s="398" t="s">
        <v>73</v>
      </c>
      <c r="U39" s="398" t="s">
        <v>59</v>
      </c>
      <c r="V39" s="399" t="s">
        <v>59</v>
      </c>
      <c r="W39" s="400" t="s">
        <v>59</v>
      </c>
      <c r="X39" s="401" t="s">
        <v>59</v>
      </c>
      <c r="Y39" s="401" t="s">
        <v>59</v>
      </c>
      <c r="Z39" s="401" t="s">
        <v>59</v>
      </c>
      <c r="AA39" s="402"/>
      <c r="AB39" s="462"/>
      <c r="AC39" s="625"/>
      <c r="AD39" s="625"/>
      <c r="AE39" s="625"/>
      <c r="AF39" s="626"/>
    </row>
    <row r="40" spans="1:32" s="457" customFormat="1" ht="18" customHeight="1" x14ac:dyDescent="0.25">
      <c r="A40" s="242">
        <v>1</v>
      </c>
      <c r="B40" s="273">
        <v>2187</v>
      </c>
      <c r="C40" s="27">
        <v>253</v>
      </c>
      <c r="D40" s="27" t="s">
        <v>86</v>
      </c>
      <c r="E40" s="273">
        <v>1</v>
      </c>
      <c r="F40" s="27">
        <v>4</v>
      </c>
      <c r="G40" s="27">
        <v>1</v>
      </c>
      <c r="H40" s="557">
        <v>16</v>
      </c>
      <c r="I40" s="77">
        <f t="shared" ref="I40:I43" si="4">F40*400+G40*100+H40</f>
        <v>1716</v>
      </c>
      <c r="J40" s="759">
        <v>280</v>
      </c>
      <c r="K40" s="297">
        <v>480480</v>
      </c>
      <c r="L40" s="269"/>
      <c r="M40" s="242"/>
      <c r="N40" s="269"/>
      <c r="O40" s="269"/>
      <c r="P40" s="266"/>
      <c r="Q40" s="285"/>
      <c r="R40" s="1005"/>
      <c r="S40" s="321"/>
      <c r="T40" s="323"/>
      <c r="U40" s="321"/>
      <c r="V40" s="321"/>
      <c r="W40" s="296">
        <f>K40+V40</f>
        <v>480480</v>
      </c>
      <c r="X40" s="47">
        <f t="shared" ref="X40:X42" si="5">W40</f>
        <v>480480</v>
      </c>
      <c r="Y40" s="296">
        <v>0</v>
      </c>
      <c r="Z40" s="296">
        <v>0</v>
      </c>
      <c r="AA40" s="494">
        <v>0.01</v>
      </c>
      <c r="AB40" s="406">
        <f>AA40*Z40/100</f>
        <v>0</v>
      </c>
      <c r="AC40" s="602"/>
      <c r="AD40" s="603">
        <f>AB40-AC40</f>
        <v>0</v>
      </c>
      <c r="AE40" s="603">
        <f>IF(AD40&lt;=0,0,AD40*25/100)</f>
        <v>0</v>
      </c>
      <c r="AF40" s="603">
        <f>IF(AC40+AE40&gt;AB40,AB40,AC40+AE40)</f>
        <v>0</v>
      </c>
    </row>
    <row r="41" spans="1:32" s="457" customFormat="1" ht="18" customHeight="1" x14ac:dyDescent="0.25">
      <c r="A41" s="242">
        <v>2</v>
      </c>
      <c r="B41" s="287">
        <v>2575</v>
      </c>
      <c r="C41" s="15">
        <v>391</v>
      </c>
      <c r="D41" s="15" t="s">
        <v>86</v>
      </c>
      <c r="E41" s="273">
        <v>2</v>
      </c>
      <c r="F41" s="15">
        <v>0</v>
      </c>
      <c r="G41" s="15">
        <v>3</v>
      </c>
      <c r="H41" s="284">
        <v>36.4</v>
      </c>
      <c r="I41" s="77">
        <f t="shared" si="4"/>
        <v>336.4</v>
      </c>
      <c r="J41" s="759">
        <v>2300</v>
      </c>
      <c r="K41" s="297">
        <v>773720</v>
      </c>
      <c r="L41" s="45">
        <v>1</v>
      </c>
      <c r="M41" s="88">
        <v>106</v>
      </c>
      <c r="N41" s="27" t="s">
        <v>96</v>
      </c>
      <c r="O41" s="50">
        <v>2</v>
      </c>
      <c r="P41" s="19">
        <v>143.30000000000001</v>
      </c>
      <c r="Q41" s="62" t="s">
        <v>75</v>
      </c>
      <c r="R41" s="672">
        <v>7950</v>
      </c>
      <c r="S41" s="296">
        <f>P41*R41</f>
        <v>1139235</v>
      </c>
      <c r="T41" s="1501">
        <v>24</v>
      </c>
      <c r="U41" s="1494">
        <f>S41*0.85</f>
        <v>968349.75</v>
      </c>
      <c r="V41" s="299">
        <f>S41-U41</f>
        <v>170885.25</v>
      </c>
      <c r="W41" s="296">
        <f>K41+V41</f>
        <v>944605.25</v>
      </c>
      <c r="X41" s="47">
        <f t="shared" si="5"/>
        <v>944605.25</v>
      </c>
      <c r="Y41" s="296" t="s">
        <v>87</v>
      </c>
      <c r="Z41" s="296">
        <v>0</v>
      </c>
      <c r="AA41" s="494">
        <v>0.02</v>
      </c>
      <c r="AB41" s="415">
        <f>AA41*Z41/100</f>
        <v>0</v>
      </c>
      <c r="AC41" s="350"/>
      <c r="AD41" s="350"/>
      <c r="AE41" s="350"/>
      <c r="AF41" s="350"/>
    </row>
    <row r="42" spans="1:32" s="457" customFormat="1" ht="18" customHeight="1" x14ac:dyDescent="0.25">
      <c r="A42" s="242">
        <v>3</v>
      </c>
      <c r="B42" s="273">
        <v>16856</v>
      </c>
      <c r="C42" s="27">
        <v>389</v>
      </c>
      <c r="D42" s="15" t="s">
        <v>86</v>
      </c>
      <c r="E42" s="273">
        <v>2</v>
      </c>
      <c r="F42" s="27">
        <v>0</v>
      </c>
      <c r="G42" s="27">
        <v>0</v>
      </c>
      <c r="H42" s="557">
        <v>73</v>
      </c>
      <c r="I42" s="77">
        <f t="shared" si="4"/>
        <v>73</v>
      </c>
      <c r="J42" s="759">
        <v>2300</v>
      </c>
      <c r="K42" s="297">
        <v>167900</v>
      </c>
      <c r="L42" s="45">
        <v>2</v>
      </c>
      <c r="M42" s="88">
        <v>103</v>
      </c>
      <c r="N42" s="27" t="s">
        <v>74</v>
      </c>
      <c r="O42" s="50">
        <v>2</v>
      </c>
      <c r="P42" s="19">
        <v>89.68</v>
      </c>
      <c r="Q42" s="62" t="s">
        <v>75</v>
      </c>
      <c r="R42" s="672">
        <v>9050</v>
      </c>
      <c r="S42" s="296">
        <f t="shared" ref="S42:S43" si="6">P42*R42</f>
        <v>811604.00000000012</v>
      </c>
      <c r="T42" s="1501">
        <v>9</v>
      </c>
      <c r="U42" s="1494">
        <f>S42*0.09</f>
        <v>73044.36</v>
      </c>
      <c r="V42" s="299">
        <f t="shared" ref="V42:V43" si="7">S42-U42</f>
        <v>738559.64000000013</v>
      </c>
      <c r="W42" s="296">
        <f t="shared" ref="W42:W43" si="8">K42+V42</f>
        <v>906459.64000000013</v>
      </c>
      <c r="X42" s="47">
        <f t="shared" si="5"/>
        <v>906459.64000000013</v>
      </c>
      <c r="Y42" s="296">
        <v>0</v>
      </c>
      <c r="Z42" s="18">
        <f>+X42</f>
        <v>906459.64000000013</v>
      </c>
      <c r="AA42" s="494">
        <v>0.02</v>
      </c>
      <c r="AB42" s="410">
        <f>Z42*0.02/100</f>
        <v>181.29192800000004</v>
      </c>
      <c r="AC42" s="350"/>
      <c r="AD42" s="350"/>
      <c r="AE42" s="350"/>
      <c r="AF42" s="350"/>
    </row>
    <row r="43" spans="1:32" s="457" customFormat="1" ht="18" customHeight="1" x14ac:dyDescent="0.25">
      <c r="A43" s="242">
        <v>4</v>
      </c>
      <c r="B43" s="273">
        <v>29508</v>
      </c>
      <c r="C43" s="27">
        <v>1046</v>
      </c>
      <c r="D43" s="27" t="s">
        <v>86</v>
      </c>
      <c r="E43" s="273">
        <v>3</v>
      </c>
      <c r="F43" s="27">
        <v>0</v>
      </c>
      <c r="G43" s="27">
        <v>1</v>
      </c>
      <c r="H43" s="557">
        <v>10.5</v>
      </c>
      <c r="I43" s="77">
        <f t="shared" si="4"/>
        <v>110.5</v>
      </c>
      <c r="J43" s="671">
        <v>2300</v>
      </c>
      <c r="K43" s="304">
        <v>254150</v>
      </c>
      <c r="L43" s="45">
        <v>3</v>
      </c>
      <c r="M43" s="88">
        <v>101</v>
      </c>
      <c r="N43" s="27" t="s">
        <v>82</v>
      </c>
      <c r="O43" s="45">
        <v>3</v>
      </c>
      <c r="P43" s="257">
        <v>54</v>
      </c>
      <c r="Q43" s="62" t="s">
        <v>75</v>
      </c>
      <c r="R43" s="743">
        <v>7700</v>
      </c>
      <c r="S43" s="296">
        <f t="shared" si="6"/>
        <v>415800</v>
      </c>
      <c r="T43" s="1501">
        <v>5</v>
      </c>
      <c r="U43" s="1494">
        <f>S43*0.35</f>
        <v>145530</v>
      </c>
      <c r="V43" s="299">
        <f t="shared" si="7"/>
        <v>270270</v>
      </c>
      <c r="W43" s="296">
        <f t="shared" si="8"/>
        <v>524420</v>
      </c>
      <c r="X43" s="47">
        <f t="shared" ref="X43" si="9">W43</f>
        <v>524420</v>
      </c>
      <c r="Y43" s="18">
        <v>0</v>
      </c>
      <c r="Z43" s="18">
        <f>+X43</f>
        <v>524420</v>
      </c>
      <c r="AA43" s="264">
        <v>0.02</v>
      </c>
      <c r="AB43" s="410">
        <f t="shared" ref="AB43" si="10">+Z43*AA43/100</f>
        <v>104.884</v>
      </c>
      <c r="AC43" s="350"/>
      <c r="AD43" s="350"/>
      <c r="AE43" s="350"/>
      <c r="AF43" s="350"/>
    </row>
    <row r="44" spans="1:32" s="457" customFormat="1" ht="18" customHeight="1" x14ac:dyDescent="0.2">
      <c r="A44" s="61"/>
      <c r="B44" s="145"/>
      <c r="C44" s="145"/>
      <c r="D44" s="145"/>
      <c r="E44" s="145"/>
      <c r="F44" s="145"/>
      <c r="G44" s="145"/>
      <c r="H44" s="407"/>
      <c r="I44" s="77"/>
      <c r="J44" s="275"/>
      <c r="K44" s="78"/>
      <c r="L44" s="61"/>
      <c r="M44" s="145"/>
      <c r="N44" s="145"/>
      <c r="O44" s="61"/>
      <c r="P44" s="173"/>
      <c r="Q44" s="196"/>
      <c r="R44" s="408"/>
      <c r="S44" s="77"/>
      <c r="T44" s="803"/>
      <c r="U44" s="77"/>
      <c r="V44" s="77"/>
      <c r="W44" s="77"/>
      <c r="X44" s="77"/>
      <c r="Y44" s="77"/>
      <c r="Z44" s="77"/>
      <c r="AA44" s="409"/>
      <c r="AB44" s="410"/>
      <c r="AC44" s="350"/>
      <c r="AD44" s="350"/>
      <c r="AE44" s="350"/>
      <c r="AF44" s="350"/>
    </row>
    <row r="45" spans="1:32" s="457" customFormat="1" ht="18" customHeight="1" x14ac:dyDescent="0.2">
      <c r="A45" s="145"/>
      <c r="B45" s="177"/>
      <c r="C45" s="177"/>
      <c r="D45" s="145"/>
      <c r="E45" s="145"/>
      <c r="F45" s="145"/>
      <c r="G45" s="145"/>
      <c r="H45" s="147"/>
      <c r="I45" s="107"/>
      <c r="J45" s="178"/>
      <c r="K45" s="107"/>
      <c r="L45" s="145"/>
      <c r="M45" s="145"/>
      <c r="N45" s="145"/>
      <c r="O45" s="145"/>
      <c r="P45" s="147"/>
      <c r="Q45" s="148"/>
      <c r="R45" s="437"/>
      <c r="S45" s="107"/>
      <c r="T45" s="179"/>
      <c r="U45" s="178"/>
      <c r="V45" s="107"/>
      <c r="W45" s="107"/>
      <c r="X45" s="470"/>
      <c r="Y45" s="470"/>
      <c r="Z45" s="471"/>
      <c r="AA45" s="471"/>
      <c r="AB45" s="466"/>
      <c r="AC45" s="350"/>
      <c r="AD45" s="350"/>
      <c r="AE45" s="350"/>
      <c r="AF45" s="350"/>
    </row>
    <row r="46" spans="1:32" s="457" customFormat="1" ht="18" customHeight="1" x14ac:dyDescent="0.2">
      <c r="A46" s="145"/>
      <c r="B46" s="177"/>
      <c r="C46" s="177"/>
      <c r="D46" s="145"/>
      <c r="E46" s="145"/>
      <c r="F46" s="145"/>
      <c r="G46" s="145"/>
      <c r="H46" s="147"/>
      <c r="I46" s="107"/>
      <c r="J46" s="178"/>
      <c r="K46" s="107"/>
      <c r="L46" s="145"/>
      <c r="M46" s="145"/>
      <c r="N46" s="145"/>
      <c r="O46" s="145"/>
      <c r="P46" s="147"/>
      <c r="Q46" s="148"/>
      <c r="R46" s="437"/>
      <c r="S46" s="107"/>
      <c r="T46" s="179"/>
      <c r="U46" s="178"/>
      <c r="V46" s="107"/>
      <c r="W46" s="107"/>
      <c r="X46" s="470"/>
      <c r="Y46" s="470"/>
      <c r="Z46" s="471"/>
      <c r="AA46" s="471"/>
      <c r="AB46" s="466"/>
      <c r="AC46" s="350"/>
      <c r="AD46" s="350"/>
      <c r="AE46" s="350"/>
      <c r="AF46" s="350"/>
    </row>
    <row r="47" spans="1:32" s="457" customFormat="1" ht="18" customHeight="1" x14ac:dyDescent="0.2">
      <c r="A47" s="145"/>
      <c r="B47" s="177"/>
      <c r="C47" s="177"/>
      <c r="D47" s="145"/>
      <c r="E47" s="145"/>
      <c r="F47" s="145"/>
      <c r="G47" s="145"/>
      <c r="H47" s="147"/>
      <c r="I47" s="107"/>
      <c r="J47" s="178"/>
      <c r="K47" s="107"/>
      <c r="L47" s="145"/>
      <c r="M47" s="145"/>
      <c r="N47" s="145"/>
      <c r="O47" s="145"/>
      <c r="P47" s="147"/>
      <c r="Q47" s="148"/>
      <c r="R47" s="437"/>
      <c r="S47" s="107"/>
      <c r="T47" s="179"/>
      <c r="U47" s="178"/>
      <c r="V47" s="107"/>
      <c r="W47" s="107"/>
      <c r="X47" s="470"/>
      <c r="Y47" s="470"/>
      <c r="Z47" s="471"/>
      <c r="AA47" s="471"/>
      <c r="AB47" s="466"/>
      <c r="AC47" s="350"/>
      <c r="AD47" s="350"/>
      <c r="AE47" s="350"/>
      <c r="AF47" s="350"/>
    </row>
    <row r="48" spans="1:32" s="457" customFormat="1" ht="18" customHeight="1" x14ac:dyDescent="0.2">
      <c r="A48" s="145"/>
      <c r="B48" s="177"/>
      <c r="C48" s="177"/>
      <c r="D48" s="145"/>
      <c r="E48" s="145"/>
      <c r="F48" s="145"/>
      <c r="G48" s="145"/>
      <c r="H48" s="147"/>
      <c r="I48" s="107"/>
      <c r="J48" s="178"/>
      <c r="K48" s="107"/>
      <c r="L48" s="145"/>
      <c r="M48" s="145"/>
      <c r="N48" s="145"/>
      <c r="O48" s="145"/>
      <c r="P48" s="147"/>
      <c r="Q48" s="148"/>
      <c r="R48" s="437"/>
      <c r="S48" s="107"/>
      <c r="T48" s="179"/>
      <c r="U48" s="178"/>
      <c r="V48" s="107"/>
      <c r="W48" s="107"/>
      <c r="X48" s="470"/>
      <c r="Y48" s="470"/>
      <c r="Z48" s="471"/>
      <c r="AA48" s="471"/>
      <c r="AB48" s="466"/>
      <c r="AC48" s="350"/>
      <c r="AD48" s="350"/>
      <c r="AE48" s="350"/>
      <c r="AF48" s="350"/>
    </row>
    <row r="49" spans="1:32" s="457" customFormat="1" ht="18" customHeight="1" x14ac:dyDescent="0.2">
      <c r="A49" s="145"/>
      <c r="B49" s="177"/>
      <c r="C49" s="177"/>
      <c r="D49" s="145"/>
      <c r="E49" s="145"/>
      <c r="F49" s="145"/>
      <c r="G49" s="145"/>
      <c r="H49" s="147"/>
      <c r="I49" s="107"/>
      <c r="J49" s="178"/>
      <c r="K49" s="107"/>
      <c r="L49" s="145"/>
      <c r="M49" s="145"/>
      <c r="N49" s="145"/>
      <c r="O49" s="145"/>
      <c r="P49" s="147"/>
      <c r="Q49" s="148"/>
      <c r="R49" s="437"/>
      <c r="S49" s="107"/>
      <c r="T49" s="179"/>
      <c r="U49" s="178"/>
      <c r="V49" s="107"/>
      <c r="W49" s="107"/>
      <c r="X49" s="470"/>
      <c r="Y49" s="470"/>
      <c r="Z49" s="471"/>
      <c r="AA49" s="471"/>
      <c r="AB49" s="466"/>
      <c r="AC49" s="350"/>
      <c r="AD49" s="350"/>
      <c r="AE49" s="350"/>
      <c r="AF49" s="350"/>
    </row>
    <row r="50" spans="1:32" s="457" customFormat="1" ht="18" customHeight="1" x14ac:dyDescent="0.2">
      <c r="A50" s="145"/>
      <c r="B50" s="177"/>
      <c r="C50" s="177"/>
      <c r="D50" s="145"/>
      <c r="E50" s="145"/>
      <c r="F50" s="145"/>
      <c r="G50" s="145"/>
      <c r="H50" s="147"/>
      <c r="I50" s="107"/>
      <c r="J50" s="178"/>
      <c r="K50" s="107"/>
      <c r="L50" s="145"/>
      <c r="M50" s="145"/>
      <c r="N50" s="145"/>
      <c r="O50" s="145"/>
      <c r="P50" s="147"/>
      <c r="Q50" s="148"/>
      <c r="R50" s="437"/>
      <c r="S50" s="107"/>
      <c r="T50" s="179"/>
      <c r="U50" s="178"/>
      <c r="V50" s="107"/>
      <c r="W50" s="107"/>
      <c r="X50" s="470"/>
      <c r="Y50" s="470"/>
      <c r="Z50" s="471"/>
      <c r="AA50" s="471"/>
      <c r="AB50" s="466"/>
      <c r="AC50" s="350"/>
      <c r="AD50" s="350"/>
      <c r="AE50" s="350"/>
      <c r="AF50" s="350"/>
    </row>
    <row r="51" spans="1:32" s="457" customFormat="1" ht="18" customHeight="1" x14ac:dyDescent="0.2">
      <c r="A51" s="145"/>
      <c r="B51" s="177"/>
      <c r="C51" s="177"/>
      <c r="D51" s="145"/>
      <c r="E51" s="145"/>
      <c r="F51" s="145"/>
      <c r="G51" s="145"/>
      <c r="H51" s="147"/>
      <c r="I51" s="107"/>
      <c r="J51" s="178"/>
      <c r="K51" s="107"/>
      <c r="L51" s="145"/>
      <c r="M51" s="145"/>
      <c r="N51" s="145"/>
      <c r="O51" s="145"/>
      <c r="P51" s="147"/>
      <c r="Q51" s="148"/>
      <c r="R51" s="437"/>
      <c r="S51" s="107"/>
      <c r="T51" s="179"/>
      <c r="U51" s="178"/>
      <c r="V51" s="107"/>
      <c r="W51" s="107"/>
      <c r="X51" s="470"/>
      <c r="Y51" s="470"/>
      <c r="Z51" s="471"/>
      <c r="AA51" s="471"/>
      <c r="AB51" s="466"/>
      <c r="AC51" s="350"/>
      <c r="AD51" s="350"/>
      <c r="AE51" s="350"/>
      <c r="AF51" s="350"/>
    </row>
    <row r="52" spans="1:32" s="457" customFormat="1" ht="18" customHeight="1" x14ac:dyDescent="0.2">
      <c r="A52" s="145"/>
      <c r="B52" s="177"/>
      <c r="C52" s="177"/>
      <c r="D52" s="145"/>
      <c r="E52" s="145"/>
      <c r="F52" s="145"/>
      <c r="G52" s="145"/>
      <c r="H52" s="147"/>
      <c r="I52" s="107"/>
      <c r="J52" s="178"/>
      <c r="K52" s="107"/>
      <c r="L52" s="145"/>
      <c r="M52" s="145"/>
      <c r="N52" s="145"/>
      <c r="O52" s="145"/>
      <c r="P52" s="147"/>
      <c r="Q52" s="148"/>
      <c r="R52" s="437"/>
      <c r="S52" s="107"/>
      <c r="T52" s="179"/>
      <c r="U52" s="178"/>
      <c r="V52" s="107"/>
      <c r="W52" s="107"/>
      <c r="X52" s="470"/>
      <c r="Y52" s="470"/>
      <c r="Z52" s="471"/>
      <c r="AA52" s="471"/>
      <c r="AB52" s="466"/>
      <c r="AC52" s="350"/>
      <c r="AD52" s="350"/>
      <c r="AE52" s="350"/>
      <c r="AF52" s="350"/>
    </row>
    <row r="53" spans="1:32" s="457" customFormat="1" ht="18" customHeight="1" x14ac:dyDescent="0.2">
      <c r="A53" s="145"/>
      <c r="B53" s="177"/>
      <c r="C53" s="177"/>
      <c r="D53" s="145"/>
      <c r="E53" s="145"/>
      <c r="F53" s="145"/>
      <c r="G53" s="145"/>
      <c r="H53" s="147"/>
      <c r="I53" s="107"/>
      <c r="J53" s="178"/>
      <c r="K53" s="107"/>
      <c r="L53" s="145"/>
      <c r="M53" s="145"/>
      <c r="N53" s="145"/>
      <c r="O53" s="145"/>
      <c r="P53" s="147"/>
      <c r="Q53" s="148"/>
      <c r="R53" s="437"/>
      <c r="S53" s="107"/>
      <c r="T53" s="179"/>
      <c r="U53" s="178"/>
      <c r="V53" s="107"/>
      <c r="W53" s="107"/>
      <c r="X53" s="470"/>
      <c r="Y53" s="470"/>
      <c r="Z53" s="471"/>
      <c r="AA53" s="471"/>
      <c r="AB53" s="466"/>
      <c r="AC53" s="350"/>
      <c r="AD53" s="350"/>
      <c r="AE53" s="350"/>
      <c r="AF53" s="350"/>
    </row>
    <row r="54" spans="1:32" s="457" customFormat="1" ht="18" customHeight="1" x14ac:dyDescent="0.2">
      <c r="A54" s="145"/>
      <c r="B54" s="177"/>
      <c r="C54" s="177"/>
      <c r="D54" s="145"/>
      <c r="E54" s="145"/>
      <c r="F54" s="145"/>
      <c r="G54" s="145"/>
      <c r="H54" s="147"/>
      <c r="I54" s="107"/>
      <c r="J54" s="178"/>
      <c r="K54" s="107"/>
      <c r="L54" s="145"/>
      <c r="M54" s="145"/>
      <c r="N54" s="145"/>
      <c r="O54" s="145"/>
      <c r="P54" s="147"/>
      <c r="Q54" s="148"/>
      <c r="R54" s="437"/>
      <c r="S54" s="107"/>
      <c r="T54" s="179"/>
      <c r="U54" s="178"/>
      <c r="V54" s="107"/>
      <c r="W54" s="107"/>
      <c r="X54" s="470"/>
      <c r="Y54" s="470"/>
      <c r="Z54" s="471"/>
      <c r="AA54" s="471"/>
      <c r="AB54" s="466"/>
      <c r="AC54" s="350"/>
      <c r="AD54" s="350"/>
      <c r="AE54" s="350"/>
      <c r="AF54" s="350"/>
    </row>
    <row r="55" spans="1:32" s="457" customFormat="1" ht="18" customHeight="1" x14ac:dyDescent="0.2">
      <c r="A55" s="183"/>
      <c r="B55" s="183"/>
      <c r="C55" s="183"/>
      <c r="D55" s="183"/>
      <c r="E55" s="183"/>
      <c r="F55" s="183"/>
      <c r="G55" s="183"/>
      <c r="H55" s="184"/>
      <c r="I55" s="185"/>
      <c r="J55" s="186"/>
      <c r="K55" s="185"/>
      <c r="L55" s="185"/>
      <c r="M55" s="185"/>
      <c r="N55" s="185"/>
      <c r="O55" s="185"/>
      <c r="P55" s="185"/>
      <c r="Q55" s="185"/>
      <c r="R55" s="438"/>
      <c r="S55" s="185"/>
      <c r="T55" s="187"/>
      <c r="U55" s="186"/>
      <c r="V55" s="185"/>
      <c r="W55" s="185"/>
      <c r="X55" s="474"/>
      <c r="Y55" s="474"/>
      <c r="Z55" s="475"/>
      <c r="AA55" s="475"/>
      <c r="AB55" s="1847">
        <f>SUM(AB40:AB54)</f>
        <v>286.17592800000006</v>
      </c>
      <c r="AC55" s="349"/>
      <c r="AD55" s="349"/>
      <c r="AE55" s="349"/>
      <c r="AF55" s="349"/>
    </row>
    <row r="56" spans="1:32" s="457" customFormat="1" ht="18" customHeight="1" x14ac:dyDescent="0.2">
      <c r="A56" s="2737" t="s">
        <v>76</v>
      </c>
      <c r="B56" s="2737"/>
      <c r="C56" s="2738" t="s">
        <v>77</v>
      </c>
      <c r="D56" s="2738"/>
      <c r="E56" s="2738"/>
      <c r="F56" s="2738"/>
      <c r="G56" s="2738"/>
      <c r="H56" s="2738"/>
      <c r="I56" s="457" t="s">
        <v>78</v>
      </c>
      <c r="AB56" s="478"/>
    </row>
    <row r="57" spans="1:32" s="457" customFormat="1" ht="18" customHeight="1" x14ac:dyDescent="0.2">
      <c r="B57" s="479"/>
      <c r="I57" s="457" t="s">
        <v>79</v>
      </c>
      <c r="AB57" s="478"/>
    </row>
    <row r="58" spans="1:32" s="457" customFormat="1" ht="18" customHeight="1" x14ac:dyDescent="0.2">
      <c r="B58" s="479"/>
      <c r="I58" s="457" t="s">
        <v>80</v>
      </c>
      <c r="AB58" s="478"/>
    </row>
    <row r="59" spans="1:32" s="457" customFormat="1" ht="18" customHeight="1" x14ac:dyDescent="0.2">
      <c r="B59" s="479"/>
      <c r="I59" s="457" t="s">
        <v>81</v>
      </c>
      <c r="AB59" s="478"/>
    </row>
    <row r="60" spans="1:32" s="457" customFormat="1" ht="18" customHeight="1" x14ac:dyDescent="0.2">
      <c r="B60" s="479"/>
      <c r="I60" s="457" t="s">
        <v>88</v>
      </c>
      <c r="AB60" s="478"/>
    </row>
    <row r="61" spans="1:32" s="457" customFormat="1" ht="18" customHeight="1" x14ac:dyDescent="0.2">
      <c r="A61" s="455"/>
      <c r="B61" s="455"/>
      <c r="C61" s="455"/>
      <c r="D61" s="455"/>
      <c r="E61" s="455"/>
      <c r="F61" s="455"/>
      <c r="G61" s="455"/>
      <c r="H61" s="455"/>
      <c r="I61" s="455"/>
      <c r="J61" s="455"/>
      <c r="K61" s="455"/>
      <c r="L61" s="455"/>
      <c r="M61" s="455"/>
      <c r="N61" s="455"/>
      <c r="O61" s="455"/>
      <c r="P61" s="455"/>
      <c r="Q61" s="455"/>
      <c r="R61" s="455"/>
      <c r="S61" s="455"/>
      <c r="T61" s="455"/>
      <c r="U61" s="455"/>
      <c r="V61" s="455"/>
      <c r="W61" s="455"/>
      <c r="X61" s="455"/>
      <c r="Y61" s="455"/>
      <c r="Z61" s="455"/>
      <c r="AA61" s="2705" t="s">
        <v>0</v>
      </c>
      <c r="AB61" s="2705"/>
      <c r="AC61" s="455"/>
      <c r="AD61" s="455"/>
      <c r="AE61" s="455"/>
      <c r="AF61" s="455"/>
    </row>
    <row r="62" spans="1:32" s="457" customFormat="1" ht="18" customHeight="1" x14ac:dyDescent="0.2">
      <c r="A62" s="2706" t="s">
        <v>1</v>
      </c>
      <c r="B62" s="2706"/>
      <c r="C62" s="2706"/>
      <c r="D62" s="2706"/>
      <c r="E62" s="2706"/>
      <c r="F62" s="2706"/>
      <c r="G62" s="2706"/>
      <c r="H62" s="2706"/>
      <c r="I62" s="2706"/>
      <c r="J62" s="2706"/>
      <c r="K62" s="2706"/>
      <c r="L62" s="2706"/>
      <c r="M62" s="2706"/>
      <c r="N62" s="2706"/>
      <c r="O62" s="2706"/>
      <c r="P62" s="2706"/>
      <c r="Q62" s="2706"/>
      <c r="R62" s="2706"/>
      <c r="S62" s="2706"/>
      <c r="T62" s="2706"/>
      <c r="U62" s="2706"/>
      <c r="V62" s="2706"/>
      <c r="W62" s="2706"/>
      <c r="X62" s="2706"/>
      <c r="Y62" s="2706"/>
      <c r="Z62" s="2706"/>
      <c r="AA62" s="2706"/>
      <c r="AB62" s="2706"/>
      <c r="AC62" s="610"/>
      <c r="AD62" s="610"/>
      <c r="AE62" s="610"/>
      <c r="AF62" s="610"/>
    </row>
    <row r="63" spans="1:32" s="457" customFormat="1" ht="18" customHeight="1" x14ac:dyDescent="0.2">
      <c r="A63" s="2704" t="s">
        <v>369</v>
      </c>
      <c r="B63" s="2704"/>
      <c r="C63" s="2704"/>
      <c r="D63" s="2704"/>
      <c r="E63" s="2704"/>
      <c r="F63" s="2704"/>
      <c r="G63" s="2704"/>
      <c r="H63" s="2704"/>
      <c r="I63" s="2704"/>
      <c r="J63" s="2704"/>
      <c r="K63" s="2704"/>
      <c r="L63" s="2704"/>
      <c r="M63" s="2704"/>
      <c r="N63" s="2704"/>
      <c r="O63" s="2704"/>
      <c r="P63" s="2704"/>
      <c r="Q63" s="2704"/>
      <c r="R63" s="2704"/>
      <c r="S63" s="2704"/>
      <c r="T63" s="2704"/>
      <c r="U63" s="2704"/>
      <c r="V63" s="2704"/>
      <c r="W63" s="2704"/>
      <c r="X63" s="2704"/>
      <c r="Y63" s="2704"/>
      <c r="Z63" s="2704"/>
      <c r="AA63" s="2704"/>
      <c r="AB63" s="2704"/>
      <c r="AC63" s="611"/>
      <c r="AD63" s="611"/>
      <c r="AE63" s="611"/>
      <c r="AF63" s="611"/>
    </row>
    <row r="64" spans="1:32" s="457" customFormat="1" ht="18" customHeight="1" x14ac:dyDescent="0.2">
      <c r="A64" s="2686" t="s">
        <v>2</v>
      </c>
      <c r="B64" s="360"/>
      <c r="C64" s="2686" t="s">
        <v>3</v>
      </c>
      <c r="D64" s="360"/>
      <c r="E64" s="360"/>
      <c r="F64" s="2693" t="s">
        <v>4</v>
      </c>
      <c r="G64" s="2693"/>
      <c r="H64" s="2693"/>
      <c r="I64" s="2694"/>
      <c r="J64" s="2694"/>
      <c r="K64" s="2695"/>
      <c r="L64" s="361"/>
      <c r="M64" s="2679" t="s">
        <v>5</v>
      </c>
      <c r="N64" s="2679"/>
      <c r="O64" s="2679"/>
      <c r="P64" s="2679"/>
      <c r="Q64" s="2696"/>
      <c r="R64" s="2696"/>
      <c r="S64" s="2696"/>
      <c r="T64" s="2696"/>
      <c r="U64" s="2696"/>
      <c r="V64" s="2697"/>
      <c r="W64" s="362" t="s">
        <v>6</v>
      </c>
      <c r="X64" s="363" t="s">
        <v>7</v>
      </c>
      <c r="Y64" s="364"/>
      <c r="Z64" s="364"/>
      <c r="AA64" s="363"/>
      <c r="AB64" s="458"/>
      <c r="AC64" s="612" t="s">
        <v>8</v>
      </c>
      <c r="AD64" s="613"/>
      <c r="AE64" s="613"/>
      <c r="AF64" s="614"/>
    </row>
    <row r="65" spans="1:32" s="457" customFormat="1" ht="18" customHeight="1" x14ac:dyDescent="0.2">
      <c r="A65" s="2687"/>
      <c r="B65" s="367"/>
      <c r="C65" s="2687"/>
      <c r="D65" s="366" t="s">
        <v>9</v>
      </c>
      <c r="E65" s="366" t="s">
        <v>10</v>
      </c>
      <c r="F65" s="2698" t="s">
        <v>11</v>
      </c>
      <c r="G65" s="2694"/>
      <c r="H65" s="2695"/>
      <c r="I65" s="360"/>
      <c r="J65" s="449" t="s">
        <v>12</v>
      </c>
      <c r="K65" s="360"/>
      <c r="L65" s="2679" t="s">
        <v>2</v>
      </c>
      <c r="M65" s="370"/>
      <c r="N65" s="370"/>
      <c r="O65" s="370"/>
      <c r="P65" s="371"/>
      <c r="Q65" s="459" t="s">
        <v>13</v>
      </c>
      <c r="R65" s="370" t="s">
        <v>12</v>
      </c>
      <c r="S65" s="370" t="s">
        <v>6</v>
      </c>
      <c r="T65" s="2682" t="s">
        <v>14</v>
      </c>
      <c r="U65" s="2683"/>
      <c r="V65" s="375" t="s">
        <v>7</v>
      </c>
      <c r="W65" s="376" t="s">
        <v>15</v>
      </c>
      <c r="X65" s="377" t="s">
        <v>16</v>
      </c>
      <c r="Y65" s="377" t="s">
        <v>17</v>
      </c>
      <c r="Z65" s="377" t="s">
        <v>18</v>
      </c>
      <c r="AA65" s="377"/>
      <c r="AB65" s="460" t="s">
        <v>19</v>
      </c>
      <c r="AC65" s="615" t="s">
        <v>20</v>
      </c>
      <c r="AD65" s="616"/>
      <c r="AE65" s="617" t="s">
        <v>21</v>
      </c>
      <c r="AF65" s="618" t="s">
        <v>22</v>
      </c>
    </row>
    <row r="66" spans="1:32" s="457" customFormat="1" ht="18" customHeight="1" x14ac:dyDescent="0.2">
      <c r="A66" s="2687"/>
      <c r="B66" s="366" t="s">
        <v>23</v>
      </c>
      <c r="C66" s="2687"/>
      <c r="D66" s="366" t="s">
        <v>24</v>
      </c>
      <c r="E66" s="366" t="s">
        <v>25</v>
      </c>
      <c r="F66" s="2699"/>
      <c r="G66" s="2700"/>
      <c r="H66" s="2701"/>
      <c r="I66" s="366" t="s">
        <v>26</v>
      </c>
      <c r="J66" s="380" t="s">
        <v>15</v>
      </c>
      <c r="K66" s="380" t="s">
        <v>6</v>
      </c>
      <c r="L66" s="2680"/>
      <c r="M66" s="381" t="s">
        <v>27</v>
      </c>
      <c r="N66" s="381" t="s">
        <v>10</v>
      </c>
      <c r="O66" s="381" t="s">
        <v>10</v>
      </c>
      <c r="P66" s="385" t="s">
        <v>28</v>
      </c>
      <c r="Q66" s="461" t="s">
        <v>29</v>
      </c>
      <c r="R66" s="385" t="s">
        <v>15</v>
      </c>
      <c r="S66" s="385" t="s">
        <v>15</v>
      </c>
      <c r="T66" s="2684"/>
      <c r="U66" s="2685"/>
      <c r="V66" s="375" t="s">
        <v>30</v>
      </c>
      <c r="W66" s="376" t="s">
        <v>31</v>
      </c>
      <c r="X66" s="377" t="s">
        <v>30</v>
      </c>
      <c r="Y66" s="377" t="s">
        <v>32</v>
      </c>
      <c r="Z66" s="377" t="s">
        <v>7</v>
      </c>
      <c r="AA66" s="377" t="s">
        <v>33</v>
      </c>
      <c r="AB66" s="460" t="s">
        <v>34</v>
      </c>
      <c r="AC66" s="615" t="s">
        <v>35</v>
      </c>
      <c r="AD66" s="617" t="s">
        <v>36</v>
      </c>
      <c r="AE66" s="617" t="s">
        <v>37</v>
      </c>
      <c r="AF66" s="618" t="s">
        <v>38</v>
      </c>
    </row>
    <row r="67" spans="1:32" s="457" customFormat="1" ht="18" customHeight="1" x14ac:dyDescent="0.2">
      <c r="A67" s="2687"/>
      <c r="B67" s="366" t="s">
        <v>39</v>
      </c>
      <c r="C67" s="2687"/>
      <c r="D67" s="366" t="s">
        <v>40</v>
      </c>
      <c r="E67" s="366" t="s">
        <v>41</v>
      </c>
      <c r="F67" s="2686" t="s">
        <v>42</v>
      </c>
      <c r="G67" s="2686" t="s">
        <v>43</v>
      </c>
      <c r="H67" s="2688" t="s">
        <v>44</v>
      </c>
      <c r="I67" s="366" t="s">
        <v>45</v>
      </c>
      <c r="J67" s="380" t="s">
        <v>46</v>
      </c>
      <c r="K67" s="380" t="s">
        <v>47</v>
      </c>
      <c r="L67" s="2680"/>
      <c r="M67" s="381" t="s">
        <v>30</v>
      </c>
      <c r="N67" s="381" t="s">
        <v>30</v>
      </c>
      <c r="O67" s="381" t="s">
        <v>25</v>
      </c>
      <c r="P67" s="385" t="s">
        <v>30</v>
      </c>
      <c r="Q67" s="461" t="s">
        <v>48</v>
      </c>
      <c r="R67" s="385" t="s">
        <v>49</v>
      </c>
      <c r="S67" s="385" t="s">
        <v>30</v>
      </c>
      <c r="T67" s="374" t="s">
        <v>50</v>
      </c>
      <c r="U67" s="374" t="s">
        <v>13</v>
      </c>
      <c r="V67" s="375" t="s">
        <v>51</v>
      </c>
      <c r="W67" s="376" t="s">
        <v>52</v>
      </c>
      <c r="X67" s="377" t="s">
        <v>53</v>
      </c>
      <c r="Y67" s="377" t="s">
        <v>54</v>
      </c>
      <c r="Z67" s="377" t="s">
        <v>55</v>
      </c>
      <c r="AA67" s="377" t="s">
        <v>56</v>
      </c>
      <c r="AB67" s="460" t="s">
        <v>57</v>
      </c>
      <c r="AC67" s="617" t="s">
        <v>58</v>
      </c>
      <c r="AD67" s="617" t="s">
        <v>59</v>
      </c>
      <c r="AE67" s="617" t="s">
        <v>59</v>
      </c>
      <c r="AF67" s="618" t="s">
        <v>60</v>
      </c>
    </row>
    <row r="68" spans="1:32" s="457" customFormat="1" ht="18" customHeight="1" x14ac:dyDescent="0.2">
      <c r="A68" s="2687"/>
      <c r="B68" s="366" t="s">
        <v>61</v>
      </c>
      <c r="C68" s="2687"/>
      <c r="D68" s="366" t="s">
        <v>62</v>
      </c>
      <c r="E68" s="366" t="s">
        <v>63</v>
      </c>
      <c r="F68" s="2687"/>
      <c r="G68" s="2687"/>
      <c r="H68" s="2689"/>
      <c r="I68" s="366" t="s">
        <v>64</v>
      </c>
      <c r="J68" s="380" t="s">
        <v>59</v>
      </c>
      <c r="K68" s="380" t="s">
        <v>59</v>
      </c>
      <c r="L68" s="2680"/>
      <c r="M68" s="381"/>
      <c r="N68" s="381"/>
      <c r="O68" s="381" t="s">
        <v>41</v>
      </c>
      <c r="P68" s="385" t="s">
        <v>65</v>
      </c>
      <c r="Q68" s="461" t="s">
        <v>66</v>
      </c>
      <c r="R68" s="385" t="s">
        <v>67</v>
      </c>
      <c r="S68" s="385" t="s">
        <v>59</v>
      </c>
      <c r="T68" s="375" t="s">
        <v>68</v>
      </c>
      <c r="U68" s="375" t="s">
        <v>14</v>
      </c>
      <c r="V68" s="375" t="s">
        <v>14</v>
      </c>
      <c r="W68" s="376" t="s">
        <v>30</v>
      </c>
      <c r="X68" s="388" t="s">
        <v>69</v>
      </c>
      <c r="Y68" s="388" t="s">
        <v>70</v>
      </c>
      <c r="Z68" s="377" t="s">
        <v>71</v>
      </c>
      <c r="AA68" s="377" t="s">
        <v>72</v>
      </c>
      <c r="AB68" s="460" t="s">
        <v>59</v>
      </c>
      <c r="AC68" s="617" t="s">
        <v>59</v>
      </c>
      <c r="AD68" s="617"/>
      <c r="AE68" s="617"/>
      <c r="AF68" s="618" t="s">
        <v>59</v>
      </c>
    </row>
    <row r="69" spans="1:32" s="457" customFormat="1" ht="18" customHeight="1" x14ac:dyDescent="0.2">
      <c r="A69" s="2692"/>
      <c r="B69" s="390"/>
      <c r="C69" s="2692"/>
      <c r="D69" s="390"/>
      <c r="E69" s="389"/>
      <c r="F69" s="390"/>
      <c r="G69" s="390"/>
      <c r="H69" s="391"/>
      <c r="I69" s="389"/>
      <c r="J69" s="393"/>
      <c r="K69" s="393"/>
      <c r="L69" s="2681"/>
      <c r="M69" s="394"/>
      <c r="N69" s="394"/>
      <c r="O69" s="394" t="s">
        <v>63</v>
      </c>
      <c r="P69" s="394"/>
      <c r="Q69" s="450" t="s">
        <v>72</v>
      </c>
      <c r="R69" s="398" t="s">
        <v>59</v>
      </c>
      <c r="S69" s="398"/>
      <c r="T69" s="398" t="s">
        <v>73</v>
      </c>
      <c r="U69" s="398" t="s">
        <v>59</v>
      </c>
      <c r="V69" s="399" t="s">
        <v>59</v>
      </c>
      <c r="W69" s="400" t="s">
        <v>59</v>
      </c>
      <c r="X69" s="401" t="s">
        <v>59</v>
      </c>
      <c r="Y69" s="401" t="s">
        <v>59</v>
      </c>
      <c r="Z69" s="401" t="s">
        <v>59</v>
      </c>
      <c r="AA69" s="402"/>
      <c r="AB69" s="462"/>
      <c r="AC69" s="625"/>
      <c r="AD69" s="625"/>
      <c r="AE69" s="625"/>
      <c r="AF69" s="626"/>
    </row>
    <row r="70" spans="1:32" s="457" customFormat="1" ht="18" customHeight="1" x14ac:dyDescent="0.25">
      <c r="A70" s="53">
        <v>1</v>
      </c>
      <c r="B70" s="333">
        <v>43526</v>
      </c>
      <c r="C70" s="41">
        <v>1313</v>
      </c>
      <c r="D70" s="41" t="s">
        <v>86</v>
      </c>
      <c r="E70" s="41">
        <v>2</v>
      </c>
      <c r="F70" s="41">
        <v>0</v>
      </c>
      <c r="G70" s="41">
        <v>1</v>
      </c>
      <c r="H70" s="267">
        <v>97</v>
      </c>
      <c r="I70" s="77">
        <f t="shared" ref="I70" si="11">F70*400+G70*100+H70</f>
        <v>197</v>
      </c>
      <c r="J70" s="667">
        <v>2300</v>
      </c>
      <c r="K70" s="297">
        <f>I70*J70</f>
        <v>453100</v>
      </c>
      <c r="L70" s="45">
        <v>1</v>
      </c>
      <c r="M70" s="82">
        <v>401</v>
      </c>
      <c r="N70" s="41" t="s">
        <v>74</v>
      </c>
      <c r="O70" s="16">
        <v>2</v>
      </c>
      <c r="P70" s="41">
        <v>67.356799999999993</v>
      </c>
      <c r="Q70" s="62" t="s">
        <v>75</v>
      </c>
      <c r="R70" s="672">
        <v>8000</v>
      </c>
      <c r="S70" s="47">
        <f t="shared" ref="S70:S72" si="12">+P70*R70</f>
        <v>538854.39999999991</v>
      </c>
      <c r="T70" s="1501">
        <v>9</v>
      </c>
      <c r="U70" s="1670">
        <f>+S70*0.09</f>
        <v>48496.895999999993</v>
      </c>
      <c r="V70" s="18">
        <f t="shared" ref="V70:V72" si="13">+S70-U70</f>
        <v>490357.5039999999</v>
      </c>
      <c r="W70" s="18">
        <f t="shared" ref="W70:W72" si="14">K70+V70</f>
        <v>943457.50399999996</v>
      </c>
      <c r="X70" s="47">
        <f t="shared" ref="X70:X72" si="15">W70</f>
        <v>943457.50399999996</v>
      </c>
      <c r="Y70" s="296">
        <v>0</v>
      </c>
      <c r="Z70" s="18">
        <f>+X70</f>
        <v>943457.50399999996</v>
      </c>
      <c r="AA70" s="494">
        <v>0.02</v>
      </c>
      <c r="AB70" s="406">
        <f>+Z70*AA70/100</f>
        <v>188.6915008</v>
      </c>
      <c r="AC70" s="602"/>
      <c r="AD70" s="603">
        <f>AB70-AC70</f>
        <v>188.6915008</v>
      </c>
      <c r="AE70" s="603">
        <f>IF(AD70&lt;=0,0,AD70*25/100)</f>
        <v>47.1728752</v>
      </c>
      <c r="AF70" s="603">
        <f>IF(AC70+AE70&gt;AB70,AB70,AC70+AE70)</f>
        <v>47.1728752</v>
      </c>
    </row>
    <row r="71" spans="1:32" s="457" customFormat="1" ht="18" customHeight="1" x14ac:dyDescent="0.2">
      <c r="A71" s="241"/>
      <c r="B71" s="15"/>
      <c r="C71" s="15"/>
      <c r="D71" s="15"/>
      <c r="E71" s="15"/>
      <c r="F71" s="15"/>
      <c r="G71" s="15"/>
      <c r="H71" s="284"/>
      <c r="I71" s="296"/>
      <c r="J71" s="759"/>
      <c r="K71" s="297"/>
      <c r="L71" s="45">
        <v>2</v>
      </c>
      <c r="M71" s="145">
        <v>401</v>
      </c>
      <c r="N71" s="15" t="s">
        <v>74</v>
      </c>
      <c r="O71" s="50">
        <v>3</v>
      </c>
      <c r="P71" s="15">
        <v>150.85839999999999</v>
      </c>
      <c r="Q71" s="62" t="s">
        <v>75</v>
      </c>
      <c r="R71" s="672">
        <v>8000</v>
      </c>
      <c r="S71" s="47">
        <f t="shared" si="12"/>
        <v>1206867.2</v>
      </c>
      <c r="T71" s="1501">
        <v>24</v>
      </c>
      <c r="U71" s="1670">
        <f>+S71*0.38</f>
        <v>458609.53599999996</v>
      </c>
      <c r="V71" s="18">
        <f t="shared" si="13"/>
        <v>748257.66399999999</v>
      </c>
      <c r="W71" s="18">
        <f t="shared" si="14"/>
        <v>748257.66399999999</v>
      </c>
      <c r="X71" s="47">
        <f t="shared" si="15"/>
        <v>748257.66399999999</v>
      </c>
      <c r="Y71" s="296">
        <v>0</v>
      </c>
      <c r="Z71" s="18">
        <f t="shared" ref="Z71:Z72" si="16">+X71</f>
        <v>748257.66399999999</v>
      </c>
      <c r="AA71" s="494">
        <v>0.3</v>
      </c>
      <c r="AB71" s="415">
        <f>+Z71*AA71/100</f>
        <v>2244.7729919999997</v>
      </c>
      <c r="AC71" s="602"/>
      <c r="AD71" s="603">
        <f>AB71-AC71</f>
        <v>2244.7729919999997</v>
      </c>
      <c r="AE71" s="603">
        <f>IF(AD71&lt;=0,0,AD71*25/100)</f>
        <v>561.19324799999993</v>
      </c>
      <c r="AF71" s="603">
        <f>IF(AC71+AE71&gt;AB71,AB71,AC71+AE71)</f>
        <v>561.19324799999993</v>
      </c>
    </row>
    <row r="72" spans="1:32" s="457" customFormat="1" ht="18" customHeight="1" x14ac:dyDescent="0.25">
      <c r="A72" s="242"/>
      <c r="B72" s="269"/>
      <c r="C72" s="285"/>
      <c r="D72" s="273"/>
      <c r="E72" s="273"/>
      <c r="F72" s="268"/>
      <c r="G72" s="269"/>
      <c r="H72" s="266"/>
      <c r="I72" s="296"/>
      <c r="J72" s="324"/>
      <c r="K72" s="330"/>
      <c r="L72" s="269">
        <v>3</v>
      </c>
      <c r="M72" s="145">
        <v>401</v>
      </c>
      <c r="N72" s="15" t="s">
        <v>74</v>
      </c>
      <c r="O72" s="50">
        <v>2</v>
      </c>
      <c r="P72" s="15">
        <v>103.2756</v>
      </c>
      <c r="Q72" s="62" t="s">
        <v>75</v>
      </c>
      <c r="R72" s="672">
        <v>8000</v>
      </c>
      <c r="S72" s="47">
        <f t="shared" si="12"/>
        <v>826204.79999999993</v>
      </c>
      <c r="T72" s="1501">
        <v>9</v>
      </c>
      <c r="U72" s="1670">
        <f t="shared" ref="U72" si="17">+S72*0.09</f>
        <v>74358.431999999986</v>
      </c>
      <c r="V72" s="18">
        <f t="shared" si="13"/>
        <v>751846.3679999999</v>
      </c>
      <c r="W72" s="18">
        <f t="shared" si="14"/>
        <v>751846.3679999999</v>
      </c>
      <c r="X72" s="47">
        <f t="shared" si="15"/>
        <v>751846.3679999999</v>
      </c>
      <c r="Y72" s="296">
        <v>0</v>
      </c>
      <c r="Z72" s="18">
        <f t="shared" si="16"/>
        <v>751846.3679999999</v>
      </c>
      <c r="AA72" s="494">
        <v>0.02</v>
      </c>
      <c r="AB72" s="415">
        <f>+Z72*AA72/100</f>
        <v>150.36927359999999</v>
      </c>
      <c r="AC72" s="350"/>
      <c r="AD72" s="350"/>
      <c r="AE72" s="350"/>
      <c r="AF72" s="350"/>
    </row>
    <row r="73" spans="1:32" s="457" customFormat="1" ht="18" customHeight="1" x14ac:dyDescent="0.2">
      <c r="A73" s="145"/>
      <c r="B73" s="177"/>
      <c r="C73" s="177"/>
      <c r="D73" s="145"/>
      <c r="E73" s="145"/>
      <c r="F73" s="145"/>
      <c r="G73" s="145"/>
      <c r="H73" s="147"/>
      <c r="I73" s="107"/>
      <c r="J73" s="178"/>
      <c r="K73" s="107"/>
      <c r="L73" s="145"/>
      <c r="M73" s="145"/>
      <c r="N73" s="145"/>
      <c r="O73" s="145"/>
      <c r="P73" s="147"/>
      <c r="Q73" s="148"/>
      <c r="R73" s="437"/>
      <c r="S73" s="107"/>
      <c r="T73" s="179"/>
      <c r="U73" s="178"/>
      <c r="V73" s="107"/>
      <c r="W73" s="107"/>
      <c r="X73" s="470"/>
      <c r="Y73" s="470"/>
      <c r="Z73" s="471"/>
      <c r="AA73" s="471"/>
      <c r="AB73" s="410"/>
      <c r="AC73" s="350"/>
      <c r="AD73" s="350"/>
      <c r="AE73" s="350"/>
      <c r="AF73" s="350"/>
    </row>
    <row r="74" spans="1:32" s="457" customFormat="1" ht="18" customHeight="1" x14ac:dyDescent="0.2">
      <c r="A74" s="145"/>
      <c r="B74" s="177"/>
      <c r="C74" s="177"/>
      <c r="D74" s="145"/>
      <c r="E74" s="145"/>
      <c r="F74" s="145"/>
      <c r="G74" s="145"/>
      <c r="H74" s="147"/>
      <c r="I74" s="107"/>
      <c r="J74" s="178"/>
      <c r="K74" s="107"/>
      <c r="L74" s="145"/>
      <c r="M74" s="145"/>
      <c r="N74" s="145"/>
      <c r="O74" s="145"/>
      <c r="P74" s="147"/>
      <c r="Q74" s="148"/>
      <c r="R74" s="437"/>
      <c r="S74" s="107"/>
      <c r="T74" s="179"/>
      <c r="U74" s="178"/>
      <c r="V74" s="107"/>
      <c r="W74" s="107"/>
      <c r="X74" s="470"/>
      <c r="Y74" s="470"/>
      <c r="Z74" s="471"/>
      <c r="AA74" s="471"/>
      <c r="AB74" s="466"/>
      <c r="AC74" s="350"/>
      <c r="AD74" s="350"/>
      <c r="AE74" s="350"/>
      <c r="AF74" s="350"/>
    </row>
    <row r="75" spans="1:32" s="457" customFormat="1" ht="18" customHeight="1" x14ac:dyDescent="0.2">
      <c r="A75" s="145"/>
      <c r="B75" s="177"/>
      <c r="C75" s="177"/>
      <c r="D75" s="145"/>
      <c r="E75" s="145"/>
      <c r="F75" s="145"/>
      <c r="G75" s="145"/>
      <c r="H75" s="147"/>
      <c r="I75" s="107"/>
      <c r="J75" s="178"/>
      <c r="K75" s="107"/>
      <c r="L75" s="145"/>
      <c r="M75" s="145"/>
      <c r="N75" s="145"/>
      <c r="O75" s="145"/>
      <c r="P75" s="147"/>
      <c r="Q75" s="148"/>
      <c r="R75" s="437"/>
      <c r="S75" s="107"/>
      <c r="T75" s="179"/>
      <c r="U75" s="178"/>
      <c r="V75" s="107"/>
      <c r="W75" s="107"/>
      <c r="X75" s="470"/>
      <c r="Y75" s="470"/>
      <c r="Z75" s="471"/>
      <c r="AA75" s="471"/>
      <c r="AB75" s="466"/>
      <c r="AC75" s="350"/>
      <c r="AD75" s="350"/>
      <c r="AE75" s="350"/>
      <c r="AF75" s="350"/>
    </row>
    <row r="76" spans="1:32" s="457" customFormat="1" ht="18" customHeight="1" x14ac:dyDescent="0.2">
      <c r="A76" s="145"/>
      <c r="B76" s="177"/>
      <c r="C76" s="177"/>
      <c r="D76" s="145"/>
      <c r="E76" s="145"/>
      <c r="F76" s="145"/>
      <c r="G76" s="145"/>
      <c r="H76" s="147"/>
      <c r="I76" s="107"/>
      <c r="J76" s="178"/>
      <c r="K76" s="107"/>
      <c r="L76" s="145"/>
      <c r="M76" s="145"/>
      <c r="N76" s="145"/>
      <c r="O76" s="145"/>
      <c r="P76" s="147"/>
      <c r="Q76" s="148"/>
      <c r="R76" s="437"/>
      <c r="S76" s="107"/>
      <c r="T76" s="179"/>
      <c r="U76" s="178"/>
      <c r="V76" s="107"/>
      <c r="W76" s="107"/>
      <c r="X76" s="470"/>
      <c r="Y76" s="470"/>
      <c r="Z76" s="471"/>
      <c r="AA76" s="471"/>
      <c r="AB76" s="466"/>
      <c r="AC76" s="350"/>
      <c r="AD76" s="350"/>
      <c r="AE76" s="350"/>
      <c r="AF76" s="350"/>
    </row>
    <row r="77" spans="1:32" s="457" customFormat="1" ht="18" customHeight="1" x14ac:dyDescent="0.2">
      <c r="A77" s="145"/>
      <c r="B77" s="177"/>
      <c r="C77" s="177"/>
      <c r="D77" s="145"/>
      <c r="E77" s="145"/>
      <c r="F77" s="145"/>
      <c r="G77" s="145"/>
      <c r="H77" s="147"/>
      <c r="I77" s="107"/>
      <c r="J77" s="178"/>
      <c r="K77" s="107"/>
      <c r="L77" s="145"/>
      <c r="M77" s="145"/>
      <c r="N77" s="145"/>
      <c r="O77" s="145"/>
      <c r="P77" s="147"/>
      <c r="Q77" s="148"/>
      <c r="R77" s="437"/>
      <c r="S77" s="107"/>
      <c r="T77" s="179"/>
      <c r="U77" s="178"/>
      <c r="V77" s="107"/>
      <c r="W77" s="107"/>
      <c r="X77" s="470"/>
      <c r="Y77" s="470"/>
      <c r="Z77" s="471"/>
      <c r="AA77" s="471"/>
      <c r="AB77" s="466"/>
      <c r="AC77" s="350"/>
      <c r="AD77" s="350"/>
      <c r="AE77" s="350"/>
      <c r="AF77" s="350"/>
    </row>
    <row r="78" spans="1:32" s="457" customFormat="1" ht="18" customHeight="1" x14ac:dyDescent="0.2">
      <c r="A78" s="145"/>
      <c r="B78" s="177"/>
      <c r="C78" s="177"/>
      <c r="D78" s="145"/>
      <c r="E78" s="145"/>
      <c r="F78" s="145"/>
      <c r="G78" s="145"/>
      <c r="H78" s="147"/>
      <c r="I78" s="107"/>
      <c r="J78" s="178"/>
      <c r="K78" s="107"/>
      <c r="L78" s="145"/>
      <c r="M78" s="145"/>
      <c r="N78" s="145"/>
      <c r="O78" s="145"/>
      <c r="P78" s="147"/>
      <c r="Q78" s="148"/>
      <c r="R78" s="437"/>
      <c r="S78" s="107"/>
      <c r="T78" s="179"/>
      <c r="U78" s="178"/>
      <c r="V78" s="107"/>
      <c r="W78" s="107"/>
      <c r="X78" s="470"/>
      <c r="Y78" s="470"/>
      <c r="Z78" s="471"/>
      <c r="AA78" s="471"/>
      <c r="AB78" s="466"/>
      <c r="AC78" s="350"/>
      <c r="AD78" s="350"/>
      <c r="AE78" s="350"/>
      <c r="AF78" s="350"/>
    </row>
    <row r="79" spans="1:32" s="457" customFormat="1" ht="18" customHeight="1" x14ac:dyDescent="0.2">
      <c r="A79" s="145"/>
      <c r="B79" s="177"/>
      <c r="C79" s="177"/>
      <c r="D79" s="145"/>
      <c r="E79" s="145"/>
      <c r="F79" s="145"/>
      <c r="G79" s="145"/>
      <c r="H79" s="147"/>
      <c r="I79" s="107"/>
      <c r="J79" s="178"/>
      <c r="K79" s="107"/>
      <c r="L79" s="145"/>
      <c r="M79" s="145"/>
      <c r="N79" s="145"/>
      <c r="O79" s="145"/>
      <c r="P79" s="147"/>
      <c r="Q79" s="148"/>
      <c r="R79" s="437"/>
      <c r="S79" s="107"/>
      <c r="T79" s="179"/>
      <c r="U79" s="178"/>
      <c r="V79" s="107"/>
      <c r="W79" s="107"/>
      <c r="X79" s="470"/>
      <c r="Y79" s="470"/>
      <c r="Z79" s="471"/>
      <c r="AA79" s="471"/>
      <c r="AB79" s="466"/>
      <c r="AC79" s="350"/>
      <c r="AD79" s="350"/>
      <c r="AE79" s="350"/>
      <c r="AF79" s="350"/>
    </row>
    <row r="80" spans="1:32" s="457" customFormat="1" ht="18" customHeight="1" x14ac:dyDescent="0.2">
      <c r="A80" s="145"/>
      <c r="B80" s="177"/>
      <c r="C80" s="177"/>
      <c r="D80" s="145"/>
      <c r="E80" s="145"/>
      <c r="F80" s="145"/>
      <c r="G80" s="145"/>
      <c r="H80" s="147"/>
      <c r="I80" s="107"/>
      <c r="J80" s="178"/>
      <c r="K80" s="107"/>
      <c r="L80" s="145"/>
      <c r="M80" s="145"/>
      <c r="N80" s="145"/>
      <c r="O80" s="145"/>
      <c r="P80" s="147"/>
      <c r="Q80" s="148"/>
      <c r="R80" s="437"/>
      <c r="S80" s="107"/>
      <c r="T80" s="179"/>
      <c r="U80" s="178"/>
      <c r="V80" s="107"/>
      <c r="W80" s="107"/>
      <c r="X80" s="470"/>
      <c r="Y80" s="470"/>
      <c r="Z80" s="471"/>
      <c r="AA80" s="471"/>
      <c r="AB80" s="466"/>
      <c r="AC80" s="350"/>
      <c r="AD80" s="350"/>
      <c r="AE80" s="350"/>
      <c r="AF80" s="350"/>
    </row>
    <row r="81" spans="1:32" s="457" customFormat="1" ht="18" customHeight="1" x14ac:dyDescent="0.2">
      <c r="A81" s="145"/>
      <c r="B81" s="177"/>
      <c r="C81" s="177"/>
      <c r="D81" s="145"/>
      <c r="E81" s="145"/>
      <c r="F81" s="145"/>
      <c r="G81" s="145"/>
      <c r="H81" s="147"/>
      <c r="I81" s="107"/>
      <c r="J81" s="178"/>
      <c r="K81" s="107"/>
      <c r="L81" s="145"/>
      <c r="M81" s="145"/>
      <c r="N81" s="145"/>
      <c r="O81" s="145"/>
      <c r="P81" s="147"/>
      <c r="Q81" s="148"/>
      <c r="R81" s="437"/>
      <c r="S81" s="107"/>
      <c r="T81" s="179"/>
      <c r="U81" s="178"/>
      <c r="V81" s="107"/>
      <c r="W81" s="107"/>
      <c r="X81" s="470"/>
      <c r="Y81" s="470"/>
      <c r="Z81" s="471"/>
      <c r="AA81" s="471"/>
      <c r="AB81" s="466"/>
      <c r="AC81" s="350"/>
      <c r="AD81" s="350"/>
      <c r="AE81" s="350"/>
      <c r="AF81" s="350"/>
    </row>
    <row r="82" spans="1:32" s="457" customFormat="1" ht="18" customHeight="1" x14ac:dyDescent="0.2">
      <c r="A82" s="145"/>
      <c r="B82" s="177"/>
      <c r="C82" s="177"/>
      <c r="D82" s="145"/>
      <c r="E82" s="145"/>
      <c r="F82" s="145"/>
      <c r="G82" s="145"/>
      <c r="H82" s="147"/>
      <c r="I82" s="107"/>
      <c r="J82" s="178"/>
      <c r="K82" s="107"/>
      <c r="L82" s="145"/>
      <c r="M82" s="145"/>
      <c r="N82" s="145"/>
      <c r="O82" s="145"/>
      <c r="P82" s="147"/>
      <c r="Q82" s="148"/>
      <c r="R82" s="437"/>
      <c r="S82" s="107"/>
      <c r="T82" s="179"/>
      <c r="U82" s="178"/>
      <c r="V82" s="107"/>
      <c r="W82" s="107"/>
      <c r="X82" s="470"/>
      <c r="Y82" s="470"/>
      <c r="Z82" s="471"/>
      <c r="AA82" s="471"/>
      <c r="AB82" s="466"/>
      <c r="AC82" s="350"/>
      <c r="AD82" s="350"/>
      <c r="AE82" s="350"/>
      <c r="AF82" s="350"/>
    </row>
    <row r="83" spans="1:32" s="457" customFormat="1" ht="18" customHeight="1" x14ac:dyDescent="0.2">
      <c r="A83" s="145"/>
      <c r="B83" s="177"/>
      <c r="C83" s="177"/>
      <c r="D83" s="145"/>
      <c r="E83" s="145"/>
      <c r="F83" s="145"/>
      <c r="G83" s="145"/>
      <c r="H83" s="147"/>
      <c r="I83" s="107"/>
      <c r="J83" s="178"/>
      <c r="K83" s="107"/>
      <c r="L83" s="145"/>
      <c r="M83" s="145"/>
      <c r="N83" s="145"/>
      <c r="O83" s="145"/>
      <c r="P83" s="147"/>
      <c r="Q83" s="148"/>
      <c r="R83" s="437"/>
      <c r="S83" s="107"/>
      <c r="T83" s="179"/>
      <c r="U83" s="178"/>
      <c r="V83" s="107"/>
      <c r="W83" s="107"/>
      <c r="X83" s="470"/>
      <c r="Y83" s="470"/>
      <c r="Z83" s="471"/>
      <c r="AA83" s="471"/>
      <c r="AB83" s="466"/>
      <c r="AC83" s="350"/>
      <c r="AD83" s="350"/>
      <c r="AE83" s="350"/>
      <c r="AF83" s="350"/>
    </row>
    <row r="84" spans="1:32" s="457" customFormat="1" ht="18" customHeight="1" x14ac:dyDescent="0.2">
      <c r="A84" s="145"/>
      <c r="B84" s="177"/>
      <c r="C84" s="177"/>
      <c r="D84" s="145"/>
      <c r="E84" s="145"/>
      <c r="F84" s="145"/>
      <c r="G84" s="145"/>
      <c r="H84" s="147"/>
      <c r="I84" s="107"/>
      <c r="J84" s="178"/>
      <c r="K84" s="107"/>
      <c r="L84" s="145"/>
      <c r="M84" s="145"/>
      <c r="N84" s="145"/>
      <c r="O84" s="145"/>
      <c r="P84" s="147"/>
      <c r="Q84" s="148"/>
      <c r="R84" s="437"/>
      <c r="S84" s="107"/>
      <c r="T84" s="179"/>
      <c r="U84" s="178"/>
      <c r="V84" s="107"/>
      <c r="W84" s="107"/>
      <c r="X84" s="470"/>
      <c r="Y84" s="470"/>
      <c r="Z84" s="471"/>
      <c r="AA84" s="471"/>
      <c r="AB84" s="466"/>
      <c r="AC84" s="350"/>
      <c r="AD84" s="350"/>
      <c r="AE84" s="350"/>
      <c r="AF84" s="350"/>
    </row>
    <row r="85" spans="1:32" s="457" customFormat="1" ht="18" customHeight="1" x14ac:dyDescent="0.2">
      <c r="A85" s="183"/>
      <c r="B85" s="183"/>
      <c r="C85" s="183"/>
      <c r="D85" s="183"/>
      <c r="E85" s="183"/>
      <c r="F85" s="183"/>
      <c r="G85" s="183"/>
      <c r="H85" s="184"/>
      <c r="I85" s="185"/>
      <c r="J85" s="186"/>
      <c r="K85" s="185"/>
      <c r="L85" s="185"/>
      <c r="M85" s="185"/>
      <c r="N85" s="185"/>
      <c r="O85" s="185"/>
      <c r="P85" s="185"/>
      <c r="Q85" s="185"/>
      <c r="R85" s="438"/>
      <c r="S85" s="185"/>
      <c r="T85" s="187"/>
      <c r="U85" s="186"/>
      <c r="V85" s="185"/>
      <c r="W85" s="185"/>
      <c r="X85" s="474"/>
      <c r="Y85" s="474"/>
      <c r="Z85" s="475"/>
      <c r="AA85" s="475"/>
      <c r="AB85" s="1847">
        <f>SUM(AB70:AB84)</f>
        <v>2583.8337663999996</v>
      </c>
      <c r="AC85" s="349"/>
      <c r="AD85" s="349"/>
      <c r="AE85" s="349"/>
      <c r="AF85" s="349"/>
    </row>
    <row r="86" spans="1:32" s="457" customFormat="1" ht="18" customHeight="1" x14ac:dyDescent="0.2">
      <c r="A86" s="2737" t="s">
        <v>76</v>
      </c>
      <c r="B86" s="2737"/>
      <c r="C86" s="2738" t="s">
        <v>77</v>
      </c>
      <c r="D86" s="2738"/>
      <c r="E86" s="2738"/>
      <c r="F86" s="2738"/>
      <c r="G86" s="2738"/>
      <c r="H86" s="2738"/>
      <c r="I86" s="457" t="s">
        <v>78</v>
      </c>
      <c r="AB86" s="478"/>
    </row>
    <row r="87" spans="1:32" s="457" customFormat="1" ht="18" customHeight="1" x14ac:dyDescent="0.2">
      <c r="B87" s="479"/>
      <c r="I87" s="457" t="s">
        <v>79</v>
      </c>
      <c r="AB87" s="478"/>
    </row>
    <row r="88" spans="1:32" s="457" customFormat="1" ht="18" customHeight="1" x14ac:dyDescent="0.2">
      <c r="B88" s="479"/>
      <c r="I88" s="457" t="s">
        <v>80</v>
      </c>
      <c r="AB88" s="478"/>
    </row>
    <row r="89" spans="1:32" s="457" customFormat="1" ht="18" customHeight="1" x14ac:dyDescent="0.2">
      <c r="B89" s="479"/>
      <c r="I89" s="457" t="s">
        <v>81</v>
      </c>
      <c r="AB89" s="478"/>
    </row>
    <row r="90" spans="1:32" s="457" customFormat="1" ht="18" customHeight="1" x14ac:dyDescent="0.2">
      <c r="B90" s="479"/>
      <c r="I90" s="457" t="s">
        <v>88</v>
      </c>
      <c r="AB90" s="478"/>
    </row>
    <row r="91" spans="1:32" s="457" customFormat="1" ht="18" customHeight="1" x14ac:dyDescent="0.2">
      <c r="A91" s="455"/>
      <c r="B91" s="455"/>
      <c r="C91" s="455"/>
      <c r="D91" s="455"/>
      <c r="E91" s="455"/>
      <c r="F91" s="455"/>
      <c r="G91" s="455"/>
      <c r="H91" s="455"/>
      <c r="I91" s="455"/>
      <c r="J91" s="455"/>
      <c r="K91" s="455"/>
      <c r="L91" s="455"/>
      <c r="M91" s="455"/>
      <c r="N91" s="455"/>
      <c r="O91" s="455"/>
      <c r="P91" s="455"/>
      <c r="Q91" s="455"/>
      <c r="R91" s="455"/>
      <c r="S91" s="455"/>
      <c r="T91" s="455"/>
      <c r="U91" s="455"/>
      <c r="V91" s="455"/>
      <c r="W91" s="455"/>
      <c r="X91" s="455"/>
      <c r="Y91" s="455"/>
      <c r="Z91" s="455"/>
      <c r="AA91" s="2705" t="s">
        <v>0</v>
      </c>
      <c r="AB91" s="2705"/>
      <c r="AC91" s="455"/>
      <c r="AD91" s="455"/>
      <c r="AE91" s="455"/>
      <c r="AF91" s="455"/>
    </row>
    <row r="92" spans="1:32" s="457" customFormat="1" ht="18" customHeight="1" x14ac:dyDescent="0.2">
      <c r="A92" s="2706" t="s">
        <v>1</v>
      </c>
      <c r="B92" s="2706"/>
      <c r="C92" s="2706"/>
      <c r="D92" s="2706"/>
      <c r="E92" s="2706"/>
      <c r="F92" s="2706"/>
      <c r="G92" s="2706"/>
      <c r="H92" s="2706"/>
      <c r="I92" s="2706"/>
      <c r="J92" s="2706"/>
      <c r="K92" s="2706"/>
      <c r="L92" s="2706"/>
      <c r="M92" s="2706"/>
      <c r="N92" s="2706"/>
      <c r="O92" s="2706"/>
      <c r="P92" s="2706"/>
      <c r="Q92" s="2706"/>
      <c r="R92" s="2706"/>
      <c r="S92" s="2706"/>
      <c r="T92" s="2706"/>
      <c r="U92" s="2706"/>
      <c r="V92" s="2706"/>
      <c r="W92" s="2706"/>
      <c r="X92" s="2706"/>
      <c r="Y92" s="2706"/>
      <c r="Z92" s="2706"/>
      <c r="AA92" s="2706"/>
      <c r="AB92" s="2706"/>
      <c r="AC92" s="610"/>
      <c r="AD92" s="610"/>
      <c r="AE92" s="610"/>
      <c r="AF92" s="610"/>
    </row>
    <row r="93" spans="1:32" s="457" customFormat="1" ht="18" customHeight="1" x14ac:dyDescent="0.2">
      <c r="A93" s="2704" t="s">
        <v>370</v>
      </c>
      <c r="B93" s="2704"/>
      <c r="C93" s="2704"/>
      <c r="D93" s="2704"/>
      <c r="E93" s="2704"/>
      <c r="F93" s="2704"/>
      <c r="G93" s="2704"/>
      <c r="H93" s="2704"/>
      <c r="I93" s="2704"/>
      <c r="J93" s="2704"/>
      <c r="K93" s="2704"/>
      <c r="L93" s="2704"/>
      <c r="M93" s="2704"/>
      <c r="N93" s="2704"/>
      <c r="O93" s="2704"/>
      <c r="P93" s="2704"/>
      <c r="Q93" s="2704"/>
      <c r="R93" s="2704"/>
      <c r="S93" s="2704"/>
      <c r="T93" s="2704"/>
      <c r="U93" s="2704"/>
      <c r="V93" s="2704"/>
      <c r="W93" s="2704"/>
      <c r="X93" s="2704"/>
      <c r="Y93" s="2704"/>
      <c r="Z93" s="2704"/>
      <c r="AA93" s="2704"/>
      <c r="AB93" s="2704"/>
      <c r="AC93" s="611"/>
      <c r="AD93" s="611"/>
      <c r="AE93" s="611"/>
      <c r="AF93" s="611"/>
    </row>
    <row r="94" spans="1:32" s="457" customFormat="1" ht="18" customHeight="1" x14ac:dyDescent="0.2">
      <c r="A94" s="2686" t="s">
        <v>2</v>
      </c>
      <c r="B94" s="360"/>
      <c r="C94" s="2686" t="s">
        <v>3</v>
      </c>
      <c r="D94" s="360"/>
      <c r="E94" s="360"/>
      <c r="F94" s="2693" t="s">
        <v>4</v>
      </c>
      <c r="G94" s="2693"/>
      <c r="H94" s="2693"/>
      <c r="I94" s="2694"/>
      <c r="J94" s="2694"/>
      <c r="K94" s="2695"/>
      <c r="L94" s="361"/>
      <c r="M94" s="2679" t="s">
        <v>5</v>
      </c>
      <c r="N94" s="2679"/>
      <c r="O94" s="2679"/>
      <c r="P94" s="2679"/>
      <c r="Q94" s="2696"/>
      <c r="R94" s="2696"/>
      <c r="S94" s="2696"/>
      <c r="T94" s="2696"/>
      <c r="U94" s="2696"/>
      <c r="V94" s="2697"/>
      <c r="W94" s="362" t="s">
        <v>6</v>
      </c>
      <c r="X94" s="363" t="s">
        <v>7</v>
      </c>
      <c r="Y94" s="364"/>
      <c r="Z94" s="364"/>
      <c r="AA94" s="363"/>
      <c r="AB94" s="458"/>
      <c r="AC94" s="612" t="s">
        <v>8</v>
      </c>
      <c r="AD94" s="613"/>
      <c r="AE94" s="613"/>
      <c r="AF94" s="614"/>
    </row>
    <row r="95" spans="1:32" s="457" customFormat="1" ht="18" customHeight="1" x14ac:dyDescent="0.2">
      <c r="A95" s="2687"/>
      <c r="B95" s="367"/>
      <c r="C95" s="2687"/>
      <c r="D95" s="366" t="s">
        <v>9</v>
      </c>
      <c r="E95" s="366" t="s">
        <v>10</v>
      </c>
      <c r="F95" s="2698" t="s">
        <v>11</v>
      </c>
      <c r="G95" s="2694"/>
      <c r="H95" s="2695"/>
      <c r="I95" s="360"/>
      <c r="J95" s="449" t="s">
        <v>12</v>
      </c>
      <c r="K95" s="360"/>
      <c r="L95" s="2679" t="s">
        <v>2</v>
      </c>
      <c r="M95" s="370"/>
      <c r="N95" s="370"/>
      <c r="O95" s="370"/>
      <c r="P95" s="371"/>
      <c r="Q95" s="459" t="s">
        <v>13</v>
      </c>
      <c r="R95" s="370" t="s">
        <v>12</v>
      </c>
      <c r="S95" s="370" t="s">
        <v>6</v>
      </c>
      <c r="T95" s="2682" t="s">
        <v>14</v>
      </c>
      <c r="U95" s="2683"/>
      <c r="V95" s="375" t="s">
        <v>7</v>
      </c>
      <c r="W95" s="376" t="s">
        <v>15</v>
      </c>
      <c r="X95" s="377" t="s">
        <v>16</v>
      </c>
      <c r="Y95" s="377" t="s">
        <v>17</v>
      </c>
      <c r="Z95" s="377" t="s">
        <v>18</v>
      </c>
      <c r="AA95" s="377"/>
      <c r="AB95" s="460" t="s">
        <v>19</v>
      </c>
      <c r="AC95" s="615" t="s">
        <v>20</v>
      </c>
      <c r="AD95" s="616"/>
      <c r="AE95" s="617" t="s">
        <v>21</v>
      </c>
      <c r="AF95" s="618" t="s">
        <v>22</v>
      </c>
    </row>
    <row r="96" spans="1:32" s="457" customFormat="1" ht="18" customHeight="1" x14ac:dyDescent="0.2">
      <c r="A96" s="2687"/>
      <c r="B96" s="366" t="s">
        <v>23</v>
      </c>
      <c r="C96" s="2687"/>
      <c r="D96" s="366" t="s">
        <v>24</v>
      </c>
      <c r="E96" s="366" t="s">
        <v>25</v>
      </c>
      <c r="F96" s="2699"/>
      <c r="G96" s="2700"/>
      <c r="H96" s="2701"/>
      <c r="I96" s="366" t="s">
        <v>26</v>
      </c>
      <c r="J96" s="380" t="s">
        <v>15</v>
      </c>
      <c r="K96" s="380" t="s">
        <v>6</v>
      </c>
      <c r="L96" s="2680"/>
      <c r="M96" s="381" t="s">
        <v>27</v>
      </c>
      <c r="N96" s="381" t="s">
        <v>10</v>
      </c>
      <c r="O96" s="381" t="s">
        <v>10</v>
      </c>
      <c r="P96" s="385" t="s">
        <v>28</v>
      </c>
      <c r="Q96" s="461" t="s">
        <v>29</v>
      </c>
      <c r="R96" s="385" t="s">
        <v>15</v>
      </c>
      <c r="S96" s="385" t="s">
        <v>15</v>
      </c>
      <c r="T96" s="2684"/>
      <c r="U96" s="2685"/>
      <c r="V96" s="375" t="s">
        <v>30</v>
      </c>
      <c r="W96" s="376" t="s">
        <v>31</v>
      </c>
      <c r="X96" s="377" t="s">
        <v>30</v>
      </c>
      <c r="Y96" s="377" t="s">
        <v>32</v>
      </c>
      <c r="Z96" s="377" t="s">
        <v>7</v>
      </c>
      <c r="AA96" s="377" t="s">
        <v>33</v>
      </c>
      <c r="AB96" s="460" t="s">
        <v>34</v>
      </c>
      <c r="AC96" s="615" t="s">
        <v>35</v>
      </c>
      <c r="AD96" s="617" t="s">
        <v>36</v>
      </c>
      <c r="AE96" s="617" t="s">
        <v>37</v>
      </c>
      <c r="AF96" s="618" t="s">
        <v>38</v>
      </c>
    </row>
    <row r="97" spans="1:32" s="457" customFormat="1" ht="18" customHeight="1" x14ac:dyDescent="0.2">
      <c r="A97" s="2687"/>
      <c r="B97" s="366" t="s">
        <v>39</v>
      </c>
      <c r="C97" s="2687"/>
      <c r="D97" s="366" t="s">
        <v>40</v>
      </c>
      <c r="E97" s="366" t="s">
        <v>41</v>
      </c>
      <c r="F97" s="2686" t="s">
        <v>42</v>
      </c>
      <c r="G97" s="2686" t="s">
        <v>43</v>
      </c>
      <c r="H97" s="2688" t="s">
        <v>44</v>
      </c>
      <c r="I97" s="366" t="s">
        <v>45</v>
      </c>
      <c r="J97" s="380" t="s">
        <v>46</v>
      </c>
      <c r="K97" s="380" t="s">
        <v>47</v>
      </c>
      <c r="L97" s="2680"/>
      <c r="M97" s="381" t="s">
        <v>30</v>
      </c>
      <c r="N97" s="381" t="s">
        <v>30</v>
      </c>
      <c r="O97" s="381" t="s">
        <v>25</v>
      </c>
      <c r="P97" s="385" t="s">
        <v>30</v>
      </c>
      <c r="Q97" s="461" t="s">
        <v>48</v>
      </c>
      <c r="R97" s="385" t="s">
        <v>49</v>
      </c>
      <c r="S97" s="385" t="s">
        <v>30</v>
      </c>
      <c r="T97" s="374" t="s">
        <v>50</v>
      </c>
      <c r="U97" s="374" t="s">
        <v>13</v>
      </c>
      <c r="V97" s="375" t="s">
        <v>51</v>
      </c>
      <c r="W97" s="376" t="s">
        <v>52</v>
      </c>
      <c r="X97" s="377" t="s">
        <v>53</v>
      </c>
      <c r="Y97" s="377" t="s">
        <v>54</v>
      </c>
      <c r="Z97" s="377" t="s">
        <v>55</v>
      </c>
      <c r="AA97" s="377" t="s">
        <v>56</v>
      </c>
      <c r="AB97" s="460" t="s">
        <v>57</v>
      </c>
      <c r="AC97" s="617" t="s">
        <v>58</v>
      </c>
      <c r="AD97" s="617" t="s">
        <v>59</v>
      </c>
      <c r="AE97" s="617" t="s">
        <v>59</v>
      </c>
      <c r="AF97" s="618" t="s">
        <v>60</v>
      </c>
    </row>
    <row r="98" spans="1:32" s="457" customFormat="1" ht="18" customHeight="1" x14ac:dyDescent="0.2">
      <c r="A98" s="2687"/>
      <c r="B98" s="366" t="s">
        <v>61</v>
      </c>
      <c r="C98" s="2687"/>
      <c r="D98" s="366" t="s">
        <v>62</v>
      </c>
      <c r="E98" s="366" t="s">
        <v>63</v>
      </c>
      <c r="F98" s="2687"/>
      <c r="G98" s="2687"/>
      <c r="H98" s="2689"/>
      <c r="I98" s="366" t="s">
        <v>64</v>
      </c>
      <c r="J98" s="380" t="s">
        <v>59</v>
      </c>
      <c r="K98" s="380" t="s">
        <v>59</v>
      </c>
      <c r="L98" s="2680"/>
      <c r="M98" s="381"/>
      <c r="N98" s="381"/>
      <c r="O98" s="381" t="s">
        <v>41</v>
      </c>
      <c r="P98" s="385" t="s">
        <v>65</v>
      </c>
      <c r="Q98" s="461" t="s">
        <v>66</v>
      </c>
      <c r="R98" s="385" t="s">
        <v>67</v>
      </c>
      <c r="S98" s="385" t="s">
        <v>59</v>
      </c>
      <c r="T98" s="375" t="s">
        <v>68</v>
      </c>
      <c r="U98" s="375" t="s">
        <v>14</v>
      </c>
      <c r="V98" s="375" t="s">
        <v>14</v>
      </c>
      <c r="W98" s="376" t="s">
        <v>30</v>
      </c>
      <c r="X98" s="388" t="s">
        <v>69</v>
      </c>
      <c r="Y98" s="388" t="s">
        <v>70</v>
      </c>
      <c r="Z98" s="377" t="s">
        <v>71</v>
      </c>
      <c r="AA98" s="377" t="s">
        <v>72</v>
      </c>
      <c r="AB98" s="460" t="s">
        <v>59</v>
      </c>
      <c r="AC98" s="617" t="s">
        <v>59</v>
      </c>
      <c r="AD98" s="617"/>
      <c r="AE98" s="617"/>
      <c r="AF98" s="618" t="s">
        <v>59</v>
      </c>
    </row>
    <row r="99" spans="1:32" s="457" customFormat="1" ht="18" customHeight="1" x14ac:dyDescent="0.2">
      <c r="A99" s="2692"/>
      <c r="B99" s="390"/>
      <c r="C99" s="2692"/>
      <c r="D99" s="390"/>
      <c r="E99" s="389"/>
      <c r="F99" s="390"/>
      <c r="G99" s="390"/>
      <c r="H99" s="391"/>
      <c r="I99" s="389"/>
      <c r="J99" s="393"/>
      <c r="K99" s="393"/>
      <c r="L99" s="2681"/>
      <c r="M99" s="394"/>
      <c r="N99" s="394"/>
      <c r="O99" s="394" t="s">
        <v>63</v>
      </c>
      <c r="P99" s="394"/>
      <c r="Q99" s="450" t="s">
        <v>72</v>
      </c>
      <c r="R99" s="398" t="s">
        <v>59</v>
      </c>
      <c r="S99" s="398"/>
      <c r="T99" s="398" t="s">
        <v>73</v>
      </c>
      <c r="U99" s="398" t="s">
        <v>59</v>
      </c>
      <c r="V99" s="399" t="s">
        <v>59</v>
      </c>
      <c r="W99" s="400" t="s">
        <v>59</v>
      </c>
      <c r="X99" s="401" t="s">
        <v>59</v>
      </c>
      <c r="Y99" s="401" t="s">
        <v>59</v>
      </c>
      <c r="Z99" s="401" t="s">
        <v>59</v>
      </c>
      <c r="AA99" s="402"/>
      <c r="AB99" s="462"/>
      <c r="AC99" s="625"/>
      <c r="AD99" s="625"/>
      <c r="AE99" s="625"/>
      <c r="AF99" s="626"/>
    </row>
    <row r="100" spans="1:32" s="457" customFormat="1" ht="18" customHeight="1" x14ac:dyDescent="0.25">
      <c r="A100" s="53">
        <v>1</v>
      </c>
      <c r="B100" s="269">
        <v>2255</v>
      </c>
      <c r="C100" s="285">
        <v>306</v>
      </c>
      <c r="D100" s="15" t="s">
        <v>86</v>
      </c>
      <c r="E100" s="273">
        <v>2</v>
      </c>
      <c r="F100" s="268">
        <v>0</v>
      </c>
      <c r="G100" s="269">
        <v>2</v>
      </c>
      <c r="H100" s="266">
        <v>84</v>
      </c>
      <c r="I100" s="77">
        <f t="shared" ref="I100:I101" si="18">F100*400+G100*100+H100</f>
        <v>284</v>
      </c>
      <c r="J100" s="759">
        <v>2300</v>
      </c>
      <c r="K100" s="297">
        <f>I100*J100</f>
        <v>653200</v>
      </c>
      <c r="L100" s="269">
        <v>1</v>
      </c>
      <c r="M100" s="242">
        <v>103</v>
      </c>
      <c r="N100" s="269" t="s">
        <v>74</v>
      </c>
      <c r="O100" s="269">
        <v>2</v>
      </c>
      <c r="P100" s="266">
        <v>128.65</v>
      </c>
      <c r="Q100" s="285" t="s">
        <v>75</v>
      </c>
      <c r="R100" s="1005">
        <v>9050</v>
      </c>
      <c r="S100" s="47">
        <f t="shared" ref="S100:S104" si="19">+P100*R100</f>
        <v>1164282.5</v>
      </c>
      <c r="T100" s="1501">
        <v>24</v>
      </c>
      <c r="U100" s="1670">
        <f>+S100*0.38</f>
        <v>442427.35</v>
      </c>
      <c r="V100" s="18">
        <f t="shared" ref="V100:V104" si="20">+S100-U100</f>
        <v>721855.15</v>
      </c>
      <c r="W100" s="18">
        <f t="shared" ref="W100:W103" si="21">K100+V100</f>
        <v>1375055.15</v>
      </c>
      <c r="X100" s="47">
        <f t="shared" ref="X100:X101" si="22">W100</f>
        <v>1375055.15</v>
      </c>
      <c r="Y100" s="669" t="s">
        <v>87</v>
      </c>
      <c r="Z100" s="299">
        <v>0</v>
      </c>
      <c r="AA100" s="670">
        <v>0.02</v>
      </c>
      <c r="AB100" s="406">
        <f>+Z100*AA100/100</f>
        <v>0</v>
      </c>
      <c r="AC100" s="602"/>
      <c r="AD100" s="603">
        <f>AB100-AC100</f>
        <v>0</v>
      </c>
      <c r="AE100" s="603">
        <f>IF(AD100&lt;=0,0,AD100*25/100)</f>
        <v>0</v>
      </c>
      <c r="AF100" s="603">
        <f>IF(AC100+AE100&gt;AB100,AB100,AC100+AE100)</f>
        <v>0</v>
      </c>
    </row>
    <row r="101" spans="1:32" s="457" customFormat="1" ht="18" customHeight="1" x14ac:dyDescent="0.25">
      <c r="A101" s="242"/>
      <c r="B101" s="269"/>
      <c r="C101" s="285"/>
      <c r="D101" s="273"/>
      <c r="E101" s="273"/>
      <c r="F101" s="268"/>
      <c r="G101" s="269"/>
      <c r="H101" s="266"/>
      <c r="I101" s="77">
        <f t="shared" si="18"/>
        <v>0</v>
      </c>
      <c r="J101" s="324"/>
      <c r="K101" s="330"/>
      <c r="L101" s="269">
        <v>2</v>
      </c>
      <c r="M101" s="242">
        <v>105</v>
      </c>
      <c r="N101" s="269" t="s">
        <v>74</v>
      </c>
      <c r="O101" s="269">
        <v>2</v>
      </c>
      <c r="P101" s="266">
        <v>199.07</v>
      </c>
      <c r="Q101" s="285" t="s">
        <v>75</v>
      </c>
      <c r="R101" s="1005">
        <v>8800</v>
      </c>
      <c r="S101" s="47">
        <f t="shared" si="19"/>
        <v>1751816</v>
      </c>
      <c r="T101" s="1627">
        <v>5</v>
      </c>
      <c r="U101" s="1670">
        <f>+S101*0.05</f>
        <v>87590.8</v>
      </c>
      <c r="V101" s="18">
        <f t="shared" si="20"/>
        <v>1664225.2</v>
      </c>
      <c r="W101" s="18">
        <f t="shared" si="21"/>
        <v>1664225.2</v>
      </c>
      <c r="X101" s="47">
        <f t="shared" si="22"/>
        <v>1664225.2</v>
      </c>
      <c r="Y101" s="669" t="s">
        <v>125</v>
      </c>
      <c r="Z101" s="299">
        <v>0</v>
      </c>
      <c r="AA101" s="670">
        <v>0.02</v>
      </c>
      <c r="AB101" s="410">
        <f>+Z101*AA101/100</f>
        <v>0</v>
      </c>
      <c r="AC101" s="602"/>
      <c r="AD101" s="603">
        <f>AB101-AC101</f>
        <v>0</v>
      </c>
      <c r="AE101" s="603">
        <f>IF(AD101&lt;=0,0,AD101*25/100)</f>
        <v>0</v>
      </c>
      <c r="AF101" s="603">
        <f>IF(AC101+AE101&gt;AB101,AB101,AC101+AE101)</f>
        <v>0</v>
      </c>
    </row>
    <row r="102" spans="1:32" s="457" customFormat="1" ht="18" customHeight="1" x14ac:dyDescent="0.25">
      <c r="A102" s="242">
        <v>1</v>
      </c>
      <c r="B102" s="269">
        <v>2246</v>
      </c>
      <c r="C102" s="285" t="s">
        <v>153</v>
      </c>
      <c r="D102" s="273" t="s">
        <v>86</v>
      </c>
      <c r="E102" s="273">
        <v>1</v>
      </c>
      <c r="F102" s="268">
        <v>4</v>
      </c>
      <c r="G102" s="269">
        <v>1</v>
      </c>
      <c r="H102" s="266">
        <v>93</v>
      </c>
      <c r="I102" s="77">
        <f t="shared" ref="I102" si="23">F102*400+G102*100+H102</f>
        <v>1793</v>
      </c>
      <c r="J102" s="324">
        <v>1250</v>
      </c>
      <c r="K102" s="2351">
        <f>I102*J102</f>
        <v>2241250</v>
      </c>
      <c r="L102" s="269"/>
      <c r="M102" s="241"/>
      <c r="N102" s="255"/>
      <c r="O102" s="255"/>
      <c r="P102" s="848"/>
      <c r="Q102" s="285"/>
      <c r="R102" s="702"/>
      <c r="S102" s="47"/>
      <c r="T102" s="1627"/>
      <c r="U102" s="1670"/>
      <c r="V102" s="18"/>
      <c r="W102" s="18"/>
      <c r="X102" s="47"/>
      <c r="Y102" s="792"/>
      <c r="Z102" s="296"/>
      <c r="AA102" s="494"/>
      <c r="AB102" s="466"/>
      <c r="AC102" s="2110"/>
      <c r="AD102" s="719"/>
      <c r="AE102" s="719"/>
      <c r="AF102" s="719"/>
    </row>
    <row r="103" spans="1:32" s="457" customFormat="1" ht="18" customHeight="1" x14ac:dyDescent="0.25">
      <c r="A103" s="242"/>
      <c r="B103" s="269"/>
      <c r="C103" s="285"/>
      <c r="D103" s="273"/>
      <c r="E103" s="273"/>
      <c r="F103" s="268"/>
      <c r="G103" s="269"/>
      <c r="H103" s="266"/>
      <c r="I103" s="77"/>
      <c r="J103" s="2353">
        <f>P103*100/P105</f>
        <v>8.4413208525169985</v>
      </c>
      <c r="K103" s="2351">
        <f>K102*J103/100</f>
        <v>189191.10360703722</v>
      </c>
      <c r="L103" s="269">
        <v>1</v>
      </c>
      <c r="M103" s="145">
        <v>103</v>
      </c>
      <c r="N103" s="15" t="s">
        <v>74</v>
      </c>
      <c r="O103" s="50">
        <v>1</v>
      </c>
      <c r="P103" s="15">
        <v>221.48</v>
      </c>
      <c r="Q103" s="62" t="s">
        <v>75</v>
      </c>
      <c r="R103" s="672">
        <v>9050</v>
      </c>
      <c r="S103" s="47">
        <f t="shared" si="19"/>
        <v>2004394</v>
      </c>
      <c r="T103" s="1501">
        <v>14</v>
      </c>
      <c r="U103" s="1670">
        <f>+S103*0.18</f>
        <v>360790.92</v>
      </c>
      <c r="V103" s="18">
        <f t="shared" si="20"/>
        <v>1643603.08</v>
      </c>
      <c r="W103" s="18">
        <f t="shared" si="21"/>
        <v>1832794.1836070372</v>
      </c>
      <c r="X103" s="47">
        <f>W103*Q103/100</f>
        <v>1832794.1836070372</v>
      </c>
      <c r="Y103" s="296">
        <v>0</v>
      </c>
      <c r="Z103" s="18">
        <f t="shared" ref="Z103:Z104" si="24">+X103</f>
        <v>1832794.1836070372</v>
      </c>
      <c r="AA103" s="494">
        <v>0.02</v>
      </c>
      <c r="AB103" s="107">
        <f>+Z103*AA103/100</f>
        <v>366.55883672140743</v>
      </c>
      <c r="AC103" s="350"/>
      <c r="AD103" s="350"/>
      <c r="AE103" s="350"/>
      <c r="AF103" s="350"/>
    </row>
    <row r="104" spans="1:32" s="457" customFormat="1" ht="18" customHeight="1" x14ac:dyDescent="0.25">
      <c r="A104" s="242"/>
      <c r="B104" s="269"/>
      <c r="C104" s="285"/>
      <c r="D104" s="273"/>
      <c r="E104" s="273"/>
      <c r="F104" s="268"/>
      <c r="G104" s="269"/>
      <c r="H104" s="266"/>
      <c r="I104" s="296"/>
      <c r="J104" s="2353">
        <f>P104*100/P105</f>
        <v>91.558679147483005</v>
      </c>
      <c r="K104" s="2352">
        <f>K102*J104/100</f>
        <v>2052058.8963929629</v>
      </c>
      <c r="L104" s="269">
        <v>2</v>
      </c>
      <c r="M104" s="242">
        <v>517</v>
      </c>
      <c r="N104" s="269" t="s">
        <v>82</v>
      </c>
      <c r="O104" s="269">
        <v>1</v>
      </c>
      <c r="P104" s="266">
        <v>2402.2800000000002</v>
      </c>
      <c r="Q104" s="285" t="s">
        <v>75</v>
      </c>
      <c r="R104" s="1005">
        <v>2150</v>
      </c>
      <c r="S104" s="47">
        <f t="shared" si="19"/>
        <v>5164902</v>
      </c>
      <c r="T104" s="1627">
        <v>5</v>
      </c>
      <c r="U104" s="1670">
        <f>+S104*0.15</f>
        <v>774735.29999999993</v>
      </c>
      <c r="V104" s="18">
        <f t="shared" si="20"/>
        <v>4390166.7</v>
      </c>
      <c r="W104" s="18">
        <f t="shared" ref="W104" si="25">K104+V104</f>
        <v>6442225.5963929631</v>
      </c>
      <c r="X104" s="47">
        <f>W104*Q103/100</f>
        <v>6442225.5963929631</v>
      </c>
      <c r="Y104" s="321">
        <v>0</v>
      </c>
      <c r="Z104" s="18">
        <f t="shared" si="24"/>
        <v>6442225.5963929631</v>
      </c>
      <c r="AA104" s="708">
        <v>0.02</v>
      </c>
      <c r="AB104" s="107">
        <f>+Z104*AA104/100</f>
        <v>1288.4451192785925</v>
      </c>
      <c r="AC104" s="350"/>
      <c r="AD104" s="350"/>
      <c r="AE104" s="350"/>
      <c r="AF104" s="350"/>
    </row>
    <row r="105" spans="1:32" s="457" customFormat="1" ht="18" customHeight="1" x14ac:dyDescent="0.25">
      <c r="A105" s="241"/>
      <c r="B105" s="255"/>
      <c r="C105" s="334"/>
      <c r="D105" s="287"/>
      <c r="E105" s="287"/>
      <c r="F105" s="709"/>
      <c r="G105" s="255"/>
      <c r="H105" s="848"/>
      <c r="I105" s="296"/>
      <c r="J105" s="331"/>
      <c r="K105" s="322"/>
      <c r="L105" s="269"/>
      <c r="M105" s="241"/>
      <c r="N105" s="255"/>
      <c r="O105" s="255"/>
      <c r="P105" s="2354">
        <f>SUM(P103:P104)</f>
        <v>2623.76</v>
      </c>
      <c r="Q105" s="285"/>
      <c r="R105" s="702"/>
      <c r="S105" s="321"/>
      <c r="T105" s="323"/>
      <c r="U105" s="299"/>
      <c r="V105" s="320"/>
      <c r="W105" s="320"/>
      <c r="X105" s="321"/>
      <c r="Y105" s="320"/>
      <c r="Z105" s="320"/>
      <c r="AA105" s="703"/>
      <c r="AB105" s="150"/>
      <c r="AC105" s="719"/>
      <c r="AD105" s="719"/>
      <c r="AE105" s="719"/>
      <c r="AF105" s="719"/>
    </row>
    <row r="106" spans="1:32" s="1756" customFormat="1" ht="18" customHeight="1" x14ac:dyDescent="0.2">
      <c r="A106" s="1783"/>
      <c r="B106" s="1783"/>
      <c r="C106" s="1783"/>
      <c r="D106" s="1783"/>
      <c r="E106" s="1783"/>
      <c r="F106" s="1783"/>
      <c r="G106" s="1783"/>
      <c r="H106" s="1784"/>
      <c r="I106" s="178"/>
      <c r="J106" s="178"/>
      <c r="K106" s="1785"/>
      <c r="L106" s="1786"/>
      <c r="M106" s="1754"/>
      <c r="N106" s="1787"/>
      <c r="O106" s="1788"/>
      <c r="P106" s="1787"/>
      <c r="Q106" s="1789"/>
      <c r="R106" s="1790"/>
      <c r="S106" s="1791"/>
      <c r="T106" s="1792"/>
      <c r="U106" s="1793"/>
      <c r="V106" s="1794"/>
      <c r="W106" s="1794"/>
      <c r="X106" s="1791"/>
      <c r="Y106" s="1795"/>
      <c r="Z106" s="1794"/>
      <c r="AA106" s="1796"/>
      <c r="AB106" s="1797"/>
      <c r="AC106" s="1798"/>
      <c r="AD106" s="1798"/>
      <c r="AE106" s="1798"/>
      <c r="AF106" s="1798"/>
    </row>
    <row r="107" spans="1:32" s="1756" customFormat="1" ht="18" customHeight="1" x14ac:dyDescent="0.25">
      <c r="A107" s="1752"/>
      <c r="B107" s="1799"/>
      <c r="C107" s="1800"/>
      <c r="D107" s="1801"/>
      <c r="E107" s="1802"/>
      <c r="F107" s="1803"/>
      <c r="G107" s="1799"/>
      <c r="H107" s="1804"/>
      <c r="I107" s="1795"/>
      <c r="J107" s="813"/>
      <c r="K107" s="1785"/>
      <c r="L107" s="1799"/>
      <c r="M107" s="1753"/>
      <c r="N107" s="1799"/>
      <c r="O107" s="1799"/>
      <c r="P107" s="1804"/>
      <c r="Q107" s="1800"/>
      <c r="R107" s="1805"/>
      <c r="S107" s="1795"/>
      <c r="T107" s="1806"/>
      <c r="U107" s="1807"/>
      <c r="V107" s="1807"/>
      <c r="W107" s="1795"/>
      <c r="X107" s="1807"/>
      <c r="Y107" s="1808"/>
      <c r="Z107" s="1807"/>
      <c r="AA107" s="1809"/>
      <c r="AB107" s="1797"/>
      <c r="AC107" s="1798"/>
      <c r="AD107" s="1798"/>
      <c r="AE107" s="1798"/>
      <c r="AF107" s="1798"/>
    </row>
    <row r="108" spans="1:32" s="1756" customFormat="1" ht="18" customHeight="1" x14ac:dyDescent="0.25">
      <c r="A108" s="1753"/>
      <c r="B108" s="1799"/>
      <c r="C108" s="1800"/>
      <c r="D108" s="1802"/>
      <c r="E108" s="1802"/>
      <c r="F108" s="1803"/>
      <c r="G108" s="1799"/>
      <c r="H108" s="1804"/>
      <c r="I108" s="1795"/>
      <c r="J108" s="1810"/>
      <c r="K108" s="1811"/>
      <c r="L108" s="1799"/>
      <c r="M108" s="1753"/>
      <c r="N108" s="1799"/>
      <c r="O108" s="1799"/>
      <c r="P108" s="1804"/>
      <c r="Q108" s="1800"/>
      <c r="R108" s="1805"/>
      <c r="S108" s="1812"/>
      <c r="T108" s="1813"/>
      <c r="U108" s="1807"/>
      <c r="V108" s="1807"/>
      <c r="W108" s="1795"/>
      <c r="X108" s="1807"/>
      <c r="Y108" s="1808"/>
      <c r="Z108" s="1807"/>
      <c r="AA108" s="1809"/>
      <c r="AB108" s="660"/>
      <c r="AC108" s="1798"/>
      <c r="AD108" s="1798"/>
      <c r="AE108" s="1798"/>
      <c r="AF108" s="1798"/>
    </row>
    <row r="109" spans="1:32" s="1756" customFormat="1" ht="18" customHeight="1" x14ac:dyDescent="0.25">
      <c r="A109" s="1753"/>
      <c r="B109" s="1799"/>
      <c r="C109" s="1800"/>
      <c r="D109" s="1802"/>
      <c r="E109" s="1802"/>
      <c r="F109" s="1803"/>
      <c r="G109" s="1799"/>
      <c r="H109" s="1804"/>
      <c r="I109" s="1795"/>
      <c r="J109" s="1810"/>
      <c r="K109" s="1811"/>
      <c r="L109" s="1799"/>
      <c r="M109" s="1783"/>
      <c r="N109" s="1801"/>
      <c r="O109" s="1814"/>
      <c r="P109" s="1801"/>
      <c r="Q109" s="1789"/>
      <c r="R109" s="1790"/>
      <c r="S109" s="1795"/>
      <c r="T109" s="1806"/>
      <c r="U109" s="1807"/>
      <c r="V109" s="1807"/>
      <c r="W109" s="1795"/>
      <c r="X109" s="1807"/>
      <c r="Y109" s="1795"/>
      <c r="Z109" s="1795"/>
      <c r="AA109" s="1796"/>
      <c r="AB109" s="178"/>
      <c r="AC109" s="1815"/>
      <c r="AD109" s="1815"/>
      <c r="AE109" s="1815"/>
      <c r="AF109" s="1815"/>
    </row>
    <row r="110" spans="1:32" s="1756" customFormat="1" ht="18" customHeight="1" x14ac:dyDescent="0.25">
      <c r="A110" s="1753"/>
      <c r="B110" s="1799"/>
      <c r="C110" s="1800"/>
      <c r="D110" s="1802"/>
      <c r="E110" s="1802"/>
      <c r="F110" s="1803"/>
      <c r="G110" s="1799"/>
      <c r="H110" s="1804"/>
      <c r="I110" s="1795"/>
      <c r="J110" s="1810"/>
      <c r="K110" s="1811"/>
      <c r="L110" s="1799"/>
      <c r="M110" s="1753"/>
      <c r="N110" s="1799"/>
      <c r="O110" s="1799"/>
      <c r="P110" s="1804"/>
      <c r="Q110" s="1800"/>
      <c r="R110" s="1805"/>
      <c r="S110" s="1812"/>
      <c r="T110" s="1813"/>
      <c r="U110" s="1807"/>
      <c r="V110" s="1812"/>
      <c r="W110" s="1812"/>
      <c r="X110" s="1812"/>
      <c r="Y110" s="1812"/>
      <c r="Z110" s="1812"/>
      <c r="AA110" s="1816"/>
      <c r="AB110" s="178"/>
      <c r="AC110" s="1815"/>
      <c r="AD110" s="1815"/>
      <c r="AE110" s="1815"/>
      <c r="AF110" s="1815"/>
    </row>
    <row r="111" spans="1:32" s="1756" customFormat="1" ht="18" customHeight="1" x14ac:dyDescent="0.2">
      <c r="A111" s="1783"/>
      <c r="B111" s="1783"/>
      <c r="C111" s="1783"/>
      <c r="D111" s="1783"/>
      <c r="E111" s="1783"/>
      <c r="F111" s="1783"/>
      <c r="G111" s="1783"/>
      <c r="H111" s="1784"/>
      <c r="I111" s="178"/>
      <c r="J111" s="178"/>
      <c r="K111" s="178"/>
      <c r="L111" s="1783"/>
      <c r="M111" s="1783"/>
      <c r="N111" s="1783"/>
      <c r="O111" s="1783"/>
      <c r="P111" s="1784"/>
      <c r="Q111" s="1817"/>
      <c r="R111" s="437"/>
      <c r="S111" s="178"/>
      <c r="T111" s="179"/>
      <c r="U111" s="178"/>
      <c r="V111" s="178"/>
      <c r="W111" s="178"/>
      <c r="X111" s="1818"/>
      <c r="Y111" s="1818"/>
      <c r="Z111" s="748"/>
      <c r="AA111" s="748"/>
      <c r="AB111" s="744"/>
      <c r="AC111" s="1815"/>
      <c r="AD111" s="1815"/>
      <c r="AE111" s="1815"/>
      <c r="AF111" s="1815"/>
    </row>
    <row r="112" spans="1:32" s="457" customFormat="1" ht="18" customHeight="1" x14ac:dyDescent="0.2">
      <c r="A112" s="145"/>
      <c r="B112" s="177"/>
      <c r="C112" s="177"/>
      <c r="D112" s="145"/>
      <c r="E112" s="145"/>
      <c r="F112" s="145"/>
      <c r="G112" s="145"/>
      <c r="H112" s="147"/>
      <c r="I112" s="107"/>
      <c r="J112" s="178"/>
      <c r="K112" s="107"/>
      <c r="L112" s="145"/>
      <c r="M112" s="145"/>
      <c r="N112" s="145"/>
      <c r="O112" s="145"/>
      <c r="P112" s="147"/>
      <c r="Q112" s="148"/>
      <c r="R112" s="437"/>
      <c r="S112" s="107"/>
      <c r="T112" s="179"/>
      <c r="U112" s="178"/>
      <c r="V112" s="107"/>
      <c r="W112" s="107"/>
      <c r="X112" s="470"/>
      <c r="Y112" s="470"/>
      <c r="Z112" s="471"/>
      <c r="AA112" s="471"/>
      <c r="AB112" s="466"/>
      <c r="AC112" s="350"/>
      <c r="AD112" s="350"/>
      <c r="AE112" s="350"/>
      <c r="AF112" s="350"/>
    </row>
    <row r="113" spans="1:32" s="457" customFormat="1" ht="18" customHeight="1" x14ac:dyDescent="0.2">
      <c r="A113" s="145"/>
      <c r="B113" s="177"/>
      <c r="C113" s="177"/>
      <c r="D113" s="145"/>
      <c r="E113" s="145"/>
      <c r="F113" s="145"/>
      <c r="G113" s="145"/>
      <c r="H113" s="147"/>
      <c r="I113" s="107"/>
      <c r="J113" s="178"/>
      <c r="K113" s="107"/>
      <c r="L113" s="145"/>
      <c r="M113" s="145"/>
      <c r="N113" s="145"/>
      <c r="O113" s="145"/>
      <c r="P113" s="147"/>
      <c r="Q113" s="148"/>
      <c r="R113" s="437"/>
      <c r="S113" s="107"/>
      <c r="T113" s="179"/>
      <c r="U113" s="178"/>
      <c r="V113" s="107"/>
      <c r="W113" s="107"/>
      <c r="X113" s="470"/>
      <c r="Y113" s="470"/>
      <c r="Z113" s="471"/>
      <c r="AA113" s="471"/>
      <c r="AB113" s="466"/>
      <c r="AC113" s="350"/>
      <c r="AD113" s="350"/>
      <c r="AE113" s="350"/>
      <c r="AF113" s="350"/>
    </row>
    <row r="114" spans="1:32" s="457" customFormat="1" ht="18" customHeight="1" x14ac:dyDescent="0.2">
      <c r="A114" s="145"/>
      <c r="B114" s="177"/>
      <c r="C114" s="177"/>
      <c r="D114" s="145"/>
      <c r="E114" s="145"/>
      <c r="F114" s="145"/>
      <c r="G114" s="145"/>
      <c r="H114" s="147"/>
      <c r="I114" s="107"/>
      <c r="J114" s="178"/>
      <c r="K114" s="107"/>
      <c r="L114" s="145"/>
      <c r="M114" s="145"/>
      <c r="N114" s="145"/>
      <c r="O114" s="145"/>
      <c r="P114" s="147"/>
      <c r="Q114" s="148"/>
      <c r="R114" s="437"/>
      <c r="S114" s="107"/>
      <c r="T114" s="179"/>
      <c r="U114" s="178"/>
      <c r="V114" s="107"/>
      <c r="W114" s="107"/>
      <c r="X114" s="470"/>
      <c r="Y114" s="470"/>
      <c r="Z114" s="471"/>
      <c r="AA114" s="471"/>
      <c r="AB114" s="466"/>
      <c r="AC114" s="350"/>
      <c r="AD114" s="350"/>
      <c r="AE114" s="350"/>
      <c r="AF114" s="350"/>
    </row>
    <row r="115" spans="1:32" s="457" customFormat="1" ht="18" customHeight="1" x14ac:dyDescent="0.2">
      <c r="A115" s="145"/>
      <c r="B115" s="177"/>
      <c r="C115" s="177"/>
      <c r="D115" s="145"/>
      <c r="E115" s="145"/>
      <c r="F115" s="145"/>
      <c r="G115" s="145"/>
      <c r="H115" s="147"/>
      <c r="I115" s="107"/>
      <c r="J115" s="178"/>
      <c r="K115" s="107"/>
      <c r="L115" s="145"/>
      <c r="M115" s="145"/>
      <c r="N115" s="145"/>
      <c r="O115" s="145"/>
      <c r="P115" s="147"/>
      <c r="Q115" s="148"/>
      <c r="R115" s="437"/>
      <c r="S115" s="107"/>
      <c r="T115" s="179"/>
      <c r="U115" s="178"/>
      <c r="V115" s="107"/>
      <c r="W115" s="107"/>
      <c r="X115" s="470"/>
      <c r="Y115" s="470"/>
      <c r="Z115" s="471"/>
      <c r="AA115" s="471"/>
      <c r="AB115" s="466"/>
      <c r="AC115" s="350"/>
      <c r="AD115" s="350"/>
      <c r="AE115" s="350"/>
      <c r="AF115" s="350"/>
    </row>
    <row r="116" spans="1:32" s="457" customFormat="1" ht="18" customHeight="1" x14ac:dyDescent="0.2">
      <c r="A116" s="145"/>
      <c r="B116" s="177"/>
      <c r="C116" s="177"/>
      <c r="D116" s="145"/>
      <c r="E116" s="145"/>
      <c r="F116" s="145"/>
      <c r="G116" s="145"/>
      <c r="H116" s="147"/>
      <c r="I116" s="107"/>
      <c r="J116" s="178"/>
      <c r="K116" s="107"/>
      <c r="L116" s="145"/>
      <c r="M116" s="145"/>
      <c r="N116" s="145"/>
      <c r="O116" s="145"/>
      <c r="P116" s="147"/>
      <c r="Q116" s="148"/>
      <c r="R116" s="437"/>
      <c r="S116" s="107"/>
      <c r="T116" s="179"/>
      <c r="U116" s="178"/>
      <c r="V116" s="107"/>
      <c r="W116" s="107"/>
      <c r="X116" s="470"/>
      <c r="Y116" s="470"/>
      <c r="Z116" s="471"/>
      <c r="AA116" s="471"/>
      <c r="AB116" s="466"/>
      <c r="AC116" s="350"/>
      <c r="AD116" s="350"/>
      <c r="AE116" s="350"/>
      <c r="AF116" s="350"/>
    </row>
    <row r="117" spans="1:32" s="457" customFormat="1" ht="18" customHeight="1" x14ac:dyDescent="0.2">
      <c r="A117" s="183"/>
      <c r="B117" s="183"/>
      <c r="C117" s="183"/>
      <c r="D117" s="183"/>
      <c r="E117" s="183"/>
      <c r="F117" s="183"/>
      <c r="G117" s="183"/>
      <c r="H117" s="184"/>
      <c r="I117" s="185"/>
      <c r="J117" s="186"/>
      <c r="K117" s="185"/>
      <c r="L117" s="185"/>
      <c r="M117" s="185"/>
      <c r="N117" s="185"/>
      <c r="O117" s="185"/>
      <c r="P117" s="185"/>
      <c r="Q117" s="185"/>
      <c r="R117" s="438"/>
      <c r="S117" s="185"/>
      <c r="T117" s="187"/>
      <c r="U117" s="186"/>
      <c r="V117" s="185"/>
      <c r="W117" s="185"/>
      <c r="X117" s="474"/>
      <c r="Y117" s="474"/>
      <c r="Z117" s="475"/>
      <c r="AA117" s="475"/>
      <c r="AB117" s="1847">
        <f>SUM(AB100:AB116)</f>
        <v>1655.003956</v>
      </c>
      <c r="AC117" s="349"/>
      <c r="AD117" s="349"/>
      <c r="AE117" s="349"/>
      <c r="AF117" s="349"/>
    </row>
    <row r="118" spans="1:32" s="457" customFormat="1" ht="18" customHeight="1" x14ac:dyDescent="0.2">
      <c r="A118" s="2737" t="s">
        <v>76</v>
      </c>
      <c r="B118" s="2737"/>
      <c r="C118" s="2738" t="s">
        <v>77</v>
      </c>
      <c r="D118" s="2738"/>
      <c r="E118" s="2738"/>
      <c r="F118" s="2738"/>
      <c r="G118" s="2738"/>
      <c r="H118" s="2738"/>
      <c r="I118" s="457" t="s">
        <v>78</v>
      </c>
      <c r="AB118" s="478"/>
    </row>
    <row r="119" spans="1:32" s="457" customFormat="1" ht="18" customHeight="1" x14ac:dyDescent="0.2">
      <c r="B119" s="479"/>
      <c r="I119" s="457" t="s">
        <v>79</v>
      </c>
      <c r="AB119" s="478"/>
    </row>
    <row r="120" spans="1:32" s="457" customFormat="1" ht="18" customHeight="1" x14ac:dyDescent="0.2">
      <c r="B120" s="479"/>
      <c r="I120" s="457" t="s">
        <v>80</v>
      </c>
      <c r="AB120" s="478"/>
    </row>
    <row r="121" spans="1:32" s="457" customFormat="1" ht="18" customHeight="1" x14ac:dyDescent="0.2">
      <c r="B121" s="479"/>
      <c r="I121" s="457" t="s">
        <v>81</v>
      </c>
      <c r="AB121" s="478"/>
    </row>
    <row r="122" spans="1:32" s="457" customFormat="1" ht="18" customHeight="1" x14ac:dyDescent="0.2">
      <c r="B122" s="479"/>
      <c r="I122" s="457" t="s">
        <v>88</v>
      </c>
      <c r="AB122" s="478"/>
    </row>
    <row r="123" spans="1:32" s="457" customFormat="1" ht="18" customHeight="1" x14ac:dyDescent="0.2">
      <c r="A123" s="455"/>
      <c r="B123" s="455"/>
      <c r="C123" s="455"/>
      <c r="D123" s="455"/>
      <c r="E123" s="455"/>
      <c r="F123" s="455"/>
      <c r="G123" s="455"/>
      <c r="H123" s="455"/>
      <c r="I123" s="455"/>
      <c r="J123" s="455"/>
      <c r="K123" s="455"/>
      <c r="L123" s="455"/>
      <c r="M123" s="455"/>
      <c r="N123" s="455"/>
      <c r="O123" s="455"/>
      <c r="P123" s="455"/>
      <c r="Q123" s="455"/>
      <c r="R123" s="455"/>
      <c r="S123" s="455"/>
      <c r="T123" s="455"/>
      <c r="U123" s="455"/>
      <c r="V123" s="455"/>
      <c r="W123" s="455"/>
      <c r="X123" s="455"/>
      <c r="Y123" s="455"/>
      <c r="Z123" s="455"/>
      <c r="AA123" s="2705" t="s">
        <v>0</v>
      </c>
      <c r="AB123" s="2705"/>
      <c r="AC123" s="455"/>
      <c r="AD123" s="455"/>
      <c r="AE123" s="455"/>
      <c r="AF123" s="455"/>
    </row>
    <row r="124" spans="1:32" s="457" customFormat="1" ht="18" customHeight="1" x14ac:dyDescent="0.2">
      <c r="A124" s="2706" t="s">
        <v>1</v>
      </c>
      <c r="B124" s="2706"/>
      <c r="C124" s="2706"/>
      <c r="D124" s="2706"/>
      <c r="E124" s="2706"/>
      <c r="F124" s="2706"/>
      <c r="G124" s="2706"/>
      <c r="H124" s="2706"/>
      <c r="I124" s="2706"/>
      <c r="J124" s="2706"/>
      <c r="K124" s="2706"/>
      <c r="L124" s="2706"/>
      <c r="M124" s="2706"/>
      <c r="N124" s="2706"/>
      <c r="O124" s="2706"/>
      <c r="P124" s="2706"/>
      <c r="Q124" s="2706"/>
      <c r="R124" s="2706"/>
      <c r="S124" s="2706"/>
      <c r="T124" s="2706"/>
      <c r="U124" s="2706"/>
      <c r="V124" s="2706"/>
      <c r="W124" s="2706"/>
      <c r="X124" s="2706"/>
      <c r="Y124" s="2706"/>
      <c r="Z124" s="2706"/>
      <c r="AA124" s="2706"/>
      <c r="AB124" s="2706"/>
      <c r="AC124" s="610"/>
      <c r="AD124" s="610"/>
      <c r="AE124" s="610"/>
      <c r="AF124" s="610"/>
    </row>
    <row r="125" spans="1:32" s="457" customFormat="1" ht="18" customHeight="1" x14ac:dyDescent="0.2">
      <c r="A125" s="2704" t="s">
        <v>371</v>
      </c>
      <c r="B125" s="2704"/>
      <c r="C125" s="2704"/>
      <c r="D125" s="2704"/>
      <c r="E125" s="2704"/>
      <c r="F125" s="2704"/>
      <c r="G125" s="2704"/>
      <c r="H125" s="2704"/>
      <c r="I125" s="2704"/>
      <c r="J125" s="2704"/>
      <c r="K125" s="2704"/>
      <c r="L125" s="2704"/>
      <c r="M125" s="2704"/>
      <c r="N125" s="2704"/>
      <c r="O125" s="2704"/>
      <c r="P125" s="2704"/>
      <c r="Q125" s="2704"/>
      <c r="R125" s="2704"/>
      <c r="S125" s="2704"/>
      <c r="T125" s="2704"/>
      <c r="U125" s="2704"/>
      <c r="V125" s="2704"/>
      <c r="W125" s="2704"/>
      <c r="X125" s="2704"/>
      <c r="Y125" s="2704"/>
      <c r="Z125" s="2704"/>
      <c r="AA125" s="2704"/>
      <c r="AB125" s="2704"/>
      <c r="AC125" s="611"/>
      <c r="AD125" s="611"/>
      <c r="AE125" s="611"/>
      <c r="AF125" s="611"/>
    </row>
    <row r="126" spans="1:32" s="457" customFormat="1" ht="18" customHeight="1" x14ac:dyDescent="0.2">
      <c r="A126" s="2686" t="s">
        <v>2</v>
      </c>
      <c r="B126" s="360"/>
      <c r="C126" s="2686" t="s">
        <v>3</v>
      </c>
      <c r="D126" s="360"/>
      <c r="E126" s="360"/>
      <c r="F126" s="2693" t="s">
        <v>4</v>
      </c>
      <c r="G126" s="2693"/>
      <c r="H126" s="2693"/>
      <c r="I126" s="2694"/>
      <c r="J126" s="2694"/>
      <c r="K126" s="2695"/>
      <c r="L126" s="361"/>
      <c r="M126" s="2679" t="s">
        <v>5</v>
      </c>
      <c r="N126" s="2679"/>
      <c r="O126" s="2679"/>
      <c r="P126" s="2679"/>
      <c r="Q126" s="2696"/>
      <c r="R126" s="2696"/>
      <c r="S126" s="2696"/>
      <c r="T126" s="2696"/>
      <c r="U126" s="2696"/>
      <c r="V126" s="2697"/>
      <c r="W126" s="362" t="s">
        <v>6</v>
      </c>
      <c r="X126" s="363" t="s">
        <v>7</v>
      </c>
      <c r="Y126" s="364"/>
      <c r="Z126" s="364"/>
      <c r="AA126" s="363"/>
      <c r="AB126" s="458"/>
      <c r="AC126" s="612" t="s">
        <v>8</v>
      </c>
      <c r="AD126" s="613"/>
      <c r="AE126" s="613"/>
      <c r="AF126" s="614"/>
    </row>
    <row r="127" spans="1:32" s="457" customFormat="1" ht="18" customHeight="1" x14ac:dyDescent="0.2">
      <c r="A127" s="2687"/>
      <c r="B127" s="367"/>
      <c r="C127" s="2687"/>
      <c r="D127" s="366" t="s">
        <v>9</v>
      </c>
      <c r="E127" s="366" t="s">
        <v>10</v>
      </c>
      <c r="F127" s="2698" t="s">
        <v>11</v>
      </c>
      <c r="G127" s="2694"/>
      <c r="H127" s="2695"/>
      <c r="I127" s="360"/>
      <c r="J127" s="449" t="s">
        <v>12</v>
      </c>
      <c r="K127" s="360"/>
      <c r="L127" s="2679" t="s">
        <v>2</v>
      </c>
      <c r="M127" s="370"/>
      <c r="N127" s="370"/>
      <c r="O127" s="370"/>
      <c r="P127" s="371"/>
      <c r="Q127" s="459" t="s">
        <v>13</v>
      </c>
      <c r="R127" s="370" t="s">
        <v>12</v>
      </c>
      <c r="S127" s="370" t="s">
        <v>6</v>
      </c>
      <c r="T127" s="2682" t="s">
        <v>14</v>
      </c>
      <c r="U127" s="2683"/>
      <c r="V127" s="375" t="s">
        <v>7</v>
      </c>
      <c r="W127" s="376" t="s">
        <v>15</v>
      </c>
      <c r="X127" s="377" t="s">
        <v>16</v>
      </c>
      <c r="Y127" s="377" t="s">
        <v>17</v>
      </c>
      <c r="Z127" s="377" t="s">
        <v>18</v>
      </c>
      <c r="AA127" s="377"/>
      <c r="AB127" s="460" t="s">
        <v>19</v>
      </c>
      <c r="AC127" s="615" t="s">
        <v>20</v>
      </c>
      <c r="AD127" s="616"/>
      <c r="AE127" s="617" t="s">
        <v>21</v>
      </c>
      <c r="AF127" s="618" t="s">
        <v>22</v>
      </c>
    </row>
    <row r="128" spans="1:32" s="457" customFormat="1" ht="18" customHeight="1" x14ac:dyDescent="0.2">
      <c r="A128" s="2687"/>
      <c r="B128" s="366" t="s">
        <v>23</v>
      </c>
      <c r="C128" s="2687"/>
      <c r="D128" s="366" t="s">
        <v>24</v>
      </c>
      <c r="E128" s="366" t="s">
        <v>25</v>
      </c>
      <c r="F128" s="2699"/>
      <c r="G128" s="2700"/>
      <c r="H128" s="2701"/>
      <c r="I128" s="366" t="s">
        <v>26</v>
      </c>
      <c r="J128" s="380" t="s">
        <v>15</v>
      </c>
      <c r="K128" s="380" t="s">
        <v>6</v>
      </c>
      <c r="L128" s="2680"/>
      <c r="M128" s="381" t="s">
        <v>27</v>
      </c>
      <c r="N128" s="381" t="s">
        <v>10</v>
      </c>
      <c r="O128" s="381" t="s">
        <v>10</v>
      </c>
      <c r="P128" s="385" t="s">
        <v>28</v>
      </c>
      <c r="Q128" s="461" t="s">
        <v>29</v>
      </c>
      <c r="R128" s="385" t="s">
        <v>15</v>
      </c>
      <c r="S128" s="385" t="s">
        <v>15</v>
      </c>
      <c r="T128" s="2684"/>
      <c r="U128" s="2685"/>
      <c r="V128" s="375" t="s">
        <v>30</v>
      </c>
      <c r="W128" s="376" t="s">
        <v>31</v>
      </c>
      <c r="X128" s="377" t="s">
        <v>30</v>
      </c>
      <c r="Y128" s="377" t="s">
        <v>32</v>
      </c>
      <c r="Z128" s="377" t="s">
        <v>7</v>
      </c>
      <c r="AA128" s="377" t="s">
        <v>33</v>
      </c>
      <c r="AB128" s="460" t="s">
        <v>34</v>
      </c>
      <c r="AC128" s="615" t="s">
        <v>35</v>
      </c>
      <c r="AD128" s="617" t="s">
        <v>36</v>
      </c>
      <c r="AE128" s="617" t="s">
        <v>37</v>
      </c>
      <c r="AF128" s="618" t="s">
        <v>38</v>
      </c>
    </row>
    <row r="129" spans="1:32" s="457" customFormat="1" ht="18" customHeight="1" x14ac:dyDescent="0.2">
      <c r="A129" s="2687"/>
      <c r="B129" s="366" t="s">
        <v>39</v>
      </c>
      <c r="C129" s="2687"/>
      <c r="D129" s="366" t="s">
        <v>40</v>
      </c>
      <c r="E129" s="366" t="s">
        <v>41</v>
      </c>
      <c r="F129" s="2686" t="s">
        <v>42</v>
      </c>
      <c r="G129" s="2686" t="s">
        <v>43</v>
      </c>
      <c r="H129" s="2688" t="s">
        <v>44</v>
      </c>
      <c r="I129" s="366" t="s">
        <v>45</v>
      </c>
      <c r="J129" s="380" t="s">
        <v>46</v>
      </c>
      <c r="K129" s="380" t="s">
        <v>47</v>
      </c>
      <c r="L129" s="2680"/>
      <c r="M129" s="381" t="s">
        <v>30</v>
      </c>
      <c r="N129" s="381" t="s">
        <v>30</v>
      </c>
      <c r="O129" s="381" t="s">
        <v>25</v>
      </c>
      <c r="P129" s="385" t="s">
        <v>30</v>
      </c>
      <c r="Q129" s="461" t="s">
        <v>48</v>
      </c>
      <c r="R129" s="385" t="s">
        <v>49</v>
      </c>
      <c r="S129" s="385" t="s">
        <v>30</v>
      </c>
      <c r="T129" s="374" t="s">
        <v>50</v>
      </c>
      <c r="U129" s="374" t="s">
        <v>13</v>
      </c>
      <c r="V129" s="375" t="s">
        <v>51</v>
      </c>
      <c r="W129" s="376" t="s">
        <v>52</v>
      </c>
      <c r="X129" s="377" t="s">
        <v>53</v>
      </c>
      <c r="Y129" s="377" t="s">
        <v>54</v>
      </c>
      <c r="Z129" s="377" t="s">
        <v>55</v>
      </c>
      <c r="AA129" s="377" t="s">
        <v>56</v>
      </c>
      <c r="AB129" s="460" t="s">
        <v>57</v>
      </c>
      <c r="AC129" s="617" t="s">
        <v>58</v>
      </c>
      <c r="AD129" s="617" t="s">
        <v>59</v>
      </c>
      <c r="AE129" s="617" t="s">
        <v>59</v>
      </c>
      <c r="AF129" s="618" t="s">
        <v>60</v>
      </c>
    </row>
    <row r="130" spans="1:32" s="457" customFormat="1" ht="18" customHeight="1" x14ac:dyDescent="0.2">
      <c r="A130" s="2687"/>
      <c r="B130" s="366" t="s">
        <v>61</v>
      </c>
      <c r="C130" s="2687"/>
      <c r="D130" s="366" t="s">
        <v>62</v>
      </c>
      <c r="E130" s="366" t="s">
        <v>63</v>
      </c>
      <c r="F130" s="2687"/>
      <c r="G130" s="2687"/>
      <c r="H130" s="2689"/>
      <c r="I130" s="366" t="s">
        <v>64</v>
      </c>
      <c r="J130" s="380" t="s">
        <v>59</v>
      </c>
      <c r="K130" s="380" t="s">
        <v>59</v>
      </c>
      <c r="L130" s="2680"/>
      <c r="M130" s="381"/>
      <c r="N130" s="381"/>
      <c r="O130" s="381" t="s">
        <v>41</v>
      </c>
      <c r="P130" s="385" t="s">
        <v>65</v>
      </c>
      <c r="Q130" s="461" t="s">
        <v>66</v>
      </c>
      <c r="R130" s="385" t="s">
        <v>67</v>
      </c>
      <c r="S130" s="385" t="s">
        <v>59</v>
      </c>
      <c r="T130" s="375" t="s">
        <v>68</v>
      </c>
      <c r="U130" s="375" t="s">
        <v>14</v>
      </c>
      <c r="V130" s="375" t="s">
        <v>14</v>
      </c>
      <c r="W130" s="376" t="s">
        <v>30</v>
      </c>
      <c r="X130" s="388" t="s">
        <v>69</v>
      </c>
      <c r="Y130" s="388" t="s">
        <v>70</v>
      </c>
      <c r="Z130" s="377" t="s">
        <v>71</v>
      </c>
      <c r="AA130" s="377" t="s">
        <v>72</v>
      </c>
      <c r="AB130" s="460" t="s">
        <v>59</v>
      </c>
      <c r="AC130" s="617" t="s">
        <v>59</v>
      </c>
      <c r="AD130" s="617"/>
      <c r="AE130" s="617"/>
      <c r="AF130" s="618" t="s">
        <v>59</v>
      </c>
    </row>
    <row r="131" spans="1:32" s="457" customFormat="1" ht="18" customHeight="1" x14ac:dyDescent="0.2">
      <c r="A131" s="2692"/>
      <c r="B131" s="390"/>
      <c r="C131" s="2692"/>
      <c r="D131" s="390"/>
      <c r="E131" s="389"/>
      <c r="F131" s="390"/>
      <c r="G131" s="390"/>
      <c r="H131" s="391"/>
      <c r="I131" s="389"/>
      <c r="J131" s="393"/>
      <c r="K131" s="393"/>
      <c r="L131" s="2681"/>
      <c r="M131" s="394"/>
      <c r="N131" s="394"/>
      <c r="O131" s="394" t="s">
        <v>63</v>
      </c>
      <c r="P131" s="394"/>
      <c r="Q131" s="450" t="s">
        <v>72</v>
      </c>
      <c r="R131" s="398" t="s">
        <v>59</v>
      </c>
      <c r="S131" s="398"/>
      <c r="T131" s="398" t="s">
        <v>73</v>
      </c>
      <c r="U131" s="398" t="s">
        <v>59</v>
      </c>
      <c r="V131" s="399" t="s">
        <v>59</v>
      </c>
      <c r="W131" s="400" t="s">
        <v>59</v>
      </c>
      <c r="X131" s="401" t="s">
        <v>59</v>
      </c>
      <c r="Y131" s="401" t="s">
        <v>59</v>
      </c>
      <c r="Z131" s="401" t="s">
        <v>59</v>
      </c>
      <c r="AA131" s="402"/>
      <c r="AB131" s="462"/>
      <c r="AC131" s="625"/>
      <c r="AD131" s="625"/>
      <c r="AE131" s="625"/>
      <c r="AF131" s="626"/>
    </row>
    <row r="132" spans="1:32" s="457" customFormat="1" ht="18" customHeight="1" x14ac:dyDescent="0.25">
      <c r="A132" s="45">
        <v>1</v>
      </c>
      <c r="B132" s="273">
        <v>2399</v>
      </c>
      <c r="C132" s="27">
        <v>113</v>
      </c>
      <c r="D132" s="880" t="s">
        <v>86</v>
      </c>
      <c r="E132" s="27">
        <v>1</v>
      </c>
      <c r="F132" s="27">
        <v>2</v>
      </c>
      <c r="G132" s="27">
        <v>2</v>
      </c>
      <c r="H132" s="557">
        <v>32</v>
      </c>
      <c r="I132" s="77">
        <f t="shared" ref="I132:I139" si="26">F132*400+G132*100+H132</f>
        <v>1032</v>
      </c>
      <c r="J132" s="1154">
        <v>300</v>
      </c>
      <c r="K132" s="297">
        <f>I132*J132</f>
        <v>309600</v>
      </c>
      <c r="L132" s="269"/>
      <c r="M132" s="88"/>
      <c r="N132" s="27"/>
      <c r="O132" s="50"/>
      <c r="P132" s="266"/>
      <c r="Q132" s="62"/>
      <c r="R132" s="672"/>
      <c r="S132" s="296"/>
      <c r="T132" s="323"/>
      <c r="U132" s="299"/>
      <c r="V132" s="299"/>
      <c r="W132" s="296">
        <v>309600</v>
      </c>
      <c r="X132" s="299">
        <v>309600</v>
      </c>
      <c r="Y132" s="296" t="s">
        <v>87</v>
      </c>
      <c r="Z132" s="296">
        <v>0</v>
      </c>
      <c r="AA132" s="494">
        <v>0.01</v>
      </c>
      <c r="AB132" s="406">
        <f t="shared" ref="AB132:AB139" si="27">+Z132*AA132/100</f>
        <v>0</v>
      </c>
      <c r="AC132" s="602"/>
      <c r="AD132" s="603">
        <f>AB132-AC132</f>
        <v>0</v>
      </c>
      <c r="AE132" s="603">
        <f>IF(AD132&lt;=0,0,AD132*25/100)</f>
        <v>0</v>
      </c>
      <c r="AF132" s="603">
        <f>IF(AC132+AE132&gt;AB132,AB132,AC132+AE132)</f>
        <v>0</v>
      </c>
    </row>
    <row r="133" spans="1:32" s="457" customFormat="1" ht="18" customHeight="1" x14ac:dyDescent="0.25">
      <c r="A133" s="50">
        <v>2</v>
      </c>
      <c r="B133" s="287">
        <v>2678</v>
      </c>
      <c r="C133" s="15">
        <v>114</v>
      </c>
      <c r="D133" s="27" t="s">
        <v>86</v>
      </c>
      <c r="E133" s="15">
        <v>1</v>
      </c>
      <c r="F133" s="15">
        <v>1</v>
      </c>
      <c r="G133" s="15">
        <v>0</v>
      </c>
      <c r="H133" s="284">
        <v>4</v>
      </c>
      <c r="I133" s="77">
        <f t="shared" si="26"/>
        <v>404</v>
      </c>
      <c r="J133" s="671">
        <v>300</v>
      </c>
      <c r="K133" s="297">
        <f t="shared" ref="K133:K139" si="28">I133*J133</f>
        <v>121200</v>
      </c>
      <c r="L133" s="269"/>
      <c r="M133" s="88"/>
      <c r="N133" s="27"/>
      <c r="O133" s="50"/>
      <c r="P133" s="266"/>
      <c r="Q133" s="62"/>
      <c r="R133" s="672"/>
      <c r="S133" s="296"/>
      <c r="T133" s="323"/>
      <c r="U133" s="299"/>
      <c r="V133" s="299"/>
      <c r="W133" s="296">
        <v>121200</v>
      </c>
      <c r="X133" s="299">
        <v>121200</v>
      </c>
      <c r="Y133" s="296" t="s">
        <v>87</v>
      </c>
      <c r="Z133" s="296">
        <v>0</v>
      </c>
      <c r="AA133" s="494">
        <v>0.01</v>
      </c>
      <c r="AB133" s="415">
        <f t="shared" si="27"/>
        <v>0</v>
      </c>
      <c r="AC133" s="350"/>
      <c r="AD133" s="350"/>
      <c r="AE133" s="350"/>
      <c r="AF133" s="350"/>
    </row>
    <row r="134" spans="1:32" s="457" customFormat="1" ht="18" customHeight="1" x14ac:dyDescent="0.25">
      <c r="A134" s="269">
        <v>3</v>
      </c>
      <c r="B134" s="269">
        <v>2395</v>
      </c>
      <c r="C134" s="285" t="s">
        <v>148</v>
      </c>
      <c r="D134" s="27" t="s">
        <v>86</v>
      </c>
      <c r="E134" s="15">
        <v>1</v>
      </c>
      <c r="F134" s="268">
        <v>11</v>
      </c>
      <c r="G134" s="269">
        <v>3</v>
      </c>
      <c r="H134" s="266">
        <v>80</v>
      </c>
      <c r="I134" s="77">
        <f t="shared" si="26"/>
        <v>4780</v>
      </c>
      <c r="J134" s="671">
        <v>1050</v>
      </c>
      <c r="K134" s="297">
        <f t="shared" si="28"/>
        <v>5019000</v>
      </c>
      <c r="L134" s="269"/>
      <c r="M134" s="241"/>
      <c r="N134" s="255"/>
      <c r="O134" s="50"/>
      <c r="P134" s="266"/>
      <c r="Q134" s="62"/>
      <c r="R134" s="672"/>
      <c r="S134" s="296"/>
      <c r="T134" s="323"/>
      <c r="U134" s="299"/>
      <c r="V134" s="299"/>
      <c r="W134" s="296">
        <v>5019000</v>
      </c>
      <c r="X134" s="299">
        <v>5019000</v>
      </c>
      <c r="Y134" s="296" t="s">
        <v>87</v>
      </c>
      <c r="Z134" s="296">
        <v>0</v>
      </c>
      <c r="AA134" s="494">
        <v>0.01</v>
      </c>
      <c r="AB134" s="415">
        <f t="shared" si="27"/>
        <v>0</v>
      </c>
      <c r="AC134" s="350"/>
      <c r="AD134" s="350"/>
      <c r="AE134" s="350"/>
      <c r="AF134" s="350"/>
    </row>
    <row r="135" spans="1:32" s="457" customFormat="1" ht="18" customHeight="1" x14ac:dyDescent="0.25">
      <c r="A135" s="269">
        <v>4</v>
      </c>
      <c r="B135" s="269">
        <v>2732</v>
      </c>
      <c r="C135" s="285" t="s">
        <v>154</v>
      </c>
      <c r="D135" s="27" t="s">
        <v>86</v>
      </c>
      <c r="E135" s="27">
        <v>1</v>
      </c>
      <c r="F135" s="268">
        <v>9</v>
      </c>
      <c r="G135" s="269">
        <v>3</v>
      </c>
      <c r="H135" s="266">
        <v>68</v>
      </c>
      <c r="I135" s="77">
        <f t="shared" si="26"/>
        <v>3968</v>
      </c>
      <c r="J135" s="671">
        <v>1500</v>
      </c>
      <c r="K135" s="297">
        <f t="shared" si="28"/>
        <v>5952000</v>
      </c>
      <c r="L135" s="269"/>
      <c r="M135" s="242"/>
      <c r="N135" s="269"/>
      <c r="O135" s="45"/>
      <c r="P135" s="266"/>
      <c r="Q135" s="62"/>
      <c r="R135" s="743"/>
      <c r="S135" s="299"/>
      <c r="T135" s="323"/>
      <c r="U135" s="299"/>
      <c r="V135" s="299"/>
      <c r="W135" s="299">
        <v>5952000</v>
      </c>
      <c r="X135" s="299">
        <v>5952000</v>
      </c>
      <c r="Y135" s="299" t="s">
        <v>87</v>
      </c>
      <c r="Z135" s="305">
        <v>0</v>
      </c>
      <c r="AA135" s="494">
        <v>0.01</v>
      </c>
      <c r="AB135" s="415">
        <f t="shared" si="27"/>
        <v>0</v>
      </c>
      <c r="AC135" s="350"/>
      <c r="AD135" s="350"/>
      <c r="AE135" s="350"/>
      <c r="AF135" s="350"/>
    </row>
    <row r="136" spans="1:32" s="457" customFormat="1" ht="18" customHeight="1" x14ac:dyDescent="0.25">
      <c r="A136" s="269">
        <v>5</v>
      </c>
      <c r="B136" s="269">
        <v>2733</v>
      </c>
      <c r="C136" s="285" t="s">
        <v>155</v>
      </c>
      <c r="D136" s="27" t="s">
        <v>86</v>
      </c>
      <c r="E136" s="15">
        <v>1</v>
      </c>
      <c r="F136" s="268">
        <v>1</v>
      </c>
      <c r="G136" s="269">
        <v>1</v>
      </c>
      <c r="H136" s="266">
        <v>52</v>
      </c>
      <c r="I136" s="77">
        <f t="shared" si="26"/>
        <v>552</v>
      </c>
      <c r="J136" s="671">
        <v>1700</v>
      </c>
      <c r="K136" s="297">
        <f t="shared" si="28"/>
        <v>938400</v>
      </c>
      <c r="L136" s="269"/>
      <c r="M136" s="242"/>
      <c r="N136" s="269"/>
      <c r="O136" s="50"/>
      <c r="P136" s="266"/>
      <c r="Q136" s="62"/>
      <c r="R136" s="672"/>
      <c r="S136" s="296"/>
      <c r="T136" s="323"/>
      <c r="U136" s="299"/>
      <c r="V136" s="299"/>
      <c r="W136" s="296">
        <v>938400</v>
      </c>
      <c r="X136" s="299">
        <v>938400</v>
      </c>
      <c r="Y136" s="296" t="s">
        <v>87</v>
      </c>
      <c r="Z136" s="306">
        <v>0</v>
      </c>
      <c r="AA136" s="494">
        <v>0.01</v>
      </c>
      <c r="AB136" s="415">
        <f t="shared" si="27"/>
        <v>0</v>
      </c>
      <c r="AC136" s="350"/>
      <c r="AD136" s="350"/>
      <c r="AE136" s="350"/>
      <c r="AF136" s="350"/>
    </row>
    <row r="137" spans="1:32" s="457" customFormat="1" ht="18" customHeight="1" x14ac:dyDescent="0.25">
      <c r="A137" s="15">
        <v>6</v>
      </c>
      <c r="B137" s="287">
        <v>2341</v>
      </c>
      <c r="C137" s="15">
        <v>333</v>
      </c>
      <c r="D137" s="15" t="s">
        <v>86</v>
      </c>
      <c r="E137" s="15">
        <v>2</v>
      </c>
      <c r="F137" s="15">
        <v>0</v>
      </c>
      <c r="G137" s="15">
        <v>3</v>
      </c>
      <c r="H137" s="22">
        <v>88.25</v>
      </c>
      <c r="I137" s="77">
        <f t="shared" si="26"/>
        <v>388.25</v>
      </c>
      <c r="J137" s="759">
        <v>2300</v>
      </c>
      <c r="K137" s="297">
        <f t="shared" si="28"/>
        <v>892975</v>
      </c>
      <c r="L137" s="255">
        <v>1</v>
      </c>
      <c r="M137" s="88">
        <v>106</v>
      </c>
      <c r="N137" s="15" t="s">
        <v>96</v>
      </c>
      <c r="O137" s="50">
        <v>2</v>
      </c>
      <c r="P137" s="848">
        <v>114.34</v>
      </c>
      <c r="Q137" s="76" t="s">
        <v>75</v>
      </c>
      <c r="R137" s="672">
        <v>7950</v>
      </c>
      <c r="S137" s="47">
        <f t="shared" ref="S137:S138" si="29">+P137*R137</f>
        <v>909003</v>
      </c>
      <c r="T137" s="1820">
        <v>38</v>
      </c>
      <c r="U137" s="1670">
        <f>+S137*0.85</f>
        <v>772652.54999999993</v>
      </c>
      <c r="V137" s="18">
        <f t="shared" ref="V137" si="30">+S137-U137</f>
        <v>136350.45000000007</v>
      </c>
      <c r="W137" s="18">
        <f t="shared" ref="W137" si="31">K137+V137</f>
        <v>1029325.4500000001</v>
      </c>
      <c r="X137" s="47">
        <f t="shared" ref="X137" si="32">W137</f>
        <v>1029325.4500000001</v>
      </c>
      <c r="Y137" s="296" t="s">
        <v>87</v>
      </c>
      <c r="Z137" s="296">
        <v>0</v>
      </c>
      <c r="AA137" s="494">
        <v>0.02</v>
      </c>
      <c r="AB137" s="410">
        <f t="shared" si="27"/>
        <v>0</v>
      </c>
      <c r="AC137" s="350"/>
      <c r="AD137" s="350"/>
      <c r="AE137" s="350"/>
      <c r="AF137" s="350"/>
    </row>
    <row r="138" spans="1:32" s="457" customFormat="1" ht="18" customHeight="1" x14ac:dyDescent="0.25">
      <c r="A138" s="1155"/>
      <c r="B138" s="1819"/>
      <c r="C138" s="1156"/>
      <c r="D138" s="1016"/>
      <c r="E138" s="936"/>
      <c r="F138" s="936"/>
      <c r="G138" s="936"/>
      <c r="H138" s="22">
        <v>6.75</v>
      </c>
      <c r="I138" s="77">
        <f t="shared" si="26"/>
        <v>6.75</v>
      </c>
      <c r="J138" s="759">
        <v>2300</v>
      </c>
      <c r="K138" s="297">
        <f t="shared" si="28"/>
        <v>15525</v>
      </c>
      <c r="L138" s="269">
        <v>2</v>
      </c>
      <c r="M138" s="145">
        <v>504</v>
      </c>
      <c r="N138" s="15" t="s">
        <v>74</v>
      </c>
      <c r="O138" s="50">
        <v>2</v>
      </c>
      <c r="P138" s="266">
        <v>27</v>
      </c>
      <c r="Q138" s="62" t="s">
        <v>75</v>
      </c>
      <c r="R138" s="672">
        <v>3100</v>
      </c>
      <c r="S138" s="47">
        <f t="shared" si="29"/>
        <v>83700</v>
      </c>
      <c r="T138" s="1627">
        <v>38</v>
      </c>
      <c r="U138" s="1670">
        <f>+S138*0.66</f>
        <v>55242</v>
      </c>
      <c r="V138" s="18">
        <f t="shared" ref="V138" si="33">+S138-U138</f>
        <v>28458</v>
      </c>
      <c r="W138" s="18">
        <f t="shared" ref="W138" si="34">K138+V138</f>
        <v>43983</v>
      </c>
      <c r="X138" s="47">
        <f t="shared" ref="X138" si="35">W138</f>
        <v>43983</v>
      </c>
      <c r="Y138" s="296" t="s">
        <v>87</v>
      </c>
      <c r="Z138" s="296">
        <v>0</v>
      </c>
      <c r="AA138" s="494">
        <v>0.02</v>
      </c>
      <c r="AB138" s="415">
        <f t="shared" si="27"/>
        <v>0</v>
      </c>
      <c r="AC138" s="350"/>
      <c r="AD138" s="350"/>
      <c r="AE138" s="350"/>
      <c r="AF138" s="350"/>
    </row>
    <row r="139" spans="1:32" s="457" customFormat="1" ht="18" customHeight="1" x14ac:dyDescent="0.25">
      <c r="A139" s="269">
        <v>7</v>
      </c>
      <c r="B139" s="269">
        <v>2564</v>
      </c>
      <c r="C139" s="285" t="s">
        <v>156</v>
      </c>
      <c r="D139" s="27" t="s">
        <v>86</v>
      </c>
      <c r="E139" s="273">
        <v>4</v>
      </c>
      <c r="F139" s="268">
        <v>0</v>
      </c>
      <c r="G139" s="269">
        <v>3</v>
      </c>
      <c r="H139" s="266">
        <v>12</v>
      </c>
      <c r="I139" s="77">
        <f t="shared" si="26"/>
        <v>312</v>
      </c>
      <c r="J139" s="671">
        <v>2300</v>
      </c>
      <c r="K139" s="297">
        <f t="shared" si="28"/>
        <v>717600</v>
      </c>
      <c r="L139" s="269"/>
      <c r="M139" s="242"/>
      <c r="N139" s="269"/>
      <c r="O139" s="269"/>
      <c r="P139" s="266"/>
      <c r="Q139" s="285"/>
      <c r="R139" s="1005"/>
      <c r="S139" s="321"/>
      <c r="T139" s="323"/>
      <c r="U139" s="299"/>
      <c r="V139" s="299"/>
      <c r="W139" s="296">
        <v>717600</v>
      </c>
      <c r="X139" s="299">
        <v>717600</v>
      </c>
      <c r="Y139" s="296">
        <v>0</v>
      </c>
      <c r="Z139" s="296">
        <f>X139</f>
        <v>717600</v>
      </c>
      <c r="AA139" s="494">
        <v>0.3</v>
      </c>
      <c r="AB139" s="415">
        <f t="shared" si="27"/>
        <v>2152.8000000000002</v>
      </c>
      <c r="AC139" s="350"/>
      <c r="AD139" s="350"/>
      <c r="AE139" s="350"/>
      <c r="AF139" s="350"/>
    </row>
    <row r="140" spans="1:32" s="457" customFormat="1" ht="18" customHeight="1" x14ac:dyDescent="0.25">
      <c r="A140" s="269"/>
      <c r="B140" s="269"/>
      <c r="C140" s="285"/>
      <c r="D140" s="27"/>
      <c r="E140" s="273"/>
      <c r="F140" s="268"/>
      <c r="G140" s="269"/>
      <c r="H140" s="266"/>
      <c r="I140" s="296"/>
      <c r="J140" s="324"/>
      <c r="K140" s="330"/>
      <c r="L140" s="269"/>
      <c r="M140" s="242"/>
      <c r="N140" s="269"/>
      <c r="O140" s="269"/>
      <c r="P140" s="266"/>
      <c r="Q140" s="285"/>
      <c r="R140" s="1005"/>
      <c r="S140" s="321"/>
      <c r="T140" s="323"/>
      <c r="U140" s="321"/>
      <c r="V140" s="321"/>
      <c r="W140" s="321"/>
      <c r="X140" s="321"/>
      <c r="Y140" s="321"/>
      <c r="Z140" s="321"/>
      <c r="AA140" s="708"/>
      <c r="AB140" s="466"/>
      <c r="AC140" s="350"/>
      <c r="AD140" s="350"/>
      <c r="AE140" s="350"/>
      <c r="AF140" s="350"/>
    </row>
    <row r="141" spans="1:32" s="457" customFormat="1" ht="18" customHeight="1" x14ac:dyDescent="0.2">
      <c r="A141" s="145"/>
      <c r="B141" s="177"/>
      <c r="C141" s="177"/>
      <c r="D141" s="145"/>
      <c r="E141" s="145"/>
      <c r="F141" s="145"/>
      <c r="G141" s="145"/>
      <c r="H141" s="147"/>
      <c r="I141" s="107"/>
      <c r="J141" s="178"/>
      <c r="K141" s="107"/>
      <c r="L141" s="145"/>
      <c r="M141" s="145"/>
      <c r="N141" s="145"/>
      <c r="O141" s="145"/>
      <c r="P141" s="147"/>
      <c r="Q141" s="148"/>
      <c r="R141" s="437"/>
      <c r="S141" s="107"/>
      <c r="T141" s="179"/>
      <c r="U141" s="178"/>
      <c r="V141" s="107"/>
      <c r="W141" s="107"/>
      <c r="X141" s="470"/>
      <c r="Y141" s="470"/>
      <c r="Z141" s="471"/>
      <c r="AA141" s="471"/>
      <c r="AB141" s="466"/>
      <c r="AC141" s="350"/>
      <c r="AD141" s="350"/>
      <c r="AE141" s="350"/>
      <c r="AF141" s="350"/>
    </row>
    <row r="142" spans="1:32" s="457" customFormat="1" ht="18" customHeight="1" x14ac:dyDescent="0.2">
      <c r="A142" s="145"/>
      <c r="B142" s="177"/>
      <c r="C142" s="177"/>
      <c r="D142" s="145"/>
      <c r="E142" s="145"/>
      <c r="F142" s="145"/>
      <c r="G142" s="145"/>
      <c r="H142" s="147"/>
      <c r="I142" s="107"/>
      <c r="J142" s="178"/>
      <c r="K142" s="107"/>
      <c r="L142" s="145"/>
      <c r="M142" s="145"/>
      <c r="N142" s="145"/>
      <c r="O142" s="145"/>
      <c r="P142" s="147"/>
      <c r="Q142" s="148"/>
      <c r="R142" s="437"/>
      <c r="S142" s="107"/>
      <c r="T142" s="179"/>
      <c r="U142" s="178"/>
      <c r="V142" s="107"/>
      <c r="W142" s="107"/>
      <c r="X142" s="470"/>
      <c r="Y142" s="470"/>
      <c r="Z142" s="471"/>
      <c r="AA142" s="471"/>
      <c r="AB142" s="466"/>
      <c r="AC142" s="350"/>
      <c r="AD142" s="350"/>
      <c r="AE142" s="350"/>
      <c r="AF142" s="350"/>
    </row>
    <row r="143" spans="1:32" s="457" customFormat="1" ht="18" customHeight="1" x14ac:dyDescent="0.2">
      <c r="A143" s="145"/>
      <c r="B143" s="177"/>
      <c r="C143" s="177"/>
      <c r="D143" s="145"/>
      <c r="E143" s="145"/>
      <c r="F143" s="145"/>
      <c r="G143" s="145"/>
      <c r="H143" s="147"/>
      <c r="I143" s="107"/>
      <c r="J143" s="178"/>
      <c r="K143" s="107"/>
      <c r="L143" s="145"/>
      <c r="M143" s="145"/>
      <c r="N143" s="145"/>
      <c r="O143" s="145"/>
      <c r="P143" s="147"/>
      <c r="Q143" s="148"/>
      <c r="R143" s="437"/>
      <c r="S143" s="107"/>
      <c r="T143" s="179"/>
      <c r="U143" s="178"/>
      <c r="V143" s="107"/>
      <c r="W143" s="107"/>
      <c r="X143" s="470"/>
      <c r="Y143" s="470"/>
      <c r="Z143" s="471"/>
      <c r="AA143" s="471"/>
      <c r="AB143" s="466"/>
      <c r="AC143" s="350"/>
      <c r="AD143" s="350"/>
      <c r="AE143" s="350"/>
      <c r="AF143" s="350"/>
    </row>
    <row r="144" spans="1:32" s="457" customFormat="1" ht="18" customHeight="1" x14ac:dyDescent="0.2">
      <c r="A144" s="145"/>
      <c r="B144" s="177"/>
      <c r="C144" s="177"/>
      <c r="D144" s="145"/>
      <c r="E144" s="145"/>
      <c r="F144" s="145"/>
      <c r="G144" s="145"/>
      <c r="H144" s="147"/>
      <c r="I144" s="107"/>
      <c r="J144" s="178"/>
      <c r="K144" s="107"/>
      <c r="L144" s="145"/>
      <c r="M144" s="145"/>
      <c r="N144" s="145"/>
      <c r="O144" s="145"/>
      <c r="P144" s="147"/>
      <c r="Q144" s="148"/>
      <c r="R144" s="437"/>
      <c r="S144" s="107"/>
      <c r="T144" s="179"/>
      <c r="U144" s="178"/>
      <c r="V144" s="107"/>
      <c r="W144" s="107"/>
      <c r="X144" s="470"/>
      <c r="Y144" s="470"/>
      <c r="Z144" s="471"/>
      <c r="AA144" s="471"/>
      <c r="AB144" s="466"/>
      <c r="AC144" s="350"/>
      <c r="AD144" s="350"/>
      <c r="AE144" s="350"/>
      <c r="AF144" s="350"/>
    </row>
    <row r="145" spans="1:32" s="457" customFormat="1" ht="18" customHeight="1" x14ac:dyDescent="0.2">
      <c r="A145" s="145"/>
      <c r="B145" s="177"/>
      <c r="C145" s="177"/>
      <c r="D145" s="145"/>
      <c r="E145" s="145"/>
      <c r="F145" s="145"/>
      <c r="G145" s="145"/>
      <c r="H145" s="147"/>
      <c r="I145" s="107"/>
      <c r="J145" s="178"/>
      <c r="K145" s="107"/>
      <c r="L145" s="145"/>
      <c r="M145" s="145"/>
      <c r="N145" s="145"/>
      <c r="O145" s="145"/>
      <c r="P145" s="147"/>
      <c r="Q145" s="148"/>
      <c r="R145" s="437"/>
      <c r="S145" s="107"/>
      <c r="T145" s="179"/>
      <c r="U145" s="178"/>
      <c r="V145" s="107"/>
      <c r="W145" s="107"/>
      <c r="X145" s="470"/>
      <c r="Y145" s="470"/>
      <c r="Z145" s="471"/>
      <c r="AA145" s="471"/>
      <c r="AB145" s="466"/>
      <c r="AC145" s="350"/>
      <c r="AD145" s="350"/>
      <c r="AE145" s="350"/>
      <c r="AF145" s="350"/>
    </row>
    <row r="146" spans="1:32" s="457" customFormat="1" ht="18" customHeight="1" x14ac:dyDescent="0.2">
      <c r="A146" s="88"/>
      <c r="B146" s="180"/>
      <c r="C146" s="180"/>
      <c r="D146" s="88"/>
      <c r="E146" s="88"/>
      <c r="F146" s="88"/>
      <c r="G146" s="88"/>
      <c r="H146" s="120"/>
      <c r="I146" s="121"/>
      <c r="J146" s="181"/>
      <c r="K146" s="121"/>
      <c r="L146" s="88"/>
      <c r="M146" s="88"/>
      <c r="N146" s="88"/>
      <c r="O146" s="88"/>
      <c r="P146" s="88"/>
      <c r="Q146" s="129"/>
      <c r="R146" s="445"/>
      <c r="S146" s="121"/>
      <c r="T146" s="182"/>
      <c r="U146" s="181"/>
      <c r="V146" s="121"/>
      <c r="W146" s="121"/>
      <c r="X146" s="472"/>
      <c r="Y146" s="472"/>
      <c r="Z146" s="473"/>
      <c r="AA146" s="473"/>
      <c r="AB146" s="410"/>
      <c r="AC146" s="351"/>
      <c r="AD146" s="351"/>
      <c r="AE146" s="351"/>
      <c r="AF146" s="351"/>
    </row>
    <row r="147" spans="1:32" s="457" customFormat="1" ht="18" customHeight="1" x14ac:dyDescent="0.2">
      <c r="A147" s="183"/>
      <c r="B147" s="183"/>
      <c r="C147" s="183"/>
      <c r="D147" s="183"/>
      <c r="E147" s="183"/>
      <c r="F147" s="183"/>
      <c r="G147" s="183"/>
      <c r="H147" s="184"/>
      <c r="I147" s="185"/>
      <c r="J147" s="186"/>
      <c r="K147" s="185"/>
      <c r="L147" s="185"/>
      <c r="M147" s="185"/>
      <c r="N147" s="185"/>
      <c r="O147" s="185"/>
      <c r="P147" s="185"/>
      <c r="Q147" s="185"/>
      <c r="R147" s="438"/>
      <c r="S147" s="185"/>
      <c r="T147" s="187"/>
      <c r="U147" s="186"/>
      <c r="V147" s="185"/>
      <c r="W147" s="185"/>
      <c r="X147" s="474"/>
      <c r="Y147" s="474"/>
      <c r="Z147" s="475"/>
      <c r="AA147" s="475"/>
      <c r="AB147" s="1847">
        <f>SUM(AB132:AB146)</f>
        <v>2152.8000000000002</v>
      </c>
      <c r="AC147" s="349"/>
      <c r="AD147" s="349"/>
      <c r="AE147" s="349"/>
      <c r="AF147" s="349"/>
    </row>
    <row r="148" spans="1:32" s="457" customFormat="1" ht="18" customHeight="1" x14ac:dyDescent="0.2">
      <c r="A148" s="2737" t="s">
        <v>76</v>
      </c>
      <c r="B148" s="2737"/>
      <c r="C148" s="2738" t="s">
        <v>77</v>
      </c>
      <c r="D148" s="2738"/>
      <c r="E148" s="2738"/>
      <c r="F148" s="2738"/>
      <c r="G148" s="2738"/>
      <c r="H148" s="2738"/>
      <c r="I148" s="457" t="s">
        <v>78</v>
      </c>
      <c r="AB148" s="478"/>
    </row>
    <row r="149" spans="1:32" s="457" customFormat="1" ht="18" customHeight="1" x14ac:dyDescent="0.2">
      <c r="B149" s="479"/>
      <c r="I149" s="457" t="s">
        <v>79</v>
      </c>
      <c r="AB149" s="478"/>
    </row>
    <row r="150" spans="1:32" s="457" customFormat="1" ht="18" customHeight="1" x14ac:dyDescent="0.2">
      <c r="B150" s="479"/>
      <c r="I150" s="457" t="s">
        <v>80</v>
      </c>
      <c r="AB150" s="478"/>
    </row>
    <row r="151" spans="1:32" s="457" customFormat="1" ht="18" customHeight="1" x14ac:dyDescent="0.2">
      <c r="B151" s="479"/>
      <c r="I151" s="457" t="s">
        <v>81</v>
      </c>
      <c r="AB151" s="478"/>
    </row>
    <row r="152" spans="1:32" s="457" customFormat="1" ht="18" customHeight="1" x14ac:dyDescent="0.2">
      <c r="B152" s="479"/>
      <c r="I152" s="457" t="s">
        <v>88</v>
      </c>
      <c r="AB152" s="478"/>
    </row>
    <row r="153" spans="1:32" s="457" customFormat="1" ht="18" customHeight="1" x14ac:dyDescent="0.2">
      <c r="A153" s="455"/>
      <c r="B153" s="455"/>
      <c r="C153" s="455"/>
      <c r="D153" s="455"/>
      <c r="E153" s="455"/>
      <c r="F153" s="455"/>
      <c r="G153" s="455"/>
      <c r="H153" s="455"/>
      <c r="I153" s="455"/>
      <c r="J153" s="455"/>
      <c r="K153" s="455"/>
      <c r="L153" s="455"/>
      <c r="M153" s="455"/>
      <c r="N153" s="455"/>
      <c r="O153" s="455"/>
      <c r="P153" s="455"/>
      <c r="Q153" s="455"/>
      <c r="R153" s="455"/>
      <c r="S153" s="455"/>
      <c r="T153" s="455"/>
      <c r="U153" s="455"/>
      <c r="V153" s="455"/>
      <c r="W153" s="455"/>
      <c r="X153" s="455"/>
      <c r="Y153" s="455"/>
      <c r="Z153" s="455"/>
      <c r="AA153" s="2705" t="s">
        <v>0</v>
      </c>
      <c r="AB153" s="2705"/>
      <c r="AC153" s="455"/>
      <c r="AD153" s="455"/>
      <c r="AE153" s="455"/>
      <c r="AF153" s="455"/>
    </row>
    <row r="154" spans="1:32" s="457" customFormat="1" ht="18" customHeight="1" x14ac:dyDescent="0.2">
      <c r="A154" s="2706" t="s">
        <v>1</v>
      </c>
      <c r="B154" s="2706"/>
      <c r="C154" s="2706"/>
      <c r="D154" s="2706"/>
      <c r="E154" s="2706"/>
      <c r="F154" s="2706"/>
      <c r="G154" s="2706"/>
      <c r="H154" s="2706"/>
      <c r="I154" s="2706"/>
      <c r="J154" s="2706"/>
      <c r="K154" s="2706"/>
      <c r="L154" s="2706"/>
      <c r="M154" s="2706"/>
      <c r="N154" s="2706"/>
      <c r="O154" s="2706"/>
      <c r="P154" s="2706"/>
      <c r="Q154" s="2706"/>
      <c r="R154" s="2706"/>
      <c r="S154" s="2706"/>
      <c r="T154" s="2706"/>
      <c r="U154" s="2706"/>
      <c r="V154" s="2706"/>
      <c r="W154" s="2706"/>
      <c r="X154" s="2706"/>
      <c r="Y154" s="2706"/>
      <c r="Z154" s="2706"/>
      <c r="AA154" s="2706"/>
      <c r="AB154" s="2706"/>
      <c r="AC154" s="610"/>
      <c r="AD154" s="610"/>
      <c r="AE154" s="610"/>
      <c r="AF154" s="610"/>
    </row>
    <row r="155" spans="1:32" s="457" customFormat="1" ht="18" customHeight="1" x14ac:dyDescent="0.2">
      <c r="A155" s="2704" t="s">
        <v>372</v>
      </c>
      <c r="B155" s="2704"/>
      <c r="C155" s="2704"/>
      <c r="D155" s="2704"/>
      <c r="E155" s="2704"/>
      <c r="F155" s="2704"/>
      <c r="G155" s="2704"/>
      <c r="H155" s="2704"/>
      <c r="I155" s="2704"/>
      <c r="J155" s="2704"/>
      <c r="K155" s="2704"/>
      <c r="L155" s="2704"/>
      <c r="M155" s="2704"/>
      <c r="N155" s="2704"/>
      <c r="O155" s="2704"/>
      <c r="P155" s="2704"/>
      <c r="Q155" s="2704"/>
      <c r="R155" s="2704"/>
      <c r="S155" s="2704"/>
      <c r="T155" s="2704"/>
      <c r="U155" s="2704"/>
      <c r="V155" s="2704"/>
      <c r="W155" s="2704"/>
      <c r="X155" s="2704"/>
      <c r="Y155" s="2704"/>
      <c r="Z155" s="2704"/>
      <c r="AA155" s="2704"/>
      <c r="AB155" s="2704"/>
      <c r="AC155" s="611"/>
      <c r="AD155" s="611"/>
      <c r="AE155" s="611"/>
      <c r="AF155" s="611"/>
    </row>
    <row r="156" spans="1:32" s="457" customFormat="1" ht="18" customHeight="1" x14ac:dyDescent="0.2">
      <c r="A156" s="2686" t="s">
        <v>2</v>
      </c>
      <c r="B156" s="360"/>
      <c r="C156" s="2686" t="s">
        <v>3</v>
      </c>
      <c r="D156" s="360"/>
      <c r="E156" s="360"/>
      <c r="F156" s="2693" t="s">
        <v>4</v>
      </c>
      <c r="G156" s="2693"/>
      <c r="H156" s="2693"/>
      <c r="I156" s="2694"/>
      <c r="J156" s="2694"/>
      <c r="K156" s="2695"/>
      <c r="L156" s="361"/>
      <c r="M156" s="2679" t="s">
        <v>5</v>
      </c>
      <c r="N156" s="2679"/>
      <c r="O156" s="2679"/>
      <c r="P156" s="2679"/>
      <c r="Q156" s="2696"/>
      <c r="R156" s="2696"/>
      <c r="S156" s="2696"/>
      <c r="T156" s="2696"/>
      <c r="U156" s="2696"/>
      <c r="V156" s="2697"/>
      <c r="W156" s="362" t="s">
        <v>6</v>
      </c>
      <c r="X156" s="363" t="s">
        <v>7</v>
      </c>
      <c r="Y156" s="364"/>
      <c r="Z156" s="364"/>
      <c r="AA156" s="363"/>
      <c r="AB156" s="458"/>
      <c r="AC156" s="612" t="s">
        <v>8</v>
      </c>
      <c r="AD156" s="613"/>
      <c r="AE156" s="613"/>
      <c r="AF156" s="614"/>
    </row>
    <row r="157" spans="1:32" s="457" customFormat="1" ht="18" customHeight="1" x14ac:dyDescent="0.2">
      <c r="A157" s="2687"/>
      <c r="B157" s="367"/>
      <c r="C157" s="2687"/>
      <c r="D157" s="366" t="s">
        <v>9</v>
      </c>
      <c r="E157" s="366" t="s">
        <v>10</v>
      </c>
      <c r="F157" s="2698" t="s">
        <v>11</v>
      </c>
      <c r="G157" s="2694"/>
      <c r="H157" s="2695"/>
      <c r="I157" s="360"/>
      <c r="J157" s="449" t="s">
        <v>12</v>
      </c>
      <c r="K157" s="360"/>
      <c r="L157" s="2679" t="s">
        <v>2</v>
      </c>
      <c r="M157" s="370"/>
      <c r="N157" s="370"/>
      <c r="O157" s="370"/>
      <c r="P157" s="371"/>
      <c r="Q157" s="459" t="s">
        <v>13</v>
      </c>
      <c r="R157" s="370" t="s">
        <v>12</v>
      </c>
      <c r="S157" s="370" t="s">
        <v>6</v>
      </c>
      <c r="T157" s="2682" t="s">
        <v>14</v>
      </c>
      <c r="U157" s="2683"/>
      <c r="V157" s="375" t="s">
        <v>7</v>
      </c>
      <c r="W157" s="376" t="s">
        <v>15</v>
      </c>
      <c r="X157" s="377" t="s">
        <v>16</v>
      </c>
      <c r="Y157" s="377" t="s">
        <v>17</v>
      </c>
      <c r="Z157" s="377" t="s">
        <v>18</v>
      </c>
      <c r="AA157" s="377"/>
      <c r="AB157" s="460" t="s">
        <v>19</v>
      </c>
      <c r="AC157" s="615" t="s">
        <v>20</v>
      </c>
      <c r="AD157" s="616"/>
      <c r="AE157" s="617" t="s">
        <v>21</v>
      </c>
      <c r="AF157" s="618" t="s">
        <v>22</v>
      </c>
    </row>
    <row r="158" spans="1:32" s="457" customFormat="1" ht="18" customHeight="1" x14ac:dyDescent="0.2">
      <c r="A158" s="2687"/>
      <c r="B158" s="366" t="s">
        <v>23</v>
      </c>
      <c r="C158" s="2687"/>
      <c r="D158" s="366" t="s">
        <v>24</v>
      </c>
      <c r="E158" s="366" t="s">
        <v>25</v>
      </c>
      <c r="F158" s="2699"/>
      <c r="G158" s="2700"/>
      <c r="H158" s="2701"/>
      <c r="I158" s="366" t="s">
        <v>26</v>
      </c>
      <c r="J158" s="380" t="s">
        <v>15</v>
      </c>
      <c r="K158" s="380" t="s">
        <v>6</v>
      </c>
      <c r="L158" s="2680"/>
      <c r="M158" s="381" t="s">
        <v>27</v>
      </c>
      <c r="N158" s="381" t="s">
        <v>10</v>
      </c>
      <c r="O158" s="381" t="s">
        <v>10</v>
      </c>
      <c r="P158" s="385" t="s">
        <v>28</v>
      </c>
      <c r="Q158" s="461" t="s">
        <v>29</v>
      </c>
      <c r="R158" s="385" t="s">
        <v>15</v>
      </c>
      <c r="S158" s="385" t="s">
        <v>15</v>
      </c>
      <c r="T158" s="2684"/>
      <c r="U158" s="2685"/>
      <c r="V158" s="375" t="s">
        <v>30</v>
      </c>
      <c r="W158" s="376" t="s">
        <v>31</v>
      </c>
      <c r="X158" s="377" t="s">
        <v>30</v>
      </c>
      <c r="Y158" s="377" t="s">
        <v>32</v>
      </c>
      <c r="Z158" s="377" t="s">
        <v>7</v>
      </c>
      <c r="AA158" s="377" t="s">
        <v>33</v>
      </c>
      <c r="AB158" s="460" t="s">
        <v>34</v>
      </c>
      <c r="AC158" s="615" t="s">
        <v>35</v>
      </c>
      <c r="AD158" s="617" t="s">
        <v>36</v>
      </c>
      <c r="AE158" s="617" t="s">
        <v>37</v>
      </c>
      <c r="AF158" s="618" t="s">
        <v>38</v>
      </c>
    </row>
    <row r="159" spans="1:32" s="457" customFormat="1" ht="18" customHeight="1" x14ac:dyDescent="0.2">
      <c r="A159" s="2687"/>
      <c r="B159" s="366" t="s">
        <v>39</v>
      </c>
      <c r="C159" s="2687"/>
      <c r="D159" s="366" t="s">
        <v>40</v>
      </c>
      <c r="E159" s="366" t="s">
        <v>41</v>
      </c>
      <c r="F159" s="2686" t="s">
        <v>42</v>
      </c>
      <c r="G159" s="2686" t="s">
        <v>43</v>
      </c>
      <c r="H159" s="2688" t="s">
        <v>44</v>
      </c>
      <c r="I159" s="366" t="s">
        <v>45</v>
      </c>
      <c r="J159" s="380" t="s">
        <v>46</v>
      </c>
      <c r="K159" s="380" t="s">
        <v>47</v>
      </c>
      <c r="L159" s="2680"/>
      <c r="M159" s="381" t="s">
        <v>30</v>
      </c>
      <c r="N159" s="381" t="s">
        <v>30</v>
      </c>
      <c r="O159" s="381" t="s">
        <v>25</v>
      </c>
      <c r="P159" s="385" t="s">
        <v>30</v>
      </c>
      <c r="Q159" s="461" t="s">
        <v>48</v>
      </c>
      <c r="R159" s="385" t="s">
        <v>49</v>
      </c>
      <c r="S159" s="385" t="s">
        <v>30</v>
      </c>
      <c r="T159" s="374" t="s">
        <v>50</v>
      </c>
      <c r="U159" s="374" t="s">
        <v>13</v>
      </c>
      <c r="V159" s="375" t="s">
        <v>51</v>
      </c>
      <c r="W159" s="376" t="s">
        <v>52</v>
      </c>
      <c r="X159" s="377" t="s">
        <v>53</v>
      </c>
      <c r="Y159" s="377" t="s">
        <v>54</v>
      </c>
      <c r="Z159" s="377" t="s">
        <v>55</v>
      </c>
      <c r="AA159" s="377" t="s">
        <v>56</v>
      </c>
      <c r="AB159" s="460" t="s">
        <v>57</v>
      </c>
      <c r="AC159" s="617" t="s">
        <v>58</v>
      </c>
      <c r="AD159" s="617" t="s">
        <v>59</v>
      </c>
      <c r="AE159" s="617" t="s">
        <v>59</v>
      </c>
      <c r="AF159" s="618" t="s">
        <v>60</v>
      </c>
    </row>
    <row r="160" spans="1:32" s="457" customFormat="1" ht="18" customHeight="1" x14ac:dyDescent="0.2">
      <c r="A160" s="2687"/>
      <c r="B160" s="366" t="s">
        <v>61</v>
      </c>
      <c r="C160" s="2687"/>
      <c r="D160" s="366" t="s">
        <v>62</v>
      </c>
      <c r="E160" s="366" t="s">
        <v>63</v>
      </c>
      <c r="F160" s="2687"/>
      <c r="G160" s="2687"/>
      <c r="H160" s="2689"/>
      <c r="I160" s="366" t="s">
        <v>64</v>
      </c>
      <c r="J160" s="380" t="s">
        <v>59</v>
      </c>
      <c r="K160" s="380" t="s">
        <v>59</v>
      </c>
      <c r="L160" s="2680"/>
      <c r="M160" s="381"/>
      <c r="N160" s="381"/>
      <c r="O160" s="381" t="s">
        <v>41</v>
      </c>
      <c r="P160" s="385" t="s">
        <v>65</v>
      </c>
      <c r="Q160" s="461" t="s">
        <v>66</v>
      </c>
      <c r="R160" s="385" t="s">
        <v>67</v>
      </c>
      <c r="S160" s="385" t="s">
        <v>59</v>
      </c>
      <c r="T160" s="375" t="s">
        <v>68</v>
      </c>
      <c r="U160" s="375" t="s">
        <v>14</v>
      </c>
      <c r="V160" s="375" t="s">
        <v>14</v>
      </c>
      <c r="W160" s="376" t="s">
        <v>30</v>
      </c>
      <c r="X160" s="388" t="s">
        <v>69</v>
      </c>
      <c r="Y160" s="388" t="s">
        <v>70</v>
      </c>
      <c r="Z160" s="377" t="s">
        <v>71</v>
      </c>
      <c r="AA160" s="377" t="s">
        <v>72</v>
      </c>
      <c r="AB160" s="460" t="s">
        <v>59</v>
      </c>
      <c r="AC160" s="617" t="s">
        <v>59</v>
      </c>
      <c r="AD160" s="617"/>
      <c r="AE160" s="617"/>
      <c r="AF160" s="618" t="s">
        <v>59</v>
      </c>
    </row>
    <row r="161" spans="1:32" s="457" customFormat="1" ht="18" customHeight="1" x14ac:dyDescent="0.2">
      <c r="A161" s="2692"/>
      <c r="B161" s="390"/>
      <c r="C161" s="2692"/>
      <c r="D161" s="390"/>
      <c r="E161" s="389"/>
      <c r="F161" s="390"/>
      <c r="G161" s="390"/>
      <c r="H161" s="391"/>
      <c r="I161" s="389"/>
      <c r="J161" s="393"/>
      <c r="K161" s="393"/>
      <c r="L161" s="2681"/>
      <c r="M161" s="394"/>
      <c r="N161" s="394"/>
      <c r="O161" s="394" t="s">
        <v>63</v>
      </c>
      <c r="P161" s="394"/>
      <c r="Q161" s="450" t="s">
        <v>72</v>
      </c>
      <c r="R161" s="398" t="s">
        <v>59</v>
      </c>
      <c r="S161" s="398"/>
      <c r="T161" s="398" t="s">
        <v>73</v>
      </c>
      <c r="U161" s="398" t="s">
        <v>59</v>
      </c>
      <c r="V161" s="399" t="s">
        <v>59</v>
      </c>
      <c r="W161" s="400" t="s">
        <v>59</v>
      </c>
      <c r="X161" s="401" t="s">
        <v>59</v>
      </c>
      <c r="Y161" s="401" t="s">
        <v>59</v>
      </c>
      <c r="Z161" s="401" t="s">
        <v>59</v>
      </c>
      <c r="AA161" s="402"/>
      <c r="AB161" s="462"/>
      <c r="AC161" s="625"/>
      <c r="AD161" s="625"/>
      <c r="AE161" s="625"/>
      <c r="AF161" s="626"/>
    </row>
    <row r="162" spans="1:32" s="457" customFormat="1" ht="18" customHeight="1" x14ac:dyDescent="0.25">
      <c r="A162" s="53">
        <v>1</v>
      </c>
      <c r="B162" s="333">
        <v>49508</v>
      </c>
      <c r="C162" s="41">
        <v>2552</v>
      </c>
      <c r="D162" s="41" t="s">
        <v>86</v>
      </c>
      <c r="E162" s="41">
        <v>2</v>
      </c>
      <c r="F162" s="41">
        <v>1</v>
      </c>
      <c r="G162" s="41">
        <v>2</v>
      </c>
      <c r="H162" s="267">
        <v>0</v>
      </c>
      <c r="I162" s="77">
        <f t="shared" ref="I162" si="36">F162*400+G162*100+H162</f>
        <v>600</v>
      </c>
      <c r="J162" s="667">
        <v>2300</v>
      </c>
      <c r="K162" s="297">
        <f t="shared" ref="K162" si="37">I162*J162</f>
        <v>1380000</v>
      </c>
      <c r="L162" s="16">
        <v>1</v>
      </c>
      <c r="M162" s="82">
        <v>103</v>
      </c>
      <c r="N162" s="41" t="s">
        <v>74</v>
      </c>
      <c r="O162" s="16">
        <v>2</v>
      </c>
      <c r="P162" s="41">
        <v>100</v>
      </c>
      <c r="Q162" s="14" t="s">
        <v>75</v>
      </c>
      <c r="R162" s="741">
        <v>9050</v>
      </c>
      <c r="S162" s="47">
        <f t="shared" ref="S162:S164" si="38">+P162*R162</f>
        <v>905000</v>
      </c>
      <c r="T162" s="1821">
        <v>15</v>
      </c>
      <c r="U162" s="1670">
        <f>+S162*0.2</f>
        <v>181000</v>
      </c>
      <c r="V162" s="18">
        <f t="shared" ref="V162" si="39">+S162-U162</f>
        <v>724000</v>
      </c>
      <c r="W162" s="18">
        <f t="shared" ref="W162" si="40">K162+V162</f>
        <v>2104000</v>
      </c>
      <c r="X162" s="47">
        <f t="shared" ref="X162" si="41">W162</f>
        <v>2104000</v>
      </c>
      <c r="Y162" s="790" t="s">
        <v>87</v>
      </c>
      <c r="Z162" s="302">
        <v>0</v>
      </c>
      <c r="AA162" s="405">
        <v>0.02</v>
      </c>
      <c r="AB162" s="406">
        <f>+Z162*AA162/100</f>
        <v>0</v>
      </c>
      <c r="AC162" s="602"/>
      <c r="AD162" s="603">
        <f>AB162-AC162</f>
        <v>0</v>
      </c>
      <c r="AE162" s="603">
        <f>IF(AD162&lt;=0,0,AD162*25/100)</f>
        <v>0</v>
      </c>
      <c r="AF162" s="603">
        <f>IF(AC162+AE162&gt;AB162,AB162,AC162+AE162)</f>
        <v>0</v>
      </c>
    </row>
    <row r="163" spans="1:32" s="457" customFormat="1" ht="18" customHeight="1" x14ac:dyDescent="0.2">
      <c r="A163" s="242"/>
      <c r="B163" s="27"/>
      <c r="C163" s="27"/>
      <c r="D163" s="27"/>
      <c r="E163" s="27"/>
      <c r="F163" s="27"/>
      <c r="G163" s="27"/>
      <c r="H163" s="557"/>
      <c r="I163" s="299"/>
      <c r="J163" s="671"/>
      <c r="K163" s="304"/>
      <c r="L163" s="45">
        <v>2</v>
      </c>
      <c r="M163" s="88">
        <v>504</v>
      </c>
      <c r="N163" s="27" t="s">
        <v>74</v>
      </c>
      <c r="O163" s="45">
        <v>3</v>
      </c>
      <c r="P163" s="27">
        <v>45</v>
      </c>
      <c r="Q163" s="62" t="s">
        <v>75</v>
      </c>
      <c r="R163" s="672">
        <v>3100</v>
      </c>
      <c r="S163" s="47">
        <f t="shared" si="38"/>
        <v>139500</v>
      </c>
      <c r="T163" s="1501">
        <v>7</v>
      </c>
      <c r="U163" s="1670">
        <f>+S163*0.07</f>
        <v>9765.0000000000018</v>
      </c>
      <c r="V163" s="18">
        <f t="shared" ref="V163:V164" si="42">+S163-U163</f>
        <v>129735</v>
      </c>
      <c r="W163" s="18">
        <f t="shared" ref="W163:W164" si="43">K163+V163</f>
        <v>129735</v>
      </c>
      <c r="X163" s="47">
        <f t="shared" ref="X163:X164" si="44">W163</f>
        <v>129735</v>
      </c>
      <c r="Y163" s="792">
        <v>0</v>
      </c>
      <c r="Z163" s="296">
        <f>X163</f>
        <v>129735</v>
      </c>
      <c r="AA163" s="494">
        <v>0.3</v>
      </c>
      <c r="AB163" s="415">
        <f>+Z163*AA163/100</f>
        <v>389.20499999999998</v>
      </c>
      <c r="AC163" s="350"/>
      <c r="AD163" s="350"/>
      <c r="AE163" s="350"/>
      <c r="AF163" s="350"/>
    </row>
    <row r="164" spans="1:32" s="457" customFormat="1" ht="18" customHeight="1" x14ac:dyDescent="0.2">
      <c r="A164" s="242"/>
      <c r="B164" s="15"/>
      <c r="C164" s="15"/>
      <c r="D164" s="15"/>
      <c r="E164" s="15"/>
      <c r="F164" s="15"/>
      <c r="G164" s="15"/>
      <c r="H164" s="284"/>
      <c r="I164" s="296"/>
      <c r="J164" s="759"/>
      <c r="K164" s="297"/>
      <c r="L164" s="50">
        <v>3</v>
      </c>
      <c r="M164" s="145">
        <v>504</v>
      </c>
      <c r="N164" s="27" t="s">
        <v>74</v>
      </c>
      <c r="O164" s="50">
        <v>3</v>
      </c>
      <c r="P164" s="15">
        <v>184.5</v>
      </c>
      <c r="Q164" s="76" t="s">
        <v>75</v>
      </c>
      <c r="R164" s="672">
        <v>3100</v>
      </c>
      <c r="S164" s="47">
        <f t="shared" si="38"/>
        <v>571950</v>
      </c>
      <c r="T164" s="1515">
        <v>3</v>
      </c>
      <c r="U164" s="1670">
        <f>+S164*0.03</f>
        <v>17158.5</v>
      </c>
      <c r="V164" s="18">
        <f t="shared" si="42"/>
        <v>554791.5</v>
      </c>
      <c r="W164" s="18">
        <f t="shared" si="43"/>
        <v>554791.5</v>
      </c>
      <c r="X164" s="47">
        <f t="shared" si="44"/>
        <v>554791.5</v>
      </c>
      <c r="Y164" s="792">
        <v>0</v>
      </c>
      <c r="Z164" s="296">
        <f>X164</f>
        <v>554791.5</v>
      </c>
      <c r="AA164" s="494">
        <v>0.3</v>
      </c>
      <c r="AB164" s="415">
        <f>+Z164*AA164/100</f>
        <v>1664.3744999999999</v>
      </c>
      <c r="AC164" s="350"/>
      <c r="AD164" s="350"/>
      <c r="AE164" s="350"/>
      <c r="AF164" s="350"/>
    </row>
    <row r="165" spans="1:32" s="457" customFormat="1" ht="18" customHeight="1" x14ac:dyDescent="0.2">
      <c r="A165" s="145"/>
      <c r="B165" s="177"/>
      <c r="C165" s="177"/>
      <c r="D165" s="145"/>
      <c r="E165" s="145"/>
      <c r="F165" s="145"/>
      <c r="G165" s="145"/>
      <c r="H165" s="147"/>
      <c r="I165" s="107"/>
      <c r="J165" s="178"/>
      <c r="K165" s="107"/>
      <c r="L165" s="145"/>
      <c r="M165" s="145"/>
      <c r="N165" s="145"/>
      <c r="O165" s="145"/>
      <c r="P165" s="147"/>
      <c r="Q165" s="148"/>
      <c r="R165" s="437"/>
      <c r="S165" s="107"/>
      <c r="T165" s="179"/>
      <c r="U165" s="178"/>
      <c r="V165" s="107"/>
      <c r="W165" s="107"/>
      <c r="X165" s="470"/>
      <c r="Y165" s="470"/>
      <c r="Z165" s="471"/>
      <c r="AA165" s="471"/>
      <c r="AB165" s="466"/>
      <c r="AC165" s="350"/>
      <c r="AD165" s="350"/>
      <c r="AE165" s="350"/>
      <c r="AF165" s="350"/>
    </row>
    <row r="166" spans="1:32" s="457" customFormat="1" ht="18" customHeight="1" x14ac:dyDescent="0.2">
      <c r="A166" s="145"/>
      <c r="B166" s="177"/>
      <c r="C166" s="177"/>
      <c r="D166" s="145"/>
      <c r="E166" s="145"/>
      <c r="F166" s="145"/>
      <c r="G166" s="145"/>
      <c r="H166" s="147"/>
      <c r="I166" s="107"/>
      <c r="J166" s="178"/>
      <c r="K166" s="107"/>
      <c r="L166" s="145"/>
      <c r="M166" s="145"/>
      <c r="N166" s="145"/>
      <c r="O166" s="145"/>
      <c r="P166" s="147"/>
      <c r="Q166" s="148"/>
      <c r="R166" s="437"/>
      <c r="S166" s="107"/>
      <c r="T166" s="179"/>
      <c r="U166" s="178"/>
      <c r="V166" s="107"/>
      <c r="W166" s="107"/>
      <c r="X166" s="470"/>
      <c r="Y166" s="470"/>
      <c r="Z166" s="471"/>
      <c r="AA166" s="471"/>
      <c r="AB166" s="466"/>
      <c r="AC166" s="350"/>
      <c r="AD166" s="350"/>
      <c r="AE166" s="350"/>
      <c r="AF166" s="350"/>
    </row>
    <row r="167" spans="1:32" s="457" customFormat="1" ht="18" customHeight="1" x14ac:dyDescent="0.2">
      <c r="A167" s="145"/>
      <c r="B167" s="177"/>
      <c r="C167" s="177"/>
      <c r="D167" s="145"/>
      <c r="E167" s="145"/>
      <c r="F167" s="145"/>
      <c r="G167" s="145"/>
      <c r="H167" s="147"/>
      <c r="I167" s="107"/>
      <c r="J167" s="178"/>
      <c r="K167" s="107"/>
      <c r="L167" s="145"/>
      <c r="M167" s="145"/>
      <c r="N167" s="145"/>
      <c r="O167" s="145"/>
      <c r="P167" s="147"/>
      <c r="Q167" s="148"/>
      <c r="R167" s="437"/>
      <c r="S167" s="107"/>
      <c r="T167" s="179"/>
      <c r="U167" s="178"/>
      <c r="V167" s="107"/>
      <c r="W167" s="107"/>
      <c r="X167" s="470"/>
      <c r="Y167" s="470"/>
      <c r="Z167" s="471"/>
      <c r="AA167" s="471"/>
      <c r="AB167" s="466"/>
      <c r="AC167" s="350"/>
      <c r="AD167" s="350"/>
      <c r="AE167" s="350"/>
      <c r="AF167" s="350"/>
    </row>
    <row r="168" spans="1:32" s="457" customFormat="1" ht="18" customHeight="1" x14ac:dyDescent="0.2">
      <c r="A168" s="145"/>
      <c r="B168" s="177"/>
      <c r="C168" s="177"/>
      <c r="D168" s="145"/>
      <c r="E168" s="145"/>
      <c r="F168" s="145"/>
      <c r="G168" s="145"/>
      <c r="H168" s="147"/>
      <c r="I168" s="107"/>
      <c r="J168" s="178"/>
      <c r="K168" s="107"/>
      <c r="L168" s="145"/>
      <c r="M168" s="145"/>
      <c r="N168" s="145"/>
      <c r="O168" s="145"/>
      <c r="P168" s="147"/>
      <c r="Q168" s="148"/>
      <c r="R168" s="437"/>
      <c r="S168" s="107"/>
      <c r="T168" s="179"/>
      <c r="U168" s="178"/>
      <c r="V168" s="107"/>
      <c r="W168" s="107"/>
      <c r="X168" s="470"/>
      <c r="Y168" s="470"/>
      <c r="Z168" s="471"/>
      <c r="AA168" s="471"/>
      <c r="AB168" s="466"/>
      <c r="AC168" s="350"/>
      <c r="AD168" s="350"/>
      <c r="AE168" s="350"/>
      <c r="AF168" s="350"/>
    </row>
    <row r="169" spans="1:32" s="457" customFormat="1" ht="18" customHeight="1" x14ac:dyDescent="0.2">
      <c r="A169" s="145"/>
      <c r="B169" s="177"/>
      <c r="C169" s="177"/>
      <c r="D169" s="145"/>
      <c r="E169" s="145"/>
      <c r="F169" s="145"/>
      <c r="G169" s="145"/>
      <c r="H169" s="147"/>
      <c r="I169" s="107"/>
      <c r="J169" s="178"/>
      <c r="K169" s="107"/>
      <c r="L169" s="145"/>
      <c r="M169" s="145"/>
      <c r="N169" s="145"/>
      <c r="O169" s="145"/>
      <c r="P169" s="147"/>
      <c r="Q169" s="148"/>
      <c r="R169" s="437"/>
      <c r="S169" s="107"/>
      <c r="T169" s="179"/>
      <c r="U169" s="178"/>
      <c r="V169" s="107"/>
      <c r="W169" s="107"/>
      <c r="X169" s="470"/>
      <c r="Y169" s="470"/>
      <c r="Z169" s="471"/>
      <c r="AA169" s="471"/>
      <c r="AB169" s="466"/>
      <c r="AC169" s="350"/>
      <c r="AD169" s="350"/>
      <c r="AE169" s="350"/>
      <c r="AF169" s="350"/>
    </row>
    <row r="170" spans="1:32" s="457" customFormat="1" ht="18" customHeight="1" x14ac:dyDescent="0.2">
      <c r="A170" s="145"/>
      <c r="B170" s="177"/>
      <c r="C170" s="177"/>
      <c r="D170" s="145"/>
      <c r="E170" s="145"/>
      <c r="F170" s="145"/>
      <c r="G170" s="145"/>
      <c r="H170" s="147"/>
      <c r="I170" s="107"/>
      <c r="J170" s="178"/>
      <c r="K170" s="107"/>
      <c r="L170" s="145"/>
      <c r="M170" s="145"/>
      <c r="N170" s="145"/>
      <c r="O170" s="145"/>
      <c r="P170" s="147"/>
      <c r="Q170" s="148"/>
      <c r="R170" s="437"/>
      <c r="S170" s="107"/>
      <c r="T170" s="179"/>
      <c r="U170" s="178"/>
      <c r="V170" s="107"/>
      <c r="W170" s="107"/>
      <c r="X170" s="470"/>
      <c r="Y170" s="470"/>
      <c r="Z170" s="471"/>
      <c r="AA170" s="471"/>
      <c r="AB170" s="466"/>
      <c r="AC170" s="350"/>
      <c r="AD170" s="350"/>
      <c r="AE170" s="350"/>
      <c r="AF170" s="350"/>
    </row>
    <row r="171" spans="1:32" s="457" customFormat="1" ht="18" customHeight="1" x14ac:dyDescent="0.2">
      <c r="A171" s="145"/>
      <c r="B171" s="177"/>
      <c r="C171" s="177"/>
      <c r="D171" s="145"/>
      <c r="E171" s="145"/>
      <c r="F171" s="145"/>
      <c r="G171" s="145"/>
      <c r="H171" s="147"/>
      <c r="I171" s="107"/>
      <c r="J171" s="178"/>
      <c r="K171" s="107"/>
      <c r="L171" s="145"/>
      <c r="M171" s="145"/>
      <c r="N171" s="145"/>
      <c r="O171" s="145"/>
      <c r="P171" s="147"/>
      <c r="Q171" s="148"/>
      <c r="R171" s="437"/>
      <c r="S171" s="107"/>
      <c r="T171" s="179"/>
      <c r="U171" s="178"/>
      <c r="V171" s="107"/>
      <c r="W171" s="107"/>
      <c r="X171" s="470"/>
      <c r="Y171" s="470"/>
      <c r="Z171" s="471"/>
      <c r="AA171" s="471"/>
      <c r="AB171" s="466"/>
      <c r="AC171" s="350"/>
      <c r="AD171" s="350"/>
      <c r="AE171" s="350"/>
      <c r="AF171" s="350"/>
    </row>
    <row r="172" spans="1:32" s="457" customFormat="1" ht="18" customHeight="1" x14ac:dyDescent="0.2">
      <c r="A172" s="145"/>
      <c r="B172" s="177"/>
      <c r="C172" s="177"/>
      <c r="D172" s="145"/>
      <c r="E172" s="145"/>
      <c r="F172" s="145"/>
      <c r="G172" s="145"/>
      <c r="H172" s="147"/>
      <c r="I172" s="107"/>
      <c r="J172" s="178"/>
      <c r="K172" s="107"/>
      <c r="L172" s="145"/>
      <c r="M172" s="145"/>
      <c r="N172" s="145"/>
      <c r="O172" s="145"/>
      <c r="P172" s="147"/>
      <c r="Q172" s="148"/>
      <c r="R172" s="437"/>
      <c r="S172" s="107"/>
      <c r="T172" s="179"/>
      <c r="U172" s="178"/>
      <c r="V172" s="107"/>
      <c r="W172" s="107"/>
      <c r="X172" s="470"/>
      <c r="Y172" s="470"/>
      <c r="Z172" s="471"/>
      <c r="AA172" s="471"/>
      <c r="AB172" s="466"/>
      <c r="AC172" s="350"/>
      <c r="AD172" s="350"/>
      <c r="AE172" s="350"/>
      <c r="AF172" s="350"/>
    </row>
    <row r="173" spans="1:32" s="457" customFormat="1" ht="18" customHeight="1" x14ac:dyDescent="0.2">
      <c r="A173" s="145"/>
      <c r="B173" s="177"/>
      <c r="C173" s="177"/>
      <c r="D173" s="145"/>
      <c r="E173" s="145"/>
      <c r="F173" s="145"/>
      <c r="G173" s="145"/>
      <c r="H173" s="147"/>
      <c r="I173" s="107"/>
      <c r="J173" s="178"/>
      <c r="K173" s="107"/>
      <c r="L173" s="145"/>
      <c r="M173" s="145"/>
      <c r="N173" s="145"/>
      <c r="O173" s="145"/>
      <c r="P173" s="147"/>
      <c r="Q173" s="148"/>
      <c r="R173" s="437"/>
      <c r="S173" s="107"/>
      <c r="T173" s="179"/>
      <c r="U173" s="178"/>
      <c r="V173" s="107"/>
      <c r="W173" s="107"/>
      <c r="X173" s="470"/>
      <c r="Y173" s="470"/>
      <c r="Z173" s="471"/>
      <c r="AA173" s="471"/>
      <c r="AB173" s="466"/>
      <c r="AC173" s="350"/>
      <c r="AD173" s="350"/>
      <c r="AE173" s="350"/>
      <c r="AF173" s="350"/>
    </row>
    <row r="174" spans="1:32" s="457" customFormat="1" ht="18" customHeight="1" x14ac:dyDescent="0.2">
      <c r="A174" s="145"/>
      <c r="B174" s="177"/>
      <c r="C174" s="177"/>
      <c r="D174" s="145"/>
      <c r="E174" s="145"/>
      <c r="F174" s="145"/>
      <c r="G174" s="145"/>
      <c r="H174" s="147"/>
      <c r="I174" s="107"/>
      <c r="J174" s="178"/>
      <c r="K174" s="107"/>
      <c r="L174" s="145"/>
      <c r="M174" s="145"/>
      <c r="N174" s="145"/>
      <c r="O174" s="145"/>
      <c r="P174" s="147"/>
      <c r="Q174" s="148"/>
      <c r="R174" s="437"/>
      <c r="S174" s="107"/>
      <c r="T174" s="179"/>
      <c r="U174" s="178"/>
      <c r="V174" s="107"/>
      <c r="W174" s="107"/>
      <c r="X174" s="470"/>
      <c r="Y174" s="470"/>
      <c r="Z174" s="471"/>
      <c r="AA174" s="471"/>
      <c r="AB174" s="466"/>
      <c r="AC174" s="350"/>
      <c r="AD174" s="350"/>
      <c r="AE174" s="350"/>
      <c r="AF174" s="350"/>
    </row>
    <row r="175" spans="1:32" s="457" customFormat="1" ht="18" customHeight="1" x14ac:dyDescent="0.2">
      <c r="A175" s="145"/>
      <c r="B175" s="177"/>
      <c r="C175" s="177"/>
      <c r="D175" s="145"/>
      <c r="E175" s="145"/>
      <c r="F175" s="145"/>
      <c r="G175" s="145"/>
      <c r="H175" s="147"/>
      <c r="I175" s="107"/>
      <c r="J175" s="178"/>
      <c r="K175" s="107"/>
      <c r="L175" s="145"/>
      <c r="M175" s="145"/>
      <c r="N175" s="145"/>
      <c r="O175" s="145"/>
      <c r="P175" s="147"/>
      <c r="Q175" s="148"/>
      <c r="R175" s="437"/>
      <c r="S175" s="107"/>
      <c r="T175" s="179"/>
      <c r="U175" s="178"/>
      <c r="V175" s="107"/>
      <c r="W175" s="107"/>
      <c r="X175" s="470"/>
      <c r="Y175" s="470"/>
      <c r="Z175" s="471"/>
      <c r="AA175" s="471"/>
      <c r="AB175" s="466"/>
      <c r="AC175" s="350"/>
      <c r="AD175" s="350"/>
      <c r="AE175" s="350"/>
      <c r="AF175" s="350"/>
    </row>
    <row r="176" spans="1:32" s="457" customFormat="1" ht="18" customHeight="1" x14ac:dyDescent="0.2">
      <c r="A176" s="145"/>
      <c r="B176" s="177"/>
      <c r="C176" s="177"/>
      <c r="D176" s="145"/>
      <c r="E176" s="145"/>
      <c r="F176" s="145"/>
      <c r="G176" s="145"/>
      <c r="H176" s="147"/>
      <c r="I176" s="107"/>
      <c r="J176" s="178"/>
      <c r="K176" s="107"/>
      <c r="L176" s="145"/>
      <c r="M176" s="145"/>
      <c r="N176" s="145"/>
      <c r="O176" s="145"/>
      <c r="P176" s="147"/>
      <c r="Q176" s="148"/>
      <c r="R176" s="437"/>
      <c r="S176" s="107"/>
      <c r="T176" s="179"/>
      <c r="U176" s="178"/>
      <c r="V176" s="107"/>
      <c r="W176" s="107"/>
      <c r="X176" s="470"/>
      <c r="Y176" s="470"/>
      <c r="Z176" s="471"/>
      <c r="AA176" s="471"/>
      <c r="AB176" s="466"/>
      <c r="AC176" s="350"/>
      <c r="AD176" s="350"/>
      <c r="AE176" s="350"/>
      <c r="AF176" s="350"/>
    </row>
    <row r="177" spans="1:32" s="457" customFormat="1" ht="18" customHeight="1" x14ac:dyDescent="0.2">
      <c r="A177" s="183"/>
      <c r="B177" s="183"/>
      <c r="C177" s="183"/>
      <c r="D177" s="183"/>
      <c r="E177" s="183"/>
      <c r="F177" s="183"/>
      <c r="G177" s="183"/>
      <c r="H177" s="184"/>
      <c r="I177" s="185"/>
      <c r="J177" s="186"/>
      <c r="K177" s="185"/>
      <c r="L177" s="185"/>
      <c r="M177" s="185"/>
      <c r="N177" s="185"/>
      <c r="O177" s="185"/>
      <c r="P177" s="185"/>
      <c r="Q177" s="185"/>
      <c r="R177" s="438"/>
      <c r="S177" s="185"/>
      <c r="T177" s="187"/>
      <c r="U177" s="186"/>
      <c r="V177" s="185"/>
      <c r="W177" s="185"/>
      <c r="X177" s="474"/>
      <c r="Y177" s="474"/>
      <c r="Z177" s="475"/>
      <c r="AA177" s="475"/>
      <c r="AB177" s="1847">
        <f>SUM(AB162:AB176)</f>
        <v>2053.5794999999998</v>
      </c>
      <c r="AC177" s="349"/>
      <c r="AD177" s="349"/>
      <c r="AE177" s="349"/>
      <c r="AF177" s="349"/>
    </row>
    <row r="178" spans="1:32" s="457" customFormat="1" ht="18" customHeight="1" x14ac:dyDescent="0.2">
      <c r="A178" s="2737" t="s">
        <v>76</v>
      </c>
      <c r="B178" s="2737"/>
      <c r="C178" s="2738" t="s">
        <v>77</v>
      </c>
      <c r="D178" s="2738"/>
      <c r="E178" s="2738"/>
      <c r="F178" s="2738"/>
      <c r="G178" s="2738"/>
      <c r="H178" s="2738"/>
      <c r="I178" s="457" t="s">
        <v>78</v>
      </c>
      <c r="AB178" s="478"/>
    </row>
    <row r="179" spans="1:32" s="457" customFormat="1" ht="18" customHeight="1" x14ac:dyDescent="0.2">
      <c r="B179" s="479"/>
      <c r="I179" s="457" t="s">
        <v>79</v>
      </c>
      <c r="AB179" s="478"/>
    </row>
    <row r="180" spans="1:32" s="457" customFormat="1" ht="18" customHeight="1" x14ac:dyDescent="0.2">
      <c r="B180" s="479"/>
      <c r="I180" s="457" t="s">
        <v>80</v>
      </c>
      <c r="AB180" s="478"/>
    </row>
    <row r="181" spans="1:32" s="457" customFormat="1" ht="18" customHeight="1" x14ac:dyDescent="0.2">
      <c r="B181" s="479"/>
      <c r="I181" s="457" t="s">
        <v>81</v>
      </c>
      <c r="AB181" s="478"/>
    </row>
    <row r="182" spans="1:32" s="457" customFormat="1" ht="18" customHeight="1" x14ac:dyDescent="0.2">
      <c r="B182" s="479"/>
      <c r="I182" s="457" t="s">
        <v>88</v>
      </c>
      <c r="AB182" s="478"/>
    </row>
    <row r="183" spans="1:32" s="457" customFormat="1" ht="18" customHeight="1" x14ac:dyDescent="0.2">
      <c r="A183" s="610"/>
      <c r="B183" s="610"/>
      <c r="C183" s="610"/>
      <c r="D183" s="610"/>
      <c r="E183" s="610"/>
      <c r="F183" s="610"/>
      <c r="G183" s="610"/>
      <c r="H183" s="610"/>
      <c r="I183" s="610"/>
      <c r="J183" s="610"/>
      <c r="K183" s="610"/>
      <c r="L183" s="610"/>
      <c r="M183" s="610"/>
      <c r="N183" s="610"/>
      <c r="O183" s="610"/>
      <c r="P183" s="610"/>
      <c r="Q183" s="610"/>
      <c r="R183" s="610"/>
      <c r="S183" s="610"/>
      <c r="T183" s="610"/>
      <c r="U183" s="610"/>
      <c r="V183" s="610"/>
      <c r="W183" s="610"/>
      <c r="X183" s="610"/>
      <c r="Y183" s="610"/>
      <c r="Z183" s="610"/>
      <c r="AA183" s="2706" t="s">
        <v>0</v>
      </c>
      <c r="AB183" s="2706"/>
    </row>
    <row r="184" spans="1:32" s="457" customFormat="1" ht="18" customHeight="1" x14ac:dyDescent="0.2">
      <c r="A184" s="2706" t="s">
        <v>1</v>
      </c>
      <c r="B184" s="2706"/>
      <c r="C184" s="2706"/>
      <c r="D184" s="2706"/>
      <c r="E184" s="2706"/>
      <c r="F184" s="2706"/>
      <c r="G184" s="2706"/>
      <c r="H184" s="2706"/>
      <c r="I184" s="2706"/>
      <c r="J184" s="2706"/>
      <c r="K184" s="2706"/>
      <c r="L184" s="2706"/>
      <c r="M184" s="2706"/>
      <c r="N184" s="2706"/>
      <c r="O184" s="2706"/>
      <c r="P184" s="2706"/>
      <c r="Q184" s="2706"/>
      <c r="R184" s="2706"/>
      <c r="S184" s="2706"/>
      <c r="T184" s="2706"/>
      <c r="U184" s="2706"/>
      <c r="V184" s="2706"/>
      <c r="W184" s="2706"/>
      <c r="X184" s="2706"/>
      <c r="Y184" s="2706"/>
      <c r="Z184" s="2706"/>
      <c r="AA184" s="2706"/>
      <c r="AB184" s="2706"/>
    </row>
    <row r="185" spans="1:32" s="457" customFormat="1" ht="18" customHeight="1" x14ac:dyDescent="0.2">
      <c r="A185" s="2704" t="s">
        <v>373</v>
      </c>
      <c r="B185" s="2704"/>
      <c r="C185" s="2704"/>
      <c r="D185" s="2704"/>
      <c r="E185" s="2704"/>
      <c r="F185" s="2704"/>
      <c r="G185" s="2704"/>
      <c r="H185" s="2704"/>
      <c r="I185" s="2704"/>
      <c r="J185" s="2704"/>
      <c r="K185" s="2704"/>
      <c r="L185" s="2704"/>
      <c r="M185" s="2704"/>
      <c r="N185" s="2704"/>
      <c r="O185" s="2704"/>
      <c r="P185" s="2704"/>
      <c r="Q185" s="2704"/>
      <c r="R185" s="2704"/>
      <c r="S185" s="2704"/>
      <c r="T185" s="2704"/>
      <c r="U185" s="2704"/>
      <c r="V185" s="2704"/>
      <c r="W185" s="2704"/>
      <c r="X185" s="2704"/>
      <c r="Y185" s="2704"/>
      <c r="Z185" s="2704"/>
      <c r="AA185" s="2704"/>
      <c r="AB185" s="2704"/>
    </row>
    <row r="186" spans="1:32" s="457" customFormat="1" ht="18" customHeight="1" x14ac:dyDescent="0.2">
      <c r="A186" s="2686" t="s">
        <v>2</v>
      </c>
      <c r="B186" s="360"/>
      <c r="C186" s="2686" t="s">
        <v>3</v>
      </c>
      <c r="D186" s="360"/>
      <c r="E186" s="360"/>
      <c r="F186" s="2693" t="s">
        <v>4</v>
      </c>
      <c r="G186" s="2693"/>
      <c r="H186" s="2693"/>
      <c r="I186" s="2694"/>
      <c r="J186" s="2694"/>
      <c r="K186" s="2695"/>
      <c r="L186" s="361"/>
      <c r="M186" s="2679" t="s">
        <v>5</v>
      </c>
      <c r="N186" s="2679"/>
      <c r="O186" s="2679"/>
      <c r="P186" s="2679"/>
      <c r="Q186" s="2696"/>
      <c r="R186" s="2696"/>
      <c r="S186" s="2696"/>
      <c r="T186" s="2696"/>
      <c r="U186" s="2696"/>
      <c r="V186" s="2697"/>
      <c r="W186" s="362" t="s">
        <v>6</v>
      </c>
      <c r="X186" s="363" t="s">
        <v>7</v>
      </c>
      <c r="Y186" s="364"/>
      <c r="Z186" s="364"/>
      <c r="AA186" s="363"/>
      <c r="AB186" s="458"/>
    </row>
    <row r="187" spans="1:32" s="457" customFormat="1" ht="18" customHeight="1" x14ac:dyDescent="0.2">
      <c r="A187" s="2687"/>
      <c r="B187" s="367"/>
      <c r="C187" s="2687"/>
      <c r="D187" s="366" t="s">
        <v>9</v>
      </c>
      <c r="E187" s="366" t="s">
        <v>10</v>
      </c>
      <c r="F187" s="2698" t="s">
        <v>11</v>
      </c>
      <c r="G187" s="2694"/>
      <c r="H187" s="2695"/>
      <c r="I187" s="360"/>
      <c r="J187" s="449" t="s">
        <v>12</v>
      </c>
      <c r="K187" s="360"/>
      <c r="L187" s="2679" t="s">
        <v>2</v>
      </c>
      <c r="M187" s="370"/>
      <c r="N187" s="370"/>
      <c r="O187" s="370"/>
      <c r="P187" s="371"/>
      <c r="Q187" s="459" t="s">
        <v>13</v>
      </c>
      <c r="R187" s="370" t="s">
        <v>12</v>
      </c>
      <c r="S187" s="370" t="s">
        <v>6</v>
      </c>
      <c r="T187" s="2682" t="s">
        <v>14</v>
      </c>
      <c r="U187" s="2683"/>
      <c r="V187" s="375" t="s">
        <v>7</v>
      </c>
      <c r="W187" s="376" t="s">
        <v>15</v>
      </c>
      <c r="X187" s="377" t="s">
        <v>16</v>
      </c>
      <c r="Y187" s="377" t="s">
        <v>17</v>
      </c>
      <c r="Z187" s="377" t="s">
        <v>18</v>
      </c>
      <c r="AA187" s="377"/>
      <c r="AB187" s="460" t="s">
        <v>19</v>
      </c>
    </row>
    <row r="188" spans="1:32" s="457" customFormat="1" ht="18" customHeight="1" x14ac:dyDescent="0.2">
      <c r="A188" s="2687"/>
      <c r="B188" s="366" t="s">
        <v>23</v>
      </c>
      <c r="C188" s="2687"/>
      <c r="D188" s="366" t="s">
        <v>24</v>
      </c>
      <c r="E188" s="366" t="s">
        <v>25</v>
      </c>
      <c r="F188" s="2699"/>
      <c r="G188" s="2700"/>
      <c r="H188" s="2701"/>
      <c r="I188" s="366" t="s">
        <v>26</v>
      </c>
      <c r="J188" s="380" t="s">
        <v>15</v>
      </c>
      <c r="K188" s="380" t="s">
        <v>6</v>
      </c>
      <c r="L188" s="2680"/>
      <c r="M188" s="381" t="s">
        <v>27</v>
      </c>
      <c r="N188" s="381" t="s">
        <v>10</v>
      </c>
      <c r="O188" s="381" t="s">
        <v>10</v>
      </c>
      <c r="P188" s="385" t="s">
        <v>28</v>
      </c>
      <c r="Q188" s="461" t="s">
        <v>29</v>
      </c>
      <c r="R188" s="385" t="s">
        <v>15</v>
      </c>
      <c r="S188" s="385" t="s">
        <v>15</v>
      </c>
      <c r="T188" s="2684"/>
      <c r="U188" s="2685"/>
      <c r="V188" s="375" t="s">
        <v>30</v>
      </c>
      <c r="W188" s="376" t="s">
        <v>31</v>
      </c>
      <c r="X188" s="377" t="s">
        <v>30</v>
      </c>
      <c r="Y188" s="377" t="s">
        <v>32</v>
      </c>
      <c r="Z188" s="377" t="s">
        <v>7</v>
      </c>
      <c r="AA188" s="377" t="s">
        <v>33</v>
      </c>
      <c r="AB188" s="460" t="s">
        <v>34</v>
      </c>
    </row>
    <row r="189" spans="1:32" s="457" customFormat="1" ht="18" customHeight="1" x14ac:dyDescent="0.2">
      <c r="A189" s="2687"/>
      <c r="B189" s="366" t="s">
        <v>39</v>
      </c>
      <c r="C189" s="2687"/>
      <c r="D189" s="366" t="s">
        <v>40</v>
      </c>
      <c r="E189" s="366" t="s">
        <v>41</v>
      </c>
      <c r="F189" s="2686" t="s">
        <v>42</v>
      </c>
      <c r="G189" s="2686" t="s">
        <v>43</v>
      </c>
      <c r="H189" s="2688" t="s">
        <v>44</v>
      </c>
      <c r="I189" s="366" t="s">
        <v>45</v>
      </c>
      <c r="J189" s="380" t="s">
        <v>46</v>
      </c>
      <c r="K189" s="380" t="s">
        <v>47</v>
      </c>
      <c r="L189" s="2680"/>
      <c r="M189" s="381" t="s">
        <v>30</v>
      </c>
      <c r="N189" s="381" t="s">
        <v>30</v>
      </c>
      <c r="O189" s="381" t="s">
        <v>25</v>
      </c>
      <c r="P189" s="385" t="s">
        <v>30</v>
      </c>
      <c r="Q189" s="461" t="s">
        <v>48</v>
      </c>
      <c r="R189" s="385" t="s">
        <v>49</v>
      </c>
      <c r="S189" s="385" t="s">
        <v>30</v>
      </c>
      <c r="T189" s="374" t="s">
        <v>50</v>
      </c>
      <c r="U189" s="374" t="s">
        <v>13</v>
      </c>
      <c r="V189" s="375" t="s">
        <v>51</v>
      </c>
      <c r="W189" s="376" t="s">
        <v>52</v>
      </c>
      <c r="X189" s="377" t="s">
        <v>53</v>
      </c>
      <c r="Y189" s="377" t="s">
        <v>54</v>
      </c>
      <c r="Z189" s="377" t="s">
        <v>55</v>
      </c>
      <c r="AA189" s="377" t="s">
        <v>56</v>
      </c>
      <c r="AB189" s="460" t="s">
        <v>57</v>
      </c>
    </row>
    <row r="190" spans="1:32" s="457" customFormat="1" ht="18" customHeight="1" x14ac:dyDescent="0.2">
      <c r="A190" s="2687"/>
      <c r="B190" s="366" t="s">
        <v>61</v>
      </c>
      <c r="C190" s="2687"/>
      <c r="D190" s="366" t="s">
        <v>62</v>
      </c>
      <c r="E190" s="366" t="s">
        <v>63</v>
      </c>
      <c r="F190" s="2687"/>
      <c r="G190" s="2687"/>
      <c r="H190" s="2689"/>
      <c r="I190" s="366" t="s">
        <v>64</v>
      </c>
      <c r="J190" s="380" t="s">
        <v>59</v>
      </c>
      <c r="K190" s="380" t="s">
        <v>59</v>
      </c>
      <c r="L190" s="2680"/>
      <c r="M190" s="381"/>
      <c r="N190" s="381"/>
      <c r="O190" s="381" t="s">
        <v>41</v>
      </c>
      <c r="P190" s="385" t="s">
        <v>65</v>
      </c>
      <c r="Q190" s="461" t="s">
        <v>66</v>
      </c>
      <c r="R190" s="385" t="s">
        <v>67</v>
      </c>
      <c r="S190" s="385" t="s">
        <v>59</v>
      </c>
      <c r="T190" s="375" t="s">
        <v>68</v>
      </c>
      <c r="U190" s="375" t="s">
        <v>14</v>
      </c>
      <c r="V190" s="375" t="s">
        <v>14</v>
      </c>
      <c r="W190" s="376" t="s">
        <v>30</v>
      </c>
      <c r="X190" s="388" t="s">
        <v>69</v>
      </c>
      <c r="Y190" s="388" t="s">
        <v>70</v>
      </c>
      <c r="Z190" s="377" t="s">
        <v>71</v>
      </c>
      <c r="AA190" s="377" t="s">
        <v>72</v>
      </c>
      <c r="AB190" s="460" t="s">
        <v>59</v>
      </c>
    </row>
    <row r="191" spans="1:32" s="457" customFormat="1" ht="18" customHeight="1" x14ac:dyDescent="0.2">
      <c r="A191" s="2692"/>
      <c r="B191" s="390"/>
      <c r="C191" s="2692"/>
      <c r="D191" s="390"/>
      <c r="E191" s="389"/>
      <c r="F191" s="390"/>
      <c r="G191" s="390"/>
      <c r="H191" s="391"/>
      <c r="I191" s="389"/>
      <c r="J191" s="393"/>
      <c r="K191" s="393"/>
      <c r="L191" s="2681"/>
      <c r="M191" s="394"/>
      <c r="N191" s="394"/>
      <c r="O191" s="394" t="s">
        <v>63</v>
      </c>
      <c r="P191" s="394"/>
      <c r="Q191" s="450" t="s">
        <v>72</v>
      </c>
      <c r="R191" s="398" t="s">
        <v>59</v>
      </c>
      <c r="S191" s="398"/>
      <c r="T191" s="398" t="s">
        <v>73</v>
      </c>
      <c r="U191" s="398" t="s">
        <v>59</v>
      </c>
      <c r="V191" s="399" t="s">
        <v>59</v>
      </c>
      <c r="W191" s="400" t="s">
        <v>59</v>
      </c>
      <c r="X191" s="401" t="s">
        <v>59</v>
      </c>
      <c r="Y191" s="401" t="s">
        <v>59</v>
      </c>
      <c r="Z191" s="401" t="s">
        <v>59</v>
      </c>
      <c r="AA191" s="402"/>
      <c r="AB191" s="462"/>
    </row>
    <row r="192" spans="1:32" s="457" customFormat="1" ht="18" customHeight="1" x14ac:dyDescent="0.25">
      <c r="A192" s="53">
        <v>1</v>
      </c>
      <c r="B192" s="333">
        <v>16713</v>
      </c>
      <c r="C192" s="41">
        <v>323</v>
      </c>
      <c r="D192" s="41" t="s">
        <v>86</v>
      </c>
      <c r="E192" s="41">
        <v>2</v>
      </c>
      <c r="F192" s="41">
        <v>1</v>
      </c>
      <c r="G192" s="41">
        <v>3</v>
      </c>
      <c r="H192" s="267">
        <v>59.28</v>
      </c>
      <c r="I192" s="77">
        <f t="shared" ref="I192:I194" si="45">F192*400+G192*100+H192</f>
        <v>759.28</v>
      </c>
      <c r="J192" s="667">
        <v>1000</v>
      </c>
      <c r="K192" s="297">
        <f t="shared" ref="K192:K194" si="46">I192*J192</f>
        <v>759280</v>
      </c>
      <c r="L192" s="50">
        <v>1</v>
      </c>
      <c r="M192" s="145">
        <v>103</v>
      </c>
      <c r="N192" s="15" t="s">
        <v>74</v>
      </c>
      <c r="O192" s="50">
        <v>2</v>
      </c>
      <c r="P192" s="15">
        <v>245.35</v>
      </c>
      <c r="Q192" s="76" t="s">
        <v>75</v>
      </c>
      <c r="R192" s="672">
        <v>9050</v>
      </c>
      <c r="S192" s="47">
        <f t="shared" ref="S192:S194" si="47">+P192*R192</f>
        <v>2220417.5</v>
      </c>
      <c r="T192" s="1515">
        <v>43</v>
      </c>
      <c r="U192" s="1670">
        <f>+S192*0.76</f>
        <v>1687517.3</v>
      </c>
      <c r="V192" s="18">
        <f t="shared" ref="V192" si="48">+S192-U192</f>
        <v>532900.19999999995</v>
      </c>
      <c r="W192" s="18">
        <f t="shared" ref="W192" si="49">K192+V192</f>
        <v>1292180.2</v>
      </c>
      <c r="X192" s="47">
        <f t="shared" ref="X192" si="50">W192</f>
        <v>1292180.2</v>
      </c>
      <c r="Y192" s="296" t="s">
        <v>282</v>
      </c>
      <c r="Z192" s="296">
        <v>0</v>
      </c>
      <c r="AA192" s="405">
        <v>0.02</v>
      </c>
      <c r="AB192" s="465">
        <f>+Z192*AA192/100</f>
        <v>0</v>
      </c>
    </row>
    <row r="193" spans="1:28" s="457" customFormat="1" ht="18" customHeight="1" x14ac:dyDescent="0.25">
      <c r="A193" s="242"/>
      <c r="B193" s="269"/>
      <c r="C193" s="285"/>
      <c r="D193" s="273"/>
      <c r="E193" s="273"/>
      <c r="F193" s="268"/>
      <c r="G193" s="269"/>
      <c r="H193" s="266">
        <v>35.619999999999997</v>
      </c>
      <c r="I193" s="77">
        <f t="shared" si="45"/>
        <v>35.619999999999997</v>
      </c>
      <c r="J193" s="671">
        <v>1001</v>
      </c>
      <c r="K193" s="297">
        <f t="shared" si="46"/>
        <v>35655.619999999995</v>
      </c>
      <c r="L193" s="269">
        <v>2</v>
      </c>
      <c r="M193" s="75">
        <v>513</v>
      </c>
      <c r="N193" s="269" t="s">
        <v>74</v>
      </c>
      <c r="O193" s="50">
        <v>3</v>
      </c>
      <c r="P193" s="266">
        <v>142.4691</v>
      </c>
      <c r="Q193" s="76" t="s">
        <v>75</v>
      </c>
      <c r="R193" s="672">
        <v>6250</v>
      </c>
      <c r="S193" s="47">
        <f t="shared" si="47"/>
        <v>890431.875</v>
      </c>
      <c r="T193" s="1515">
        <v>13</v>
      </c>
      <c r="U193" s="1670">
        <f>+S193*0.16</f>
        <v>142469.1</v>
      </c>
      <c r="V193" s="18">
        <f t="shared" ref="V193:V194" si="51">+S193-U193</f>
        <v>747962.77500000002</v>
      </c>
      <c r="W193" s="18">
        <f t="shared" ref="W193:W194" si="52">K193+V193</f>
        <v>783618.39500000002</v>
      </c>
      <c r="X193" s="47">
        <f t="shared" ref="X193:X194" si="53">W193</f>
        <v>783618.39500000002</v>
      </c>
      <c r="Y193" s="296">
        <v>0</v>
      </c>
      <c r="Z193" s="296">
        <f>X193</f>
        <v>783618.39500000002</v>
      </c>
      <c r="AA193" s="494">
        <v>0.3</v>
      </c>
      <c r="AB193" s="415">
        <f>+Z193*AA193/100</f>
        <v>2350.8551849999999</v>
      </c>
    </row>
    <row r="194" spans="1:28" s="457" customFormat="1" ht="18" customHeight="1" x14ac:dyDescent="0.25">
      <c r="A194" s="242"/>
      <c r="B194" s="269"/>
      <c r="C194" s="285"/>
      <c r="D194" s="273"/>
      <c r="E194" s="273"/>
      <c r="F194" s="268"/>
      <c r="G194" s="269"/>
      <c r="H194" s="266">
        <v>5.0999999999999996</v>
      </c>
      <c r="I194" s="77">
        <f t="shared" si="45"/>
        <v>5.0999999999999996</v>
      </c>
      <c r="J194" s="671">
        <v>1002</v>
      </c>
      <c r="K194" s="297">
        <f t="shared" si="46"/>
        <v>5110.2</v>
      </c>
      <c r="L194" s="269">
        <v>3</v>
      </c>
      <c r="M194" s="75">
        <v>513</v>
      </c>
      <c r="N194" s="269" t="s">
        <v>74</v>
      </c>
      <c r="O194" s="269">
        <v>3</v>
      </c>
      <c r="P194" s="266">
        <v>20.399999999999999</v>
      </c>
      <c r="Q194" s="76" t="s">
        <v>75</v>
      </c>
      <c r="R194" s="672">
        <v>6250</v>
      </c>
      <c r="S194" s="47">
        <f t="shared" si="47"/>
        <v>127499.99999999999</v>
      </c>
      <c r="T194" s="1515">
        <v>4</v>
      </c>
      <c r="U194" s="1670">
        <f>+S194*0.4</f>
        <v>51000</v>
      </c>
      <c r="V194" s="18">
        <f t="shared" si="51"/>
        <v>76499.999999999985</v>
      </c>
      <c r="W194" s="18">
        <f t="shared" si="52"/>
        <v>81610.199999999983</v>
      </c>
      <c r="X194" s="47">
        <f t="shared" si="53"/>
        <v>81610.199999999983</v>
      </c>
      <c r="Y194" s="296">
        <v>0</v>
      </c>
      <c r="Z194" s="296">
        <f>X194</f>
        <v>81610.199999999983</v>
      </c>
      <c r="AA194" s="494">
        <v>0.3</v>
      </c>
      <c r="AB194" s="410">
        <f>+Z194*AA194/100</f>
        <v>244.83059999999995</v>
      </c>
    </row>
    <row r="195" spans="1:28" s="457" customFormat="1" ht="18" customHeight="1" x14ac:dyDescent="0.2">
      <c r="A195" s="75"/>
      <c r="B195" s="75"/>
      <c r="C195" s="174"/>
      <c r="D195" s="88"/>
      <c r="E195" s="88"/>
      <c r="F195" s="418"/>
      <c r="G195" s="75"/>
      <c r="H195" s="188"/>
      <c r="I195" s="77"/>
      <c r="J195" s="121"/>
      <c r="K195" s="159"/>
      <c r="L195" s="75"/>
      <c r="M195" s="145"/>
      <c r="N195" s="145"/>
      <c r="O195" s="61"/>
      <c r="P195" s="145"/>
      <c r="Q195" s="174"/>
      <c r="R195" s="408"/>
      <c r="S195" s="77"/>
      <c r="T195" s="135"/>
      <c r="U195" s="74"/>
      <c r="V195" s="74"/>
      <c r="W195" s="77"/>
      <c r="X195" s="74"/>
      <c r="Y195" s="77"/>
      <c r="Z195" s="77"/>
      <c r="AA195" s="409"/>
      <c r="AB195" s="416"/>
    </row>
    <row r="196" spans="1:28" s="457" customFormat="1" ht="18" customHeight="1" x14ac:dyDescent="0.2">
      <c r="A196" s="75"/>
      <c r="B196" s="75"/>
      <c r="C196" s="174"/>
      <c r="D196" s="88"/>
      <c r="E196" s="88"/>
      <c r="F196" s="418"/>
      <c r="G196" s="75"/>
      <c r="H196" s="188"/>
      <c r="I196" s="77"/>
      <c r="J196" s="121"/>
      <c r="K196" s="159"/>
      <c r="L196" s="75"/>
      <c r="M196" s="145"/>
      <c r="N196" s="145"/>
      <c r="O196" s="61"/>
      <c r="P196" s="61"/>
      <c r="Q196" s="174"/>
      <c r="R196" s="408"/>
      <c r="S196" s="77"/>
      <c r="T196" s="135"/>
      <c r="U196" s="74"/>
      <c r="V196" s="74"/>
      <c r="W196" s="77"/>
      <c r="X196" s="74"/>
      <c r="Y196" s="77"/>
      <c r="Z196" s="77"/>
      <c r="AA196" s="409"/>
      <c r="AB196" s="416"/>
    </row>
    <row r="197" spans="1:28" s="457" customFormat="1" ht="18" customHeight="1" x14ac:dyDescent="0.2">
      <c r="A197" s="75"/>
      <c r="B197" s="75"/>
      <c r="C197" s="174"/>
      <c r="D197" s="88"/>
      <c r="E197" s="88"/>
      <c r="F197" s="418"/>
      <c r="G197" s="75"/>
      <c r="H197" s="188"/>
      <c r="I197" s="77"/>
      <c r="J197" s="121"/>
      <c r="K197" s="159"/>
      <c r="L197" s="75"/>
      <c r="M197" s="145"/>
      <c r="N197" s="145"/>
      <c r="O197" s="61"/>
      <c r="P197" s="188"/>
      <c r="Q197" s="174"/>
      <c r="R197" s="408"/>
      <c r="S197" s="77"/>
      <c r="T197" s="135"/>
      <c r="U197" s="74"/>
      <c r="V197" s="74"/>
      <c r="W197" s="77"/>
      <c r="X197" s="74"/>
      <c r="Y197" s="77"/>
      <c r="Z197" s="77"/>
      <c r="AA197" s="409"/>
      <c r="AB197" s="415"/>
    </row>
    <row r="198" spans="1:28" s="457" customFormat="1" ht="18" customHeight="1" x14ac:dyDescent="0.2">
      <c r="A198" s="75"/>
      <c r="B198" s="75"/>
      <c r="C198" s="174"/>
      <c r="D198" s="88"/>
      <c r="E198" s="88"/>
      <c r="F198" s="418"/>
      <c r="G198" s="75"/>
      <c r="H198" s="188"/>
      <c r="I198" s="77"/>
      <c r="J198" s="121"/>
      <c r="K198" s="159"/>
      <c r="L198" s="75"/>
      <c r="M198" s="145"/>
      <c r="N198" s="145"/>
      <c r="O198" s="61"/>
      <c r="P198" s="188"/>
      <c r="Q198" s="174"/>
      <c r="R198" s="408"/>
      <c r="S198" s="77"/>
      <c r="T198" s="135"/>
      <c r="U198" s="74"/>
      <c r="V198" s="74"/>
      <c r="W198" s="77"/>
      <c r="X198" s="74"/>
      <c r="Y198" s="77"/>
      <c r="Z198" s="77"/>
      <c r="AA198" s="409"/>
      <c r="AB198" s="410"/>
    </row>
    <row r="199" spans="1:28" s="457" customFormat="1" ht="18" customHeight="1" x14ac:dyDescent="0.2">
      <c r="A199" s="145"/>
      <c r="B199" s="177"/>
      <c r="C199" s="177"/>
      <c r="D199" s="145"/>
      <c r="E199" s="145"/>
      <c r="F199" s="145"/>
      <c r="G199" s="145"/>
      <c r="H199" s="147"/>
      <c r="I199" s="107"/>
      <c r="J199" s="178"/>
      <c r="K199" s="107"/>
      <c r="L199" s="145"/>
      <c r="M199" s="145"/>
      <c r="N199" s="145"/>
      <c r="O199" s="145"/>
      <c r="P199" s="147"/>
      <c r="Q199" s="148"/>
      <c r="R199" s="437"/>
      <c r="S199" s="107"/>
      <c r="T199" s="179"/>
      <c r="U199" s="178"/>
      <c r="V199" s="107"/>
      <c r="W199" s="107"/>
      <c r="X199" s="470"/>
      <c r="Y199" s="470"/>
      <c r="Z199" s="471"/>
      <c r="AA199" s="471"/>
      <c r="AB199" s="466"/>
    </row>
    <row r="200" spans="1:28" s="457" customFormat="1" ht="18" customHeight="1" x14ac:dyDescent="0.2">
      <c r="A200" s="145"/>
      <c r="B200" s="177"/>
      <c r="C200" s="177"/>
      <c r="D200" s="145"/>
      <c r="E200" s="145"/>
      <c r="F200" s="145"/>
      <c r="G200" s="145"/>
      <c r="H200" s="147"/>
      <c r="I200" s="107"/>
      <c r="J200" s="178"/>
      <c r="K200" s="107"/>
      <c r="L200" s="145"/>
      <c r="M200" s="145"/>
      <c r="N200" s="145"/>
      <c r="O200" s="145"/>
      <c r="P200" s="147"/>
      <c r="Q200" s="148"/>
      <c r="R200" s="437"/>
      <c r="S200" s="107"/>
      <c r="T200" s="179"/>
      <c r="U200" s="178"/>
      <c r="V200" s="107"/>
      <c r="W200" s="107"/>
      <c r="X200" s="470"/>
      <c r="Y200" s="470"/>
      <c r="Z200" s="471"/>
      <c r="AA200" s="471"/>
      <c r="AB200" s="466"/>
    </row>
    <row r="201" spans="1:28" s="457" customFormat="1" ht="18" customHeight="1" x14ac:dyDescent="0.2">
      <c r="A201" s="145"/>
      <c r="B201" s="177"/>
      <c r="C201" s="177"/>
      <c r="D201" s="145"/>
      <c r="E201" s="145"/>
      <c r="F201" s="145"/>
      <c r="G201" s="145"/>
      <c r="H201" s="147"/>
      <c r="I201" s="107"/>
      <c r="J201" s="178"/>
      <c r="K201" s="107"/>
      <c r="L201" s="145"/>
      <c r="M201" s="145"/>
      <c r="N201" s="145"/>
      <c r="O201" s="145"/>
      <c r="P201" s="147"/>
      <c r="Q201" s="148"/>
      <c r="R201" s="437"/>
      <c r="S201" s="107"/>
      <c r="T201" s="179"/>
      <c r="U201" s="178"/>
      <c r="V201" s="107"/>
      <c r="W201" s="107"/>
      <c r="X201" s="470"/>
      <c r="Y201" s="470"/>
      <c r="Z201" s="471"/>
      <c r="AA201" s="471"/>
      <c r="AB201" s="466"/>
    </row>
    <row r="202" spans="1:28" s="457" customFormat="1" ht="18" customHeight="1" x14ac:dyDescent="0.2">
      <c r="A202" s="145"/>
      <c r="B202" s="177"/>
      <c r="C202" s="177"/>
      <c r="D202" s="145"/>
      <c r="E202" s="145"/>
      <c r="F202" s="145"/>
      <c r="G202" s="145"/>
      <c r="H202" s="147"/>
      <c r="I202" s="107"/>
      <c r="J202" s="178"/>
      <c r="K202" s="107"/>
      <c r="L202" s="145"/>
      <c r="M202" s="145"/>
      <c r="N202" s="145"/>
      <c r="O202" s="145"/>
      <c r="P202" s="147"/>
      <c r="Q202" s="148"/>
      <c r="R202" s="437"/>
      <c r="S202" s="107"/>
      <c r="T202" s="179"/>
      <c r="U202" s="178"/>
      <c r="V202" s="107"/>
      <c r="W202" s="107"/>
      <c r="X202" s="470"/>
      <c r="Y202" s="470"/>
      <c r="Z202" s="471"/>
      <c r="AA202" s="471"/>
      <c r="AB202" s="466"/>
    </row>
    <row r="203" spans="1:28" s="457" customFormat="1" ht="18" customHeight="1" x14ac:dyDescent="0.2">
      <c r="A203" s="145"/>
      <c r="B203" s="177"/>
      <c r="C203" s="177"/>
      <c r="D203" s="145"/>
      <c r="E203" s="145"/>
      <c r="F203" s="145"/>
      <c r="G203" s="145"/>
      <c r="H203" s="147"/>
      <c r="I203" s="107"/>
      <c r="J203" s="178"/>
      <c r="K203" s="107"/>
      <c r="L203" s="145"/>
      <c r="M203" s="145"/>
      <c r="N203" s="145"/>
      <c r="O203" s="145"/>
      <c r="P203" s="147"/>
      <c r="Q203" s="148"/>
      <c r="R203" s="437"/>
      <c r="S203" s="107"/>
      <c r="T203" s="179"/>
      <c r="U203" s="178"/>
      <c r="V203" s="107"/>
      <c r="W203" s="107"/>
      <c r="X203" s="470"/>
      <c r="Y203" s="470"/>
      <c r="Z203" s="471"/>
      <c r="AA203" s="471"/>
      <c r="AB203" s="466"/>
    </row>
    <row r="204" spans="1:28" s="457" customFormat="1" ht="18" customHeight="1" x14ac:dyDescent="0.2">
      <c r="A204" s="145"/>
      <c r="B204" s="177"/>
      <c r="C204" s="177"/>
      <c r="D204" s="145"/>
      <c r="E204" s="145"/>
      <c r="F204" s="145"/>
      <c r="G204" s="145"/>
      <c r="H204" s="147"/>
      <c r="I204" s="107"/>
      <c r="J204" s="178"/>
      <c r="K204" s="107"/>
      <c r="L204" s="145"/>
      <c r="M204" s="145"/>
      <c r="N204" s="145"/>
      <c r="O204" s="145"/>
      <c r="P204" s="147"/>
      <c r="Q204" s="148"/>
      <c r="R204" s="437"/>
      <c r="S204" s="107"/>
      <c r="T204" s="179"/>
      <c r="U204" s="178"/>
      <c r="V204" s="107"/>
      <c r="W204" s="107"/>
      <c r="X204" s="470"/>
      <c r="Y204" s="470"/>
      <c r="Z204" s="471"/>
      <c r="AA204" s="471"/>
      <c r="AB204" s="466"/>
    </row>
    <row r="205" spans="1:28" s="457" customFormat="1" ht="18" customHeight="1" x14ac:dyDescent="0.2">
      <c r="A205" s="145"/>
      <c r="B205" s="177"/>
      <c r="C205" s="177"/>
      <c r="D205" s="145"/>
      <c r="E205" s="145"/>
      <c r="F205" s="145"/>
      <c r="G205" s="145"/>
      <c r="H205" s="147"/>
      <c r="I205" s="107"/>
      <c r="J205" s="178"/>
      <c r="K205" s="107"/>
      <c r="L205" s="145"/>
      <c r="M205" s="145"/>
      <c r="N205" s="145"/>
      <c r="O205" s="145"/>
      <c r="P205" s="147"/>
      <c r="Q205" s="148"/>
      <c r="R205" s="437"/>
      <c r="S205" s="107"/>
      <c r="T205" s="179"/>
      <c r="U205" s="178"/>
      <c r="V205" s="107"/>
      <c r="W205" s="107"/>
      <c r="X205" s="470"/>
      <c r="Y205" s="470"/>
      <c r="Z205" s="471"/>
      <c r="AA205" s="471"/>
      <c r="AB205" s="466"/>
    </row>
    <row r="206" spans="1:28" s="457" customFormat="1" ht="18" customHeight="1" x14ac:dyDescent="0.2">
      <c r="A206" s="145"/>
      <c r="B206" s="177"/>
      <c r="C206" s="177"/>
      <c r="D206" s="145"/>
      <c r="E206" s="145"/>
      <c r="F206" s="145"/>
      <c r="G206" s="145"/>
      <c r="H206" s="147"/>
      <c r="I206" s="107"/>
      <c r="J206" s="178"/>
      <c r="K206" s="107"/>
      <c r="L206" s="145"/>
      <c r="M206" s="145"/>
      <c r="N206" s="145"/>
      <c r="O206" s="145"/>
      <c r="P206" s="147"/>
      <c r="Q206" s="148"/>
      <c r="R206" s="437"/>
      <c r="S206" s="107"/>
      <c r="T206" s="179"/>
      <c r="U206" s="178"/>
      <c r="V206" s="107"/>
      <c r="W206" s="107"/>
      <c r="X206" s="470"/>
      <c r="Y206" s="470"/>
      <c r="Z206" s="471"/>
      <c r="AA206" s="471"/>
      <c r="AB206" s="466"/>
    </row>
    <row r="207" spans="1:28" s="457" customFormat="1" ht="18" customHeight="1" x14ac:dyDescent="0.2">
      <c r="A207" s="183"/>
      <c r="B207" s="183"/>
      <c r="C207" s="183"/>
      <c r="D207" s="183"/>
      <c r="E207" s="183"/>
      <c r="F207" s="183"/>
      <c r="G207" s="183"/>
      <c r="H207" s="184"/>
      <c r="I207" s="185"/>
      <c r="J207" s="186"/>
      <c r="K207" s="185"/>
      <c r="L207" s="185"/>
      <c r="M207" s="185"/>
      <c r="N207" s="185"/>
      <c r="O207" s="185"/>
      <c r="P207" s="185"/>
      <c r="Q207" s="185"/>
      <c r="R207" s="438"/>
      <c r="S207" s="185"/>
      <c r="T207" s="187"/>
      <c r="U207" s="186"/>
      <c r="V207" s="185"/>
      <c r="W207" s="185"/>
      <c r="X207" s="474"/>
      <c r="Y207" s="474"/>
      <c r="Z207" s="475"/>
      <c r="AA207" s="475"/>
      <c r="AB207" s="1847">
        <f>SUM(AB192:AB206)</f>
        <v>2595.6857849999997</v>
      </c>
    </row>
    <row r="208" spans="1:28" s="457" customFormat="1" ht="18" customHeight="1" x14ac:dyDescent="0.2">
      <c r="A208" s="2737" t="s">
        <v>76</v>
      </c>
      <c r="B208" s="2737"/>
      <c r="C208" s="2738" t="s">
        <v>77</v>
      </c>
      <c r="D208" s="2738"/>
      <c r="E208" s="2738"/>
      <c r="F208" s="2738"/>
      <c r="G208" s="2738"/>
      <c r="H208" s="2738"/>
      <c r="I208" s="457" t="s">
        <v>78</v>
      </c>
      <c r="AB208" s="478"/>
    </row>
    <row r="209" spans="1:32" s="457" customFormat="1" ht="18" customHeight="1" x14ac:dyDescent="0.2">
      <c r="B209" s="479"/>
      <c r="I209" s="457" t="s">
        <v>79</v>
      </c>
      <c r="AB209" s="478"/>
    </row>
    <row r="210" spans="1:32" s="457" customFormat="1" ht="18" customHeight="1" x14ac:dyDescent="0.2">
      <c r="B210" s="479"/>
      <c r="I210" s="457" t="s">
        <v>80</v>
      </c>
      <c r="AB210" s="478"/>
    </row>
    <row r="211" spans="1:32" s="457" customFormat="1" ht="18" customHeight="1" x14ac:dyDescent="0.2">
      <c r="B211" s="479"/>
      <c r="I211" s="457" t="s">
        <v>81</v>
      </c>
      <c r="AB211" s="478"/>
    </row>
    <row r="212" spans="1:32" s="457" customFormat="1" ht="18" customHeight="1" x14ac:dyDescent="0.2">
      <c r="B212" s="479"/>
      <c r="I212" s="457" t="s">
        <v>88</v>
      </c>
      <c r="AB212" s="478"/>
    </row>
    <row r="213" spans="1:32" s="457" customFormat="1" ht="18" customHeight="1" x14ac:dyDescent="0.2">
      <c r="A213" s="455"/>
      <c r="B213" s="455"/>
      <c r="C213" s="455"/>
      <c r="D213" s="455"/>
      <c r="E213" s="455"/>
      <c r="F213" s="455"/>
      <c r="G213" s="455"/>
      <c r="H213" s="455"/>
      <c r="I213" s="455"/>
      <c r="J213" s="455"/>
      <c r="K213" s="455"/>
      <c r="L213" s="455"/>
      <c r="M213" s="455"/>
      <c r="N213" s="455"/>
      <c r="O213" s="455"/>
      <c r="P213" s="455"/>
      <c r="Q213" s="455"/>
      <c r="R213" s="455"/>
      <c r="S213" s="455"/>
      <c r="T213" s="455"/>
      <c r="U213" s="455"/>
      <c r="V213" s="455"/>
      <c r="W213" s="455"/>
      <c r="X213" s="455"/>
      <c r="Y213" s="455"/>
      <c r="Z213" s="455"/>
      <c r="AA213" s="2705" t="s">
        <v>0</v>
      </c>
      <c r="AB213" s="2705"/>
      <c r="AC213" s="455"/>
      <c r="AD213" s="455"/>
      <c r="AE213" s="455"/>
      <c r="AF213" s="455"/>
    </row>
    <row r="214" spans="1:32" s="457" customFormat="1" ht="18" customHeight="1" x14ac:dyDescent="0.2">
      <c r="A214" s="2706" t="s">
        <v>1</v>
      </c>
      <c r="B214" s="2706"/>
      <c r="C214" s="2706"/>
      <c r="D214" s="2706"/>
      <c r="E214" s="2706"/>
      <c r="F214" s="2706"/>
      <c r="G214" s="2706"/>
      <c r="H214" s="2706"/>
      <c r="I214" s="2706"/>
      <c r="J214" s="2706"/>
      <c r="K214" s="2706"/>
      <c r="L214" s="2706"/>
      <c r="M214" s="2706"/>
      <c r="N214" s="2706"/>
      <c r="O214" s="2706"/>
      <c r="P214" s="2706"/>
      <c r="Q214" s="2706"/>
      <c r="R214" s="2706"/>
      <c r="S214" s="2706"/>
      <c r="T214" s="2706"/>
      <c r="U214" s="2706"/>
      <c r="V214" s="2706"/>
      <c r="W214" s="2706"/>
      <c r="X214" s="2706"/>
      <c r="Y214" s="2706"/>
      <c r="Z214" s="2706"/>
      <c r="AA214" s="2706"/>
      <c r="AB214" s="2706"/>
      <c r="AC214" s="610"/>
      <c r="AD214" s="610"/>
      <c r="AE214" s="610"/>
      <c r="AF214" s="610"/>
    </row>
    <row r="215" spans="1:32" s="457" customFormat="1" ht="18" customHeight="1" x14ac:dyDescent="0.2">
      <c r="A215" s="2704" t="s">
        <v>374</v>
      </c>
      <c r="B215" s="2704"/>
      <c r="C215" s="2704"/>
      <c r="D215" s="2704"/>
      <c r="E215" s="2704"/>
      <c r="F215" s="2704"/>
      <c r="G215" s="2704"/>
      <c r="H215" s="2704"/>
      <c r="I215" s="2704"/>
      <c r="J215" s="2704"/>
      <c r="K215" s="2704"/>
      <c r="L215" s="2704"/>
      <c r="M215" s="2704"/>
      <c r="N215" s="2704"/>
      <c r="O215" s="2704"/>
      <c r="P215" s="2704"/>
      <c r="Q215" s="2704"/>
      <c r="R215" s="2704"/>
      <c r="S215" s="2704"/>
      <c r="T215" s="2704"/>
      <c r="U215" s="2704"/>
      <c r="V215" s="2704"/>
      <c r="W215" s="2704"/>
      <c r="X215" s="2704"/>
      <c r="Y215" s="2704"/>
      <c r="Z215" s="2704"/>
      <c r="AA215" s="2704"/>
      <c r="AB215" s="2704"/>
      <c r="AC215" s="611"/>
      <c r="AD215" s="611"/>
      <c r="AE215" s="611"/>
      <c r="AF215" s="611"/>
    </row>
    <row r="216" spans="1:32" s="457" customFormat="1" ht="18" customHeight="1" x14ac:dyDescent="0.2">
      <c r="A216" s="2686" t="s">
        <v>2</v>
      </c>
      <c r="B216" s="360"/>
      <c r="C216" s="2686" t="s">
        <v>3</v>
      </c>
      <c r="D216" s="360"/>
      <c r="E216" s="360"/>
      <c r="F216" s="2693" t="s">
        <v>4</v>
      </c>
      <c r="G216" s="2693"/>
      <c r="H216" s="2693"/>
      <c r="I216" s="2694"/>
      <c r="J216" s="2694"/>
      <c r="K216" s="2695"/>
      <c r="L216" s="361"/>
      <c r="M216" s="2679" t="s">
        <v>5</v>
      </c>
      <c r="N216" s="2679"/>
      <c r="O216" s="2679"/>
      <c r="P216" s="2679"/>
      <c r="Q216" s="2696"/>
      <c r="R216" s="2696"/>
      <c r="S216" s="2696"/>
      <c r="T216" s="2696"/>
      <c r="U216" s="2696"/>
      <c r="V216" s="2697"/>
      <c r="W216" s="362" t="s">
        <v>6</v>
      </c>
      <c r="X216" s="363" t="s">
        <v>7</v>
      </c>
      <c r="Y216" s="364"/>
      <c r="Z216" s="364"/>
      <c r="AA216" s="363"/>
      <c r="AB216" s="458"/>
      <c r="AC216" s="612" t="s">
        <v>8</v>
      </c>
      <c r="AD216" s="613"/>
      <c r="AE216" s="613"/>
      <c r="AF216" s="614"/>
    </row>
    <row r="217" spans="1:32" s="457" customFormat="1" ht="18" customHeight="1" x14ac:dyDescent="0.2">
      <c r="A217" s="2687"/>
      <c r="B217" s="367"/>
      <c r="C217" s="2687"/>
      <c r="D217" s="366" t="s">
        <v>9</v>
      </c>
      <c r="E217" s="366" t="s">
        <v>10</v>
      </c>
      <c r="F217" s="2698" t="s">
        <v>11</v>
      </c>
      <c r="G217" s="2694"/>
      <c r="H217" s="2695"/>
      <c r="I217" s="360"/>
      <c r="J217" s="449" t="s">
        <v>12</v>
      </c>
      <c r="K217" s="360"/>
      <c r="L217" s="2679" t="s">
        <v>2</v>
      </c>
      <c r="M217" s="370"/>
      <c r="N217" s="370"/>
      <c r="O217" s="370"/>
      <c r="P217" s="371"/>
      <c r="Q217" s="459" t="s">
        <v>13</v>
      </c>
      <c r="R217" s="370" t="s">
        <v>12</v>
      </c>
      <c r="S217" s="370" t="s">
        <v>6</v>
      </c>
      <c r="T217" s="2682" t="s">
        <v>14</v>
      </c>
      <c r="U217" s="2683"/>
      <c r="V217" s="375" t="s">
        <v>7</v>
      </c>
      <c r="W217" s="376" t="s">
        <v>15</v>
      </c>
      <c r="X217" s="377" t="s">
        <v>16</v>
      </c>
      <c r="Y217" s="377" t="s">
        <v>17</v>
      </c>
      <c r="Z217" s="377" t="s">
        <v>18</v>
      </c>
      <c r="AA217" s="377"/>
      <c r="AB217" s="460" t="s">
        <v>19</v>
      </c>
      <c r="AC217" s="615" t="s">
        <v>20</v>
      </c>
      <c r="AD217" s="616"/>
      <c r="AE217" s="617" t="s">
        <v>21</v>
      </c>
      <c r="AF217" s="618" t="s">
        <v>22</v>
      </c>
    </row>
    <row r="218" spans="1:32" s="457" customFormat="1" ht="18" customHeight="1" x14ac:dyDescent="0.2">
      <c r="A218" s="2687"/>
      <c r="B218" s="366" t="s">
        <v>23</v>
      </c>
      <c r="C218" s="2687"/>
      <c r="D218" s="366" t="s">
        <v>24</v>
      </c>
      <c r="E218" s="366" t="s">
        <v>25</v>
      </c>
      <c r="F218" s="2699"/>
      <c r="G218" s="2700"/>
      <c r="H218" s="2701"/>
      <c r="I218" s="366" t="s">
        <v>26</v>
      </c>
      <c r="J218" s="380" t="s">
        <v>15</v>
      </c>
      <c r="K218" s="380" t="s">
        <v>6</v>
      </c>
      <c r="L218" s="2680"/>
      <c r="M218" s="381" t="s">
        <v>27</v>
      </c>
      <c r="N218" s="381" t="s">
        <v>10</v>
      </c>
      <c r="O218" s="381" t="s">
        <v>10</v>
      </c>
      <c r="P218" s="385" t="s">
        <v>28</v>
      </c>
      <c r="Q218" s="461" t="s">
        <v>29</v>
      </c>
      <c r="R218" s="385" t="s">
        <v>15</v>
      </c>
      <c r="S218" s="385" t="s">
        <v>15</v>
      </c>
      <c r="T218" s="2684"/>
      <c r="U218" s="2685"/>
      <c r="V218" s="375" t="s">
        <v>30</v>
      </c>
      <c r="W218" s="376" t="s">
        <v>31</v>
      </c>
      <c r="X218" s="377" t="s">
        <v>30</v>
      </c>
      <c r="Y218" s="377" t="s">
        <v>32</v>
      </c>
      <c r="Z218" s="377" t="s">
        <v>7</v>
      </c>
      <c r="AA218" s="377" t="s">
        <v>33</v>
      </c>
      <c r="AB218" s="460" t="s">
        <v>34</v>
      </c>
      <c r="AC218" s="615" t="s">
        <v>35</v>
      </c>
      <c r="AD218" s="617" t="s">
        <v>36</v>
      </c>
      <c r="AE218" s="617" t="s">
        <v>37</v>
      </c>
      <c r="AF218" s="618" t="s">
        <v>38</v>
      </c>
    </row>
    <row r="219" spans="1:32" s="457" customFormat="1" ht="18" customHeight="1" x14ac:dyDescent="0.2">
      <c r="A219" s="2687"/>
      <c r="B219" s="366" t="s">
        <v>39</v>
      </c>
      <c r="C219" s="2687"/>
      <c r="D219" s="366" t="s">
        <v>40</v>
      </c>
      <c r="E219" s="366" t="s">
        <v>41</v>
      </c>
      <c r="F219" s="2686" t="s">
        <v>42</v>
      </c>
      <c r="G219" s="2686" t="s">
        <v>43</v>
      </c>
      <c r="H219" s="2688" t="s">
        <v>44</v>
      </c>
      <c r="I219" s="366" t="s">
        <v>45</v>
      </c>
      <c r="J219" s="380" t="s">
        <v>46</v>
      </c>
      <c r="K219" s="380" t="s">
        <v>47</v>
      </c>
      <c r="L219" s="2680"/>
      <c r="M219" s="381" t="s">
        <v>30</v>
      </c>
      <c r="N219" s="381" t="s">
        <v>30</v>
      </c>
      <c r="O219" s="381" t="s">
        <v>25</v>
      </c>
      <c r="P219" s="385" t="s">
        <v>30</v>
      </c>
      <c r="Q219" s="461" t="s">
        <v>48</v>
      </c>
      <c r="R219" s="385" t="s">
        <v>49</v>
      </c>
      <c r="S219" s="385" t="s">
        <v>30</v>
      </c>
      <c r="T219" s="374" t="s">
        <v>50</v>
      </c>
      <c r="U219" s="374" t="s">
        <v>13</v>
      </c>
      <c r="V219" s="375" t="s">
        <v>51</v>
      </c>
      <c r="W219" s="376" t="s">
        <v>52</v>
      </c>
      <c r="X219" s="377" t="s">
        <v>53</v>
      </c>
      <c r="Y219" s="377" t="s">
        <v>54</v>
      </c>
      <c r="Z219" s="377" t="s">
        <v>55</v>
      </c>
      <c r="AA219" s="377" t="s">
        <v>56</v>
      </c>
      <c r="AB219" s="460" t="s">
        <v>57</v>
      </c>
      <c r="AC219" s="617" t="s">
        <v>58</v>
      </c>
      <c r="AD219" s="617" t="s">
        <v>59</v>
      </c>
      <c r="AE219" s="617" t="s">
        <v>59</v>
      </c>
      <c r="AF219" s="618" t="s">
        <v>60</v>
      </c>
    </row>
    <row r="220" spans="1:32" s="457" customFormat="1" ht="18" customHeight="1" x14ac:dyDescent="0.2">
      <c r="A220" s="2687"/>
      <c r="B220" s="366" t="s">
        <v>61</v>
      </c>
      <c r="C220" s="2687"/>
      <c r="D220" s="366" t="s">
        <v>62</v>
      </c>
      <c r="E220" s="366" t="s">
        <v>63</v>
      </c>
      <c r="F220" s="2687"/>
      <c r="G220" s="2687"/>
      <c r="H220" s="2689"/>
      <c r="I220" s="366" t="s">
        <v>64</v>
      </c>
      <c r="J220" s="380" t="s">
        <v>59</v>
      </c>
      <c r="K220" s="380" t="s">
        <v>59</v>
      </c>
      <c r="L220" s="2680"/>
      <c r="M220" s="381"/>
      <c r="N220" s="381"/>
      <c r="O220" s="381" t="s">
        <v>41</v>
      </c>
      <c r="P220" s="385" t="s">
        <v>65</v>
      </c>
      <c r="Q220" s="461" t="s">
        <v>66</v>
      </c>
      <c r="R220" s="385" t="s">
        <v>67</v>
      </c>
      <c r="S220" s="385" t="s">
        <v>59</v>
      </c>
      <c r="T220" s="375" t="s">
        <v>68</v>
      </c>
      <c r="U220" s="375" t="s">
        <v>14</v>
      </c>
      <c r="V220" s="375" t="s">
        <v>14</v>
      </c>
      <c r="W220" s="376" t="s">
        <v>30</v>
      </c>
      <c r="X220" s="388" t="s">
        <v>69</v>
      </c>
      <c r="Y220" s="388" t="s">
        <v>70</v>
      </c>
      <c r="Z220" s="377" t="s">
        <v>71</v>
      </c>
      <c r="AA220" s="377" t="s">
        <v>72</v>
      </c>
      <c r="AB220" s="460" t="s">
        <v>59</v>
      </c>
      <c r="AC220" s="617" t="s">
        <v>59</v>
      </c>
      <c r="AD220" s="617"/>
      <c r="AE220" s="617"/>
      <c r="AF220" s="618" t="s">
        <v>59</v>
      </c>
    </row>
    <row r="221" spans="1:32" s="457" customFormat="1" ht="18" customHeight="1" x14ac:dyDescent="0.2">
      <c r="A221" s="2692"/>
      <c r="B221" s="390"/>
      <c r="C221" s="2692"/>
      <c r="D221" s="390"/>
      <c r="E221" s="389"/>
      <c r="F221" s="390"/>
      <c r="G221" s="390"/>
      <c r="H221" s="391"/>
      <c r="I221" s="389"/>
      <c r="J221" s="393"/>
      <c r="K221" s="393"/>
      <c r="L221" s="2681"/>
      <c r="M221" s="394"/>
      <c r="N221" s="394"/>
      <c r="O221" s="394" t="s">
        <v>63</v>
      </c>
      <c r="P221" s="394"/>
      <c r="Q221" s="450" t="s">
        <v>72</v>
      </c>
      <c r="R221" s="398" t="s">
        <v>59</v>
      </c>
      <c r="S221" s="398"/>
      <c r="T221" s="398" t="s">
        <v>73</v>
      </c>
      <c r="U221" s="398" t="s">
        <v>59</v>
      </c>
      <c r="V221" s="399" t="s">
        <v>59</v>
      </c>
      <c r="W221" s="400" t="s">
        <v>59</v>
      </c>
      <c r="X221" s="401" t="s">
        <v>59</v>
      </c>
      <c r="Y221" s="401" t="s">
        <v>59</v>
      </c>
      <c r="Z221" s="401" t="s">
        <v>59</v>
      </c>
      <c r="AA221" s="402"/>
      <c r="AB221" s="462"/>
      <c r="AC221" s="625"/>
      <c r="AD221" s="625"/>
      <c r="AE221" s="625"/>
      <c r="AF221" s="626"/>
    </row>
    <row r="222" spans="1:32" s="457" customFormat="1" ht="18" customHeight="1" x14ac:dyDescent="0.25">
      <c r="A222" s="53">
        <v>1</v>
      </c>
      <c r="B222" s="333">
        <v>30751</v>
      </c>
      <c r="C222" s="41">
        <v>1080</v>
      </c>
      <c r="D222" s="41" t="s">
        <v>86</v>
      </c>
      <c r="E222" s="41">
        <v>3</v>
      </c>
      <c r="F222" s="41">
        <v>0</v>
      </c>
      <c r="G222" s="41">
        <v>1</v>
      </c>
      <c r="H222" s="267">
        <v>85</v>
      </c>
      <c r="I222" s="77">
        <f t="shared" ref="I222" si="54">F222*400+G222*100+H222</f>
        <v>185</v>
      </c>
      <c r="J222" s="667">
        <v>1600</v>
      </c>
      <c r="K222" s="297">
        <f t="shared" ref="K222" si="55">I222*J222</f>
        <v>296000</v>
      </c>
      <c r="L222" s="45">
        <v>1</v>
      </c>
      <c r="M222" s="88">
        <v>103</v>
      </c>
      <c r="N222" s="27" t="s">
        <v>74</v>
      </c>
      <c r="O222" s="45">
        <v>3</v>
      </c>
      <c r="P222" s="27">
        <v>24</v>
      </c>
      <c r="Q222" s="62" t="s">
        <v>75</v>
      </c>
      <c r="R222" s="743">
        <v>9050</v>
      </c>
      <c r="S222" s="47">
        <f t="shared" ref="S222:S223" si="56">+P222*R222</f>
        <v>217200</v>
      </c>
      <c r="T222" s="1501">
        <v>5</v>
      </c>
      <c r="U222" s="1670">
        <f>+S222*0.5</f>
        <v>108600</v>
      </c>
      <c r="V222" s="18">
        <f t="shared" ref="V222" si="57">+S222-U222</f>
        <v>108600</v>
      </c>
      <c r="W222" s="18">
        <f t="shared" ref="W222" si="58">K222+V222</f>
        <v>404600</v>
      </c>
      <c r="X222" s="47">
        <f t="shared" ref="X222" si="59">W222</f>
        <v>404600</v>
      </c>
      <c r="Y222" s="296"/>
      <c r="Z222" s="296">
        <f>X222</f>
        <v>404600</v>
      </c>
      <c r="AA222" s="494">
        <v>0.3</v>
      </c>
      <c r="AB222" s="465">
        <f>+Z222*AA222/100</f>
        <v>1213.8</v>
      </c>
      <c r="AC222" s="1098"/>
      <c r="AD222" s="353">
        <f>AB222-AC222</f>
        <v>1213.8</v>
      </c>
      <c r="AE222" s="353">
        <f>IF(AD222&lt;=0,0,AD222*25/100)</f>
        <v>303.45</v>
      </c>
      <c r="AF222" s="353">
        <f>IF(AC222+AE222&gt;AB222,AB222,AC222+AE222)</f>
        <v>303.45</v>
      </c>
    </row>
    <row r="223" spans="1:32" s="457" customFormat="1" ht="18" customHeight="1" x14ac:dyDescent="0.2">
      <c r="A223" s="75"/>
      <c r="B223" s="15"/>
      <c r="C223" s="27"/>
      <c r="D223" s="27"/>
      <c r="E223" s="15"/>
      <c r="F223" s="15"/>
      <c r="G223" s="15"/>
      <c r="H223" s="284"/>
      <c r="I223" s="296"/>
      <c r="J223" s="759"/>
      <c r="K223" s="297"/>
      <c r="L223" s="45">
        <v>2</v>
      </c>
      <c r="M223" s="88">
        <v>504</v>
      </c>
      <c r="N223" s="27" t="s">
        <v>74</v>
      </c>
      <c r="O223" s="45">
        <v>3</v>
      </c>
      <c r="P223" s="27">
        <v>16</v>
      </c>
      <c r="Q223" s="62" t="s">
        <v>75</v>
      </c>
      <c r="R223" s="743">
        <v>3100</v>
      </c>
      <c r="S223" s="47">
        <f t="shared" si="56"/>
        <v>49600</v>
      </c>
      <c r="T223" s="1501">
        <v>5</v>
      </c>
      <c r="U223" s="1670">
        <f>+S223*0.5</f>
        <v>24800</v>
      </c>
      <c r="V223" s="18">
        <f t="shared" ref="V223" si="60">+S223-U223</f>
        <v>24800</v>
      </c>
      <c r="W223" s="18">
        <f t="shared" ref="W223" si="61">K223+V223</f>
        <v>24800</v>
      </c>
      <c r="X223" s="47">
        <f t="shared" ref="X223" si="62">W223</f>
        <v>24800</v>
      </c>
      <c r="Y223" s="296"/>
      <c r="Z223" s="296">
        <f>X223</f>
        <v>24800</v>
      </c>
      <c r="AA223" s="494">
        <v>0.3</v>
      </c>
      <c r="AB223" s="410">
        <f>+Z223*AA223/100</f>
        <v>74.400000000000006</v>
      </c>
      <c r="AC223" s="1414"/>
      <c r="AD223" s="359">
        <f>AB223-AC223</f>
        <v>74.400000000000006</v>
      </c>
      <c r="AE223" s="359">
        <f>IF(AD223&lt;=0,0,AD223*25/100)</f>
        <v>18.600000000000001</v>
      </c>
      <c r="AF223" s="359">
        <f>IF(AC223+AE223&gt;AB223,AB223,AC223+AE223)</f>
        <v>18.600000000000001</v>
      </c>
    </row>
    <row r="224" spans="1:32" s="457" customFormat="1" ht="18" customHeight="1" x14ac:dyDescent="0.2">
      <c r="A224" s="145"/>
      <c r="B224" s="177"/>
      <c r="C224" s="177"/>
      <c r="D224" s="145"/>
      <c r="E224" s="145"/>
      <c r="F224" s="145"/>
      <c r="G224" s="145"/>
      <c r="H224" s="147"/>
      <c r="I224" s="107"/>
      <c r="J224" s="178"/>
      <c r="K224" s="107"/>
      <c r="L224" s="145"/>
      <c r="M224" s="145"/>
      <c r="N224" s="145"/>
      <c r="O224" s="145"/>
      <c r="P224" s="147"/>
      <c r="Q224" s="148"/>
      <c r="R224" s="437"/>
      <c r="S224" s="107"/>
      <c r="T224" s="179"/>
      <c r="U224" s="178"/>
      <c r="V224" s="107"/>
      <c r="W224" s="107"/>
      <c r="X224" s="470"/>
      <c r="Y224" s="470"/>
      <c r="Z224" s="471"/>
      <c r="AA224" s="471"/>
      <c r="AB224" s="466"/>
      <c r="AC224" s="350"/>
      <c r="AD224" s="350"/>
      <c r="AE224" s="350"/>
      <c r="AF224" s="350"/>
    </row>
    <row r="225" spans="1:32" s="457" customFormat="1" ht="18" customHeight="1" x14ac:dyDescent="0.2">
      <c r="A225" s="145"/>
      <c r="B225" s="177"/>
      <c r="C225" s="177"/>
      <c r="D225" s="145"/>
      <c r="E225" s="145"/>
      <c r="F225" s="145"/>
      <c r="G225" s="145"/>
      <c r="H225" s="147"/>
      <c r="I225" s="107"/>
      <c r="J225" s="178"/>
      <c r="K225" s="107"/>
      <c r="L225" s="145"/>
      <c r="M225" s="145"/>
      <c r="N225" s="145"/>
      <c r="O225" s="145"/>
      <c r="P225" s="147"/>
      <c r="Q225" s="148"/>
      <c r="R225" s="437"/>
      <c r="S225" s="107"/>
      <c r="T225" s="179"/>
      <c r="U225" s="178"/>
      <c r="V225" s="107"/>
      <c r="W225" s="107"/>
      <c r="X225" s="470"/>
      <c r="Y225" s="470"/>
      <c r="Z225" s="471"/>
      <c r="AA225" s="471"/>
      <c r="AB225" s="466"/>
      <c r="AC225" s="350"/>
      <c r="AD225" s="350"/>
      <c r="AE225" s="350"/>
      <c r="AF225" s="350"/>
    </row>
    <row r="226" spans="1:32" s="457" customFormat="1" ht="18" customHeight="1" x14ac:dyDescent="0.2">
      <c r="A226" s="145"/>
      <c r="B226" s="177"/>
      <c r="C226" s="177"/>
      <c r="D226" s="145"/>
      <c r="E226" s="145"/>
      <c r="F226" s="145"/>
      <c r="G226" s="145"/>
      <c r="H226" s="147"/>
      <c r="I226" s="107"/>
      <c r="J226" s="178"/>
      <c r="K226" s="107"/>
      <c r="L226" s="145"/>
      <c r="M226" s="145"/>
      <c r="N226" s="145"/>
      <c r="O226" s="145"/>
      <c r="P226" s="147"/>
      <c r="Q226" s="148"/>
      <c r="R226" s="437"/>
      <c r="S226" s="107"/>
      <c r="T226" s="179"/>
      <c r="U226" s="178"/>
      <c r="V226" s="107"/>
      <c r="W226" s="107"/>
      <c r="X226" s="470"/>
      <c r="Y226" s="470"/>
      <c r="Z226" s="471"/>
      <c r="AA226" s="471"/>
      <c r="AB226" s="466"/>
      <c r="AC226" s="350"/>
      <c r="AD226" s="350"/>
      <c r="AE226" s="350"/>
      <c r="AF226" s="350"/>
    </row>
    <row r="227" spans="1:32" s="457" customFormat="1" ht="18" customHeight="1" x14ac:dyDescent="0.2">
      <c r="A227" s="145"/>
      <c r="B227" s="177"/>
      <c r="C227" s="177"/>
      <c r="D227" s="145"/>
      <c r="E227" s="145"/>
      <c r="F227" s="145"/>
      <c r="G227" s="145"/>
      <c r="H227" s="147"/>
      <c r="I227" s="107"/>
      <c r="J227" s="178"/>
      <c r="K227" s="107"/>
      <c r="L227" s="145"/>
      <c r="M227" s="145"/>
      <c r="N227" s="145"/>
      <c r="O227" s="145"/>
      <c r="P227" s="147"/>
      <c r="Q227" s="148"/>
      <c r="R227" s="437"/>
      <c r="S227" s="107"/>
      <c r="T227" s="179"/>
      <c r="U227" s="178"/>
      <c r="V227" s="107"/>
      <c r="W227" s="107"/>
      <c r="X227" s="470"/>
      <c r="Y227" s="470"/>
      <c r="Z227" s="471"/>
      <c r="AA227" s="471"/>
      <c r="AB227" s="466"/>
      <c r="AC227" s="350"/>
      <c r="AD227" s="350"/>
      <c r="AE227" s="350"/>
      <c r="AF227" s="350"/>
    </row>
    <row r="228" spans="1:32" s="457" customFormat="1" ht="18" customHeight="1" x14ac:dyDescent="0.2">
      <c r="A228" s="145"/>
      <c r="B228" s="177"/>
      <c r="C228" s="177"/>
      <c r="D228" s="145"/>
      <c r="E228" s="145"/>
      <c r="F228" s="145"/>
      <c r="G228" s="145"/>
      <c r="H228" s="147"/>
      <c r="I228" s="107"/>
      <c r="J228" s="178"/>
      <c r="K228" s="107"/>
      <c r="L228" s="145"/>
      <c r="M228" s="145"/>
      <c r="N228" s="145"/>
      <c r="O228" s="145"/>
      <c r="P228" s="147"/>
      <c r="Q228" s="148"/>
      <c r="R228" s="437"/>
      <c r="S228" s="107"/>
      <c r="T228" s="179"/>
      <c r="U228" s="178"/>
      <c r="V228" s="107"/>
      <c r="W228" s="107"/>
      <c r="X228" s="470"/>
      <c r="Y228" s="470"/>
      <c r="Z228" s="471"/>
      <c r="AA228" s="471"/>
      <c r="AB228" s="466"/>
      <c r="AC228" s="350"/>
      <c r="AD228" s="350"/>
      <c r="AE228" s="350"/>
      <c r="AF228" s="350"/>
    </row>
    <row r="229" spans="1:32" s="457" customFormat="1" ht="18" customHeight="1" x14ac:dyDescent="0.2">
      <c r="A229" s="145"/>
      <c r="B229" s="177"/>
      <c r="C229" s="177"/>
      <c r="D229" s="145"/>
      <c r="E229" s="145"/>
      <c r="F229" s="145"/>
      <c r="G229" s="145"/>
      <c r="H229" s="147"/>
      <c r="I229" s="107"/>
      <c r="J229" s="178"/>
      <c r="K229" s="107"/>
      <c r="L229" s="145"/>
      <c r="M229" s="145"/>
      <c r="N229" s="145"/>
      <c r="O229" s="145"/>
      <c r="P229" s="147"/>
      <c r="Q229" s="148"/>
      <c r="R229" s="437"/>
      <c r="S229" s="107"/>
      <c r="T229" s="179"/>
      <c r="U229" s="178"/>
      <c r="V229" s="107"/>
      <c r="W229" s="107"/>
      <c r="X229" s="470"/>
      <c r="Y229" s="470"/>
      <c r="Z229" s="471"/>
      <c r="AA229" s="471"/>
      <c r="AB229" s="466"/>
      <c r="AC229" s="350"/>
      <c r="AD229" s="350"/>
      <c r="AE229" s="350"/>
      <c r="AF229" s="350"/>
    </row>
    <row r="230" spans="1:32" s="457" customFormat="1" ht="18" customHeight="1" x14ac:dyDescent="0.2">
      <c r="A230" s="145"/>
      <c r="B230" s="177"/>
      <c r="C230" s="177"/>
      <c r="D230" s="145"/>
      <c r="E230" s="145"/>
      <c r="F230" s="145"/>
      <c r="G230" s="145"/>
      <c r="H230" s="147"/>
      <c r="I230" s="107"/>
      <c r="J230" s="178"/>
      <c r="K230" s="107"/>
      <c r="L230" s="145"/>
      <c r="M230" s="145"/>
      <c r="N230" s="145"/>
      <c r="O230" s="145"/>
      <c r="P230" s="147"/>
      <c r="Q230" s="148"/>
      <c r="R230" s="437"/>
      <c r="S230" s="107"/>
      <c r="T230" s="179"/>
      <c r="U230" s="178"/>
      <c r="V230" s="107"/>
      <c r="W230" s="107"/>
      <c r="X230" s="470"/>
      <c r="Y230" s="470"/>
      <c r="Z230" s="471"/>
      <c r="AA230" s="471"/>
      <c r="AB230" s="466"/>
      <c r="AC230" s="350"/>
      <c r="AD230" s="350"/>
      <c r="AE230" s="350"/>
      <c r="AF230" s="350"/>
    </row>
    <row r="231" spans="1:32" s="457" customFormat="1" ht="18" customHeight="1" x14ac:dyDescent="0.2">
      <c r="A231" s="145"/>
      <c r="B231" s="177"/>
      <c r="C231" s="177"/>
      <c r="D231" s="145"/>
      <c r="E231" s="145"/>
      <c r="F231" s="145"/>
      <c r="G231" s="145"/>
      <c r="H231" s="147"/>
      <c r="I231" s="107"/>
      <c r="J231" s="178"/>
      <c r="K231" s="107"/>
      <c r="L231" s="145"/>
      <c r="M231" s="145"/>
      <c r="N231" s="145"/>
      <c r="O231" s="145"/>
      <c r="P231" s="147"/>
      <c r="Q231" s="148"/>
      <c r="R231" s="437"/>
      <c r="S231" s="107"/>
      <c r="T231" s="179"/>
      <c r="U231" s="178"/>
      <c r="V231" s="107"/>
      <c r="W231" s="107"/>
      <c r="X231" s="470"/>
      <c r="Y231" s="470"/>
      <c r="Z231" s="471"/>
      <c r="AA231" s="471"/>
      <c r="AB231" s="466"/>
      <c r="AC231" s="350"/>
      <c r="AD231" s="350"/>
      <c r="AE231" s="350"/>
      <c r="AF231" s="350"/>
    </row>
    <row r="232" spans="1:32" s="457" customFormat="1" ht="18" customHeight="1" x14ac:dyDescent="0.2">
      <c r="A232" s="145"/>
      <c r="B232" s="177"/>
      <c r="C232" s="177"/>
      <c r="D232" s="145"/>
      <c r="E232" s="145"/>
      <c r="F232" s="145"/>
      <c r="G232" s="145"/>
      <c r="H232" s="147"/>
      <c r="I232" s="107"/>
      <c r="J232" s="178"/>
      <c r="K232" s="107"/>
      <c r="L232" s="145"/>
      <c r="M232" s="145"/>
      <c r="N232" s="145"/>
      <c r="O232" s="145"/>
      <c r="P232" s="147"/>
      <c r="Q232" s="148"/>
      <c r="R232" s="437"/>
      <c r="S232" s="107"/>
      <c r="T232" s="179"/>
      <c r="U232" s="178"/>
      <c r="V232" s="107"/>
      <c r="W232" s="107"/>
      <c r="X232" s="470"/>
      <c r="Y232" s="470"/>
      <c r="Z232" s="471"/>
      <c r="AA232" s="471"/>
      <c r="AB232" s="466"/>
      <c r="AC232" s="350"/>
      <c r="AD232" s="350"/>
      <c r="AE232" s="350"/>
      <c r="AF232" s="350"/>
    </row>
    <row r="233" spans="1:32" s="457" customFormat="1" ht="18" customHeight="1" x14ac:dyDescent="0.2">
      <c r="A233" s="145"/>
      <c r="B233" s="177"/>
      <c r="C233" s="177"/>
      <c r="D233" s="145"/>
      <c r="E233" s="145"/>
      <c r="F233" s="145"/>
      <c r="G233" s="145"/>
      <c r="H233" s="147"/>
      <c r="I233" s="107"/>
      <c r="J233" s="178"/>
      <c r="K233" s="107"/>
      <c r="L233" s="145"/>
      <c r="M233" s="145"/>
      <c r="N233" s="145"/>
      <c r="O233" s="145"/>
      <c r="P233" s="147"/>
      <c r="Q233" s="148"/>
      <c r="R233" s="437"/>
      <c r="S233" s="107"/>
      <c r="T233" s="179"/>
      <c r="U233" s="178"/>
      <c r="V233" s="107"/>
      <c r="W233" s="107"/>
      <c r="X233" s="470"/>
      <c r="Y233" s="470"/>
      <c r="Z233" s="471"/>
      <c r="AA233" s="471"/>
      <c r="AB233" s="466"/>
      <c r="AC233" s="350"/>
      <c r="AD233" s="350"/>
      <c r="AE233" s="350"/>
      <c r="AF233" s="350"/>
    </row>
    <row r="234" spans="1:32" s="457" customFormat="1" ht="18" customHeight="1" x14ac:dyDescent="0.2">
      <c r="A234" s="145"/>
      <c r="B234" s="177"/>
      <c r="C234" s="177"/>
      <c r="D234" s="145"/>
      <c r="E234" s="145"/>
      <c r="F234" s="145"/>
      <c r="G234" s="145"/>
      <c r="H234" s="147"/>
      <c r="I234" s="107"/>
      <c r="J234" s="178"/>
      <c r="K234" s="107"/>
      <c r="L234" s="145"/>
      <c r="M234" s="145"/>
      <c r="N234" s="145"/>
      <c r="O234" s="145"/>
      <c r="P234" s="147"/>
      <c r="Q234" s="148"/>
      <c r="R234" s="437"/>
      <c r="S234" s="107"/>
      <c r="T234" s="179"/>
      <c r="U234" s="178"/>
      <c r="V234" s="107"/>
      <c r="W234" s="107"/>
      <c r="X234" s="470"/>
      <c r="Y234" s="470"/>
      <c r="Z234" s="471"/>
      <c r="AA234" s="471"/>
      <c r="AB234" s="466"/>
      <c r="AC234" s="350"/>
      <c r="AD234" s="350"/>
      <c r="AE234" s="350"/>
      <c r="AF234" s="350"/>
    </row>
    <row r="235" spans="1:32" s="457" customFormat="1" ht="18" customHeight="1" x14ac:dyDescent="0.2">
      <c r="A235" s="145"/>
      <c r="B235" s="177"/>
      <c r="C235" s="177"/>
      <c r="D235" s="145"/>
      <c r="E235" s="145"/>
      <c r="F235" s="145"/>
      <c r="G235" s="145"/>
      <c r="H235" s="147"/>
      <c r="I235" s="107"/>
      <c r="J235" s="178"/>
      <c r="K235" s="107"/>
      <c r="L235" s="145"/>
      <c r="M235" s="145"/>
      <c r="N235" s="145"/>
      <c r="O235" s="145"/>
      <c r="P235" s="147"/>
      <c r="Q235" s="148"/>
      <c r="R235" s="437"/>
      <c r="S235" s="107"/>
      <c r="T235" s="179"/>
      <c r="U235" s="178"/>
      <c r="V235" s="107"/>
      <c r="W235" s="107"/>
      <c r="X235" s="470"/>
      <c r="Y235" s="470"/>
      <c r="Z235" s="471"/>
      <c r="AA235" s="471"/>
      <c r="AB235" s="466"/>
      <c r="AC235" s="350"/>
      <c r="AD235" s="350"/>
      <c r="AE235" s="350"/>
      <c r="AF235" s="350"/>
    </row>
    <row r="236" spans="1:32" s="457" customFormat="1" ht="18" customHeight="1" x14ac:dyDescent="0.2">
      <c r="A236" s="145"/>
      <c r="B236" s="177"/>
      <c r="C236" s="177"/>
      <c r="D236" s="145"/>
      <c r="E236" s="145"/>
      <c r="F236" s="145"/>
      <c r="G236" s="145"/>
      <c r="H236" s="147"/>
      <c r="I236" s="107"/>
      <c r="J236" s="178"/>
      <c r="K236" s="107"/>
      <c r="L236" s="145"/>
      <c r="M236" s="145"/>
      <c r="N236" s="145"/>
      <c r="O236" s="145"/>
      <c r="P236" s="147"/>
      <c r="Q236" s="148"/>
      <c r="R236" s="437"/>
      <c r="S236" s="107"/>
      <c r="T236" s="179"/>
      <c r="U236" s="178"/>
      <c r="V236" s="107"/>
      <c r="W236" s="107"/>
      <c r="X236" s="470"/>
      <c r="Y236" s="470"/>
      <c r="Z236" s="471"/>
      <c r="AA236" s="471"/>
      <c r="AB236" s="466"/>
      <c r="AC236" s="350"/>
      <c r="AD236" s="350"/>
      <c r="AE236" s="350"/>
      <c r="AF236" s="350"/>
    </row>
    <row r="237" spans="1:32" s="457" customFormat="1" ht="18" customHeight="1" x14ac:dyDescent="0.2">
      <c r="A237" s="183"/>
      <c r="B237" s="183"/>
      <c r="C237" s="183"/>
      <c r="D237" s="183"/>
      <c r="E237" s="183"/>
      <c r="F237" s="183"/>
      <c r="G237" s="183"/>
      <c r="H237" s="184"/>
      <c r="I237" s="185"/>
      <c r="J237" s="186"/>
      <c r="K237" s="185"/>
      <c r="L237" s="185"/>
      <c r="M237" s="185"/>
      <c r="N237" s="185"/>
      <c r="O237" s="185"/>
      <c r="P237" s="185"/>
      <c r="Q237" s="185"/>
      <c r="R237" s="438"/>
      <c r="S237" s="185"/>
      <c r="T237" s="187"/>
      <c r="U237" s="186"/>
      <c r="V237" s="185"/>
      <c r="W237" s="185"/>
      <c r="X237" s="474"/>
      <c r="Y237" s="474"/>
      <c r="Z237" s="475"/>
      <c r="AA237" s="475"/>
      <c r="AB237" s="1847">
        <f>SUM(AB222:AB236)</f>
        <v>1288.2</v>
      </c>
      <c r="AC237" s="349"/>
      <c r="AD237" s="349"/>
      <c r="AE237" s="349"/>
      <c r="AF237" s="349"/>
    </row>
    <row r="238" spans="1:32" s="457" customFormat="1" ht="18" customHeight="1" x14ac:dyDescent="0.2">
      <c r="A238" s="2737" t="s">
        <v>76</v>
      </c>
      <c r="B238" s="2737"/>
      <c r="C238" s="2738" t="s">
        <v>77</v>
      </c>
      <c r="D238" s="2738"/>
      <c r="E238" s="2738"/>
      <c r="F238" s="2738"/>
      <c r="G238" s="2738"/>
      <c r="H238" s="2738"/>
      <c r="I238" s="457" t="s">
        <v>78</v>
      </c>
      <c r="AB238" s="478"/>
    </row>
    <row r="239" spans="1:32" s="457" customFormat="1" ht="18" customHeight="1" x14ac:dyDescent="0.2">
      <c r="B239" s="479"/>
      <c r="I239" s="457" t="s">
        <v>79</v>
      </c>
      <c r="AB239" s="478"/>
    </row>
    <row r="240" spans="1:32" s="457" customFormat="1" ht="18" customHeight="1" x14ac:dyDescent="0.2">
      <c r="B240" s="479"/>
      <c r="I240" s="457" t="s">
        <v>80</v>
      </c>
      <c r="AB240" s="478"/>
    </row>
    <row r="241" spans="1:32" s="457" customFormat="1" ht="18" customHeight="1" x14ac:dyDescent="0.2">
      <c r="B241" s="479"/>
      <c r="I241" s="457" t="s">
        <v>81</v>
      </c>
      <c r="AB241" s="478"/>
    </row>
    <row r="242" spans="1:32" s="457" customFormat="1" ht="18" customHeight="1" x14ac:dyDescent="0.2">
      <c r="B242" s="479"/>
      <c r="I242" s="457" t="s">
        <v>88</v>
      </c>
      <c r="AB242" s="478"/>
    </row>
    <row r="243" spans="1:32" s="457" customFormat="1" ht="18" customHeight="1" x14ac:dyDescent="0.2">
      <c r="A243" s="455"/>
      <c r="B243" s="455"/>
      <c r="C243" s="455"/>
      <c r="D243" s="455"/>
      <c r="E243" s="455"/>
      <c r="F243" s="455"/>
      <c r="G243" s="455"/>
      <c r="H243" s="455"/>
      <c r="I243" s="455"/>
      <c r="J243" s="455"/>
      <c r="K243" s="455"/>
      <c r="L243" s="455"/>
      <c r="M243" s="455"/>
      <c r="N243" s="455"/>
      <c r="O243" s="455"/>
      <c r="P243" s="455"/>
      <c r="Q243" s="455"/>
      <c r="R243" s="455"/>
      <c r="S243" s="455"/>
      <c r="T243" s="455"/>
      <c r="U243" s="455"/>
      <c r="V243" s="455"/>
      <c r="W243" s="455"/>
      <c r="X243" s="455"/>
      <c r="Y243" s="455"/>
      <c r="Z243" s="455"/>
      <c r="AA243" s="2705" t="s">
        <v>0</v>
      </c>
      <c r="AB243" s="2705"/>
      <c r="AC243" s="455"/>
      <c r="AD243" s="455"/>
      <c r="AE243" s="455"/>
      <c r="AF243" s="455"/>
    </row>
    <row r="244" spans="1:32" s="457" customFormat="1" ht="18" customHeight="1" x14ac:dyDescent="0.2">
      <c r="A244" s="2706" t="s">
        <v>1</v>
      </c>
      <c r="B244" s="2706"/>
      <c r="C244" s="2706"/>
      <c r="D244" s="2706"/>
      <c r="E244" s="2706"/>
      <c r="F244" s="2706"/>
      <c r="G244" s="2706"/>
      <c r="H244" s="2706"/>
      <c r="I244" s="2706"/>
      <c r="J244" s="2706"/>
      <c r="K244" s="2706"/>
      <c r="L244" s="2706"/>
      <c r="M244" s="2706"/>
      <c r="N244" s="2706"/>
      <c r="O244" s="2706"/>
      <c r="P244" s="2706"/>
      <c r="Q244" s="2706"/>
      <c r="R244" s="2706"/>
      <c r="S244" s="2706"/>
      <c r="T244" s="2706"/>
      <c r="U244" s="2706"/>
      <c r="V244" s="2706"/>
      <c r="W244" s="2706"/>
      <c r="X244" s="2706"/>
      <c r="Y244" s="2706"/>
      <c r="Z244" s="2706"/>
      <c r="AA244" s="2706"/>
      <c r="AB244" s="2706"/>
      <c r="AC244" s="610"/>
      <c r="AD244" s="610"/>
      <c r="AE244" s="610"/>
      <c r="AF244" s="610"/>
    </row>
    <row r="245" spans="1:32" s="457" customFormat="1" ht="18" customHeight="1" x14ac:dyDescent="0.2">
      <c r="A245" s="2704" t="s">
        <v>375</v>
      </c>
      <c r="B245" s="2704"/>
      <c r="C245" s="2704"/>
      <c r="D245" s="2704"/>
      <c r="E245" s="2704"/>
      <c r="F245" s="2704"/>
      <c r="G245" s="2704"/>
      <c r="H245" s="2704"/>
      <c r="I245" s="2704"/>
      <c r="J245" s="2704"/>
      <c r="K245" s="2704"/>
      <c r="L245" s="2704"/>
      <c r="M245" s="2704"/>
      <c r="N245" s="2704"/>
      <c r="O245" s="2704"/>
      <c r="P245" s="2704"/>
      <c r="Q245" s="2704"/>
      <c r="R245" s="2704"/>
      <c r="S245" s="2704"/>
      <c r="T245" s="2704"/>
      <c r="U245" s="2704"/>
      <c r="V245" s="2704"/>
      <c r="W245" s="2704"/>
      <c r="X245" s="2704"/>
      <c r="Y245" s="2704"/>
      <c r="Z245" s="2704"/>
      <c r="AA245" s="2704"/>
      <c r="AB245" s="2704"/>
      <c r="AC245" s="611"/>
      <c r="AD245" s="611"/>
      <c r="AE245" s="611"/>
      <c r="AF245" s="611"/>
    </row>
    <row r="246" spans="1:32" s="457" customFormat="1" ht="18" customHeight="1" x14ac:dyDescent="0.2">
      <c r="A246" s="2686" t="s">
        <v>2</v>
      </c>
      <c r="B246" s="360"/>
      <c r="C246" s="2686" t="s">
        <v>3</v>
      </c>
      <c r="D246" s="360"/>
      <c r="E246" s="360"/>
      <c r="F246" s="2693" t="s">
        <v>4</v>
      </c>
      <c r="G246" s="2693"/>
      <c r="H246" s="2693"/>
      <c r="I246" s="2694"/>
      <c r="J246" s="2694"/>
      <c r="K246" s="2695"/>
      <c r="L246" s="361"/>
      <c r="M246" s="2679" t="s">
        <v>5</v>
      </c>
      <c r="N246" s="2679"/>
      <c r="O246" s="2679"/>
      <c r="P246" s="2679"/>
      <c r="Q246" s="2696"/>
      <c r="R246" s="2696"/>
      <c r="S246" s="2696"/>
      <c r="T246" s="2696"/>
      <c r="U246" s="2696"/>
      <c r="V246" s="2697"/>
      <c r="W246" s="362" t="s">
        <v>6</v>
      </c>
      <c r="X246" s="363" t="s">
        <v>7</v>
      </c>
      <c r="Y246" s="364"/>
      <c r="Z246" s="364"/>
      <c r="AA246" s="363"/>
      <c r="AB246" s="458"/>
      <c r="AC246" s="612" t="s">
        <v>8</v>
      </c>
      <c r="AD246" s="613"/>
      <c r="AE246" s="613"/>
      <c r="AF246" s="614"/>
    </row>
    <row r="247" spans="1:32" s="457" customFormat="1" ht="18" customHeight="1" x14ac:dyDescent="0.2">
      <c r="A247" s="2687"/>
      <c r="B247" s="367"/>
      <c r="C247" s="2687"/>
      <c r="D247" s="366" t="s">
        <v>9</v>
      </c>
      <c r="E247" s="366" t="s">
        <v>10</v>
      </c>
      <c r="F247" s="2698" t="s">
        <v>11</v>
      </c>
      <c r="G247" s="2694"/>
      <c r="H247" s="2695"/>
      <c r="I247" s="360"/>
      <c r="J247" s="449" t="s">
        <v>12</v>
      </c>
      <c r="K247" s="360"/>
      <c r="L247" s="2679" t="s">
        <v>2</v>
      </c>
      <c r="M247" s="370"/>
      <c r="N247" s="370"/>
      <c r="O247" s="370"/>
      <c r="P247" s="371"/>
      <c r="Q247" s="459" t="s">
        <v>13</v>
      </c>
      <c r="R247" s="370" t="s">
        <v>12</v>
      </c>
      <c r="S247" s="370" t="s">
        <v>6</v>
      </c>
      <c r="T247" s="2682" t="s">
        <v>14</v>
      </c>
      <c r="U247" s="2683"/>
      <c r="V247" s="375" t="s">
        <v>7</v>
      </c>
      <c r="W247" s="376" t="s">
        <v>15</v>
      </c>
      <c r="X247" s="377" t="s">
        <v>16</v>
      </c>
      <c r="Y247" s="377" t="s">
        <v>17</v>
      </c>
      <c r="Z247" s="377" t="s">
        <v>18</v>
      </c>
      <c r="AA247" s="377"/>
      <c r="AB247" s="460" t="s">
        <v>19</v>
      </c>
      <c r="AC247" s="615" t="s">
        <v>20</v>
      </c>
      <c r="AD247" s="616"/>
      <c r="AE247" s="617" t="s">
        <v>21</v>
      </c>
      <c r="AF247" s="618" t="s">
        <v>22</v>
      </c>
    </row>
    <row r="248" spans="1:32" s="457" customFormat="1" ht="18" customHeight="1" x14ac:dyDescent="0.2">
      <c r="A248" s="2687"/>
      <c r="B248" s="366" t="s">
        <v>23</v>
      </c>
      <c r="C248" s="2687"/>
      <c r="D248" s="366" t="s">
        <v>24</v>
      </c>
      <c r="E248" s="366" t="s">
        <v>25</v>
      </c>
      <c r="F248" s="2699"/>
      <c r="G248" s="2700"/>
      <c r="H248" s="2701"/>
      <c r="I248" s="366" t="s">
        <v>26</v>
      </c>
      <c r="J248" s="380" t="s">
        <v>15</v>
      </c>
      <c r="K248" s="380" t="s">
        <v>6</v>
      </c>
      <c r="L248" s="2680"/>
      <c r="M248" s="381" t="s">
        <v>27</v>
      </c>
      <c r="N248" s="381" t="s">
        <v>10</v>
      </c>
      <c r="O248" s="381" t="s">
        <v>10</v>
      </c>
      <c r="P248" s="385" t="s">
        <v>28</v>
      </c>
      <c r="Q248" s="461" t="s">
        <v>29</v>
      </c>
      <c r="R248" s="385" t="s">
        <v>15</v>
      </c>
      <c r="S248" s="385" t="s">
        <v>15</v>
      </c>
      <c r="T248" s="2684"/>
      <c r="U248" s="2685"/>
      <c r="V248" s="375" t="s">
        <v>30</v>
      </c>
      <c r="W248" s="376" t="s">
        <v>31</v>
      </c>
      <c r="X248" s="377" t="s">
        <v>30</v>
      </c>
      <c r="Y248" s="377" t="s">
        <v>32</v>
      </c>
      <c r="Z248" s="377" t="s">
        <v>7</v>
      </c>
      <c r="AA248" s="377" t="s">
        <v>33</v>
      </c>
      <c r="AB248" s="460" t="s">
        <v>34</v>
      </c>
      <c r="AC248" s="615" t="s">
        <v>35</v>
      </c>
      <c r="AD248" s="617" t="s">
        <v>36</v>
      </c>
      <c r="AE248" s="617" t="s">
        <v>37</v>
      </c>
      <c r="AF248" s="618" t="s">
        <v>38</v>
      </c>
    </row>
    <row r="249" spans="1:32" s="457" customFormat="1" ht="18" customHeight="1" x14ac:dyDescent="0.2">
      <c r="A249" s="2687"/>
      <c r="B249" s="366" t="s">
        <v>39</v>
      </c>
      <c r="C249" s="2687"/>
      <c r="D249" s="366" t="s">
        <v>40</v>
      </c>
      <c r="E249" s="366" t="s">
        <v>41</v>
      </c>
      <c r="F249" s="2686" t="s">
        <v>42</v>
      </c>
      <c r="G249" s="2686" t="s">
        <v>43</v>
      </c>
      <c r="H249" s="2688" t="s">
        <v>44</v>
      </c>
      <c r="I249" s="366" t="s">
        <v>45</v>
      </c>
      <c r="J249" s="380" t="s">
        <v>46</v>
      </c>
      <c r="K249" s="380" t="s">
        <v>47</v>
      </c>
      <c r="L249" s="2680"/>
      <c r="M249" s="381" t="s">
        <v>30</v>
      </c>
      <c r="N249" s="381" t="s">
        <v>30</v>
      </c>
      <c r="O249" s="381" t="s">
        <v>25</v>
      </c>
      <c r="P249" s="385" t="s">
        <v>30</v>
      </c>
      <c r="Q249" s="461" t="s">
        <v>48</v>
      </c>
      <c r="R249" s="385" t="s">
        <v>49</v>
      </c>
      <c r="S249" s="385" t="s">
        <v>30</v>
      </c>
      <c r="T249" s="374" t="s">
        <v>50</v>
      </c>
      <c r="U249" s="374" t="s">
        <v>13</v>
      </c>
      <c r="V249" s="375" t="s">
        <v>51</v>
      </c>
      <c r="W249" s="376" t="s">
        <v>52</v>
      </c>
      <c r="X249" s="377" t="s">
        <v>53</v>
      </c>
      <c r="Y249" s="377" t="s">
        <v>54</v>
      </c>
      <c r="Z249" s="377" t="s">
        <v>55</v>
      </c>
      <c r="AA249" s="377" t="s">
        <v>56</v>
      </c>
      <c r="AB249" s="460" t="s">
        <v>57</v>
      </c>
      <c r="AC249" s="617" t="s">
        <v>58</v>
      </c>
      <c r="AD249" s="617" t="s">
        <v>59</v>
      </c>
      <c r="AE249" s="617" t="s">
        <v>59</v>
      </c>
      <c r="AF249" s="618" t="s">
        <v>60</v>
      </c>
    </row>
    <row r="250" spans="1:32" s="457" customFormat="1" ht="18" customHeight="1" x14ac:dyDescent="0.2">
      <c r="A250" s="2687"/>
      <c r="B250" s="366" t="s">
        <v>61</v>
      </c>
      <c r="C250" s="2687"/>
      <c r="D250" s="366" t="s">
        <v>62</v>
      </c>
      <c r="E250" s="366" t="s">
        <v>63</v>
      </c>
      <c r="F250" s="2687"/>
      <c r="G250" s="2687"/>
      <c r="H250" s="2689"/>
      <c r="I250" s="366" t="s">
        <v>64</v>
      </c>
      <c r="J250" s="380" t="s">
        <v>59</v>
      </c>
      <c r="K250" s="380" t="s">
        <v>59</v>
      </c>
      <c r="L250" s="2680"/>
      <c r="M250" s="381"/>
      <c r="N250" s="381"/>
      <c r="O250" s="381" t="s">
        <v>41</v>
      </c>
      <c r="P250" s="385" t="s">
        <v>65</v>
      </c>
      <c r="Q250" s="461" t="s">
        <v>66</v>
      </c>
      <c r="R250" s="385" t="s">
        <v>67</v>
      </c>
      <c r="S250" s="385" t="s">
        <v>59</v>
      </c>
      <c r="T250" s="375" t="s">
        <v>68</v>
      </c>
      <c r="U250" s="375" t="s">
        <v>14</v>
      </c>
      <c r="V250" s="375" t="s">
        <v>14</v>
      </c>
      <c r="W250" s="376" t="s">
        <v>30</v>
      </c>
      <c r="X250" s="388" t="s">
        <v>69</v>
      </c>
      <c r="Y250" s="388" t="s">
        <v>70</v>
      </c>
      <c r="Z250" s="377" t="s">
        <v>71</v>
      </c>
      <c r="AA250" s="377" t="s">
        <v>72</v>
      </c>
      <c r="AB250" s="460" t="s">
        <v>59</v>
      </c>
      <c r="AC250" s="617" t="s">
        <v>59</v>
      </c>
      <c r="AD250" s="617"/>
      <c r="AE250" s="617"/>
      <c r="AF250" s="618" t="s">
        <v>59</v>
      </c>
    </row>
    <row r="251" spans="1:32" s="457" customFormat="1" ht="18" customHeight="1" x14ac:dyDescent="0.2">
      <c r="A251" s="2692"/>
      <c r="B251" s="390"/>
      <c r="C251" s="2692"/>
      <c r="D251" s="390"/>
      <c r="E251" s="389"/>
      <c r="F251" s="390"/>
      <c r="G251" s="390"/>
      <c r="H251" s="391"/>
      <c r="I251" s="389"/>
      <c r="J251" s="393"/>
      <c r="K251" s="393"/>
      <c r="L251" s="2681"/>
      <c r="M251" s="394"/>
      <c r="N251" s="394"/>
      <c r="O251" s="394" t="s">
        <v>63</v>
      </c>
      <c r="P251" s="394"/>
      <c r="Q251" s="450" t="s">
        <v>72</v>
      </c>
      <c r="R251" s="398" t="s">
        <v>59</v>
      </c>
      <c r="S251" s="398"/>
      <c r="T251" s="398" t="s">
        <v>73</v>
      </c>
      <c r="U251" s="398" t="s">
        <v>59</v>
      </c>
      <c r="V251" s="399" t="s">
        <v>59</v>
      </c>
      <c r="W251" s="400" t="s">
        <v>59</v>
      </c>
      <c r="X251" s="401" t="s">
        <v>59</v>
      </c>
      <c r="Y251" s="401" t="s">
        <v>59</v>
      </c>
      <c r="Z251" s="401" t="s">
        <v>59</v>
      </c>
      <c r="AA251" s="402"/>
      <c r="AB251" s="462"/>
      <c r="AC251" s="625"/>
      <c r="AD251" s="625"/>
      <c r="AE251" s="625"/>
      <c r="AF251" s="626"/>
    </row>
    <row r="252" spans="1:32" s="457" customFormat="1" ht="18" customHeight="1" x14ac:dyDescent="0.25">
      <c r="A252" s="82">
        <v>1</v>
      </c>
      <c r="B252" s="287">
        <v>1997</v>
      </c>
      <c r="C252" s="15">
        <v>525</v>
      </c>
      <c r="D252" s="15" t="s">
        <v>86</v>
      </c>
      <c r="E252" s="15">
        <v>1</v>
      </c>
      <c r="F252" s="15">
        <v>2</v>
      </c>
      <c r="G252" s="15">
        <v>1</v>
      </c>
      <c r="H252" s="284">
        <v>88</v>
      </c>
      <c r="I252" s="77">
        <f t="shared" ref="I252:I260" si="63">F252*400+G252*100+H252</f>
        <v>988</v>
      </c>
      <c r="J252" s="306">
        <v>280</v>
      </c>
      <c r="K252" s="297">
        <f t="shared" ref="K252:K260" si="64">I252*J252</f>
        <v>276640</v>
      </c>
      <c r="L252" s="50"/>
      <c r="M252" s="145"/>
      <c r="N252" s="15"/>
      <c r="O252" s="294"/>
      <c r="P252" s="15"/>
      <c r="Q252" s="25"/>
      <c r="R252" s="791"/>
      <c r="S252" s="297"/>
      <c r="T252" s="15"/>
      <c r="U252" s="306"/>
      <c r="V252" s="296"/>
      <c r="W252" s="18">
        <f t="shared" ref="W252:W256" si="65">K252+V252</f>
        <v>276640</v>
      </c>
      <c r="X252" s="47">
        <f t="shared" ref="X252:X256" si="66">W252</f>
        <v>276640</v>
      </c>
      <c r="Y252" s="306" t="s">
        <v>87</v>
      </c>
      <c r="Z252" s="306"/>
      <c r="AA252" s="494">
        <v>0.01</v>
      </c>
      <c r="AB252" s="465">
        <f>+Z252*AA252/100</f>
        <v>0</v>
      </c>
      <c r="AC252" s="602"/>
      <c r="AD252" s="603">
        <f>AB252-AC252</f>
        <v>0</v>
      </c>
      <c r="AE252" s="603">
        <f>IF(AD252&lt;=0,0,AD252*25/100)</f>
        <v>0</v>
      </c>
      <c r="AF252" s="603">
        <f>IF(AC252+AE252&gt;AB252,AB252,AC252+AE252)</f>
        <v>0</v>
      </c>
    </row>
    <row r="253" spans="1:32" s="457" customFormat="1" ht="18" customHeight="1" x14ac:dyDescent="0.25">
      <c r="A253" s="145">
        <v>2</v>
      </c>
      <c r="B253" s="287">
        <v>10669</v>
      </c>
      <c r="C253" s="15">
        <v>412</v>
      </c>
      <c r="D253" s="15" t="s">
        <v>86</v>
      </c>
      <c r="E253" s="15">
        <v>1</v>
      </c>
      <c r="F253" s="15">
        <v>1</v>
      </c>
      <c r="G253" s="15">
        <v>0</v>
      </c>
      <c r="H253" s="284">
        <v>90</v>
      </c>
      <c r="I253" s="77">
        <f t="shared" si="63"/>
        <v>490</v>
      </c>
      <c r="J253" s="306">
        <v>2000</v>
      </c>
      <c r="K253" s="297">
        <f t="shared" si="64"/>
        <v>980000</v>
      </c>
      <c r="L253" s="50"/>
      <c r="M253" s="145"/>
      <c r="N253" s="15"/>
      <c r="O253" s="294"/>
      <c r="P253" s="15"/>
      <c r="Q253" s="25"/>
      <c r="R253" s="791"/>
      <c r="S253" s="297"/>
      <c r="T253" s="15"/>
      <c r="U253" s="306"/>
      <c r="V253" s="296"/>
      <c r="W253" s="18">
        <f t="shared" si="65"/>
        <v>980000</v>
      </c>
      <c r="X253" s="47">
        <f t="shared" si="66"/>
        <v>980000</v>
      </c>
      <c r="Y253" s="306">
        <v>0</v>
      </c>
      <c r="Z253" s="306"/>
      <c r="AA253" s="494">
        <v>0.01</v>
      </c>
      <c r="AB253" s="466">
        <f t="shared" ref="AB253:AB254" si="67">+Z253*AA253/100</f>
        <v>0</v>
      </c>
      <c r="AC253" s="603"/>
      <c r="AD253" s="603"/>
      <c r="AE253" s="603"/>
      <c r="AF253" s="603"/>
    </row>
    <row r="254" spans="1:32" s="457" customFormat="1" ht="18" customHeight="1" x14ac:dyDescent="0.25">
      <c r="A254" s="88">
        <v>3</v>
      </c>
      <c r="B254" s="287">
        <v>2657</v>
      </c>
      <c r="C254" s="15">
        <v>310</v>
      </c>
      <c r="D254" s="15" t="s">
        <v>86</v>
      </c>
      <c r="E254" s="15">
        <v>1</v>
      </c>
      <c r="F254" s="15">
        <v>15</v>
      </c>
      <c r="G254" s="15">
        <v>0</v>
      </c>
      <c r="H254" s="284">
        <v>0</v>
      </c>
      <c r="I254" s="77">
        <f t="shared" si="63"/>
        <v>6000</v>
      </c>
      <c r="J254" s="306">
        <v>300</v>
      </c>
      <c r="K254" s="297">
        <f t="shared" si="64"/>
        <v>1800000</v>
      </c>
      <c r="L254" s="50"/>
      <c r="M254" s="145"/>
      <c r="N254" s="15"/>
      <c r="O254" s="294"/>
      <c r="P254" s="15"/>
      <c r="Q254" s="25"/>
      <c r="R254" s="791"/>
      <c r="S254" s="297"/>
      <c r="T254" s="15"/>
      <c r="U254" s="306"/>
      <c r="V254" s="296"/>
      <c r="W254" s="18">
        <f t="shared" si="65"/>
        <v>1800000</v>
      </c>
      <c r="X254" s="47">
        <f t="shared" si="66"/>
        <v>1800000</v>
      </c>
      <c r="Y254" s="306">
        <v>0</v>
      </c>
      <c r="Z254" s="306"/>
      <c r="AA254" s="494">
        <v>0.01</v>
      </c>
      <c r="AB254" s="466">
        <f t="shared" si="67"/>
        <v>0</v>
      </c>
      <c r="AC254" s="353"/>
      <c r="AD254" s="353"/>
      <c r="AE254" s="353"/>
      <c r="AF254" s="353"/>
    </row>
    <row r="255" spans="1:32" s="457" customFormat="1" ht="18" customHeight="1" x14ac:dyDescent="0.25">
      <c r="A255" s="242">
        <v>4</v>
      </c>
      <c r="B255" s="269">
        <v>1934</v>
      </c>
      <c r="C255" s="285" t="s">
        <v>159</v>
      </c>
      <c r="D255" s="15" t="s">
        <v>86</v>
      </c>
      <c r="E255" s="273">
        <v>1</v>
      </c>
      <c r="F255" s="268">
        <v>4</v>
      </c>
      <c r="G255" s="269">
        <v>0</v>
      </c>
      <c r="H255" s="266">
        <v>52</v>
      </c>
      <c r="I255" s="77">
        <f t="shared" si="63"/>
        <v>1652</v>
      </c>
      <c r="J255" s="306">
        <v>1250</v>
      </c>
      <c r="K255" s="297">
        <f t="shared" si="64"/>
        <v>2065000</v>
      </c>
      <c r="L255" s="269"/>
      <c r="M255" s="242"/>
      <c r="N255" s="269"/>
      <c r="O255" s="269"/>
      <c r="P255" s="266"/>
      <c r="Q255" s="285"/>
      <c r="R255" s="1005"/>
      <c r="S255" s="321"/>
      <c r="T255" s="323"/>
      <c r="U255" s="321"/>
      <c r="V255" s="321"/>
      <c r="W255" s="18">
        <f t="shared" si="65"/>
        <v>2065000</v>
      </c>
      <c r="X255" s="47">
        <f t="shared" si="66"/>
        <v>2065000</v>
      </c>
      <c r="Y255" s="306">
        <v>0</v>
      </c>
      <c r="Z255" s="306"/>
      <c r="AA255" s="494">
        <v>0.01</v>
      </c>
      <c r="AB255" s="466">
        <f t="shared" ref="AB255:AB257" si="68">+Z255*AA255/100</f>
        <v>0</v>
      </c>
      <c r="AC255" s="350"/>
      <c r="AD255" s="350"/>
      <c r="AE255" s="350"/>
      <c r="AF255" s="350"/>
    </row>
    <row r="256" spans="1:32" s="457" customFormat="1" ht="18" customHeight="1" x14ac:dyDescent="0.25">
      <c r="A256" s="242">
        <v>5</v>
      </c>
      <c r="B256" s="269">
        <v>1935</v>
      </c>
      <c r="C256" s="285" t="s">
        <v>160</v>
      </c>
      <c r="D256" s="15" t="s">
        <v>86</v>
      </c>
      <c r="E256" s="273">
        <v>1</v>
      </c>
      <c r="F256" s="268">
        <v>5</v>
      </c>
      <c r="G256" s="269">
        <v>2</v>
      </c>
      <c r="H256" s="266">
        <v>16</v>
      </c>
      <c r="I256" s="77">
        <f t="shared" si="63"/>
        <v>2216</v>
      </c>
      <c r="J256" s="306">
        <v>1250</v>
      </c>
      <c r="K256" s="297">
        <f t="shared" si="64"/>
        <v>2770000</v>
      </c>
      <c r="L256" s="269"/>
      <c r="M256" s="242"/>
      <c r="N256" s="269"/>
      <c r="O256" s="269"/>
      <c r="P256" s="266"/>
      <c r="Q256" s="285"/>
      <c r="R256" s="1005"/>
      <c r="S256" s="321"/>
      <c r="T256" s="323"/>
      <c r="U256" s="321"/>
      <c r="V256" s="321"/>
      <c r="W256" s="18">
        <f t="shared" si="65"/>
        <v>2770000</v>
      </c>
      <c r="X256" s="47">
        <f t="shared" si="66"/>
        <v>2770000</v>
      </c>
      <c r="Y256" s="306">
        <v>0</v>
      </c>
      <c r="Z256" s="306"/>
      <c r="AA256" s="494">
        <v>0.01</v>
      </c>
      <c r="AB256" s="466">
        <f t="shared" si="68"/>
        <v>0</v>
      </c>
      <c r="AC256" s="732"/>
      <c r="AD256" s="603"/>
      <c r="AE256" s="603"/>
      <c r="AF256" s="603"/>
    </row>
    <row r="257" spans="1:32" s="457" customFormat="1" ht="18" customHeight="1" x14ac:dyDescent="0.25">
      <c r="A257" s="75">
        <v>6</v>
      </c>
      <c r="B257" s="269">
        <v>2583</v>
      </c>
      <c r="C257" s="62" t="s">
        <v>158</v>
      </c>
      <c r="D257" s="15" t="s">
        <v>86</v>
      </c>
      <c r="E257" s="27">
        <v>2</v>
      </c>
      <c r="F257" s="291">
        <v>0</v>
      </c>
      <c r="G257" s="45">
        <v>3</v>
      </c>
      <c r="H257" s="257">
        <v>0</v>
      </c>
      <c r="I257" s="77">
        <f t="shared" si="63"/>
        <v>300</v>
      </c>
      <c r="J257" s="306">
        <v>2300</v>
      </c>
      <c r="K257" s="297">
        <f t="shared" si="64"/>
        <v>690000</v>
      </c>
      <c r="L257" s="269"/>
      <c r="M257" s="242">
        <v>106</v>
      </c>
      <c r="N257" s="45" t="s">
        <v>96</v>
      </c>
      <c r="O257" s="45">
        <v>5</v>
      </c>
      <c r="P257" s="257">
        <v>118.83</v>
      </c>
      <c r="Q257" s="62" t="s">
        <v>75</v>
      </c>
      <c r="R257" s="743">
        <v>7950</v>
      </c>
      <c r="S257" s="47">
        <f t="shared" ref="S257:S259" si="69">+P257*R257</f>
        <v>944698.5</v>
      </c>
      <c r="T257" s="1501">
        <v>8</v>
      </c>
      <c r="U257" s="1670">
        <f>+S257*0.22</f>
        <v>207833.67</v>
      </c>
      <c r="V257" s="18">
        <f t="shared" ref="V257:V259" si="70">+S257-U257</f>
        <v>736864.83</v>
      </c>
      <c r="W257" s="18">
        <f t="shared" ref="W257" si="71">K257+V257</f>
        <v>1426864.83</v>
      </c>
      <c r="X257" s="47">
        <f t="shared" ref="X257" si="72">W257</f>
        <v>1426864.83</v>
      </c>
      <c r="Y257" s="306"/>
      <c r="Z257" s="306"/>
      <c r="AA257" s="494"/>
      <c r="AB257" s="466">
        <f t="shared" si="68"/>
        <v>0</v>
      </c>
      <c r="AC257" s="350"/>
      <c r="AD257" s="350"/>
      <c r="AE257" s="350"/>
      <c r="AF257" s="350"/>
    </row>
    <row r="258" spans="1:32" s="457" customFormat="1" ht="18" customHeight="1" x14ac:dyDescent="0.25">
      <c r="A258" s="75"/>
      <c r="B258" s="269"/>
      <c r="C258" s="62"/>
      <c r="D258" s="15"/>
      <c r="E258" s="27"/>
      <c r="F258" s="291"/>
      <c r="G258" s="45"/>
      <c r="H258" s="257"/>
      <c r="I258" s="77">
        <f t="shared" si="63"/>
        <v>0</v>
      </c>
      <c r="J258" s="306"/>
      <c r="K258" s="297">
        <f t="shared" si="64"/>
        <v>0</v>
      </c>
      <c r="L258" s="45">
        <v>1</v>
      </c>
      <c r="M258" s="75">
        <v>106</v>
      </c>
      <c r="N258" s="45" t="s">
        <v>96</v>
      </c>
      <c r="O258" s="45">
        <v>2</v>
      </c>
      <c r="P258" s="257">
        <v>82.83</v>
      </c>
      <c r="Q258" s="62" t="s">
        <v>162</v>
      </c>
      <c r="R258" s="743">
        <v>7950</v>
      </c>
      <c r="S258" s="47">
        <f t="shared" si="69"/>
        <v>658498.5</v>
      </c>
      <c r="T258" s="1501">
        <v>8</v>
      </c>
      <c r="U258" s="1670">
        <f t="shared" ref="U258:U259" si="73">+S258*0.22</f>
        <v>144869.67000000001</v>
      </c>
      <c r="V258" s="18">
        <f t="shared" si="70"/>
        <v>513628.82999999996</v>
      </c>
      <c r="W258" s="18">
        <f t="shared" ref="W258:W260" si="74">K258+V258</f>
        <v>513628.82999999996</v>
      </c>
      <c r="X258" s="47">
        <f t="shared" ref="X258:X260" si="75">W258</f>
        <v>513628.82999999996</v>
      </c>
      <c r="Y258" s="306" t="s">
        <v>125</v>
      </c>
      <c r="Z258" s="306"/>
      <c r="AA258" s="494">
        <v>0.02</v>
      </c>
      <c r="AB258" s="466"/>
      <c r="AC258" s="350"/>
      <c r="AD258" s="350"/>
      <c r="AE258" s="350"/>
      <c r="AF258" s="350"/>
    </row>
    <row r="259" spans="1:32" s="457" customFormat="1" ht="18" customHeight="1" x14ac:dyDescent="0.25">
      <c r="A259" s="75"/>
      <c r="B259" s="269"/>
      <c r="C259" s="62"/>
      <c r="D259" s="27"/>
      <c r="E259" s="27"/>
      <c r="F259" s="291"/>
      <c r="G259" s="45"/>
      <c r="H259" s="257"/>
      <c r="I259" s="77">
        <f t="shared" si="63"/>
        <v>0</v>
      </c>
      <c r="J259" s="306"/>
      <c r="K259" s="297">
        <f t="shared" si="64"/>
        <v>0</v>
      </c>
      <c r="L259" s="45">
        <v>2</v>
      </c>
      <c r="M259" s="75">
        <v>106</v>
      </c>
      <c r="N259" s="45" t="s">
        <v>96</v>
      </c>
      <c r="O259" s="45">
        <v>3</v>
      </c>
      <c r="P259" s="257">
        <v>36</v>
      </c>
      <c r="Q259" s="62" t="s">
        <v>163</v>
      </c>
      <c r="R259" s="743">
        <v>7950</v>
      </c>
      <c r="S259" s="47">
        <f t="shared" si="69"/>
        <v>286200</v>
      </c>
      <c r="T259" s="1501">
        <v>8</v>
      </c>
      <c r="U259" s="1670">
        <f t="shared" si="73"/>
        <v>62964</v>
      </c>
      <c r="V259" s="18">
        <f t="shared" si="70"/>
        <v>223236</v>
      </c>
      <c r="W259" s="18">
        <f t="shared" si="74"/>
        <v>223236</v>
      </c>
      <c r="X259" s="47">
        <f t="shared" si="75"/>
        <v>223236</v>
      </c>
      <c r="Y259" s="306">
        <v>0</v>
      </c>
      <c r="Z259" s="296">
        <f>X259</f>
        <v>223236</v>
      </c>
      <c r="AA259" s="494">
        <v>0.3</v>
      </c>
      <c r="AB259" s="466">
        <f>+Z259*AA259/100</f>
        <v>669.70800000000008</v>
      </c>
      <c r="AC259" s="350"/>
      <c r="AD259" s="350"/>
      <c r="AE259" s="350"/>
      <c r="AF259" s="350"/>
    </row>
    <row r="260" spans="1:32" s="457" customFormat="1" ht="18" customHeight="1" x14ac:dyDescent="0.25">
      <c r="A260" s="75">
        <v>7</v>
      </c>
      <c r="B260" s="269">
        <v>2576</v>
      </c>
      <c r="C260" s="62" t="s">
        <v>161</v>
      </c>
      <c r="D260" s="15" t="s">
        <v>86</v>
      </c>
      <c r="E260" s="27">
        <v>1</v>
      </c>
      <c r="F260" s="291">
        <v>1</v>
      </c>
      <c r="G260" s="45">
        <v>1</v>
      </c>
      <c r="H260" s="257">
        <v>65</v>
      </c>
      <c r="I260" s="77">
        <f t="shared" si="63"/>
        <v>565</v>
      </c>
      <c r="J260" s="306">
        <v>1500</v>
      </c>
      <c r="K260" s="297">
        <f t="shared" si="64"/>
        <v>847500</v>
      </c>
      <c r="L260" s="45"/>
      <c r="M260" s="75"/>
      <c r="N260" s="45"/>
      <c r="O260" s="45"/>
      <c r="P260" s="257"/>
      <c r="Q260" s="62"/>
      <c r="R260" s="743"/>
      <c r="S260" s="299"/>
      <c r="T260" s="298"/>
      <c r="U260" s="299"/>
      <c r="V260" s="299"/>
      <c r="W260" s="18">
        <f t="shared" si="74"/>
        <v>847500</v>
      </c>
      <c r="X260" s="47">
        <f t="shared" si="75"/>
        <v>847500</v>
      </c>
      <c r="Y260" s="306" t="s">
        <v>87</v>
      </c>
      <c r="Z260" s="306"/>
      <c r="AA260" s="494">
        <v>0.01</v>
      </c>
      <c r="AB260" s="466">
        <f>+Z260*AA260/100</f>
        <v>0</v>
      </c>
      <c r="AC260" s="350"/>
      <c r="AD260" s="350"/>
      <c r="AE260" s="350"/>
      <c r="AF260" s="350"/>
    </row>
    <row r="261" spans="1:32" s="457" customFormat="1" ht="18" customHeight="1" x14ac:dyDescent="0.2">
      <c r="A261" s="75"/>
      <c r="B261" s="45"/>
      <c r="C261" s="62"/>
      <c r="D261" s="15"/>
      <c r="E261" s="27"/>
      <c r="F261" s="291"/>
      <c r="G261" s="45"/>
      <c r="H261" s="257"/>
      <c r="I261" s="296"/>
      <c r="J261" s="306"/>
      <c r="K261" s="297"/>
      <c r="L261" s="45"/>
      <c r="M261" s="75"/>
      <c r="N261" s="45"/>
      <c r="O261" s="45"/>
      <c r="P261" s="257"/>
      <c r="Q261" s="62"/>
      <c r="R261" s="743"/>
      <c r="S261" s="299"/>
      <c r="T261" s="298"/>
      <c r="U261" s="299"/>
      <c r="V261" s="299"/>
      <c r="W261" s="305"/>
      <c r="X261" s="306"/>
      <c r="Y261" s="306"/>
      <c r="Z261" s="306"/>
      <c r="AA261" s="494"/>
      <c r="AB261" s="466"/>
      <c r="AC261" s="350"/>
      <c r="AD261" s="350"/>
      <c r="AE261" s="350"/>
      <c r="AF261" s="350"/>
    </row>
    <row r="262" spans="1:32" s="457" customFormat="1" ht="18" customHeight="1" x14ac:dyDescent="0.2">
      <c r="A262" s="145"/>
      <c r="B262" s="177"/>
      <c r="C262" s="177"/>
      <c r="D262" s="145"/>
      <c r="E262" s="145"/>
      <c r="F262" s="145"/>
      <c r="G262" s="145"/>
      <c r="H262" s="147"/>
      <c r="I262" s="107"/>
      <c r="J262" s="178"/>
      <c r="K262" s="107"/>
      <c r="L262" s="145"/>
      <c r="M262" s="145"/>
      <c r="N262" s="145"/>
      <c r="O262" s="145"/>
      <c r="P262" s="147"/>
      <c r="Q262" s="148"/>
      <c r="R262" s="437"/>
      <c r="S262" s="107"/>
      <c r="T262" s="179"/>
      <c r="U262" s="178"/>
      <c r="V262" s="107"/>
      <c r="W262" s="107"/>
      <c r="X262" s="470"/>
      <c r="Y262" s="470"/>
      <c r="Z262" s="471"/>
      <c r="AA262" s="471"/>
      <c r="AB262" s="466"/>
      <c r="AC262" s="350"/>
      <c r="AD262" s="350"/>
      <c r="AE262" s="350"/>
      <c r="AF262" s="350"/>
    </row>
    <row r="263" spans="1:32" s="457" customFormat="1" ht="18" customHeight="1" x14ac:dyDescent="0.2">
      <c r="A263" s="145"/>
      <c r="B263" s="177"/>
      <c r="C263" s="177"/>
      <c r="D263" s="145"/>
      <c r="E263" s="145"/>
      <c r="F263" s="145"/>
      <c r="G263" s="145"/>
      <c r="H263" s="147"/>
      <c r="I263" s="107"/>
      <c r="J263" s="178"/>
      <c r="K263" s="107"/>
      <c r="L263" s="145"/>
      <c r="M263" s="145"/>
      <c r="N263" s="145"/>
      <c r="O263" s="145"/>
      <c r="P263" s="147"/>
      <c r="Q263" s="148"/>
      <c r="R263" s="437"/>
      <c r="S263" s="107"/>
      <c r="T263" s="179"/>
      <c r="U263" s="178"/>
      <c r="V263" s="107"/>
      <c r="W263" s="107"/>
      <c r="X263" s="470"/>
      <c r="Y263" s="470"/>
      <c r="Z263" s="471"/>
      <c r="AA263" s="471"/>
      <c r="AB263" s="466"/>
      <c r="AC263" s="350"/>
      <c r="AD263" s="350"/>
      <c r="AE263" s="350"/>
      <c r="AF263" s="350"/>
    </row>
    <row r="264" spans="1:32" s="457" customFormat="1" ht="18" customHeight="1" x14ac:dyDescent="0.2">
      <c r="A264" s="145"/>
      <c r="B264" s="177"/>
      <c r="C264" s="177"/>
      <c r="D264" s="145"/>
      <c r="E264" s="145"/>
      <c r="F264" s="145"/>
      <c r="G264" s="145"/>
      <c r="H264" s="147"/>
      <c r="I264" s="107"/>
      <c r="J264" s="178"/>
      <c r="K264" s="107"/>
      <c r="L264" s="145"/>
      <c r="M264" s="145"/>
      <c r="N264" s="145"/>
      <c r="O264" s="145"/>
      <c r="P264" s="147"/>
      <c r="Q264" s="148"/>
      <c r="R264" s="437"/>
      <c r="S264" s="107"/>
      <c r="T264" s="179"/>
      <c r="U264" s="178"/>
      <c r="V264" s="107"/>
      <c r="W264" s="107"/>
      <c r="X264" s="470"/>
      <c r="Y264" s="470"/>
      <c r="Z264" s="471"/>
      <c r="AA264" s="471"/>
      <c r="AB264" s="466"/>
      <c r="AC264" s="350"/>
      <c r="AD264" s="350"/>
      <c r="AE264" s="350"/>
      <c r="AF264" s="350"/>
    </row>
    <row r="265" spans="1:32" s="457" customFormat="1" ht="18" customHeight="1" x14ac:dyDescent="0.2">
      <c r="A265" s="145"/>
      <c r="B265" s="177"/>
      <c r="C265" s="177"/>
      <c r="D265" s="145"/>
      <c r="E265" s="145"/>
      <c r="F265" s="145"/>
      <c r="G265" s="145"/>
      <c r="H265" s="147"/>
      <c r="I265" s="107"/>
      <c r="J265" s="178"/>
      <c r="K265" s="107"/>
      <c r="L265" s="145"/>
      <c r="M265" s="145"/>
      <c r="N265" s="145"/>
      <c r="O265" s="145"/>
      <c r="P265" s="147"/>
      <c r="Q265" s="148"/>
      <c r="R265" s="437"/>
      <c r="S265" s="107"/>
      <c r="T265" s="179"/>
      <c r="U265" s="178"/>
      <c r="V265" s="107"/>
      <c r="W265" s="107"/>
      <c r="X265" s="470"/>
      <c r="Y265" s="470"/>
      <c r="Z265" s="471"/>
      <c r="AA265" s="471"/>
      <c r="AB265" s="466"/>
      <c r="AC265" s="350"/>
      <c r="AD265" s="350"/>
      <c r="AE265" s="350"/>
      <c r="AF265" s="350"/>
    </row>
    <row r="266" spans="1:32" s="457" customFormat="1" ht="18" customHeight="1" x14ac:dyDescent="0.2">
      <c r="A266" s="145"/>
      <c r="B266" s="177"/>
      <c r="C266" s="177"/>
      <c r="D266" s="145"/>
      <c r="E266" s="145"/>
      <c r="F266" s="145"/>
      <c r="G266" s="145"/>
      <c r="H266" s="147"/>
      <c r="I266" s="107"/>
      <c r="J266" s="178"/>
      <c r="K266" s="107"/>
      <c r="L266" s="145"/>
      <c r="M266" s="145"/>
      <c r="N266" s="145"/>
      <c r="O266" s="145"/>
      <c r="P266" s="147"/>
      <c r="Q266" s="148"/>
      <c r="R266" s="437"/>
      <c r="S266" s="107"/>
      <c r="T266" s="179"/>
      <c r="U266" s="178"/>
      <c r="V266" s="107"/>
      <c r="W266" s="107"/>
      <c r="X266" s="470"/>
      <c r="Y266" s="470"/>
      <c r="Z266" s="471"/>
      <c r="AA266" s="471"/>
      <c r="AB266" s="466"/>
      <c r="AC266" s="350"/>
      <c r="AD266" s="350"/>
      <c r="AE266" s="350"/>
      <c r="AF266" s="350"/>
    </row>
    <row r="267" spans="1:32" s="457" customFormat="1" ht="18" customHeight="1" x14ac:dyDescent="0.2">
      <c r="A267" s="183"/>
      <c r="B267" s="183"/>
      <c r="C267" s="183"/>
      <c r="D267" s="183"/>
      <c r="E267" s="183"/>
      <c r="F267" s="183"/>
      <c r="G267" s="183"/>
      <c r="H267" s="184"/>
      <c r="I267" s="185"/>
      <c r="J267" s="186"/>
      <c r="K267" s="185"/>
      <c r="L267" s="185"/>
      <c r="M267" s="185"/>
      <c r="N267" s="185"/>
      <c r="O267" s="185"/>
      <c r="P267" s="185"/>
      <c r="Q267" s="185"/>
      <c r="R267" s="438"/>
      <c r="S267" s="185"/>
      <c r="T267" s="187"/>
      <c r="U267" s="186"/>
      <c r="V267" s="185"/>
      <c r="W267" s="185"/>
      <c r="X267" s="474"/>
      <c r="Y267" s="474"/>
      <c r="Z267" s="475"/>
      <c r="AA267" s="475"/>
      <c r="AB267" s="1847">
        <f>SUM(AB252:AB266)</f>
        <v>669.70800000000008</v>
      </c>
      <c r="AC267" s="349"/>
      <c r="AD267" s="349"/>
      <c r="AE267" s="349"/>
      <c r="AF267" s="349"/>
    </row>
    <row r="268" spans="1:32" s="457" customFormat="1" ht="18" customHeight="1" x14ac:dyDescent="0.2">
      <c r="A268" s="2737" t="s">
        <v>76</v>
      </c>
      <c r="B268" s="2737"/>
      <c r="C268" s="2738" t="s">
        <v>77</v>
      </c>
      <c r="D268" s="2738"/>
      <c r="E268" s="2738"/>
      <c r="F268" s="2738"/>
      <c r="G268" s="2738"/>
      <c r="H268" s="2738"/>
      <c r="I268" s="457" t="s">
        <v>78</v>
      </c>
      <c r="AB268" s="478"/>
    </row>
    <row r="269" spans="1:32" s="457" customFormat="1" ht="18" customHeight="1" x14ac:dyDescent="0.2">
      <c r="B269" s="479"/>
      <c r="I269" s="457" t="s">
        <v>79</v>
      </c>
      <c r="AB269" s="478"/>
    </row>
    <row r="270" spans="1:32" s="457" customFormat="1" ht="18" customHeight="1" x14ac:dyDescent="0.2">
      <c r="B270" s="479"/>
      <c r="I270" s="457" t="s">
        <v>80</v>
      </c>
      <c r="AB270" s="478"/>
    </row>
    <row r="271" spans="1:32" s="457" customFormat="1" ht="18" customHeight="1" x14ac:dyDescent="0.2">
      <c r="B271" s="479"/>
      <c r="I271" s="457" t="s">
        <v>81</v>
      </c>
      <c r="AB271" s="478"/>
    </row>
    <row r="272" spans="1:32" s="457" customFormat="1" ht="18" customHeight="1" x14ac:dyDescent="0.2">
      <c r="B272" s="479"/>
      <c r="I272" s="457" t="s">
        <v>88</v>
      </c>
      <c r="AB272" s="478"/>
    </row>
    <row r="273" spans="1:32" s="457" customFormat="1" ht="18" customHeight="1" x14ac:dyDescent="0.2">
      <c r="A273" s="455"/>
      <c r="B273" s="455"/>
      <c r="C273" s="455"/>
      <c r="D273" s="455"/>
      <c r="E273" s="455"/>
      <c r="F273" s="455"/>
      <c r="G273" s="455"/>
      <c r="H273" s="455"/>
      <c r="I273" s="455"/>
      <c r="J273" s="455"/>
      <c r="K273" s="455"/>
      <c r="L273" s="455"/>
      <c r="M273" s="455"/>
      <c r="N273" s="455"/>
      <c r="O273" s="455"/>
      <c r="P273" s="455"/>
      <c r="Q273" s="455"/>
      <c r="R273" s="455"/>
      <c r="S273" s="455"/>
      <c r="T273" s="455"/>
      <c r="U273" s="455"/>
      <c r="V273" s="455"/>
      <c r="W273" s="455"/>
      <c r="X273" s="455"/>
      <c r="Y273" s="455"/>
      <c r="Z273" s="455"/>
      <c r="AA273" s="2705" t="s">
        <v>0</v>
      </c>
      <c r="AB273" s="2705"/>
      <c r="AC273" s="455"/>
      <c r="AD273" s="455"/>
      <c r="AE273" s="455"/>
      <c r="AF273" s="455"/>
    </row>
    <row r="274" spans="1:32" s="457" customFormat="1" ht="18" customHeight="1" x14ac:dyDescent="0.2">
      <c r="A274" s="2706" t="s">
        <v>1</v>
      </c>
      <c r="B274" s="2706"/>
      <c r="C274" s="2706"/>
      <c r="D274" s="2706"/>
      <c r="E274" s="2706"/>
      <c r="F274" s="2706"/>
      <c r="G274" s="2706"/>
      <c r="H274" s="2706"/>
      <c r="I274" s="2706"/>
      <c r="J274" s="2706"/>
      <c r="K274" s="2706"/>
      <c r="L274" s="2706"/>
      <c r="M274" s="2706"/>
      <c r="N274" s="2706"/>
      <c r="O274" s="2706"/>
      <c r="P274" s="2706"/>
      <c r="Q274" s="2706"/>
      <c r="R274" s="2706"/>
      <c r="S274" s="2706"/>
      <c r="T274" s="2706"/>
      <c r="U274" s="2706"/>
      <c r="V274" s="2706"/>
      <c r="W274" s="2706"/>
      <c r="X274" s="2706"/>
      <c r="Y274" s="2706"/>
      <c r="Z274" s="2706"/>
      <c r="AA274" s="2706"/>
      <c r="AB274" s="2706"/>
      <c r="AC274" s="610"/>
      <c r="AD274" s="610"/>
      <c r="AE274" s="610"/>
      <c r="AF274" s="610"/>
    </row>
    <row r="275" spans="1:32" s="457" customFormat="1" ht="18" customHeight="1" x14ac:dyDescent="0.2">
      <c r="A275" s="2704" t="s">
        <v>376</v>
      </c>
      <c r="B275" s="2704"/>
      <c r="C275" s="2704"/>
      <c r="D275" s="2704"/>
      <c r="E275" s="2704"/>
      <c r="F275" s="2704"/>
      <c r="G275" s="2704"/>
      <c r="H275" s="2704"/>
      <c r="I275" s="2704"/>
      <c r="J275" s="2704"/>
      <c r="K275" s="2704"/>
      <c r="L275" s="2704"/>
      <c r="M275" s="2704"/>
      <c r="N275" s="2704"/>
      <c r="O275" s="2704"/>
      <c r="P275" s="2704"/>
      <c r="Q275" s="2704"/>
      <c r="R275" s="2704"/>
      <c r="S275" s="2704"/>
      <c r="T275" s="2704"/>
      <c r="U275" s="2704"/>
      <c r="V275" s="2704"/>
      <c r="W275" s="2704"/>
      <c r="X275" s="2704"/>
      <c r="Y275" s="2704"/>
      <c r="Z275" s="2704"/>
      <c r="AA275" s="2704"/>
      <c r="AB275" s="2704"/>
      <c r="AC275" s="611"/>
      <c r="AD275" s="611"/>
      <c r="AE275" s="611"/>
      <c r="AF275" s="611"/>
    </row>
    <row r="276" spans="1:32" s="457" customFormat="1" ht="18" customHeight="1" x14ac:dyDescent="0.2">
      <c r="A276" s="2686" t="s">
        <v>2</v>
      </c>
      <c r="B276" s="360"/>
      <c r="C276" s="2686" t="s">
        <v>3</v>
      </c>
      <c r="D276" s="360"/>
      <c r="E276" s="360"/>
      <c r="F276" s="2693" t="s">
        <v>4</v>
      </c>
      <c r="G276" s="2693"/>
      <c r="H276" s="2693"/>
      <c r="I276" s="2694"/>
      <c r="J276" s="2694"/>
      <c r="K276" s="2695"/>
      <c r="L276" s="361"/>
      <c r="M276" s="2679" t="s">
        <v>5</v>
      </c>
      <c r="N276" s="2679"/>
      <c r="O276" s="2679"/>
      <c r="P276" s="2679"/>
      <c r="Q276" s="2696"/>
      <c r="R276" s="2696"/>
      <c r="S276" s="2696"/>
      <c r="T276" s="2696"/>
      <c r="U276" s="2696"/>
      <c r="V276" s="2697"/>
      <c r="W276" s="362" t="s">
        <v>6</v>
      </c>
      <c r="X276" s="363" t="s">
        <v>7</v>
      </c>
      <c r="Y276" s="364"/>
      <c r="Z276" s="364"/>
      <c r="AA276" s="363"/>
      <c r="AB276" s="458"/>
      <c r="AC276" s="612" t="s">
        <v>8</v>
      </c>
      <c r="AD276" s="613"/>
      <c r="AE276" s="613"/>
      <c r="AF276" s="614"/>
    </row>
    <row r="277" spans="1:32" s="457" customFormat="1" ht="18" customHeight="1" x14ac:dyDescent="0.2">
      <c r="A277" s="2687"/>
      <c r="B277" s="367"/>
      <c r="C277" s="2687"/>
      <c r="D277" s="366" t="s">
        <v>9</v>
      </c>
      <c r="E277" s="366" t="s">
        <v>10</v>
      </c>
      <c r="F277" s="2698" t="s">
        <v>11</v>
      </c>
      <c r="G277" s="2694"/>
      <c r="H277" s="2695"/>
      <c r="I277" s="360"/>
      <c r="J277" s="449" t="s">
        <v>12</v>
      </c>
      <c r="K277" s="360"/>
      <c r="L277" s="2679" t="s">
        <v>2</v>
      </c>
      <c r="M277" s="370"/>
      <c r="N277" s="370"/>
      <c r="O277" s="370"/>
      <c r="P277" s="371"/>
      <c r="Q277" s="459" t="s">
        <v>13</v>
      </c>
      <c r="R277" s="370" t="s">
        <v>12</v>
      </c>
      <c r="S277" s="370" t="s">
        <v>6</v>
      </c>
      <c r="T277" s="2682" t="s">
        <v>14</v>
      </c>
      <c r="U277" s="2683"/>
      <c r="V277" s="375" t="s">
        <v>7</v>
      </c>
      <c r="W277" s="376" t="s">
        <v>15</v>
      </c>
      <c r="X277" s="377" t="s">
        <v>16</v>
      </c>
      <c r="Y277" s="377" t="s">
        <v>17</v>
      </c>
      <c r="Z277" s="377" t="s">
        <v>18</v>
      </c>
      <c r="AA277" s="377"/>
      <c r="AB277" s="460" t="s">
        <v>19</v>
      </c>
      <c r="AC277" s="615" t="s">
        <v>20</v>
      </c>
      <c r="AD277" s="616"/>
      <c r="AE277" s="617" t="s">
        <v>21</v>
      </c>
      <c r="AF277" s="618" t="s">
        <v>22</v>
      </c>
    </row>
    <row r="278" spans="1:32" s="457" customFormat="1" ht="18" customHeight="1" x14ac:dyDescent="0.2">
      <c r="A278" s="2687"/>
      <c r="B278" s="366" t="s">
        <v>23</v>
      </c>
      <c r="C278" s="2687"/>
      <c r="D278" s="366" t="s">
        <v>24</v>
      </c>
      <c r="E278" s="366" t="s">
        <v>25</v>
      </c>
      <c r="F278" s="2699"/>
      <c r="G278" s="2700"/>
      <c r="H278" s="2701"/>
      <c r="I278" s="366" t="s">
        <v>26</v>
      </c>
      <c r="J278" s="380" t="s">
        <v>15</v>
      </c>
      <c r="K278" s="380" t="s">
        <v>6</v>
      </c>
      <c r="L278" s="2680"/>
      <c r="M278" s="381" t="s">
        <v>27</v>
      </c>
      <c r="N278" s="381" t="s">
        <v>10</v>
      </c>
      <c r="O278" s="381" t="s">
        <v>10</v>
      </c>
      <c r="P278" s="385" t="s">
        <v>28</v>
      </c>
      <c r="Q278" s="461" t="s">
        <v>29</v>
      </c>
      <c r="R278" s="385" t="s">
        <v>15</v>
      </c>
      <c r="S278" s="385" t="s">
        <v>15</v>
      </c>
      <c r="T278" s="2684"/>
      <c r="U278" s="2685"/>
      <c r="V278" s="375" t="s">
        <v>30</v>
      </c>
      <c r="W278" s="376" t="s">
        <v>31</v>
      </c>
      <c r="X278" s="377" t="s">
        <v>30</v>
      </c>
      <c r="Y278" s="377" t="s">
        <v>32</v>
      </c>
      <c r="Z278" s="377" t="s">
        <v>7</v>
      </c>
      <c r="AA278" s="377" t="s">
        <v>33</v>
      </c>
      <c r="AB278" s="460" t="s">
        <v>34</v>
      </c>
      <c r="AC278" s="615" t="s">
        <v>35</v>
      </c>
      <c r="AD278" s="617" t="s">
        <v>36</v>
      </c>
      <c r="AE278" s="617" t="s">
        <v>37</v>
      </c>
      <c r="AF278" s="618" t="s">
        <v>38</v>
      </c>
    </row>
    <row r="279" spans="1:32" s="457" customFormat="1" ht="18" customHeight="1" x14ac:dyDescent="0.2">
      <c r="A279" s="2687"/>
      <c r="B279" s="366" t="s">
        <v>39</v>
      </c>
      <c r="C279" s="2687"/>
      <c r="D279" s="366" t="s">
        <v>40</v>
      </c>
      <c r="E279" s="366" t="s">
        <v>41</v>
      </c>
      <c r="F279" s="2686" t="s">
        <v>42</v>
      </c>
      <c r="G279" s="2686" t="s">
        <v>43</v>
      </c>
      <c r="H279" s="2688" t="s">
        <v>44</v>
      </c>
      <c r="I279" s="366" t="s">
        <v>45</v>
      </c>
      <c r="J279" s="380" t="s">
        <v>46</v>
      </c>
      <c r="K279" s="380" t="s">
        <v>47</v>
      </c>
      <c r="L279" s="2680"/>
      <c r="M279" s="381" t="s">
        <v>30</v>
      </c>
      <c r="N279" s="381" t="s">
        <v>30</v>
      </c>
      <c r="O279" s="381" t="s">
        <v>25</v>
      </c>
      <c r="P279" s="385" t="s">
        <v>30</v>
      </c>
      <c r="Q279" s="461" t="s">
        <v>48</v>
      </c>
      <c r="R279" s="385" t="s">
        <v>49</v>
      </c>
      <c r="S279" s="385" t="s">
        <v>30</v>
      </c>
      <c r="T279" s="374" t="s">
        <v>50</v>
      </c>
      <c r="U279" s="374" t="s">
        <v>13</v>
      </c>
      <c r="V279" s="375" t="s">
        <v>51</v>
      </c>
      <c r="W279" s="376" t="s">
        <v>52</v>
      </c>
      <c r="X279" s="377" t="s">
        <v>53</v>
      </c>
      <c r="Y279" s="377" t="s">
        <v>54</v>
      </c>
      <c r="Z279" s="377" t="s">
        <v>55</v>
      </c>
      <c r="AA279" s="377" t="s">
        <v>56</v>
      </c>
      <c r="AB279" s="460" t="s">
        <v>57</v>
      </c>
      <c r="AC279" s="617" t="s">
        <v>58</v>
      </c>
      <c r="AD279" s="617" t="s">
        <v>59</v>
      </c>
      <c r="AE279" s="617" t="s">
        <v>59</v>
      </c>
      <c r="AF279" s="618" t="s">
        <v>60</v>
      </c>
    </row>
    <row r="280" spans="1:32" s="457" customFormat="1" ht="18" customHeight="1" x14ac:dyDescent="0.2">
      <c r="A280" s="2687"/>
      <c r="B280" s="366" t="s">
        <v>61</v>
      </c>
      <c r="C280" s="2687"/>
      <c r="D280" s="366" t="s">
        <v>62</v>
      </c>
      <c r="E280" s="366" t="s">
        <v>63</v>
      </c>
      <c r="F280" s="2687"/>
      <c r="G280" s="2687"/>
      <c r="H280" s="2689"/>
      <c r="I280" s="366" t="s">
        <v>64</v>
      </c>
      <c r="J280" s="380" t="s">
        <v>59</v>
      </c>
      <c r="K280" s="380" t="s">
        <v>59</v>
      </c>
      <c r="L280" s="2680"/>
      <c r="M280" s="381"/>
      <c r="N280" s="381"/>
      <c r="O280" s="381" t="s">
        <v>41</v>
      </c>
      <c r="P280" s="385" t="s">
        <v>65</v>
      </c>
      <c r="Q280" s="461" t="s">
        <v>66</v>
      </c>
      <c r="R280" s="385" t="s">
        <v>67</v>
      </c>
      <c r="S280" s="385" t="s">
        <v>59</v>
      </c>
      <c r="T280" s="375" t="s">
        <v>68</v>
      </c>
      <c r="U280" s="375" t="s">
        <v>14</v>
      </c>
      <c r="V280" s="375" t="s">
        <v>14</v>
      </c>
      <c r="W280" s="376" t="s">
        <v>30</v>
      </c>
      <c r="X280" s="388" t="s">
        <v>69</v>
      </c>
      <c r="Y280" s="388" t="s">
        <v>70</v>
      </c>
      <c r="Z280" s="377" t="s">
        <v>71</v>
      </c>
      <c r="AA280" s="377" t="s">
        <v>72</v>
      </c>
      <c r="AB280" s="460" t="s">
        <v>59</v>
      </c>
      <c r="AC280" s="617" t="s">
        <v>59</v>
      </c>
      <c r="AD280" s="617"/>
      <c r="AE280" s="617"/>
      <c r="AF280" s="618" t="s">
        <v>59</v>
      </c>
    </row>
    <row r="281" spans="1:32" s="457" customFormat="1" ht="18" customHeight="1" x14ac:dyDescent="0.2">
      <c r="A281" s="2692"/>
      <c r="B281" s="390"/>
      <c r="C281" s="2692"/>
      <c r="D281" s="390"/>
      <c r="E281" s="389"/>
      <c r="F281" s="390"/>
      <c r="G281" s="390"/>
      <c r="H281" s="391"/>
      <c r="I281" s="389"/>
      <c r="J281" s="393"/>
      <c r="K281" s="393"/>
      <c r="L281" s="2681"/>
      <c r="M281" s="394"/>
      <c r="N281" s="394"/>
      <c r="O281" s="394" t="s">
        <v>63</v>
      </c>
      <c r="P281" s="394"/>
      <c r="Q281" s="450" t="s">
        <v>72</v>
      </c>
      <c r="R281" s="398" t="s">
        <v>59</v>
      </c>
      <c r="S281" s="398"/>
      <c r="T281" s="398" t="s">
        <v>73</v>
      </c>
      <c r="U281" s="398" t="s">
        <v>59</v>
      </c>
      <c r="V281" s="399" t="s">
        <v>59</v>
      </c>
      <c r="W281" s="400" t="s">
        <v>59</v>
      </c>
      <c r="X281" s="401" t="s">
        <v>59</v>
      </c>
      <c r="Y281" s="401" t="s">
        <v>59</v>
      </c>
      <c r="Z281" s="401" t="s">
        <v>59</v>
      </c>
      <c r="AA281" s="402"/>
      <c r="AB281" s="462"/>
      <c r="AC281" s="625"/>
      <c r="AD281" s="625"/>
      <c r="AE281" s="625"/>
      <c r="AF281" s="626"/>
    </row>
    <row r="282" spans="1:32" s="457" customFormat="1" ht="18" customHeight="1" x14ac:dyDescent="0.25">
      <c r="A282" s="53">
        <v>1</v>
      </c>
      <c r="B282" s="333">
        <v>2344</v>
      </c>
      <c r="C282" s="41">
        <v>88</v>
      </c>
      <c r="D282" s="41" t="s">
        <v>86</v>
      </c>
      <c r="E282" s="41">
        <v>2</v>
      </c>
      <c r="F282" s="41">
        <v>0</v>
      </c>
      <c r="G282" s="41">
        <v>1</v>
      </c>
      <c r="H282" s="267">
        <v>53.5</v>
      </c>
      <c r="I282" s="77">
        <f t="shared" ref="I282" si="76">F282*400+G282*100+H282</f>
        <v>153.5</v>
      </c>
      <c r="J282" s="306">
        <v>1500</v>
      </c>
      <c r="K282" s="297">
        <f t="shared" ref="K282" si="77">I282*J282</f>
        <v>230250</v>
      </c>
      <c r="L282" s="45">
        <v>1</v>
      </c>
      <c r="M282" s="61">
        <v>103</v>
      </c>
      <c r="N282" s="50" t="s">
        <v>74</v>
      </c>
      <c r="O282" s="50">
        <v>2</v>
      </c>
      <c r="P282" s="19">
        <v>83.78</v>
      </c>
      <c r="Q282" s="62" t="s">
        <v>75</v>
      </c>
      <c r="R282" s="672">
        <v>9050</v>
      </c>
      <c r="S282" s="47">
        <f t="shared" ref="S282:S284" si="78">+P282*R282</f>
        <v>758209</v>
      </c>
      <c r="T282" s="1501">
        <v>9</v>
      </c>
      <c r="U282" s="1670">
        <f>+S282*0.09</f>
        <v>68238.81</v>
      </c>
      <c r="V282" s="18">
        <f t="shared" ref="V282" si="79">+S282-U282</f>
        <v>689970.19</v>
      </c>
      <c r="W282" s="18">
        <f t="shared" ref="W282" si="80">K282+V282</f>
        <v>920220.19</v>
      </c>
      <c r="X282" s="47">
        <f t="shared" ref="X282" si="81">W282</f>
        <v>920220.19</v>
      </c>
      <c r="Y282" s="296">
        <v>0</v>
      </c>
      <c r="Z282" s="296">
        <f>X282</f>
        <v>920220.19</v>
      </c>
      <c r="AA282" s="494">
        <v>0.02</v>
      </c>
      <c r="AB282" s="406">
        <f>+Z282*AA282/100</f>
        <v>184.044038</v>
      </c>
      <c r="AC282" s="602"/>
      <c r="AD282" s="603">
        <f>AB312-AC282</f>
        <v>614.47500000000002</v>
      </c>
      <c r="AE282" s="603">
        <f>IF(AD282&lt;=0,0,AD282*25/100)</f>
        <v>153.61875000000001</v>
      </c>
      <c r="AF282" s="603">
        <f>IF(AC282+AE282&gt;AB312,AB312,AC282+AE282)</f>
        <v>153.61875000000001</v>
      </c>
    </row>
    <row r="283" spans="1:32" s="457" customFormat="1" ht="18" customHeight="1" x14ac:dyDescent="0.2">
      <c r="A283" s="75"/>
      <c r="B283" s="27"/>
      <c r="C283" s="27"/>
      <c r="D283" s="27"/>
      <c r="E283" s="27"/>
      <c r="F283" s="27"/>
      <c r="G283" s="27"/>
      <c r="H283" s="557"/>
      <c r="I283" s="296"/>
      <c r="J283" s="306"/>
      <c r="K283" s="297"/>
      <c r="L283" s="45">
        <v>2</v>
      </c>
      <c r="M283" s="61">
        <v>103</v>
      </c>
      <c r="N283" s="50" t="s">
        <v>74</v>
      </c>
      <c r="O283" s="50">
        <v>2</v>
      </c>
      <c r="P283" s="19">
        <v>83.78</v>
      </c>
      <c r="Q283" s="62" t="s">
        <v>75</v>
      </c>
      <c r="R283" s="672">
        <v>9050</v>
      </c>
      <c r="S283" s="47">
        <f t="shared" si="78"/>
        <v>758209</v>
      </c>
      <c r="T283" s="1501">
        <v>9</v>
      </c>
      <c r="U283" s="1670">
        <f>+S283*0.09</f>
        <v>68238.81</v>
      </c>
      <c r="V283" s="18">
        <f t="shared" ref="V283:V284" si="82">+S283-U283</f>
        <v>689970.19</v>
      </c>
      <c r="W283" s="18">
        <f t="shared" ref="W283:W284" si="83">K283+V283</f>
        <v>689970.19</v>
      </c>
      <c r="X283" s="47">
        <f t="shared" ref="X283:X284" si="84">W283</f>
        <v>689970.19</v>
      </c>
      <c r="Y283" s="296">
        <v>0</v>
      </c>
      <c r="Z283" s="296">
        <f t="shared" ref="Z283:Z284" si="85">X283</f>
        <v>689970.19</v>
      </c>
      <c r="AA283" s="494">
        <v>0.02</v>
      </c>
      <c r="AB283" s="415">
        <f>+Z283*AA283/100</f>
        <v>137.99403799999999</v>
      </c>
      <c r="AC283" s="350"/>
      <c r="AD283" s="350"/>
      <c r="AE283" s="350"/>
      <c r="AF283" s="350"/>
    </row>
    <row r="284" spans="1:32" s="457" customFormat="1" ht="18" customHeight="1" x14ac:dyDescent="0.2">
      <c r="A284" s="75"/>
      <c r="B284" s="27"/>
      <c r="C284" s="27"/>
      <c r="D284" s="27"/>
      <c r="E284" s="27"/>
      <c r="F284" s="27"/>
      <c r="G284" s="27"/>
      <c r="H284" s="557"/>
      <c r="I284" s="296"/>
      <c r="J284" s="306"/>
      <c r="K284" s="297"/>
      <c r="L284" s="45">
        <v>3</v>
      </c>
      <c r="M284" s="61">
        <v>103</v>
      </c>
      <c r="N284" s="50" t="s">
        <v>74</v>
      </c>
      <c r="O284" s="50">
        <v>2</v>
      </c>
      <c r="P284" s="19">
        <v>83.78</v>
      </c>
      <c r="Q284" s="62" t="s">
        <v>75</v>
      </c>
      <c r="R284" s="672">
        <v>9050</v>
      </c>
      <c r="S284" s="47">
        <f t="shared" si="78"/>
        <v>758209</v>
      </c>
      <c r="T284" s="1501">
        <v>9</v>
      </c>
      <c r="U284" s="1670">
        <f>+S284*0.09</f>
        <v>68238.81</v>
      </c>
      <c r="V284" s="18">
        <f t="shared" si="82"/>
        <v>689970.19</v>
      </c>
      <c r="W284" s="18">
        <f t="shared" si="83"/>
        <v>689970.19</v>
      </c>
      <c r="X284" s="47">
        <f t="shared" si="84"/>
        <v>689970.19</v>
      </c>
      <c r="Y284" s="296">
        <v>0</v>
      </c>
      <c r="Z284" s="296">
        <f t="shared" si="85"/>
        <v>689970.19</v>
      </c>
      <c r="AA284" s="494">
        <v>0.02</v>
      </c>
      <c r="AB284" s="415">
        <f>+Z284*AA284/100</f>
        <v>137.99403799999999</v>
      </c>
      <c r="AC284" s="350"/>
      <c r="AD284" s="350"/>
      <c r="AE284" s="350"/>
      <c r="AF284" s="350"/>
    </row>
    <row r="285" spans="1:32" s="457" customFormat="1" ht="18" customHeight="1" x14ac:dyDescent="0.2">
      <c r="A285" s="145"/>
      <c r="B285" s="177"/>
      <c r="C285" s="177"/>
      <c r="D285" s="145"/>
      <c r="E285" s="145"/>
      <c r="F285" s="145"/>
      <c r="G285" s="145"/>
      <c r="H285" s="147"/>
      <c r="I285" s="107"/>
      <c r="J285" s="178"/>
      <c r="K285" s="107"/>
      <c r="L285" s="145"/>
      <c r="M285" s="145"/>
      <c r="N285" s="145"/>
      <c r="O285" s="145"/>
      <c r="P285" s="147"/>
      <c r="Q285" s="148"/>
      <c r="R285" s="437"/>
      <c r="S285" s="107"/>
      <c r="T285" s="179"/>
      <c r="U285" s="178"/>
      <c r="V285" s="107"/>
      <c r="W285" s="107"/>
      <c r="X285" s="470"/>
      <c r="Y285" s="470"/>
      <c r="Z285" s="471"/>
      <c r="AA285" s="471"/>
      <c r="AB285" s="410"/>
      <c r="AC285" s="350"/>
      <c r="AD285" s="350"/>
      <c r="AE285" s="350"/>
      <c r="AF285" s="350"/>
    </row>
    <row r="286" spans="1:32" s="457" customFormat="1" ht="18" customHeight="1" x14ac:dyDescent="0.2">
      <c r="A286" s="145"/>
      <c r="B286" s="177"/>
      <c r="C286" s="177"/>
      <c r="D286" s="145"/>
      <c r="E286" s="145"/>
      <c r="F286" s="145"/>
      <c r="G286" s="145"/>
      <c r="H286" s="147"/>
      <c r="I286" s="107"/>
      <c r="J286" s="178"/>
      <c r="K286" s="107"/>
      <c r="L286" s="145"/>
      <c r="M286" s="145"/>
      <c r="N286" s="145"/>
      <c r="O286" s="145"/>
      <c r="P286" s="147"/>
      <c r="Q286" s="148"/>
      <c r="R286" s="437"/>
      <c r="S286" s="107"/>
      <c r="T286" s="179"/>
      <c r="U286" s="178"/>
      <c r="V286" s="107"/>
      <c r="W286" s="107"/>
      <c r="X286" s="470"/>
      <c r="Y286" s="470"/>
      <c r="Z286" s="471"/>
      <c r="AA286" s="471"/>
      <c r="AB286" s="466"/>
      <c r="AC286" s="350"/>
      <c r="AD286" s="350"/>
      <c r="AE286" s="350"/>
      <c r="AF286" s="350"/>
    </row>
    <row r="287" spans="1:32" s="457" customFormat="1" ht="18" customHeight="1" x14ac:dyDescent="0.2">
      <c r="A287" s="145"/>
      <c r="B287" s="177"/>
      <c r="C287" s="177"/>
      <c r="D287" s="145"/>
      <c r="E287" s="145"/>
      <c r="F287" s="145"/>
      <c r="G287" s="145"/>
      <c r="H287" s="147"/>
      <c r="I287" s="107"/>
      <c r="J287" s="178"/>
      <c r="K287" s="107"/>
      <c r="L287" s="145"/>
      <c r="M287" s="145"/>
      <c r="N287" s="145"/>
      <c r="O287" s="145"/>
      <c r="P287" s="147"/>
      <c r="Q287" s="148"/>
      <c r="R287" s="437"/>
      <c r="S287" s="107"/>
      <c r="T287" s="179"/>
      <c r="U287" s="178"/>
      <c r="V287" s="107"/>
      <c r="W287" s="107"/>
      <c r="X287" s="470"/>
      <c r="Y287" s="470"/>
      <c r="Z287" s="471"/>
      <c r="AA287" s="471"/>
      <c r="AB287" s="466"/>
      <c r="AC287" s="350"/>
      <c r="AD287" s="350"/>
      <c r="AE287" s="350"/>
      <c r="AF287" s="350"/>
    </row>
    <row r="288" spans="1:32" s="457" customFormat="1" ht="18" customHeight="1" x14ac:dyDescent="0.2">
      <c r="A288" s="145"/>
      <c r="B288" s="177"/>
      <c r="C288" s="177"/>
      <c r="D288" s="145"/>
      <c r="E288" s="145"/>
      <c r="F288" s="145"/>
      <c r="G288" s="145"/>
      <c r="H288" s="147"/>
      <c r="I288" s="107"/>
      <c r="J288" s="178"/>
      <c r="K288" s="107"/>
      <c r="L288" s="145"/>
      <c r="M288" s="145"/>
      <c r="N288" s="145"/>
      <c r="O288" s="145"/>
      <c r="P288" s="147"/>
      <c r="Q288" s="148"/>
      <c r="R288" s="437"/>
      <c r="S288" s="107"/>
      <c r="T288" s="179"/>
      <c r="U288" s="178"/>
      <c r="V288" s="107"/>
      <c r="W288" s="107"/>
      <c r="X288" s="470"/>
      <c r="Y288" s="470"/>
      <c r="Z288" s="471"/>
      <c r="AA288" s="471"/>
      <c r="AB288" s="466"/>
      <c r="AC288" s="350"/>
      <c r="AD288" s="350"/>
      <c r="AE288" s="350"/>
      <c r="AF288" s="350"/>
    </row>
    <row r="289" spans="1:32" s="457" customFormat="1" ht="18" customHeight="1" x14ac:dyDescent="0.2">
      <c r="A289" s="145"/>
      <c r="B289" s="177"/>
      <c r="C289" s="177"/>
      <c r="D289" s="145"/>
      <c r="E289" s="145"/>
      <c r="F289" s="145"/>
      <c r="G289" s="145"/>
      <c r="H289" s="147"/>
      <c r="I289" s="107"/>
      <c r="J289" s="178"/>
      <c r="K289" s="107"/>
      <c r="L289" s="145"/>
      <c r="M289" s="145"/>
      <c r="N289" s="145"/>
      <c r="O289" s="145"/>
      <c r="P289" s="147"/>
      <c r="Q289" s="148"/>
      <c r="R289" s="437"/>
      <c r="S289" s="107"/>
      <c r="T289" s="179"/>
      <c r="U289" s="178"/>
      <c r="V289" s="107"/>
      <c r="W289" s="107"/>
      <c r="X289" s="470"/>
      <c r="Y289" s="470"/>
      <c r="Z289" s="471"/>
      <c r="AA289" s="471"/>
      <c r="AB289" s="466"/>
      <c r="AC289" s="350"/>
      <c r="AD289" s="350"/>
      <c r="AE289" s="350"/>
      <c r="AF289" s="350"/>
    </row>
    <row r="290" spans="1:32" s="457" customFormat="1" ht="18" customHeight="1" x14ac:dyDescent="0.2">
      <c r="A290" s="145"/>
      <c r="B290" s="177"/>
      <c r="C290" s="177"/>
      <c r="D290" s="145"/>
      <c r="E290" s="145"/>
      <c r="F290" s="145"/>
      <c r="G290" s="145"/>
      <c r="H290" s="147"/>
      <c r="I290" s="107"/>
      <c r="J290" s="178"/>
      <c r="K290" s="107"/>
      <c r="L290" s="145"/>
      <c r="M290" s="145"/>
      <c r="N290" s="145"/>
      <c r="O290" s="145"/>
      <c r="P290" s="147"/>
      <c r="Q290" s="148"/>
      <c r="R290" s="437"/>
      <c r="S290" s="107"/>
      <c r="T290" s="179"/>
      <c r="U290" s="178"/>
      <c r="V290" s="107"/>
      <c r="W290" s="107"/>
      <c r="X290" s="470"/>
      <c r="Y290" s="470"/>
      <c r="Z290" s="471"/>
      <c r="AA290" s="471"/>
      <c r="AB290" s="466"/>
      <c r="AC290" s="350"/>
      <c r="AD290" s="350"/>
      <c r="AE290" s="350"/>
      <c r="AF290" s="350"/>
    </row>
    <row r="291" spans="1:32" s="457" customFormat="1" ht="18" customHeight="1" x14ac:dyDescent="0.2">
      <c r="A291" s="145"/>
      <c r="B291" s="177"/>
      <c r="C291" s="177"/>
      <c r="D291" s="145"/>
      <c r="E291" s="145"/>
      <c r="F291" s="145"/>
      <c r="G291" s="145"/>
      <c r="H291" s="147"/>
      <c r="I291" s="107"/>
      <c r="J291" s="178"/>
      <c r="K291" s="107"/>
      <c r="L291" s="145"/>
      <c r="M291" s="145"/>
      <c r="N291" s="145"/>
      <c r="O291" s="145"/>
      <c r="P291" s="147"/>
      <c r="Q291" s="148"/>
      <c r="R291" s="437"/>
      <c r="S291" s="107"/>
      <c r="T291" s="179"/>
      <c r="U291" s="178"/>
      <c r="V291" s="107"/>
      <c r="W291" s="107"/>
      <c r="X291" s="470"/>
      <c r="Y291" s="470"/>
      <c r="Z291" s="471"/>
      <c r="AA291" s="471"/>
      <c r="AB291" s="466"/>
      <c r="AC291" s="350"/>
      <c r="AD291" s="350"/>
      <c r="AE291" s="350"/>
      <c r="AF291" s="350"/>
    </row>
    <row r="292" spans="1:32" s="457" customFormat="1" ht="18" customHeight="1" x14ac:dyDescent="0.2">
      <c r="A292" s="145"/>
      <c r="B292" s="177"/>
      <c r="C292" s="177"/>
      <c r="D292" s="145"/>
      <c r="E292" s="145"/>
      <c r="F292" s="145"/>
      <c r="G292" s="145"/>
      <c r="H292" s="147"/>
      <c r="I292" s="107"/>
      <c r="J292" s="178"/>
      <c r="K292" s="107"/>
      <c r="L292" s="145"/>
      <c r="M292" s="145"/>
      <c r="N292" s="145"/>
      <c r="O292" s="145"/>
      <c r="P292" s="147"/>
      <c r="Q292" s="148"/>
      <c r="R292" s="437"/>
      <c r="S292" s="107"/>
      <c r="T292" s="179"/>
      <c r="U292" s="178"/>
      <c r="V292" s="107"/>
      <c r="W292" s="107"/>
      <c r="X292" s="470"/>
      <c r="Y292" s="470"/>
      <c r="Z292" s="471"/>
      <c r="AA292" s="471"/>
      <c r="AB292" s="466"/>
      <c r="AC292" s="350"/>
      <c r="AD292" s="350"/>
      <c r="AE292" s="350"/>
      <c r="AF292" s="350"/>
    </row>
    <row r="293" spans="1:32" s="457" customFormat="1" ht="18" customHeight="1" x14ac:dyDescent="0.2">
      <c r="A293" s="145"/>
      <c r="B293" s="177"/>
      <c r="C293" s="177"/>
      <c r="D293" s="145"/>
      <c r="E293" s="145"/>
      <c r="F293" s="145"/>
      <c r="G293" s="145"/>
      <c r="H293" s="147"/>
      <c r="I293" s="107"/>
      <c r="J293" s="178"/>
      <c r="K293" s="107"/>
      <c r="L293" s="145"/>
      <c r="M293" s="145"/>
      <c r="N293" s="145"/>
      <c r="O293" s="145"/>
      <c r="P293" s="147"/>
      <c r="Q293" s="148"/>
      <c r="R293" s="437"/>
      <c r="S293" s="107"/>
      <c r="T293" s="179"/>
      <c r="U293" s="178"/>
      <c r="V293" s="107"/>
      <c r="W293" s="107"/>
      <c r="X293" s="470"/>
      <c r="Y293" s="470"/>
      <c r="Z293" s="471"/>
      <c r="AA293" s="471"/>
      <c r="AB293" s="466"/>
      <c r="AC293" s="350"/>
      <c r="AD293" s="350"/>
      <c r="AE293" s="350"/>
      <c r="AF293" s="350"/>
    </row>
    <row r="294" spans="1:32" s="457" customFormat="1" ht="18" customHeight="1" x14ac:dyDescent="0.2">
      <c r="A294" s="145"/>
      <c r="B294" s="177"/>
      <c r="C294" s="177"/>
      <c r="D294" s="145"/>
      <c r="E294" s="145"/>
      <c r="F294" s="145"/>
      <c r="G294" s="145"/>
      <c r="H294" s="147"/>
      <c r="I294" s="107"/>
      <c r="J294" s="178"/>
      <c r="K294" s="107"/>
      <c r="L294" s="145"/>
      <c r="M294" s="145"/>
      <c r="N294" s="145"/>
      <c r="O294" s="145"/>
      <c r="P294" s="147"/>
      <c r="Q294" s="148"/>
      <c r="R294" s="437"/>
      <c r="S294" s="107"/>
      <c r="T294" s="179"/>
      <c r="U294" s="178"/>
      <c r="V294" s="107"/>
      <c r="W294" s="107"/>
      <c r="X294" s="470"/>
      <c r="Y294" s="470"/>
      <c r="Z294" s="471"/>
      <c r="AA294" s="471"/>
      <c r="AB294" s="466"/>
      <c r="AC294" s="350"/>
      <c r="AD294" s="350"/>
      <c r="AE294" s="350"/>
      <c r="AF294" s="350"/>
    </row>
    <row r="295" spans="1:32" s="457" customFormat="1" ht="18" customHeight="1" x14ac:dyDescent="0.2">
      <c r="A295" s="145"/>
      <c r="B295" s="177"/>
      <c r="C295" s="177"/>
      <c r="D295" s="145"/>
      <c r="E295" s="145"/>
      <c r="F295" s="145"/>
      <c r="G295" s="145"/>
      <c r="H295" s="147"/>
      <c r="I295" s="107"/>
      <c r="J295" s="178"/>
      <c r="K295" s="107"/>
      <c r="L295" s="145"/>
      <c r="M295" s="145"/>
      <c r="N295" s="145"/>
      <c r="O295" s="145"/>
      <c r="P295" s="147"/>
      <c r="Q295" s="148"/>
      <c r="R295" s="437"/>
      <c r="S295" s="107"/>
      <c r="T295" s="179"/>
      <c r="U295" s="178"/>
      <c r="V295" s="107"/>
      <c r="W295" s="107"/>
      <c r="X295" s="470"/>
      <c r="Y295" s="470"/>
      <c r="Z295" s="471"/>
      <c r="AA295" s="471"/>
      <c r="AB295" s="466"/>
      <c r="AC295" s="350"/>
      <c r="AD295" s="350"/>
      <c r="AE295" s="350"/>
      <c r="AF295" s="350"/>
    </row>
    <row r="296" spans="1:32" s="457" customFormat="1" ht="18" customHeight="1" x14ac:dyDescent="0.2">
      <c r="A296" s="145"/>
      <c r="B296" s="177"/>
      <c r="C296" s="177"/>
      <c r="D296" s="145"/>
      <c r="E296" s="145"/>
      <c r="F296" s="145"/>
      <c r="G296" s="145"/>
      <c r="H296" s="147"/>
      <c r="I296" s="107"/>
      <c r="J296" s="178"/>
      <c r="K296" s="107"/>
      <c r="L296" s="145"/>
      <c r="M296" s="145"/>
      <c r="N296" s="145"/>
      <c r="O296" s="145"/>
      <c r="P296" s="147"/>
      <c r="Q296" s="148"/>
      <c r="R296" s="437"/>
      <c r="S296" s="107"/>
      <c r="T296" s="179"/>
      <c r="U296" s="178"/>
      <c r="V296" s="107"/>
      <c r="W296" s="107"/>
      <c r="X296" s="470"/>
      <c r="Y296" s="470"/>
      <c r="Z296" s="471"/>
      <c r="AA296" s="471"/>
      <c r="AB296" s="466"/>
      <c r="AC296" s="350"/>
      <c r="AD296" s="350"/>
      <c r="AE296" s="350"/>
      <c r="AF296" s="350"/>
    </row>
    <row r="297" spans="1:32" s="457" customFormat="1" ht="18" customHeight="1" x14ac:dyDescent="0.2">
      <c r="A297" s="183"/>
      <c r="B297" s="183"/>
      <c r="C297" s="183"/>
      <c r="D297" s="183"/>
      <c r="E297" s="183"/>
      <c r="F297" s="183"/>
      <c r="G297" s="183"/>
      <c r="H297" s="184"/>
      <c r="I297" s="185"/>
      <c r="J297" s="186"/>
      <c r="K297" s="185"/>
      <c r="L297" s="185"/>
      <c r="M297" s="185"/>
      <c r="N297" s="185"/>
      <c r="O297" s="185"/>
      <c r="P297" s="185"/>
      <c r="Q297" s="185"/>
      <c r="R297" s="438"/>
      <c r="S297" s="185"/>
      <c r="T297" s="187"/>
      <c r="U297" s="186"/>
      <c r="V297" s="185"/>
      <c r="W297" s="185"/>
      <c r="X297" s="474"/>
      <c r="Y297" s="474"/>
      <c r="Z297" s="475"/>
      <c r="AA297" s="475"/>
      <c r="AB297" s="1847">
        <f>SUM(AB282:AB296)</f>
        <v>460.03211399999998</v>
      </c>
      <c r="AC297" s="349"/>
      <c r="AD297" s="349"/>
      <c r="AE297" s="349"/>
      <c r="AF297" s="349"/>
    </row>
    <row r="298" spans="1:32" s="457" customFormat="1" ht="18" customHeight="1" x14ac:dyDescent="0.2">
      <c r="A298" s="2737" t="s">
        <v>76</v>
      </c>
      <c r="B298" s="2737"/>
      <c r="C298" s="2738" t="s">
        <v>77</v>
      </c>
      <c r="D298" s="2738"/>
      <c r="E298" s="2738"/>
      <c r="F298" s="2738"/>
      <c r="G298" s="2738"/>
      <c r="H298" s="2738"/>
      <c r="I298" s="457" t="s">
        <v>78</v>
      </c>
      <c r="AB298" s="478"/>
    </row>
    <row r="299" spans="1:32" s="457" customFormat="1" ht="18" customHeight="1" x14ac:dyDescent="0.2">
      <c r="B299" s="479"/>
      <c r="I299" s="457" t="s">
        <v>79</v>
      </c>
      <c r="AB299" s="478"/>
    </row>
    <row r="300" spans="1:32" s="457" customFormat="1" ht="18" customHeight="1" x14ac:dyDescent="0.2">
      <c r="B300" s="479"/>
      <c r="I300" s="457" t="s">
        <v>80</v>
      </c>
      <c r="AB300" s="478"/>
    </row>
    <row r="301" spans="1:32" s="457" customFormat="1" ht="18" customHeight="1" x14ac:dyDescent="0.2">
      <c r="B301" s="479"/>
      <c r="I301" s="457" t="s">
        <v>81</v>
      </c>
      <c r="AB301" s="478"/>
    </row>
    <row r="302" spans="1:32" s="457" customFormat="1" ht="18" customHeight="1" x14ac:dyDescent="0.2">
      <c r="B302" s="479"/>
      <c r="I302" s="457" t="s">
        <v>88</v>
      </c>
      <c r="AB302" s="478"/>
    </row>
    <row r="303" spans="1:32" s="457" customFormat="1" ht="18" customHeight="1" x14ac:dyDescent="0.2">
      <c r="A303" s="455"/>
      <c r="B303" s="455"/>
      <c r="C303" s="455"/>
      <c r="D303" s="455"/>
      <c r="E303" s="455"/>
      <c r="F303" s="455"/>
      <c r="G303" s="455"/>
      <c r="H303" s="455"/>
      <c r="I303" s="455"/>
      <c r="J303" s="455"/>
      <c r="K303" s="455"/>
      <c r="L303" s="455"/>
      <c r="M303" s="455"/>
      <c r="N303" s="455"/>
      <c r="O303" s="455"/>
      <c r="P303" s="455"/>
      <c r="Q303" s="455"/>
      <c r="R303" s="455"/>
      <c r="S303" s="455"/>
      <c r="T303" s="455"/>
      <c r="U303" s="455"/>
      <c r="V303" s="455"/>
      <c r="W303" s="455"/>
      <c r="X303" s="455"/>
      <c r="Y303" s="455"/>
      <c r="Z303" s="455"/>
      <c r="AA303" s="2705" t="s">
        <v>0</v>
      </c>
      <c r="AB303" s="2705"/>
      <c r="AC303" s="455"/>
      <c r="AD303" s="455"/>
      <c r="AE303" s="455"/>
      <c r="AF303" s="455"/>
    </row>
    <row r="304" spans="1:32" s="457" customFormat="1" ht="18" customHeight="1" x14ac:dyDescent="0.2">
      <c r="A304" s="2706" t="s">
        <v>1</v>
      </c>
      <c r="B304" s="2706"/>
      <c r="C304" s="2706"/>
      <c r="D304" s="2706"/>
      <c r="E304" s="2706"/>
      <c r="F304" s="2706"/>
      <c r="G304" s="2706"/>
      <c r="H304" s="2706"/>
      <c r="I304" s="2706"/>
      <c r="J304" s="2706"/>
      <c r="K304" s="2706"/>
      <c r="L304" s="2706"/>
      <c r="M304" s="2706"/>
      <c r="N304" s="2706"/>
      <c r="O304" s="2706"/>
      <c r="P304" s="2706"/>
      <c r="Q304" s="2706"/>
      <c r="R304" s="2706"/>
      <c r="S304" s="2706"/>
      <c r="T304" s="2706"/>
      <c r="U304" s="2706"/>
      <c r="V304" s="2706"/>
      <c r="W304" s="2706"/>
      <c r="X304" s="2706"/>
      <c r="Y304" s="2706"/>
      <c r="Z304" s="2706"/>
      <c r="AA304" s="2706"/>
      <c r="AB304" s="2706"/>
      <c r="AC304" s="610"/>
      <c r="AD304" s="610"/>
      <c r="AE304" s="610"/>
      <c r="AF304" s="610"/>
    </row>
    <row r="305" spans="1:32" s="457" customFormat="1" ht="18" customHeight="1" x14ac:dyDescent="0.2">
      <c r="A305" s="2704" t="s">
        <v>377</v>
      </c>
      <c r="B305" s="2704"/>
      <c r="C305" s="2704"/>
      <c r="D305" s="2704"/>
      <c r="E305" s="2704"/>
      <c r="F305" s="2704"/>
      <c r="G305" s="2704"/>
      <c r="H305" s="2704"/>
      <c r="I305" s="2704"/>
      <c r="J305" s="2704"/>
      <c r="K305" s="2704"/>
      <c r="L305" s="2704"/>
      <c r="M305" s="2704"/>
      <c r="N305" s="2704"/>
      <c r="O305" s="2704"/>
      <c r="P305" s="2704"/>
      <c r="Q305" s="2704"/>
      <c r="R305" s="2704"/>
      <c r="S305" s="2704"/>
      <c r="T305" s="2704"/>
      <c r="U305" s="2704"/>
      <c r="V305" s="2704"/>
      <c r="W305" s="2704"/>
      <c r="X305" s="2704"/>
      <c r="Y305" s="2704"/>
      <c r="Z305" s="2704"/>
      <c r="AA305" s="2704"/>
      <c r="AB305" s="2704"/>
      <c r="AC305" s="611"/>
      <c r="AD305" s="611"/>
      <c r="AE305" s="611"/>
      <c r="AF305" s="611"/>
    </row>
    <row r="306" spans="1:32" s="457" customFormat="1" ht="18" customHeight="1" x14ac:dyDescent="0.2">
      <c r="A306" s="2686" t="s">
        <v>2</v>
      </c>
      <c r="B306" s="360"/>
      <c r="C306" s="2686" t="s">
        <v>3</v>
      </c>
      <c r="D306" s="360"/>
      <c r="E306" s="360"/>
      <c r="F306" s="2693" t="s">
        <v>4</v>
      </c>
      <c r="G306" s="2693"/>
      <c r="H306" s="2693"/>
      <c r="I306" s="2694"/>
      <c r="J306" s="2694"/>
      <c r="K306" s="2695"/>
      <c r="L306" s="361"/>
      <c r="M306" s="2679" t="s">
        <v>5</v>
      </c>
      <c r="N306" s="2679"/>
      <c r="O306" s="2679"/>
      <c r="P306" s="2679"/>
      <c r="Q306" s="2696"/>
      <c r="R306" s="2696"/>
      <c r="S306" s="2696"/>
      <c r="T306" s="2696"/>
      <c r="U306" s="2696"/>
      <c r="V306" s="2697"/>
      <c r="W306" s="362" t="s">
        <v>6</v>
      </c>
      <c r="X306" s="363" t="s">
        <v>7</v>
      </c>
      <c r="Y306" s="364"/>
      <c r="Z306" s="364"/>
      <c r="AA306" s="363"/>
      <c r="AB306" s="458"/>
      <c r="AC306" s="612" t="s">
        <v>8</v>
      </c>
      <c r="AD306" s="613"/>
      <c r="AE306" s="613"/>
      <c r="AF306" s="614"/>
    </row>
    <row r="307" spans="1:32" s="457" customFormat="1" ht="18" customHeight="1" x14ac:dyDescent="0.2">
      <c r="A307" s="2687"/>
      <c r="B307" s="367"/>
      <c r="C307" s="2687"/>
      <c r="D307" s="366" t="s">
        <v>9</v>
      </c>
      <c r="E307" s="366" t="s">
        <v>10</v>
      </c>
      <c r="F307" s="2698" t="s">
        <v>11</v>
      </c>
      <c r="G307" s="2694"/>
      <c r="H307" s="2695"/>
      <c r="I307" s="360"/>
      <c r="J307" s="449" t="s">
        <v>12</v>
      </c>
      <c r="K307" s="360"/>
      <c r="L307" s="2679" t="s">
        <v>2</v>
      </c>
      <c r="M307" s="370"/>
      <c r="N307" s="370"/>
      <c r="O307" s="370"/>
      <c r="P307" s="371"/>
      <c r="Q307" s="459" t="s">
        <v>13</v>
      </c>
      <c r="R307" s="370" t="s">
        <v>12</v>
      </c>
      <c r="S307" s="370" t="s">
        <v>6</v>
      </c>
      <c r="T307" s="2682" t="s">
        <v>14</v>
      </c>
      <c r="U307" s="2683"/>
      <c r="V307" s="375" t="s">
        <v>7</v>
      </c>
      <c r="W307" s="376" t="s">
        <v>15</v>
      </c>
      <c r="X307" s="377" t="s">
        <v>16</v>
      </c>
      <c r="Y307" s="377" t="s">
        <v>17</v>
      </c>
      <c r="Z307" s="377" t="s">
        <v>18</v>
      </c>
      <c r="AA307" s="377"/>
      <c r="AB307" s="460" t="s">
        <v>19</v>
      </c>
      <c r="AC307" s="615" t="s">
        <v>20</v>
      </c>
      <c r="AD307" s="616"/>
      <c r="AE307" s="617" t="s">
        <v>21</v>
      </c>
      <c r="AF307" s="618" t="s">
        <v>22</v>
      </c>
    </row>
    <row r="308" spans="1:32" s="457" customFormat="1" ht="18" customHeight="1" x14ac:dyDescent="0.2">
      <c r="A308" s="2687"/>
      <c r="B308" s="366" t="s">
        <v>23</v>
      </c>
      <c r="C308" s="2687"/>
      <c r="D308" s="366" t="s">
        <v>24</v>
      </c>
      <c r="E308" s="366" t="s">
        <v>25</v>
      </c>
      <c r="F308" s="2699"/>
      <c r="G308" s="2700"/>
      <c r="H308" s="2701"/>
      <c r="I308" s="366" t="s">
        <v>26</v>
      </c>
      <c r="J308" s="380" t="s">
        <v>15</v>
      </c>
      <c r="K308" s="380" t="s">
        <v>6</v>
      </c>
      <c r="L308" s="2680"/>
      <c r="M308" s="381" t="s">
        <v>27</v>
      </c>
      <c r="N308" s="381" t="s">
        <v>10</v>
      </c>
      <c r="O308" s="381" t="s">
        <v>10</v>
      </c>
      <c r="P308" s="385" t="s">
        <v>28</v>
      </c>
      <c r="Q308" s="461" t="s">
        <v>29</v>
      </c>
      <c r="R308" s="385" t="s">
        <v>15</v>
      </c>
      <c r="S308" s="385" t="s">
        <v>15</v>
      </c>
      <c r="T308" s="2684"/>
      <c r="U308" s="2685"/>
      <c r="V308" s="375" t="s">
        <v>30</v>
      </c>
      <c r="W308" s="376" t="s">
        <v>31</v>
      </c>
      <c r="X308" s="377" t="s">
        <v>30</v>
      </c>
      <c r="Y308" s="377" t="s">
        <v>32</v>
      </c>
      <c r="Z308" s="377" t="s">
        <v>7</v>
      </c>
      <c r="AA308" s="377" t="s">
        <v>33</v>
      </c>
      <c r="AB308" s="460" t="s">
        <v>34</v>
      </c>
      <c r="AC308" s="615" t="s">
        <v>35</v>
      </c>
      <c r="AD308" s="617" t="s">
        <v>36</v>
      </c>
      <c r="AE308" s="617" t="s">
        <v>37</v>
      </c>
      <c r="AF308" s="618" t="s">
        <v>38</v>
      </c>
    </row>
    <row r="309" spans="1:32" s="457" customFormat="1" ht="18" customHeight="1" x14ac:dyDescent="0.2">
      <c r="A309" s="2687"/>
      <c r="B309" s="366" t="s">
        <v>39</v>
      </c>
      <c r="C309" s="2687"/>
      <c r="D309" s="366" t="s">
        <v>40</v>
      </c>
      <c r="E309" s="366" t="s">
        <v>41</v>
      </c>
      <c r="F309" s="2686" t="s">
        <v>42</v>
      </c>
      <c r="G309" s="2686" t="s">
        <v>43</v>
      </c>
      <c r="H309" s="2688" t="s">
        <v>44</v>
      </c>
      <c r="I309" s="366" t="s">
        <v>45</v>
      </c>
      <c r="J309" s="380" t="s">
        <v>46</v>
      </c>
      <c r="K309" s="380" t="s">
        <v>47</v>
      </c>
      <c r="L309" s="2680"/>
      <c r="M309" s="381" t="s">
        <v>30</v>
      </c>
      <c r="N309" s="381" t="s">
        <v>30</v>
      </c>
      <c r="O309" s="381" t="s">
        <v>25</v>
      </c>
      <c r="P309" s="385" t="s">
        <v>30</v>
      </c>
      <c r="Q309" s="461" t="s">
        <v>48</v>
      </c>
      <c r="R309" s="385" t="s">
        <v>49</v>
      </c>
      <c r="S309" s="385" t="s">
        <v>30</v>
      </c>
      <c r="T309" s="374" t="s">
        <v>50</v>
      </c>
      <c r="U309" s="374" t="s">
        <v>13</v>
      </c>
      <c r="V309" s="375" t="s">
        <v>51</v>
      </c>
      <c r="W309" s="376" t="s">
        <v>52</v>
      </c>
      <c r="X309" s="377" t="s">
        <v>53</v>
      </c>
      <c r="Y309" s="377" t="s">
        <v>54</v>
      </c>
      <c r="Z309" s="377" t="s">
        <v>55</v>
      </c>
      <c r="AA309" s="377" t="s">
        <v>56</v>
      </c>
      <c r="AB309" s="460" t="s">
        <v>57</v>
      </c>
      <c r="AC309" s="617" t="s">
        <v>58</v>
      </c>
      <c r="AD309" s="617" t="s">
        <v>59</v>
      </c>
      <c r="AE309" s="617" t="s">
        <v>59</v>
      </c>
      <c r="AF309" s="618" t="s">
        <v>60</v>
      </c>
    </row>
    <row r="310" spans="1:32" s="457" customFormat="1" ht="18" customHeight="1" x14ac:dyDescent="0.2">
      <c r="A310" s="2687"/>
      <c r="B310" s="366" t="s">
        <v>61</v>
      </c>
      <c r="C310" s="2687"/>
      <c r="D310" s="366" t="s">
        <v>62</v>
      </c>
      <c r="E310" s="366" t="s">
        <v>63</v>
      </c>
      <c r="F310" s="2687"/>
      <c r="G310" s="2687"/>
      <c r="H310" s="2689"/>
      <c r="I310" s="366" t="s">
        <v>64</v>
      </c>
      <c r="J310" s="380" t="s">
        <v>59</v>
      </c>
      <c r="K310" s="380" t="s">
        <v>59</v>
      </c>
      <c r="L310" s="2680"/>
      <c r="M310" s="381"/>
      <c r="N310" s="381"/>
      <c r="O310" s="381" t="s">
        <v>41</v>
      </c>
      <c r="P310" s="385" t="s">
        <v>65</v>
      </c>
      <c r="Q310" s="461" t="s">
        <v>66</v>
      </c>
      <c r="R310" s="385" t="s">
        <v>67</v>
      </c>
      <c r="S310" s="385" t="s">
        <v>59</v>
      </c>
      <c r="T310" s="375" t="s">
        <v>68</v>
      </c>
      <c r="U310" s="375" t="s">
        <v>14</v>
      </c>
      <c r="V310" s="375" t="s">
        <v>14</v>
      </c>
      <c r="W310" s="376" t="s">
        <v>30</v>
      </c>
      <c r="X310" s="388" t="s">
        <v>69</v>
      </c>
      <c r="Y310" s="388" t="s">
        <v>70</v>
      </c>
      <c r="Z310" s="377" t="s">
        <v>71</v>
      </c>
      <c r="AA310" s="377" t="s">
        <v>72</v>
      </c>
      <c r="AB310" s="460" t="s">
        <v>59</v>
      </c>
      <c r="AC310" s="617" t="s">
        <v>59</v>
      </c>
      <c r="AD310" s="617"/>
      <c r="AE310" s="617"/>
      <c r="AF310" s="618" t="s">
        <v>59</v>
      </c>
    </row>
    <row r="311" spans="1:32" s="457" customFormat="1" ht="18" customHeight="1" x14ac:dyDescent="0.2">
      <c r="A311" s="2692"/>
      <c r="B311" s="390"/>
      <c r="C311" s="2692"/>
      <c r="D311" s="390"/>
      <c r="E311" s="389"/>
      <c r="F311" s="390"/>
      <c r="G311" s="390"/>
      <c r="H311" s="391"/>
      <c r="I311" s="389"/>
      <c r="J311" s="393"/>
      <c r="K311" s="393"/>
      <c r="L311" s="2681"/>
      <c r="M311" s="394"/>
      <c r="N311" s="394"/>
      <c r="O311" s="394" t="s">
        <v>63</v>
      </c>
      <c r="P311" s="394"/>
      <c r="Q311" s="450" t="s">
        <v>72</v>
      </c>
      <c r="R311" s="398" t="s">
        <v>59</v>
      </c>
      <c r="S311" s="398"/>
      <c r="T311" s="398" t="s">
        <v>73</v>
      </c>
      <c r="U311" s="398" t="s">
        <v>59</v>
      </c>
      <c r="V311" s="399" t="s">
        <v>59</v>
      </c>
      <c r="W311" s="400" t="s">
        <v>59</v>
      </c>
      <c r="X311" s="401" t="s">
        <v>59</v>
      </c>
      <c r="Y311" s="401" t="s">
        <v>59</v>
      </c>
      <c r="Z311" s="401" t="s">
        <v>59</v>
      </c>
      <c r="AA311" s="402"/>
      <c r="AB311" s="462"/>
      <c r="AC311" s="625"/>
      <c r="AD311" s="625"/>
      <c r="AE311" s="625"/>
      <c r="AF311" s="626"/>
    </row>
    <row r="312" spans="1:32" s="457" customFormat="1" ht="18" customHeight="1" x14ac:dyDescent="0.25">
      <c r="A312" s="53">
        <v>1</v>
      </c>
      <c r="B312" s="333">
        <v>2318</v>
      </c>
      <c r="C312" s="41">
        <v>324</v>
      </c>
      <c r="D312" s="41" t="s">
        <v>86</v>
      </c>
      <c r="E312" s="15">
        <v>2</v>
      </c>
      <c r="F312" s="41">
        <v>2</v>
      </c>
      <c r="G312" s="41">
        <v>0</v>
      </c>
      <c r="H312" s="267">
        <v>0</v>
      </c>
      <c r="I312" s="77">
        <f t="shared" ref="I312:I317" si="86">F312*400+G312*100+H312</f>
        <v>800</v>
      </c>
      <c r="J312" s="306">
        <v>1700</v>
      </c>
      <c r="K312" s="297">
        <f t="shared" ref="K312:K317" si="87">I312*J312</f>
        <v>1360000</v>
      </c>
      <c r="L312" s="45">
        <v>1</v>
      </c>
      <c r="M312" s="61">
        <v>401</v>
      </c>
      <c r="N312" s="50" t="s">
        <v>74</v>
      </c>
      <c r="O312" s="50">
        <v>2</v>
      </c>
      <c r="P312" s="19">
        <v>225.31249999999997</v>
      </c>
      <c r="Q312" s="62" t="s">
        <v>75</v>
      </c>
      <c r="R312" s="672">
        <v>8000</v>
      </c>
      <c r="S312" s="47">
        <f t="shared" ref="S312:S323" si="88">+P312*R312</f>
        <v>1802499.9999999998</v>
      </c>
      <c r="T312" s="1501">
        <v>5</v>
      </c>
      <c r="U312" s="1670">
        <f>+S312*0.05</f>
        <v>90125</v>
      </c>
      <c r="V312" s="18">
        <f t="shared" ref="V312" si="89">+S312-U312</f>
        <v>1712374.9999999998</v>
      </c>
      <c r="W312" s="18">
        <f t="shared" ref="W312" si="90">K312+V312</f>
        <v>3072375</v>
      </c>
      <c r="X312" s="47">
        <f t="shared" ref="X312:X323" si="91">W312</f>
        <v>3072375</v>
      </c>
      <c r="Y312" s="296">
        <v>0</v>
      </c>
      <c r="Z312" s="296">
        <f t="shared" ref="Z312:Z323" si="92">X312</f>
        <v>3072375</v>
      </c>
      <c r="AA312" s="494">
        <v>0.02</v>
      </c>
      <c r="AB312" s="406">
        <f>+Z312*AA312/100</f>
        <v>614.47500000000002</v>
      </c>
      <c r="AC312" s="602"/>
      <c r="AD312" s="603">
        <f>AB342-AC312</f>
        <v>0</v>
      </c>
      <c r="AE312" s="603">
        <f>IF(AD312&lt;=0,0,AD312*25/100)</f>
        <v>0</v>
      </c>
      <c r="AF312" s="603">
        <f>IF(AC312+AE312&gt;AB342,AB342,AC312+AE312)</f>
        <v>0</v>
      </c>
    </row>
    <row r="313" spans="1:32" s="457" customFormat="1" ht="18" customHeight="1" x14ac:dyDescent="0.25">
      <c r="A313" s="242">
        <v>2</v>
      </c>
      <c r="B313" s="269">
        <v>2676</v>
      </c>
      <c r="C313" s="285" t="s">
        <v>164</v>
      </c>
      <c r="D313" s="270" t="s">
        <v>86</v>
      </c>
      <c r="E313" s="273">
        <v>2</v>
      </c>
      <c r="F313" s="268">
        <v>0</v>
      </c>
      <c r="G313" s="269">
        <v>2</v>
      </c>
      <c r="H313" s="266">
        <v>40</v>
      </c>
      <c r="I313" s="77">
        <f t="shared" si="86"/>
        <v>240</v>
      </c>
      <c r="J313" s="306">
        <v>1700</v>
      </c>
      <c r="K313" s="297">
        <f t="shared" si="87"/>
        <v>408000</v>
      </c>
      <c r="L313" s="85">
        <v>1</v>
      </c>
      <c r="M313" s="85">
        <v>401</v>
      </c>
      <c r="N313" s="85" t="s">
        <v>74</v>
      </c>
      <c r="O313" s="88">
        <v>2</v>
      </c>
      <c r="P313" s="120">
        <v>281.2</v>
      </c>
      <c r="Q313" s="129" t="s">
        <v>75</v>
      </c>
      <c r="R313" s="893">
        <v>8000</v>
      </c>
      <c r="S313" s="47">
        <f t="shared" si="88"/>
        <v>2249600</v>
      </c>
      <c r="T313" s="1822">
        <v>5</v>
      </c>
      <c r="U313" s="1670">
        <f t="shared" ref="U313:U314" si="93">+S313*0.05</f>
        <v>112480</v>
      </c>
      <c r="V313" s="18">
        <f t="shared" ref="V313:V323" si="94">+S313-U313</f>
        <v>2137120</v>
      </c>
      <c r="W313" s="18">
        <f t="shared" ref="W313:W323" si="95">K313+V313</f>
        <v>2545120</v>
      </c>
      <c r="X313" s="47">
        <f t="shared" si="91"/>
        <v>2545120</v>
      </c>
      <c r="Y313" s="296">
        <v>0</v>
      </c>
      <c r="Z313" s="296">
        <f t="shared" si="92"/>
        <v>2545120</v>
      </c>
      <c r="AA313" s="894">
        <v>0.02</v>
      </c>
      <c r="AB313" s="406">
        <f t="shared" ref="AB313:AB323" si="96">+Z313*AA313/100</f>
        <v>509.024</v>
      </c>
      <c r="AC313" s="602"/>
      <c r="AD313" s="603"/>
      <c r="AE313" s="603"/>
      <c r="AF313" s="603"/>
    </row>
    <row r="314" spans="1:32" s="457" customFormat="1" ht="18" customHeight="1" x14ac:dyDescent="0.25">
      <c r="A314" s="242">
        <v>3</v>
      </c>
      <c r="B314" s="269">
        <v>2677</v>
      </c>
      <c r="C314" s="285" t="s">
        <v>159</v>
      </c>
      <c r="D314" s="880" t="s">
        <v>86</v>
      </c>
      <c r="E314" s="273">
        <v>3</v>
      </c>
      <c r="F314" s="268">
        <v>0</v>
      </c>
      <c r="G314" s="269">
        <v>1</v>
      </c>
      <c r="H314" s="266">
        <v>48</v>
      </c>
      <c r="I314" s="77">
        <f t="shared" si="86"/>
        <v>148</v>
      </c>
      <c r="J314" s="306">
        <v>1700</v>
      </c>
      <c r="K314" s="297">
        <f t="shared" si="87"/>
        <v>251600</v>
      </c>
      <c r="L314" s="674"/>
      <c r="M314" s="674"/>
      <c r="N314" s="674"/>
      <c r="O314" s="130"/>
      <c r="P314" s="122"/>
      <c r="Q314" s="675"/>
      <c r="R314" s="1322"/>
      <c r="S314" s="47">
        <f t="shared" si="88"/>
        <v>0</v>
      </c>
      <c r="T314" s="1823"/>
      <c r="U314" s="1670">
        <f t="shared" si="93"/>
        <v>0</v>
      </c>
      <c r="V314" s="18">
        <f t="shared" si="94"/>
        <v>0</v>
      </c>
      <c r="W314" s="18">
        <f t="shared" si="95"/>
        <v>251600</v>
      </c>
      <c r="X314" s="47">
        <f t="shared" si="91"/>
        <v>251600</v>
      </c>
      <c r="Y314" s="953"/>
      <c r="Z314" s="296">
        <f t="shared" si="92"/>
        <v>251600</v>
      </c>
      <c r="AA314" s="952">
        <v>0.3</v>
      </c>
      <c r="AB314" s="406">
        <f t="shared" si="96"/>
        <v>754.8</v>
      </c>
      <c r="AC314" s="350"/>
      <c r="AD314" s="350"/>
      <c r="AE314" s="350"/>
      <c r="AF314" s="350"/>
    </row>
    <row r="315" spans="1:32" s="457" customFormat="1" ht="18" customHeight="1" x14ac:dyDescent="0.2">
      <c r="A315" s="241">
        <v>4</v>
      </c>
      <c r="B315" s="241">
        <v>2681</v>
      </c>
      <c r="C315" s="498" t="s">
        <v>160</v>
      </c>
      <c r="D315" s="145" t="s">
        <v>86</v>
      </c>
      <c r="E315" s="102">
        <v>2</v>
      </c>
      <c r="F315" s="499">
        <v>0</v>
      </c>
      <c r="G315" s="241">
        <v>3</v>
      </c>
      <c r="H315" s="500">
        <v>44</v>
      </c>
      <c r="I315" s="77">
        <f t="shared" si="86"/>
        <v>344</v>
      </c>
      <c r="J315" s="1048">
        <v>1100</v>
      </c>
      <c r="K315" s="297">
        <f t="shared" si="87"/>
        <v>378400</v>
      </c>
      <c r="L315" s="102">
        <v>1</v>
      </c>
      <c r="M315" s="102">
        <v>101</v>
      </c>
      <c r="N315" s="102" t="s">
        <v>82</v>
      </c>
      <c r="O315" s="102">
        <v>2</v>
      </c>
      <c r="P315" s="1281">
        <v>30.16</v>
      </c>
      <c r="Q315" s="909" t="s">
        <v>75</v>
      </c>
      <c r="R315" s="1323">
        <v>7700</v>
      </c>
      <c r="S315" s="47">
        <f t="shared" si="88"/>
        <v>232232</v>
      </c>
      <c r="T315" s="1824">
        <v>5</v>
      </c>
      <c r="U315" s="1670">
        <f>+S315*0.15</f>
        <v>34834.799999999996</v>
      </c>
      <c r="V315" s="18">
        <f t="shared" si="94"/>
        <v>197397.2</v>
      </c>
      <c r="W315" s="18">
        <f t="shared" si="95"/>
        <v>575797.19999999995</v>
      </c>
      <c r="X315" s="47">
        <f t="shared" si="91"/>
        <v>575797.19999999995</v>
      </c>
      <c r="Y315" s="1048">
        <v>0</v>
      </c>
      <c r="Z315" s="296">
        <f t="shared" si="92"/>
        <v>575797.19999999995</v>
      </c>
      <c r="AA315" s="812">
        <v>0.02</v>
      </c>
      <c r="AB315" s="406">
        <f t="shared" si="96"/>
        <v>115.15943999999999</v>
      </c>
      <c r="AC315" s="350"/>
      <c r="AD315" s="350"/>
      <c r="AE315" s="350"/>
      <c r="AF315" s="350"/>
    </row>
    <row r="316" spans="1:32" s="457" customFormat="1" ht="18" customHeight="1" x14ac:dyDescent="0.2">
      <c r="A316" s="242"/>
      <c r="B316" s="241"/>
      <c r="C316" s="498"/>
      <c r="D316" s="231"/>
      <c r="E316" s="87"/>
      <c r="F316" s="913"/>
      <c r="G316" s="1324"/>
      <c r="H316" s="1325"/>
      <c r="I316" s="77">
        <f t="shared" si="86"/>
        <v>0</v>
      </c>
      <c r="J316" s="1326"/>
      <c r="K316" s="297">
        <f t="shared" si="87"/>
        <v>0</v>
      </c>
      <c r="L316" s="1324">
        <v>2</v>
      </c>
      <c r="M316" s="1324">
        <v>101</v>
      </c>
      <c r="N316" s="1324" t="s">
        <v>165</v>
      </c>
      <c r="O316" s="1324">
        <v>2</v>
      </c>
      <c r="P316" s="1325">
        <v>25.375</v>
      </c>
      <c r="Q316" s="1327" t="s">
        <v>75</v>
      </c>
      <c r="R316" s="1328">
        <v>7700</v>
      </c>
      <c r="S316" s="47">
        <f t="shared" si="88"/>
        <v>195387.5</v>
      </c>
      <c r="T316" s="1824">
        <v>5</v>
      </c>
      <c r="U316" s="1670">
        <f t="shared" ref="U316:U323" si="97">+S316*0.15</f>
        <v>29308.125</v>
      </c>
      <c r="V316" s="18">
        <f t="shared" si="94"/>
        <v>166079.375</v>
      </c>
      <c r="W316" s="18">
        <f t="shared" si="95"/>
        <v>166079.375</v>
      </c>
      <c r="X316" s="47">
        <f t="shared" si="91"/>
        <v>166079.375</v>
      </c>
      <c r="Y316" s="1326">
        <v>0</v>
      </c>
      <c r="Z316" s="296">
        <f t="shared" si="92"/>
        <v>166079.375</v>
      </c>
      <c r="AA316" s="1329">
        <v>0.02</v>
      </c>
      <c r="AB316" s="406">
        <f t="shared" si="96"/>
        <v>33.215875000000004</v>
      </c>
      <c r="AC316" s="350"/>
      <c r="AD316" s="350"/>
      <c r="AE316" s="350"/>
      <c r="AF316" s="350"/>
    </row>
    <row r="317" spans="1:32" s="2369" customFormat="1" ht="18" customHeight="1" x14ac:dyDescent="0.2">
      <c r="A317" s="2301">
        <v>5</v>
      </c>
      <c r="B317" s="2301">
        <v>2675</v>
      </c>
      <c r="C317" s="2355" t="s">
        <v>166</v>
      </c>
      <c r="D317" s="2356" t="s">
        <v>86</v>
      </c>
      <c r="E317" s="2357">
        <v>2</v>
      </c>
      <c r="F317" s="2358">
        <v>0</v>
      </c>
      <c r="G317" s="2301">
        <v>2</v>
      </c>
      <c r="H317" s="2359">
        <v>60</v>
      </c>
      <c r="I317" s="2360">
        <f t="shared" si="86"/>
        <v>260</v>
      </c>
      <c r="J317" s="2361">
        <v>1300</v>
      </c>
      <c r="K317" s="2362">
        <f t="shared" si="87"/>
        <v>338000</v>
      </c>
      <c r="L317" s="2301">
        <v>3</v>
      </c>
      <c r="M317" s="2301">
        <v>101</v>
      </c>
      <c r="N317" s="2301" t="s">
        <v>82</v>
      </c>
      <c r="O317" s="2301">
        <v>2</v>
      </c>
      <c r="P317" s="2359">
        <v>31.919999999999998</v>
      </c>
      <c r="Q317" s="2363" t="s">
        <v>75</v>
      </c>
      <c r="R317" s="2364">
        <v>7700</v>
      </c>
      <c r="S317" s="2293">
        <f t="shared" si="88"/>
        <v>245784</v>
      </c>
      <c r="T317" s="2365">
        <v>5</v>
      </c>
      <c r="U317" s="2366">
        <f t="shared" si="97"/>
        <v>36867.599999999999</v>
      </c>
      <c r="V317" s="2283">
        <f t="shared" si="94"/>
        <v>208916.4</v>
      </c>
      <c r="W317" s="2283">
        <f t="shared" si="95"/>
        <v>546916.4</v>
      </c>
      <c r="X317" s="2293">
        <f t="shared" si="91"/>
        <v>546916.4</v>
      </c>
      <c r="Y317" s="2361">
        <v>0</v>
      </c>
      <c r="Z317" s="2320">
        <f t="shared" si="92"/>
        <v>546916.4</v>
      </c>
      <c r="AA317" s="2367">
        <v>0.02</v>
      </c>
      <c r="AB317" s="2368">
        <f t="shared" si="96"/>
        <v>109.38328000000001</v>
      </c>
      <c r="AC317" s="2297"/>
      <c r="AD317" s="2297"/>
      <c r="AE317" s="2297"/>
      <c r="AF317" s="2297"/>
    </row>
    <row r="318" spans="1:32" s="2369" customFormat="1" ht="18" customHeight="1" x14ac:dyDescent="0.2">
      <c r="A318" s="2301"/>
      <c r="B318" s="2301"/>
      <c r="C318" s="2355"/>
      <c r="D318" s="2370"/>
      <c r="E318" s="2371"/>
      <c r="F318" s="2372"/>
      <c r="G318" s="2373"/>
      <c r="H318" s="2374"/>
      <c r="I318" s="2375"/>
      <c r="J318" s="2376"/>
      <c r="K318" s="2377"/>
      <c r="L318" s="2373">
        <v>4</v>
      </c>
      <c r="M318" s="2373">
        <v>101</v>
      </c>
      <c r="N318" s="2373" t="s">
        <v>82</v>
      </c>
      <c r="O318" s="2373">
        <v>2</v>
      </c>
      <c r="P318" s="2374">
        <v>31.8</v>
      </c>
      <c r="Q318" s="2378" t="s">
        <v>75</v>
      </c>
      <c r="R318" s="2379">
        <v>7700</v>
      </c>
      <c r="S318" s="2293">
        <f t="shared" si="88"/>
        <v>244860</v>
      </c>
      <c r="T318" s="2380">
        <v>5</v>
      </c>
      <c r="U318" s="2366">
        <f t="shared" si="97"/>
        <v>36729</v>
      </c>
      <c r="V318" s="2283">
        <f t="shared" si="94"/>
        <v>208131</v>
      </c>
      <c r="W318" s="2283">
        <f t="shared" si="95"/>
        <v>208131</v>
      </c>
      <c r="X318" s="2293">
        <f t="shared" si="91"/>
        <v>208131</v>
      </c>
      <c r="Y318" s="2361">
        <v>0</v>
      </c>
      <c r="Z318" s="2320">
        <f t="shared" si="92"/>
        <v>208131</v>
      </c>
      <c r="AA318" s="2381">
        <v>0.02</v>
      </c>
      <c r="AB318" s="2368">
        <f t="shared" si="96"/>
        <v>41.626199999999997</v>
      </c>
      <c r="AC318" s="2297"/>
      <c r="AD318" s="2297"/>
      <c r="AE318" s="2297"/>
      <c r="AF318" s="2297"/>
    </row>
    <row r="319" spans="1:32" s="2369" customFormat="1" ht="18" customHeight="1" x14ac:dyDescent="0.2">
      <c r="A319" s="2301"/>
      <c r="B319" s="2301"/>
      <c r="C319" s="2363"/>
      <c r="D319" s="2357"/>
      <c r="E319" s="2357"/>
      <c r="F319" s="2358"/>
      <c r="G319" s="2301"/>
      <c r="H319" s="2359"/>
      <c r="I319" s="2375"/>
      <c r="J319" s="2376"/>
      <c r="K319" s="2377"/>
      <c r="L319" s="2301">
        <v>5</v>
      </c>
      <c r="M319" s="2301">
        <v>101</v>
      </c>
      <c r="N319" s="2301" t="s">
        <v>82</v>
      </c>
      <c r="O319" s="2301">
        <v>2</v>
      </c>
      <c r="P319" s="2359">
        <v>33.5</v>
      </c>
      <c r="Q319" s="2363" t="s">
        <v>75</v>
      </c>
      <c r="R319" s="2364">
        <v>7700</v>
      </c>
      <c r="S319" s="2293">
        <f t="shared" si="88"/>
        <v>257950</v>
      </c>
      <c r="T319" s="2382">
        <v>5</v>
      </c>
      <c r="U319" s="2366">
        <f t="shared" si="97"/>
        <v>38692.5</v>
      </c>
      <c r="V319" s="2283">
        <f t="shared" si="94"/>
        <v>219257.5</v>
      </c>
      <c r="W319" s="2283">
        <f t="shared" si="95"/>
        <v>219257.5</v>
      </c>
      <c r="X319" s="2293">
        <f t="shared" si="91"/>
        <v>219257.5</v>
      </c>
      <c r="Y319" s="2361">
        <v>0</v>
      </c>
      <c r="Z319" s="2320">
        <f t="shared" si="92"/>
        <v>219257.5</v>
      </c>
      <c r="AA319" s="2383">
        <v>0.02</v>
      </c>
      <c r="AB319" s="2368">
        <f t="shared" si="96"/>
        <v>43.851500000000009</v>
      </c>
      <c r="AC319" s="2297"/>
      <c r="AD319" s="2297"/>
      <c r="AE319" s="2297"/>
      <c r="AF319" s="2297"/>
    </row>
    <row r="320" spans="1:32" s="2369" customFormat="1" ht="18" customHeight="1" x14ac:dyDescent="0.2">
      <c r="A320" s="2301"/>
      <c r="B320" s="2301"/>
      <c r="C320" s="2363"/>
      <c r="D320" s="2357"/>
      <c r="E320" s="2357"/>
      <c r="F320" s="2358"/>
      <c r="G320" s="2301"/>
      <c r="H320" s="2359"/>
      <c r="I320" s="2375"/>
      <c r="J320" s="2376"/>
      <c r="K320" s="2377"/>
      <c r="L320" s="2301">
        <v>6</v>
      </c>
      <c r="M320" s="2301">
        <v>504</v>
      </c>
      <c r="N320" s="2301" t="s">
        <v>82</v>
      </c>
      <c r="O320" s="2301">
        <v>2</v>
      </c>
      <c r="P320" s="2384">
        <v>46.75</v>
      </c>
      <c r="Q320" s="2363" t="s">
        <v>75</v>
      </c>
      <c r="R320" s="2364">
        <v>7700</v>
      </c>
      <c r="S320" s="2293">
        <f t="shared" si="88"/>
        <v>359975</v>
      </c>
      <c r="T320" s="2380">
        <v>5</v>
      </c>
      <c r="U320" s="2366">
        <f t="shared" si="97"/>
        <v>53996.25</v>
      </c>
      <c r="V320" s="2283">
        <f t="shared" si="94"/>
        <v>305978.75</v>
      </c>
      <c r="W320" s="2283">
        <f t="shared" si="95"/>
        <v>305978.75</v>
      </c>
      <c r="X320" s="2293">
        <f t="shared" si="91"/>
        <v>305978.75</v>
      </c>
      <c r="Y320" s="2361">
        <v>0</v>
      </c>
      <c r="Z320" s="2320">
        <f t="shared" si="92"/>
        <v>305978.75</v>
      </c>
      <c r="AA320" s="2383">
        <v>0.02</v>
      </c>
      <c r="AB320" s="2368">
        <f t="shared" si="96"/>
        <v>61.195749999999997</v>
      </c>
      <c r="AC320" s="2297"/>
      <c r="AD320" s="2297"/>
      <c r="AE320" s="2297"/>
      <c r="AF320" s="2297"/>
    </row>
    <row r="321" spans="1:32" s="2369" customFormat="1" ht="18" customHeight="1" x14ac:dyDescent="0.2">
      <c r="A321" s="2301"/>
      <c r="B321" s="2301"/>
      <c r="C321" s="2363"/>
      <c r="D321" s="2357"/>
      <c r="E321" s="2357"/>
      <c r="F321" s="2358"/>
      <c r="G321" s="2301"/>
      <c r="H321" s="2359"/>
      <c r="I321" s="2375"/>
      <c r="J321" s="2376"/>
      <c r="K321" s="2377"/>
      <c r="L321" s="2301">
        <v>7</v>
      </c>
      <c r="M321" s="2301">
        <v>101</v>
      </c>
      <c r="N321" s="2301" t="s">
        <v>82</v>
      </c>
      <c r="O321" s="2301">
        <v>2</v>
      </c>
      <c r="P321" s="2359">
        <v>34.700000000000003</v>
      </c>
      <c r="Q321" s="2363" t="s">
        <v>75</v>
      </c>
      <c r="R321" s="2364">
        <v>7700</v>
      </c>
      <c r="S321" s="2293">
        <f t="shared" si="88"/>
        <v>267190</v>
      </c>
      <c r="T321" s="2382">
        <v>5</v>
      </c>
      <c r="U321" s="2366">
        <f t="shared" si="97"/>
        <v>40078.5</v>
      </c>
      <c r="V321" s="2283">
        <f t="shared" si="94"/>
        <v>227111.5</v>
      </c>
      <c r="W321" s="2283">
        <f t="shared" si="95"/>
        <v>227111.5</v>
      </c>
      <c r="X321" s="2293">
        <f t="shared" si="91"/>
        <v>227111.5</v>
      </c>
      <c r="Y321" s="2361">
        <v>0</v>
      </c>
      <c r="Z321" s="2320">
        <f t="shared" si="92"/>
        <v>227111.5</v>
      </c>
      <c r="AA321" s="2383">
        <v>0.02</v>
      </c>
      <c r="AB321" s="2368">
        <f t="shared" si="96"/>
        <v>45.422300000000007</v>
      </c>
      <c r="AC321" s="2297"/>
      <c r="AD321" s="2297"/>
      <c r="AE321" s="2297"/>
      <c r="AF321" s="2297"/>
    </row>
    <row r="322" spans="1:32" s="2369" customFormat="1" ht="18" customHeight="1" x14ac:dyDescent="0.2">
      <c r="A322" s="2301"/>
      <c r="B322" s="2301"/>
      <c r="C322" s="2363"/>
      <c r="D322" s="2357"/>
      <c r="E322" s="2357"/>
      <c r="F322" s="2358"/>
      <c r="G322" s="2301"/>
      <c r="H322" s="2359"/>
      <c r="I322" s="2375"/>
      <c r="J322" s="2376"/>
      <c r="K322" s="2377"/>
      <c r="L322" s="2301">
        <v>8</v>
      </c>
      <c r="M322" s="2301">
        <v>101</v>
      </c>
      <c r="N322" s="2301" t="s">
        <v>82</v>
      </c>
      <c r="O322" s="2301">
        <v>2</v>
      </c>
      <c r="P322" s="2359">
        <v>48</v>
      </c>
      <c r="Q322" s="2363" t="s">
        <v>75</v>
      </c>
      <c r="R322" s="2364">
        <v>7700</v>
      </c>
      <c r="S322" s="2293">
        <f t="shared" si="88"/>
        <v>369600</v>
      </c>
      <c r="T322" s="2380">
        <v>5</v>
      </c>
      <c r="U322" s="2366">
        <f t="shared" si="97"/>
        <v>55440</v>
      </c>
      <c r="V322" s="2283">
        <f t="shared" si="94"/>
        <v>314160</v>
      </c>
      <c r="W322" s="2283">
        <f t="shared" si="95"/>
        <v>314160</v>
      </c>
      <c r="X322" s="2293">
        <f t="shared" si="91"/>
        <v>314160</v>
      </c>
      <c r="Y322" s="2361">
        <v>0</v>
      </c>
      <c r="Z322" s="2320">
        <f t="shared" si="92"/>
        <v>314160</v>
      </c>
      <c r="AA322" s="2383">
        <v>0.02</v>
      </c>
      <c r="AB322" s="2368">
        <f t="shared" si="96"/>
        <v>62.832000000000001</v>
      </c>
      <c r="AC322" s="2297"/>
      <c r="AD322" s="2297"/>
      <c r="AE322" s="2297"/>
      <c r="AF322" s="2297"/>
    </row>
    <row r="323" spans="1:32" s="2369" customFormat="1" ht="18" customHeight="1" x14ac:dyDescent="0.2">
      <c r="A323" s="2301"/>
      <c r="B323" s="2301"/>
      <c r="C323" s="2363"/>
      <c r="D323" s="2357"/>
      <c r="E323" s="2357"/>
      <c r="F323" s="2358"/>
      <c r="G323" s="2301"/>
      <c r="H323" s="2359"/>
      <c r="I323" s="2375"/>
      <c r="J323" s="2376"/>
      <c r="K323" s="2377"/>
      <c r="L323" s="2301">
        <v>9</v>
      </c>
      <c r="M323" s="2301">
        <v>101</v>
      </c>
      <c r="N323" s="2301" t="s">
        <v>82</v>
      </c>
      <c r="O323" s="2301">
        <v>2</v>
      </c>
      <c r="P323" s="2359">
        <v>52.64</v>
      </c>
      <c r="Q323" s="2363" t="s">
        <v>75</v>
      </c>
      <c r="R323" s="2364">
        <v>6750</v>
      </c>
      <c r="S323" s="2293">
        <f t="shared" si="88"/>
        <v>355320</v>
      </c>
      <c r="T323" s="2385">
        <v>5</v>
      </c>
      <c r="U323" s="2366">
        <f t="shared" si="97"/>
        <v>53298</v>
      </c>
      <c r="V323" s="2283">
        <f t="shared" si="94"/>
        <v>302022</v>
      </c>
      <c r="W323" s="2283">
        <f t="shared" si="95"/>
        <v>302022</v>
      </c>
      <c r="X323" s="2293">
        <f t="shared" si="91"/>
        <v>302022</v>
      </c>
      <c r="Y323" s="2361">
        <v>0</v>
      </c>
      <c r="Z323" s="2320">
        <f t="shared" si="92"/>
        <v>302022</v>
      </c>
      <c r="AA323" s="2386">
        <v>0.02</v>
      </c>
      <c r="AB323" s="2368">
        <f t="shared" si="96"/>
        <v>60.404400000000003</v>
      </c>
      <c r="AC323" s="2297"/>
      <c r="AD323" s="2297"/>
      <c r="AE323" s="2297"/>
      <c r="AF323" s="2297"/>
    </row>
    <row r="324" spans="1:32" s="457" customFormat="1" ht="18" customHeight="1" x14ac:dyDescent="0.2">
      <c r="A324" s="145"/>
      <c r="B324" s="177"/>
      <c r="C324" s="177"/>
      <c r="D324" s="145"/>
      <c r="E324" s="145"/>
      <c r="F324" s="145"/>
      <c r="G324" s="145"/>
      <c r="H324" s="147"/>
      <c r="I324" s="107"/>
      <c r="J324" s="178"/>
      <c r="K324" s="107"/>
      <c r="L324" s="145"/>
      <c r="M324" s="145"/>
      <c r="N324" s="145"/>
      <c r="O324" s="145"/>
      <c r="P324" s="147"/>
      <c r="Q324" s="148"/>
      <c r="R324" s="437"/>
      <c r="S324" s="107"/>
      <c r="T324" s="1611"/>
      <c r="U324" s="1608"/>
      <c r="V324" s="107"/>
      <c r="W324" s="107"/>
      <c r="X324" s="470"/>
      <c r="Y324" s="470"/>
      <c r="Z324" s="471"/>
      <c r="AA324" s="471"/>
      <c r="AB324" s="466"/>
      <c r="AC324" s="350"/>
      <c r="AD324" s="350"/>
      <c r="AE324" s="350"/>
      <c r="AF324" s="350"/>
    </row>
    <row r="325" spans="1:32" s="457" customFormat="1" ht="18" customHeight="1" x14ac:dyDescent="0.2">
      <c r="A325" s="145"/>
      <c r="B325" s="177"/>
      <c r="C325" s="177"/>
      <c r="D325" s="145"/>
      <c r="E325" s="145"/>
      <c r="F325" s="145"/>
      <c r="G325" s="145"/>
      <c r="H325" s="147"/>
      <c r="I325" s="107"/>
      <c r="J325" s="178"/>
      <c r="K325" s="107"/>
      <c r="L325" s="145"/>
      <c r="M325" s="145"/>
      <c r="N325" s="145"/>
      <c r="O325" s="145"/>
      <c r="P325" s="147"/>
      <c r="Q325" s="148"/>
      <c r="R325" s="437"/>
      <c r="S325" s="107"/>
      <c r="T325" s="179"/>
      <c r="U325" s="178"/>
      <c r="V325" s="107"/>
      <c r="W325" s="107"/>
      <c r="X325" s="470"/>
      <c r="Y325" s="470"/>
      <c r="Z325" s="471"/>
      <c r="AA325" s="471"/>
      <c r="AB325" s="466"/>
      <c r="AC325" s="350"/>
      <c r="AD325" s="350"/>
      <c r="AE325" s="350"/>
      <c r="AF325" s="350"/>
    </row>
    <row r="326" spans="1:32" s="457" customFormat="1" ht="18" customHeight="1" x14ac:dyDescent="0.2">
      <c r="A326" s="145"/>
      <c r="B326" s="177"/>
      <c r="C326" s="177"/>
      <c r="D326" s="145"/>
      <c r="E326" s="145"/>
      <c r="F326" s="145"/>
      <c r="G326" s="145"/>
      <c r="H326" s="147"/>
      <c r="I326" s="107"/>
      <c r="J326" s="178"/>
      <c r="K326" s="107"/>
      <c r="L326" s="145"/>
      <c r="M326" s="145"/>
      <c r="N326" s="145"/>
      <c r="O326" s="145"/>
      <c r="P326" s="147"/>
      <c r="Q326" s="148"/>
      <c r="R326" s="437"/>
      <c r="S326" s="107"/>
      <c r="T326" s="179"/>
      <c r="U326" s="178"/>
      <c r="V326" s="107"/>
      <c r="W326" s="107"/>
      <c r="X326" s="470"/>
      <c r="Y326" s="470"/>
      <c r="Z326" s="471"/>
      <c r="AA326" s="471"/>
      <c r="AB326" s="466"/>
      <c r="AC326" s="350"/>
      <c r="AD326" s="350"/>
      <c r="AE326" s="350"/>
      <c r="AF326" s="350"/>
    </row>
    <row r="327" spans="1:32" s="457" customFormat="1" ht="18" customHeight="1" x14ac:dyDescent="0.2">
      <c r="A327" s="183"/>
      <c r="B327" s="1330" t="s">
        <v>299</v>
      </c>
      <c r="C327" s="183"/>
      <c r="D327" s="183"/>
      <c r="E327" s="183"/>
      <c r="F327" s="183"/>
      <c r="G327" s="183"/>
      <c r="H327" s="184"/>
      <c r="I327" s="185"/>
      <c r="J327" s="186"/>
      <c r="K327" s="185"/>
      <c r="L327" s="185"/>
      <c r="M327" s="185"/>
      <c r="N327" s="185"/>
      <c r="O327" s="185"/>
      <c r="P327" s="185"/>
      <c r="Q327" s="185"/>
      <c r="R327" s="438"/>
      <c r="S327" s="185"/>
      <c r="T327" s="187"/>
      <c r="U327" s="186"/>
      <c r="V327" s="185"/>
      <c r="W327" s="185"/>
      <c r="X327" s="474"/>
      <c r="Y327" s="474"/>
      <c r="Z327" s="475"/>
      <c r="AA327" s="475"/>
      <c r="AB327" s="1847">
        <f>SUM(AB312:AB326)</f>
        <v>2451.3897450000004</v>
      </c>
      <c r="AC327" s="349"/>
      <c r="AD327" s="349"/>
      <c r="AE327" s="349"/>
      <c r="AF327" s="349"/>
    </row>
    <row r="328" spans="1:32" s="457" customFormat="1" ht="18" customHeight="1" x14ac:dyDescent="0.2">
      <c r="A328" s="2737" t="s">
        <v>76</v>
      </c>
      <c r="B328" s="2737"/>
      <c r="C328" s="2738" t="s">
        <v>77</v>
      </c>
      <c r="D328" s="2738"/>
      <c r="E328" s="2738"/>
      <c r="F328" s="2738"/>
      <c r="G328" s="2738"/>
      <c r="H328" s="2738"/>
      <c r="I328" s="457" t="s">
        <v>78</v>
      </c>
      <c r="AB328" s="478"/>
    </row>
    <row r="329" spans="1:32" s="457" customFormat="1" ht="18" customHeight="1" x14ac:dyDescent="0.2">
      <c r="B329" s="479"/>
      <c r="I329" s="457" t="s">
        <v>79</v>
      </c>
      <c r="AB329" s="478"/>
    </row>
    <row r="330" spans="1:32" s="457" customFormat="1" ht="18" customHeight="1" x14ac:dyDescent="0.2">
      <c r="B330" s="479"/>
      <c r="I330" s="457" t="s">
        <v>80</v>
      </c>
      <c r="AB330" s="478"/>
    </row>
    <row r="331" spans="1:32" s="457" customFormat="1" ht="18" customHeight="1" x14ac:dyDescent="0.2">
      <c r="B331" s="479"/>
      <c r="I331" s="457" t="s">
        <v>81</v>
      </c>
      <c r="AB331" s="478"/>
    </row>
    <row r="332" spans="1:32" s="457" customFormat="1" ht="18" customHeight="1" x14ac:dyDescent="0.2">
      <c r="B332" s="479"/>
      <c r="I332" s="457" t="s">
        <v>88</v>
      </c>
      <c r="AB332" s="478"/>
    </row>
    <row r="333" spans="1:32" s="457" customFormat="1" ht="18" customHeight="1" x14ac:dyDescent="0.2">
      <c r="A333" s="455"/>
      <c r="B333" s="455"/>
      <c r="C333" s="455"/>
      <c r="D333" s="455"/>
      <c r="E333" s="455"/>
      <c r="F333" s="455"/>
      <c r="G333" s="455"/>
      <c r="H333" s="455"/>
      <c r="I333" s="455"/>
      <c r="J333" s="455"/>
      <c r="K333" s="455"/>
      <c r="L333" s="455"/>
      <c r="M333" s="455"/>
      <c r="N333" s="455"/>
      <c r="O333" s="455"/>
      <c r="P333" s="455"/>
      <c r="Q333" s="455"/>
      <c r="R333" s="455"/>
      <c r="S333" s="455"/>
      <c r="T333" s="455"/>
      <c r="U333" s="455"/>
      <c r="V333" s="455"/>
      <c r="W333" s="455"/>
      <c r="X333" s="455"/>
      <c r="Y333" s="455"/>
      <c r="Z333" s="455"/>
      <c r="AA333" s="2705" t="s">
        <v>0</v>
      </c>
      <c r="AB333" s="2705"/>
      <c r="AC333" s="455"/>
      <c r="AD333" s="455"/>
      <c r="AE333" s="455"/>
      <c r="AF333" s="455"/>
    </row>
    <row r="334" spans="1:32" s="457" customFormat="1" ht="18" customHeight="1" x14ac:dyDescent="0.2">
      <c r="A334" s="2706" t="s">
        <v>1</v>
      </c>
      <c r="B334" s="2706"/>
      <c r="C334" s="2706"/>
      <c r="D334" s="2706"/>
      <c r="E334" s="2706"/>
      <c r="F334" s="2706"/>
      <c r="G334" s="2706"/>
      <c r="H334" s="2706"/>
      <c r="I334" s="2706"/>
      <c r="J334" s="2706"/>
      <c r="K334" s="2706"/>
      <c r="L334" s="2706"/>
      <c r="M334" s="2706"/>
      <c r="N334" s="2706"/>
      <c r="O334" s="2706"/>
      <c r="P334" s="2706"/>
      <c r="Q334" s="2706"/>
      <c r="R334" s="2706"/>
      <c r="S334" s="2706"/>
      <c r="T334" s="2706"/>
      <c r="U334" s="2706"/>
      <c r="V334" s="2706"/>
      <c r="W334" s="2706"/>
      <c r="X334" s="2706"/>
      <c r="Y334" s="2706"/>
      <c r="Z334" s="2706"/>
      <c r="AA334" s="2706"/>
      <c r="AB334" s="2706"/>
      <c r="AC334" s="610"/>
      <c r="AD334" s="610"/>
      <c r="AE334" s="610"/>
      <c r="AF334" s="610"/>
    </row>
    <row r="335" spans="1:32" s="457" customFormat="1" ht="18" customHeight="1" x14ac:dyDescent="0.2">
      <c r="A335" s="2704" t="s">
        <v>379</v>
      </c>
      <c r="B335" s="2704"/>
      <c r="C335" s="2704"/>
      <c r="D335" s="2704"/>
      <c r="E335" s="2704"/>
      <c r="F335" s="2704"/>
      <c r="G335" s="2704"/>
      <c r="H335" s="2704"/>
      <c r="I335" s="2704"/>
      <c r="J335" s="2704"/>
      <c r="K335" s="2704"/>
      <c r="L335" s="2704"/>
      <c r="M335" s="2704"/>
      <c r="N335" s="2704"/>
      <c r="O335" s="2704"/>
      <c r="P335" s="2704"/>
      <c r="Q335" s="2704"/>
      <c r="R335" s="2704"/>
      <c r="S335" s="2704"/>
      <c r="T335" s="2704"/>
      <c r="U335" s="2704"/>
      <c r="V335" s="2704"/>
      <c r="W335" s="2704"/>
      <c r="X335" s="2704"/>
      <c r="Y335" s="2704"/>
      <c r="Z335" s="2704"/>
      <c r="AA335" s="2704"/>
      <c r="AB335" s="2704"/>
      <c r="AC335" s="611"/>
      <c r="AD335" s="611"/>
      <c r="AE335" s="611"/>
      <c r="AF335" s="611"/>
    </row>
    <row r="336" spans="1:32" s="457" customFormat="1" ht="18" customHeight="1" x14ac:dyDescent="0.2">
      <c r="A336" s="2686" t="s">
        <v>2</v>
      </c>
      <c r="B336" s="360"/>
      <c r="C336" s="2686" t="s">
        <v>3</v>
      </c>
      <c r="D336" s="360"/>
      <c r="E336" s="360"/>
      <c r="F336" s="2693" t="s">
        <v>4</v>
      </c>
      <c r="G336" s="2693"/>
      <c r="H336" s="2693"/>
      <c r="I336" s="2694"/>
      <c r="J336" s="2694"/>
      <c r="K336" s="2695"/>
      <c r="L336" s="361"/>
      <c r="M336" s="2679" t="s">
        <v>5</v>
      </c>
      <c r="N336" s="2679"/>
      <c r="O336" s="2679"/>
      <c r="P336" s="2679"/>
      <c r="Q336" s="2696"/>
      <c r="R336" s="2696"/>
      <c r="S336" s="2696"/>
      <c r="T336" s="2696"/>
      <c r="U336" s="2696"/>
      <c r="V336" s="2697"/>
      <c r="W336" s="362" t="s">
        <v>6</v>
      </c>
      <c r="X336" s="363" t="s">
        <v>7</v>
      </c>
      <c r="Y336" s="364"/>
      <c r="Z336" s="364"/>
      <c r="AA336" s="363"/>
      <c r="AB336" s="458"/>
      <c r="AC336" s="612" t="s">
        <v>8</v>
      </c>
      <c r="AD336" s="613"/>
      <c r="AE336" s="613"/>
      <c r="AF336" s="614"/>
    </row>
    <row r="337" spans="1:32" s="457" customFormat="1" ht="18" customHeight="1" x14ac:dyDescent="0.2">
      <c r="A337" s="2687"/>
      <c r="B337" s="367"/>
      <c r="C337" s="2687"/>
      <c r="D337" s="366" t="s">
        <v>9</v>
      </c>
      <c r="E337" s="366" t="s">
        <v>10</v>
      </c>
      <c r="F337" s="2698" t="s">
        <v>11</v>
      </c>
      <c r="G337" s="2694"/>
      <c r="H337" s="2695"/>
      <c r="I337" s="360"/>
      <c r="J337" s="449" t="s">
        <v>12</v>
      </c>
      <c r="K337" s="360"/>
      <c r="L337" s="2679" t="s">
        <v>2</v>
      </c>
      <c r="M337" s="370"/>
      <c r="N337" s="370"/>
      <c r="O337" s="370"/>
      <c r="P337" s="371"/>
      <c r="Q337" s="459" t="s">
        <v>13</v>
      </c>
      <c r="R337" s="370" t="s">
        <v>12</v>
      </c>
      <c r="S337" s="370" t="s">
        <v>6</v>
      </c>
      <c r="T337" s="2682" t="s">
        <v>14</v>
      </c>
      <c r="U337" s="2683"/>
      <c r="V337" s="375" t="s">
        <v>7</v>
      </c>
      <c r="W337" s="376" t="s">
        <v>15</v>
      </c>
      <c r="X337" s="377" t="s">
        <v>16</v>
      </c>
      <c r="Y337" s="377" t="s">
        <v>17</v>
      </c>
      <c r="Z337" s="377" t="s">
        <v>18</v>
      </c>
      <c r="AA337" s="377"/>
      <c r="AB337" s="460" t="s">
        <v>19</v>
      </c>
      <c r="AC337" s="615" t="s">
        <v>20</v>
      </c>
      <c r="AD337" s="616"/>
      <c r="AE337" s="617" t="s">
        <v>21</v>
      </c>
      <c r="AF337" s="618" t="s">
        <v>22</v>
      </c>
    </row>
    <row r="338" spans="1:32" s="457" customFormat="1" ht="18" customHeight="1" x14ac:dyDescent="0.2">
      <c r="A338" s="2687"/>
      <c r="B338" s="366" t="s">
        <v>23</v>
      </c>
      <c r="C338" s="2687"/>
      <c r="D338" s="366" t="s">
        <v>24</v>
      </c>
      <c r="E338" s="366" t="s">
        <v>25</v>
      </c>
      <c r="F338" s="2699"/>
      <c r="G338" s="2700"/>
      <c r="H338" s="2701"/>
      <c r="I338" s="366" t="s">
        <v>26</v>
      </c>
      <c r="J338" s="380" t="s">
        <v>15</v>
      </c>
      <c r="K338" s="380" t="s">
        <v>6</v>
      </c>
      <c r="L338" s="2680"/>
      <c r="M338" s="381" t="s">
        <v>27</v>
      </c>
      <c r="N338" s="381" t="s">
        <v>10</v>
      </c>
      <c r="O338" s="381" t="s">
        <v>10</v>
      </c>
      <c r="P338" s="385" t="s">
        <v>28</v>
      </c>
      <c r="Q338" s="461" t="s">
        <v>29</v>
      </c>
      <c r="R338" s="385" t="s">
        <v>15</v>
      </c>
      <c r="S338" s="385" t="s">
        <v>15</v>
      </c>
      <c r="T338" s="2684"/>
      <c r="U338" s="2685"/>
      <c r="V338" s="375" t="s">
        <v>30</v>
      </c>
      <c r="W338" s="376" t="s">
        <v>31</v>
      </c>
      <c r="X338" s="377" t="s">
        <v>30</v>
      </c>
      <c r="Y338" s="377" t="s">
        <v>32</v>
      </c>
      <c r="Z338" s="377" t="s">
        <v>7</v>
      </c>
      <c r="AA338" s="377" t="s">
        <v>33</v>
      </c>
      <c r="AB338" s="460" t="s">
        <v>34</v>
      </c>
      <c r="AC338" s="615" t="s">
        <v>35</v>
      </c>
      <c r="AD338" s="617" t="s">
        <v>36</v>
      </c>
      <c r="AE338" s="617" t="s">
        <v>37</v>
      </c>
      <c r="AF338" s="618" t="s">
        <v>38</v>
      </c>
    </row>
    <row r="339" spans="1:32" s="457" customFormat="1" ht="18" customHeight="1" x14ac:dyDescent="0.2">
      <c r="A339" s="2687"/>
      <c r="B339" s="366" t="s">
        <v>39</v>
      </c>
      <c r="C339" s="2687"/>
      <c r="D339" s="366" t="s">
        <v>40</v>
      </c>
      <c r="E339" s="366" t="s">
        <v>41</v>
      </c>
      <c r="F339" s="2686" t="s">
        <v>42</v>
      </c>
      <c r="G339" s="2686" t="s">
        <v>43</v>
      </c>
      <c r="H339" s="2688" t="s">
        <v>44</v>
      </c>
      <c r="I339" s="366" t="s">
        <v>45</v>
      </c>
      <c r="J339" s="380" t="s">
        <v>46</v>
      </c>
      <c r="K339" s="380" t="s">
        <v>47</v>
      </c>
      <c r="L339" s="2680"/>
      <c r="M339" s="381" t="s">
        <v>30</v>
      </c>
      <c r="N339" s="381" t="s">
        <v>30</v>
      </c>
      <c r="O339" s="381" t="s">
        <v>25</v>
      </c>
      <c r="P339" s="385" t="s">
        <v>30</v>
      </c>
      <c r="Q339" s="461" t="s">
        <v>48</v>
      </c>
      <c r="R339" s="385" t="s">
        <v>49</v>
      </c>
      <c r="S339" s="385" t="s">
        <v>30</v>
      </c>
      <c r="T339" s="374" t="s">
        <v>50</v>
      </c>
      <c r="U339" s="374" t="s">
        <v>13</v>
      </c>
      <c r="V339" s="375" t="s">
        <v>51</v>
      </c>
      <c r="W339" s="376" t="s">
        <v>52</v>
      </c>
      <c r="X339" s="377" t="s">
        <v>53</v>
      </c>
      <c r="Y339" s="377" t="s">
        <v>54</v>
      </c>
      <c r="Z339" s="377" t="s">
        <v>55</v>
      </c>
      <c r="AA339" s="377" t="s">
        <v>56</v>
      </c>
      <c r="AB339" s="460" t="s">
        <v>57</v>
      </c>
      <c r="AC339" s="617" t="s">
        <v>58</v>
      </c>
      <c r="AD339" s="617" t="s">
        <v>59</v>
      </c>
      <c r="AE339" s="617" t="s">
        <v>59</v>
      </c>
      <c r="AF339" s="618" t="s">
        <v>60</v>
      </c>
    </row>
    <row r="340" spans="1:32" s="457" customFormat="1" ht="18" customHeight="1" x14ac:dyDescent="0.2">
      <c r="A340" s="2687"/>
      <c r="B340" s="366" t="s">
        <v>61</v>
      </c>
      <c r="C340" s="2687"/>
      <c r="D340" s="366" t="s">
        <v>62</v>
      </c>
      <c r="E340" s="366" t="s">
        <v>63</v>
      </c>
      <c r="F340" s="2687"/>
      <c r="G340" s="2687"/>
      <c r="H340" s="2689"/>
      <c r="I340" s="366" t="s">
        <v>64</v>
      </c>
      <c r="J340" s="380" t="s">
        <v>59</v>
      </c>
      <c r="K340" s="380" t="s">
        <v>59</v>
      </c>
      <c r="L340" s="2680"/>
      <c r="M340" s="381"/>
      <c r="N340" s="381"/>
      <c r="O340" s="381" t="s">
        <v>41</v>
      </c>
      <c r="P340" s="385" t="s">
        <v>65</v>
      </c>
      <c r="Q340" s="461" t="s">
        <v>66</v>
      </c>
      <c r="R340" s="385" t="s">
        <v>67</v>
      </c>
      <c r="S340" s="385" t="s">
        <v>59</v>
      </c>
      <c r="T340" s="375" t="s">
        <v>68</v>
      </c>
      <c r="U340" s="375" t="s">
        <v>14</v>
      </c>
      <c r="V340" s="375" t="s">
        <v>14</v>
      </c>
      <c r="W340" s="376" t="s">
        <v>30</v>
      </c>
      <c r="X340" s="388" t="s">
        <v>69</v>
      </c>
      <c r="Y340" s="388" t="s">
        <v>70</v>
      </c>
      <c r="Z340" s="377" t="s">
        <v>71</v>
      </c>
      <c r="AA340" s="377" t="s">
        <v>72</v>
      </c>
      <c r="AB340" s="460" t="s">
        <v>59</v>
      </c>
      <c r="AC340" s="617" t="s">
        <v>59</v>
      </c>
      <c r="AD340" s="617"/>
      <c r="AE340" s="617"/>
      <c r="AF340" s="618" t="s">
        <v>59</v>
      </c>
    </row>
    <row r="341" spans="1:32" s="457" customFormat="1" ht="18" customHeight="1" x14ac:dyDescent="0.2">
      <c r="A341" s="2692"/>
      <c r="B341" s="390"/>
      <c r="C341" s="2692"/>
      <c r="D341" s="390"/>
      <c r="E341" s="389"/>
      <c r="F341" s="390"/>
      <c r="G341" s="390"/>
      <c r="H341" s="391"/>
      <c r="I341" s="389"/>
      <c r="J341" s="393"/>
      <c r="K341" s="393"/>
      <c r="L341" s="2681"/>
      <c r="M341" s="394"/>
      <c r="N341" s="394"/>
      <c r="O341" s="394" t="s">
        <v>63</v>
      </c>
      <c r="P341" s="394"/>
      <c r="Q341" s="450" t="s">
        <v>72</v>
      </c>
      <c r="R341" s="398" t="s">
        <v>59</v>
      </c>
      <c r="S341" s="398"/>
      <c r="T341" s="398" t="s">
        <v>73</v>
      </c>
      <c r="U341" s="398" t="s">
        <v>59</v>
      </c>
      <c r="V341" s="399" t="s">
        <v>59</v>
      </c>
      <c r="W341" s="400" t="s">
        <v>59</v>
      </c>
      <c r="X341" s="401" t="s">
        <v>59</v>
      </c>
      <c r="Y341" s="401" t="s">
        <v>59</v>
      </c>
      <c r="Z341" s="401" t="s">
        <v>59</v>
      </c>
      <c r="AA341" s="402"/>
      <c r="AB341" s="462"/>
      <c r="AC341" s="625"/>
      <c r="AD341" s="625"/>
      <c r="AE341" s="625"/>
      <c r="AF341" s="626"/>
    </row>
    <row r="342" spans="1:32" s="457" customFormat="1" ht="18" customHeight="1" x14ac:dyDescent="0.25">
      <c r="A342" s="242">
        <v>1</v>
      </c>
      <c r="B342" s="269">
        <v>2671</v>
      </c>
      <c r="C342" s="285" t="s">
        <v>167</v>
      </c>
      <c r="D342" s="273" t="s">
        <v>149</v>
      </c>
      <c r="E342" s="273">
        <v>1</v>
      </c>
      <c r="F342" s="268">
        <v>2</v>
      </c>
      <c r="G342" s="269">
        <v>3</v>
      </c>
      <c r="H342" s="266">
        <v>11</v>
      </c>
      <c r="I342" s="77">
        <f t="shared" ref="I342:I346" si="98">F342*400+G342*100+H342</f>
        <v>1111</v>
      </c>
      <c r="J342" s="306">
        <v>1700</v>
      </c>
      <c r="K342" s="297">
        <f t="shared" ref="K342:K346" si="99">I342*J342</f>
        <v>1888700</v>
      </c>
      <c r="L342" s="269"/>
      <c r="M342" s="242"/>
      <c r="N342" s="273"/>
      <c r="O342" s="268"/>
      <c r="P342" s="266"/>
      <c r="Q342" s="285"/>
      <c r="R342" s="1085"/>
      <c r="S342" s="324"/>
      <c r="T342" s="1428"/>
      <c r="U342" s="324"/>
      <c r="V342" s="324"/>
      <c r="W342" s="18">
        <f t="shared" ref="W342:W354" si="100">K342+V342</f>
        <v>1888700</v>
      </c>
      <c r="X342" s="47">
        <f t="shared" ref="X342:X354" si="101">W342</f>
        <v>1888700</v>
      </c>
      <c r="Y342" s="324" t="s">
        <v>87</v>
      </c>
      <c r="Z342" s="296">
        <v>0</v>
      </c>
      <c r="AA342" s="708">
        <v>0.01</v>
      </c>
      <c r="AB342" s="465">
        <f>+Z342*AA342/100</f>
        <v>0</v>
      </c>
      <c r="AC342" s="602"/>
      <c r="AD342" s="603" t="e">
        <f>#REF!-AC342</f>
        <v>#REF!</v>
      </c>
      <c r="AE342" s="603" t="e">
        <f>IF(AD342&lt;=0,0,AD342*25/100)</f>
        <v>#REF!</v>
      </c>
      <c r="AF342" s="603" t="e">
        <f>IF(AC342+AE342&gt;#REF!,#REF!,AC342+AE342)</f>
        <v>#REF!</v>
      </c>
    </row>
    <row r="343" spans="1:32" s="457" customFormat="1" ht="18" customHeight="1" x14ac:dyDescent="0.25">
      <c r="A343" s="1080">
        <v>2</v>
      </c>
      <c r="B343" s="269">
        <v>2647</v>
      </c>
      <c r="C343" s="285" t="s">
        <v>168</v>
      </c>
      <c r="D343" s="273" t="s">
        <v>149</v>
      </c>
      <c r="E343" s="273">
        <v>1</v>
      </c>
      <c r="F343" s="268">
        <v>3</v>
      </c>
      <c r="G343" s="269">
        <v>2</v>
      </c>
      <c r="H343" s="266">
        <v>96</v>
      </c>
      <c r="I343" s="77">
        <f t="shared" si="98"/>
        <v>1496</v>
      </c>
      <c r="J343" s="305">
        <v>300</v>
      </c>
      <c r="K343" s="297">
        <f t="shared" si="99"/>
        <v>448800</v>
      </c>
      <c r="L343" s="269"/>
      <c r="M343" s="242"/>
      <c r="N343" s="269"/>
      <c r="O343" s="269"/>
      <c r="P343" s="266"/>
      <c r="Q343" s="285"/>
      <c r="R343" s="1005"/>
      <c r="S343" s="321"/>
      <c r="T343" s="1428"/>
      <c r="U343" s="330"/>
      <c r="V343" s="321"/>
      <c r="W343" s="18">
        <f t="shared" si="100"/>
        <v>448800</v>
      </c>
      <c r="X343" s="47">
        <f t="shared" si="101"/>
        <v>448800</v>
      </c>
      <c r="Y343" s="324" t="s">
        <v>87</v>
      </c>
      <c r="Z343" s="296">
        <v>0</v>
      </c>
      <c r="AA343" s="1429">
        <v>0.01</v>
      </c>
      <c r="AB343" s="416">
        <f>+Z343*AA343/100</f>
        <v>0</v>
      </c>
      <c r="AC343" s="732"/>
      <c r="AD343" s="603"/>
      <c r="AE343" s="603"/>
      <c r="AF343" s="603"/>
    </row>
    <row r="344" spans="1:32" s="457" customFormat="1" ht="18" customHeight="1" x14ac:dyDescent="0.25">
      <c r="A344" s="241">
        <v>3</v>
      </c>
      <c r="B344" s="255">
        <v>2681</v>
      </c>
      <c r="C344" s="334" t="s">
        <v>160</v>
      </c>
      <c r="D344" s="15" t="s">
        <v>86</v>
      </c>
      <c r="E344" s="287">
        <v>2</v>
      </c>
      <c r="F344" s="709">
        <v>0</v>
      </c>
      <c r="G344" s="255">
        <v>3</v>
      </c>
      <c r="H344" s="848">
        <v>44</v>
      </c>
      <c r="I344" s="77">
        <f t="shared" si="98"/>
        <v>344</v>
      </c>
      <c r="J344" s="306">
        <v>1100</v>
      </c>
      <c r="K344" s="297">
        <f t="shared" si="99"/>
        <v>378400</v>
      </c>
      <c r="L344" s="102">
        <v>1</v>
      </c>
      <c r="M344" s="102">
        <v>100</v>
      </c>
      <c r="N344" s="102" t="s">
        <v>82</v>
      </c>
      <c r="O344" s="102">
        <v>2</v>
      </c>
      <c r="P344" s="1281">
        <v>30.16</v>
      </c>
      <c r="Q344" s="909" t="s">
        <v>75</v>
      </c>
      <c r="R344" s="998">
        <v>7700</v>
      </c>
      <c r="S344" s="47">
        <f t="shared" ref="S344:S352" si="102">+P344*R344</f>
        <v>232232</v>
      </c>
      <c r="T344" s="1829">
        <v>5</v>
      </c>
      <c r="U344" s="1670">
        <f t="shared" ref="U344:U352" si="103">+S344*0.15</f>
        <v>34834.799999999996</v>
      </c>
      <c r="V344" s="18">
        <f t="shared" ref="V344:V352" si="104">+S344-U344</f>
        <v>197397.2</v>
      </c>
      <c r="W344" s="18">
        <f t="shared" si="100"/>
        <v>575797.19999999995</v>
      </c>
      <c r="X344" s="47">
        <f t="shared" si="101"/>
        <v>575797.19999999995</v>
      </c>
      <c r="Y344" s="953">
        <v>0</v>
      </c>
      <c r="Z344" s="296">
        <f t="shared" ref="Z344:Z354" si="105">X344</f>
        <v>575797.19999999995</v>
      </c>
      <c r="AA344" s="952">
        <v>0.02</v>
      </c>
      <c r="AB344" s="415">
        <v>0</v>
      </c>
      <c r="AC344" s="350"/>
      <c r="AD344" s="350"/>
      <c r="AE344" s="350"/>
      <c r="AF344" s="350"/>
    </row>
    <row r="345" spans="1:32" s="457" customFormat="1" ht="18" customHeight="1" x14ac:dyDescent="0.25">
      <c r="A345" s="242"/>
      <c r="B345" s="255"/>
      <c r="C345" s="334"/>
      <c r="D345" s="270"/>
      <c r="E345" s="289"/>
      <c r="F345" s="288"/>
      <c r="G345" s="712"/>
      <c r="H345" s="1127"/>
      <c r="I345" s="77">
        <f t="shared" si="98"/>
        <v>0</v>
      </c>
      <c r="J345" s="1008"/>
      <c r="K345" s="297">
        <f t="shared" si="99"/>
        <v>0</v>
      </c>
      <c r="L345" s="1324">
        <v>2</v>
      </c>
      <c r="M345" s="1324">
        <v>100</v>
      </c>
      <c r="N345" s="1324" t="s">
        <v>165</v>
      </c>
      <c r="O345" s="1324">
        <v>2</v>
      </c>
      <c r="P345" s="1325">
        <v>25.375</v>
      </c>
      <c r="Q345" s="1327" t="s">
        <v>75</v>
      </c>
      <c r="R345" s="1430">
        <v>7700</v>
      </c>
      <c r="S345" s="47">
        <f t="shared" si="102"/>
        <v>195387.5</v>
      </c>
      <c r="T345" s="1830">
        <v>5</v>
      </c>
      <c r="U345" s="1670">
        <f t="shared" si="103"/>
        <v>29308.125</v>
      </c>
      <c r="V345" s="18">
        <f t="shared" si="104"/>
        <v>166079.375</v>
      </c>
      <c r="W345" s="18">
        <f t="shared" si="100"/>
        <v>166079.375</v>
      </c>
      <c r="X345" s="47">
        <f t="shared" si="101"/>
        <v>166079.375</v>
      </c>
      <c r="Y345" s="1431">
        <v>0</v>
      </c>
      <c r="Z345" s="296">
        <f t="shared" si="105"/>
        <v>166079.375</v>
      </c>
      <c r="AA345" s="1432">
        <v>0.02</v>
      </c>
      <c r="AB345" s="415">
        <v>0</v>
      </c>
      <c r="AC345" s="350"/>
      <c r="AD345" s="350"/>
      <c r="AE345" s="350"/>
      <c r="AF345" s="350"/>
    </row>
    <row r="346" spans="1:32" s="457" customFormat="1" ht="18" customHeight="1" x14ac:dyDescent="0.25">
      <c r="A346" s="242">
        <v>4</v>
      </c>
      <c r="B346" s="269">
        <v>2675</v>
      </c>
      <c r="C346" s="1084" t="s">
        <v>166</v>
      </c>
      <c r="D346" s="804" t="s">
        <v>86</v>
      </c>
      <c r="E346" s="273">
        <v>2</v>
      </c>
      <c r="F346" s="268">
        <v>0</v>
      </c>
      <c r="G346" s="269">
        <v>2</v>
      </c>
      <c r="H346" s="266">
        <v>60</v>
      </c>
      <c r="I346" s="77">
        <f t="shared" si="98"/>
        <v>260</v>
      </c>
      <c r="J346" s="305">
        <v>1300</v>
      </c>
      <c r="K346" s="297">
        <f t="shared" si="99"/>
        <v>338000</v>
      </c>
      <c r="L346" s="269">
        <v>3</v>
      </c>
      <c r="M346" s="242">
        <v>100</v>
      </c>
      <c r="N346" s="269" t="s">
        <v>82</v>
      </c>
      <c r="O346" s="269">
        <v>2</v>
      </c>
      <c r="P346" s="266">
        <v>31.919999999999998</v>
      </c>
      <c r="Q346" s="285" t="s">
        <v>75</v>
      </c>
      <c r="R346" s="1005">
        <v>7700</v>
      </c>
      <c r="S346" s="47">
        <f t="shared" si="102"/>
        <v>245784</v>
      </c>
      <c r="T346" s="1822">
        <v>5</v>
      </c>
      <c r="U346" s="1670">
        <f t="shared" si="103"/>
        <v>36867.599999999999</v>
      </c>
      <c r="V346" s="18">
        <f t="shared" si="104"/>
        <v>208916.4</v>
      </c>
      <c r="W346" s="18">
        <f t="shared" si="100"/>
        <v>546916.4</v>
      </c>
      <c r="X346" s="47">
        <f t="shared" si="101"/>
        <v>546916.4</v>
      </c>
      <c r="Y346" s="1321">
        <v>0</v>
      </c>
      <c r="Z346" s="296">
        <f t="shared" si="105"/>
        <v>546916.4</v>
      </c>
      <c r="AA346" s="894">
        <v>0.02</v>
      </c>
      <c r="AB346" s="415">
        <v>0</v>
      </c>
      <c r="AC346" s="350"/>
      <c r="AD346" s="350"/>
      <c r="AE346" s="350"/>
      <c r="AF346" s="350"/>
    </row>
    <row r="347" spans="1:32" s="457" customFormat="1" ht="18" customHeight="1" x14ac:dyDescent="0.25">
      <c r="A347" s="242"/>
      <c r="B347" s="269"/>
      <c r="C347" s="1084"/>
      <c r="D347" s="1433"/>
      <c r="E347" s="287"/>
      <c r="F347" s="709"/>
      <c r="G347" s="255"/>
      <c r="H347" s="848"/>
      <c r="I347" s="296"/>
      <c r="J347" s="306"/>
      <c r="K347" s="297"/>
      <c r="L347" s="255">
        <v>4</v>
      </c>
      <c r="M347" s="241">
        <v>100</v>
      </c>
      <c r="N347" s="255" t="s">
        <v>82</v>
      </c>
      <c r="O347" s="255">
        <v>2</v>
      </c>
      <c r="P347" s="848">
        <v>31.8</v>
      </c>
      <c r="Q347" s="334" t="s">
        <v>75</v>
      </c>
      <c r="R347" s="702">
        <v>7700</v>
      </c>
      <c r="S347" s="47">
        <f t="shared" si="102"/>
        <v>244860</v>
      </c>
      <c r="T347" s="1829">
        <v>5</v>
      </c>
      <c r="U347" s="1670">
        <f t="shared" si="103"/>
        <v>36729</v>
      </c>
      <c r="V347" s="18">
        <f t="shared" si="104"/>
        <v>208131</v>
      </c>
      <c r="W347" s="18">
        <f t="shared" si="100"/>
        <v>208131</v>
      </c>
      <c r="X347" s="47">
        <f t="shared" si="101"/>
        <v>208131</v>
      </c>
      <c r="Y347" s="1321">
        <v>0</v>
      </c>
      <c r="Z347" s="296">
        <f t="shared" si="105"/>
        <v>208131</v>
      </c>
      <c r="AA347" s="1432">
        <v>0.02</v>
      </c>
      <c r="AB347" s="415">
        <v>0</v>
      </c>
      <c r="AC347" s="350"/>
      <c r="AD347" s="350"/>
      <c r="AE347" s="350"/>
      <c r="AF347" s="350"/>
    </row>
    <row r="348" spans="1:32" s="457" customFormat="1" ht="18" customHeight="1" x14ac:dyDescent="0.25">
      <c r="A348" s="242"/>
      <c r="B348" s="269"/>
      <c r="C348" s="285"/>
      <c r="D348" s="273"/>
      <c r="E348" s="273"/>
      <c r="F348" s="268"/>
      <c r="G348" s="269"/>
      <c r="H348" s="266"/>
      <c r="I348" s="296"/>
      <c r="J348" s="306"/>
      <c r="K348" s="297"/>
      <c r="L348" s="269">
        <v>5</v>
      </c>
      <c r="M348" s="242">
        <v>100</v>
      </c>
      <c r="N348" s="269" t="s">
        <v>82</v>
      </c>
      <c r="O348" s="269">
        <v>2</v>
      </c>
      <c r="P348" s="266">
        <v>33.5</v>
      </c>
      <c r="Q348" s="285" t="s">
        <v>75</v>
      </c>
      <c r="R348" s="1005">
        <v>7700</v>
      </c>
      <c r="S348" s="47">
        <f t="shared" si="102"/>
        <v>257950</v>
      </c>
      <c r="T348" s="1831">
        <v>5</v>
      </c>
      <c r="U348" s="1670">
        <f t="shared" si="103"/>
        <v>38692.5</v>
      </c>
      <c r="V348" s="18">
        <f t="shared" si="104"/>
        <v>219257.5</v>
      </c>
      <c r="W348" s="18">
        <f t="shared" si="100"/>
        <v>219257.5</v>
      </c>
      <c r="X348" s="47">
        <f t="shared" si="101"/>
        <v>219257.5</v>
      </c>
      <c r="Y348" s="1321">
        <v>0</v>
      </c>
      <c r="Z348" s="296">
        <f t="shared" si="105"/>
        <v>219257.5</v>
      </c>
      <c r="AA348" s="891">
        <v>0.02</v>
      </c>
      <c r="AB348" s="415">
        <v>0</v>
      </c>
      <c r="AC348" s="350"/>
      <c r="AD348" s="350"/>
      <c r="AE348" s="350"/>
      <c r="AF348" s="350"/>
    </row>
    <row r="349" spans="1:32" s="457" customFormat="1" ht="18" customHeight="1" x14ac:dyDescent="0.25">
      <c r="A349" s="242"/>
      <c r="B349" s="269"/>
      <c r="C349" s="285"/>
      <c r="D349" s="273"/>
      <c r="E349" s="273"/>
      <c r="F349" s="268"/>
      <c r="G349" s="269"/>
      <c r="H349" s="266"/>
      <c r="I349" s="296"/>
      <c r="J349" s="306"/>
      <c r="K349" s="297"/>
      <c r="L349" s="269">
        <v>6</v>
      </c>
      <c r="M349" s="242">
        <v>504</v>
      </c>
      <c r="N349" s="269" t="s">
        <v>82</v>
      </c>
      <c r="O349" s="269">
        <v>2</v>
      </c>
      <c r="P349" s="1006">
        <v>46.75</v>
      </c>
      <c r="Q349" s="285" t="s">
        <v>75</v>
      </c>
      <c r="R349" s="1005">
        <v>7700</v>
      </c>
      <c r="S349" s="47">
        <f t="shared" si="102"/>
        <v>359975</v>
      </c>
      <c r="T349" s="1829">
        <v>5</v>
      </c>
      <c r="U349" s="1670">
        <f t="shared" si="103"/>
        <v>53996.25</v>
      </c>
      <c r="V349" s="18">
        <f t="shared" si="104"/>
        <v>305978.75</v>
      </c>
      <c r="W349" s="18">
        <f t="shared" si="100"/>
        <v>305978.75</v>
      </c>
      <c r="X349" s="47">
        <f t="shared" si="101"/>
        <v>305978.75</v>
      </c>
      <c r="Y349" s="1321">
        <v>0</v>
      </c>
      <c r="Z349" s="296">
        <f t="shared" si="105"/>
        <v>305978.75</v>
      </c>
      <c r="AA349" s="891">
        <v>0.02</v>
      </c>
      <c r="AB349" s="415">
        <v>0</v>
      </c>
      <c r="AC349" s="350"/>
      <c r="AD349" s="350"/>
      <c r="AE349" s="350"/>
      <c r="AF349" s="350"/>
    </row>
    <row r="350" spans="1:32" s="457" customFormat="1" ht="18" customHeight="1" x14ac:dyDescent="0.25">
      <c r="A350" s="242"/>
      <c r="B350" s="269"/>
      <c r="C350" s="285"/>
      <c r="D350" s="273"/>
      <c r="E350" s="273"/>
      <c r="F350" s="268"/>
      <c r="G350" s="269"/>
      <c r="H350" s="266"/>
      <c r="I350" s="296"/>
      <c r="J350" s="306"/>
      <c r="K350" s="297"/>
      <c r="L350" s="269">
        <v>7</v>
      </c>
      <c r="M350" s="242">
        <v>100</v>
      </c>
      <c r="N350" s="269" t="s">
        <v>82</v>
      </c>
      <c r="O350" s="269">
        <v>2</v>
      </c>
      <c r="P350" s="266">
        <v>34.700000000000003</v>
      </c>
      <c r="Q350" s="285" t="s">
        <v>75</v>
      </c>
      <c r="R350" s="1005">
        <v>7700</v>
      </c>
      <c r="S350" s="47">
        <f t="shared" si="102"/>
        <v>267190</v>
      </c>
      <c r="T350" s="1831">
        <v>5</v>
      </c>
      <c r="U350" s="1670">
        <f t="shared" si="103"/>
        <v>40078.5</v>
      </c>
      <c r="V350" s="18">
        <f t="shared" si="104"/>
        <v>227111.5</v>
      </c>
      <c r="W350" s="18">
        <f t="shared" si="100"/>
        <v>227111.5</v>
      </c>
      <c r="X350" s="47">
        <f t="shared" si="101"/>
        <v>227111.5</v>
      </c>
      <c r="Y350" s="1321">
        <v>0</v>
      </c>
      <c r="Z350" s="296">
        <f t="shared" si="105"/>
        <v>227111.5</v>
      </c>
      <c r="AA350" s="891">
        <v>0.02</v>
      </c>
      <c r="AB350" s="415">
        <v>0</v>
      </c>
      <c r="AC350" s="350"/>
      <c r="AD350" s="350"/>
      <c r="AE350" s="350"/>
      <c r="AF350" s="350"/>
    </row>
    <row r="351" spans="1:32" s="457" customFormat="1" ht="18" customHeight="1" x14ac:dyDescent="0.25">
      <c r="A351" s="242"/>
      <c r="B351" s="269"/>
      <c r="C351" s="285"/>
      <c r="D351" s="273"/>
      <c r="E351" s="273"/>
      <c r="F351" s="268"/>
      <c r="G351" s="269"/>
      <c r="H351" s="266"/>
      <c r="I351" s="296"/>
      <c r="J351" s="306"/>
      <c r="K351" s="297"/>
      <c r="L351" s="269">
        <v>8</v>
      </c>
      <c r="M351" s="242">
        <v>100</v>
      </c>
      <c r="N351" s="269" t="s">
        <v>82</v>
      </c>
      <c r="O351" s="269">
        <v>2</v>
      </c>
      <c r="P351" s="266">
        <v>48</v>
      </c>
      <c r="Q351" s="285" t="s">
        <v>75</v>
      </c>
      <c r="R351" s="1005">
        <v>7700</v>
      </c>
      <c r="S351" s="47">
        <f t="shared" si="102"/>
        <v>369600</v>
      </c>
      <c r="T351" s="1829">
        <v>5</v>
      </c>
      <c r="U351" s="1670">
        <f t="shared" si="103"/>
        <v>55440</v>
      </c>
      <c r="V351" s="18">
        <f t="shared" si="104"/>
        <v>314160</v>
      </c>
      <c r="W351" s="18">
        <f t="shared" si="100"/>
        <v>314160</v>
      </c>
      <c r="X351" s="47">
        <f t="shared" si="101"/>
        <v>314160</v>
      </c>
      <c r="Y351" s="1321">
        <v>0</v>
      </c>
      <c r="Z351" s="296">
        <f t="shared" si="105"/>
        <v>314160</v>
      </c>
      <c r="AA351" s="891">
        <v>0.02</v>
      </c>
      <c r="AB351" s="415">
        <v>0</v>
      </c>
      <c r="AC351" s="350"/>
      <c r="AD351" s="350"/>
      <c r="AE351" s="350"/>
      <c r="AF351" s="350"/>
    </row>
    <row r="352" spans="1:32" s="457" customFormat="1" ht="18" customHeight="1" x14ac:dyDescent="0.25">
      <c r="A352" s="242"/>
      <c r="B352" s="269"/>
      <c r="C352" s="285"/>
      <c r="D352" s="273"/>
      <c r="E352" s="273"/>
      <c r="F352" s="268"/>
      <c r="G352" s="269"/>
      <c r="H352" s="266"/>
      <c r="I352" s="296"/>
      <c r="J352" s="306"/>
      <c r="K352" s="297"/>
      <c r="L352" s="269">
        <v>9</v>
      </c>
      <c r="M352" s="242">
        <v>100</v>
      </c>
      <c r="N352" s="269" t="s">
        <v>82</v>
      </c>
      <c r="O352" s="269">
        <v>2</v>
      </c>
      <c r="P352" s="266">
        <v>52.64</v>
      </c>
      <c r="Q352" s="285" t="s">
        <v>75</v>
      </c>
      <c r="R352" s="1005">
        <v>7700</v>
      </c>
      <c r="S352" s="47">
        <f t="shared" si="102"/>
        <v>405328</v>
      </c>
      <c r="T352" s="1627">
        <v>5</v>
      </c>
      <c r="U352" s="1670">
        <f t="shared" si="103"/>
        <v>60799.199999999997</v>
      </c>
      <c r="V352" s="18">
        <f t="shared" si="104"/>
        <v>344528.8</v>
      </c>
      <c r="W352" s="18">
        <f t="shared" si="100"/>
        <v>344528.8</v>
      </c>
      <c r="X352" s="47">
        <f t="shared" si="101"/>
        <v>344528.8</v>
      </c>
      <c r="Y352" s="1321">
        <v>0</v>
      </c>
      <c r="Z352" s="296">
        <f t="shared" si="105"/>
        <v>344528.8</v>
      </c>
      <c r="AA352" s="891">
        <v>0.02</v>
      </c>
      <c r="AB352" s="415">
        <v>0</v>
      </c>
      <c r="AC352" s="350"/>
      <c r="AD352" s="350"/>
      <c r="AE352" s="350"/>
      <c r="AF352" s="350"/>
    </row>
    <row r="353" spans="1:32" s="457" customFormat="1" ht="18" customHeight="1" x14ac:dyDescent="0.25">
      <c r="A353" s="242">
        <v>5</v>
      </c>
      <c r="B353" s="269">
        <v>29512</v>
      </c>
      <c r="C353" s="285" t="s">
        <v>169</v>
      </c>
      <c r="D353" s="273" t="s">
        <v>149</v>
      </c>
      <c r="E353" s="273">
        <v>1</v>
      </c>
      <c r="F353" s="268">
        <v>0</v>
      </c>
      <c r="G353" s="269">
        <v>1</v>
      </c>
      <c r="H353" s="266">
        <v>88</v>
      </c>
      <c r="I353" s="77">
        <f t="shared" ref="I353:I354" si="106">F353*400+G353*100+H353</f>
        <v>188</v>
      </c>
      <c r="J353" s="306">
        <v>2300</v>
      </c>
      <c r="K353" s="297">
        <f t="shared" ref="K353:K354" si="107">I353*J353</f>
        <v>432400</v>
      </c>
      <c r="L353" s="269"/>
      <c r="M353" s="242"/>
      <c r="N353" s="269"/>
      <c r="O353" s="269"/>
      <c r="P353" s="266"/>
      <c r="Q353" s="285"/>
      <c r="R353" s="1005"/>
      <c r="S353" s="321"/>
      <c r="T353" s="1627"/>
      <c r="U353" s="1626"/>
      <c r="V353" s="321"/>
      <c r="W353" s="18">
        <f t="shared" si="100"/>
        <v>432400</v>
      </c>
      <c r="X353" s="47">
        <f t="shared" si="101"/>
        <v>432400</v>
      </c>
      <c r="Y353" s="324" t="s">
        <v>87</v>
      </c>
      <c r="Z353" s="296">
        <v>0</v>
      </c>
      <c r="AA353" s="891">
        <v>0.01</v>
      </c>
      <c r="AB353" s="410">
        <v>0</v>
      </c>
      <c r="AC353" s="350"/>
      <c r="AD353" s="350"/>
      <c r="AE353" s="350"/>
      <c r="AF353" s="350"/>
    </row>
    <row r="354" spans="1:32" s="457" customFormat="1" ht="18" customHeight="1" x14ac:dyDescent="0.25">
      <c r="A354" s="85">
        <v>6</v>
      </c>
      <c r="B354" s="273">
        <v>26489</v>
      </c>
      <c r="C354" s="1084" t="s">
        <v>170</v>
      </c>
      <c r="D354" s="273" t="s">
        <v>149</v>
      </c>
      <c r="E354" s="273">
        <v>4</v>
      </c>
      <c r="F354" s="273">
        <v>0</v>
      </c>
      <c r="G354" s="273">
        <v>1</v>
      </c>
      <c r="H354" s="1006">
        <v>21</v>
      </c>
      <c r="I354" s="77">
        <f t="shared" si="106"/>
        <v>121</v>
      </c>
      <c r="J354" s="305">
        <v>1100</v>
      </c>
      <c r="K354" s="297">
        <f t="shared" si="107"/>
        <v>133100</v>
      </c>
      <c r="L354" s="273"/>
      <c r="M354" s="85"/>
      <c r="N354" s="273"/>
      <c r="O354" s="988"/>
      <c r="P354" s="1006"/>
      <c r="Q354" s="1084"/>
      <c r="R354" s="1434"/>
      <c r="S354" s="324"/>
      <c r="T354" s="1435"/>
      <c r="U354" s="324"/>
      <c r="V354" s="1076"/>
      <c r="W354" s="18">
        <f t="shared" si="100"/>
        <v>133100</v>
      </c>
      <c r="X354" s="47">
        <f t="shared" si="101"/>
        <v>133100</v>
      </c>
      <c r="Y354" s="324">
        <v>0</v>
      </c>
      <c r="Z354" s="296">
        <f t="shared" si="105"/>
        <v>133100</v>
      </c>
      <c r="AA354" s="891">
        <v>0.3</v>
      </c>
      <c r="AB354" s="466">
        <f>+Z354*AA354/100</f>
        <v>399.3</v>
      </c>
      <c r="AC354" s="350"/>
      <c r="AD354" s="350"/>
      <c r="AE354" s="350"/>
      <c r="AF354" s="350"/>
    </row>
    <row r="355" spans="1:32" s="457" customFormat="1" ht="18" customHeight="1" x14ac:dyDescent="0.2">
      <c r="A355" s="145"/>
      <c r="B355" s="177"/>
      <c r="C355" s="177"/>
      <c r="D355" s="145"/>
      <c r="E355" s="145"/>
      <c r="F355" s="145"/>
      <c r="G355" s="145"/>
      <c r="H355" s="147"/>
      <c r="I355" s="107"/>
      <c r="J355" s="178"/>
      <c r="K355" s="107"/>
      <c r="L355" s="145"/>
      <c r="M355" s="145"/>
      <c r="N355" s="145"/>
      <c r="O355" s="145"/>
      <c r="P355" s="147"/>
      <c r="Q355" s="148"/>
      <c r="R355" s="437"/>
      <c r="S355" s="107"/>
      <c r="T355" s="179"/>
      <c r="U355" s="178"/>
      <c r="V355" s="107"/>
      <c r="W355" s="107"/>
      <c r="X355" s="470"/>
      <c r="Y355" s="470"/>
      <c r="Z355" s="471"/>
      <c r="AA355" s="471"/>
      <c r="AB355" s="466"/>
      <c r="AC355" s="350"/>
      <c r="AD355" s="350"/>
      <c r="AE355" s="350"/>
      <c r="AF355" s="350"/>
    </row>
    <row r="356" spans="1:32" s="457" customFormat="1" ht="18" customHeight="1" x14ac:dyDescent="0.2">
      <c r="A356" s="145"/>
      <c r="B356" s="177"/>
      <c r="C356" s="177"/>
      <c r="D356" s="145"/>
      <c r="E356" s="145"/>
      <c r="F356" s="145"/>
      <c r="G356" s="145"/>
      <c r="H356" s="147"/>
      <c r="I356" s="107"/>
      <c r="J356" s="178"/>
      <c r="K356" s="107"/>
      <c r="L356" s="145"/>
      <c r="M356" s="145"/>
      <c r="N356" s="145"/>
      <c r="O356" s="145"/>
      <c r="P356" s="147"/>
      <c r="Q356" s="148"/>
      <c r="R356" s="437"/>
      <c r="S356" s="107"/>
      <c r="T356" s="179"/>
      <c r="U356" s="178"/>
      <c r="V356" s="107"/>
      <c r="W356" s="107"/>
      <c r="X356" s="470"/>
      <c r="Y356" s="470"/>
      <c r="Z356" s="471"/>
      <c r="AA356" s="471"/>
      <c r="AB356" s="466"/>
      <c r="AC356" s="350"/>
      <c r="AD356" s="350"/>
      <c r="AE356" s="350"/>
      <c r="AF356" s="350"/>
    </row>
    <row r="357" spans="1:32" s="457" customFormat="1" ht="18" customHeight="1" x14ac:dyDescent="0.2">
      <c r="A357" s="183"/>
      <c r="B357" s="183"/>
      <c r="C357" s="183"/>
      <c r="D357" s="183"/>
      <c r="E357" s="183"/>
      <c r="F357" s="183"/>
      <c r="G357" s="183"/>
      <c r="H357" s="184"/>
      <c r="I357" s="185"/>
      <c r="J357" s="186"/>
      <c r="K357" s="185"/>
      <c r="L357" s="185"/>
      <c r="M357" s="185"/>
      <c r="N357" s="185"/>
      <c r="O357" s="185"/>
      <c r="P357" s="185"/>
      <c r="Q357" s="185"/>
      <c r="R357" s="438"/>
      <c r="S357" s="185"/>
      <c r="T357" s="187"/>
      <c r="U357" s="186"/>
      <c r="V357" s="185"/>
      <c r="W357" s="185"/>
      <c r="X357" s="474"/>
      <c r="Y357" s="474"/>
      <c r="Z357" s="475"/>
      <c r="AA357" s="475"/>
      <c r="AB357" s="1847">
        <f>SUM(AB342:AB356)</f>
        <v>399.3</v>
      </c>
      <c r="AC357" s="349"/>
      <c r="AD357" s="349"/>
      <c r="AE357" s="349"/>
      <c r="AF357" s="349"/>
    </row>
    <row r="358" spans="1:32" s="457" customFormat="1" ht="18" customHeight="1" x14ac:dyDescent="0.2">
      <c r="A358" s="2737" t="s">
        <v>76</v>
      </c>
      <c r="B358" s="2737"/>
      <c r="C358" s="2738" t="s">
        <v>77</v>
      </c>
      <c r="D358" s="2738"/>
      <c r="E358" s="2738"/>
      <c r="F358" s="2738"/>
      <c r="G358" s="2738"/>
      <c r="H358" s="2738"/>
      <c r="I358" s="457" t="s">
        <v>78</v>
      </c>
      <c r="AB358" s="478"/>
    </row>
    <row r="359" spans="1:32" s="457" customFormat="1" ht="18" customHeight="1" x14ac:dyDescent="0.2">
      <c r="B359" s="479"/>
      <c r="I359" s="457" t="s">
        <v>79</v>
      </c>
      <c r="AB359" s="478"/>
    </row>
    <row r="360" spans="1:32" s="457" customFormat="1" ht="18" customHeight="1" x14ac:dyDescent="0.2">
      <c r="B360" s="479"/>
      <c r="I360" s="457" t="s">
        <v>80</v>
      </c>
      <c r="AB360" s="478"/>
    </row>
    <row r="361" spans="1:32" s="457" customFormat="1" ht="18" customHeight="1" x14ac:dyDescent="0.2">
      <c r="B361" s="479"/>
      <c r="I361" s="457" t="s">
        <v>81</v>
      </c>
      <c r="AB361" s="478"/>
    </row>
    <row r="362" spans="1:32" s="457" customFormat="1" ht="18" customHeight="1" x14ac:dyDescent="0.2">
      <c r="B362" s="479"/>
      <c r="I362" s="457" t="s">
        <v>88</v>
      </c>
      <c r="AB362" s="478"/>
    </row>
    <row r="363" spans="1:32" s="457" customFormat="1" ht="18" customHeight="1" x14ac:dyDescent="0.2">
      <c r="A363" s="455"/>
      <c r="B363" s="455"/>
      <c r="C363" s="455"/>
      <c r="D363" s="455"/>
      <c r="E363" s="455"/>
      <c r="F363" s="455"/>
      <c r="G363" s="455"/>
      <c r="H363" s="455"/>
      <c r="I363" s="455"/>
      <c r="J363" s="455"/>
      <c r="K363" s="455"/>
      <c r="L363" s="455"/>
      <c r="M363" s="455"/>
      <c r="N363" s="455"/>
      <c r="O363" s="455"/>
      <c r="P363" s="455"/>
      <c r="Q363" s="455"/>
      <c r="R363" s="455"/>
      <c r="S363" s="455"/>
      <c r="T363" s="455"/>
      <c r="U363" s="455"/>
      <c r="V363" s="455"/>
      <c r="W363" s="455"/>
      <c r="X363" s="455"/>
      <c r="Y363" s="455"/>
      <c r="Z363" s="455"/>
      <c r="AA363" s="2705" t="s">
        <v>0</v>
      </c>
      <c r="AB363" s="2705"/>
      <c r="AC363" s="455"/>
      <c r="AD363" s="455"/>
      <c r="AE363" s="455"/>
      <c r="AF363" s="455"/>
    </row>
    <row r="364" spans="1:32" s="457" customFormat="1" ht="18" customHeight="1" x14ac:dyDescent="0.2">
      <c r="A364" s="2706" t="s">
        <v>1</v>
      </c>
      <c r="B364" s="2706"/>
      <c r="C364" s="2706"/>
      <c r="D364" s="2706"/>
      <c r="E364" s="2706"/>
      <c r="F364" s="2706"/>
      <c r="G364" s="2706"/>
      <c r="H364" s="2706"/>
      <c r="I364" s="2706"/>
      <c r="J364" s="2706"/>
      <c r="K364" s="2706"/>
      <c r="L364" s="2706"/>
      <c r="M364" s="2706"/>
      <c r="N364" s="2706"/>
      <c r="O364" s="2706"/>
      <c r="P364" s="2706"/>
      <c r="Q364" s="2706"/>
      <c r="R364" s="2706"/>
      <c r="S364" s="2706"/>
      <c r="T364" s="2706"/>
      <c r="U364" s="2706"/>
      <c r="V364" s="2706"/>
      <c r="W364" s="2706"/>
      <c r="X364" s="2706"/>
      <c r="Y364" s="2706"/>
      <c r="Z364" s="2706"/>
      <c r="AA364" s="2706"/>
      <c r="AB364" s="2706"/>
      <c r="AC364" s="610"/>
      <c r="AD364" s="610"/>
      <c r="AE364" s="610"/>
      <c r="AF364" s="610"/>
    </row>
    <row r="365" spans="1:32" s="457" customFormat="1" ht="18" customHeight="1" x14ac:dyDescent="0.2">
      <c r="A365" s="2704" t="s">
        <v>380</v>
      </c>
      <c r="B365" s="2704"/>
      <c r="C365" s="2704"/>
      <c r="D365" s="2704"/>
      <c r="E365" s="2704"/>
      <c r="F365" s="2704"/>
      <c r="G365" s="2704"/>
      <c r="H365" s="2704"/>
      <c r="I365" s="2704"/>
      <c r="J365" s="2704"/>
      <c r="K365" s="2704"/>
      <c r="L365" s="2704"/>
      <c r="M365" s="2704"/>
      <c r="N365" s="2704"/>
      <c r="O365" s="2704"/>
      <c r="P365" s="2704"/>
      <c r="Q365" s="2704"/>
      <c r="R365" s="2704"/>
      <c r="S365" s="2704"/>
      <c r="T365" s="2704"/>
      <c r="U365" s="2704"/>
      <c r="V365" s="2704"/>
      <c r="W365" s="2704"/>
      <c r="X365" s="2704"/>
      <c r="Y365" s="2704"/>
      <c r="Z365" s="2704"/>
      <c r="AA365" s="2704"/>
      <c r="AB365" s="2704"/>
      <c r="AC365" s="611"/>
      <c r="AD365" s="611"/>
      <c r="AE365" s="611"/>
      <c r="AF365" s="611"/>
    </row>
    <row r="366" spans="1:32" s="457" customFormat="1" ht="18" customHeight="1" x14ac:dyDescent="0.2">
      <c r="A366" s="2686" t="s">
        <v>2</v>
      </c>
      <c r="B366" s="360"/>
      <c r="C366" s="2686" t="s">
        <v>3</v>
      </c>
      <c r="D366" s="360"/>
      <c r="E366" s="360"/>
      <c r="F366" s="2693" t="s">
        <v>4</v>
      </c>
      <c r="G366" s="2693"/>
      <c r="H366" s="2693"/>
      <c r="I366" s="2694"/>
      <c r="J366" s="2694"/>
      <c r="K366" s="2695"/>
      <c r="L366" s="361"/>
      <c r="M366" s="2679" t="s">
        <v>5</v>
      </c>
      <c r="N366" s="2679"/>
      <c r="O366" s="2679"/>
      <c r="P366" s="2679"/>
      <c r="Q366" s="2696"/>
      <c r="R366" s="2696"/>
      <c r="S366" s="2696"/>
      <c r="T366" s="2696"/>
      <c r="U366" s="2696"/>
      <c r="V366" s="2697"/>
      <c r="W366" s="362" t="s">
        <v>6</v>
      </c>
      <c r="X366" s="363" t="s">
        <v>7</v>
      </c>
      <c r="Y366" s="364"/>
      <c r="Z366" s="364"/>
      <c r="AA366" s="363"/>
      <c r="AB366" s="458"/>
      <c r="AC366" s="612" t="s">
        <v>8</v>
      </c>
      <c r="AD366" s="613"/>
      <c r="AE366" s="613"/>
      <c r="AF366" s="614"/>
    </row>
    <row r="367" spans="1:32" s="457" customFormat="1" ht="18" customHeight="1" x14ac:dyDescent="0.2">
      <c r="A367" s="2687"/>
      <c r="B367" s="367"/>
      <c r="C367" s="2687"/>
      <c r="D367" s="366" t="s">
        <v>9</v>
      </c>
      <c r="E367" s="366" t="s">
        <v>10</v>
      </c>
      <c r="F367" s="2698" t="s">
        <v>11</v>
      </c>
      <c r="G367" s="2694"/>
      <c r="H367" s="2695"/>
      <c r="I367" s="360"/>
      <c r="J367" s="449" t="s">
        <v>12</v>
      </c>
      <c r="K367" s="360"/>
      <c r="L367" s="2679" t="s">
        <v>2</v>
      </c>
      <c r="M367" s="370"/>
      <c r="N367" s="370"/>
      <c r="O367" s="370"/>
      <c r="P367" s="371"/>
      <c r="Q367" s="459" t="s">
        <v>13</v>
      </c>
      <c r="R367" s="370" t="s">
        <v>12</v>
      </c>
      <c r="S367" s="370" t="s">
        <v>6</v>
      </c>
      <c r="T367" s="2682" t="s">
        <v>14</v>
      </c>
      <c r="U367" s="2683"/>
      <c r="V367" s="375" t="s">
        <v>7</v>
      </c>
      <c r="W367" s="376" t="s">
        <v>15</v>
      </c>
      <c r="X367" s="377" t="s">
        <v>16</v>
      </c>
      <c r="Y367" s="377" t="s">
        <v>17</v>
      </c>
      <c r="Z367" s="377" t="s">
        <v>18</v>
      </c>
      <c r="AA367" s="377"/>
      <c r="AB367" s="460" t="s">
        <v>19</v>
      </c>
      <c r="AC367" s="615" t="s">
        <v>20</v>
      </c>
      <c r="AD367" s="616"/>
      <c r="AE367" s="617" t="s">
        <v>21</v>
      </c>
      <c r="AF367" s="618" t="s">
        <v>22</v>
      </c>
    </row>
    <row r="368" spans="1:32" s="457" customFormat="1" ht="18" customHeight="1" x14ac:dyDescent="0.2">
      <c r="A368" s="2687"/>
      <c r="B368" s="366" t="s">
        <v>23</v>
      </c>
      <c r="C368" s="2687"/>
      <c r="D368" s="366" t="s">
        <v>24</v>
      </c>
      <c r="E368" s="366" t="s">
        <v>25</v>
      </c>
      <c r="F368" s="2699"/>
      <c r="G368" s="2700"/>
      <c r="H368" s="2701"/>
      <c r="I368" s="366" t="s">
        <v>26</v>
      </c>
      <c r="J368" s="380" t="s">
        <v>15</v>
      </c>
      <c r="K368" s="380" t="s">
        <v>6</v>
      </c>
      <c r="L368" s="2680"/>
      <c r="M368" s="381" t="s">
        <v>27</v>
      </c>
      <c r="N368" s="381" t="s">
        <v>10</v>
      </c>
      <c r="O368" s="381" t="s">
        <v>10</v>
      </c>
      <c r="P368" s="385" t="s">
        <v>28</v>
      </c>
      <c r="Q368" s="461" t="s">
        <v>29</v>
      </c>
      <c r="R368" s="385" t="s">
        <v>15</v>
      </c>
      <c r="S368" s="385" t="s">
        <v>15</v>
      </c>
      <c r="T368" s="2684"/>
      <c r="U368" s="2685"/>
      <c r="V368" s="375" t="s">
        <v>30</v>
      </c>
      <c r="W368" s="376" t="s">
        <v>31</v>
      </c>
      <c r="X368" s="377" t="s">
        <v>30</v>
      </c>
      <c r="Y368" s="377" t="s">
        <v>32</v>
      </c>
      <c r="Z368" s="377" t="s">
        <v>7</v>
      </c>
      <c r="AA368" s="377" t="s">
        <v>33</v>
      </c>
      <c r="AB368" s="460" t="s">
        <v>34</v>
      </c>
      <c r="AC368" s="615" t="s">
        <v>35</v>
      </c>
      <c r="AD368" s="617" t="s">
        <v>36</v>
      </c>
      <c r="AE368" s="617" t="s">
        <v>37</v>
      </c>
      <c r="AF368" s="618" t="s">
        <v>38</v>
      </c>
    </row>
    <row r="369" spans="1:32" s="457" customFormat="1" ht="18" customHeight="1" x14ac:dyDescent="0.2">
      <c r="A369" s="2687"/>
      <c r="B369" s="366" t="s">
        <v>39</v>
      </c>
      <c r="C369" s="2687"/>
      <c r="D369" s="366" t="s">
        <v>40</v>
      </c>
      <c r="E369" s="366" t="s">
        <v>41</v>
      </c>
      <c r="F369" s="2686" t="s">
        <v>42</v>
      </c>
      <c r="G369" s="2686" t="s">
        <v>43</v>
      </c>
      <c r="H369" s="2688" t="s">
        <v>44</v>
      </c>
      <c r="I369" s="366" t="s">
        <v>45</v>
      </c>
      <c r="J369" s="380" t="s">
        <v>46</v>
      </c>
      <c r="K369" s="380" t="s">
        <v>47</v>
      </c>
      <c r="L369" s="2680"/>
      <c r="M369" s="381" t="s">
        <v>30</v>
      </c>
      <c r="N369" s="381" t="s">
        <v>30</v>
      </c>
      <c r="O369" s="381" t="s">
        <v>25</v>
      </c>
      <c r="P369" s="385" t="s">
        <v>30</v>
      </c>
      <c r="Q369" s="461" t="s">
        <v>48</v>
      </c>
      <c r="R369" s="385" t="s">
        <v>49</v>
      </c>
      <c r="S369" s="385" t="s">
        <v>30</v>
      </c>
      <c r="T369" s="374" t="s">
        <v>50</v>
      </c>
      <c r="U369" s="374" t="s">
        <v>13</v>
      </c>
      <c r="V369" s="375" t="s">
        <v>51</v>
      </c>
      <c r="W369" s="376" t="s">
        <v>52</v>
      </c>
      <c r="X369" s="377" t="s">
        <v>53</v>
      </c>
      <c r="Y369" s="377" t="s">
        <v>54</v>
      </c>
      <c r="Z369" s="377" t="s">
        <v>55</v>
      </c>
      <c r="AA369" s="377" t="s">
        <v>56</v>
      </c>
      <c r="AB369" s="460" t="s">
        <v>57</v>
      </c>
      <c r="AC369" s="617" t="s">
        <v>58</v>
      </c>
      <c r="AD369" s="617" t="s">
        <v>59</v>
      </c>
      <c r="AE369" s="617" t="s">
        <v>59</v>
      </c>
      <c r="AF369" s="618" t="s">
        <v>60</v>
      </c>
    </row>
    <row r="370" spans="1:32" s="457" customFormat="1" ht="18" customHeight="1" x14ac:dyDescent="0.2">
      <c r="A370" s="2687"/>
      <c r="B370" s="366" t="s">
        <v>61</v>
      </c>
      <c r="C370" s="2687"/>
      <c r="D370" s="366" t="s">
        <v>62</v>
      </c>
      <c r="E370" s="366" t="s">
        <v>63</v>
      </c>
      <c r="F370" s="2687"/>
      <c r="G370" s="2687"/>
      <c r="H370" s="2689"/>
      <c r="I370" s="366" t="s">
        <v>64</v>
      </c>
      <c r="J370" s="380" t="s">
        <v>59</v>
      </c>
      <c r="K370" s="380" t="s">
        <v>59</v>
      </c>
      <c r="L370" s="2680"/>
      <c r="M370" s="381"/>
      <c r="N370" s="381"/>
      <c r="O370" s="381" t="s">
        <v>41</v>
      </c>
      <c r="P370" s="385" t="s">
        <v>65</v>
      </c>
      <c r="Q370" s="461" t="s">
        <v>66</v>
      </c>
      <c r="R370" s="385" t="s">
        <v>67</v>
      </c>
      <c r="S370" s="385" t="s">
        <v>59</v>
      </c>
      <c r="T370" s="375" t="s">
        <v>68</v>
      </c>
      <c r="U370" s="375" t="s">
        <v>14</v>
      </c>
      <c r="V370" s="375" t="s">
        <v>14</v>
      </c>
      <c r="W370" s="376" t="s">
        <v>30</v>
      </c>
      <c r="X370" s="388" t="s">
        <v>69</v>
      </c>
      <c r="Y370" s="388" t="s">
        <v>70</v>
      </c>
      <c r="Z370" s="377" t="s">
        <v>71</v>
      </c>
      <c r="AA370" s="377" t="s">
        <v>72</v>
      </c>
      <c r="AB370" s="460" t="s">
        <v>59</v>
      </c>
      <c r="AC370" s="617" t="s">
        <v>59</v>
      </c>
      <c r="AD370" s="617"/>
      <c r="AE370" s="617"/>
      <c r="AF370" s="618" t="s">
        <v>59</v>
      </c>
    </row>
    <row r="371" spans="1:32" s="457" customFormat="1" ht="18" customHeight="1" x14ac:dyDescent="0.2">
      <c r="A371" s="2692"/>
      <c r="B371" s="390"/>
      <c r="C371" s="2692"/>
      <c r="D371" s="390"/>
      <c r="E371" s="389"/>
      <c r="F371" s="390"/>
      <c r="G371" s="390"/>
      <c r="H371" s="391"/>
      <c r="I371" s="389"/>
      <c r="J371" s="393"/>
      <c r="K371" s="393"/>
      <c r="L371" s="2681"/>
      <c r="M371" s="394"/>
      <c r="N371" s="394"/>
      <c r="O371" s="394" t="s">
        <v>63</v>
      </c>
      <c r="P371" s="394"/>
      <c r="Q371" s="450" t="s">
        <v>72</v>
      </c>
      <c r="R371" s="398" t="s">
        <v>59</v>
      </c>
      <c r="S371" s="398"/>
      <c r="T371" s="398" t="s">
        <v>73</v>
      </c>
      <c r="U371" s="398" t="s">
        <v>59</v>
      </c>
      <c r="V371" s="399" t="s">
        <v>59</v>
      </c>
      <c r="W371" s="400" t="s">
        <v>59</v>
      </c>
      <c r="X371" s="401" t="s">
        <v>59</v>
      </c>
      <c r="Y371" s="401" t="s">
        <v>59</v>
      </c>
      <c r="Z371" s="401" t="s">
        <v>59</v>
      </c>
      <c r="AA371" s="402"/>
      <c r="AB371" s="462"/>
      <c r="AC371" s="625"/>
      <c r="AD371" s="625"/>
      <c r="AE371" s="625"/>
      <c r="AF371" s="626"/>
    </row>
    <row r="372" spans="1:32" s="457" customFormat="1" ht="18" customHeight="1" x14ac:dyDescent="0.2">
      <c r="A372" s="53">
        <v>1</v>
      </c>
      <c r="B372" s="1832">
        <v>2256</v>
      </c>
      <c r="C372" s="82">
        <v>309</v>
      </c>
      <c r="D372" s="82" t="s">
        <v>86</v>
      </c>
      <c r="E372" s="82">
        <v>2</v>
      </c>
      <c r="F372" s="82">
        <v>0</v>
      </c>
      <c r="G372" s="82">
        <v>2</v>
      </c>
      <c r="H372" s="463">
        <v>4</v>
      </c>
      <c r="I372" s="77">
        <f t="shared" ref="I372" si="108">F372*400+G372*100+H372</f>
        <v>204</v>
      </c>
      <c r="J372" s="1009">
        <v>1000</v>
      </c>
      <c r="K372" s="297">
        <f t="shared" ref="K372" si="109">I372*J372</f>
        <v>204000</v>
      </c>
      <c r="L372" s="75">
        <v>1</v>
      </c>
      <c r="M372" s="231">
        <v>101</v>
      </c>
      <c r="N372" s="448" t="s">
        <v>82</v>
      </c>
      <c r="O372" s="16">
        <v>2</v>
      </c>
      <c r="P372" s="153">
        <v>26.265000000000001</v>
      </c>
      <c r="Q372" s="1010">
        <v>1</v>
      </c>
      <c r="R372" s="1011">
        <v>7700</v>
      </c>
      <c r="S372" s="47">
        <f t="shared" ref="S372:S374" si="110">+P372*R372</f>
        <v>202240.5</v>
      </c>
      <c r="T372" s="453">
        <v>37</v>
      </c>
      <c r="U372" s="1670">
        <f>+S372*0.93</f>
        <v>188083.66500000001</v>
      </c>
      <c r="V372" s="18">
        <f t="shared" ref="V372:V374" si="111">+S372-U372</f>
        <v>14156.834999999992</v>
      </c>
      <c r="W372" s="18">
        <f t="shared" ref="W372" si="112">K372+V372</f>
        <v>218156.83499999999</v>
      </c>
      <c r="X372" s="47">
        <f t="shared" ref="X372" si="113">W372</f>
        <v>218156.83499999999</v>
      </c>
      <c r="Y372" s="1013" t="s">
        <v>89</v>
      </c>
      <c r="Z372" s="296">
        <v>0</v>
      </c>
      <c r="AA372" s="952">
        <v>0.02</v>
      </c>
      <c r="AB372" s="465">
        <f>+Z372*AA372/100</f>
        <v>0</v>
      </c>
      <c r="AC372" s="602"/>
      <c r="AD372" s="603" t="e">
        <f>#REF!-AC372</f>
        <v>#REF!</v>
      </c>
      <c r="AE372" s="603" t="e">
        <f>IF(AD372&lt;=0,0,AD372*25/100)</f>
        <v>#REF!</v>
      </c>
      <c r="AF372" s="603" t="e">
        <f>IF(AC372+AE372&gt;#REF!,#REF!,AC372+AE372)</f>
        <v>#REF!</v>
      </c>
    </row>
    <row r="373" spans="1:32" s="457" customFormat="1" ht="18" customHeight="1" x14ac:dyDescent="0.2">
      <c r="A373" s="242"/>
      <c r="B373" s="27"/>
      <c r="C373" s="27"/>
      <c r="D373" s="27"/>
      <c r="E373" s="27"/>
      <c r="F373" s="27"/>
      <c r="G373" s="27"/>
      <c r="H373" s="557"/>
      <c r="I373" s="305"/>
      <c r="J373" s="306"/>
      <c r="K373" s="297"/>
      <c r="L373" s="45">
        <v>2</v>
      </c>
      <c r="M373" s="61">
        <v>103</v>
      </c>
      <c r="N373" s="50" t="s">
        <v>74</v>
      </c>
      <c r="O373" s="50">
        <v>2</v>
      </c>
      <c r="P373" s="19">
        <v>116.7234</v>
      </c>
      <c r="Q373" s="62" t="s">
        <v>75</v>
      </c>
      <c r="R373" s="672">
        <v>9050</v>
      </c>
      <c r="S373" s="47">
        <f t="shared" si="110"/>
        <v>1056346.77</v>
      </c>
      <c r="T373" s="1501">
        <v>7</v>
      </c>
      <c r="U373" s="1670">
        <f>+S373*0.07</f>
        <v>73944.273900000015</v>
      </c>
      <c r="V373" s="18">
        <f t="shared" si="111"/>
        <v>982402.49609999999</v>
      </c>
      <c r="W373" s="18">
        <f t="shared" ref="W373:W374" si="114">K373+V373</f>
        <v>982402.49609999999</v>
      </c>
      <c r="X373" s="47">
        <f t="shared" ref="X373:X374" si="115">W373</f>
        <v>982402.49609999999</v>
      </c>
      <c r="Y373" s="1013"/>
      <c r="Z373" s="296">
        <f t="shared" ref="Z373" si="116">X373</f>
        <v>982402.49609999999</v>
      </c>
      <c r="AA373" s="952">
        <v>0.02</v>
      </c>
      <c r="AB373" s="410">
        <f>+Z373*AA373/100</f>
        <v>196.48049922000001</v>
      </c>
      <c r="AC373" s="350"/>
      <c r="AD373" s="350"/>
      <c r="AE373" s="350"/>
      <c r="AF373" s="350"/>
    </row>
    <row r="374" spans="1:32" s="457" customFormat="1" ht="18" customHeight="1" x14ac:dyDescent="0.2">
      <c r="A374" s="242"/>
      <c r="B374" s="27"/>
      <c r="C374" s="27"/>
      <c r="D374" s="27"/>
      <c r="E374" s="27"/>
      <c r="F374" s="27"/>
      <c r="G374" s="27"/>
      <c r="H374" s="557"/>
      <c r="I374" s="296"/>
      <c r="J374" s="306"/>
      <c r="K374" s="297"/>
      <c r="L374" s="45">
        <v>3</v>
      </c>
      <c r="M374" s="61">
        <v>518</v>
      </c>
      <c r="N374" s="50" t="s">
        <v>74</v>
      </c>
      <c r="O374" s="50">
        <v>3</v>
      </c>
      <c r="P374" s="19">
        <v>239.41</v>
      </c>
      <c r="Q374" s="62" t="s">
        <v>75</v>
      </c>
      <c r="R374" s="672">
        <v>6050</v>
      </c>
      <c r="S374" s="47">
        <f t="shared" si="110"/>
        <v>1448430.5</v>
      </c>
      <c r="T374" s="1501">
        <v>8</v>
      </c>
      <c r="U374" s="1670">
        <f>+S374*0.08</f>
        <v>115874.44</v>
      </c>
      <c r="V374" s="18">
        <f t="shared" si="111"/>
        <v>1332556.06</v>
      </c>
      <c r="W374" s="18">
        <f t="shared" si="114"/>
        <v>1332556.06</v>
      </c>
      <c r="X374" s="47">
        <f t="shared" si="115"/>
        <v>1332556.06</v>
      </c>
      <c r="Y374" s="1013"/>
      <c r="Z374" s="296">
        <v>0</v>
      </c>
      <c r="AA374" s="952">
        <v>0.3</v>
      </c>
      <c r="AB374" s="466">
        <f>+Z374*AA374/100</f>
        <v>0</v>
      </c>
      <c r="AC374" s="350"/>
      <c r="AD374" s="350"/>
      <c r="AE374" s="350"/>
      <c r="AF374" s="350"/>
    </row>
    <row r="375" spans="1:32" s="457" customFormat="1" ht="18" customHeight="1" x14ac:dyDescent="0.2">
      <c r="A375" s="145"/>
      <c r="B375" s="177"/>
      <c r="C375" s="177"/>
      <c r="D375" s="145"/>
      <c r="E375" s="145"/>
      <c r="F375" s="145"/>
      <c r="G375" s="145"/>
      <c r="H375" s="147"/>
      <c r="I375" s="107"/>
      <c r="J375" s="178"/>
      <c r="K375" s="107"/>
      <c r="L375" s="145"/>
      <c r="M375" s="145"/>
      <c r="N375" s="145"/>
      <c r="O375" s="145"/>
      <c r="P375" s="147"/>
      <c r="Q375" s="148"/>
      <c r="R375" s="437"/>
      <c r="S375" s="107"/>
      <c r="T375" s="179"/>
      <c r="U375" s="178"/>
      <c r="V375" s="107"/>
      <c r="W375" s="107"/>
      <c r="X375" s="470"/>
      <c r="Y375" s="470"/>
      <c r="Z375" s="471"/>
      <c r="AA375" s="471"/>
      <c r="AB375" s="466"/>
      <c r="AC375" s="350"/>
      <c r="AD375" s="350"/>
      <c r="AE375" s="350"/>
      <c r="AF375" s="350"/>
    </row>
    <row r="376" spans="1:32" s="457" customFormat="1" ht="18" customHeight="1" x14ac:dyDescent="0.2">
      <c r="A376" s="145"/>
      <c r="B376" s="177"/>
      <c r="C376" s="177"/>
      <c r="D376" s="145"/>
      <c r="E376" s="145"/>
      <c r="F376" s="145"/>
      <c r="G376" s="145"/>
      <c r="H376" s="147"/>
      <c r="I376" s="107"/>
      <c r="J376" s="178"/>
      <c r="K376" s="107"/>
      <c r="L376" s="145"/>
      <c r="M376" s="145"/>
      <c r="N376" s="145"/>
      <c r="O376" s="145"/>
      <c r="P376" s="147"/>
      <c r="Q376" s="148"/>
      <c r="R376" s="437"/>
      <c r="S376" s="107"/>
      <c r="T376" s="179"/>
      <c r="U376" s="178"/>
      <c r="V376" s="107"/>
      <c r="W376" s="107"/>
      <c r="X376" s="470"/>
      <c r="Y376" s="470"/>
      <c r="Z376" s="471"/>
      <c r="AA376" s="471"/>
      <c r="AB376" s="466"/>
      <c r="AC376" s="350"/>
      <c r="AD376" s="350"/>
      <c r="AE376" s="350"/>
      <c r="AF376" s="350"/>
    </row>
    <row r="377" spans="1:32" s="457" customFormat="1" ht="18" customHeight="1" x14ac:dyDescent="0.2">
      <c r="A377" s="145"/>
      <c r="B377" s="177"/>
      <c r="C377" s="177"/>
      <c r="D377" s="145"/>
      <c r="E377" s="145"/>
      <c r="F377" s="145"/>
      <c r="G377" s="145"/>
      <c r="H377" s="147"/>
      <c r="I377" s="107"/>
      <c r="J377" s="178"/>
      <c r="K377" s="107"/>
      <c r="L377" s="145"/>
      <c r="M377" s="145"/>
      <c r="N377" s="145"/>
      <c r="O377" s="145"/>
      <c r="P377" s="147"/>
      <c r="Q377" s="148"/>
      <c r="R377" s="437"/>
      <c r="S377" s="107"/>
      <c r="T377" s="179"/>
      <c r="U377" s="178"/>
      <c r="V377" s="107"/>
      <c r="W377" s="107"/>
      <c r="X377" s="470"/>
      <c r="Y377" s="470"/>
      <c r="Z377" s="471"/>
      <c r="AA377" s="471"/>
      <c r="AB377" s="466"/>
      <c r="AC377" s="350"/>
      <c r="AD377" s="350"/>
      <c r="AE377" s="350"/>
      <c r="AF377" s="350"/>
    </row>
    <row r="378" spans="1:32" s="457" customFormat="1" ht="18" customHeight="1" x14ac:dyDescent="0.2">
      <c r="A378" s="145"/>
      <c r="B378" s="177"/>
      <c r="C378" s="177"/>
      <c r="D378" s="145"/>
      <c r="E378" s="145"/>
      <c r="F378" s="145"/>
      <c r="G378" s="145"/>
      <c r="H378" s="147"/>
      <c r="I378" s="107"/>
      <c r="J378" s="178"/>
      <c r="K378" s="107"/>
      <c r="L378" s="145"/>
      <c r="M378" s="145"/>
      <c r="N378" s="145"/>
      <c r="O378" s="145"/>
      <c r="P378" s="147"/>
      <c r="Q378" s="148"/>
      <c r="R378" s="437"/>
      <c r="S378" s="107"/>
      <c r="T378" s="179"/>
      <c r="U378" s="178"/>
      <c r="V378" s="107"/>
      <c r="W378" s="107"/>
      <c r="X378" s="470"/>
      <c r="Y378" s="470"/>
      <c r="Z378" s="471"/>
      <c r="AA378" s="471"/>
      <c r="AB378" s="466"/>
      <c r="AC378" s="350"/>
      <c r="AD378" s="350"/>
      <c r="AE378" s="350"/>
      <c r="AF378" s="350"/>
    </row>
    <row r="379" spans="1:32" s="457" customFormat="1" ht="18" customHeight="1" x14ac:dyDescent="0.2">
      <c r="A379" s="145"/>
      <c r="B379" s="177"/>
      <c r="C379" s="177"/>
      <c r="D379" s="145"/>
      <c r="E379" s="145"/>
      <c r="F379" s="145"/>
      <c r="G379" s="145"/>
      <c r="H379" s="147"/>
      <c r="I379" s="107"/>
      <c r="J379" s="178"/>
      <c r="K379" s="107"/>
      <c r="L379" s="145"/>
      <c r="M379" s="145"/>
      <c r="N379" s="145"/>
      <c r="O379" s="145"/>
      <c r="P379" s="147"/>
      <c r="Q379" s="148"/>
      <c r="R379" s="437"/>
      <c r="S379" s="107"/>
      <c r="T379" s="179"/>
      <c r="U379" s="178"/>
      <c r="V379" s="107"/>
      <c r="W379" s="107"/>
      <c r="X379" s="470"/>
      <c r="Y379" s="470"/>
      <c r="Z379" s="471"/>
      <c r="AA379" s="471"/>
      <c r="AB379" s="466"/>
      <c r="AC379" s="350"/>
      <c r="AD379" s="350"/>
      <c r="AE379" s="350"/>
      <c r="AF379" s="350"/>
    </row>
    <row r="380" spans="1:32" s="457" customFormat="1" ht="18" customHeight="1" x14ac:dyDescent="0.2">
      <c r="A380" s="145"/>
      <c r="B380" s="177"/>
      <c r="C380" s="177"/>
      <c r="D380" s="145"/>
      <c r="E380" s="145"/>
      <c r="F380" s="145"/>
      <c r="G380" s="145"/>
      <c r="H380" s="147"/>
      <c r="I380" s="107"/>
      <c r="J380" s="178"/>
      <c r="K380" s="107"/>
      <c r="L380" s="145"/>
      <c r="M380" s="145"/>
      <c r="N380" s="145"/>
      <c r="O380" s="145"/>
      <c r="P380" s="147"/>
      <c r="Q380" s="148"/>
      <c r="R380" s="437"/>
      <c r="S380" s="107"/>
      <c r="T380" s="179"/>
      <c r="U380" s="178"/>
      <c r="V380" s="107"/>
      <c r="W380" s="107"/>
      <c r="X380" s="470"/>
      <c r="Y380" s="470"/>
      <c r="Z380" s="471"/>
      <c r="AA380" s="471"/>
      <c r="AB380" s="466"/>
      <c r="AC380" s="350"/>
      <c r="AD380" s="350"/>
      <c r="AE380" s="350"/>
      <c r="AF380" s="350"/>
    </row>
    <row r="381" spans="1:32" s="457" customFormat="1" ht="18" customHeight="1" x14ac:dyDescent="0.2">
      <c r="A381" s="145"/>
      <c r="B381" s="177"/>
      <c r="C381" s="177"/>
      <c r="D381" s="145"/>
      <c r="E381" s="145"/>
      <c r="F381" s="145"/>
      <c r="G381" s="145"/>
      <c r="H381" s="147"/>
      <c r="I381" s="107"/>
      <c r="J381" s="178"/>
      <c r="K381" s="107"/>
      <c r="L381" s="145"/>
      <c r="M381" s="145"/>
      <c r="N381" s="145"/>
      <c r="O381" s="145"/>
      <c r="P381" s="147"/>
      <c r="Q381" s="148"/>
      <c r="R381" s="437"/>
      <c r="S381" s="107"/>
      <c r="T381" s="179"/>
      <c r="U381" s="178"/>
      <c r="V381" s="107"/>
      <c r="W381" s="107"/>
      <c r="X381" s="470"/>
      <c r="Y381" s="470"/>
      <c r="Z381" s="471"/>
      <c r="AA381" s="471"/>
      <c r="AB381" s="466"/>
      <c r="AC381" s="350"/>
      <c r="AD381" s="350"/>
      <c r="AE381" s="350"/>
      <c r="AF381" s="350"/>
    </row>
    <row r="382" spans="1:32" s="457" customFormat="1" ht="18" customHeight="1" x14ac:dyDescent="0.2">
      <c r="A382" s="145"/>
      <c r="B382" s="177"/>
      <c r="C382" s="177"/>
      <c r="D382" s="145"/>
      <c r="E382" s="145"/>
      <c r="F382" s="145"/>
      <c r="G382" s="145"/>
      <c r="H382" s="147"/>
      <c r="I382" s="107"/>
      <c r="J382" s="178"/>
      <c r="K382" s="107"/>
      <c r="L382" s="145"/>
      <c r="M382" s="145"/>
      <c r="N382" s="145"/>
      <c r="O382" s="145"/>
      <c r="P382" s="147"/>
      <c r="Q382" s="148"/>
      <c r="R382" s="437"/>
      <c r="S382" s="107"/>
      <c r="T382" s="179"/>
      <c r="U382" s="178"/>
      <c r="V382" s="107"/>
      <c r="W382" s="107"/>
      <c r="X382" s="470"/>
      <c r="Y382" s="470"/>
      <c r="Z382" s="471"/>
      <c r="AA382" s="471"/>
      <c r="AB382" s="466"/>
      <c r="AC382" s="350"/>
      <c r="AD382" s="350"/>
      <c r="AE382" s="350"/>
      <c r="AF382" s="350"/>
    </row>
    <row r="383" spans="1:32" s="457" customFormat="1" ht="18" customHeight="1" x14ac:dyDescent="0.2">
      <c r="A383" s="145"/>
      <c r="B383" s="177"/>
      <c r="C383" s="177"/>
      <c r="D383" s="145"/>
      <c r="E383" s="145"/>
      <c r="F383" s="145"/>
      <c r="G383" s="145"/>
      <c r="H383" s="147"/>
      <c r="I383" s="107"/>
      <c r="J383" s="178"/>
      <c r="K383" s="107"/>
      <c r="L383" s="145"/>
      <c r="M383" s="145"/>
      <c r="N383" s="145"/>
      <c r="O383" s="145"/>
      <c r="P383" s="147"/>
      <c r="Q383" s="148"/>
      <c r="R383" s="437"/>
      <c r="S383" s="107"/>
      <c r="T383" s="179"/>
      <c r="U383" s="178"/>
      <c r="V383" s="107"/>
      <c r="W383" s="107"/>
      <c r="X383" s="470"/>
      <c r="Y383" s="470"/>
      <c r="Z383" s="471"/>
      <c r="AA383" s="471"/>
      <c r="AB383" s="466"/>
      <c r="AC383" s="350"/>
      <c r="AD383" s="350"/>
      <c r="AE383" s="350"/>
      <c r="AF383" s="350"/>
    </row>
    <row r="384" spans="1:32" s="457" customFormat="1" ht="18" customHeight="1" x14ac:dyDescent="0.2">
      <c r="A384" s="145"/>
      <c r="B384" s="177"/>
      <c r="C384" s="177"/>
      <c r="D384" s="145"/>
      <c r="E384" s="145"/>
      <c r="F384" s="145"/>
      <c r="G384" s="145"/>
      <c r="H384" s="147"/>
      <c r="I384" s="107"/>
      <c r="J384" s="178"/>
      <c r="K384" s="107"/>
      <c r="L384" s="145"/>
      <c r="M384" s="145"/>
      <c r="N384" s="145"/>
      <c r="O384" s="145"/>
      <c r="P384" s="147"/>
      <c r="Q384" s="148"/>
      <c r="R384" s="437"/>
      <c r="S384" s="107"/>
      <c r="T384" s="179"/>
      <c r="U384" s="178"/>
      <c r="V384" s="107"/>
      <c r="W384" s="107"/>
      <c r="X384" s="470"/>
      <c r="Y384" s="470"/>
      <c r="Z384" s="471"/>
      <c r="AA384" s="471"/>
      <c r="AB384" s="466"/>
      <c r="AC384" s="350"/>
      <c r="AD384" s="350"/>
      <c r="AE384" s="350"/>
      <c r="AF384" s="350"/>
    </row>
    <row r="385" spans="1:32" s="457" customFormat="1" ht="18" customHeight="1" x14ac:dyDescent="0.2">
      <c r="A385" s="145"/>
      <c r="B385" s="177"/>
      <c r="C385" s="177"/>
      <c r="D385" s="145"/>
      <c r="E385" s="145"/>
      <c r="F385" s="145"/>
      <c r="G385" s="145"/>
      <c r="H385" s="147"/>
      <c r="I385" s="107"/>
      <c r="J385" s="178"/>
      <c r="K385" s="107"/>
      <c r="L385" s="145"/>
      <c r="M385" s="145"/>
      <c r="N385" s="145"/>
      <c r="O385" s="145"/>
      <c r="P385" s="147"/>
      <c r="Q385" s="148"/>
      <c r="R385" s="437"/>
      <c r="S385" s="107"/>
      <c r="T385" s="179"/>
      <c r="U385" s="178"/>
      <c r="V385" s="107"/>
      <c r="W385" s="107"/>
      <c r="X385" s="470"/>
      <c r="Y385" s="470"/>
      <c r="Z385" s="471"/>
      <c r="AA385" s="471"/>
      <c r="AB385" s="466"/>
      <c r="AC385" s="350"/>
      <c r="AD385" s="350"/>
      <c r="AE385" s="350"/>
      <c r="AF385" s="350"/>
    </row>
    <row r="386" spans="1:32" s="457" customFormat="1" ht="18" customHeight="1" x14ac:dyDescent="0.2">
      <c r="A386" s="145"/>
      <c r="B386" s="177"/>
      <c r="C386" s="177"/>
      <c r="D386" s="145"/>
      <c r="E386" s="145"/>
      <c r="F386" s="145"/>
      <c r="G386" s="145"/>
      <c r="H386" s="147"/>
      <c r="I386" s="107"/>
      <c r="J386" s="178"/>
      <c r="K386" s="107"/>
      <c r="L386" s="145"/>
      <c r="M386" s="145"/>
      <c r="N386" s="145"/>
      <c r="O386" s="145"/>
      <c r="P386" s="147"/>
      <c r="Q386" s="148"/>
      <c r="R386" s="437"/>
      <c r="S386" s="107"/>
      <c r="T386" s="179"/>
      <c r="U386" s="178"/>
      <c r="V386" s="107"/>
      <c r="W386" s="107"/>
      <c r="X386" s="470"/>
      <c r="Y386" s="470"/>
      <c r="Z386" s="471"/>
      <c r="AA386" s="471"/>
      <c r="AB386" s="466"/>
      <c r="AC386" s="350"/>
      <c r="AD386" s="350"/>
      <c r="AE386" s="350"/>
      <c r="AF386" s="350"/>
    </row>
    <row r="387" spans="1:32" s="457" customFormat="1" ht="18" customHeight="1" x14ac:dyDescent="0.2">
      <c r="A387" s="183"/>
      <c r="B387" s="183"/>
      <c r="C387" s="183"/>
      <c r="D387" s="183"/>
      <c r="E387" s="183"/>
      <c r="F387" s="183"/>
      <c r="G387" s="183"/>
      <c r="H387" s="184"/>
      <c r="I387" s="185"/>
      <c r="J387" s="186"/>
      <c r="K387" s="185"/>
      <c r="L387" s="185"/>
      <c r="M387" s="185"/>
      <c r="N387" s="185"/>
      <c r="O387" s="185"/>
      <c r="P387" s="185"/>
      <c r="Q387" s="185"/>
      <c r="R387" s="438"/>
      <c r="S387" s="185"/>
      <c r="T387" s="187"/>
      <c r="U387" s="186"/>
      <c r="V387" s="185"/>
      <c r="W387" s="185"/>
      <c r="X387" s="474"/>
      <c r="Y387" s="474"/>
      <c r="Z387" s="475"/>
      <c r="AA387" s="475"/>
      <c r="AB387" s="1847">
        <f>SUM(AB372:AB386)</f>
        <v>196.48049922000001</v>
      </c>
      <c r="AC387" s="349"/>
      <c r="AD387" s="349"/>
      <c r="AE387" s="349"/>
      <c r="AF387" s="349"/>
    </row>
    <row r="388" spans="1:32" s="457" customFormat="1" ht="18" customHeight="1" x14ac:dyDescent="0.2">
      <c r="A388" s="2737" t="s">
        <v>76</v>
      </c>
      <c r="B388" s="2737"/>
      <c r="C388" s="2738" t="s">
        <v>77</v>
      </c>
      <c r="D388" s="2738"/>
      <c r="E388" s="2738"/>
      <c r="F388" s="2738"/>
      <c r="G388" s="2738"/>
      <c r="H388" s="2738"/>
      <c r="I388" s="457" t="s">
        <v>78</v>
      </c>
      <c r="AB388" s="478"/>
    </row>
    <row r="389" spans="1:32" s="457" customFormat="1" ht="18" customHeight="1" x14ac:dyDescent="0.2">
      <c r="B389" s="479"/>
      <c r="I389" s="457" t="s">
        <v>79</v>
      </c>
      <c r="AB389" s="478"/>
    </row>
    <row r="390" spans="1:32" s="457" customFormat="1" ht="18" customHeight="1" x14ac:dyDescent="0.2">
      <c r="B390" s="479"/>
      <c r="I390" s="457" t="s">
        <v>80</v>
      </c>
      <c r="AB390" s="478"/>
    </row>
    <row r="391" spans="1:32" s="457" customFormat="1" ht="18" customHeight="1" x14ac:dyDescent="0.2">
      <c r="B391" s="479"/>
      <c r="I391" s="457" t="s">
        <v>81</v>
      </c>
      <c r="AB391" s="478"/>
    </row>
    <row r="392" spans="1:32" s="457" customFormat="1" ht="18" customHeight="1" x14ac:dyDescent="0.2">
      <c r="B392" s="479"/>
      <c r="I392" s="457" t="s">
        <v>88</v>
      </c>
      <c r="AB392" s="478"/>
    </row>
    <row r="393" spans="1:32" s="457" customFormat="1" ht="18" customHeight="1" x14ac:dyDescent="0.2">
      <c r="A393" s="455"/>
      <c r="B393" s="455"/>
      <c r="C393" s="455"/>
      <c r="D393" s="455"/>
      <c r="E393" s="455"/>
      <c r="F393" s="455"/>
      <c r="G393" s="455"/>
      <c r="H393" s="455"/>
      <c r="I393" s="455"/>
      <c r="J393" s="455"/>
      <c r="K393" s="455"/>
      <c r="L393" s="455"/>
      <c r="M393" s="455"/>
      <c r="N393" s="455"/>
      <c r="O393" s="455"/>
      <c r="P393" s="455"/>
      <c r="Q393" s="455"/>
      <c r="R393" s="455"/>
      <c r="S393" s="455"/>
      <c r="T393" s="455"/>
      <c r="U393" s="455"/>
      <c r="V393" s="455"/>
      <c r="W393" s="455"/>
      <c r="X393" s="455"/>
      <c r="Y393" s="455"/>
      <c r="Z393" s="455"/>
      <c r="AA393" s="2705" t="s">
        <v>0</v>
      </c>
      <c r="AB393" s="2705"/>
    </row>
    <row r="394" spans="1:32" s="457" customFormat="1" ht="18" customHeight="1" x14ac:dyDescent="0.2">
      <c r="A394" s="2706" t="s">
        <v>1</v>
      </c>
      <c r="B394" s="2706"/>
      <c r="C394" s="2706"/>
      <c r="D394" s="2706"/>
      <c r="E394" s="2706"/>
      <c r="F394" s="2706"/>
      <c r="G394" s="2706"/>
      <c r="H394" s="2706"/>
      <c r="I394" s="2706"/>
      <c r="J394" s="2706"/>
      <c r="K394" s="2706"/>
      <c r="L394" s="2706"/>
      <c r="M394" s="2706"/>
      <c r="N394" s="2706"/>
      <c r="O394" s="2706"/>
      <c r="P394" s="2706"/>
      <c r="Q394" s="2706"/>
      <c r="R394" s="2706"/>
      <c r="S394" s="2706"/>
      <c r="T394" s="2706"/>
      <c r="U394" s="2706"/>
      <c r="V394" s="2706"/>
      <c r="W394" s="2706"/>
      <c r="X394" s="2706"/>
      <c r="Y394" s="2706"/>
      <c r="Z394" s="2706"/>
      <c r="AA394" s="2706"/>
      <c r="AB394" s="2706"/>
    </row>
    <row r="395" spans="1:32" s="457" customFormat="1" ht="18" customHeight="1" x14ac:dyDescent="0.2">
      <c r="A395" s="2704" t="s">
        <v>381</v>
      </c>
      <c r="B395" s="2704"/>
      <c r="C395" s="2704"/>
      <c r="D395" s="2704"/>
      <c r="E395" s="2704"/>
      <c r="F395" s="2704"/>
      <c r="G395" s="2704"/>
      <c r="H395" s="2704"/>
      <c r="I395" s="2704"/>
      <c r="J395" s="2704"/>
      <c r="K395" s="2704"/>
      <c r="L395" s="2704"/>
      <c r="M395" s="2704"/>
      <c r="N395" s="2704"/>
      <c r="O395" s="2704"/>
      <c r="P395" s="2704"/>
      <c r="Q395" s="2704"/>
      <c r="R395" s="2704"/>
      <c r="S395" s="2704"/>
      <c r="T395" s="2704"/>
      <c r="U395" s="2704"/>
      <c r="V395" s="2704"/>
      <c r="W395" s="2704"/>
      <c r="X395" s="2704"/>
      <c r="Y395" s="2704"/>
      <c r="Z395" s="2704"/>
      <c r="AA395" s="2704"/>
      <c r="AB395" s="2704"/>
    </row>
    <row r="396" spans="1:32" s="457" customFormat="1" ht="18" customHeight="1" x14ac:dyDescent="0.2">
      <c r="A396" s="2686" t="s">
        <v>2</v>
      </c>
      <c r="B396" s="360"/>
      <c r="C396" s="2686" t="s">
        <v>3</v>
      </c>
      <c r="D396" s="360"/>
      <c r="E396" s="360"/>
      <c r="F396" s="2693" t="s">
        <v>4</v>
      </c>
      <c r="G396" s="2693"/>
      <c r="H396" s="2693"/>
      <c r="I396" s="2694"/>
      <c r="J396" s="2694"/>
      <c r="K396" s="2695"/>
      <c r="L396" s="361"/>
      <c r="M396" s="2679" t="s">
        <v>5</v>
      </c>
      <c r="N396" s="2679"/>
      <c r="O396" s="2679"/>
      <c r="P396" s="2679"/>
      <c r="Q396" s="2696"/>
      <c r="R396" s="2696"/>
      <c r="S396" s="2696"/>
      <c r="T396" s="2696"/>
      <c r="U396" s="2696"/>
      <c r="V396" s="2697"/>
      <c r="W396" s="362" t="s">
        <v>6</v>
      </c>
      <c r="X396" s="363" t="s">
        <v>7</v>
      </c>
      <c r="Y396" s="364"/>
      <c r="Z396" s="364"/>
      <c r="AA396" s="363"/>
      <c r="AB396" s="458"/>
    </row>
    <row r="397" spans="1:32" s="457" customFormat="1" ht="18" customHeight="1" x14ac:dyDescent="0.2">
      <c r="A397" s="2687"/>
      <c r="B397" s="367"/>
      <c r="C397" s="2687"/>
      <c r="D397" s="366" t="s">
        <v>9</v>
      </c>
      <c r="E397" s="366" t="s">
        <v>10</v>
      </c>
      <c r="F397" s="2698" t="s">
        <v>11</v>
      </c>
      <c r="G397" s="2694"/>
      <c r="H397" s="2695"/>
      <c r="I397" s="360"/>
      <c r="J397" s="449" t="s">
        <v>12</v>
      </c>
      <c r="K397" s="360"/>
      <c r="L397" s="2679" t="s">
        <v>2</v>
      </c>
      <c r="M397" s="370"/>
      <c r="N397" s="370"/>
      <c r="O397" s="370"/>
      <c r="P397" s="371"/>
      <c r="Q397" s="459" t="s">
        <v>13</v>
      </c>
      <c r="R397" s="370" t="s">
        <v>12</v>
      </c>
      <c r="S397" s="370" t="s">
        <v>6</v>
      </c>
      <c r="T397" s="2682" t="s">
        <v>14</v>
      </c>
      <c r="U397" s="2683"/>
      <c r="V397" s="375" t="s">
        <v>7</v>
      </c>
      <c r="W397" s="376" t="s">
        <v>15</v>
      </c>
      <c r="X397" s="377" t="s">
        <v>16</v>
      </c>
      <c r="Y397" s="377" t="s">
        <v>17</v>
      </c>
      <c r="Z397" s="377" t="s">
        <v>18</v>
      </c>
      <c r="AA397" s="377"/>
      <c r="AB397" s="460" t="s">
        <v>19</v>
      </c>
    </row>
    <row r="398" spans="1:32" s="457" customFormat="1" ht="18" customHeight="1" x14ac:dyDescent="0.2">
      <c r="A398" s="2687"/>
      <c r="B398" s="366" t="s">
        <v>23</v>
      </c>
      <c r="C398" s="2687"/>
      <c r="D398" s="366" t="s">
        <v>24</v>
      </c>
      <c r="E398" s="366" t="s">
        <v>25</v>
      </c>
      <c r="F398" s="2699"/>
      <c r="G398" s="2700"/>
      <c r="H398" s="2701"/>
      <c r="I398" s="366" t="s">
        <v>26</v>
      </c>
      <c r="J398" s="380" t="s">
        <v>15</v>
      </c>
      <c r="K398" s="380" t="s">
        <v>6</v>
      </c>
      <c r="L398" s="2680"/>
      <c r="M398" s="381" t="s">
        <v>27</v>
      </c>
      <c r="N398" s="381" t="s">
        <v>10</v>
      </c>
      <c r="O398" s="381" t="s">
        <v>10</v>
      </c>
      <c r="P398" s="385" t="s">
        <v>28</v>
      </c>
      <c r="Q398" s="461" t="s">
        <v>29</v>
      </c>
      <c r="R398" s="385" t="s">
        <v>15</v>
      </c>
      <c r="S398" s="385" t="s">
        <v>15</v>
      </c>
      <c r="T398" s="2684"/>
      <c r="U398" s="2685"/>
      <c r="V398" s="375" t="s">
        <v>30</v>
      </c>
      <c r="W398" s="376" t="s">
        <v>31</v>
      </c>
      <c r="X398" s="377" t="s">
        <v>30</v>
      </c>
      <c r="Y398" s="377" t="s">
        <v>32</v>
      </c>
      <c r="Z398" s="377" t="s">
        <v>7</v>
      </c>
      <c r="AA398" s="377" t="s">
        <v>33</v>
      </c>
      <c r="AB398" s="460" t="s">
        <v>34</v>
      </c>
    </row>
    <row r="399" spans="1:32" s="457" customFormat="1" ht="18" customHeight="1" x14ac:dyDescent="0.2">
      <c r="A399" s="2687"/>
      <c r="B399" s="366" t="s">
        <v>39</v>
      </c>
      <c r="C399" s="2687"/>
      <c r="D399" s="366" t="s">
        <v>40</v>
      </c>
      <c r="E399" s="366" t="s">
        <v>41</v>
      </c>
      <c r="F399" s="2686" t="s">
        <v>42</v>
      </c>
      <c r="G399" s="2686" t="s">
        <v>43</v>
      </c>
      <c r="H399" s="2688" t="s">
        <v>44</v>
      </c>
      <c r="I399" s="366" t="s">
        <v>45</v>
      </c>
      <c r="J399" s="380" t="s">
        <v>46</v>
      </c>
      <c r="K399" s="380" t="s">
        <v>47</v>
      </c>
      <c r="L399" s="2680"/>
      <c r="M399" s="381" t="s">
        <v>30</v>
      </c>
      <c r="N399" s="381" t="s">
        <v>30</v>
      </c>
      <c r="O399" s="381" t="s">
        <v>25</v>
      </c>
      <c r="P399" s="385" t="s">
        <v>30</v>
      </c>
      <c r="Q399" s="461" t="s">
        <v>48</v>
      </c>
      <c r="R399" s="385" t="s">
        <v>49</v>
      </c>
      <c r="S399" s="385" t="s">
        <v>30</v>
      </c>
      <c r="T399" s="374" t="s">
        <v>50</v>
      </c>
      <c r="U399" s="374" t="s">
        <v>13</v>
      </c>
      <c r="V399" s="375" t="s">
        <v>51</v>
      </c>
      <c r="W399" s="376" t="s">
        <v>52</v>
      </c>
      <c r="X399" s="377" t="s">
        <v>53</v>
      </c>
      <c r="Y399" s="377" t="s">
        <v>54</v>
      </c>
      <c r="Z399" s="377" t="s">
        <v>55</v>
      </c>
      <c r="AA399" s="377" t="s">
        <v>56</v>
      </c>
      <c r="AB399" s="460" t="s">
        <v>57</v>
      </c>
    </row>
    <row r="400" spans="1:32" s="457" customFormat="1" ht="18" customHeight="1" x14ac:dyDescent="0.2">
      <c r="A400" s="2687"/>
      <c r="B400" s="366" t="s">
        <v>61</v>
      </c>
      <c r="C400" s="2687"/>
      <c r="D400" s="366" t="s">
        <v>62</v>
      </c>
      <c r="E400" s="366" t="s">
        <v>63</v>
      </c>
      <c r="F400" s="2687"/>
      <c r="G400" s="2687"/>
      <c r="H400" s="2689"/>
      <c r="I400" s="366" t="s">
        <v>64</v>
      </c>
      <c r="J400" s="380" t="s">
        <v>59</v>
      </c>
      <c r="K400" s="380" t="s">
        <v>59</v>
      </c>
      <c r="L400" s="2680"/>
      <c r="M400" s="381"/>
      <c r="N400" s="381"/>
      <c r="O400" s="381" t="s">
        <v>41</v>
      </c>
      <c r="P400" s="385" t="s">
        <v>65</v>
      </c>
      <c r="Q400" s="461" t="s">
        <v>66</v>
      </c>
      <c r="R400" s="385" t="s">
        <v>67</v>
      </c>
      <c r="S400" s="385" t="s">
        <v>59</v>
      </c>
      <c r="T400" s="375" t="s">
        <v>68</v>
      </c>
      <c r="U400" s="375" t="s">
        <v>14</v>
      </c>
      <c r="V400" s="375" t="s">
        <v>14</v>
      </c>
      <c r="W400" s="376" t="s">
        <v>30</v>
      </c>
      <c r="X400" s="388" t="s">
        <v>69</v>
      </c>
      <c r="Y400" s="388" t="s">
        <v>70</v>
      </c>
      <c r="Z400" s="377" t="s">
        <v>71</v>
      </c>
      <c r="AA400" s="377" t="s">
        <v>72</v>
      </c>
      <c r="AB400" s="460" t="s">
        <v>59</v>
      </c>
    </row>
    <row r="401" spans="1:28" s="457" customFormat="1" ht="18" customHeight="1" x14ac:dyDescent="0.2">
      <c r="A401" s="2692"/>
      <c r="B401" s="390"/>
      <c r="C401" s="2692"/>
      <c r="D401" s="390"/>
      <c r="E401" s="389"/>
      <c r="F401" s="390"/>
      <c r="G401" s="390"/>
      <c r="H401" s="391"/>
      <c r="I401" s="389"/>
      <c r="J401" s="393"/>
      <c r="K401" s="393"/>
      <c r="L401" s="2681"/>
      <c r="M401" s="394"/>
      <c r="N401" s="394"/>
      <c r="O401" s="394" t="s">
        <v>63</v>
      </c>
      <c r="P401" s="394"/>
      <c r="Q401" s="450" t="s">
        <v>72</v>
      </c>
      <c r="R401" s="398" t="s">
        <v>59</v>
      </c>
      <c r="S401" s="398"/>
      <c r="T401" s="398" t="s">
        <v>73</v>
      </c>
      <c r="U401" s="398" t="s">
        <v>59</v>
      </c>
      <c r="V401" s="399" t="s">
        <v>59</v>
      </c>
      <c r="W401" s="400" t="s">
        <v>59</v>
      </c>
      <c r="X401" s="401" t="s">
        <v>59</v>
      </c>
      <c r="Y401" s="401" t="s">
        <v>59</v>
      </c>
      <c r="Z401" s="401" t="s">
        <v>59</v>
      </c>
      <c r="AA401" s="402"/>
      <c r="AB401" s="462"/>
    </row>
    <row r="402" spans="1:28" s="457" customFormat="1" ht="18" customHeight="1" x14ac:dyDescent="0.2">
      <c r="A402" s="53">
        <v>1</v>
      </c>
      <c r="B402" s="1832">
        <v>2256</v>
      </c>
      <c r="C402" s="82">
        <v>309</v>
      </c>
      <c r="D402" s="82" t="s">
        <v>86</v>
      </c>
      <c r="E402" s="82">
        <v>2</v>
      </c>
      <c r="F402" s="82">
        <v>0</v>
      </c>
      <c r="G402" s="82">
        <v>2</v>
      </c>
      <c r="H402" s="463">
        <v>4</v>
      </c>
      <c r="I402" s="77">
        <f t="shared" ref="I402" si="117">F402*400+G402*100+H402</f>
        <v>204</v>
      </c>
      <c r="J402" s="1009">
        <v>1000</v>
      </c>
      <c r="K402" s="297">
        <f t="shared" ref="K402" si="118">I402*J402</f>
        <v>204000</v>
      </c>
      <c r="L402" s="75">
        <v>1</v>
      </c>
      <c r="M402" s="231">
        <v>101</v>
      </c>
      <c r="N402" s="448" t="s">
        <v>82</v>
      </c>
      <c r="O402" s="16">
        <v>2</v>
      </c>
      <c r="P402" s="153">
        <v>26.265000000000001</v>
      </c>
      <c r="Q402" s="1010">
        <v>1</v>
      </c>
      <c r="R402" s="1011">
        <v>7700</v>
      </c>
      <c r="S402" s="42">
        <f t="shared" ref="S402:S404" si="119">+P402*R402</f>
        <v>202240.5</v>
      </c>
      <c r="T402" s="453">
        <v>37</v>
      </c>
      <c r="U402" s="1670">
        <f>+S402*0.93</f>
        <v>188083.66500000001</v>
      </c>
      <c r="V402" s="18">
        <f t="shared" ref="V402:V404" si="120">+S402-U402</f>
        <v>14156.834999999992</v>
      </c>
      <c r="W402" s="18">
        <f t="shared" ref="W402:W404" si="121">K402+V402</f>
        <v>218156.83499999999</v>
      </c>
      <c r="X402" s="47">
        <f t="shared" ref="X402:X404" si="122">W402</f>
        <v>218156.83499999999</v>
      </c>
      <c r="Y402" s="1013" t="s">
        <v>89</v>
      </c>
      <c r="Z402" s="1012">
        <v>0</v>
      </c>
      <c r="AA402" s="952">
        <v>0.02</v>
      </c>
      <c r="AB402" s="465">
        <f>+Z402*AA402/100</f>
        <v>0</v>
      </c>
    </row>
    <row r="403" spans="1:28" s="457" customFormat="1" ht="18" customHeight="1" x14ac:dyDescent="0.2">
      <c r="A403" s="242"/>
      <c r="B403" s="27"/>
      <c r="C403" s="27"/>
      <c r="D403" s="27"/>
      <c r="E403" s="27"/>
      <c r="F403" s="27"/>
      <c r="G403" s="27"/>
      <c r="H403" s="557"/>
      <c r="I403" s="305"/>
      <c r="J403" s="306"/>
      <c r="K403" s="297"/>
      <c r="L403" s="45">
        <v>2</v>
      </c>
      <c r="M403" s="61">
        <v>103</v>
      </c>
      <c r="N403" s="50" t="s">
        <v>74</v>
      </c>
      <c r="O403" s="50">
        <v>2</v>
      </c>
      <c r="P403" s="19">
        <v>116.7234</v>
      </c>
      <c r="Q403" s="62" t="s">
        <v>75</v>
      </c>
      <c r="R403" s="672">
        <v>9050</v>
      </c>
      <c r="S403" s="47">
        <f t="shared" si="119"/>
        <v>1056346.77</v>
      </c>
      <c r="T403" s="1501">
        <v>7</v>
      </c>
      <c r="U403" s="1670">
        <f>+S403*0.07</f>
        <v>73944.273900000015</v>
      </c>
      <c r="V403" s="18">
        <f t="shared" si="120"/>
        <v>982402.49609999999</v>
      </c>
      <c r="W403" s="18">
        <f t="shared" si="121"/>
        <v>982402.49609999999</v>
      </c>
      <c r="X403" s="47">
        <f t="shared" si="122"/>
        <v>982402.49609999999</v>
      </c>
      <c r="Y403" s="1013"/>
      <c r="Z403" s="1012"/>
      <c r="AA403" s="952">
        <v>0.02</v>
      </c>
      <c r="AB403" s="410">
        <f>+Z403*AA403/100</f>
        <v>0</v>
      </c>
    </row>
    <row r="404" spans="1:28" s="457" customFormat="1" ht="18" customHeight="1" x14ac:dyDescent="0.2">
      <c r="A404" s="242"/>
      <c r="B404" s="27"/>
      <c r="C404" s="27"/>
      <c r="D404" s="27"/>
      <c r="E404" s="27"/>
      <c r="F404" s="27"/>
      <c r="G404" s="27"/>
      <c r="H404" s="557"/>
      <c r="I404" s="296"/>
      <c r="J404" s="306"/>
      <c r="K404" s="297"/>
      <c r="L404" s="45">
        <v>3</v>
      </c>
      <c r="M404" s="61">
        <v>518</v>
      </c>
      <c r="N404" s="50" t="s">
        <v>74</v>
      </c>
      <c r="O404" s="50">
        <v>3</v>
      </c>
      <c r="P404" s="19">
        <v>239.41</v>
      </c>
      <c r="Q404" s="62" t="s">
        <v>75</v>
      </c>
      <c r="R404" s="672">
        <v>6050</v>
      </c>
      <c r="S404" s="47">
        <f t="shared" si="119"/>
        <v>1448430.5</v>
      </c>
      <c r="T404" s="1501">
        <v>8</v>
      </c>
      <c r="U404" s="1670">
        <f>+S404*0.08</f>
        <v>115874.44</v>
      </c>
      <c r="V404" s="18">
        <f t="shared" si="120"/>
        <v>1332556.06</v>
      </c>
      <c r="W404" s="18">
        <f t="shared" si="121"/>
        <v>1332556.06</v>
      </c>
      <c r="X404" s="47">
        <f t="shared" si="122"/>
        <v>1332556.06</v>
      </c>
      <c r="Y404" s="1013"/>
      <c r="Z404" s="1012">
        <f>X404</f>
        <v>1332556.06</v>
      </c>
      <c r="AA404" s="952">
        <v>0.3</v>
      </c>
      <c r="AB404" s="466">
        <f>+Z404*AA404/100</f>
        <v>3997.6681800000001</v>
      </c>
    </row>
    <row r="405" spans="1:28" s="457" customFormat="1" ht="18" customHeight="1" x14ac:dyDescent="0.2">
      <c r="A405" s="145"/>
      <c r="B405" s="177"/>
      <c r="C405" s="177"/>
      <c r="D405" s="145"/>
      <c r="E405" s="145"/>
      <c r="F405" s="145"/>
      <c r="G405" s="145"/>
      <c r="H405" s="147"/>
      <c r="I405" s="107"/>
      <c r="J405" s="178"/>
      <c r="K405" s="107"/>
      <c r="L405" s="145"/>
      <c r="M405" s="145"/>
      <c r="N405" s="145"/>
      <c r="O405" s="145"/>
      <c r="P405" s="147"/>
      <c r="Q405" s="148"/>
      <c r="R405" s="437"/>
      <c r="S405" s="107"/>
      <c r="T405" s="179"/>
      <c r="U405" s="178"/>
      <c r="V405" s="107"/>
      <c r="W405" s="107"/>
      <c r="X405" s="470"/>
      <c r="Y405" s="470"/>
      <c r="Z405" s="471"/>
      <c r="AA405" s="471"/>
      <c r="AB405" s="466"/>
    </row>
    <row r="406" spans="1:28" s="457" customFormat="1" ht="18" customHeight="1" x14ac:dyDescent="0.2">
      <c r="A406" s="145"/>
      <c r="B406" s="177"/>
      <c r="C406" s="177"/>
      <c r="D406" s="145"/>
      <c r="E406" s="145"/>
      <c r="F406" s="145"/>
      <c r="G406" s="145"/>
      <c r="H406" s="147"/>
      <c r="I406" s="107"/>
      <c r="J406" s="178"/>
      <c r="K406" s="107"/>
      <c r="L406" s="145"/>
      <c r="M406" s="145"/>
      <c r="N406" s="145"/>
      <c r="O406" s="145"/>
      <c r="P406" s="147"/>
      <c r="Q406" s="148"/>
      <c r="R406" s="437"/>
      <c r="S406" s="107"/>
      <c r="T406" s="179"/>
      <c r="U406" s="178"/>
      <c r="V406" s="107"/>
      <c r="W406" s="107"/>
      <c r="X406" s="470"/>
      <c r="Y406" s="470"/>
      <c r="Z406" s="471"/>
      <c r="AA406" s="471"/>
      <c r="AB406" s="466"/>
    </row>
    <row r="407" spans="1:28" s="457" customFormat="1" ht="18" customHeight="1" x14ac:dyDescent="0.2">
      <c r="A407" s="145"/>
      <c r="B407" s="177"/>
      <c r="C407" s="177"/>
      <c r="D407" s="145"/>
      <c r="E407" s="145"/>
      <c r="F407" s="145"/>
      <c r="G407" s="145"/>
      <c r="H407" s="147"/>
      <c r="I407" s="107"/>
      <c r="J407" s="178"/>
      <c r="K407" s="107"/>
      <c r="L407" s="145"/>
      <c r="M407" s="145"/>
      <c r="N407" s="145"/>
      <c r="O407" s="145"/>
      <c r="P407" s="147"/>
      <c r="Q407" s="148"/>
      <c r="R407" s="437"/>
      <c r="S407" s="107"/>
      <c r="T407" s="179"/>
      <c r="U407" s="178"/>
      <c r="V407" s="107"/>
      <c r="W407" s="107"/>
      <c r="X407" s="470"/>
      <c r="Y407" s="470"/>
      <c r="Z407" s="471"/>
      <c r="AA407" s="471"/>
      <c r="AB407" s="466"/>
    </row>
    <row r="408" spans="1:28" s="457" customFormat="1" ht="18" customHeight="1" x14ac:dyDescent="0.2">
      <c r="A408" s="145"/>
      <c r="B408" s="177"/>
      <c r="C408" s="177"/>
      <c r="D408" s="145"/>
      <c r="E408" s="145"/>
      <c r="F408" s="145"/>
      <c r="G408" s="145"/>
      <c r="H408" s="147"/>
      <c r="I408" s="107"/>
      <c r="J408" s="178"/>
      <c r="K408" s="107"/>
      <c r="L408" s="145"/>
      <c r="M408" s="145"/>
      <c r="N408" s="145"/>
      <c r="O408" s="145"/>
      <c r="P408" s="147"/>
      <c r="Q408" s="148"/>
      <c r="R408" s="437"/>
      <c r="S408" s="107"/>
      <c r="T408" s="179"/>
      <c r="U408" s="178"/>
      <c r="V408" s="107"/>
      <c r="W408" s="107"/>
      <c r="X408" s="470"/>
      <c r="Y408" s="470"/>
      <c r="Z408" s="471"/>
      <c r="AA408" s="471"/>
      <c r="AB408" s="466"/>
    </row>
    <row r="409" spans="1:28" s="457" customFormat="1" ht="18" customHeight="1" x14ac:dyDescent="0.2">
      <c r="A409" s="145"/>
      <c r="B409" s="177"/>
      <c r="C409" s="177"/>
      <c r="D409" s="145"/>
      <c r="E409" s="145"/>
      <c r="F409" s="145"/>
      <c r="G409" s="145"/>
      <c r="H409" s="147"/>
      <c r="I409" s="107"/>
      <c r="J409" s="178"/>
      <c r="K409" s="107"/>
      <c r="L409" s="145"/>
      <c r="M409" s="145"/>
      <c r="N409" s="145"/>
      <c r="O409" s="145"/>
      <c r="P409" s="147"/>
      <c r="Q409" s="148"/>
      <c r="R409" s="437"/>
      <c r="S409" s="107"/>
      <c r="T409" s="179"/>
      <c r="U409" s="178"/>
      <c r="V409" s="107"/>
      <c r="W409" s="107"/>
      <c r="X409" s="470"/>
      <c r="Y409" s="470"/>
      <c r="Z409" s="471"/>
      <c r="AA409" s="471"/>
      <c r="AB409" s="466"/>
    </row>
    <row r="410" spans="1:28" s="457" customFormat="1" ht="18" customHeight="1" x14ac:dyDescent="0.2">
      <c r="A410" s="145"/>
      <c r="B410" s="177"/>
      <c r="C410" s="177"/>
      <c r="D410" s="145"/>
      <c r="E410" s="145"/>
      <c r="F410" s="145"/>
      <c r="G410" s="145"/>
      <c r="H410" s="147"/>
      <c r="I410" s="107"/>
      <c r="J410" s="178"/>
      <c r="K410" s="107"/>
      <c r="L410" s="145"/>
      <c r="M410" s="145"/>
      <c r="N410" s="145"/>
      <c r="O410" s="145"/>
      <c r="P410" s="147"/>
      <c r="Q410" s="148"/>
      <c r="R410" s="437"/>
      <c r="S410" s="107"/>
      <c r="T410" s="179"/>
      <c r="U410" s="178"/>
      <c r="V410" s="107"/>
      <c r="W410" s="107"/>
      <c r="X410" s="470"/>
      <c r="Y410" s="470"/>
      <c r="Z410" s="471"/>
      <c r="AA410" s="471"/>
      <c r="AB410" s="466"/>
    </row>
    <row r="411" spans="1:28" s="457" customFormat="1" ht="18" customHeight="1" x14ac:dyDescent="0.2">
      <c r="A411" s="145"/>
      <c r="B411" s="177"/>
      <c r="C411" s="177"/>
      <c r="D411" s="145"/>
      <c r="E411" s="145"/>
      <c r="F411" s="145"/>
      <c r="G411" s="145"/>
      <c r="H411" s="147"/>
      <c r="I411" s="107"/>
      <c r="J411" s="178"/>
      <c r="K411" s="107"/>
      <c r="L411" s="145"/>
      <c r="M411" s="145"/>
      <c r="N411" s="145"/>
      <c r="O411" s="145"/>
      <c r="P411" s="147"/>
      <c r="Q411" s="148"/>
      <c r="R411" s="437"/>
      <c r="S411" s="107"/>
      <c r="T411" s="179"/>
      <c r="U411" s="178"/>
      <c r="V411" s="107"/>
      <c r="W411" s="107"/>
      <c r="X411" s="470"/>
      <c r="Y411" s="470"/>
      <c r="Z411" s="471"/>
      <c r="AA411" s="471"/>
      <c r="AB411" s="466"/>
    </row>
    <row r="412" spans="1:28" s="457" customFormat="1" ht="18" customHeight="1" x14ac:dyDescent="0.2">
      <c r="A412" s="145"/>
      <c r="B412" s="177"/>
      <c r="C412" s="177"/>
      <c r="D412" s="145"/>
      <c r="E412" s="145"/>
      <c r="F412" s="145"/>
      <c r="G412" s="145"/>
      <c r="H412" s="147"/>
      <c r="I412" s="107"/>
      <c r="J412" s="178"/>
      <c r="K412" s="107"/>
      <c r="L412" s="145"/>
      <c r="M412" s="145"/>
      <c r="N412" s="145"/>
      <c r="O412" s="145"/>
      <c r="P412" s="147"/>
      <c r="Q412" s="148"/>
      <c r="R412" s="437"/>
      <c r="S412" s="107"/>
      <c r="T412" s="179"/>
      <c r="U412" s="178"/>
      <c r="V412" s="107"/>
      <c r="W412" s="107"/>
      <c r="X412" s="470"/>
      <c r="Y412" s="470"/>
      <c r="Z412" s="471"/>
      <c r="AA412" s="471"/>
      <c r="AB412" s="466"/>
    </row>
    <row r="413" spans="1:28" s="457" customFormat="1" ht="18" customHeight="1" x14ac:dyDescent="0.2">
      <c r="A413" s="145"/>
      <c r="B413" s="177"/>
      <c r="C413" s="177"/>
      <c r="D413" s="145"/>
      <c r="E413" s="145"/>
      <c r="F413" s="145"/>
      <c r="G413" s="145"/>
      <c r="H413" s="147"/>
      <c r="I413" s="107"/>
      <c r="J413" s="178"/>
      <c r="K413" s="107"/>
      <c r="L413" s="145"/>
      <c r="M413" s="145"/>
      <c r="N413" s="145"/>
      <c r="O413" s="145"/>
      <c r="P413" s="147"/>
      <c r="Q413" s="148"/>
      <c r="R413" s="437"/>
      <c r="S413" s="107"/>
      <c r="T413" s="179"/>
      <c r="U413" s="178"/>
      <c r="V413" s="107"/>
      <c r="W413" s="107"/>
      <c r="X413" s="470"/>
      <c r="Y413" s="470"/>
      <c r="Z413" s="471"/>
      <c r="AA413" s="471"/>
      <c r="AB413" s="466"/>
    </row>
    <row r="414" spans="1:28" s="457" customFormat="1" ht="18" customHeight="1" x14ac:dyDescent="0.2">
      <c r="A414" s="145"/>
      <c r="B414" s="177"/>
      <c r="C414" s="177"/>
      <c r="D414" s="145"/>
      <c r="E414" s="145"/>
      <c r="F414" s="145"/>
      <c r="G414" s="145"/>
      <c r="H414" s="147"/>
      <c r="I414" s="107"/>
      <c r="J414" s="178"/>
      <c r="K414" s="107"/>
      <c r="L414" s="145"/>
      <c r="M414" s="145"/>
      <c r="N414" s="145"/>
      <c r="O414" s="145"/>
      <c r="P414" s="147"/>
      <c r="Q414" s="148"/>
      <c r="R414" s="437"/>
      <c r="S414" s="107"/>
      <c r="T414" s="179"/>
      <c r="U414" s="178"/>
      <c r="V414" s="107"/>
      <c r="W414" s="107"/>
      <c r="X414" s="470"/>
      <c r="Y414" s="470"/>
      <c r="Z414" s="471"/>
      <c r="AA414" s="471"/>
      <c r="AB414" s="466"/>
    </row>
    <row r="415" spans="1:28" s="457" customFormat="1" ht="18" customHeight="1" x14ac:dyDescent="0.2">
      <c r="A415" s="145"/>
      <c r="B415" s="177"/>
      <c r="C415" s="177"/>
      <c r="D415" s="145"/>
      <c r="E415" s="145"/>
      <c r="F415" s="145"/>
      <c r="G415" s="145"/>
      <c r="H415" s="147"/>
      <c r="I415" s="107"/>
      <c r="J415" s="178"/>
      <c r="K415" s="107"/>
      <c r="L415" s="145"/>
      <c r="M415" s="145"/>
      <c r="N415" s="145"/>
      <c r="O415" s="145"/>
      <c r="P415" s="147"/>
      <c r="Q415" s="148"/>
      <c r="R415" s="437"/>
      <c r="S415" s="107"/>
      <c r="T415" s="179"/>
      <c r="U415" s="178"/>
      <c r="V415" s="107"/>
      <c r="W415" s="107"/>
      <c r="X415" s="470"/>
      <c r="Y415" s="470"/>
      <c r="Z415" s="471"/>
      <c r="AA415" s="471"/>
      <c r="AB415" s="466"/>
    </row>
    <row r="416" spans="1:28" s="457" customFormat="1" ht="18" customHeight="1" x14ac:dyDescent="0.2">
      <c r="A416" s="145"/>
      <c r="B416" s="177"/>
      <c r="C416" s="177"/>
      <c r="D416" s="145"/>
      <c r="E416" s="145"/>
      <c r="F416" s="145"/>
      <c r="G416" s="145"/>
      <c r="H416" s="147"/>
      <c r="I416" s="107"/>
      <c r="J416" s="178"/>
      <c r="K416" s="107"/>
      <c r="L416" s="145"/>
      <c r="M416" s="145"/>
      <c r="N416" s="145"/>
      <c r="O416" s="145"/>
      <c r="P416" s="147"/>
      <c r="Q416" s="148"/>
      <c r="R416" s="437"/>
      <c r="S416" s="107"/>
      <c r="T416" s="179"/>
      <c r="U416" s="178"/>
      <c r="V416" s="107"/>
      <c r="W416" s="107"/>
      <c r="X416" s="470"/>
      <c r="Y416" s="470"/>
      <c r="Z416" s="471"/>
      <c r="AA416" s="471"/>
      <c r="AB416" s="466"/>
    </row>
    <row r="417" spans="1:28" s="457" customFormat="1" ht="18" customHeight="1" x14ac:dyDescent="0.2">
      <c r="A417" s="183"/>
      <c r="B417" s="183"/>
      <c r="C417" s="183"/>
      <c r="D417" s="183"/>
      <c r="E417" s="183"/>
      <c r="F417" s="183"/>
      <c r="G417" s="183"/>
      <c r="H417" s="184"/>
      <c r="I417" s="185"/>
      <c r="J417" s="186"/>
      <c r="K417" s="185"/>
      <c r="L417" s="185"/>
      <c r="M417" s="185"/>
      <c r="N417" s="185"/>
      <c r="O417" s="185"/>
      <c r="P417" s="185"/>
      <c r="Q417" s="185"/>
      <c r="R417" s="438"/>
      <c r="S417" s="185"/>
      <c r="T417" s="187"/>
      <c r="U417" s="186"/>
      <c r="V417" s="185"/>
      <c r="W417" s="185"/>
      <c r="X417" s="474"/>
      <c r="Y417" s="474"/>
      <c r="Z417" s="475"/>
      <c r="AA417" s="475"/>
      <c r="AB417" s="1847">
        <f>SUM(AB402:AB416)</f>
        <v>3997.6681800000001</v>
      </c>
    </row>
    <row r="418" spans="1:28" s="457" customFormat="1" ht="18" customHeight="1" x14ac:dyDescent="0.2">
      <c r="A418" s="2737" t="s">
        <v>76</v>
      </c>
      <c r="B418" s="2737"/>
      <c r="C418" s="2738" t="s">
        <v>77</v>
      </c>
      <c r="D418" s="2738"/>
      <c r="E418" s="2738"/>
      <c r="F418" s="2738"/>
      <c r="G418" s="2738"/>
      <c r="H418" s="2738"/>
      <c r="I418" s="457" t="s">
        <v>78</v>
      </c>
      <c r="AB418" s="478"/>
    </row>
    <row r="419" spans="1:28" s="457" customFormat="1" ht="18" customHeight="1" x14ac:dyDescent="0.2">
      <c r="B419" s="479"/>
      <c r="I419" s="457" t="s">
        <v>79</v>
      </c>
      <c r="AB419" s="478"/>
    </row>
    <row r="420" spans="1:28" s="457" customFormat="1" ht="18" customHeight="1" x14ac:dyDescent="0.2">
      <c r="B420" s="479"/>
      <c r="I420" s="457" t="s">
        <v>80</v>
      </c>
      <c r="AB420" s="478"/>
    </row>
    <row r="421" spans="1:28" s="457" customFormat="1" ht="18" customHeight="1" x14ac:dyDescent="0.2">
      <c r="B421" s="479"/>
      <c r="I421" s="457" t="s">
        <v>81</v>
      </c>
      <c r="AB421" s="478"/>
    </row>
    <row r="422" spans="1:28" s="457" customFormat="1" ht="18" customHeight="1" x14ac:dyDescent="0.2">
      <c r="B422" s="479"/>
      <c r="I422" s="457" t="s">
        <v>88</v>
      </c>
      <c r="AB422" s="478"/>
    </row>
    <row r="423" spans="1:28" s="457" customFormat="1" ht="18" customHeight="1" x14ac:dyDescent="0.2">
      <c r="A423" s="455"/>
      <c r="B423" s="455"/>
      <c r="C423" s="455"/>
      <c r="D423" s="455"/>
      <c r="E423" s="455"/>
      <c r="F423" s="455"/>
      <c r="G423" s="455"/>
      <c r="H423" s="455"/>
      <c r="I423" s="455"/>
      <c r="J423" s="455"/>
      <c r="K423" s="455"/>
      <c r="L423" s="455"/>
      <c r="M423" s="455"/>
      <c r="N423" s="455"/>
      <c r="O423" s="455"/>
      <c r="P423" s="455"/>
      <c r="Q423" s="455"/>
      <c r="R423" s="455"/>
      <c r="S423" s="455"/>
      <c r="T423" s="455"/>
      <c r="U423" s="455"/>
      <c r="V423" s="455"/>
      <c r="W423" s="455"/>
      <c r="X423" s="455"/>
      <c r="Y423" s="455"/>
      <c r="Z423" s="455"/>
      <c r="AA423" s="2705" t="s">
        <v>0</v>
      </c>
      <c r="AB423" s="2705"/>
    </row>
    <row r="424" spans="1:28" s="457" customFormat="1" ht="18" customHeight="1" x14ac:dyDescent="0.2">
      <c r="A424" s="2706" t="s">
        <v>1</v>
      </c>
      <c r="B424" s="2706"/>
      <c r="C424" s="2706"/>
      <c r="D424" s="2706"/>
      <c r="E424" s="2706"/>
      <c r="F424" s="2706"/>
      <c r="G424" s="2706"/>
      <c r="H424" s="2706"/>
      <c r="I424" s="2706"/>
      <c r="J424" s="2706"/>
      <c r="K424" s="2706"/>
      <c r="L424" s="2706"/>
      <c r="M424" s="2706"/>
      <c r="N424" s="2706"/>
      <c r="O424" s="2706"/>
      <c r="P424" s="2706"/>
      <c r="Q424" s="2706"/>
      <c r="R424" s="2706"/>
      <c r="S424" s="2706"/>
      <c r="T424" s="2706"/>
      <c r="U424" s="2706"/>
      <c r="V424" s="2706"/>
      <c r="W424" s="2706"/>
      <c r="X424" s="2706"/>
      <c r="Y424" s="2706"/>
      <c r="Z424" s="2706"/>
      <c r="AA424" s="2706"/>
      <c r="AB424" s="2706"/>
    </row>
    <row r="425" spans="1:28" s="457" customFormat="1" ht="18" customHeight="1" x14ac:dyDescent="0.2">
      <c r="A425" s="2704" t="s">
        <v>382</v>
      </c>
      <c r="B425" s="2704"/>
      <c r="C425" s="2704"/>
      <c r="D425" s="2704"/>
      <c r="E425" s="2704"/>
      <c r="F425" s="2704"/>
      <c r="G425" s="2704"/>
      <c r="H425" s="2704"/>
      <c r="I425" s="2704"/>
      <c r="J425" s="2704"/>
      <c r="K425" s="2704"/>
      <c r="L425" s="2704"/>
      <c r="M425" s="2704"/>
      <c r="N425" s="2704"/>
      <c r="O425" s="2704"/>
      <c r="P425" s="2704"/>
      <c r="Q425" s="2704"/>
      <c r="R425" s="2704"/>
      <c r="S425" s="2704"/>
      <c r="T425" s="2704"/>
      <c r="U425" s="2704"/>
      <c r="V425" s="2704"/>
      <c r="W425" s="2704"/>
      <c r="X425" s="2704"/>
      <c r="Y425" s="2704"/>
      <c r="Z425" s="2704"/>
      <c r="AA425" s="2704"/>
      <c r="AB425" s="2704"/>
    </row>
    <row r="426" spans="1:28" s="457" customFormat="1" ht="18" customHeight="1" x14ac:dyDescent="0.2">
      <c r="A426" s="2686" t="s">
        <v>2</v>
      </c>
      <c r="B426" s="360"/>
      <c r="C426" s="2686" t="s">
        <v>3</v>
      </c>
      <c r="D426" s="360"/>
      <c r="E426" s="360"/>
      <c r="F426" s="2693" t="s">
        <v>4</v>
      </c>
      <c r="G426" s="2693"/>
      <c r="H426" s="2693"/>
      <c r="I426" s="2694"/>
      <c r="J426" s="2694"/>
      <c r="K426" s="2695"/>
      <c r="L426" s="361"/>
      <c r="M426" s="2679" t="s">
        <v>5</v>
      </c>
      <c r="N426" s="2679"/>
      <c r="O426" s="2679"/>
      <c r="P426" s="2679"/>
      <c r="Q426" s="2696"/>
      <c r="R426" s="2696"/>
      <c r="S426" s="2696"/>
      <c r="T426" s="2696"/>
      <c r="U426" s="2696"/>
      <c r="V426" s="2697"/>
      <c r="W426" s="362" t="s">
        <v>6</v>
      </c>
      <c r="X426" s="363" t="s">
        <v>7</v>
      </c>
      <c r="Y426" s="364"/>
      <c r="Z426" s="364"/>
      <c r="AA426" s="363"/>
      <c r="AB426" s="458"/>
    </row>
    <row r="427" spans="1:28" s="457" customFormat="1" ht="18" customHeight="1" x14ac:dyDescent="0.2">
      <c r="A427" s="2687"/>
      <c r="B427" s="367"/>
      <c r="C427" s="2687"/>
      <c r="D427" s="366" t="s">
        <v>9</v>
      </c>
      <c r="E427" s="366" t="s">
        <v>10</v>
      </c>
      <c r="F427" s="2698" t="s">
        <v>11</v>
      </c>
      <c r="G427" s="2694"/>
      <c r="H427" s="2695"/>
      <c r="I427" s="360"/>
      <c r="J427" s="449" t="s">
        <v>12</v>
      </c>
      <c r="K427" s="360"/>
      <c r="L427" s="2679" t="s">
        <v>2</v>
      </c>
      <c r="M427" s="370"/>
      <c r="N427" s="370"/>
      <c r="O427" s="370"/>
      <c r="P427" s="371"/>
      <c r="Q427" s="459" t="s">
        <v>13</v>
      </c>
      <c r="R427" s="370" t="s">
        <v>12</v>
      </c>
      <c r="S427" s="370" t="s">
        <v>6</v>
      </c>
      <c r="T427" s="2682" t="s">
        <v>14</v>
      </c>
      <c r="U427" s="2683"/>
      <c r="V427" s="375" t="s">
        <v>7</v>
      </c>
      <c r="W427" s="376" t="s">
        <v>15</v>
      </c>
      <c r="X427" s="377" t="s">
        <v>16</v>
      </c>
      <c r="Y427" s="377" t="s">
        <v>17</v>
      </c>
      <c r="Z427" s="377" t="s">
        <v>18</v>
      </c>
      <c r="AA427" s="377"/>
      <c r="AB427" s="460" t="s">
        <v>19</v>
      </c>
    </row>
    <row r="428" spans="1:28" s="457" customFormat="1" ht="18" customHeight="1" x14ac:dyDescent="0.2">
      <c r="A428" s="2687"/>
      <c r="B428" s="366" t="s">
        <v>23</v>
      </c>
      <c r="C428" s="2687"/>
      <c r="D428" s="366" t="s">
        <v>24</v>
      </c>
      <c r="E428" s="366" t="s">
        <v>25</v>
      </c>
      <c r="F428" s="2699"/>
      <c r="G428" s="2700"/>
      <c r="H428" s="2701"/>
      <c r="I428" s="366" t="s">
        <v>26</v>
      </c>
      <c r="J428" s="380" t="s">
        <v>15</v>
      </c>
      <c r="K428" s="380" t="s">
        <v>6</v>
      </c>
      <c r="L428" s="2680"/>
      <c r="M428" s="381" t="s">
        <v>27</v>
      </c>
      <c r="N428" s="381" t="s">
        <v>10</v>
      </c>
      <c r="O428" s="381" t="s">
        <v>10</v>
      </c>
      <c r="P428" s="385" t="s">
        <v>28</v>
      </c>
      <c r="Q428" s="461" t="s">
        <v>29</v>
      </c>
      <c r="R428" s="385" t="s">
        <v>15</v>
      </c>
      <c r="S428" s="385" t="s">
        <v>15</v>
      </c>
      <c r="T428" s="2684"/>
      <c r="U428" s="2685"/>
      <c r="V428" s="375" t="s">
        <v>30</v>
      </c>
      <c r="W428" s="376" t="s">
        <v>31</v>
      </c>
      <c r="X428" s="377" t="s">
        <v>30</v>
      </c>
      <c r="Y428" s="377" t="s">
        <v>32</v>
      </c>
      <c r="Z428" s="377" t="s">
        <v>7</v>
      </c>
      <c r="AA428" s="377" t="s">
        <v>33</v>
      </c>
      <c r="AB428" s="460" t="s">
        <v>34</v>
      </c>
    </row>
    <row r="429" spans="1:28" s="457" customFormat="1" ht="18" customHeight="1" x14ac:dyDescent="0.2">
      <c r="A429" s="2687"/>
      <c r="B429" s="366" t="s">
        <v>39</v>
      </c>
      <c r="C429" s="2687"/>
      <c r="D429" s="366" t="s">
        <v>40</v>
      </c>
      <c r="E429" s="366" t="s">
        <v>41</v>
      </c>
      <c r="F429" s="2686" t="s">
        <v>42</v>
      </c>
      <c r="G429" s="2686" t="s">
        <v>43</v>
      </c>
      <c r="H429" s="2688" t="s">
        <v>44</v>
      </c>
      <c r="I429" s="366" t="s">
        <v>45</v>
      </c>
      <c r="J429" s="380" t="s">
        <v>46</v>
      </c>
      <c r="K429" s="380" t="s">
        <v>47</v>
      </c>
      <c r="L429" s="2680"/>
      <c r="M429" s="381" t="s">
        <v>30</v>
      </c>
      <c r="N429" s="381" t="s">
        <v>30</v>
      </c>
      <c r="O429" s="381" t="s">
        <v>25</v>
      </c>
      <c r="P429" s="385" t="s">
        <v>30</v>
      </c>
      <c r="Q429" s="461" t="s">
        <v>48</v>
      </c>
      <c r="R429" s="385" t="s">
        <v>49</v>
      </c>
      <c r="S429" s="385" t="s">
        <v>30</v>
      </c>
      <c r="T429" s="374" t="s">
        <v>50</v>
      </c>
      <c r="U429" s="374" t="s">
        <v>13</v>
      </c>
      <c r="V429" s="375" t="s">
        <v>51</v>
      </c>
      <c r="W429" s="376" t="s">
        <v>52</v>
      </c>
      <c r="X429" s="377" t="s">
        <v>53</v>
      </c>
      <c r="Y429" s="377" t="s">
        <v>54</v>
      </c>
      <c r="Z429" s="377" t="s">
        <v>55</v>
      </c>
      <c r="AA429" s="377" t="s">
        <v>56</v>
      </c>
      <c r="AB429" s="460" t="s">
        <v>57</v>
      </c>
    </row>
    <row r="430" spans="1:28" s="457" customFormat="1" ht="18" customHeight="1" x14ac:dyDescent="0.2">
      <c r="A430" s="2687"/>
      <c r="B430" s="366" t="s">
        <v>61</v>
      </c>
      <c r="C430" s="2687"/>
      <c r="D430" s="366" t="s">
        <v>62</v>
      </c>
      <c r="E430" s="366" t="s">
        <v>63</v>
      </c>
      <c r="F430" s="2687"/>
      <c r="G430" s="2687"/>
      <c r="H430" s="2689"/>
      <c r="I430" s="366" t="s">
        <v>64</v>
      </c>
      <c r="J430" s="380" t="s">
        <v>59</v>
      </c>
      <c r="K430" s="380" t="s">
        <v>59</v>
      </c>
      <c r="L430" s="2680"/>
      <c r="M430" s="381"/>
      <c r="N430" s="381"/>
      <c r="O430" s="381" t="s">
        <v>41</v>
      </c>
      <c r="P430" s="385" t="s">
        <v>65</v>
      </c>
      <c r="Q430" s="461" t="s">
        <v>66</v>
      </c>
      <c r="R430" s="385" t="s">
        <v>67</v>
      </c>
      <c r="S430" s="385" t="s">
        <v>59</v>
      </c>
      <c r="T430" s="375" t="s">
        <v>68</v>
      </c>
      <c r="U430" s="375" t="s">
        <v>14</v>
      </c>
      <c r="V430" s="375" t="s">
        <v>14</v>
      </c>
      <c r="W430" s="376" t="s">
        <v>30</v>
      </c>
      <c r="X430" s="388" t="s">
        <v>69</v>
      </c>
      <c r="Y430" s="388" t="s">
        <v>70</v>
      </c>
      <c r="Z430" s="377" t="s">
        <v>71</v>
      </c>
      <c r="AA430" s="377" t="s">
        <v>72</v>
      </c>
      <c r="AB430" s="460" t="s">
        <v>59</v>
      </c>
    </row>
    <row r="431" spans="1:28" s="457" customFormat="1" ht="18" customHeight="1" x14ac:dyDescent="0.2">
      <c r="A431" s="2692"/>
      <c r="B431" s="390"/>
      <c r="C431" s="2692"/>
      <c r="D431" s="390"/>
      <c r="E431" s="389"/>
      <c r="F431" s="390"/>
      <c r="G431" s="390"/>
      <c r="H431" s="391"/>
      <c r="I431" s="389"/>
      <c r="J431" s="393"/>
      <c r="K431" s="393"/>
      <c r="L431" s="2681"/>
      <c r="M431" s="394"/>
      <c r="N431" s="394"/>
      <c r="O431" s="394" t="s">
        <v>63</v>
      </c>
      <c r="P431" s="394"/>
      <c r="Q431" s="450" t="s">
        <v>72</v>
      </c>
      <c r="R431" s="398" t="s">
        <v>59</v>
      </c>
      <c r="S431" s="398"/>
      <c r="T431" s="398" t="s">
        <v>73</v>
      </c>
      <c r="U431" s="398" t="s">
        <v>59</v>
      </c>
      <c r="V431" s="399" t="s">
        <v>59</v>
      </c>
      <c r="W431" s="400" t="s">
        <v>59</v>
      </c>
      <c r="X431" s="401" t="s">
        <v>59</v>
      </c>
      <c r="Y431" s="401" t="s">
        <v>59</v>
      </c>
      <c r="Z431" s="401" t="s">
        <v>59</v>
      </c>
      <c r="AA431" s="402"/>
      <c r="AB431" s="462"/>
    </row>
    <row r="432" spans="1:28" s="457" customFormat="1" ht="18" customHeight="1" x14ac:dyDescent="0.25">
      <c r="A432" s="53">
        <v>1</v>
      </c>
      <c r="B432" s="333">
        <v>2342</v>
      </c>
      <c r="C432" s="41">
        <v>90</v>
      </c>
      <c r="D432" s="41" t="s">
        <v>86</v>
      </c>
      <c r="E432" s="15">
        <v>3</v>
      </c>
      <c r="F432" s="41">
        <v>0</v>
      </c>
      <c r="G432" s="41">
        <v>1</v>
      </c>
      <c r="H432" s="267">
        <v>39.15</v>
      </c>
      <c r="I432" s="77">
        <f t="shared" ref="I432:I434" si="123">F432*400+G432*100+H432</f>
        <v>139.15</v>
      </c>
      <c r="J432" s="306">
        <v>2300</v>
      </c>
      <c r="K432" s="297">
        <f t="shared" ref="K432:K434" si="124">I432*J432</f>
        <v>320045</v>
      </c>
      <c r="L432" s="75"/>
      <c r="M432" s="82">
        <v>106</v>
      </c>
      <c r="N432" s="740" t="s">
        <v>96</v>
      </c>
      <c r="O432" s="53">
        <v>5</v>
      </c>
      <c r="P432" s="789">
        <v>323.99520000000007</v>
      </c>
      <c r="Q432" s="197" t="s">
        <v>75</v>
      </c>
      <c r="R432" s="916">
        <v>7950</v>
      </c>
      <c r="S432" s="917">
        <v>2575761.8400000003</v>
      </c>
      <c r="T432" s="1840">
        <v>27</v>
      </c>
      <c r="U432" s="1670">
        <f>+S432*0.85</f>
        <v>2189397.5640000002</v>
      </c>
      <c r="V432" s="18">
        <f t="shared" ref="V432:V434" si="125">+S432-U432</f>
        <v>386364.27600000007</v>
      </c>
      <c r="W432" s="18">
        <f t="shared" ref="W432:W434" si="126">K432+V432</f>
        <v>706409.27600000007</v>
      </c>
      <c r="X432" s="47">
        <f t="shared" ref="X432:X434" si="127">W432</f>
        <v>706409.27600000007</v>
      </c>
      <c r="Y432" s="811" t="s">
        <v>89</v>
      </c>
      <c r="Z432" s="810">
        <v>0</v>
      </c>
      <c r="AA432" s="812">
        <v>0.02</v>
      </c>
      <c r="AB432" s="406">
        <f>+Z432*AA432/100</f>
        <v>0</v>
      </c>
    </row>
    <row r="433" spans="1:28" s="457" customFormat="1" ht="18" customHeight="1" x14ac:dyDescent="0.25">
      <c r="A433" s="242"/>
      <c r="B433" s="269"/>
      <c r="C433" s="285"/>
      <c r="D433" s="273"/>
      <c r="E433" s="273"/>
      <c r="F433" s="268"/>
      <c r="G433" s="269"/>
      <c r="H433" s="266"/>
      <c r="I433" s="77">
        <f t="shared" si="123"/>
        <v>0</v>
      </c>
      <c r="J433" s="306"/>
      <c r="K433" s="297">
        <f t="shared" si="124"/>
        <v>0</v>
      </c>
      <c r="L433" s="75">
        <v>1</v>
      </c>
      <c r="M433" s="145">
        <v>106</v>
      </c>
      <c r="N433" s="448" t="s">
        <v>96</v>
      </c>
      <c r="O433" s="61">
        <v>2</v>
      </c>
      <c r="P433" s="173">
        <v>272.58720000000005</v>
      </c>
      <c r="Q433" s="196" t="s">
        <v>172</v>
      </c>
      <c r="R433" s="809">
        <v>7950</v>
      </c>
      <c r="S433" s="919">
        <v>2167068.2400000002</v>
      </c>
      <c r="T433" s="1841">
        <v>27</v>
      </c>
      <c r="U433" s="1670">
        <f>+S433*0.85</f>
        <v>1842008.0040000002</v>
      </c>
      <c r="V433" s="18">
        <f t="shared" si="125"/>
        <v>325060.23600000003</v>
      </c>
      <c r="W433" s="18">
        <f t="shared" si="126"/>
        <v>325060.23600000003</v>
      </c>
      <c r="X433" s="47">
        <f t="shared" si="127"/>
        <v>325060.23600000003</v>
      </c>
      <c r="Y433" s="811"/>
      <c r="Z433" s="1012">
        <f>X433</f>
        <v>325060.23600000003</v>
      </c>
      <c r="AA433" s="812">
        <v>0.02</v>
      </c>
      <c r="AB433" s="415">
        <f>+Z433*AA433/100</f>
        <v>65.012047200000012</v>
      </c>
    </row>
    <row r="434" spans="1:28" s="457" customFormat="1" ht="18" customHeight="1" x14ac:dyDescent="0.25">
      <c r="A434" s="242"/>
      <c r="B434" s="269"/>
      <c r="C434" s="285"/>
      <c r="D434" s="273"/>
      <c r="E434" s="273"/>
      <c r="F434" s="268">
        <v>0</v>
      </c>
      <c r="G434" s="269">
        <v>0</v>
      </c>
      <c r="H434" s="266">
        <v>12.85</v>
      </c>
      <c r="I434" s="77">
        <f t="shared" si="123"/>
        <v>12.85</v>
      </c>
      <c r="J434" s="306">
        <v>2300</v>
      </c>
      <c r="K434" s="297">
        <f t="shared" si="124"/>
        <v>29555</v>
      </c>
      <c r="L434" s="75">
        <v>2</v>
      </c>
      <c r="M434" s="145">
        <v>106</v>
      </c>
      <c r="N434" s="448" t="s">
        <v>96</v>
      </c>
      <c r="O434" s="61">
        <v>3</v>
      </c>
      <c r="P434" s="173">
        <v>51.408000000000001</v>
      </c>
      <c r="Q434" s="174" t="s">
        <v>173</v>
      </c>
      <c r="R434" s="809">
        <v>7950</v>
      </c>
      <c r="S434" s="919">
        <v>408693.60000000003</v>
      </c>
      <c r="T434" s="1842">
        <v>27</v>
      </c>
      <c r="U434" s="1670">
        <f>+S434*0.85</f>
        <v>347389.56</v>
      </c>
      <c r="V434" s="18">
        <f t="shared" si="125"/>
        <v>61304.040000000037</v>
      </c>
      <c r="W434" s="18">
        <f t="shared" si="126"/>
        <v>90859.040000000037</v>
      </c>
      <c r="X434" s="47">
        <f t="shared" si="127"/>
        <v>90859.040000000037</v>
      </c>
      <c r="Y434" s="811"/>
      <c r="Z434" s="1012">
        <f>X434</f>
        <v>90859.040000000037</v>
      </c>
      <c r="AA434" s="812">
        <v>0.3</v>
      </c>
      <c r="AB434" s="410">
        <f>+Z434*AA434/100</f>
        <v>272.57712000000009</v>
      </c>
    </row>
    <row r="435" spans="1:28" s="457" customFormat="1" ht="18" customHeight="1" x14ac:dyDescent="0.2">
      <c r="A435" s="145"/>
      <c r="B435" s="177"/>
      <c r="C435" s="177"/>
      <c r="D435" s="145"/>
      <c r="E435" s="145"/>
      <c r="F435" s="145"/>
      <c r="G435" s="145"/>
      <c r="H435" s="147"/>
      <c r="I435" s="107"/>
      <c r="J435" s="178"/>
      <c r="K435" s="107"/>
      <c r="L435" s="145"/>
      <c r="M435" s="145"/>
      <c r="N435" s="145"/>
      <c r="O435" s="145"/>
      <c r="P435" s="147"/>
      <c r="Q435" s="148"/>
      <c r="R435" s="437"/>
      <c r="S435" s="107"/>
      <c r="T435" s="179"/>
      <c r="U435" s="178"/>
      <c r="V435" s="107"/>
      <c r="W435" s="107"/>
      <c r="X435" s="470"/>
      <c r="Y435" s="470"/>
      <c r="Z435" s="471"/>
      <c r="AA435" s="471"/>
      <c r="AB435" s="466"/>
    </row>
    <row r="436" spans="1:28" s="457" customFormat="1" ht="18" customHeight="1" x14ac:dyDescent="0.2">
      <c r="A436" s="145"/>
      <c r="B436" s="177"/>
      <c r="C436" s="177"/>
      <c r="D436" s="145"/>
      <c r="E436" s="145"/>
      <c r="F436" s="145"/>
      <c r="G436" s="145"/>
      <c r="H436" s="147"/>
      <c r="I436" s="107"/>
      <c r="J436" s="178"/>
      <c r="K436" s="107"/>
      <c r="L436" s="145"/>
      <c r="M436" s="145"/>
      <c r="N436" s="145"/>
      <c r="O436" s="145"/>
      <c r="P436" s="147"/>
      <c r="Q436" s="148"/>
      <c r="R436" s="437"/>
      <c r="S436" s="107"/>
      <c r="T436" s="179"/>
      <c r="U436" s="178"/>
      <c r="V436" s="107"/>
      <c r="W436" s="107"/>
      <c r="X436" s="470"/>
      <c r="Y436" s="470"/>
      <c r="Z436" s="471"/>
      <c r="AA436" s="471"/>
      <c r="AB436" s="466"/>
    </row>
    <row r="437" spans="1:28" s="457" customFormat="1" ht="18" customHeight="1" x14ac:dyDescent="0.2">
      <c r="A437" s="145"/>
      <c r="B437" s="177"/>
      <c r="C437" s="177"/>
      <c r="D437" s="145"/>
      <c r="E437" s="145"/>
      <c r="F437" s="145"/>
      <c r="G437" s="145"/>
      <c r="H437" s="147"/>
      <c r="I437" s="107"/>
      <c r="J437" s="178"/>
      <c r="K437" s="107"/>
      <c r="L437" s="145"/>
      <c r="M437" s="145"/>
      <c r="N437" s="145"/>
      <c r="O437" s="145"/>
      <c r="P437" s="147"/>
      <c r="Q437" s="148"/>
      <c r="R437" s="437"/>
      <c r="S437" s="107"/>
      <c r="T437" s="179"/>
      <c r="U437" s="178"/>
      <c r="V437" s="107"/>
      <c r="W437" s="107"/>
      <c r="X437" s="470"/>
      <c r="Y437" s="470"/>
      <c r="Z437" s="471"/>
      <c r="AA437" s="471"/>
      <c r="AB437" s="466"/>
    </row>
    <row r="438" spans="1:28" s="457" customFormat="1" ht="18" customHeight="1" x14ac:dyDescent="0.2">
      <c r="A438" s="145"/>
      <c r="B438" s="177"/>
      <c r="C438" s="177"/>
      <c r="D438" s="145"/>
      <c r="E438" s="145"/>
      <c r="F438" s="145"/>
      <c r="G438" s="145"/>
      <c r="H438" s="147"/>
      <c r="I438" s="107"/>
      <c r="J438" s="178"/>
      <c r="K438" s="107"/>
      <c r="L438" s="145"/>
      <c r="M438" s="145"/>
      <c r="N438" s="145"/>
      <c r="O438" s="145"/>
      <c r="P438" s="147"/>
      <c r="Q438" s="148"/>
      <c r="R438" s="437"/>
      <c r="S438" s="107"/>
      <c r="T438" s="179"/>
      <c r="U438" s="178"/>
      <c r="V438" s="107"/>
      <c r="W438" s="107"/>
      <c r="X438" s="470"/>
      <c r="Y438" s="470"/>
      <c r="Z438" s="471"/>
      <c r="AA438" s="471"/>
      <c r="AB438" s="466"/>
    </row>
    <row r="439" spans="1:28" s="457" customFormat="1" ht="18" customHeight="1" x14ac:dyDescent="0.2">
      <c r="A439" s="145"/>
      <c r="B439" s="177"/>
      <c r="C439" s="177"/>
      <c r="D439" s="145"/>
      <c r="E439" s="145"/>
      <c r="F439" s="145"/>
      <c r="G439" s="145"/>
      <c r="H439" s="147"/>
      <c r="I439" s="107"/>
      <c r="J439" s="178"/>
      <c r="K439" s="107"/>
      <c r="L439" s="145"/>
      <c r="M439" s="145"/>
      <c r="N439" s="145"/>
      <c r="O439" s="145"/>
      <c r="P439" s="147"/>
      <c r="Q439" s="148"/>
      <c r="R439" s="437"/>
      <c r="S439" s="107"/>
      <c r="T439" s="179"/>
      <c r="U439" s="178"/>
      <c r="V439" s="107"/>
      <c r="W439" s="107"/>
      <c r="X439" s="470"/>
      <c r="Y439" s="470"/>
      <c r="Z439" s="471"/>
      <c r="AA439" s="471"/>
      <c r="AB439" s="466"/>
    </row>
    <row r="440" spans="1:28" s="457" customFormat="1" ht="18" customHeight="1" x14ac:dyDescent="0.2">
      <c r="A440" s="145"/>
      <c r="B440" s="177"/>
      <c r="C440" s="177"/>
      <c r="D440" s="145"/>
      <c r="E440" s="145"/>
      <c r="F440" s="145"/>
      <c r="G440" s="145"/>
      <c r="H440" s="147"/>
      <c r="I440" s="107"/>
      <c r="J440" s="178"/>
      <c r="K440" s="107"/>
      <c r="L440" s="145"/>
      <c r="M440" s="145"/>
      <c r="N440" s="145"/>
      <c r="O440" s="145"/>
      <c r="P440" s="147"/>
      <c r="Q440" s="148"/>
      <c r="R440" s="437"/>
      <c r="S440" s="107"/>
      <c r="T440" s="179"/>
      <c r="U440" s="178"/>
      <c r="V440" s="107"/>
      <c r="W440" s="107"/>
      <c r="X440" s="470"/>
      <c r="Y440" s="470"/>
      <c r="Z440" s="471"/>
      <c r="AA440" s="471"/>
      <c r="AB440" s="466"/>
    </row>
    <row r="441" spans="1:28" s="457" customFormat="1" ht="18" customHeight="1" x14ac:dyDescent="0.2">
      <c r="A441" s="145"/>
      <c r="B441" s="177"/>
      <c r="C441" s="177"/>
      <c r="D441" s="145"/>
      <c r="E441" s="145"/>
      <c r="F441" s="145"/>
      <c r="G441" s="145"/>
      <c r="H441" s="147"/>
      <c r="I441" s="107"/>
      <c r="J441" s="178"/>
      <c r="K441" s="107"/>
      <c r="L441" s="145"/>
      <c r="M441" s="145"/>
      <c r="N441" s="145"/>
      <c r="O441" s="145"/>
      <c r="P441" s="147"/>
      <c r="Q441" s="148"/>
      <c r="R441" s="437"/>
      <c r="S441" s="107"/>
      <c r="T441" s="179"/>
      <c r="U441" s="178"/>
      <c r="V441" s="107"/>
      <c r="W441" s="107"/>
      <c r="X441" s="470"/>
      <c r="Y441" s="470"/>
      <c r="Z441" s="471"/>
      <c r="AA441" s="471"/>
      <c r="AB441" s="466"/>
    </row>
    <row r="442" spans="1:28" s="457" customFormat="1" ht="18" customHeight="1" x14ac:dyDescent="0.2">
      <c r="A442" s="145"/>
      <c r="B442" s="177"/>
      <c r="C442" s="177"/>
      <c r="D442" s="145"/>
      <c r="E442" s="145"/>
      <c r="F442" s="145"/>
      <c r="G442" s="145"/>
      <c r="H442" s="147"/>
      <c r="I442" s="107"/>
      <c r="J442" s="178"/>
      <c r="K442" s="107"/>
      <c r="L442" s="145"/>
      <c r="M442" s="145"/>
      <c r="N442" s="145"/>
      <c r="O442" s="145"/>
      <c r="P442" s="147"/>
      <c r="Q442" s="148"/>
      <c r="R442" s="437"/>
      <c r="S442" s="107"/>
      <c r="T442" s="179"/>
      <c r="U442" s="178"/>
      <c r="V442" s="107"/>
      <c r="W442" s="107"/>
      <c r="X442" s="470"/>
      <c r="Y442" s="470"/>
      <c r="Z442" s="471"/>
      <c r="AA442" s="471"/>
      <c r="AB442" s="466"/>
    </row>
    <row r="443" spans="1:28" s="457" customFormat="1" ht="18" customHeight="1" x14ac:dyDescent="0.2">
      <c r="A443" s="145"/>
      <c r="B443" s="177"/>
      <c r="C443" s="177"/>
      <c r="D443" s="145"/>
      <c r="E443" s="145"/>
      <c r="F443" s="145"/>
      <c r="G443" s="145"/>
      <c r="H443" s="147"/>
      <c r="I443" s="107"/>
      <c r="J443" s="178"/>
      <c r="K443" s="107"/>
      <c r="L443" s="145"/>
      <c r="M443" s="145"/>
      <c r="N443" s="145"/>
      <c r="O443" s="145"/>
      <c r="P443" s="147"/>
      <c r="Q443" s="148"/>
      <c r="R443" s="437"/>
      <c r="S443" s="107"/>
      <c r="T443" s="179"/>
      <c r="U443" s="178"/>
      <c r="V443" s="107"/>
      <c r="W443" s="107"/>
      <c r="X443" s="470"/>
      <c r="Y443" s="470"/>
      <c r="Z443" s="471"/>
      <c r="AA443" s="471"/>
      <c r="AB443" s="466"/>
    </row>
    <row r="444" spans="1:28" s="457" customFormat="1" ht="18" customHeight="1" x14ac:dyDescent="0.2">
      <c r="A444" s="145"/>
      <c r="B444" s="177"/>
      <c r="C444" s="177"/>
      <c r="D444" s="145"/>
      <c r="E444" s="145"/>
      <c r="F444" s="145"/>
      <c r="G444" s="145"/>
      <c r="H444" s="147"/>
      <c r="I444" s="107"/>
      <c r="J444" s="178"/>
      <c r="K444" s="107"/>
      <c r="L444" s="145"/>
      <c r="M444" s="145"/>
      <c r="N444" s="145"/>
      <c r="O444" s="145"/>
      <c r="P444" s="147"/>
      <c r="Q444" s="148"/>
      <c r="R444" s="437"/>
      <c r="S444" s="107"/>
      <c r="T444" s="179"/>
      <c r="U444" s="178"/>
      <c r="V444" s="107"/>
      <c r="W444" s="107"/>
      <c r="X444" s="470"/>
      <c r="Y444" s="470"/>
      <c r="Z444" s="471"/>
      <c r="AA444" s="471"/>
      <c r="AB444" s="466"/>
    </row>
    <row r="445" spans="1:28" s="457" customFormat="1" ht="18" customHeight="1" x14ac:dyDescent="0.2">
      <c r="A445" s="145"/>
      <c r="B445" s="177"/>
      <c r="C445" s="177"/>
      <c r="D445" s="145"/>
      <c r="E445" s="145"/>
      <c r="F445" s="145"/>
      <c r="G445" s="145"/>
      <c r="H445" s="147"/>
      <c r="I445" s="107"/>
      <c r="J445" s="178"/>
      <c r="K445" s="107"/>
      <c r="L445" s="145"/>
      <c r="M445" s="145"/>
      <c r="N445" s="145"/>
      <c r="O445" s="145"/>
      <c r="P445" s="147"/>
      <c r="Q445" s="148"/>
      <c r="R445" s="437"/>
      <c r="S445" s="107"/>
      <c r="T445" s="179"/>
      <c r="U445" s="178"/>
      <c r="V445" s="107"/>
      <c r="W445" s="107"/>
      <c r="X445" s="470"/>
      <c r="Y445" s="470"/>
      <c r="Z445" s="471"/>
      <c r="AA445" s="471"/>
      <c r="AB445" s="466"/>
    </row>
    <row r="446" spans="1:28" s="457" customFormat="1" ht="18" customHeight="1" x14ac:dyDescent="0.2">
      <c r="A446" s="145"/>
      <c r="B446" s="177"/>
      <c r="C446" s="177"/>
      <c r="D446" s="145"/>
      <c r="E446" s="145"/>
      <c r="F446" s="145"/>
      <c r="G446" s="145"/>
      <c r="H446" s="147"/>
      <c r="I446" s="107"/>
      <c r="J446" s="178"/>
      <c r="K446" s="107"/>
      <c r="L446" s="145"/>
      <c r="M446" s="145"/>
      <c r="N446" s="145"/>
      <c r="O446" s="145"/>
      <c r="P446" s="147"/>
      <c r="Q446" s="148"/>
      <c r="R446" s="437"/>
      <c r="S446" s="107"/>
      <c r="T446" s="179"/>
      <c r="U446" s="178"/>
      <c r="V446" s="107"/>
      <c r="W446" s="107"/>
      <c r="X446" s="470"/>
      <c r="Y446" s="470"/>
      <c r="Z446" s="471"/>
      <c r="AA446" s="471"/>
      <c r="AB446" s="466"/>
    </row>
    <row r="447" spans="1:28" s="457" customFormat="1" ht="18" customHeight="1" x14ac:dyDescent="0.2">
      <c r="A447" s="183"/>
      <c r="B447" s="183"/>
      <c r="C447" s="183"/>
      <c r="D447" s="183"/>
      <c r="E447" s="183"/>
      <c r="F447" s="183"/>
      <c r="G447" s="183"/>
      <c r="H447" s="184"/>
      <c r="I447" s="185"/>
      <c r="J447" s="186"/>
      <c r="K447" s="185"/>
      <c r="L447" s="185"/>
      <c r="M447" s="185"/>
      <c r="N447" s="185"/>
      <c r="O447" s="185"/>
      <c r="P447" s="185"/>
      <c r="Q447" s="185"/>
      <c r="R447" s="438"/>
      <c r="S447" s="185"/>
      <c r="T447" s="187"/>
      <c r="U447" s="186"/>
      <c r="V447" s="185"/>
      <c r="W447" s="185"/>
      <c r="X447" s="474"/>
      <c r="Y447" s="474"/>
      <c r="Z447" s="475"/>
      <c r="AA447" s="475"/>
      <c r="AB447" s="1847">
        <f>SUM(AB432:AB446)</f>
        <v>337.58916720000013</v>
      </c>
    </row>
    <row r="448" spans="1:28" s="457" customFormat="1" ht="18" customHeight="1" x14ac:dyDescent="0.2">
      <c r="A448" s="2737" t="s">
        <v>76</v>
      </c>
      <c r="B448" s="2737"/>
      <c r="C448" s="2738" t="s">
        <v>77</v>
      </c>
      <c r="D448" s="2738"/>
      <c r="E448" s="2738"/>
      <c r="F448" s="2738"/>
      <c r="G448" s="2738"/>
      <c r="H448" s="2738"/>
      <c r="I448" s="457" t="s">
        <v>78</v>
      </c>
      <c r="AB448" s="478"/>
    </row>
    <row r="449" spans="1:32" s="457" customFormat="1" ht="18" customHeight="1" x14ac:dyDescent="0.2">
      <c r="B449" s="479"/>
      <c r="I449" s="457" t="s">
        <v>79</v>
      </c>
      <c r="AB449" s="478"/>
    </row>
    <row r="450" spans="1:32" s="457" customFormat="1" ht="18" customHeight="1" x14ac:dyDescent="0.2">
      <c r="B450" s="479"/>
      <c r="I450" s="457" t="s">
        <v>80</v>
      </c>
      <c r="AB450" s="478"/>
    </row>
    <row r="451" spans="1:32" s="457" customFormat="1" ht="18" customHeight="1" x14ac:dyDescent="0.2">
      <c r="B451" s="479"/>
      <c r="I451" s="457" t="s">
        <v>81</v>
      </c>
      <c r="AB451" s="478"/>
    </row>
    <row r="452" spans="1:32" s="457" customFormat="1" ht="18" customHeight="1" x14ac:dyDescent="0.2">
      <c r="B452" s="479"/>
      <c r="I452" s="457" t="s">
        <v>88</v>
      </c>
      <c r="AB452" s="478"/>
    </row>
    <row r="453" spans="1:32" s="457" customFormat="1" ht="18" customHeight="1" x14ac:dyDescent="0.2">
      <c r="A453" s="455"/>
      <c r="B453" s="455"/>
      <c r="C453" s="455"/>
      <c r="D453" s="455"/>
      <c r="E453" s="455"/>
      <c r="F453" s="455"/>
      <c r="G453" s="455"/>
      <c r="H453" s="455"/>
      <c r="I453" s="455"/>
      <c r="J453" s="455"/>
      <c r="K453" s="455"/>
      <c r="L453" s="455"/>
      <c r="M453" s="455"/>
      <c r="N453" s="455"/>
      <c r="O453" s="455"/>
      <c r="P453" s="455"/>
      <c r="Q453" s="455"/>
      <c r="R453" s="455"/>
      <c r="S453" s="455"/>
      <c r="T453" s="455"/>
      <c r="U453" s="455"/>
      <c r="V453" s="455"/>
      <c r="W453" s="455"/>
      <c r="X453" s="455"/>
      <c r="Y453" s="455"/>
      <c r="Z453" s="455"/>
      <c r="AA453" s="2705" t="s">
        <v>0</v>
      </c>
      <c r="AB453" s="2705"/>
      <c r="AC453" s="455"/>
      <c r="AD453" s="455"/>
      <c r="AE453" s="455"/>
      <c r="AF453" s="455"/>
    </row>
    <row r="454" spans="1:32" s="457" customFormat="1" ht="18" customHeight="1" x14ac:dyDescent="0.2">
      <c r="A454" s="2706" t="s">
        <v>1</v>
      </c>
      <c r="B454" s="2706"/>
      <c r="C454" s="2706"/>
      <c r="D454" s="2706"/>
      <c r="E454" s="2706"/>
      <c r="F454" s="2706"/>
      <c r="G454" s="2706"/>
      <c r="H454" s="2706"/>
      <c r="I454" s="2706"/>
      <c r="J454" s="2706"/>
      <c r="K454" s="2706"/>
      <c r="L454" s="2706"/>
      <c r="M454" s="2706"/>
      <c r="N454" s="2706"/>
      <c r="O454" s="2706"/>
      <c r="P454" s="2706"/>
      <c r="Q454" s="2706"/>
      <c r="R454" s="2706"/>
      <c r="S454" s="2706"/>
      <c r="T454" s="2706"/>
      <c r="U454" s="2706"/>
      <c r="V454" s="2706"/>
      <c r="W454" s="2706"/>
      <c r="X454" s="2706"/>
      <c r="Y454" s="2706"/>
      <c r="Z454" s="2706"/>
      <c r="AA454" s="2706"/>
      <c r="AB454" s="2706"/>
      <c r="AC454" s="610"/>
      <c r="AD454" s="610"/>
      <c r="AE454" s="610"/>
      <c r="AF454" s="610"/>
    </row>
    <row r="455" spans="1:32" s="457" customFormat="1" ht="18" customHeight="1" x14ac:dyDescent="0.2">
      <c r="A455" s="2704" t="s">
        <v>383</v>
      </c>
      <c r="B455" s="2704"/>
      <c r="C455" s="2704"/>
      <c r="D455" s="2704"/>
      <c r="E455" s="2704"/>
      <c r="F455" s="2704"/>
      <c r="G455" s="2704"/>
      <c r="H455" s="2704"/>
      <c r="I455" s="2704"/>
      <c r="J455" s="2704"/>
      <c r="K455" s="2704"/>
      <c r="L455" s="2704"/>
      <c r="M455" s="2704"/>
      <c r="N455" s="2704"/>
      <c r="O455" s="2704"/>
      <c r="P455" s="2704"/>
      <c r="Q455" s="2704"/>
      <c r="R455" s="2704"/>
      <c r="S455" s="2704"/>
      <c r="T455" s="2704"/>
      <c r="U455" s="2704"/>
      <c r="V455" s="2704"/>
      <c r="W455" s="2704"/>
      <c r="X455" s="2704"/>
      <c r="Y455" s="2704"/>
      <c r="Z455" s="2704"/>
      <c r="AA455" s="2704"/>
      <c r="AB455" s="2704"/>
      <c r="AC455" s="611"/>
      <c r="AD455" s="611"/>
      <c r="AE455" s="611"/>
      <c r="AF455" s="611"/>
    </row>
    <row r="456" spans="1:32" s="457" customFormat="1" ht="18" customHeight="1" x14ac:dyDescent="0.2">
      <c r="A456" s="2686" t="s">
        <v>2</v>
      </c>
      <c r="B456" s="360"/>
      <c r="C456" s="2686" t="s">
        <v>3</v>
      </c>
      <c r="D456" s="360"/>
      <c r="E456" s="360"/>
      <c r="F456" s="2693" t="s">
        <v>4</v>
      </c>
      <c r="G456" s="2693"/>
      <c r="H456" s="2693"/>
      <c r="I456" s="2694"/>
      <c r="J456" s="2694"/>
      <c r="K456" s="2695"/>
      <c r="L456" s="361"/>
      <c r="M456" s="2679" t="s">
        <v>5</v>
      </c>
      <c r="N456" s="2679"/>
      <c r="O456" s="2679"/>
      <c r="P456" s="2679"/>
      <c r="Q456" s="2696"/>
      <c r="R456" s="2696"/>
      <c r="S456" s="2696"/>
      <c r="T456" s="2696"/>
      <c r="U456" s="2696"/>
      <c r="V456" s="2697"/>
      <c r="W456" s="362" t="s">
        <v>6</v>
      </c>
      <c r="X456" s="363" t="s">
        <v>7</v>
      </c>
      <c r="Y456" s="364"/>
      <c r="Z456" s="364"/>
      <c r="AA456" s="363"/>
      <c r="AB456" s="458"/>
      <c r="AC456" s="612" t="s">
        <v>8</v>
      </c>
      <c r="AD456" s="613"/>
      <c r="AE456" s="613"/>
      <c r="AF456" s="614"/>
    </row>
    <row r="457" spans="1:32" s="457" customFormat="1" ht="18" customHeight="1" x14ac:dyDescent="0.2">
      <c r="A457" s="2687"/>
      <c r="B457" s="367"/>
      <c r="C457" s="2687"/>
      <c r="D457" s="366" t="s">
        <v>9</v>
      </c>
      <c r="E457" s="366" t="s">
        <v>10</v>
      </c>
      <c r="F457" s="2698" t="s">
        <v>11</v>
      </c>
      <c r="G457" s="2694"/>
      <c r="H457" s="2695"/>
      <c r="I457" s="360"/>
      <c r="J457" s="449" t="s">
        <v>12</v>
      </c>
      <c r="K457" s="360"/>
      <c r="L457" s="2679" t="s">
        <v>2</v>
      </c>
      <c r="M457" s="370"/>
      <c r="N457" s="370"/>
      <c r="O457" s="370"/>
      <c r="P457" s="371"/>
      <c r="Q457" s="459" t="s">
        <v>13</v>
      </c>
      <c r="R457" s="370" t="s">
        <v>12</v>
      </c>
      <c r="S457" s="370" t="s">
        <v>6</v>
      </c>
      <c r="T457" s="2682" t="s">
        <v>14</v>
      </c>
      <c r="U457" s="2683"/>
      <c r="V457" s="375" t="s">
        <v>7</v>
      </c>
      <c r="W457" s="376" t="s">
        <v>15</v>
      </c>
      <c r="X457" s="377" t="s">
        <v>16</v>
      </c>
      <c r="Y457" s="377" t="s">
        <v>17</v>
      </c>
      <c r="Z457" s="377" t="s">
        <v>18</v>
      </c>
      <c r="AA457" s="377"/>
      <c r="AB457" s="460" t="s">
        <v>19</v>
      </c>
      <c r="AC457" s="615" t="s">
        <v>20</v>
      </c>
      <c r="AD457" s="616"/>
      <c r="AE457" s="617" t="s">
        <v>21</v>
      </c>
      <c r="AF457" s="618" t="s">
        <v>22</v>
      </c>
    </row>
    <row r="458" spans="1:32" s="457" customFormat="1" ht="18" customHeight="1" x14ac:dyDescent="0.2">
      <c r="A458" s="2687"/>
      <c r="B458" s="366" t="s">
        <v>23</v>
      </c>
      <c r="C458" s="2687"/>
      <c r="D458" s="366" t="s">
        <v>24</v>
      </c>
      <c r="E458" s="366" t="s">
        <v>25</v>
      </c>
      <c r="F458" s="2699"/>
      <c r="G458" s="2700"/>
      <c r="H458" s="2701"/>
      <c r="I458" s="366" t="s">
        <v>26</v>
      </c>
      <c r="J458" s="380" t="s">
        <v>15</v>
      </c>
      <c r="K458" s="380" t="s">
        <v>6</v>
      </c>
      <c r="L458" s="2680"/>
      <c r="M458" s="381" t="s">
        <v>27</v>
      </c>
      <c r="N458" s="381" t="s">
        <v>10</v>
      </c>
      <c r="O458" s="381" t="s">
        <v>10</v>
      </c>
      <c r="P458" s="385" t="s">
        <v>28</v>
      </c>
      <c r="Q458" s="461" t="s">
        <v>29</v>
      </c>
      <c r="R458" s="385" t="s">
        <v>15</v>
      </c>
      <c r="S458" s="385" t="s">
        <v>15</v>
      </c>
      <c r="T458" s="2684"/>
      <c r="U458" s="2685"/>
      <c r="V458" s="375" t="s">
        <v>30</v>
      </c>
      <c r="W458" s="376" t="s">
        <v>31</v>
      </c>
      <c r="X458" s="377" t="s">
        <v>30</v>
      </c>
      <c r="Y458" s="377" t="s">
        <v>32</v>
      </c>
      <c r="Z458" s="377" t="s">
        <v>7</v>
      </c>
      <c r="AA458" s="377" t="s">
        <v>33</v>
      </c>
      <c r="AB458" s="460" t="s">
        <v>34</v>
      </c>
      <c r="AC458" s="615" t="s">
        <v>35</v>
      </c>
      <c r="AD458" s="617" t="s">
        <v>36</v>
      </c>
      <c r="AE458" s="617" t="s">
        <v>37</v>
      </c>
      <c r="AF458" s="618" t="s">
        <v>38</v>
      </c>
    </row>
    <row r="459" spans="1:32" s="457" customFormat="1" ht="18" customHeight="1" x14ac:dyDescent="0.2">
      <c r="A459" s="2687"/>
      <c r="B459" s="366" t="s">
        <v>39</v>
      </c>
      <c r="C459" s="2687"/>
      <c r="D459" s="366" t="s">
        <v>40</v>
      </c>
      <c r="E459" s="366" t="s">
        <v>41</v>
      </c>
      <c r="F459" s="2686" t="s">
        <v>42</v>
      </c>
      <c r="G459" s="2686" t="s">
        <v>43</v>
      </c>
      <c r="H459" s="2688" t="s">
        <v>44</v>
      </c>
      <c r="I459" s="366" t="s">
        <v>45</v>
      </c>
      <c r="J459" s="380" t="s">
        <v>46</v>
      </c>
      <c r="K459" s="380" t="s">
        <v>47</v>
      </c>
      <c r="L459" s="2680"/>
      <c r="M459" s="381" t="s">
        <v>30</v>
      </c>
      <c r="N459" s="381" t="s">
        <v>30</v>
      </c>
      <c r="O459" s="381" t="s">
        <v>25</v>
      </c>
      <c r="P459" s="385" t="s">
        <v>30</v>
      </c>
      <c r="Q459" s="461" t="s">
        <v>48</v>
      </c>
      <c r="R459" s="385" t="s">
        <v>49</v>
      </c>
      <c r="S459" s="385" t="s">
        <v>30</v>
      </c>
      <c r="T459" s="374" t="s">
        <v>50</v>
      </c>
      <c r="U459" s="374" t="s">
        <v>13</v>
      </c>
      <c r="V459" s="375" t="s">
        <v>51</v>
      </c>
      <c r="W459" s="376" t="s">
        <v>52</v>
      </c>
      <c r="X459" s="377" t="s">
        <v>53</v>
      </c>
      <c r="Y459" s="377" t="s">
        <v>54</v>
      </c>
      <c r="Z459" s="377" t="s">
        <v>55</v>
      </c>
      <c r="AA459" s="377" t="s">
        <v>56</v>
      </c>
      <c r="AB459" s="460" t="s">
        <v>57</v>
      </c>
      <c r="AC459" s="617" t="s">
        <v>58</v>
      </c>
      <c r="AD459" s="617" t="s">
        <v>59</v>
      </c>
      <c r="AE459" s="617" t="s">
        <v>59</v>
      </c>
      <c r="AF459" s="618" t="s">
        <v>60</v>
      </c>
    </row>
    <row r="460" spans="1:32" s="457" customFormat="1" ht="18" customHeight="1" x14ac:dyDescent="0.2">
      <c r="A460" s="2687"/>
      <c r="B460" s="366" t="s">
        <v>61</v>
      </c>
      <c r="C460" s="2687"/>
      <c r="D460" s="366" t="s">
        <v>62</v>
      </c>
      <c r="E460" s="366" t="s">
        <v>63</v>
      </c>
      <c r="F460" s="2687"/>
      <c r="G460" s="2687"/>
      <c r="H460" s="2689"/>
      <c r="I460" s="366" t="s">
        <v>64</v>
      </c>
      <c r="J460" s="380" t="s">
        <v>59</v>
      </c>
      <c r="K460" s="380" t="s">
        <v>59</v>
      </c>
      <c r="L460" s="2680"/>
      <c r="M460" s="381"/>
      <c r="N460" s="381"/>
      <c r="O460" s="381" t="s">
        <v>41</v>
      </c>
      <c r="P460" s="385" t="s">
        <v>65</v>
      </c>
      <c r="Q460" s="461" t="s">
        <v>66</v>
      </c>
      <c r="R460" s="385" t="s">
        <v>67</v>
      </c>
      <c r="S460" s="385" t="s">
        <v>59</v>
      </c>
      <c r="T460" s="375" t="s">
        <v>68</v>
      </c>
      <c r="U460" s="375" t="s">
        <v>14</v>
      </c>
      <c r="V460" s="375" t="s">
        <v>14</v>
      </c>
      <c r="W460" s="376" t="s">
        <v>30</v>
      </c>
      <c r="X460" s="388" t="s">
        <v>69</v>
      </c>
      <c r="Y460" s="388" t="s">
        <v>70</v>
      </c>
      <c r="Z460" s="377" t="s">
        <v>71</v>
      </c>
      <c r="AA460" s="377" t="s">
        <v>72</v>
      </c>
      <c r="AB460" s="460" t="s">
        <v>59</v>
      </c>
      <c r="AC460" s="617" t="s">
        <v>59</v>
      </c>
      <c r="AD460" s="617"/>
      <c r="AE460" s="617"/>
      <c r="AF460" s="618" t="s">
        <v>59</v>
      </c>
    </row>
    <row r="461" spans="1:32" s="457" customFormat="1" ht="18" customHeight="1" x14ac:dyDescent="0.2">
      <c r="A461" s="2692"/>
      <c r="B461" s="390"/>
      <c r="C461" s="2692"/>
      <c r="D461" s="390"/>
      <c r="E461" s="389"/>
      <c r="F461" s="390"/>
      <c r="G461" s="390"/>
      <c r="H461" s="391"/>
      <c r="I461" s="389"/>
      <c r="J461" s="393"/>
      <c r="K461" s="393"/>
      <c r="L461" s="2681"/>
      <c r="M461" s="394"/>
      <c r="N461" s="394"/>
      <c r="O461" s="394" t="s">
        <v>63</v>
      </c>
      <c r="P461" s="394"/>
      <c r="Q461" s="450" t="s">
        <v>72</v>
      </c>
      <c r="R461" s="398" t="s">
        <v>59</v>
      </c>
      <c r="S461" s="398"/>
      <c r="T461" s="398" t="s">
        <v>73</v>
      </c>
      <c r="U461" s="398" t="s">
        <v>59</v>
      </c>
      <c r="V461" s="399" t="s">
        <v>59</v>
      </c>
      <c r="W461" s="400" t="s">
        <v>59</v>
      </c>
      <c r="X461" s="401" t="s">
        <v>59</v>
      </c>
      <c r="Y461" s="401" t="s">
        <v>59</v>
      </c>
      <c r="Z461" s="401" t="s">
        <v>59</v>
      </c>
      <c r="AA461" s="402"/>
      <c r="AB461" s="462"/>
      <c r="AC461" s="625"/>
      <c r="AD461" s="625"/>
      <c r="AE461" s="625"/>
      <c r="AF461" s="626"/>
    </row>
    <row r="462" spans="1:32" s="457" customFormat="1" ht="18" customHeight="1" x14ac:dyDescent="0.25">
      <c r="A462" s="53">
        <v>1</v>
      </c>
      <c r="B462" s="333">
        <v>56858</v>
      </c>
      <c r="C462" s="41">
        <v>1682</v>
      </c>
      <c r="D462" s="41" t="s">
        <v>86</v>
      </c>
      <c r="E462" s="41">
        <v>1</v>
      </c>
      <c r="F462" s="41">
        <v>3</v>
      </c>
      <c r="G462" s="41">
        <v>0</v>
      </c>
      <c r="H462" s="267">
        <v>52</v>
      </c>
      <c r="I462" s="77">
        <f t="shared" ref="I462:I464" si="128">F462*400+G462*100+H462</f>
        <v>1252</v>
      </c>
      <c r="J462" s="310">
        <v>280</v>
      </c>
      <c r="K462" s="297">
        <f t="shared" ref="K462:K464" si="129">I462*J462</f>
        <v>350560</v>
      </c>
      <c r="L462" s="16"/>
      <c r="M462" s="82"/>
      <c r="N462" s="41"/>
      <c r="O462" s="16"/>
      <c r="P462" s="41"/>
      <c r="Q462" s="62"/>
      <c r="R462" s="672"/>
      <c r="S462" s="296"/>
      <c r="T462" s="298"/>
      <c r="U462" s="299"/>
      <c r="V462" s="299"/>
      <c r="W462" s="18">
        <f t="shared" ref="W462:W464" si="130">K462+V462</f>
        <v>350560</v>
      </c>
      <c r="X462" s="47">
        <f t="shared" ref="X462:X464" si="131">W462</f>
        <v>350560</v>
      </c>
      <c r="Y462" s="296" t="s">
        <v>87</v>
      </c>
      <c r="Z462" s="296">
        <v>0</v>
      </c>
      <c r="AA462" s="494">
        <v>0.01</v>
      </c>
      <c r="AB462" s="465">
        <f>+Z462*AA462/100</f>
        <v>0</v>
      </c>
      <c r="AC462" s="602"/>
      <c r="AD462" s="603">
        <f>AB492-AC462</f>
        <v>0</v>
      </c>
      <c r="AE462" s="603">
        <f>IF(AD462&lt;=0,0,AD462*25/100)</f>
        <v>0</v>
      </c>
      <c r="AF462" s="603">
        <f>IF(AC462+AE462&gt;AB492,AB492,AC462+AE462)</f>
        <v>0</v>
      </c>
    </row>
    <row r="463" spans="1:32" s="457" customFormat="1" ht="18" customHeight="1" x14ac:dyDescent="0.2">
      <c r="A463" s="61"/>
      <c r="B463" s="15"/>
      <c r="C463" s="15"/>
      <c r="D463" s="15"/>
      <c r="E463" s="15"/>
      <c r="F463" s="15">
        <v>0</v>
      </c>
      <c r="G463" s="15">
        <v>0</v>
      </c>
      <c r="H463" s="284">
        <v>25</v>
      </c>
      <c r="I463" s="77">
        <f t="shared" si="128"/>
        <v>25</v>
      </c>
      <c r="J463" s="305">
        <v>280</v>
      </c>
      <c r="K463" s="297">
        <f t="shared" si="129"/>
        <v>7000</v>
      </c>
      <c r="L463" s="50"/>
      <c r="M463" s="145" t="s">
        <v>283</v>
      </c>
      <c r="N463" s="15">
        <v>25</v>
      </c>
      <c r="O463" s="50">
        <v>3</v>
      </c>
      <c r="P463" s="15"/>
      <c r="Q463" s="62"/>
      <c r="R463" s="672"/>
      <c r="S463" s="296"/>
      <c r="T463" s="298"/>
      <c r="U463" s="299"/>
      <c r="V463" s="299"/>
      <c r="W463" s="18">
        <f t="shared" si="130"/>
        <v>7000</v>
      </c>
      <c r="X463" s="47">
        <f t="shared" si="131"/>
        <v>7000</v>
      </c>
      <c r="Y463" s="296"/>
      <c r="Z463" s="1012">
        <f>X463</f>
        <v>7000</v>
      </c>
      <c r="AA463" s="494">
        <v>0.3</v>
      </c>
      <c r="AB463" s="410">
        <f>+Z463*AA463/100</f>
        <v>21</v>
      </c>
      <c r="AC463" s="350"/>
      <c r="AD463" s="350"/>
      <c r="AE463" s="350"/>
      <c r="AF463" s="350"/>
    </row>
    <row r="464" spans="1:32" s="457" customFormat="1" ht="18" customHeight="1" x14ac:dyDescent="0.25">
      <c r="A464" s="242"/>
      <c r="B464" s="269"/>
      <c r="C464" s="285"/>
      <c r="D464" s="273"/>
      <c r="E464" s="15"/>
      <c r="F464" s="268">
        <v>0</v>
      </c>
      <c r="G464" s="269">
        <v>0</v>
      </c>
      <c r="H464" s="284">
        <v>25</v>
      </c>
      <c r="I464" s="77">
        <f t="shared" si="128"/>
        <v>25</v>
      </c>
      <c r="J464" s="306">
        <v>280</v>
      </c>
      <c r="K464" s="297">
        <f t="shared" si="129"/>
        <v>7000</v>
      </c>
      <c r="L464" s="269"/>
      <c r="M464" s="145" t="s">
        <v>284</v>
      </c>
      <c r="N464" s="269">
        <v>25</v>
      </c>
      <c r="O464" s="50">
        <v>3</v>
      </c>
      <c r="P464" s="266"/>
      <c r="Q464" s="285"/>
      <c r="R464" s="1005"/>
      <c r="S464" s="321"/>
      <c r="T464" s="323"/>
      <c r="U464" s="321"/>
      <c r="V464" s="321"/>
      <c r="W464" s="18">
        <f t="shared" si="130"/>
        <v>7000</v>
      </c>
      <c r="X464" s="47">
        <f t="shared" si="131"/>
        <v>7000</v>
      </c>
      <c r="Y464" s="321"/>
      <c r="Z464" s="1012">
        <f>X464</f>
        <v>7000</v>
      </c>
      <c r="AA464" s="494">
        <v>0.3</v>
      </c>
      <c r="AB464" s="410">
        <f>+Z464*AA464/100</f>
        <v>21</v>
      </c>
      <c r="AC464" s="350"/>
      <c r="AD464" s="350"/>
      <c r="AE464" s="350"/>
      <c r="AF464" s="350"/>
    </row>
    <row r="465" spans="1:32" s="457" customFormat="1" ht="18" customHeight="1" x14ac:dyDescent="0.2">
      <c r="A465" s="145"/>
      <c r="B465" s="177"/>
      <c r="C465" s="177"/>
      <c r="D465" s="145"/>
      <c r="E465" s="145"/>
      <c r="F465" s="145"/>
      <c r="G465" s="145"/>
      <c r="H465" s="147"/>
      <c r="I465" s="77"/>
      <c r="J465" s="107"/>
      <c r="K465" s="199"/>
      <c r="L465" s="242"/>
      <c r="M465" s="145"/>
      <c r="N465" s="242"/>
      <c r="O465" s="61"/>
      <c r="P465" s="497"/>
      <c r="Q465" s="496"/>
      <c r="R465" s="503"/>
      <c r="S465" s="504"/>
      <c r="T465" s="505"/>
      <c r="U465" s="504"/>
      <c r="V465" s="504"/>
      <c r="W465" s="77"/>
      <c r="X465" s="74"/>
      <c r="Y465" s="504"/>
      <c r="Z465" s="77"/>
      <c r="AA465" s="409"/>
      <c r="AB465" s="410"/>
      <c r="AC465" s="350"/>
      <c r="AD465" s="350"/>
      <c r="AE465" s="350"/>
      <c r="AF465" s="350"/>
    </row>
    <row r="466" spans="1:32" s="457" customFormat="1" ht="18" customHeight="1" x14ac:dyDescent="0.2">
      <c r="A466" s="145"/>
      <c r="B466" s="177"/>
      <c r="C466" s="177"/>
      <c r="D466" s="145"/>
      <c r="E466" s="145"/>
      <c r="F466" s="145"/>
      <c r="G466" s="145"/>
      <c r="H466" s="147"/>
      <c r="I466" s="107"/>
      <c r="J466" s="178"/>
      <c r="K466" s="107"/>
      <c r="L466" s="145"/>
      <c r="M466" s="145"/>
      <c r="N466" s="145"/>
      <c r="O466" s="145"/>
      <c r="P466" s="147"/>
      <c r="Q466" s="148"/>
      <c r="R466" s="437"/>
      <c r="S466" s="107"/>
      <c r="T466" s="179"/>
      <c r="U466" s="178"/>
      <c r="V466" s="107"/>
      <c r="W466" s="107"/>
      <c r="X466" s="470"/>
      <c r="Y466" s="470"/>
      <c r="Z466" s="471"/>
      <c r="AA466" s="471"/>
      <c r="AB466" s="410"/>
      <c r="AC466" s="350"/>
      <c r="AD466" s="350"/>
      <c r="AE466" s="350"/>
      <c r="AF466" s="350"/>
    </row>
    <row r="467" spans="1:32" s="457" customFormat="1" ht="18" customHeight="1" x14ac:dyDescent="0.2">
      <c r="A467" s="145"/>
      <c r="B467" s="177"/>
      <c r="C467" s="177"/>
      <c r="D467" s="145"/>
      <c r="E467" s="145"/>
      <c r="F467" s="145"/>
      <c r="G467" s="145"/>
      <c r="H467" s="147"/>
      <c r="I467" s="107"/>
      <c r="J467" s="178"/>
      <c r="K467" s="107"/>
      <c r="L467" s="145"/>
      <c r="M467" s="145"/>
      <c r="N467" s="145"/>
      <c r="O467" s="145"/>
      <c r="P467" s="147"/>
      <c r="Q467" s="148"/>
      <c r="R467" s="437"/>
      <c r="S467" s="107"/>
      <c r="T467" s="179"/>
      <c r="U467" s="178"/>
      <c r="V467" s="107"/>
      <c r="W467" s="107"/>
      <c r="X467" s="470"/>
      <c r="Y467" s="470"/>
      <c r="Z467" s="471"/>
      <c r="AA467" s="471"/>
      <c r="AB467" s="466"/>
      <c r="AC467" s="350"/>
      <c r="AD467" s="350"/>
      <c r="AE467" s="350"/>
      <c r="AF467" s="350"/>
    </row>
    <row r="468" spans="1:32" s="457" customFormat="1" ht="18" customHeight="1" x14ac:dyDescent="0.2">
      <c r="A468" s="145"/>
      <c r="B468" s="177"/>
      <c r="C468" s="177"/>
      <c r="D468" s="145"/>
      <c r="E468" s="145"/>
      <c r="F468" s="145"/>
      <c r="G468" s="145"/>
      <c r="H468" s="147"/>
      <c r="I468" s="107"/>
      <c r="J468" s="178"/>
      <c r="K468" s="107"/>
      <c r="L468" s="145"/>
      <c r="M468" s="145"/>
      <c r="N468" s="145"/>
      <c r="O468" s="145"/>
      <c r="P468" s="147"/>
      <c r="Q468" s="148"/>
      <c r="R468" s="437"/>
      <c r="S468" s="107"/>
      <c r="T468" s="179"/>
      <c r="U468" s="178"/>
      <c r="V468" s="107"/>
      <c r="W468" s="107"/>
      <c r="X468" s="470"/>
      <c r="Y468" s="470"/>
      <c r="Z468" s="471"/>
      <c r="AA468" s="471"/>
      <c r="AB468" s="466"/>
      <c r="AC468" s="350"/>
      <c r="AD468" s="350"/>
      <c r="AE468" s="350"/>
      <c r="AF468" s="350"/>
    </row>
    <row r="469" spans="1:32" s="457" customFormat="1" ht="18" customHeight="1" x14ac:dyDescent="0.2">
      <c r="A469" s="145"/>
      <c r="B469" s="177"/>
      <c r="C469" s="177"/>
      <c r="D469" s="145"/>
      <c r="E469" s="145"/>
      <c r="F469" s="145"/>
      <c r="G469" s="145"/>
      <c r="H469" s="147"/>
      <c r="I469" s="107"/>
      <c r="J469" s="178"/>
      <c r="K469" s="107"/>
      <c r="L469" s="145"/>
      <c r="M469" s="145"/>
      <c r="N469" s="145"/>
      <c r="O469" s="145"/>
      <c r="P469" s="147"/>
      <c r="Q469" s="148"/>
      <c r="R469" s="437"/>
      <c r="S469" s="107"/>
      <c r="T469" s="179"/>
      <c r="U469" s="178"/>
      <c r="V469" s="107"/>
      <c r="W469" s="107"/>
      <c r="X469" s="470"/>
      <c r="Y469" s="470"/>
      <c r="Z469" s="471"/>
      <c r="AA469" s="471"/>
      <c r="AB469" s="466"/>
      <c r="AC469" s="350"/>
      <c r="AD469" s="350"/>
      <c r="AE469" s="350"/>
      <c r="AF469" s="350"/>
    </row>
    <row r="470" spans="1:32" s="457" customFormat="1" ht="18" customHeight="1" x14ac:dyDescent="0.2">
      <c r="A470" s="145"/>
      <c r="B470" s="177"/>
      <c r="C470" s="177"/>
      <c r="D470" s="145"/>
      <c r="E470" s="145"/>
      <c r="F470" s="145"/>
      <c r="G470" s="145"/>
      <c r="H470" s="147"/>
      <c r="I470" s="107"/>
      <c r="J470" s="178"/>
      <c r="K470" s="107"/>
      <c r="L470" s="145"/>
      <c r="M470" s="145"/>
      <c r="N470" s="145"/>
      <c r="O470" s="145"/>
      <c r="P470" s="147"/>
      <c r="Q470" s="148"/>
      <c r="R470" s="437"/>
      <c r="S470" s="107"/>
      <c r="T470" s="179"/>
      <c r="U470" s="178"/>
      <c r="V470" s="107"/>
      <c r="W470" s="107"/>
      <c r="X470" s="470"/>
      <c r="Y470" s="470"/>
      <c r="Z470" s="471"/>
      <c r="AA470" s="471"/>
      <c r="AB470" s="466"/>
      <c r="AC470" s="350"/>
      <c r="AD470" s="350"/>
      <c r="AE470" s="350"/>
      <c r="AF470" s="350"/>
    </row>
    <row r="471" spans="1:32" s="457" customFormat="1" ht="18" customHeight="1" x14ac:dyDescent="0.2">
      <c r="A471" s="145"/>
      <c r="B471" s="177"/>
      <c r="C471" s="177"/>
      <c r="D471" s="145"/>
      <c r="E471" s="145"/>
      <c r="F471" s="145"/>
      <c r="G471" s="145"/>
      <c r="H471" s="147"/>
      <c r="I471" s="107"/>
      <c r="J471" s="178"/>
      <c r="K471" s="107"/>
      <c r="L471" s="145"/>
      <c r="M471" s="145"/>
      <c r="N471" s="145"/>
      <c r="O471" s="145"/>
      <c r="P471" s="147"/>
      <c r="Q471" s="148"/>
      <c r="R471" s="437"/>
      <c r="S471" s="107"/>
      <c r="T471" s="179"/>
      <c r="U471" s="178"/>
      <c r="V471" s="107"/>
      <c r="W471" s="107"/>
      <c r="X471" s="470"/>
      <c r="Y471" s="470"/>
      <c r="Z471" s="471"/>
      <c r="AA471" s="471"/>
      <c r="AB471" s="466"/>
      <c r="AC471" s="350"/>
      <c r="AD471" s="350"/>
      <c r="AE471" s="350"/>
      <c r="AF471" s="350"/>
    </row>
    <row r="472" spans="1:32" s="457" customFormat="1" ht="18" customHeight="1" x14ac:dyDescent="0.2">
      <c r="A472" s="145"/>
      <c r="B472" s="177"/>
      <c r="C472" s="177"/>
      <c r="D472" s="145"/>
      <c r="E472" s="145"/>
      <c r="F472" s="145"/>
      <c r="G472" s="145"/>
      <c r="H472" s="147"/>
      <c r="I472" s="107"/>
      <c r="J472" s="178"/>
      <c r="K472" s="107"/>
      <c r="L472" s="145"/>
      <c r="M472" s="145"/>
      <c r="N472" s="145"/>
      <c r="O472" s="145"/>
      <c r="P472" s="147"/>
      <c r="Q472" s="148"/>
      <c r="R472" s="437"/>
      <c r="S472" s="107"/>
      <c r="T472" s="179"/>
      <c r="U472" s="178"/>
      <c r="V472" s="107"/>
      <c r="W472" s="107"/>
      <c r="X472" s="470"/>
      <c r="Y472" s="470"/>
      <c r="Z472" s="471"/>
      <c r="AA472" s="471"/>
      <c r="AB472" s="466"/>
      <c r="AC472" s="350"/>
      <c r="AD472" s="350"/>
      <c r="AE472" s="350"/>
      <c r="AF472" s="350"/>
    </row>
    <row r="473" spans="1:32" s="457" customFormat="1" ht="18" customHeight="1" x14ac:dyDescent="0.2">
      <c r="A473" s="145"/>
      <c r="B473" s="177"/>
      <c r="C473" s="177"/>
      <c r="D473" s="145"/>
      <c r="E473" s="145"/>
      <c r="F473" s="145"/>
      <c r="G473" s="145"/>
      <c r="H473" s="147"/>
      <c r="I473" s="107"/>
      <c r="J473" s="178"/>
      <c r="K473" s="107"/>
      <c r="L473" s="145"/>
      <c r="M473" s="145"/>
      <c r="N473" s="145"/>
      <c r="O473" s="145"/>
      <c r="P473" s="147"/>
      <c r="Q473" s="148"/>
      <c r="R473" s="437"/>
      <c r="S473" s="107"/>
      <c r="T473" s="179"/>
      <c r="U473" s="178"/>
      <c r="V473" s="107"/>
      <c r="W473" s="107"/>
      <c r="X473" s="470"/>
      <c r="Y473" s="470"/>
      <c r="Z473" s="471"/>
      <c r="AA473" s="471"/>
      <c r="AB473" s="466"/>
      <c r="AC473" s="350"/>
      <c r="AD473" s="350"/>
      <c r="AE473" s="350"/>
      <c r="AF473" s="350"/>
    </row>
    <row r="474" spans="1:32" s="457" customFormat="1" ht="18" customHeight="1" x14ac:dyDescent="0.2">
      <c r="A474" s="145"/>
      <c r="B474" s="177"/>
      <c r="C474" s="177"/>
      <c r="D474" s="145"/>
      <c r="E474" s="145"/>
      <c r="F474" s="145"/>
      <c r="G474" s="145"/>
      <c r="H474" s="147"/>
      <c r="I474" s="107"/>
      <c r="J474" s="178"/>
      <c r="K474" s="107"/>
      <c r="L474" s="145"/>
      <c r="M474" s="145"/>
      <c r="N474" s="145"/>
      <c r="O474" s="145"/>
      <c r="P474" s="147"/>
      <c r="Q474" s="148"/>
      <c r="R474" s="437"/>
      <c r="S474" s="107"/>
      <c r="T474" s="179"/>
      <c r="U474" s="178"/>
      <c r="V474" s="107"/>
      <c r="W474" s="107"/>
      <c r="X474" s="470"/>
      <c r="Y474" s="470"/>
      <c r="Z474" s="471"/>
      <c r="AA474" s="471"/>
      <c r="AB474" s="466"/>
      <c r="AC474" s="350"/>
      <c r="AD474" s="350"/>
      <c r="AE474" s="350"/>
      <c r="AF474" s="350"/>
    </row>
    <row r="475" spans="1:32" s="457" customFormat="1" ht="18" customHeight="1" x14ac:dyDescent="0.2">
      <c r="A475" s="145"/>
      <c r="B475" s="177"/>
      <c r="C475" s="177"/>
      <c r="D475" s="145"/>
      <c r="E475" s="145"/>
      <c r="F475" s="145"/>
      <c r="G475" s="145"/>
      <c r="H475" s="147"/>
      <c r="I475" s="107"/>
      <c r="J475" s="178"/>
      <c r="K475" s="107"/>
      <c r="L475" s="145"/>
      <c r="M475" s="145"/>
      <c r="N475" s="145"/>
      <c r="O475" s="145"/>
      <c r="P475" s="147"/>
      <c r="Q475" s="148"/>
      <c r="R475" s="437"/>
      <c r="S475" s="107"/>
      <c r="T475" s="179"/>
      <c r="U475" s="178"/>
      <c r="V475" s="107"/>
      <c r="W475" s="107"/>
      <c r="X475" s="470"/>
      <c r="Y475" s="470"/>
      <c r="Z475" s="471"/>
      <c r="AA475" s="471"/>
      <c r="AB475" s="466"/>
      <c r="AC475" s="350"/>
      <c r="AD475" s="350"/>
      <c r="AE475" s="350"/>
      <c r="AF475" s="350"/>
    </row>
    <row r="476" spans="1:32" s="457" customFormat="1" ht="18" customHeight="1" x14ac:dyDescent="0.2">
      <c r="A476" s="145"/>
      <c r="B476" s="177"/>
      <c r="C476" s="177"/>
      <c r="D476" s="145"/>
      <c r="E476" s="145"/>
      <c r="F476" s="145"/>
      <c r="G476" s="145"/>
      <c r="H476" s="147"/>
      <c r="I476" s="107"/>
      <c r="J476" s="178"/>
      <c r="K476" s="107"/>
      <c r="L476" s="145"/>
      <c r="M476" s="145"/>
      <c r="N476" s="145"/>
      <c r="O476" s="145"/>
      <c r="P476" s="147"/>
      <c r="Q476" s="148"/>
      <c r="R476" s="437"/>
      <c r="S476" s="107"/>
      <c r="T476" s="179"/>
      <c r="U476" s="178"/>
      <c r="V476" s="107"/>
      <c r="W476" s="107"/>
      <c r="X476" s="470"/>
      <c r="Y476" s="470"/>
      <c r="Z476" s="471"/>
      <c r="AA476" s="471"/>
      <c r="AB476" s="466"/>
      <c r="AC476" s="350"/>
      <c r="AD476" s="350"/>
      <c r="AE476" s="350"/>
      <c r="AF476" s="350"/>
    </row>
    <row r="477" spans="1:32" s="457" customFormat="1" ht="18" customHeight="1" x14ac:dyDescent="0.2">
      <c r="A477" s="183"/>
      <c r="B477" s="183"/>
      <c r="C477" s="183"/>
      <c r="D477" s="183"/>
      <c r="E477" s="183"/>
      <c r="F477" s="183"/>
      <c r="G477" s="183"/>
      <c r="H477" s="184"/>
      <c r="I477" s="185"/>
      <c r="J477" s="186"/>
      <c r="K477" s="185"/>
      <c r="L477" s="185"/>
      <c r="M477" s="185"/>
      <c r="N477" s="185"/>
      <c r="O477" s="185"/>
      <c r="P477" s="185"/>
      <c r="Q477" s="185"/>
      <c r="R477" s="438"/>
      <c r="S477" s="185"/>
      <c r="T477" s="187"/>
      <c r="U477" s="186"/>
      <c r="V477" s="185"/>
      <c r="W477" s="185"/>
      <c r="X477" s="474"/>
      <c r="Y477" s="474"/>
      <c r="Z477" s="475"/>
      <c r="AA477" s="475"/>
      <c r="AB477" s="1847">
        <f>SUM(AB462:AB476)</f>
        <v>42</v>
      </c>
      <c r="AC477" s="349"/>
      <c r="AD477" s="349"/>
      <c r="AE477" s="349"/>
      <c r="AF477" s="349"/>
    </row>
    <row r="478" spans="1:32" s="457" customFormat="1" ht="18" customHeight="1" x14ac:dyDescent="0.2">
      <c r="A478" s="2737" t="s">
        <v>76</v>
      </c>
      <c r="B478" s="2737"/>
      <c r="C478" s="2738" t="s">
        <v>77</v>
      </c>
      <c r="D478" s="2738"/>
      <c r="E478" s="2738"/>
      <c r="F478" s="2738"/>
      <c r="G478" s="2738"/>
      <c r="H478" s="2738"/>
      <c r="I478" s="457" t="s">
        <v>78</v>
      </c>
      <c r="AB478" s="478"/>
    </row>
    <row r="479" spans="1:32" s="457" customFormat="1" ht="18" customHeight="1" x14ac:dyDescent="0.2">
      <c r="B479" s="479"/>
      <c r="I479" s="457" t="s">
        <v>79</v>
      </c>
      <c r="AB479" s="478"/>
    </row>
    <row r="480" spans="1:32" s="457" customFormat="1" ht="18" customHeight="1" x14ac:dyDescent="0.2">
      <c r="B480" s="479"/>
      <c r="I480" s="457" t="s">
        <v>80</v>
      </c>
      <c r="AB480" s="478"/>
    </row>
    <row r="481" spans="1:32" s="457" customFormat="1" ht="18" customHeight="1" x14ac:dyDescent="0.2">
      <c r="B481" s="479"/>
      <c r="I481" s="457" t="s">
        <v>81</v>
      </c>
      <c r="AB481" s="478"/>
    </row>
    <row r="482" spans="1:32" s="457" customFormat="1" ht="18" customHeight="1" x14ac:dyDescent="0.2">
      <c r="B482" s="479"/>
      <c r="I482" s="457" t="s">
        <v>88</v>
      </c>
      <c r="AB482" s="478"/>
    </row>
    <row r="483" spans="1:32" s="457" customFormat="1" ht="18" customHeight="1" x14ac:dyDescent="0.2">
      <c r="A483" s="455"/>
      <c r="B483" s="455"/>
      <c r="C483" s="455"/>
      <c r="D483" s="455"/>
      <c r="E483" s="455"/>
      <c r="F483" s="455"/>
      <c r="G483" s="455"/>
      <c r="H483" s="455"/>
      <c r="I483" s="455"/>
      <c r="J483" s="455"/>
      <c r="K483" s="455"/>
      <c r="L483" s="455"/>
      <c r="M483" s="455"/>
      <c r="N483" s="455"/>
      <c r="O483" s="455"/>
      <c r="P483" s="455"/>
      <c r="Q483" s="455"/>
      <c r="R483" s="455"/>
      <c r="S483" s="455"/>
      <c r="T483" s="455"/>
      <c r="U483" s="455"/>
      <c r="V483" s="455"/>
      <c r="W483" s="455"/>
      <c r="X483" s="455"/>
      <c r="Y483" s="455"/>
      <c r="Z483" s="455"/>
      <c r="AA483" s="2705" t="s">
        <v>0</v>
      </c>
      <c r="AB483" s="2705"/>
      <c r="AC483" s="455"/>
      <c r="AD483" s="455"/>
      <c r="AE483" s="455"/>
      <c r="AF483" s="455"/>
    </row>
    <row r="484" spans="1:32" s="457" customFormat="1" ht="18" customHeight="1" x14ac:dyDescent="0.2">
      <c r="A484" s="2706" t="s">
        <v>1</v>
      </c>
      <c r="B484" s="2706"/>
      <c r="C484" s="2706"/>
      <c r="D484" s="2706"/>
      <c r="E484" s="2706"/>
      <c r="F484" s="2706"/>
      <c r="G484" s="2706"/>
      <c r="H484" s="2706"/>
      <c r="I484" s="2706"/>
      <c r="J484" s="2706"/>
      <c r="K484" s="2706"/>
      <c r="L484" s="2706"/>
      <c r="M484" s="2706"/>
      <c r="N484" s="2706"/>
      <c r="O484" s="2706"/>
      <c r="P484" s="2706"/>
      <c r="Q484" s="2706"/>
      <c r="R484" s="2706"/>
      <c r="S484" s="2706"/>
      <c r="T484" s="2706"/>
      <c r="U484" s="2706"/>
      <c r="V484" s="2706"/>
      <c r="W484" s="2706"/>
      <c r="X484" s="2706"/>
      <c r="Y484" s="2706"/>
      <c r="Z484" s="2706"/>
      <c r="AA484" s="2706"/>
      <c r="AB484" s="2706"/>
      <c r="AC484" s="610"/>
      <c r="AD484" s="610"/>
      <c r="AE484" s="610"/>
      <c r="AF484" s="610"/>
    </row>
    <row r="485" spans="1:32" s="457" customFormat="1" ht="18" customHeight="1" x14ac:dyDescent="0.2">
      <c r="A485" s="2704" t="s">
        <v>384</v>
      </c>
      <c r="B485" s="2704"/>
      <c r="C485" s="2704"/>
      <c r="D485" s="2704"/>
      <c r="E485" s="2704"/>
      <c r="F485" s="2704"/>
      <c r="G485" s="2704"/>
      <c r="H485" s="2704"/>
      <c r="I485" s="2704"/>
      <c r="J485" s="2704"/>
      <c r="K485" s="2704"/>
      <c r="L485" s="2704"/>
      <c r="M485" s="2704"/>
      <c r="N485" s="2704"/>
      <c r="O485" s="2704"/>
      <c r="P485" s="2704"/>
      <c r="Q485" s="2704"/>
      <c r="R485" s="2704"/>
      <c r="S485" s="2704"/>
      <c r="T485" s="2704"/>
      <c r="U485" s="2704"/>
      <c r="V485" s="2704"/>
      <c r="W485" s="2704"/>
      <c r="X485" s="2704"/>
      <c r="Y485" s="2704"/>
      <c r="Z485" s="2704"/>
      <c r="AA485" s="2704"/>
      <c r="AB485" s="2704"/>
      <c r="AC485" s="611"/>
      <c r="AD485" s="611"/>
      <c r="AE485" s="611"/>
      <c r="AF485" s="611"/>
    </row>
    <row r="486" spans="1:32" s="457" customFormat="1" ht="18" customHeight="1" x14ac:dyDescent="0.2">
      <c r="A486" s="2686" t="s">
        <v>2</v>
      </c>
      <c r="B486" s="360"/>
      <c r="C486" s="2686" t="s">
        <v>3</v>
      </c>
      <c r="D486" s="360"/>
      <c r="E486" s="360"/>
      <c r="F486" s="2693" t="s">
        <v>4</v>
      </c>
      <c r="G486" s="2693"/>
      <c r="H486" s="2693"/>
      <c r="I486" s="2694"/>
      <c r="J486" s="2694"/>
      <c r="K486" s="2695"/>
      <c r="L486" s="361"/>
      <c r="M486" s="2679" t="s">
        <v>5</v>
      </c>
      <c r="N486" s="2679"/>
      <c r="O486" s="2679"/>
      <c r="P486" s="2679"/>
      <c r="Q486" s="2696"/>
      <c r="R486" s="2696"/>
      <c r="S486" s="2696"/>
      <c r="T486" s="2696"/>
      <c r="U486" s="2696"/>
      <c r="V486" s="2697"/>
      <c r="W486" s="362" t="s">
        <v>6</v>
      </c>
      <c r="X486" s="363" t="s">
        <v>7</v>
      </c>
      <c r="Y486" s="364"/>
      <c r="Z486" s="364"/>
      <c r="AA486" s="363"/>
      <c r="AB486" s="458"/>
      <c r="AC486" s="612" t="s">
        <v>8</v>
      </c>
      <c r="AD486" s="613"/>
      <c r="AE486" s="613"/>
      <c r="AF486" s="614"/>
    </row>
    <row r="487" spans="1:32" s="457" customFormat="1" ht="18" customHeight="1" x14ac:dyDescent="0.2">
      <c r="A487" s="2687"/>
      <c r="B487" s="367"/>
      <c r="C487" s="2687"/>
      <c r="D487" s="366" t="s">
        <v>9</v>
      </c>
      <c r="E487" s="366" t="s">
        <v>10</v>
      </c>
      <c r="F487" s="2698" t="s">
        <v>11</v>
      </c>
      <c r="G487" s="2694"/>
      <c r="H487" s="2695"/>
      <c r="I487" s="360"/>
      <c r="J487" s="449" t="s">
        <v>12</v>
      </c>
      <c r="K487" s="360"/>
      <c r="L487" s="2679" t="s">
        <v>2</v>
      </c>
      <c r="M487" s="370"/>
      <c r="N487" s="370"/>
      <c r="O487" s="370"/>
      <c r="P487" s="371"/>
      <c r="Q487" s="459" t="s">
        <v>13</v>
      </c>
      <c r="R487" s="370" t="s">
        <v>12</v>
      </c>
      <c r="S487" s="370" t="s">
        <v>6</v>
      </c>
      <c r="T487" s="2682" t="s">
        <v>14</v>
      </c>
      <c r="U487" s="2683"/>
      <c r="V487" s="375" t="s">
        <v>7</v>
      </c>
      <c r="W487" s="376" t="s">
        <v>15</v>
      </c>
      <c r="X487" s="377" t="s">
        <v>16</v>
      </c>
      <c r="Y487" s="377" t="s">
        <v>17</v>
      </c>
      <c r="Z487" s="377" t="s">
        <v>18</v>
      </c>
      <c r="AA487" s="377"/>
      <c r="AB487" s="460" t="s">
        <v>19</v>
      </c>
      <c r="AC487" s="615" t="s">
        <v>20</v>
      </c>
      <c r="AD487" s="616"/>
      <c r="AE487" s="617" t="s">
        <v>21</v>
      </c>
      <c r="AF487" s="618" t="s">
        <v>22</v>
      </c>
    </row>
    <row r="488" spans="1:32" s="457" customFormat="1" ht="18" customHeight="1" x14ac:dyDescent="0.2">
      <c r="A488" s="2687"/>
      <c r="B488" s="366" t="s">
        <v>23</v>
      </c>
      <c r="C488" s="2687"/>
      <c r="D488" s="366" t="s">
        <v>24</v>
      </c>
      <c r="E488" s="366" t="s">
        <v>25</v>
      </c>
      <c r="F488" s="2699"/>
      <c r="G488" s="2700"/>
      <c r="H488" s="2701"/>
      <c r="I488" s="366" t="s">
        <v>26</v>
      </c>
      <c r="J488" s="380" t="s">
        <v>15</v>
      </c>
      <c r="K488" s="380" t="s">
        <v>6</v>
      </c>
      <c r="L488" s="2680"/>
      <c r="M488" s="381" t="s">
        <v>27</v>
      </c>
      <c r="N488" s="381" t="s">
        <v>10</v>
      </c>
      <c r="O488" s="381" t="s">
        <v>10</v>
      </c>
      <c r="P488" s="385" t="s">
        <v>28</v>
      </c>
      <c r="Q488" s="461" t="s">
        <v>29</v>
      </c>
      <c r="R488" s="385" t="s">
        <v>15</v>
      </c>
      <c r="S488" s="385" t="s">
        <v>15</v>
      </c>
      <c r="T488" s="2684"/>
      <c r="U488" s="2685"/>
      <c r="V488" s="375" t="s">
        <v>30</v>
      </c>
      <c r="W488" s="376" t="s">
        <v>31</v>
      </c>
      <c r="X488" s="377" t="s">
        <v>30</v>
      </c>
      <c r="Y488" s="377" t="s">
        <v>32</v>
      </c>
      <c r="Z488" s="377" t="s">
        <v>7</v>
      </c>
      <c r="AA488" s="377" t="s">
        <v>33</v>
      </c>
      <c r="AB488" s="460" t="s">
        <v>34</v>
      </c>
      <c r="AC488" s="615" t="s">
        <v>35</v>
      </c>
      <c r="AD488" s="617" t="s">
        <v>36</v>
      </c>
      <c r="AE488" s="617" t="s">
        <v>37</v>
      </c>
      <c r="AF488" s="618" t="s">
        <v>38</v>
      </c>
    </row>
    <row r="489" spans="1:32" s="457" customFormat="1" ht="18" customHeight="1" x14ac:dyDescent="0.2">
      <c r="A489" s="2687"/>
      <c r="B489" s="366" t="s">
        <v>39</v>
      </c>
      <c r="C489" s="2687"/>
      <c r="D489" s="366" t="s">
        <v>40</v>
      </c>
      <c r="E489" s="366" t="s">
        <v>41</v>
      </c>
      <c r="F489" s="2686" t="s">
        <v>42</v>
      </c>
      <c r="G489" s="2686" t="s">
        <v>43</v>
      </c>
      <c r="H489" s="2688" t="s">
        <v>44</v>
      </c>
      <c r="I489" s="366" t="s">
        <v>45</v>
      </c>
      <c r="J489" s="380" t="s">
        <v>46</v>
      </c>
      <c r="K489" s="380" t="s">
        <v>47</v>
      </c>
      <c r="L489" s="2680"/>
      <c r="M489" s="381" t="s">
        <v>30</v>
      </c>
      <c r="N489" s="381" t="s">
        <v>30</v>
      </c>
      <c r="O489" s="381" t="s">
        <v>25</v>
      </c>
      <c r="P489" s="385" t="s">
        <v>30</v>
      </c>
      <c r="Q489" s="461" t="s">
        <v>48</v>
      </c>
      <c r="R489" s="385" t="s">
        <v>49</v>
      </c>
      <c r="S489" s="385" t="s">
        <v>30</v>
      </c>
      <c r="T489" s="374" t="s">
        <v>50</v>
      </c>
      <c r="U489" s="374" t="s">
        <v>13</v>
      </c>
      <c r="V489" s="375" t="s">
        <v>51</v>
      </c>
      <c r="W489" s="376" t="s">
        <v>52</v>
      </c>
      <c r="X489" s="377" t="s">
        <v>53</v>
      </c>
      <c r="Y489" s="377" t="s">
        <v>54</v>
      </c>
      <c r="Z489" s="377" t="s">
        <v>55</v>
      </c>
      <c r="AA489" s="377" t="s">
        <v>56</v>
      </c>
      <c r="AB489" s="460" t="s">
        <v>57</v>
      </c>
      <c r="AC489" s="617" t="s">
        <v>58</v>
      </c>
      <c r="AD489" s="617" t="s">
        <v>59</v>
      </c>
      <c r="AE489" s="617" t="s">
        <v>59</v>
      </c>
      <c r="AF489" s="618" t="s">
        <v>60</v>
      </c>
    </row>
    <row r="490" spans="1:32" s="457" customFormat="1" ht="18" customHeight="1" x14ac:dyDescent="0.2">
      <c r="A490" s="2687"/>
      <c r="B490" s="366" t="s">
        <v>61</v>
      </c>
      <c r="C490" s="2687"/>
      <c r="D490" s="366" t="s">
        <v>62</v>
      </c>
      <c r="E490" s="366" t="s">
        <v>63</v>
      </c>
      <c r="F490" s="2687"/>
      <c r="G490" s="2687"/>
      <c r="H490" s="2689"/>
      <c r="I490" s="366" t="s">
        <v>64</v>
      </c>
      <c r="J490" s="380" t="s">
        <v>59</v>
      </c>
      <c r="K490" s="380" t="s">
        <v>59</v>
      </c>
      <c r="L490" s="2680"/>
      <c r="M490" s="381"/>
      <c r="N490" s="381"/>
      <c r="O490" s="381" t="s">
        <v>41</v>
      </c>
      <c r="P490" s="385" t="s">
        <v>65</v>
      </c>
      <c r="Q490" s="461" t="s">
        <v>66</v>
      </c>
      <c r="R490" s="385" t="s">
        <v>67</v>
      </c>
      <c r="S490" s="385" t="s">
        <v>59</v>
      </c>
      <c r="T490" s="375" t="s">
        <v>68</v>
      </c>
      <c r="U490" s="375" t="s">
        <v>14</v>
      </c>
      <c r="V490" s="375" t="s">
        <v>14</v>
      </c>
      <c r="W490" s="376" t="s">
        <v>30</v>
      </c>
      <c r="X490" s="388" t="s">
        <v>69</v>
      </c>
      <c r="Y490" s="388" t="s">
        <v>70</v>
      </c>
      <c r="Z490" s="377" t="s">
        <v>71</v>
      </c>
      <c r="AA490" s="377" t="s">
        <v>72</v>
      </c>
      <c r="AB490" s="460" t="s">
        <v>59</v>
      </c>
      <c r="AC490" s="617" t="s">
        <v>59</v>
      </c>
      <c r="AD490" s="617"/>
      <c r="AE490" s="617"/>
      <c r="AF490" s="618" t="s">
        <v>59</v>
      </c>
    </row>
    <row r="491" spans="1:32" s="457" customFormat="1" ht="18" customHeight="1" x14ac:dyDescent="0.2">
      <c r="A491" s="2692"/>
      <c r="B491" s="390"/>
      <c r="C491" s="2692"/>
      <c r="D491" s="390"/>
      <c r="E491" s="389"/>
      <c r="F491" s="390"/>
      <c r="G491" s="390"/>
      <c r="H491" s="391"/>
      <c r="I491" s="389"/>
      <c r="J491" s="393"/>
      <c r="K491" s="393"/>
      <c r="L491" s="2681"/>
      <c r="M491" s="394"/>
      <c r="N491" s="394"/>
      <c r="O491" s="394" t="s">
        <v>63</v>
      </c>
      <c r="P491" s="394"/>
      <c r="Q491" s="450" t="s">
        <v>72</v>
      </c>
      <c r="R491" s="398" t="s">
        <v>59</v>
      </c>
      <c r="S491" s="398"/>
      <c r="T491" s="398" t="s">
        <v>73</v>
      </c>
      <c r="U491" s="398" t="s">
        <v>59</v>
      </c>
      <c r="V491" s="399" t="s">
        <v>59</v>
      </c>
      <c r="W491" s="400" t="s">
        <v>59</v>
      </c>
      <c r="X491" s="401" t="s">
        <v>59</v>
      </c>
      <c r="Y491" s="401" t="s">
        <v>59</v>
      </c>
      <c r="Z491" s="401" t="s">
        <v>59</v>
      </c>
      <c r="AA491" s="402"/>
      <c r="AB491" s="462"/>
      <c r="AC491" s="625"/>
      <c r="AD491" s="625"/>
      <c r="AE491" s="625"/>
      <c r="AF491" s="626"/>
    </row>
    <row r="492" spans="1:32" s="457" customFormat="1" ht="18" customHeight="1" x14ac:dyDescent="0.2">
      <c r="A492" s="53">
        <v>1</v>
      </c>
      <c r="B492" s="41">
        <v>56858</v>
      </c>
      <c r="C492" s="41">
        <v>1682</v>
      </c>
      <c r="D492" s="41" t="s">
        <v>86</v>
      </c>
      <c r="E492" s="41">
        <v>1</v>
      </c>
      <c r="F492" s="41">
        <v>3</v>
      </c>
      <c r="G492" s="41">
        <v>0</v>
      </c>
      <c r="H492" s="267">
        <v>52</v>
      </c>
      <c r="I492" s="77">
        <f t="shared" ref="I492:I494" si="132">F492*400+G492*100+H492</f>
        <v>1252</v>
      </c>
      <c r="J492" s="310">
        <v>280</v>
      </c>
      <c r="K492" s="297">
        <f t="shared" ref="K492:K494" si="133">I492*J492</f>
        <v>350560</v>
      </c>
      <c r="L492" s="16"/>
      <c r="M492" s="82"/>
      <c r="N492" s="41"/>
      <c r="O492" s="16"/>
      <c r="P492" s="41"/>
      <c r="Q492" s="62"/>
      <c r="R492" s="672"/>
      <c r="S492" s="296"/>
      <c r="T492" s="298"/>
      <c r="U492" s="299"/>
      <c r="V492" s="299"/>
      <c r="W492" s="18">
        <f t="shared" ref="W492:W494" si="134">K492+V492</f>
        <v>350560</v>
      </c>
      <c r="X492" s="47">
        <f t="shared" ref="X492:X494" si="135">W492</f>
        <v>350560</v>
      </c>
      <c r="Y492" s="296" t="s">
        <v>87</v>
      </c>
      <c r="Z492" s="296">
        <v>0</v>
      </c>
      <c r="AA492" s="494">
        <v>0.01</v>
      </c>
      <c r="AB492" s="465">
        <f>+Z492*AA492/100</f>
        <v>0</v>
      </c>
      <c r="AC492" s="602"/>
      <c r="AD492" s="603">
        <f>AB522-AC492</f>
        <v>0</v>
      </c>
      <c r="AE492" s="603">
        <f>IF(AD492&lt;=0,0,AD492*25/100)</f>
        <v>0</v>
      </c>
      <c r="AF492" s="603">
        <f>IF(AC492+AE492&gt;AB522,AB522,AC492+AE492)</f>
        <v>0</v>
      </c>
    </row>
    <row r="493" spans="1:32" s="457" customFormat="1" ht="18" customHeight="1" x14ac:dyDescent="0.2">
      <c r="A493" s="61"/>
      <c r="B493" s="15"/>
      <c r="C493" s="15"/>
      <c r="D493" s="15"/>
      <c r="E493" s="15"/>
      <c r="F493" s="15">
        <v>0</v>
      </c>
      <c r="G493" s="15">
        <v>0</v>
      </c>
      <c r="H493" s="284">
        <v>25</v>
      </c>
      <c r="I493" s="77">
        <f t="shared" si="132"/>
        <v>25</v>
      </c>
      <c r="J493" s="305">
        <v>280</v>
      </c>
      <c r="K493" s="297">
        <f t="shared" si="133"/>
        <v>7000</v>
      </c>
      <c r="L493" s="50"/>
      <c r="M493" s="145" t="s">
        <v>283</v>
      </c>
      <c r="N493" s="15">
        <v>25</v>
      </c>
      <c r="O493" s="50">
        <v>3</v>
      </c>
      <c r="P493" s="15"/>
      <c r="Q493" s="62"/>
      <c r="R493" s="672"/>
      <c r="S493" s="296"/>
      <c r="T493" s="298"/>
      <c r="U493" s="299"/>
      <c r="V493" s="299"/>
      <c r="W493" s="18">
        <f t="shared" si="134"/>
        <v>7000</v>
      </c>
      <c r="X493" s="47">
        <f t="shared" si="135"/>
        <v>7000</v>
      </c>
      <c r="Y493" s="296"/>
      <c r="Z493" s="1012">
        <f>X493</f>
        <v>7000</v>
      </c>
      <c r="AA493" s="494">
        <v>0.3</v>
      </c>
      <c r="AB493" s="410"/>
      <c r="AC493" s="350"/>
      <c r="AD493" s="350"/>
      <c r="AE493" s="350"/>
      <c r="AF493" s="350"/>
    </row>
    <row r="494" spans="1:32" s="457" customFormat="1" ht="18" customHeight="1" x14ac:dyDescent="0.25">
      <c r="A494" s="242"/>
      <c r="B494" s="269"/>
      <c r="C494" s="285"/>
      <c r="D494" s="273"/>
      <c r="E494" s="15"/>
      <c r="F494" s="268">
        <v>0</v>
      </c>
      <c r="G494" s="269">
        <v>0</v>
      </c>
      <c r="H494" s="284">
        <v>25</v>
      </c>
      <c r="I494" s="77">
        <f t="shared" si="132"/>
        <v>25</v>
      </c>
      <c r="J494" s="306">
        <v>280</v>
      </c>
      <c r="K494" s="297">
        <f t="shared" si="133"/>
        <v>7000</v>
      </c>
      <c r="L494" s="269"/>
      <c r="M494" s="145" t="s">
        <v>284</v>
      </c>
      <c r="N494" s="269">
        <v>25</v>
      </c>
      <c r="O494" s="50">
        <v>3</v>
      </c>
      <c r="P494" s="266"/>
      <c r="Q494" s="285"/>
      <c r="R494" s="1005"/>
      <c r="S494" s="321"/>
      <c r="T494" s="323"/>
      <c r="U494" s="321"/>
      <c r="V494" s="321"/>
      <c r="W494" s="18">
        <f t="shared" si="134"/>
        <v>7000</v>
      </c>
      <c r="X494" s="47">
        <f t="shared" si="135"/>
        <v>7000</v>
      </c>
      <c r="Y494" s="321"/>
      <c r="Z494" s="1012">
        <f>X494</f>
        <v>7000</v>
      </c>
      <c r="AA494" s="494">
        <v>0.3</v>
      </c>
      <c r="AB494" s="410">
        <f>+Z494*AA494/100</f>
        <v>21</v>
      </c>
      <c r="AC494" s="350"/>
      <c r="AD494" s="350"/>
      <c r="AE494" s="350"/>
      <c r="AF494" s="350"/>
    </row>
    <row r="495" spans="1:32" s="457" customFormat="1" ht="18" customHeight="1" x14ac:dyDescent="0.2">
      <c r="A495" s="145"/>
      <c r="B495" s="177"/>
      <c r="C495" s="177"/>
      <c r="D495" s="145"/>
      <c r="E495" s="145"/>
      <c r="F495" s="145"/>
      <c r="G495" s="145"/>
      <c r="H495" s="147"/>
      <c r="I495" s="77"/>
      <c r="J495" s="107"/>
      <c r="K495" s="199"/>
      <c r="L495" s="242"/>
      <c r="M495" s="145"/>
      <c r="N495" s="242"/>
      <c r="O495" s="61"/>
      <c r="P495" s="497"/>
      <c r="Q495" s="496"/>
      <c r="R495" s="503"/>
      <c r="S495" s="504"/>
      <c r="T495" s="505"/>
      <c r="U495" s="504"/>
      <c r="V495" s="504"/>
      <c r="W495" s="77"/>
      <c r="X495" s="74"/>
      <c r="Y495" s="504"/>
      <c r="Z495" s="77"/>
      <c r="AA495" s="409"/>
      <c r="AB495" s="416"/>
      <c r="AC495" s="350"/>
      <c r="AD495" s="350"/>
      <c r="AE495" s="350"/>
      <c r="AF495" s="350"/>
    </row>
    <row r="496" spans="1:32" s="457" customFormat="1" ht="18" customHeight="1" x14ac:dyDescent="0.2">
      <c r="A496" s="145"/>
      <c r="B496" s="177"/>
      <c r="C496" s="177"/>
      <c r="D496" s="145"/>
      <c r="E496" s="145"/>
      <c r="F496" s="145"/>
      <c r="G496" s="145"/>
      <c r="H496" s="147"/>
      <c r="I496" s="107"/>
      <c r="J496" s="178"/>
      <c r="K496" s="107"/>
      <c r="L496" s="145"/>
      <c r="M496" s="145"/>
      <c r="N496" s="145"/>
      <c r="O496" s="145"/>
      <c r="P496" s="147"/>
      <c r="Q496" s="148"/>
      <c r="R496" s="437"/>
      <c r="S496" s="107"/>
      <c r="T496" s="179"/>
      <c r="U496" s="178"/>
      <c r="V496" s="107"/>
      <c r="W496" s="107"/>
      <c r="X496" s="470"/>
      <c r="Y496" s="470"/>
      <c r="Z496" s="471"/>
      <c r="AA496" s="471"/>
      <c r="AB496" s="466"/>
      <c r="AC496" s="350"/>
      <c r="AD496" s="350"/>
      <c r="AE496" s="350"/>
      <c r="AF496" s="350"/>
    </row>
    <row r="497" spans="1:32" s="457" customFormat="1" ht="18" customHeight="1" x14ac:dyDescent="0.2">
      <c r="A497" s="145"/>
      <c r="B497" s="177"/>
      <c r="C497" s="177"/>
      <c r="D497" s="145"/>
      <c r="E497" s="145"/>
      <c r="F497" s="145"/>
      <c r="G497" s="145"/>
      <c r="H497" s="147"/>
      <c r="I497" s="107"/>
      <c r="J497" s="178"/>
      <c r="K497" s="107"/>
      <c r="L497" s="145"/>
      <c r="M497" s="145"/>
      <c r="N497" s="145"/>
      <c r="O497" s="145"/>
      <c r="P497" s="147"/>
      <c r="Q497" s="148"/>
      <c r="R497" s="437"/>
      <c r="S497" s="107"/>
      <c r="T497" s="179"/>
      <c r="U497" s="178"/>
      <c r="V497" s="107"/>
      <c r="W497" s="107"/>
      <c r="X497" s="470"/>
      <c r="Y497" s="470"/>
      <c r="Z497" s="471"/>
      <c r="AA497" s="471"/>
      <c r="AB497" s="466"/>
      <c r="AC497" s="350"/>
      <c r="AD497" s="350"/>
      <c r="AE497" s="350"/>
      <c r="AF497" s="350"/>
    </row>
    <row r="498" spans="1:32" s="457" customFormat="1" ht="18" customHeight="1" x14ac:dyDescent="0.2">
      <c r="A498" s="145"/>
      <c r="B498" s="177"/>
      <c r="C498" s="177"/>
      <c r="D498" s="145"/>
      <c r="E498" s="145"/>
      <c r="F498" s="145"/>
      <c r="G498" s="145"/>
      <c r="H498" s="147"/>
      <c r="I498" s="107"/>
      <c r="J498" s="178"/>
      <c r="K498" s="107"/>
      <c r="L498" s="145"/>
      <c r="M498" s="145"/>
      <c r="N498" s="145"/>
      <c r="O498" s="145"/>
      <c r="P498" s="147"/>
      <c r="Q498" s="148"/>
      <c r="R498" s="437"/>
      <c r="S498" s="107"/>
      <c r="T498" s="179"/>
      <c r="U498" s="178"/>
      <c r="V498" s="107"/>
      <c r="W498" s="107"/>
      <c r="X498" s="470"/>
      <c r="Y498" s="470"/>
      <c r="Z498" s="471"/>
      <c r="AA498" s="471"/>
      <c r="AB498" s="466"/>
      <c r="AC498" s="350"/>
      <c r="AD498" s="350"/>
      <c r="AE498" s="350"/>
      <c r="AF498" s="350"/>
    </row>
    <row r="499" spans="1:32" s="457" customFormat="1" ht="18" customHeight="1" x14ac:dyDescent="0.2">
      <c r="A499" s="145"/>
      <c r="B499" s="177"/>
      <c r="C499" s="177"/>
      <c r="D499" s="145"/>
      <c r="E499" s="145"/>
      <c r="F499" s="145"/>
      <c r="G499" s="145"/>
      <c r="H499" s="147"/>
      <c r="I499" s="107"/>
      <c r="J499" s="178"/>
      <c r="K499" s="107"/>
      <c r="L499" s="145"/>
      <c r="M499" s="145"/>
      <c r="N499" s="145"/>
      <c r="O499" s="145"/>
      <c r="P499" s="147"/>
      <c r="Q499" s="148"/>
      <c r="R499" s="437"/>
      <c r="S499" s="107"/>
      <c r="T499" s="179"/>
      <c r="U499" s="178"/>
      <c r="V499" s="107"/>
      <c r="W499" s="107"/>
      <c r="X499" s="470"/>
      <c r="Y499" s="470"/>
      <c r="Z499" s="471"/>
      <c r="AA499" s="471"/>
      <c r="AB499" s="466"/>
      <c r="AC499" s="350"/>
      <c r="AD499" s="350"/>
      <c r="AE499" s="350"/>
      <c r="AF499" s="350"/>
    </row>
    <row r="500" spans="1:32" s="457" customFormat="1" ht="18" customHeight="1" x14ac:dyDescent="0.2">
      <c r="A500" s="145"/>
      <c r="B500" s="177"/>
      <c r="C500" s="177"/>
      <c r="D500" s="145"/>
      <c r="E500" s="145"/>
      <c r="F500" s="145"/>
      <c r="G500" s="145"/>
      <c r="H500" s="147"/>
      <c r="I500" s="107"/>
      <c r="J500" s="178"/>
      <c r="K500" s="107"/>
      <c r="L500" s="145"/>
      <c r="M500" s="145"/>
      <c r="N500" s="145"/>
      <c r="O500" s="145"/>
      <c r="P500" s="147"/>
      <c r="Q500" s="148"/>
      <c r="R500" s="437"/>
      <c r="S500" s="107"/>
      <c r="T500" s="179"/>
      <c r="U500" s="178"/>
      <c r="V500" s="107"/>
      <c r="W500" s="107"/>
      <c r="X500" s="470"/>
      <c r="Y500" s="470"/>
      <c r="Z500" s="471"/>
      <c r="AA500" s="471"/>
      <c r="AB500" s="466"/>
      <c r="AC500" s="350"/>
      <c r="AD500" s="350"/>
      <c r="AE500" s="350"/>
      <c r="AF500" s="350"/>
    </row>
    <row r="501" spans="1:32" s="457" customFormat="1" ht="18" customHeight="1" x14ac:dyDescent="0.2">
      <c r="A501" s="145"/>
      <c r="B501" s="177"/>
      <c r="C501" s="177"/>
      <c r="D501" s="145"/>
      <c r="E501" s="145"/>
      <c r="F501" s="145"/>
      <c r="G501" s="145"/>
      <c r="H501" s="147"/>
      <c r="I501" s="107"/>
      <c r="J501" s="178"/>
      <c r="K501" s="107"/>
      <c r="L501" s="145"/>
      <c r="M501" s="145"/>
      <c r="N501" s="145"/>
      <c r="O501" s="145"/>
      <c r="P501" s="147"/>
      <c r="Q501" s="148"/>
      <c r="R501" s="437"/>
      <c r="S501" s="107"/>
      <c r="T501" s="179"/>
      <c r="U501" s="178"/>
      <c r="V501" s="107"/>
      <c r="W501" s="107"/>
      <c r="X501" s="470"/>
      <c r="Y501" s="470"/>
      <c r="Z501" s="471"/>
      <c r="AA501" s="471"/>
      <c r="AB501" s="466"/>
      <c r="AC501" s="350"/>
      <c r="AD501" s="350"/>
      <c r="AE501" s="350"/>
      <c r="AF501" s="350"/>
    </row>
    <row r="502" spans="1:32" s="457" customFormat="1" ht="18" customHeight="1" x14ac:dyDescent="0.2">
      <c r="A502" s="145"/>
      <c r="B502" s="177"/>
      <c r="C502" s="177"/>
      <c r="D502" s="145"/>
      <c r="E502" s="145"/>
      <c r="F502" s="145"/>
      <c r="G502" s="145"/>
      <c r="H502" s="147"/>
      <c r="I502" s="107"/>
      <c r="J502" s="178"/>
      <c r="K502" s="107"/>
      <c r="L502" s="145"/>
      <c r="M502" s="145"/>
      <c r="N502" s="145"/>
      <c r="O502" s="145"/>
      <c r="P502" s="147"/>
      <c r="Q502" s="148"/>
      <c r="R502" s="437"/>
      <c r="S502" s="107"/>
      <c r="T502" s="179"/>
      <c r="U502" s="178"/>
      <c r="V502" s="107"/>
      <c r="W502" s="107"/>
      <c r="X502" s="470"/>
      <c r="Y502" s="470"/>
      <c r="Z502" s="471"/>
      <c r="AA502" s="471"/>
      <c r="AB502" s="466"/>
      <c r="AC502" s="350"/>
      <c r="AD502" s="350"/>
      <c r="AE502" s="350"/>
      <c r="AF502" s="350"/>
    </row>
    <row r="503" spans="1:32" s="457" customFormat="1" ht="18" customHeight="1" x14ac:dyDescent="0.2">
      <c r="A503" s="145"/>
      <c r="B503" s="177"/>
      <c r="C503" s="177"/>
      <c r="D503" s="145"/>
      <c r="E503" s="145"/>
      <c r="F503" s="145"/>
      <c r="G503" s="145"/>
      <c r="H503" s="147"/>
      <c r="I503" s="107"/>
      <c r="J503" s="178"/>
      <c r="K503" s="107"/>
      <c r="L503" s="145"/>
      <c r="M503" s="145"/>
      <c r="N503" s="145"/>
      <c r="O503" s="145"/>
      <c r="P503" s="147"/>
      <c r="Q503" s="148"/>
      <c r="R503" s="437"/>
      <c r="S503" s="107"/>
      <c r="T503" s="179"/>
      <c r="U503" s="178"/>
      <c r="V503" s="107"/>
      <c r="W503" s="107"/>
      <c r="X503" s="470"/>
      <c r="Y503" s="470"/>
      <c r="Z503" s="471"/>
      <c r="AA503" s="471"/>
      <c r="AB503" s="466"/>
      <c r="AC503" s="350"/>
      <c r="AD503" s="350"/>
      <c r="AE503" s="350"/>
      <c r="AF503" s="350"/>
    </row>
    <row r="504" spans="1:32" s="457" customFormat="1" ht="18" customHeight="1" x14ac:dyDescent="0.2">
      <c r="A504" s="145"/>
      <c r="B504" s="177"/>
      <c r="C504" s="177"/>
      <c r="D504" s="145"/>
      <c r="E504" s="145"/>
      <c r="F504" s="145"/>
      <c r="G504" s="145"/>
      <c r="H504" s="147"/>
      <c r="I504" s="107"/>
      <c r="J504" s="178"/>
      <c r="K504" s="107"/>
      <c r="L504" s="145"/>
      <c r="M504" s="145"/>
      <c r="N504" s="145"/>
      <c r="O504" s="145"/>
      <c r="P504" s="147"/>
      <c r="Q504" s="148"/>
      <c r="R504" s="437"/>
      <c r="S504" s="107"/>
      <c r="T504" s="179"/>
      <c r="U504" s="178"/>
      <c r="V504" s="107"/>
      <c r="W504" s="107"/>
      <c r="X504" s="470"/>
      <c r="Y504" s="470"/>
      <c r="Z504" s="471"/>
      <c r="AA504" s="471"/>
      <c r="AB504" s="466"/>
      <c r="AC504" s="350"/>
      <c r="AD504" s="350"/>
      <c r="AE504" s="350"/>
      <c r="AF504" s="350"/>
    </row>
    <row r="505" spans="1:32" s="457" customFormat="1" ht="18" customHeight="1" x14ac:dyDescent="0.2">
      <c r="A505" s="145"/>
      <c r="B505" s="177"/>
      <c r="C505" s="177"/>
      <c r="D505" s="145"/>
      <c r="E505" s="145"/>
      <c r="F505" s="145"/>
      <c r="G505" s="145"/>
      <c r="H505" s="147"/>
      <c r="I505" s="107"/>
      <c r="J505" s="178"/>
      <c r="K505" s="107"/>
      <c r="L505" s="145"/>
      <c r="M505" s="145"/>
      <c r="N505" s="145"/>
      <c r="O505" s="145"/>
      <c r="P505" s="147"/>
      <c r="Q505" s="148"/>
      <c r="R505" s="437"/>
      <c r="S505" s="107"/>
      <c r="T505" s="179"/>
      <c r="U505" s="178"/>
      <c r="V505" s="107"/>
      <c r="W505" s="107"/>
      <c r="X505" s="470"/>
      <c r="Y505" s="470"/>
      <c r="Z505" s="471"/>
      <c r="AA505" s="471"/>
      <c r="AB505" s="466"/>
      <c r="AC505" s="350"/>
      <c r="AD505" s="350"/>
      <c r="AE505" s="350"/>
      <c r="AF505" s="350"/>
    </row>
    <row r="506" spans="1:32" s="457" customFormat="1" ht="18" customHeight="1" x14ac:dyDescent="0.2">
      <c r="A506" s="145"/>
      <c r="B506" s="177"/>
      <c r="C506" s="177"/>
      <c r="D506" s="145"/>
      <c r="E506" s="145"/>
      <c r="F506" s="145"/>
      <c r="G506" s="145"/>
      <c r="H506" s="147"/>
      <c r="I506" s="107"/>
      <c r="J506" s="178"/>
      <c r="K506" s="107"/>
      <c r="L506" s="145"/>
      <c r="M506" s="145"/>
      <c r="N506" s="145"/>
      <c r="O506" s="145"/>
      <c r="P506" s="147"/>
      <c r="Q506" s="148"/>
      <c r="R506" s="437"/>
      <c r="S506" s="107"/>
      <c r="T506" s="179"/>
      <c r="U506" s="178"/>
      <c r="V506" s="107"/>
      <c r="W506" s="107"/>
      <c r="X506" s="470"/>
      <c r="Y506" s="470"/>
      <c r="Z506" s="471"/>
      <c r="AA506" s="471"/>
      <c r="AB506" s="466"/>
      <c r="AC506" s="350"/>
      <c r="AD506" s="350"/>
      <c r="AE506" s="350"/>
      <c r="AF506" s="350"/>
    </row>
    <row r="507" spans="1:32" s="457" customFormat="1" ht="18" customHeight="1" x14ac:dyDescent="0.2">
      <c r="A507" s="183"/>
      <c r="B507" s="183"/>
      <c r="C507" s="183"/>
      <c r="D507" s="183"/>
      <c r="E507" s="183"/>
      <c r="F507" s="183"/>
      <c r="G507" s="183"/>
      <c r="H507" s="184"/>
      <c r="I507" s="185"/>
      <c r="J507" s="186"/>
      <c r="K507" s="185"/>
      <c r="L507" s="185"/>
      <c r="M507" s="185"/>
      <c r="N507" s="185"/>
      <c r="O507" s="185"/>
      <c r="P507" s="185"/>
      <c r="Q507" s="185"/>
      <c r="R507" s="438"/>
      <c r="S507" s="185"/>
      <c r="T507" s="187"/>
      <c r="U507" s="186"/>
      <c r="V507" s="185"/>
      <c r="W507" s="185"/>
      <c r="X507" s="474"/>
      <c r="Y507" s="474"/>
      <c r="Z507" s="475"/>
      <c r="AA507" s="475"/>
      <c r="AB507" s="1847">
        <f>SUM(AB492:AB506)</f>
        <v>21</v>
      </c>
      <c r="AC507" s="349"/>
      <c r="AD507" s="349"/>
      <c r="AE507" s="349"/>
      <c r="AF507" s="349"/>
    </row>
    <row r="508" spans="1:32" s="457" customFormat="1" ht="18" customHeight="1" x14ac:dyDescent="0.2">
      <c r="A508" s="2737" t="s">
        <v>76</v>
      </c>
      <c r="B508" s="2737"/>
      <c r="C508" s="2738" t="s">
        <v>77</v>
      </c>
      <c r="D508" s="2738"/>
      <c r="E508" s="2738"/>
      <c r="F508" s="2738"/>
      <c r="G508" s="2738"/>
      <c r="H508" s="2738"/>
      <c r="I508" s="457" t="s">
        <v>78</v>
      </c>
      <c r="AB508" s="478"/>
    </row>
    <row r="509" spans="1:32" s="457" customFormat="1" ht="18" customHeight="1" x14ac:dyDescent="0.2">
      <c r="B509" s="479"/>
      <c r="I509" s="457" t="s">
        <v>79</v>
      </c>
      <c r="AB509" s="478"/>
    </row>
    <row r="510" spans="1:32" s="457" customFormat="1" ht="18" customHeight="1" x14ac:dyDescent="0.2">
      <c r="B510" s="479"/>
      <c r="I510" s="457" t="s">
        <v>80</v>
      </c>
      <c r="AB510" s="478"/>
    </row>
    <row r="511" spans="1:32" s="457" customFormat="1" ht="18" customHeight="1" x14ac:dyDescent="0.2">
      <c r="B511" s="479"/>
      <c r="I511" s="457" t="s">
        <v>81</v>
      </c>
      <c r="AB511" s="478"/>
    </row>
    <row r="512" spans="1:32" s="457" customFormat="1" ht="18" customHeight="1" x14ac:dyDescent="0.2">
      <c r="B512" s="479"/>
      <c r="I512" s="457" t="s">
        <v>88</v>
      </c>
      <c r="AB512" s="478"/>
    </row>
    <row r="513" spans="1:32" s="457" customFormat="1" ht="18" customHeight="1" x14ac:dyDescent="0.2">
      <c r="A513" s="455"/>
      <c r="B513" s="455"/>
      <c r="C513" s="455"/>
      <c r="D513" s="455"/>
      <c r="E513" s="455"/>
      <c r="F513" s="455"/>
      <c r="G513" s="455"/>
      <c r="H513" s="455"/>
      <c r="I513" s="455"/>
      <c r="J513" s="455"/>
      <c r="K513" s="455"/>
      <c r="L513" s="455"/>
      <c r="M513" s="455"/>
      <c r="N513" s="455"/>
      <c r="O513" s="455"/>
      <c r="P513" s="455"/>
      <c r="Q513" s="455"/>
      <c r="R513" s="455"/>
      <c r="S513" s="455"/>
      <c r="T513" s="455"/>
      <c r="U513" s="455"/>
      <c r="V513" s="455"/>
      <c r="W513" s="455"/>
      <c r="X513" s="455"/>
      <c r="Y513" s="455"/>
      <c r="Z513" s="455"/>
      <c r="AA513" s="2705" t="s">
        <v>0</v>
      </c>
      <c r="AB513" s="2705"/>
      <c r="AC513" s="455"/>
      <c r="AD513" s="455"/>
      <c r="AE513" s="455"/>
      <c r="AF513" s="455"/>
    </row>
    <row r="514" spans="1:32" s="457" customFormat="1" ht="18" customHeight="1" x14ac:dyDescent="0.2">
      <c r="A514" s="2706" t="s">
        <v>1</v>
      </c>
      <c r="B514" s="2706"/>
      <c r="C514" s="2706"/>
      <c r="D514" s="2706"/>
      <c r="E514" s="2706"/>
      <c r="F514" s="2706"/>
      <c r="G514" s="2706"/>
      <c r="H514" s="2706"/>
      <c r="I514" s="2706"/>
      <c r="J514" s="2706"/>
      <c r="K514" s="2706"/>
      <c r="L514" s="2706"/>
      <c r="M514" s="2706"/>
      <c r="N514" s="2706"/>
      <c r="O514" s="2706"/>
      <c r="P514" s="2706"/>
      <c r="Q514" s="2706"/>
      <c r="R514" s="2706"/>
      <c r="S514" s="2706"/>
      <c r="T514" s="2706"/>
      <c r="U514" s="2706"/>
      <c r="V514" s="2706"/>
      <c r="W514" s="2706"/>
      <c r="X514" s="2706"/>
      <c r="Y514" s="2706"/>
      <c r="Z514" s="2706"/>
      <c r="AA514" s="2706"/>
      <c r="AB514" s="2706"/>
      <c r="AC514" s="610"/>
      <c r="AD514" s="610"/>
      <c r="AE514" s="610"/>
      <c r="AF514" s="610"/>
    </row>
    <row r="515" spans="1:32" s="457" customFormat="1" ht="18" customHeight="1" x14ac:dyDescent="0.2">
      <c r="A515" s="2704" t="s">
        <v>385</v>
      </c>
      <c r="B515" s="2704"/>
      <c r="C515" s="2704"/>
      <c r="D515" s="2704"/>
      <c r="E515" s="2704"/>
      <c r="F515" s="2704"/>
      <c r="G515" s="2704"/>
      <c r="H515" s="2704"/>
      <c r="I515" s="2704"/>
      <c r="J515" s="2704"/>
      <c r="K515" s="2704"/>
      <c r="L515" s="2704"/>
      <c r="M515" s="2704"/>
      <c r="N515" s="2704"/>
      <c r="O515" s="2704"/>
      <c r="P515" s="2704"/>
      <c r="Q515" s="2704"/>
      <c r="R515" s="2704"/>
      <c r="S515" s="2704"/>
      <c r="T515" s="2704"/>
      <c r="U515" s="2704"/>
      <c r="V515" s="2704"/>
      <c r="W515" s="2704"/>
      <c r="X515" s="2704"/>
      <c r="Y515" s="2704"/>
      <c r="Z515" s="2704"/>
      <c r="AA515" s="2704"/>
      <c r="AB515" s="2704"/>
      <c r="AC515" s="611"/>
      <c r="AD515" s="611"/>
      <c r="AE515" s="611"/>
      <c r="AF515" s="611"/>
    </row>
    <row r="516" spans="1:32" s="457" customFormat="1" ht="18" customHeight="1" x14ac:dyDescent="0.2">
      <c r="A516" s="2686" t="s">
        <v>2</v>
      </c>
      <c r="B516" s="360"/>
      <c r="C516" s="2686" t="s">
        <v>3</v>
      </c>
      <c r="D516" s="360"/>
      <c r="E516" s="360"/>
      <c r="F516" s="2693" t="s">
        <v>4</v>
      </c>
      <c r="G516" s="2693"/>
      <c r="H516" s="2693"/>
      <c r="I516" s="2694"/>
      <c r="J516" s="2694"/>
      <c r="K516" s="2695"/>
      <c r="L516" s="361"/>
      <c r="M516" s="2679" t="s">
        <v>5</v>
      </c>
      <c r="N516" s="2679"/>
      <c r="O516" s="2679"/>
      <c r="P516" s="2679"/>
      <c r="Q516" s="2696"/>
      <c r="R516" s="2696"/>
      <c r="S516" s="2696"/>
      <c r="T516" s="2696"/>
      <c r="U516" s="2696"/>
      <c r="V516" s="2697"/>
      <c r="W516" s="362" t="s">
        <v>6</v>
      </c>
      <c r="X516" s="363" t="s">
        <v>7</v>
      </c>
      <c r="Y516" s="364"/>
      <c r="Z516" s="364"/>
      <c r="AA516" s="363"/>
      <c r="AB516" s="458"/>
      <c r="AC516" s="612" t="s">
        <v>8</v>
      </c>
      <c r="AD516" s="613"/>
      <c r="AE516" s="613"/>
      <c r="AF516" s="614"/>
    </row>
    <row r="517" spans="1:32" s="457" customFormat="1" ht="18" customHeight="1" x14ac:dyDescent="0.2">
      <c r="A517" s="2687"/>
      <c r="B517" s="367"/>
      <c r="C517" s="2687"/>
      <c r="D517" s="366" t="s">
        <v>9</v>
      </c>
      <c r="E517" s="366" t="s">
        <v>10</v>
      </c>
      <c r="F517" s="2698" t="s">
        <v>11</v>
      </c>
      <c r="G517" s="2694"/>
      <c r="H517" s="2695"/>
      <c r="I517" s="360"/>
      <c r="J517" s="449" t="s">
        <v>12</v>
      </c>
      <c r="K517" s="360"/>
      <c r="L517" s="2679" t="s">
        <v>2</v>
      </c>
      <c r="M517" s="370"/>
      <c r="N517" s="370"/>
      <c r="O517" s="370"/>
      <c r="P517" s="371"/>
      <c r="Q517" s="459" t="s">
        <v>13</v>
      </c>
      <c r="R517" s="370" t="s">
        <v>12</v>
      </c>
      <c r="S517" s="370" t="s">
        <v>6</v>
      </c>
      <c r="T517" s="2682" t="s">
        <v>14</v>
      </c>
      <c r="U517" s="2683"/>
      <c r="V517" s="375" t="s">
        <v>7</v>
      </c>
      <c r="W517" s="376" t="s">
        <v>15</v>
      </c>
      <c r="X517" s="377" t="s">
        <v>16</v>
      </c>
      <c r="Y517" s="377" t="s">
        <v>17</v>
      </c>
      <c r="Z517" s="377" t="s">
        <v>18</v>
      </c>
      <c r="AA517" s="377"/>
      <c r="AB517" s="460" t="s">
        <v>19</v>
      </c>
      <c r="AC517" s="615" t="s">
        <v>20</v>
      </c>
      <c r="AD517" s="616"/>
      <c r="AE517" s="617" t="s">
        <v>21</v>
      </c>
      <c r="AF517" s="618" t="s">
        <v>22</v>
      </c>
    </row>
    <row r="518" spans="1:32" s="457" customFormat="1" ht="18" customHeight="1" x14ac:dyDescent="0.2">
      <c r="A518" s="2687"/>
      <c r="B518" s="366" t="s">
        <v>23</v>
      </c>
      <c r="C518" s="2687"/>
      <c r="D518" s="366" t="s">
        <v>24</v>
      </c>
      <c r="E518" s="366" t="s">
        <v>25</v>
      </c>
      <c r="F518" s="2699"/>
      <c r="G518" s="2700"/>
      <c r="H518" s="2701"/>
      <c r="I518" s="366" t="s">
        <v>26</v>
      </c>
      <c r="J518" s="380" t="s">
        <v>15</v>
      </c>
      <c r="K518" s="380" t="s">
        <v>6</v>
      </c>
      <c r="L518" s="2680"/>
      <c r="M518" s="381" t="s">
        <v>27</v>
      </c>
      <c r="N518" s="381" t="s">
        <v>10</v>
      </c>
      <c r="O518" s="381" t="s">
        <v>10</v>
      </c>
      <c r="P518" s="385" t="s">
        <v>28</v>
      </c>
      <c r="Q518" s="461" t="s">
        <v>29</v>
      </c>
      <c r="R518" s="385" t="s">
        <v>15</v>
      </c>
      <c r="S518" s="385" t="s">
        <v>15</v>
      </c>
      <c r="T518" s="2684"/>
      <c r="U518" s="2685"/>
      <c r="V518" s="375" t="s">
        <v>30</v>
      </c>
      <c r="W518" s="376" t="s">
        <v>31</v>
      </c>
      <c r="X518" s="377" t="s">
        <v>30</v>
      </c>
      <c r="Y518" s="377" t="s">
        <v>32</v>
      </c>
      <c r="Z518" s="377" t="s">
        <v>7</v>
      </c>
      <c r="AA518" s="377" t="s">
        <v>33</v>
      </c>
      <c r="AB518" s="460" t="s">
        <v>34</v>
      </c>
      <c r="AC518" s="615" t="s">
        <v>35</v>
      </c>
      <c r="AD518" s="617" t="s">
        <v>36</v>
      </c>
      <c r="AE518" s="617" t="s">
        <v>37</v>
      </c>
      <c r="AF518" s="618" t="s">
        <v>38</v>
      </c>
    </row>
    <row r="519" spans="1:32" s="457" customFormat="1" ht="18" customHeight="1" x14ac:dyDescent="0.2">
      <c r="A519" s="2687"/>
      <c r="B519" s="366" t="s">
        <v>39</v>
      </c>
      <c r="C519" s="2687"/>
      <c r="D519" s="366" t="s">
        <v>40</v>
      </c>
      <c r="E519" s="366" t="s">
        <v>41</v>
      </c>
      <c r="F519" s="2686" t="s">
        <v>42</v>
      </c>
      <c r="G519" s="2686" t="s">
        <v>43</v>
      </c>
      <c r="H519" s="2688" t="s">
        <v>44</v>
      </c>
      <c r="I519" s="366" t="s">
        <v>45</v>
      </c>
      <c r="J519" s="380" t="s">
        <v>46</v>
      </c>
      <c r="K519" s="380" t="s">
        <v>47</v>
      </c>
      <c r="L519" s="2680"/>
      <c r="M519" s="381" t="s">
        <v>30</v>
      </c>
      <c r="N519" s="381" t="s">
        <v>30</v>
      </c>
      <c r="O519" s="381" t="s">
        <v>25</v>
      </c>
      <c r="P519" s="385" t="s">
        <v>30</v>
      </c>
      <c r="Q519" s="461" t="s">
        <v>48</v>
      </c>
      <c r="R519" s="385" t="s">
        <v>49</v>
      </c>
      <c r="S519" s="385" t="s">
        <v>30</v>
      </c>
      <c r="T519" s="374" t="s">
        <v>50</v>
      </c>
      <c r="U519" s="374" t="s">
        <v>13</v>
      </c>
      <c r="V519" s="375" t="s">
        <v>51</v>
      </c>
      <c r="W519" s="376" t="s">
        <v>52</v>
      </c>
      <c r="X519" s="377" t="s">
        <v>53</v>
      </c>
      <c r="Y519" s="377" t="s">
        <v>54</v>
      </c>
      <c r="Z519" s="377" t="s">
        <v>55</v>
      </c>
      <c r="AA519" s="377" t="s">
        <v>56</v>
      </c>
      <c r="AB519" s="460" t="s">
        <v>57</v>
      </c>
      <c r="AC519" s="617" t="s">
        <v>58</v>
      </c>
      <c r="AD519" s="617" t="s">
        <v>59</v>
      </c>
      <c r="AE519" s="617" t="s">
        <v>59</v>
      </c>
      <c r="AF519" s="618" t="s">
        <v>60</v>
      </c>
    </row>
    <row r="520" spans="1:32" s="457" customFormat="1" ht="18" customHeight="1" x14ac:dyDescent="0.2">
      <c r="A520" s="2687"/>
      <c r="B520" s="366" t="s">
        <v>61</v>
      </c>
      <c r="C520" s="2687"/>
      <c r="D520" s="366" t="s">
        <v>62</v>
      </c>
      <c r="E520" s="366" t="s">
        <v>63</v>
      </c>
      <c r="F520" s="2687"/>
      <c r="G520" s="2687"/>
      <c r="H520" s="2689"/>
      <c r="I520" s="366" t="s">
        <v>64</v>
      </c>
      <c r="J520" s="380" t="s">
        <v>59</v>
      </c>
      <c r="K520" s="380" t="s">
        <v>59</v>
      </c>
      <c r="L520" s="2680"/>
      <c r="M520" s="381"/>
      <c r="N520" s="381"/>
      <c r="O520" s="381" t="s">
        <v>41</v>
      </c>
      <c r="P520" s="385" t="s">
        <v>65</v>
      </c>
      <c r="Q520" s="461" t="s">
        <v>66</v>
      </c>
      <c r="R520" s="385" t="s">
        <v>67</v>
      </c>
      <c r="S520" s="385" t="s">
        <v>59</v>
      </c>
      <c r="T520" s="375" t="s">
        <v>68</v>
      </c>
      <c r="U520" s="375" t="s">
        <v>14</v>
      </c>
      <c r="V520" s="375" t="s">
        <v>14</v>
      </c>
      <c r="W520" s="376" t="s">
        <v>30</v>
      </c>
      <c r="X520" s="388" t="s">
        <v>69</v>
      </c>
      <c r="Y520" s="388" t="s">
        <v>70</v>
      </c>
      <c r="Z520" s="377" t="s">
        <v>71</v>
      </c>
      <c r="AA520" s="377" t="s">
        <v>72</v>
      </c>
      <c r="AB520" s="460" t="s">
        <v>59</v>
      </c>
      <c r="AC520" s="617" t="s">
        <v>59</v>
      </c>
      <c r="AD520" s="617"/>
      <c r="AE520" s="617"/>
      <c r="AF520" s="618" t="s">
        <v>59</v>
      </c>
    </row>
    <row r="521" spans="1:32" s="457" customFormat="1" ht="18" customHeight="1" x14ac:dyDescent="0.2">
      <c r="A521" s="2692"/>
      <c r="B521" s="390"/>
      <c r="C521" s="2692"/>
      <c r="D521" s="390"/>
      <c r="E521" s="389"/>
      <c r="F521" s="390"/>
      <c r="G521" s="390"/>
      <c r="H521" s="391"/>
      <c r="I521" s="389"/>
      <c r="J521" s="393"/>
      <c r="K521" s="393"/>
      <c r="L521" s="2681"/>
      <c r="M521" s="394"/>
      <c r="N521" s="394"/>
      <c r="O521" s="394" t="s">
        <v>63</v>
      </c>
      <c r="P521" s="394"/>
      <c r="Q521" s="450" t="s">
        <v>72</v>
      </c>
      <c r="R521" s="398" t="s">
        <v>59</v>
      </c>
      <c r="S521" s="398"/>
      <c r="T521" s="398" t="s">
        <v>73</v>
      </c>
      <c r="U521" s="398" t="s">
        <v>59</v>
      </c>
      <c r="V521" s="399" t="s">
        <v>59</v>
      </c>
      <c r="W521" s="400" t="s">
        <v>59</v>
      </c>
      <c r="X521" s="401" t="s">
        <v>59</v>
      </c>
      <c r="Y521" s="401" t="s">
        <v>59</v>
      </c>
      <c r="Z521" s="401" t="s">
        <v>59</v>
      </c>
      <c r="AA521" s="402"/>
      <c r="AB521" s="462"/>
      <c r="AC521" s="625"/>
      <c r="AD521" s="625"/>
      <c r="AE521" s="625"/>
      <c r="AF521" s="626"/>
    </row>
    <row r="522" spans="1:32" s="457" customFormat="1" ht="18" customHeight="1" x14ac:dyDescent="0.25">
      <c r="A522" s="75">
        <v>1</v>
      </c>
      <c r="B522" s="273">
        <v>16860</v>
      </c>
      <c r="C522" s="27">
        <v>670</v>
      </c>
      <c r="D522" s="27" t="s">
        <v>86</v>
      </c>
      <c r="E522" s="27">
        <v>2</v>
      </c>
      <c r="F522" s="27">
        <v>0</v>
      </c>
      <c r="G522" s="27">
        <v>3</v>
      </c>
      <c r="H522" s="557">
        <v>43</v>
      </c>
      <c r="I522" s="77">
        <f t="shared" ref="I522:I524" si="136">F522*400+G522*100+H522</f>
        <v>343</v>
      </c>
      <c r="J522" s="306">
        <v>2000</v>
      </c>
      <c r="K522" s="297">
        <f t="shared" ref="K522:K524" si="137">I522*J522</f>
        <v>686000</v>
      </c>
      <c r="L522" s="45">
        <v>1</v>
      </c>
      <c r="M522" s="61">
        <v>106</v>
      </c>
      <c r="N522" s="50" t="s">
        <v>96</v>
      </c>
      <c r="O522" s="50">
        <v>2</v>
      </c>
      <c r="P522" s="19">
        <v>23</v>
      </c>
      <c r="Q522" s="62" t="s">
        <v>75</v>
      </c>
      <c r="R522" s="672">
        <v>7950</v>
      </c>
      <c r="S522" s="47">
        <f t="shared" ref="S522" si="138">+P522*R522</f>
        <v>182850</v>
      </c>
      <c r="T522" s="1501">
        <v>28</v>
      </c>
      <c r="U522" s="1670">
        <f>+S522*0.85</f>
        <v>155422.5</v>
      </c>
      <c r="V522" s="18">
        <f t="shared" ref="V522" si="139">+S522-U522</f>
        <v>27427.5</v>
      </c>
      <c r="W522" s="18">
        <f t="shared" ref="W522:W524" si="140">K522+V522</f>
        <v>713427.5</v>
      </c>
      <c r="X522" s="47">
        <f t="shared" ref="X522:X524" si="141">W522</f>
        <v>713427.5</v>
      </c>
      <c r="Y522" s="792" t="s">
        <v>89</v>
      </c>
      <c r="Z522" s="296">
        <v>0</v>
      </c>
      <c r="AA522" s="494">
        <v>0.02</v>
      </c>
      <c r="AB522" s="465">
        <f>+Z522*AA522/100</f>
        <v>0</v>
      </c>
      <c r="AC522" s="602"/>
      <c r="AD522" s="603" t="e">
        <f>#REF!-AC522</f>
        <v>#REF!</v>
      </c>
      <c r="AE522" s="603" t="e">
        <f>IF(AD522&lt;=0,0,AD522*25/100)</f>
        <v>#REF!</v>
      </c>
      <c r="AF522" s="603" t="e">
        <f>IF(AC522+AE522&gt;#REF!,#REF!,AC522+AE522)</f>
        <v>#REF!</v>
      </c>
    </row>
    <row r="523" spans="1:32" s="457" customFormat="1" ht="18" customHeight="1" x14ac:dyDescent="0.25">
      <c r="A523" s="242">
        <v>2</v>
      </c>
      <c r="B523" s="269">
        <v>1998</v>
      </c>
      <c r="C523" s="285" t="s">
        <v>98</v>
      </c>
      <c r="D523" s="27" t="s">
        <v>86</v>
      </c>
      <c r="E523" s="273">
        <v>1</v>
      </c>
      <c r="F523" s="268">
        <v>4</v>
      </c>
      <c r="G523" s="269">
        <v>2</v>
      </c>
      <c r="H523" s="266">
        <v>88</v>
      </c>
      <c r="I523" s="77">
        <f t="shared" si="136"/>
        <v>1888</v>
      </c>
      <c r="J523" s="306">
        <v>1200</v>
      </c>
      <c r="K523" s="297">
        <f t="shared" si="137"/>
        <v>2265600</v>
      </c>
      <c r="L523" s="269"/>
      <c r="M523" s="242"/>
      <c r="N523" s="269"/>
      <c r="O523" s="269"/>
      <c r="P523" s="266"/>
      <c r="Q523" s="285"/>
      <c r="R523" s="1005"/>
      <c r="S523" s="321"/>
      <c r="T523" s="323"/>
      <c r="U523" s="299"/>
      <c r="V523" s="299"/>
      <c r="W523" s="18">
        <f t="shared" si="140"/>
        <v>2265600</v>
      </c>
      <c r="X523" s="47">
        <f t="shared" si="141"/>
        <v>2265600</v>
      </c>
      <c r="Y523" s="792" t="s">
        <v>87</v>
      </c>
      <c r="Z523" s="296">
        <v>0</v>
      </c>
      <c r="AA523" s="708">
        <v>0.01</v>
      </c>
      <c r="AB523" s="466">
        <f>+Z523*AA523/100</f>
        <v>0</v>
      </c>
      <c r="AC523" s="350"/>
      <c r="AD523" s="350"/>
      <c r="AE523" s="350"/>
      <c r="AF523" s="350"/>
    </row>
    <row r="524" spans="1:32" s="457" customFormat="1" ht="18" customHeight="1" x14ac:dyDescent="0.25">
      <c r="A524" s="242"/>
      <c r="B524" s="269"/>
      <c r="C524" s="285"/>
      <c r="D524" s="273"/>
      <c r="E524" s="273">
        <v>3</v>
      </c>
      <c r="F524" s="268">
        <v>0</v>
      </c>
      <c r="G524" s="269">
        <v>3</v>
      </c>
      <c r="H524" s="266">
        <v>0</v>
      </c>
      <c r="I524" s="77">
        <f t="shared" si="136"/>
        <v>300</v>
      </c>
      <c r="J524" s="306">
        <v>1200</v>
      </c>
      <c r="K524" s="297">
        <f t="shared" si="137"/>
        <v>360000</v>
      </c>
      <c r="L524" s="269"/>
      <c r="M524" s="242"/>
      <c r="N524" s="269"/>
      <c r="O524" s="269"/>
      <c r="P524" s="266"/>
      <c r="Q524" s="285"/>
      <c r="R524" s="1005"/>
      <c r="S524" s="321"/>
      <c r="T524" s="323"/>
      <c r="U524" s="299"/>
      <c r="V524" s="299"/>
      <c r="W524" s="18">
        <f t="shared" si="140"/>
        <v>360000</v>
      </c>
      <c r="X524" s="47">
        <f t="shared" si="141"/>
        <v>360000</v>
      </c>
      <c r="Y524" s="792"/>
      <c r="Z524" s="18">
        <f>+X524</f>
        <v>360000</v>
      </c>
      <c r="AA524" s="708">
        <v>0.3</v>
      </c>
      <c r="AB524" s="466">
        <f>+Z524*AA524/100</f>
        <v>1080</v>
      </c>
      <c r="AC524" s="350"/>
      <c r="AD524" s="350"/>
      <c r="AE524" s="350"/>
      <c r="AF524" s="350"/>
    </row>
    <row r="525" spans="1:32" s="457" customFormat="1" ht="18" customHeight="1" x14ac:dyDescent="0.2">
      <c r="A525" s="145"/>
      <c r="B525" s="177"/>
      <c r="C525" s="177"/>
      <c r="D525" s="145"/>
      <c r="E525" s="145"/>
      <c r="F525" s="145"/>
      <c r="G525" s="145"/>
      <c r="H525" s="147"/>
      <c r="I525" s="107"/>
      <c r="J525" s="178"/>
      <c r="K525" s="107"/>
      <c r="L525" s="145"/>
      <c r="M525" s="145"/>
      <c r="N525" s="145"/>
      <c r="O525" s="145"/>
      <c r="P525" s="147"/>
      <c r="Q525" s="148"/>
      <c r="R525" s="437"/>
      <c r="S525" s="107"/>
      <c r="T525" s="179"/>
      <c r="U525" s="178"/>
      <c r="V525" s="107"/>
      <c r="W525" s="107"/>
      <c r="X525" s="470"/>
      <c r="Y525" s="470"/>
      <c r="Z525" s="471"/>
      <c r="AA525" s="471"/>
      <c r="AB525" s="466"/>
      <c r="AC525" s="350"/>
      <c r="AD525" s="350"/>
      <c r="AE525" s="350"/>
      <c r="AF525" s="350"/>
    </row>
    <row r="526" spans="1:32" s="457" customFormat="1" ht="18" customHeight="1" x14ac:dyDescent="0.2">
      <c r="A526" s="145"/>
      <c r="B526" s="177"/>
      <c r="C526" s="177"/>
      <c r="D526" s="145"/>
      <c r="E526" s="145"/>
      <c r="F526" s="145"/>
      <c r="G526" s="145"/>
      <c r="H526" s="147"/>
      <c r="I526" s="107"/>
      <c r="J526" s="178"/>
      <c r="K526" s="107"/>
      <c r="L526" s="145"/>
      <c r="M526" s="145"/>
      <c r="N526" s="145"/>
      <c r="O526" s="145"/>
      <c r="P526" s="147"/>
      <c r="Q526" s="148"/>
      <c r="R526" s="437"/>
      <c r="S526" s="107"/>
      <c r="T526" s="179"/>
      <c r="U526" s="178"/>
      <c r="V526" s="107"/>
      <c r="W526" s="107"/>
      <c r="X526" s="470"/>
      <c r="Y526" s="470"/>
      <c r="Z526" s="471"/>
      <c r="AA526" s="471"/>
      <c r="AB526" s="466"/>
      <c r="AC526" s="350"/>
      <c r="AD526" s="350"/>
      <c r="AE526" s="350"/>
      <c r="AF526" s="350"/>
    </row>
    <row r="527" spans="1:32" s="457" customFormat="1" ht="18" customHeight="1" x14ac:dyDescent="0.2">
      <c r="A527" s="145"/>
      <c r="B527" s="177"/>
      <c r="C527" s="177"/>
      <c r="D527" s="145"/>
      <c r="E527" s="145"/>
      <c r="F527" s="145"/>
      <c r="G527" s="145"/>
      <c r="H527" s="147"/>
      <c r="I527" s="107"/>
      <c r="J527" s="178"/>
      <c r="K527" s="107"/>
      <c r="L527" s="145"/>
      <c r="M527" s="145"/>
      <c r="N527" s="145"/>
      <c r="O527" s="145"/>
      <c r="P527" s="147"/>
      <c r="Q527" s="148"/>
      <c r="R527" s="437"/>
      <c r="S527" s="107"/>
      <c r="T527" s="179"/>
      <c r="U527" s="178"/>
      <c r="V527" s="107"/>
      <c r="W527" s="107"/>
      <c r="X527" s="470"/>
      <c r="Y527" s="470"/>
      <c r="Z527" s="471"/>
      <c r="AA527" s="471"/>
      <c r="AB527" s="466"/>
      <c r="AC527" s="350"/>
      <c r="AD527" s="350"/>
      <c r="AE527" s="350"/>
      <c r="AF527" s="350"/>
    </row>
    <row r="528" spans="1:32" s="457" customFormat="1" ht="18" customHeight="1" x14ac:dyDescent="0.2">
      <c r="A528" s="145"/>
      <c r="B528" s="177"/>
      <c r="C528" s="177"/>
      <c r="D528" s="145"/>
      <c r="E528" s="145"/>
      <c r="F528" s="145"/>
      <c r="G528" s="145"/>
      <c r="H528" s="147"/>
      <c r="I528" s="107"/>
      <c r="J528" s="178"/>
      <c r="K528" s="107"/>
      <c r="L528" s="145"/>
      <c r="M528" s="145"/>
      <c r="N528" s="145"/>
      <c r="O528" s="145"/>
      <c r="P528" s="147"/>
      <c r="Q528" s="148"/>
      <c r="R528" s="437"/>
      <c r="S528" s="107"/>
      <c r="T528" s="179"/>
      <c r="U528" s="178"/>
      <c r="V528" s="107"/>
      <c r="W528" s="107"/>
      <c r="X528" s="470"/>
      <c r="Y528" s="470"/>
      <c r="Z528" s="471"/>
      <c r="AA528" s="471"/>
      <c r="AB528" s="466"/>
      <c r="AC528" s="350"/>
      <c r="AD528" s="350"/>
      <c r="AE528" s="350"/>
      <c r="AF528" s="350"/>
    </row>
    <row r="529" spans="1:32" s="457" customFormat="1" ht="18" customHeight="1" x14ac:dyDescent="0.2">
      <c r="A529" s="145"/>
      <c r="B529" s="177"/>
      <c r="C529" s="177"/>
      <c r="D529" s="145"/>
      <c r="E529" s="145"/>
      <c r="F529" s="145"/>
      <c r="G529" s="145"/>
      <c r="H529" s="147"/>
      <c r="I529" s="107"/>
      <c r="J529" s="178"/>
      <c r="K529" s="107"/>
      <c r="L529" s="145"/>
      <c r="M529" s="145"/>
      <c r="N529" s="145"/>
      <c r="O529" s="145"/>
      <c r="P529" s="147"/>
      <c r="Q529" s="148"/>
      <c r="R529" s="437"/>
      <c r="S529" s="107"/>
      <c r="T529" s="179"/>
      <c r="U529" s="178"/>
      <c r="V529" s="107"/>
      <c r="W529" s="107"/>
      <c r="X529" s="470"/>
      <c r="Y529" s="470"/>
      <c r="Z529" s="471"/>
      <c r="AA529" s="471"/>
      <c r="AB529" s="466"/>
      <c r="AC529" s="350"/>
      <c r="AD529" s="350"/>
      <c r="AE529" s="350"/>
      <c r="AF529" s="350"/>
    </row>
    <row r="530" spans="1:32" s="457" customFormat="1" ht="18" customHeight="1" x14ac:dyDescent="0.2">
      <c r="A530" s="145"/>
      <c r="B530" s="177"/>
      <c r="C530" s="177"/>
      <c r="D530" s="145"/>
      <c r="E530" s="145"/>
      <c r="F530" s="145"/>
      <c r="G530" s="145"/>
      <c r="H530" s="147"/>
      <c r="I530" s="107"/>
      <c r="J530" s="178"/>
      <c r="K530" s="107"/>
      <c r="L530" s="145"/>
      <c r="M530" s="145"/>
      <c r="N530" s="145"/>
      <c r="O530" s="145"/>
      <c r="P530" s="147"/>
      <c r="Q530" s="148"/>
      <c r="R530" s="437"/>
      <c r="S530" s="107"/>
      <c r="T530" s="179"/>
      <c r="U530" s="178"/>
      <c r="V530" s="107"/>
      <c r="W530" s="107"/>
      <c r="X530" s="470"/>
      <c r="Y530" s="470"/>
      <c r="Z530" s="471"/>
      <c r="AA530" s="471"/>
      <c r="AB530" s="466"/>
      <c r="AC530" s="350"/>
      <c r="AD530" s="350"/>
      <c r="AE530" s="350"/>
      <c r="AF530" s="350"/>
    </row>
    <row r="531" spans="1:32" s="457" customFormat="1" ht="18" customHeight="1" x14ac:dyDescent="0.2">
      <c r="A531" s="145"/>
      <c r="B531" s="177"/>
      <c r="C531" s="177"/>
      <c r="D531" s="145"/>
      <c r="E531" s="145"/>
      <c r="F531" s="145"/>
      <c r="G531" s="145"/>
      <c r="H531" s="147"/>
      <c r="I531" s="107"/>
      <c r="J531" s="178"/>
      <c r="K531" s="107"/>
      <c r="L531" s="145"/>
      <c r="M531" s="145"/>
      <c r="N531" s="145"/>
      <c r="O531" s="145"/>
      <c r="P531" s="147"/>
      <c r="Q531" s="148"/>
      <c r="R531" s="437"/>
      <c r="S531" s="107"/>
      <c r="T531" s="179"/>
      <c r="U531" s="178"/>
      <c r="V531" s="107"/>
      <c r="W531" s="107"/>
      <c r="X531" s="470"/>
      <c r="Y531" s="470"/>
      <c r="Z531" s="471"/>
      <c r="AA531" s="471"/>
      <c r="AB531" s="466"/>
      <c r="AC531" s="350"/>
      <c r="AD531" s="350"/>
      <c r="AE531" s="350"/>
      <c r="AF531" s="350"/>
    </row>
    <row r="532" spans="1:32" s="457" customFormat="1" ht="18" customHeight="1" x14ac:dyDescent="0.2">
      <c r="A532" s="145"/>
      <c r="B532" s="177"/>
      <c r="C532" s="177"/>
      <c r="D532" s="145"/>
      <c r="E532" s="145"/>
      <c r="F532" s="145"/>
      <c r="G532" s="145"/>
      <c r="H532" s="147"/>
      <c r="I532" s="107"/>
      <c r="J532" s="178"/>
      <c r="K532" s="107"/>
      <c r="L532" s="145"/>
      <c r="M532" s="145"/>
      <c r="N532" s="145"/>
      <c r="O532" s="145"/>
      <c r="P532" s="147"/>
      <c r="Q532" s="148"/>
      <c r="R532" s="437"/>
      <c r="S532" s="107"/>
      <c r="T532" s="179"/>
      <c r="U532" s="178"/>
      <c r="V532" s="107"/>
      <c r="W532" s="107"/>
      <c r="X532" s="470"/>
      <c r="Y532" s="470"/>
      <c r="Z532" s="471"/>
      <c r="AA532" s="471"/>
      <c r="AB532" s="466"/>
      <c r="AC532" s="350"/>
      <c r="AD532" s="350"/>
      <c r="AE532" s="350"/>
      <c r="AF532" s="350"/>
    </row>
    <row r="533" spans="1:32" s="457" customFormat="1" ht="18" customHeight="1" x14ac:dyDescent="0.2">
      <c r="A533" s="145"/>
      <c r="B533" s="177"/>
      <c r="C533" s="177"/>
      <c r="D533" s="145"/>
      <c r="E533" s="145"/>
      <c r="F533" s="145"/>
      <c r="G533" s="145"/>
      <c r="H533" s="147"/>
      <c r="I533" s="107"/>
      <c r="J533" s="178"/>
      <c r="K533" s="107"/>
      <c r="L533" s="145"/>
      <c r="M533" s="145"/>
      <c r="N533" s="145"/>
      <c r="O533" s="145"/>
      <c r="P533" s="147"/>
      <c r="Q533" s="148"/>
      <c r="R533" s="437"/>
      <c r="S533" s="107"/>
      <c r="T533" s="179"/>
      <c r="U533" s="178"/>
      <c r="V533" s="107"/>
      <c r="W533" s="107"/>
      <c r="X533" s="470"/>
      <c r="Y533" s="470"/>
      <c r="Z533" s="471"/>
      <c r="AA533" s="471"/>
      <c r="AB533" s="466"/>
      <c r="AC533" s="350"/>
      <c r="AD533" s="350"/>
      <c r="AE533" s="350"/>
      <c r="AF533" s="350"/>
    </row>
    <row r="534" spans="1:32" s="457" customFormat="1" ht="18" customHeight="1" x14ac:dyDescent="0.2">
      <c r="A534" s="145"/>
      <c r="B534" s="177"/>
      <c r="C534" s="177"/>
      <c r="D534" s="145"/>
      <c r="E534" s="145"/>
      <c r="F534" s="145"/>
      <c r="G534" s="145"/>
      <c r="H534" s="147"/>
      <c r="I534" s="107"/>
      <c r="J534" s="178"/>
      <c r="K534" s="107"/>
      <c r="L534" s="145"/>
      <c r="M534" s="145"/>
      <c r="N534" s="145"/>
      <c r="O534" s="145"/>
      <c r="P534" s="147"/>
      <c r="Q534" s="148"/>
      <c r="R534" s="437"/>
      <c r="S534" s="107"/>
      <c r="T534" s="179"/>
      <c r="U534" s="178"/>
      <c r="V534" s="107"/>
      <c r="W534" s="107"/>
      <c r="X534" s="470"/>
      <c r="Y534" s="470"/>
      <c r="Z534" s="471"/>
      <c r="AA534" s="471"/>
      <c r="AB534" s="466"/>
      <c r="AC534" s="350"/>
      <c r="AD534" s="350"/>
      <c r="AE534" s="350"/>
      <c r="AF534" s="350"/>
    </row>
    <row r="535" spans="1:32" s="457" customFormat="1" ht="18" customHeight="1" x14ac:dyDescent="0.2">
      <c r="A535" s="145"/>
      <c r="B535" s="177"/>
      <c r="C535" s="177"/>
      <c r="D535" s="145"/>
      <c r="E535" s="145"/>
      <c r="F535" s="145"/>
      <c r="G535" s="145"/>
      <c r="H535" s="147"/>
      <c r="I535" s="107"/>
      <c r="J535" s="178"/>
      <c r="K535" s="107"/>
      <c r="L535" s="145"/>
      <c r="M535" s="145"/>
      <c r="N535" s="145"/>
      <c r="O535" s="145"/>
      <c r="P535" s="147"/>
      <c r="Q535" s="148"/>
      <c r="R535" s="437"/>
      <c r="S535" s="107"/>
      <c r="T535" s="179"/>
      <c r="U535" s="178"/>
      <c r="V535" s="107"/>
      <c r="W535" s="107"/>
      <c r="X535" s="470"/>
      <c r="Y535" s="470"/>
      <c r="Z535" s="471"/>
      <c r="AA535" s="471"/>
      <c r="AB535" s="466"/>
      <c r="AC535" s="350"/>
      <c r="AD535" s="350"/>
      <c r="AE535" s="350"/>
      <c r="AF535" s="350"/>
    </row>
    <row r="536" spans="1:32" s="457" customFormat="1" ht="18" customHeight="1" x14ac:dyDescent="0.2">
      <c r="A536" s="145"/>
      <c r="B536" s="177"/>
      <c r="C536" s="177"/>
      <c r="D536" s="145"/>
      <c r="E536" s="145"/>
      <c r="F536" s="145"/>
      <c r="G536" s="145"/>
      <c r="H536" s="147"/>
      <c r="I536" s="107"/>
      <c r="J536" s="178"/>
      <c r="K536" s="107"/>
      <c r="L536" s="145"/>
      <c r="M536" s="145"/>
      <c r="N536" s="145"/>
      <c r="O536" s="145"/>
      <c r="P536" s="147"/>
      <c r="Q536" s="148"/>
      <c r="R536" s="437"/>
      <c r="S536" s="107"/>
      <c r="T536" s="179"/>
      <c r="U536" s="178"/>
      <c r="V536" s="107"/>
      <c r="W536" s="107"/>
      <c r="X536" s="470"/>
      <c r="Y536" s="470"/>
      <c r="Z536" s="471"/>
      <c r="AA536" s="471"/>
      <c r="AB536" s="466"/>
      <c r="AC536" s="350"/>
      <c r="AD536" s="350"/>
      <c r="AE536" s="350"/>
      <c r="AF536" s="350"/>
    </row>
    <row r="537" spans="1:32" s="457" customFormat="1" ht="18" customHeight="1" x14ac:dyDescent="0.2">
      <c r="A537" s="183"/>
      <c r="B537" s="183"/>
      <c r="C537" s="183"/>
      <c r="D537" s="183"/>
      <c r="E537" s="183"/>
      <c r="F537" s="183"/>
      <c r="G537" s="183"/>
      <c r="H537" s="184"/>
      <c r="I537" s="185"/>
      <c r="J537" s="186"/>
      <c r="K537" s="185"/>
      <c r="L537" s="185"/>
      <c r="M537" s="185"/>
      <c r="N537" s="185"/>
      <c r="O537" s="185"/>
      <c r="P537" s="185"/>
      <c r="Q537" s="185"/>
      <c r="R537" s="438"/>
      <c r="S537" s="185"/>
      <c r="T537" s="187"/>
      <c r="U537" s="186"/>
      <c r="V537" s="185"/>
      <c r="W537" s="185"/>
      <c r="X537" s="474"/>
      <c r="Y537" s="474"/>
      <c r="Z537" s="475"/>
      <c r="AA537" s="475"/>
      <c r="AB537" s="1847">
        <f>SUM(AB522:AB536)</f>
        <v>1080</v>
      </c>
      <c r="AC537" s="349"/>
      <c r="AD537" s="349"/>
      <c r="AE537" s="349"/>
      <c r="AF537" s="349"/>
    </row>
    <row r="538" spans="1:32" s="457" customFormat="1" ht="18" customHeight="1" x14ac:dyDescent="0.2">
      <c r="A538" s="2737" t="s">
        <v>76</v>
      </c>
      <c r="B538" s="2737"/>
      <c r="C538" s="2738" t="s">
        <v>77</v>
      </c>
      <c r="D538" s="2738"/>
      <c r="E538" s="2738"/>
      <c r="F538" s="2738"/>
      <c r="G538" s="2738"/>
      <c r="H538" s="2738"/>
      <c r="I538" s="457" t="s">
        <v>78</v>
      </c>
      <c r="AB538" s="478"/>
    </row>
    <row r="539" spans="1:32" s="457" customFormat="1" ht="18" customHeight="1" x14ac:dyDescent="0.2">
      <c r="B539" s="479"/>
      <c r="I539" s="457" t="s">
        <v>79</v>
      </c>
      <c r="AB539" s="478"/>
    </row>
    <row r="540" spans="1:32" s="457" customFormat="1" ht="18" customHeight="1" x14ac:dyDescent="0.2">
      <c r="B540" s="479"/>
      <c r="I540" s="457" t="s">
        <v>80</v>
      </c>
      <c r="AB540" s="478"/>
    </row>
    <row r="541" spans="1:32" s="457" customFormat="1" ht="18" customHeight="1" x14ac:dyDescent="0.2">
      <c r="B541" s="479"/>
      <c r="I541" s="457" t="s">
        <v>81</v>
      </c>
      <c r="AB541" s="478"/>
    </row>
    <row r="542" spans="1:32" s="457" customFormat="1" ht="18" customHeight="1" x14ac:dyDescent="0.2">
      <c r="B542" s="479"/>
      <c r="I542" s="457" t="s">
        <v>88</v>
      </c>
      <c r="AB542" s="478"/>
    </row>
    <row r="543" spans="1:32" s="457" customFormat="1" ht="18" customHeight="1" x14ac:dyDescent="0.2">
      <c r="A543" s="455"/>
      <c r="B543" s="455"/>
      <c r="C543" s="455"/>
      <c r="D543" s="455"/>
      <c r="E543" s="455"/>
      <c r="F543" s="455"/>
      <c r="G543" s="455"/>
      <c r="H543" s="455"/>
      <c r="I543" s="455"/>
      <c r="J543" s="455"/>
      <c r="K543" s="455"/>
      <c r="L543" s="455"/>
      <c r="M543" s="455"/>
      <c r="N543" s="455"/>
      <c r="O543" s="455"/>
      <c r="P543" s="455"/>
      <c r="Q543" s="455"/>
      <c r="R543" s="455"/>
      <c r="S543" s="455"/>
      <c r="T543" s="455"/>
      <c r="U543" s="455"/>
      <c r="V543" s="455"/>
      <c r="W543" s="455"/>
      <c r="X543" s="455"/>
      <c r="Y543" s="455"/>
      <c r="Z543" s="455"/>
      <c r="AA543" s="2705" t="s">
        <v>0</v>
      </c>
      <c r="AB543" s="2705"/>
      <c r="AC543" s="455"/>
      <c r="AD543" s="455"/>
      <c r="AE543" s="455"/>
      <c r="AF543" s="455"/>
    </row>
    <row r="544" spans="1:32" s="457" customFormat="1" ht="18" customHeight="1" x14ac:dyDescent="0.2">
      <c r="A544" s="2706" t="s">
        <v>1</v>
      </c>
      <c r="B544" s="2706"/>
      <c r="C544" s="2706"/>
      <c r="D544" s="2706"/>
      <c r="E544" s="2706"/>
      <c r="F544" s="2706"/>
      <c r="G544" s="2706"/>
      <c r="H544" s="2706"/>
      <c r="I544" s="2706"/>
      <c r="J544" s="2706"/>
      <c r="K544" s="2706"/>
      <c r="L544" s="2706"/>
      <c r="M544" s="2706"/>
      <c r="N544" s="2706"/>
      <c r="O544" s="2706"/>
      <c r="P544" s="2706"/>
      <c r="Q544" s="2706"/>
      <c r="R544" s="2706"/>
      <c r="S544" s="2706"/>
      <c r="T544" s="2706"/>
      <c r="U544" s="2706"/>
      <c r="V544" s="2706"/>
      <c r="W544" s="2706"/>
      <c r="X544" s="2706"/>
      <c r="Y544" s="2706"/>
      <c r="Z544" s="2706"/>
      <c r="AA544" s="2706"/>
      <c r="AB544" s="2706"/>
      <c r="AC544" s="610"/>
      <c r="AD544" s="610"/>
      <c r="AE544" s="610"/>
      <c r="AF544" s="610"/>
    </row>
    <row r="545" spans="1:32" s="457" customFormat="1" ht="18" customHeight="1" x14ac:dyDescent="0.2">
      <c r="A545" s="2704" t="s">
        <v>386</v>
      </c>
      <c r="B545" s="2704"/>
      <c r="C545" s="2704"/>
      <c r="D545" s="2704"/>
      <c r="E545" s="2704"/>
      <c r="F545" s="2704"/>
      <c r="G545" s="2704"/>
      <c r="H545" s="2704"/>
      <c r="I545" s="2704"/>
      <c r="J545" s="2704"/>
      <c r="K545" s="2704"/>
      <c r="L545" s="2704"/>
      <c r="M545" s="2704"/>
      <c r="N545" s="2704"/>
      <c r="O545" s="2704"/>
      <c r="P545" s="2704"/>
      <c r="Q545" s="2704"/>
      <c r="R545" s="2704"/>
      <c r="S545" s="2704"/>
      <c r="T545" s="2704"/>
      <c r="U545" s="2704"/>
      <c r="V545" s="2704"/>
      <c r="W545" s="2704"/>
      <c r="X545" s="2704"/>
      <c r="Y545" s="2704"/>
      <c r="Z545" s="2704"/>
      <c r="AA545" s="2704"/>
      <c r="AB545" s="2704"/>
      <c r="AC545" s="611"/>
      <c r="AD545" s="611"/>
      <c r="AE545" s="611"/>
      <c r="AF545" s="611"/>
    </row>
    <row r="546" spans="1:32" s="457" customFormat="1" ht="18" customHeight="1" x14ac:dyDescent="0.2">
      <c r="A546" s="2686" t="s">
        <v>2</v>
      </c>
      <c r="B546" s="360"/>
      <c r="C546" s="2686" t="s">
        <v>3</v>
      </c>
      <c r="D546" s="360"/>
      <c r="E546" s="360"/>
      <c r="F546" s="2693" t="s">
        <v>4</v>
      </c>
      <c r="G546" s="2693"/>
      <c r="H546" s="2693"/>
      <c r="I546" s="2694"/>
      <c r="J546" s="2694"/>
      <c r="K546" s="2695"/>
      <c r="L546" s="361"/>
      <c r="M546" s="2679" t="s">
        <v>5</v>
      </c>
      <c r="N546" s="2679"/>
      <c r="O546" s="2679"/>
      <c r="P546" s="2679"/>
      <c r="Q546" s="2696"/>
      <c r="R546" s="2696"/>
      <c r="S546" s="2696"/>
      <c r="T546" s="2696"/>
      <c r="U546" s="2696"/>
      <c r="V546" s="2697"/>
      <c r="W546" s="362" t="s">
        <v>6</v>
      </c>
      <c r="X546" s="363" t="s">
        <v>7</v>
      </c>
      <c r="Y546" s="364"/>
      <c r="Z546" s="364"/>
      <c r="AA546" s="363"/>
      <c r="AB546" s="458"/>
      <c r="AC546" s="612" t="s">
        <v>8</v>
      </c>
      <c r="AD546" s="613"/>
      <c r="AE546" s="613"/>
      <c r="AF546" s="614"/>
    </row>
    <row r="547" spans="1:32" s="457" customFormat="1" ht="18" customHeight="1" x14ac:dyDescent="0.2">
      <c r="A547" s="2687"/>
      <c r="B547" s="367"/>
      <c r="C547" s="2687"/>
      <c r="D547" s="366" t="s">
        <v>9</v>
      </c>
      <c r="E547" s="366" t="s">
        <v>10</v>
      </c>
      <c r="F547" s="2698" t="s">
        <v>11</v>
      </c>
      <c r="G547" s="2694"/>
      <c r="H547" s="2695"/>
      <c r="I547" s="360"/>
      <c r="J547" s="449" t="s">
        <v>12</v>
      </c>
      <c r="K547" s="360"/>
      <c r="L547" s="2679" t="s">
        <v>2</v>
      </c>
      <c r="M547" s="370"/>
      <c r="N547" s="370"/>
      <c r="O547" s="370"/>
      <c r="P547" s="371"/>
      <c r="Q547" s="459" t="s">
        <v>13</v>
      </c>
      <c r="R547" s="370" t="s">
        <v>12</v>
      </c>
      <c r="S547" s="370" t="s">
        <v>6</v>
      </c>
      <c r="T547" s="2682" t="s">
        <v>14</v>
      </c>
      <c r="U547" s="2683"/>
      <c r="V547" s="375" t="s">
        <v>7</v>
      </c>
      <c r="W547" s="376" t="s">
        <v>15</v>
      </c>
      <c r="X547" s="377" t="s">
        <v>16</v>
      </c>
      <c r="Y547" s="377" t="s">
        <v>17</v>
      </c>
      <c r="Z547" s="377" t="s">
        <v>18</v>
      </c>
      <c r="AA547" s="377"/>
      <c r="AB547" s="460" t="s">
        <v>19</v>
      </c>
      <c r="AC547" s="615" t="s">
        <v>20</v>
      </c>
      <c r="AD547" s="616"/>
      <c r="AE547" s="617" t="s">
        <v>21</v>
      </c>
      <c r="AF547" s="618" t="s">
        <v>22</v>
      </c>
    </row>
    <row r="548" spans="1:32" s="457" customFormat="1" ht="18" customHeight="1" x14ac:dyDescent="0.2">
      <c r="A548" s="2687"/>
      <c r="B548" s="366" t="s">
        <v>23</v>
      </c>
      <c r="C548" s="2687"/>
      <c r="D548" s="366" t="s">
        <v>24</v>
      </c>
      <c r="E548" s="366" t="s">
        <v>25</v>
      </c>
      <c r="F548" s="2699"/>
      <c r="G548" s="2700"/>
      <c r="H548" s="2701"/>
      <c r="I548" s="366" t="s">
        <v>26</v>
      </c>
      <c r="J548" s="380" t="s">
        <v>15</v>
      </c>
      <c r="K548" s="380" t="s">
        <v>6</v>
      </c>
      <c r="L548" s="2680"/>
      <c r="M548" s="381" t="s">
        <v>27</v>
      </c>
      <c r="N548" s="381" t="s">
        <v>10</v>
      </c>
      <c r="O548" s="381" t="s">
        <v>10</v>
      </c>
      <c r="P548" s="385" t="s">
        <v>28</v>
      </c>
      <c r="Q548" s="461" t="s">
        <v>29</v>
      </c>
      <c r="R548" s="385" t="s">
        <v>15</v>
      </c>
      <c r="S548" s="385" t="s">
        <v>15</v>
      </c>
      <c r="T548" s="2684"/>
      <c r="U548" s="2685"/>
      <c r="V548" s="375" t="s">
        <v>30</v>
      </c>
      <c r="W548" s="376" t="s">
        <v>31</v>
      </c>
      <c r="X548" s="377" t="s">
        <v>30</v>
      </c>
      <c r="Y548" s="377" t="s">
        <v>32</v>
      </c>
      <c r="Z548" s="377" t="s">
        <v>7</v>
      </c>
      <c r="AA548" s="377" t="s">
        <v>33</v>
      </c>
      <c r="AB548" s="460" t="s">
        <v>34</v>
      </c>
      <c r="AC548" s="615" t="s">
        <v>35</v>
      </c>
      <c r="AD548" s="617" t="s">
        <v>36</v>
      </c>
      <c r="AE548" s="617" t="s">
        <v>37</v>
      </c>
      <c r="AF548" s="618" t="s">
        <v>38</v>
      </c>
    </row>
    <row r="549" spans="1:32" s="457" customFormat="1" ht="18" customHeight="1" x14ac:dyDescent="0.2">
      <c r="A549" s="2687"/>
      <c r="B549" s="366" t="s">
        <v>39</v>
      </c>
      <c r="C549" s="2687"/>
      <c r="D549" s="366" t="s">
        <v>40</v>
      </c>
      <c r="E549" s="366" t="s">
        <v>41</v>
      </c>
      <c r="F549" s="2686" t="s">
        <v>42</v>
      </c>
      <c r="G549" s="2686" t="s">
        <v>43</v>
      </c>
      <c r="H549" s="2688" t="s">
        <v>44</v>
      </c>
      <c r="I549" s="366" t="s">
        <v>45</v>
      </c>
      <c r="J549" s="380" t="s">
        <v>46</v>
      </c>
      <c r="K549" s="380" t="s">
        <v>47</v>
      </c>
      <c r="L549" s="2680"/>
      <c r="M549" s="381" t="s">
        <v>30</v>
      </c>
      <c r="N549" s="381" t="s">
        <v>30</v>
      </c>
      <c r="O549" s="381" t="s">
        <v>25</v>
      </c>
      <c r="P549" s="385" t="s">
        <v>30</v>
      </c>
      <c r="Q549" s="461" t="s">
        <v>48</v>
      </c>
      <c r="R549" s="385" t="s">
        <v>49</v>
      </c>
      <c r="S549" s="385" t="s">
        <v>30</v>
      </c>
      <c r="T549" s="374" t="s">
        <v>50</v>
      </c>
      <c r="U549" s="374" t="s">
        <v>13</v>
      </c>
      <c r="V549" s="375" t="s">
        <v>51</v>
      </c>
      <c r="W549" s="376" t="s">
        <v>52</v>
      </c>
      <c r="X549" s="377" t="s">
        <v>53</v>
      </c>
      <c r="Y549" s="377" t="s">
        <v>54</v>
      </c>
      <c r="Z549" s="377" t="s">
        <v>55</v>
      </c>
      <c r="AA549" s="377" t="s">
        <v>56</v>
      </c>
      <c r="AB549" s="460" t="s">
        <v>57</v>
      </c>
      <c r="AC549" s="617" t="s">
        <v>58</v>
      </c>
      <c r="AD549" s="617" t="s">
        <v>59</v>
      </c>
      <c r="AE549" s="617" t="s">
        <v>59</v>
      </c>
      <c r="AF549" s="618" t="s">
        <v>60</v>
      </c>
    </row>
    <row r="550" spans="1:32" s="457" customFormat="1" ht="18" customHeight="1" x14ac:dyDescent="0.2">
      <c r="A550" s="2687"/>
      <c r="B550" s="366" t="s">
        <v>61</v>
      </c>
      <c r="C550" s="2687"/>
      <c r="D550" s="366" t="s">
        <v>62</v>
      </c>
      <c r="E550" s="366" t="s">
        <v>63</v>
      </c>
      <c r="F550" s="2687"/>
      <c r="G550" s="2687"/>
      <c r="H550" s="2689"/>
      <c r="I550" s="366" t="s">
        <v>64</v>
      </c>
      <c r="J550" s="380" t="s">
        <v>59</v>
      </c>
      <c r="K550" s="380" t="s">
        <v>59</v>
      </c>
      <c r="L550" s="2680"/>
      <c r="M550" s="381"/>
      <c r="N550" s="381"/>
      <c r="O550" s="381" t="s">
        <v>41</v>
      </c>
      <c r="P550" s="385" t="s">
        <v>65</v>
      </c>
      <c r="Q550" s="461" t="s">
        <v>66</v>
      </c>
      <c r="R550" s="385" t="s">
        <v>67</v>
      </c>
      <c r="S550" s="385" t="s">
        <v>59</v>
      </c>
      <c r="T550" s="375" t="s">
        <v>68</v>
      </c>
      <c r="U550" s="375" t="s">
        <v>14</v>
      </c>
      <c r="V550" s="375" t="s">
        <v>14</v>
      </c>
      <c r="W550" s="376" t="s">
        <v>30</v>
      </c>
      <c r="X550" s="388" t="s">
        <v>69</v>
      </c>
      <c r="Y550" s="388" t="s">
        <v>70</v>
      </c>
      <c r="Z550" s="377" t="s">
        <v>71</v>
      </c>
      <c r="AA550" s="377" t="s">
        <v>72</v>
      </c>
      <c r="AB550" s="460" t="s">
        <v>59</v>
      </c>
      <c r="AC550" s="617" t="s">
        <v>59</v>
      </c>
      <c r="AD550" s="617"/>
      <c r="AE550" s="617"/>
      <c r="AF550" s="618" t="s">
        <v>59</v>
      </c>
    </row>
    <row r="551" spans="1:32" s="457" customFormat="1" ht="18" customHeight="1" x14ac:dyDescent="0.2">
      <c r="A551" s="2692"/>
      <c r="B551" s="390"/>
      <c r="C551" s="2692"/>
      <c r="D551" s="390"/>
      <c r="E551" s="389"/>
      <c r="F551" s="390"/>
      <c r="G551" s="390"/>
      <c r="H551" s="391"/>
      <c r="I551" s="389"/>
      <c r="J551" s="393"/>
      <c r="K551" s="393"/>
      <c r="L551" s="2681"/>
      <c r="M551" s="394"/>
      <c r="N551" s="394"/>
      <c r="O551" s="394" t="s">
        <v>63</v>
      </c>
      <c r="P551" s="394"/>
      <c r="Q551" s="450" t="s">
        <v>72</v>
      </c>
      <c r="R551" s="398" t="s">
        <v>59</v>
      </c>
      <c r="S551" s="398"/>
      <c r="T551" s="398" t="s">
        <v>73</v>
      </c>
      <c r="U551" s="398" t="s">
        <v>59</v>
      </c>
      <c r="V551" s="399" t="s">
        <v>59</v>
      </c>
      <c r="W551" s="400" t="s">
        <v>59</v>
      </c>
      <c r="X551" s="401" t="s">
        <v>59</v>
      </c>
      <c r="Y551" s="401" t="s">
        <v>59</v>
      </c>
      <c r="Z551" s="401" t="s">
        <v>59</v>
      </c>
      <c r="AA551" s="402"/>
      <c r="AB551" s="462"/>
      <c r="AC551" s="625"/>
      <c r="AD551" s="625"/>
      <c r="AE551" s="625"/>
      <c r="AF551" s="626"/>
    </row>
    <row r="552" spans="1:32" s="457" customFormat="1" ht="18" customHeight="1" x14ac:dyDescent="0.25">
      <c r="A552" s="53">
        <v>1</v>
      </c>
      <c r="B552" s="333">
        <v>61535</v>
      </c>
      <c r="C552" s="41">
        <v>3392</v>
      </c>
      <c r="D552" s="41" t="s">
        <v>86</v>
      </c>
      <c r="E552" s="41">
        <v>4</v>
      </c>
      <c r="F552" s="41">
        <v>0</v>
      </c>
      <c r="G552" s="41">
        <v>0</v>
      </c>
      <c r="H552" s="267">
        <v>45</v>
      </c>
      <c r="I552" s="77">
        <f t="shared" ref="I552" si="142">F552*400+G552*100+H552</f>
        <v>45</v>
      </c>
      <c r="J552" s="310">
        <v>1600</v>
      </c>
      <c r="K552" s="297">
        <f t="shared" ref="K552" si="143">I552*J552</f>
        <v>72000</v>
      </c>
      <c r="L552" s="63"/>
      <c r="M552" s="153"/>
      <c r="N552" s="259"/>
      <c r="O552" s="63"/>
      <c r="P552" s="259"/>
      <c r="Q552" s="799"/>
      <c r="R552" s="672"/>
      <c r="S552" s="296"/>
      <c r="T552" s="298"/>
      <c r="U552" s="299"/>
      <c r="V552" s="299"/>
      <c r="W552" s="18">
        <f t="shared" ref="W552" si="144">K552+V552</f>
        <v>72000</v>
      </c>
      <c r="X552" s="47">
        <f t="shared" ref="X552" si="145">W552</f>
        <v>72000</v>
      </c>
      <c r="Y552" s="792"/>
      <c r="Z552" s="18">
        <f>+X552</f>
        <v>72000</v>
      </c>
      <c r="AA552" s="494">
        <v>0.6</v>
      </c>
      <c r="AB552" s="465">
        <f>+Z552*AA552/100</f>
        <v>432</v>
      </c>
      <c r="AC552" s="602"/>
      <c r="AD552" s="603" t="e">
        <f>#REF!-AC552</f>
        <v>#REF!</v>
      </c>
      <c r="AE552" s="603" t="e">
        <f>IF(AD552&lt;=0,0,AD552*25/100)</f>
        <v>#REF!</v>
      </c>
      <c r="AF552" s="603" t="e">
        <f>IF(AC552+AE552&gt;#REF!,#REF!,AC552+AE552)</f>
        <v>#REF!</v>
      </c>
    </row>
    <row r="553" spans="1:32" s="457" customFormat="1" ht="18" customHeight="1" x14ac:dyDescent="0.2">
      <c r="A553" s="145"/>
      <c r="B553" s="177"/>
      <c r="C553" s="177"/>
      <c r="D553" s="145"/>
      <c r="E553" s="145"/>
      <c r="F553" s="145"/>
      <c r="G553" s="145"/>
      <c r="H553" s="147"/>
      <c r="I553" s="107"/>
      <c r="J553" s="178"/>
      <c r="K553" s="107"/>
      <c r="L553" s="145"/>
      <c r="M553" s="145"/>
      <c r="N553" s="145"/>
      <c r="O553" s="145"/>
      <c r="P553" s="147"/>
      <c r="Q553" s="148"/>
      <c r="R553" s="437"/>
      <c r="S553" s="107"/>
      <c r="T553" s="179"/>
      <c r="U553" s="178"/>
      <c r="V553" s="107"/>
      <c r="W553" s="107"/>
      <c r="X553" s="470"/>
      <c r="Y553" s="470"/>
      <c r="Z553" s="471"/>
      <c r="AA553" s="471"/>
      <c r="AB553" s="466"/>
      <c r="AC553" s="603"/>
      <c r="AD553" s="603" t="e">
        <f>#REF!-AC553</f>
        <v>#REF!</v>
      </c>
      <c r="AE553" s="603" t="e">
        <f>IF(AD553&lt;=0,0,AD553*25/100)</f>
        <v>#REF!</v>
      </c>
      <c r="AF553" s="603" t="e">
        <f>IF(AC553+AE553&gt;#REF!,#REF!,AC553+AE553)</f>
        <v>#REF!</v>
      </c>
    </row>
    <row r="554" spans="1:32" s="457" customFormat="1" ht="18" customHeight="1" x14ac:dyDescent="0.2">
      <c r="A554" s="145"/>
      <c r="B554" s="177"/>
      <c r="C554" s="177"/>
      <c r="D554" s="145"/>
      <c r="E554" s="145"/>
      <c r="F554" s="145"/>
      <c r="G554" s="145"/>
      <c r="H554" s="147"/>
      <c r="I554" s="107"/>
      <c r="J554" s="178"/>
      <c r="K554" s="107"/>
      <c r="L554" s="145"/>
      <c r="M554" s="145"/>
      <c r="N554" s="145"/>
      <c r="O554" s="145"/>
      <c r="P554" s="147"/>
      <c r="Q554" s="148"/>
      <c r="R554" s="437"/>
      <c r="S554" s="107"/>
      <c r="T554" s="179"/>
      <c r="U554" s="178"/>
      <c r="V554" s="107"/>
      <c r="W554" s="107"/>
      <c r="X554" s="470"/>
      <c r="Y554" s="470"/>
      <c r="Z554" s="471"/>
      <c r="AA554" s="471"/>
      <c r="AB554" s="466"/>
      <c r="AC554" s="350"/>
      <c r="AD554" s="350"/>
      <c r="AE554" s="350"/>
      <c r="AF554" s="350"/>
    </row>
    <row r="555" spans="1:32" s="457" customFormat="1" ht="18" customHeight="1" x14ac:dyDescent="0.2">
      <c r="A555" s="145"/>
      <c r="B555" s="177"/>
      <c r="C555" s="177"/>
      <c r="D555" s="145"/>
      <c r="E555" s="145"/>
      <c r="F555" s="145"/>
      <c r="G555" s="145"/>
      <c r="H555" s="147"/>
      <c r="I555" s="107"/>
      <c r="J555" s="178"/>
      <c r="K555" s="107"/>
      <c r="L555" s="145"/>
      <c r="M555" s="145"/>
      <c r="N555" s="145"/>
      <c r="O555" s="145"/>
      <c r="P555" s="147"/>
      <c r="Q555" s="148"/>
      <c r="R555" s="437"/>
      <c r="S555" s="107"/>
      <c r="T555" s="179"/>
      <c r="U555" s="178"/>
      <c r="V555" s="107"/>
      <c r="W555" s="107"/>
      <c r="X555" s="470"/>
      <c r="Y555" s="470"/>
      <c r="Z555" s="471"/>
      <c r="AA555" s="471"/>
      <c r="AB555" s="466"/>
      <c r="AC555" s="350"/>
      <c r="AD555" s="350"/>
      <c r="AE555" s="350"/>
      <c r="AF555" s="350"/>
    </row>
    <row r="556" spans="1:32" s="457" customFormat="1" ht="18" customHeight="1" x14ac:dyDescent="0.2">
      <c r="A556" s="145"/>
      <c r="B556" s="177"/>
      <c r="C556" s="177"/>
      <c r="D556" s="145"/>
      <c r="E556" s="145"/>
      <c r="F556" s="145"/>
      <c r="G556" s="145"/>
      <c r="H556" s="147"/>
      <c r="I556" s="107"/>
      <c r="J556" s="178"/>
      <c r="K556" s="107"/>
      <c r="L556" s="145"/>
      <c r="M556" s="145"/>
      <c r="N556" s="145"/>
      <c r="O556" s="145"/>
      <c r="P556" s="147"/>
      <c r="Q556" s="148"/>
      <c r="R556" s="437"/>
      <c r="S556" s="107"/>
      <c r="T556" s="179"/>
      <c r="U556" s="178"/>
      <c r="V556" s="107"/>
      <c r="W556" s="107"/>
      <c r="X556" s="470"/>
      <c r="Y556" s="470"/>
      <c r="Z556" s="471"/>
      <c r="AA556" s="471"/>
      <c r="AB556" s="466"/>
      <c r="AC556" s="350"/>
      <c r="AD556" s="350"/>
      <c r="AE556" s="350"/>
      <c r="AF556" s="350"/>
    </row>
    <row r="557" spans="1:32" s="457" customFormat="1" ht="18" customHeight="1" x14ac:dyDescent="0.2">
      <c r="A557" s="145"/>
      <c r="B557" s="177"/>
      <c r="C557" s="177"/>
      <c r="D557" s="145"/>
      <c r="E557" s="145"/>
      <c r="F557" s="145"/>
      <c r="G557" s="145"/>
      <c r="H557" s="147"/>
      <c r="I557" s="107"/>
      <c r="J557" s="178"/>
      <c r="K557" s="107"/>
      <c r="L557" s="145"/>
      <c r="M557" s="145"/>
      <c r="N557" s="145"/>
      <c r="O557" s="145"/>
      <c r="P557" s="147"/>
      <c r="Q557" s="148"/>
      <c r="R557" s="437"/>
      <c r="S557" s="107"/>
      <c r="T557" s="179"/>
      <c r="U557" s="178"/>
      <c r="V557" s="107"/>
      <c r="W557" s="107"/>
      <c r="X557" s="470"/>
      <c r="Y557" s="470"/>
      <c r="Z557" s="471"/>
      <c r="AA557" s="471"/>
      <c r="AB557" s="466"/>
      <c r="AC557" s="350"/>
      <c r="AD557" s="350"/>
      <c r="AE557" s="350"/>
      <c r="AF557" s="350"/>
    </row>
    <row r="558" spans="1:32" s="457" customFormat="1" ht="18" customHeight="1" x14ac:dyDescent="0.2">
      <c r="A558" s="145"/>
      <c r="B558" s="177"/>
      <c r="C558" s="177"/>
      <c r="D558" s="145"/>
      <c r="E558" s="145"/>
      <c r="F558" s="145"/>
      <c r="G558" s="145"/>
      <c r="H558" s="147"/>
      <c r="I558" s="107"/>
      <c r="J558" s="178"/>
      <c r="K558" s="107"/>
      <c r="L558" s="145"/>
      <c r="M558" s="145"/>
      <c r="N558" s="145"/>
      <c r="O558" s="145"/>
      <c r="P558" s="147"/>
      <c r="Q558" s="148"/>
      <c r="R558" s="437"/>
      <c r="S558" s="107"/>
      <c r="T558" s="179"/>
      <c r="U558" s="178"/>
      <c r="V558" s="107"/>
      <c r="W558" s="107"/>
      <c r="X558" s="470"/>
      <c r="Y558" s="470"/>
      <c r="Z558" s="471"/>
      <c r="AA558" s="471"/>
      <c r="AB558" s="466"/>
      <c r="AC558" s="350"/>
      <c r="AD558" s="350"/>
      <c r="AE558" s="350"/>
      <c r="AF558" s="350"/>
    </row>
    <row r="559" spans="1:32" s="457" customFormat="1" ht="18" customHeight="1" x14ac:dyDescent="0.2">
      <c r="A559" s="145"/>
      <c r="B559" s="177"/>
      <c r="C559" s="177"/>
      <c r="D559" s="145"/>
      <c r="E559" s="145"/>
      <c r="F559" s="145"/>
      <c r="G559" s="145"/>
      <c r="H559" s="147"/>
      <c r="I559" s="107"/>
      <c r="J559" s="178"/>
      <c r="K559" s="107"/>
      <c r="L559" s="145"/>
      <c r="M559" s="145"/>
      <c r="N559" s="145"/>
      <c r="O559" s="145"/>
      <c r="P559" s="147"/>
      <c r="Q559" s="148"/>
      <c r="R559" s="437"/>
      <c r="S559" s="107"/>
      <c r="T559" s="179"/>
      <c r="U559" s="178"/>
      <c r="V559" s="107"/>
      <c r="W559" s="107"/>
      <c r="X559" s="470"/>
      <c r="Y559" s="470"/>
      <c r="Z559" s="471"/>
      <c r="AA559" s="471"/>
      <c r="AB559" s="466"/>
      <c r="AC559" s="350"/>
      <c r="AD559" s="350"/>
      <c r="AE559" s="350"/>
      <c r="AF559" s="350"/>
    </row>
    <row r="560" spans="1:32" s="457" customFormat="1" ht="18" customHeight="1" x14ac:dyDescent="0.2">
      <c r="A560" s="145"/>
      <c r="B560" s="177"/>
      <c r="C560" s="177"/>
      <c r="D560" s="145"/>
      <c r="E560" s="145"/>
      <c r="F560" s="145"/>
      <c r="G560" s="145"/>
      <c r="H560" s="147"/>
      <c r="I560" s="107"/>
      <c r="J560" s="178"/>
      <c r="K560" s="107"/>
      <c r="L560" s="145"/>
      <c r="M560" s="145"/>
      <c r="N560" s="145"/>
      <c r="O560" s="145"/>
      <c r="P560" s="147"/>
      <c r="Q560" s="148"/>
      <c r="R560" s="437"/>
      <c r="S560" s="107"/>
      <c r="T560" s="179"/>
      <c r="U560" s="178"/>
      <c r="V560" s="107"/>
      <c r="W560" s="107"/>
      <c r="X560" s="470"/>
      <c r="Y560" s="470"/>
      <c r="Z560" s="471"/>
      <c r="AA560" s="471"/>
      <c r="AB560" s="466"/>
      <c r="AC560" s="350"/>
      <c r="AD560" s="350"/>
      <c r="AE560" s="350"/>
      <c r="AF560" s="350"/>
    </row>
    <row r="561" spans="1:32" s="457" customFormat="1" ht="18" customHeight="1" x14ac:dyDescent="0.2">
      <c r="A561" s="145"/>
      <c r="B561" s="177"/>
      <c r="C561" s="177"/>
      <c r="D561" s="145"/>
      <c r="E561" s="145"/>
      <c r="F561" s="145"/>
      <c r="G561" s="145"/>
      <c r="H561" s="147"/>
      <c r="I561" s="107"/>
      <c r="J561" s="178"/>
      <c r="K561" s="107"/>
      <c r="L561" s="145"/>
      <c r="M561" s="145"/>
      <c r="N561" s="145"/>
      <c r="O561" s="145"/>
      <c r="P561" s="147"/>
      <c r="Q561" s="148"/>
      <c r="R561" s="437"/>
      <c r="S561" s="107"/>
      <c r="T561" s="179"/>
      <c r="U561" s="178"/>
      <c r="V561" s="107"/>
      <c r="W561" s="107"/>
      <c r="X561" s="470"/>
      <c r="Y561" s="470"/>
      <c r="Z561" s="471"/>
      <c r="AA561" s="471"/>
      <c r="AB561" s="466"/>
      <c r="AC561" s="350"/>
      <c r="AD561" s="350"/>
      <c r="AE561" s="350"/>
      <c r="AF561" s="350"/>
    </row>
    <row r="562" spans="1:32" s="457" customFormat="1" ht="18" customHeight="1" x14ac:dyDescent="0.2">
      <c r="A562" s="145"/>
      <c r="B562" s="177"/>
      <c r="C562" s="177"/>
      <c r="D562" s="145"/>
      <c r="E562" s="145"/>
      <c r="F562" s="145"/>
      <c r="G562" s="145"/>
      <c r="H562" s="147"/>
      <c r="I562" s="107"/>
      <c r="J562" s="178"/>
      <c r="K562" s="107"/>
      <c r="L562" s="145"/>
      <c r="M562" s="145"/>
      <c r="N562" s="145"/>
      <c r="O562" s="145"/>
      <c r="P562" s="147"/>
      <c r="Q562" s="148"/>
      <c r="R562" s="437"/>
      <c r="S562" s="107"/>
      <c r="T562" s="179"/>
      <c r="U562" s="178"/>
      <c r="V562" s="107"/>
      <c r="W562" s="107"/>
      <c r="X562" s="470"/>
      <c r="Y562" s="470"/>
      <c r="Z562" s="471"/>
      <c r="AA562" s="471"/>
      <c r="AB562" s="466"/>
      <c r="AC562" s="350"/>
      <c r="AD562" s="350"/>
      <c r="AE562" s="350"/>
      <c r="AF562" s="350"/>
    </row>
    <row r="563" spans="1:32" s="457" customFormat="1" ht="18" customHeight="1" x14ac:dyDescent="0.2">
      <c r="A563" s="145"/>
      <c r="B563" s="177"/>
      <c r="C563" s="177"/>
      <c r="D563" s="145"/>
      <c r="E563" s="145"/>
      <c r="F563" s="145"/>
      <c r="G563" s="145"/>
      <c r="H563" s="147"/>
      <c r="I563" s="107"/>
      <c r="J563" s="178"/>
      <c r="K563" s="107"/>
      <c r="L563" s="145"/>
      <c r="M563" s="145"/>
      <c r="N563" s="145"/>
      <c r="O563" s="145"/>
      <c r="P563" s="147"/>
      <c r="Q563" s="148"/>
      <c r="R563" s="437"/>
      <c r="S563" s="107"/>
      <c r="T563" s="179"/>
      <c r="U563" s="178"/>
      <c r="V563" s="107"/>
      <c r="W563" s="107"/>
      <c r="X563" s="470"/>
      <c r="Y563" s="470"/>
      <c r="Z563" s="471"/>
      <c r="AA563" s="471"/>
      <c r="AB563" s="466"/>
      <c r="AC563" s="350"/>
      <c r="AD563" s="350"/>
      <c r="AE563" s="350"/>
      <c r="AF563" s="350"/>
    </row>
    <row r="564" spans="1:32" s="457" customFormat="1" ht="18" customHeight="1" x14ac:dyDescent="0.2">
      <c r="A564" s="145"/>
      <c r="B564" s="177"/>
      <c r="C564" s="177"/>
      <c r="D564" s="145"/>
      <c r="E564" s="145"/>
      <c r="F564" s="145"/>
      <c r="G564" s="145"/>
      <c r="H564" s="147"/>
      <c r="I564" s="107"/>
      <c r="J564" s="178"/>
      <c r="K564" s="107"/>
      <c r="L564" s="145"/>
      <c r="M564" s="145"/>
      <c r="N564" s="145"/>
      <c r="O564" s="145"/>
      <c r="P564" s="147"/>
      <c r="Q564" s="148"/>
      <c r="R564" s="437"/>
      <c r="S564" s="107"/>
      <c r="T564" s="179"/>
      <c r="U564" s="178"/>
      <c r="V564" s="107"/>
      <c r="W564" s="107"/>
      <c r="X564" s="470"/>
      <c r="Y564" s="470"/>
      <c r="Z564" s="471"/>
      <c r="AA564" s="471"/>
      <c r="AB564" s="466"/>
      <c r="AC564" s="350"/>
      <c r="AD564" s="350"/>
      <c r="AE564" s="350"/>
      <c r="AF564" s="350"/>
    </row>
    <row r="565" spans="1:32" s="457" customFormat="1" ht="18" customHeight="1" x14ac:dyDescent="0.2">
      <c r="A565" s="145"/>
      <c r="B565" s="177"/>
      <c r="C565" s="177"/>
      <c r="D565" s="145"/>
      <c r="E565" s="145"/>
      <c r="F565" s="145"/>
      <c r="G565" s="145"/>
      <c r="H565" s="147"/>
      <c r="I565" s="107"/>
      <c r="J565" s="178"/>
      <c r="K565" s="107"/>
      <c r="L565" s="145"/>
      <c r="M565" s="145"/>
      <c r="N565" s="145"/>
      <c r="O565" s="145"/>
      <c r="P565" s="147"/>
      <c r="Q565" s="148"/>
      <c r="R565" s="437"/>
      <c r="S565" s="107"/>
      <c r="T565" s="179"/>
      <c r="U565" s="178"/>
      <c r="V565" s="107"/>
      <c r="W565" s="107"/>
      <c r="X565" s="470"/>
      <c r="Y565" s="470"/>
      <c r="Z565" s="471"/>
      <c r="AA565" s="471"/>
      <c r="AB565" s="466"/>
      <c r="AC565" s="350"/>
      <c r="AD565" s="350"/>
      <c r="AE565" s="350"/>
      <c r="AF565" s="350"/>
    </row>
    <row r="566" spans="1:32" s="457" customFormat="1" ht="18" customHeight="1" x14ac:dyDescent="0.2">
      <c r="A566" s="145"/>
      <c r="B566" s="177"/>
      <c r="C566" s="177"/>
      <c r="D566" s="145"/>
      <c r="E566" s="145"/>
      <c r="F566" s="145"/>
      <c r="G566" s="145"/>
      <c r="H566" s="147"/>
      <c r="I566" s="107"/>
      <c r="J566" s="178"/>
      <c r="K566" s="107"/>
      <c r="L566" s="145"/>
      <c r="M566" s="145"/>
      <c r="N566" s="145"/>
      <c r="O566" s="145"/>
      <c r="P566" s="147"/>
      <c r="Q566" s="148"/>
      <c r="R566" s="437"/>
      <c r="S566" s="107"/>
      <c r="T566" s="179"/>
      <c r="U566" s="178"/>
      <c r="V566" s="107"/>
      <c r="W566" s="107"/>
      <c r="X566" s="470"/>
      <c r="Y566" s="470"/>
      <c r="Z566" s="471"/>
      <c r="AA566" s="471"/>
      <c r="AB566" s="466"/>
      <c r="AC566" s="350"/>
      <c r="AD566" s="350"/>
      <c r="AE566" s="350"/>
      <c r="AF566" s="350"/>
    </row>
    <row r="567" spans="1:32" s="457" customFormat="1" ht="18" customHeight="1" x14ac:dyDescent="0.2">
      <c r="A567" s="183"/>
      <c r="B567" s="183"/>
      <c r="C567" s="183"/>
      <c r="D567" s="183"/>
      <c r="E567" s="183"/>
      <c r="F567" s="183"/>
      <c r="G567" s="183"/>
      <c r="H567" s="184"/>
      <c r="I567" s="185"/>
      <c r="J567" s="186"/>
      <c r="K567" s="185"/>
      <c r="L567" s="185"/>
      <c r="M567" s="185"/>
      <c r="N567" s="185"/>
      <c r="O567" s="185"/>
      <c r="P567" s="185"/>
      <c r="Q567" s="185"/>
      <c r="R567" s="438"/>
      <c r="S567" s="185"/>
      <c r="T567" s="187"/>
      <c r="U567" s="186"/>
      <c r="V567" s="185"/>
      <c r="W567" s="185"/>
      <c r="X567" s="474"/>
      <c r="Y567" s="474"/>
      <c r="Z567" s="475"/>
      <c r="AA567" s="475"/>
      <c r="AB567" s="1847">
        <f>SUM(AB552:AB566)</f>
        <v>432</v>
      </c>
      <c r="AC567" s="349"/>
      <c r="AD567" s="349"/>
      <c r="AE567" s="349"/>
      <c r="AF567" s="349"/>
    </row>
    <row r="568" spans="1:32" s="457" customFormat="1" ht="18" customHeight="1" x14ac:dyDescent="0.2">
      <c r="A568" s="2737" t="s">
        <v>76</v>
      </c>
      <c r="B568" s="2737"/>
      <c r="C568" s="2738" t="s">
        <v>77</v>
      </c>
      <c r="D568" s="2738"/>
      <c r="E568" s="2738"/>
      <c r="F568" s="2738"/>
      <c r="G568" s="2738"/>
      <c r="H568" s="2738"/>
      <c r="I568" s="457" t="s">
        <v>78</v>
      </c>
      <c r="AB568" s="478"/>
    </row>
    <row r="569" spans="1:32" s="457" customFormat="1" ht="18" customHeight="1" x14ac:dyDescent="0.2">
      <c r="B569" s="479"/>
      <c r="I569" s="457" t="s">
        <v>79</v>
      </c>
      <c r="AB569" s="478"/>
    </row>
    <row r="570" spans="1:32" s="457" customFormat="1" ht="18" customHeight="1" x14ac:dyDescent="0.2">
      <c r="B570" s="479"/>
      <c r="I570" s="457" t="s">
        <v>80</v>
      </c>
      <c r="AB570" s="478"/>
    </row>
    <row r="571" spans="1:32" s="457" customFormat="1" ht="18" customHeight="1" x14ac:dyDescent="0.2">
      <c r="B571" s="479"/>
      <c r="I571" s="457" t="s">
        <v>81</v>
      </c>
      <c r="AB571" s="478"/>
    </row>
    <row r="572" spans="1:32" s="457" customFormat="1" ht="18" customHeight="1" x14ac:dyDescent="0.2">
      <c r="B572" s="479"/>
      <c r="I572" s="457" t="s">
        <v>88</v>
      </c>
      <c r="AB572" s="478"/>
    </row>
    <row r="573" spans="1:32" s="457" customFormat="1" ht="18" customHeight="1" x14ac:dyDescent="0.2">
      <c r="A573" s="455"/>
      <c r="B573" s="455"/>
      <c r="C573" s="455"/>
      <c r="D573" s="455"/>
      <c r="E573" s="455"/>
      <c r="F573" s="455"/>
      <c r="G573" s="455"/>
      <c r="H573" s="455"/>
      <c r="I573" s="455"/>
      <c r="J573" s="455"/>
      <c r="K573" s="455"/>
      <c r="L573" s="455"/>
      <c r="M573" s="455"/>
      <c r="N573" s="455"/>
      <c r="O573" s="455"/>
      <c r="P573" s="455"/>
      <c r="Q573" s="455"/>
      <c r="R573" s="455"/>
      <c r="S573" s="455"/>
      <c r="T573" s="455"/>
      <c r="U573" s="455"/>
      <c r="V573" s="455"/>
      <c r="W573" s="455"/>
      <c r="X573" s="455"/>
      <c r="Y573" s="455"/>
      <c r="Z573" s="455"/>
      <c r="AA573" s="2705" t="s">
        <v>0</v>
      </c>
      <c r="AB573" s="2705"/>
      <c r="AC573" s="455"/>
      <c r="AD573" s="455"/>
      <c r="AE573" s="455"/>
      <c r="AF573" s="455"/>
    </row>
    <row r="574" spans="1:32" s="457" customFormat="1" ht="18" customHeight="1" x14ac:dyDescent="0.2">
      <c r="A574" s="2706" t="s">
        <v>1</v>
      </c>
      <c r="B574" s="2706"/>
      <c r="C574" s="2706"/>
      <c r="D574" s="2706"/>
      <c r="E574" s="2706"/>
      <c r="F574" s="2706"/>
      <c r="G574" s="2706"/>
      <c r="H574" s="2706"/>
      <c r="I574" s="2706"/>
      <c r="J574" s="2706"/>
      <c r="K574" s="2706"/>
      <c r="L574" s="2706"/>
      <c r="M574" s="2706"/>
      <c r="N574" s="2706"/>
      <c r="O574" s="2706"/>
      <c r="P574" s="2706"/>
      <c r="Q574" s="2706"/>
      <c r="R574" s="2706"/>
      <c r="S574" s="2706"/>
      <c r="T574" s="2706"/>
      <c r="U574" s="2706"/>
      <c r="V574" s="2706"/>
      <c r="W574" s="2706"/>
      <c r="X574" s="2706"/>
      <c r="Y574" s="2706"/>
      <c r="Z574" s="2706"/>
      <c r="AA574" s="2706"/>
      <c r="AB574" s="2706"/>
      <c r="AC574" s="610"/>
      <c r="AD574" s="610"/>
      <c r="AE574" s="610"/>
      <c r="AF574" s="610"/>
    </row>
    <row r="575" spans="1:32" s="457" customFormat="1" ht="18" customHeight="1" x14ac:dyDescent="0.2">
      <c r="A575" s="2704" t="s">
        <v>388</v>
      </c>
      <c r="B575" s="2704"/>
      <c r="C575" s="2704"/>
      <c r="D575" s="2704"/>
      <c r="E575" s="2704"/>
      <c r="F575" s="2704"/>
      <c r="G575" s="2704"/>
      <c r="H575" s="2704"/>
      <c r="I575" s="2704"/>
      <c r="J575" s="2704"/>
      <c r="K575" s="2704"/>
      <c r="L575" s="2704"/>
      <c r="M575" s="2704"/>
      <c r="N575" s="2704"/>
      <c r="O575" s="2704"/>
      <c r="P575" s="2704"/>
      <c r="Q575" s="2704"/>
      <c r="R575" s="2704"/>
      <c r="S575" s="2704"/>
      <c r="T575" s="2704"/>
      <c r="U575" s="2704"/>
      <c r="V575" s="2704"/>
      <c r="W575" s="2704"/>
      <c r="X575" s="2704"/>
      <c r="Y575" s="2704"/>
      <c r="Z575" s="2704"/>
      <c r="AA575" s="2704"/>
      <c r="AB575" s="2704"/>
      <c r="AC575" s="611"/>
      <c r="AD575" s="611"/>
      <c r="AE575" s="611"/>
      <c r="AF575" s="611"/>
    </row>
    <row r="576" spans="1:32" s="457" customFormat="1" ht="18" customHeight="1" x14ac:dyDescent="0.2">
      <c r="A576" s="2686" t="s">
        <v>2</v>
      </c>
      <c r="B576" s="360"/>
      <c r="C576" s="2686" t="s">
        <v>3</v>
      </c>
      <c r="D576" s="360"/>
      <c r="E576" s="360"/>
      <c r="F576" s="2693" t="s">
        <v>4</v>
      </c>
      <c r="G576" s="2693"/>
      <c r="H576" s="2693"/>
      <c r="I576" s="2694"/>
      <c r="J576" s="2694"/>
      <c r="K576" s="2695"/>
      <c r="L576" s="361"/>
      <c r="M576" s="2679" t="s">
        <v>5</v>
      </c>
      <c r="N576" s="2679"/>
      <c r="O576" s="2679"/>
      <c r="P576" s="2679"/>
      <c r="Q576" s="2696"/>
      <c r="R576" s="2696"/>
      <c r="S576" s="2696"/>
      <c r="T576" s="2696"/>
      <c r="U576" s="2696"/>
      <c r="V576" s="2697"/>
      <c r="W576" s="362" t="s">
        <v>6</v>
      </c>
      <c r="X576" s="363" t="s">
        <v>7</v>
      </c>
      <c r="Y576" s="364"/>
      <c r="Z576" s="364"/>
      <c r="AA576" s="363"/>
      <c r="AB576" s="458"/>
      <c r="AC576" s="612" t="s">
        <v>8</v>
      </c>
      <c r="AD576" s="613"/>
      <c r="AE576" s="613"/>
      <c r="AF576" s="614"/>
    </row>
    <row r="577" spans="1:32" s="457" customFormat="1" ht="18" customHeight="1" x14ac:dyDescent="0.2">
      <c r="A577" s="2687"/>
      <c r="B577" s="367"/>
      <c r="C577" s="2687"/>
      <c r="D577" s="366" t="s">
        <v>9</v>
      </c>
      <c r="E577" s="366" t="s">
        <v>10</v>
      </c>
      <c r="F577" s="2698" t="s">
        <v>11</v>
      </c>
      <c r="G577" s="2694"/>
      <c r="H577" s="2695"/>
      <c r="I577" s="360"/>
      <c r="J577" s="449" t="s">
        <v>12</v>
      </c>
      <c r="K577" s="360"/>
      <c r="L577" s="2734" t="s">
        <v>2</v>
      </c>
      <c r="M577" s="370"/>
      <c r="N577" s="370"/>
      <c r="O577" s="370"/>
      <c r="P577" s="371"/>
      <c r="Q577" s="459" t="s">
        <v>13</v>
      </c>
      <c r="R577" s="370" t="s">
        <v>12</v>
      </c>
      <c r="S577" s="370" t="s">
        <v>6</v>
      </c>
      <c r="T577" s="2682" t="s">
        <v>14</v>
      </c>
      <c r="U577" s="2683"/>
      <c r="V577" s="375" t="s">
        <v>7</v>
      </c>
      <c r="W577" s="376" t="s">
        <v>15</v>
      </c>
      <c r="X577" s="377" t="s">
        <v>16</v>
      </c>
      <c r="Y577" s="377" t="s">
        <v>17</v>
      </c>
      <c r="Z577" s="377" t="s">
        <v>18</v>
      </c>
      <c r="AA577" s="377"/>
      <c r="AB577" s="460" t="s">
        <v>19</v>
      </c>
      <c r="AC577" s="615" t="s">
        <v>20</v>
      </c>
      <c r="AD577" s="616"/>
      <c r="AE577" s="617" t="s">
        <v>21</v>
      </c>
      <c r="AF577" s="618" t="s">
        <v>22</v>
      </c>
    </row>
    <row r="578" spans="1:32" s="457" customFormat="1" ht="18" customHeight="1" x14ac:dyDescent="0.2">
      <c r="A578" s="2687"/>
      <c r="B578" s="366" t="s">
        <v>23</v>
      </c>
      <c r="C578" s="2687"/>
      <c r="D578" s="366" t="s">
        <v>24</v>
      </c>
      <c r="E578" s="366" t="s">
        <v>25</v>
      </c>
      <c r="F578" s="2699"/>
      <c r="G578" s="2700"/>
      <c r="H578" s="2701"/>
      <c r="I578" s="366" t="s">
        <v>26</v>
      </c>
      <c r="J578" s="380" t="s">
        <v>15</v>
      </c>
      <c r="K578" s="380" t="s">
        <v>6</v>
      </c>
      <c r="L578" s="2735"/>
      <c r="M578" s="381" t="s">
        <v>27</v>
      </c>
      <c r="N578" s="381" t="s">
        <v>10</v>
      </c>
      <c r="O578" s="381" t="s">
        <v>10</v>
      </c>
      <c r="P578" s="385" t="s">
        <v>28</v>
      </c>
      <c r="Q578" s="461" t="s">
        <v>29</v>
      </c>
      <c r="R578" s="385" t="s">
        <v>15</v>
      </c>
      <c r="S578" s="385" t="s">
        <v>15</v>
      </c>
      <c r="T578" s="2684"/>
      <c r="U578" s="2685"/>
      <c r="V578" s="375" t="s">
        <v>30</v>
      </c>
      <c r="W578" s="376" t="s">
        <v>31</v>
      </c>
      <c r="X578" s="377" t="s">
        <v>30</v>
      </c>
      <c r="Y578" s="377" t="s">
        <v>32</v>
      </c>
      <c r="Z578" s="377" t="s">
        <v>7</v>
      </c>
      <c r="AA578" s="377" t="s">
        <v>33</v>
      </c>
      <c r="AB578" s="460" t="s">
        <v>34</v>
      </c>
      <c r="AC578" s="615" t="s">
        <v>35</v>
      </c>
      <c r="AD578" s="617" t="s">
        <v>36</v>
      </c>
      <c r="AE578" s="617" t="s">
        <v>37</v>
      </c>
      <c r="AF578" s="618" t="s">
        <v>38</v>
      </c>
    </row>
    <row r="579" spans="1:32" s="457" customFormat="1" ht="18" customHeight="1" x14ac:dyDescent="0.2">
      <c r="A579" s="2687"/>
      <c r="B579" s="366" t="s">
        <v>39</v>
      </c>
      <c r="C579" s="2687"/>
      <c r="D579" s="366" t="s">
        <v>40</v>
      </c>
      <c r="E579" s="366" t="s">
        <v>41</v>
      </c>
      <c r="F579" s="2686" t="s">
        <v>42</v>
      </c>
      <c r="G579" s="2686" t="s">
        <v>43</v>
      </c>
      <c r="H579" s="2688" t="s">
        <v>44</v>
      </c>
      <c r="I579" s="366" t="s">
        <v>45</v>
      </c>
      <c r="J579" s="380" t="s">
        <v>46</v>
      </c>
      <c r="K579" s="380" t="s">
        <v>47</v>
      </c>
      <c r="L579" s="2735"/>
      <c r="M579" s="381" t="s">
        <v>30</v>
      </c>
      <c r="N579" s="381" t="s">
        <v>30</v>
      </c>
      <c r="O579" s="381" t="s">
        <v>25</v>
      </c>
      <c r="P579" s="385" t="s">
        <v>30</v>
      </c>
      <c r="Q579" s="461" t="s">
        <v>48</v>
      </c>
      <c r="R579" s="385" t="s">
        <v>49</v>
      </c>
      <c r="S579" s="385" t="s">
        <v>30</v>
      </c>
      <c r="T579" s="374" t="s">
        <v>50</v>
      </c>
      <c r="U579" s="374" t="s">
        <v>13</v>
      </c>
      <c r="V579" s="375" t="s">
        <v>51</v>
      </c>
      <c r="W579" s="376" t="s">
        <v>52</v>
      </c>
      <c r="X579" s="377" t="s">
        <v>53</v>
      </c>
      <c r="Y579" s="377" t="s">
        <v>54</v>
      </c>
      <c r="Z579" s="377" t="s">
        <v>55</v>
      </c>
      <c r="AA579" s="377" t="s">
        <v>56</v>
      </c>
      <c r="AB579" s="460" t="s">
        <v>57</v>
      </c>
      <c r="AC579" s="617" t="s">
        <v>58</v>
      </c>
      <c r="AD579" s="617" t="s">
        <v>59</v>
      </c>
      <c r="AE579" s="617" t="s">
        <v>59</v>
      </c>
      <c r="AF579" s="618" t="s">
        <v>60</v>
      </c>
    </row>
    <row r="580" spans="1:32" s="457" customFormat="1" ht="18" customHeight="1" x14ac:dyDescent="0.2">
      <c r="A580" s="2687"/>
      <c r="B580" s="366" t="s">
        <v>61</v>
      </c>
      <c r="C580" s="2687"/>
      <c r="D580" s="366" t="s">
        <v>62</v>
      </c>
      <c r="E580" s="366" t="s">
        <v>63</v>
      </c>
      <c r="F580" s="2687"/>
      <c r="G580" s="2687"/>
      <c r="H580" s="2689"/>
      <c r="I580" s="366" t="s">
        <v>64</v>
      </c>
      <c r="J580" s="380" t="s">
        <v>59</v>
      </c>
      <c r="K580" s="380" t="s">
        <v>59</v>
      </c>
      <c r="L580" s="2735"/>
      <c r="M580" s="381"/>
      <c r="N580" s="381"/>
      <c r="O580" s="381" t="s">
        <v>41</v>
      </c>
      <c r="P580" s="385" t="s">
        <v>65</v>
      </c>
      <c r="Q580" s="461" t="s">
        <v>66</v>
      </c>
      <c r="R580" s="385" t="s">
        <v>67</v>
      </c>
      <c r="S580" s="385" t="s">
        <v>59</v>
      </c>
      <c r="T580" s="375" t="s">
        <v>68</v>
      </c>
      <c r="U580" s="375" t="s">
        <v>14</v>
      </c>
      <c r="V580" s="375" t="s">
        <v>14</v>
      </c>
      <c r="W580" s="376" t="s">
        <v>30</v>
      </c>
      <c r="X580" s="388" t="s">
        <v>69</v>
      </c>
      <c r="Y580" s="388" t="s">
        <v>70</v>
      </c>
      <c r="Z580" s="377" t="s">
        <v>71</v>
      </c>
      <c r="AA580" s="377" t="s">
        <v>72</v>
      </c>
      <c r="AB580" s="460" t="s">
        <v>59</v>
      </c>
      <c r="AC580" s="617" t="s">
        <v>59</v>
      </c>
      <c r="AD580" s="617"/>
      <c r="AE580" s="617"/>
      <c r="AF580" s="618" t="s">
        <v>59</v>
      </c>
    </row>
    <row r="581" spans="1:32" s="457" customFormat="1" ht="18" customHeight="1" x14ac:dyDescent="0.2">
      <c r="A581" s="2692"/>
      <c r="B581" s="390"/>
      <c r="C581" s="2692"/>
      <c r="D581" s="390"/>
      <c r="E581" s="389"/>
      <c r="F581" s="390"/>
      <c r="G581" s="390"/>
      <c r="H581" s="391"/>
      <c r="I581" s="389"/>
      <c r="J581" s="393"/>
      <c r="K581" s="393"/>
      <c r="L581" s="2736"/>
      <c r="M581" s="394"/>
      <c r="N581" s="394"/>
      <c r="O581" s="394" t="s">
        <v>63</v>
      </c>
      <c r="P581" s="394"/>
      <c r="Q581" s="450" t="s">
        <v>72</v>
      </c>
      <c r="R581" s="398" t="s">
        <v>59</v>
      </c>
      <c r="S581" s="398"/>
      <c r="T581" s="398" t="s">
        <v>73</v>
      </c>
      <c r="U581" s="398" t="s">
        <v>59</v>
      </c>
      <c r="V581" s="399" t="s">
        <v>59</v>
      </c>
      <c r="W581" s="400" t="s">
        <v>59</v>
      </c>
      <c r="X581" s="401" t="s">
        <v>59</v>
      </c>
      <c r="Y581" s="401" t="s">
        <v>59</v>
      </c>
      <c r="Z581" s="401" t="s">
        <v>59</v>
      </c>
      <c r="AA581" s="402"/>
      <c r="AB581" s="462"/>
      <c r="AC581" s="625"/>
      <c r="AD581" s="625"/>
      <c r="AE581" s="625"/>
      <c r="AF581" s="626"/>
    </row>
    <row r="582" spans="1:32" s="457" customFormat="1" ht="18" customHeight="1" x14ac:dyDescent="0.2">
      <c r="A582" s="61">
        <v>1</v>
      </c>
      <c r="B582" s="102">
        <v>23104</v>
      </c>
      <c r="C582" s="145">
        <v>619</v>
      </c>
      <c r="D582" s="145" t="s">
        <v>174</v>
      </c>
      <c r="E582" s="145">
        <v>1</v>
      </c>
      <c r="F582" s="145">
        <v>2</v>
      </c>
      <c r="G582" s="145">
        <v>0</v>
      </c>
      <c r="H582" s="407">
        <v>30</v>
      </c>
      <c r="I582" s="107">
        <f>F582*400+G582*100+H582</f>
        <v>830</v>
      </c>
      <c r="J582" s="107">
        <v>325</v>
      </c>
      <c r="K582" s="78">
        <f>SUM(I582*J582)</f>
        <v>269750</v>
      </c>
      <c r="L582" s="61"/>
      <c r="M582" s="61"/>
      <c r="N582" s="145"/>
      <c r="O582" s="467"/>
      <c r="P582" s="173"/>
      <c r="Q582" s="196"/>
      <c r="R582" s="442"/>
      <c r="S582" s="107"/>
      <c r="T582" s="109"/>
      <c r="U582" s="107">
        <f>S582*T582/100</f>
        <v>0</v>
      </c>
      <c r="V582" s="78">
        <f>SUM(S582-U582)</f>
        <v>0</v>
      </c>
      <c r="W582" s="77">
        <f>K582+V582</f>
        <v>269750</v>
      </c>
      <c r="X582" s="77">
        <f>W582</f>
        <v>269750</v>
      </c>
      <c r="Y582" s="676" t="s">
        <v>87</v>
      </c>
      <c r="Z582" s="77">
        <v>0</v>
      </c>
      <c r="AA582" s="409">
        <v>0.01</v>
      </c>
      <c r="AB582" s="1412">
        <f>(Z582*AA582)</f>
        <v>0</v>
      </c>
      <c r="AC582" s="602"/>
      <c r="AD582" s="603" t="e">
        <f>#REF!-AC582</f>
        <v>#REF!</v>
      </c>
      <c r="AE582" s="603" t="e">
        <f>IF(AD582&lt;=0,0,AD582*25/100)</f>
        <v>#REF!</v>
      </c>
      <c r="AF582" s="603" t="e">
        <f>IF(AC582+AE582&gt;#REF!,#REF!,AC582+AE582)</f>
        <v>#REF!</v>
      </c>
    </row>
    <row r="583" spans="1:32" s="457" customFormat="1" ht="18" customHeight="1" x14ac:dyDescent="0.2">
      <c r="A583" s="75">
        <v>2</v>
      </c>
      <c r="B583" s="85">
        <v>8848</v>
      </c>
      <c r="C583" s="88">
        <v>3434</v>
      </c>
      <c r="D583" s="88" t="s">
        <v>174</v>
      </c>
      <c r="E583" s="88">
        <v>2</v>
      </c>
      <c r="F583" s="88">
        <v>0</v>
      </c>
      <c r="G583" s="88">
        <v>0</v>
      </c>
      <c r="H583" s="495">
        <v>34</v>
      </c>
      <c r="I583" s="121">
        <f>F583*400+G583*100+H583</f>
        <v>34</v>
      </c>
      <c r="J583" s="121">
        <v>1100</v>
      </c>
      <c r="K583" s="159">
        <f>SUM(I583*J583)</f>
        <v>37400</v>
      </c>
      <c r="L583" s="88">
        <v>1</v>
      </c>
      <c r="M583" s="88">
        <v>100</v>
      </c>
      <c r="N583" s="88" t="s">
        <v>74</v>
      </c>
      <c r="O583" s="72">
        <v>2</v>
      </c>
      <c r="P583" s="120">
        <v>60</v>
      </c>
      <c r="Q583" s="129" t="s">
        <v>75</v>
      </c>
      <c r="R583" s="446">
        <v>6750</v>
      </c>
      <c r="S583" s="73">
        <f>+P583*R583</f>
        <v>405000</v>
      </c>
      <c r="T583" s="1843">
        <v>21</v>
      </c>
      <c r="U583" s="1844">
        <f>S583*32/100</f>
        <v>129600</v>
      </c>
      <c r="V583" s="73">
        <f>SUM(S583-U583)</f>
        <v>275400</v>
      </c>
      <c r="W583" s="73">
        <f>K583+V583</f>
        <v>312800</v>
      </c>
      <c r="X583" s="73">
        <f>W583</f>
        <v>312800</v>
      </c>
      <c r="Y583" s="414" t="s">
        <v>87</v>
      </c>
      <c r="Z583" s="73">
        <v>0</v>
      </c>
      <c r="AA583" s="414">
        <v>0.02</v>
      </c>
      <c r="AB583" s="1412">
        <f>(Z583*AA583)</f>
        <v>0</v>
      </c>
      <c r="AC583" s="602"/>
      <c r="AD583" s="603" t="e">
        <f>#REF!-AC583</f>
        <v>#REF!</v>
      </c>
      <c r="AE583" s="603" t="e">
        <f>IF(AD583&lt;=0,0,AD583*25/100)</f>
        <v>#REF!</v>
      </c>
      <c r="AF583" s="603" t="e">
        <f>IF(AC583+AE583&gt;#REF!,#REF!,AC583+AE583)</f>
        <v>#REF!</v>
      </c>
    </row>
    <row r="584" spans="1:32" s="457" customFormat="1" ht="18" customHeight="1" x14ac:dyDescent="0.2">
      <c r="A584" s="61">
        <v>3</v>
      </c>
      <c r="B584" s="102">
        <v>23108</v>
      </c>
      <c r="C584" s="145">
        <v>399</v>
      </c>
      <c r="D584" s="145" t="s">
        <v>174</v>
      </c>
      <c r="E584" s="145">
        <v>2</v>
      </c>
      <c r="F584" s="145">
        <v>0</v>
      </c>
      <c r="G584" s="145">
        <v>0</v>
      </c>
      <c r="H584" s="407">
        <v>34</v>
      </c>
      <c r="I584" s="77">
        <f>F584*400+G584*100+H584</f>
        <v>34</v>
      </c>
      <c r="J584" s="107">
        <v>1100</v>
      </c>
      <c r="K584" s="107">
        <f>SUM(I584*J584)</f>
        <v>37400</v>
      </c>
      <c r="L584" s="1826">
        <v>2</v>
      </c>
      <c r="M584" s="727"/>
      <c r="N584" s="727"/>
      <c r="O584" s="727"/>
      <c r="P584" s="728"/>
      <c r="Q584" s="728"/>
      <c r="R584" s="729"/>
      <c r="S584" s="729"/>
      <c r="T584" s="728"/>
      <c r="U584" s="729"/>
      <c r="V584" s="729"/>
      <c r="W584" s="94">
        <f>+K584</f>
        <v>37400</v>
      </c>
      <c r="X584" s="94">
        <f>W584</f>
        <v>37400</v>
      </c>
      <c r="Y584" s="414"/>
      <c r="Z584" s="94">
        <f>+X584</f>
        <v>37400</v>
      </c>
      <c r="AA584" s="409">
        <v>0.3</v>
      </c>
      <c r="AB584" s="1412">
        <f>+Z584*AA584/100</f>
        <v>112.2</v>
      </c>
      <c r="AC584" s="350"/>
      <c r="AD584" s="719"/>
      <c r="AE584" s="719"/>
      <c r="AF584" s="719"/>
    </row>
    <row r="585" spans="1:32" s="457" customFormat="1" ht="18" customHeight="1" x14ac:dyDescent="0.2">
      <c r="A585" s="145"/>
      <c r="B585" s="177"/>
      <c r="C585" s="177"/>
      <c r="D585" s="145"/>
      <c r="E585" s="145"/>
      <c r="F585" s="145"/>
      <c r="G585" s="145"/>
      <c r="H585" s="147"/>
      <c r="I585" s="107"/>
      <c r="J585" s="178"/>
      <c r="K585" s="107"/>
      <c r="L585" s="145"/>
      <c r="M585" s="145"/>
      <c r="N585" s="145"/>
      <c r="O585" s="145"/>
      <c r="P585" s="147"/>
      <c r="Q585" s="148"/>
      <c r="R585" s="437"/>
      <c r="S585" s="107"/>
      <c r="T585" s="179"/>
      <c r="U585" s="178"/>
      <c r="V585" s="107"/>
      <c r="W585" s="107"/>
      <c r="X585" s="470"/>
      <c r="Y585" s="470"/>
      <c r="Z585" s="471"/>
      <c r="AA585" s="471"/>
      <c r="AB585" s="466"/>
      <c r="AC585" s="350"/>
      <c r="AD585" s="350"/>
      <c r="AE585" s="350"/>
      <c r="AF585" s="350"/>
    </row>
    <row r="586" spans="1:32" s="457" customFormat="1" ht="18" customHeight="1" x14ac:dyDescent="0.2">
      <c r="A586" s="145"/>
      <c r="B586" s="177"/>
      <c r="C586" s="177"/>
      <c r="D586" s="145"/>
      <c r="E586" s="145"/>
      <c r="F586" s="145"/>
      <c r="G586" s="145"/>
      <c r="H586" s="147"/>
      <c r="I586" s="107"/>
      <c r="J586" s="178"/>
      <c r="K586" s="107"/>
      <c r="L586" s="145"/>
      <c r="M586" s="145"/>
      <c r="N586" s="145"/>
      <c r="O586" s="145"/>
      <c r="P586" s="147"/>
      <c r="Q586" s="148"/>
      <c r="R586" s="437"/>
      <c r="S586" s="107"/>
      <c r="T586" s="179"/>
      <c r="U586" s="178"/>
      <c r="V586" s="107"/>
      <c r="W586" s="107"/>
      <c r="X586" s="470"/>
      <c r="Y586" s="470"/>
      <c r="Z586" s="471"/>
      <c r="AA586" s="471"/>
      <c r="AB586" s="466"/>
      <c r="AC586" s="350"/>
      <c r="AD586" s="350"/>
      <c r="AE586" s="350"/>
      <c r="AF586" s="350"/>
    </row>
    <row r="587" spans="1:32" s="457" customFormat="1" ht="18" customHeight="1" x14ac:dyDescent="0.2">
      <c r="A587" s="145"/>
      <c r="B587" s="177"/>
      <c r="C587" s="177"/>
      <c r="D587" s="145"/>
      <c r="E587" s="145"/>
      <c r="F587" s="145"/>
      <c r="G587" s="145"/>
      <c r="H587" s="147"/>
      <c r="I587" s="107"/>
      <c r="J587" s="178"/>
      <c r="K587" s="107"/>
      <c r="L587" s="145"/>
      <c r="M587" s="145"/>
      <c r="N587" s="145"/>
      <c r="O587" s="145"/>
      <c r="P587" s="147"/>
      <c r="Q587" s="148"/>
      <c r="R587" s="437"/>
      <c r="S587" s="107"/>
      <c r="T587" s="179"/>
      <c r="U587" s="178"/>
      <c r="V587" s="107"/>
      <c r="W587" s="107"/>
      <c r="X587" s="470"/>
      <c r="Y587" s="470"/>
      <c r="Z587" s="471"/>
      <c r="AA587" s="471"/>
      <c r="AB587" s="466"/>
      <c r="AC587" s="350"/>
      <c r="AD587" s="350"/>
      <c r="AE587" s="350"/>
      <c r="AF587" s="350"/>
    </row>
    <row r="588" spans="1:32" s="457" customFormat="1" ht="18" customHeight="1" x14ac:dyDescent="0.2">
      <c r="A588" s="145"/>
      <c r="B588" s="177"/>
      <c r="C588" s="177"/>
      <c r="D588" s="145"/>
      <c r="E588" s="145"/>
      <c r="F588" s="145"/>
      <c r="G588" s="145"/>
      <c r="H588" s="147"/>
      <c r="I588" s="107"/>
      <c r="J588" s="178"/>
      <c r="K588" s="107"/>
      <c r="L588" s="145"/>
      <c r="M588" s="145"/>
      <c r="N588" s="145"/>
      <c r="O588" s="145"/>
      <c r="P588" s="147"/>
      <c r="Q588" s="148"/>
      <c r="R588" s="437"/>
      <c r="S588" s="107"/>
      <c r="T588" s="179"/>
      <c r="U588" s="178"/>
      <c r="V588" s="107"/>
      <c r="W588" s="107"/>
      <c r="X588" s="470"/>
      <c r="Y588" s="470"/>
      <c r="Z588" s="471"/>
      <c r="AA588" s="471"/>
      <c r="AB588" s="466"/>
      <c r="AC588" s="350"/>
      <c r="AD588" s="350"/>
      <c r="AE588" s="350"/>
      <c r="AF588" s="350"/>
    </row>
    <row r="589" spans="1:32" s="457" customFormat="1" ht="18" customHeight="1" x14ac:dyDescent="0.2">
      <c r="A589" s="145"/>
      <c r="B589" s="177"/>
      <c r="C589" s="177"/>
      <c r="D589" s="145"/>
      <c r="E589" s="145"/>
      <c r="F589" s="145"/>
      <c r="G589" s="145"/>
      <c r="H589" s="147"/>
      <c r="I589" s="107"/>
      <c r="J589" s="178"/>
      <c r="K589" s="107"/>
      <c r="L589" s="145"/>
      <c r="M589" s="145"/>
      <c r="N589" s="145"/>
      <c r="O589" s="145"/>
      <c r="P589" s="147"/>
      <c r="Q589" s="148"/>
      <c r="R589" s="437"/>
      <c r="S589" s="107"/>
      <c r="T589" s="179"/>
      <c r="U589" s="178"/>
      <c r="V589" s="107"/>
      <c r="W589" s="107"/>
      <c r="X589" s="470"/>
      <c r="Y589" s="470"/>
      <c r="Z589" s="471"/>
      <c r="AA589" s="471"/>
      <c r="AB589" s="466"/>
      <c r="AC589" s="350"/>
      <c r="AD589" s="350"/>
      <c r="AE589" s="350"/>
      <c r="AF589" s="350"/>
    </row>
    <row r="590" spans="1:32" s="457" customFormat="1" ht="18" customHeight="1" x14ac:dyDescent="0.2">
      <c r="A590" s="145"/>
      <c r="B590" s="177"/>
      <c r="C590" s="177"/>
      <c r="D590" s="145"/>
      <c r="E590" s="145"/>
      <c r="F590" s="145"/>
      <c r="G590" s="145"/>
      <c r="H590" s="147"/>
      <c r="I590" s="107"/>
      <c r="J590" s="178"/>
      <c r="K590" s="107"/>
      <c r="L590" s="145"/>
      <c r="M590" s="145"/>
      <c r="N590" s="145"/>
      <c r="O590" s="145"/>
      <c r="P590" s="147"/>
      <c r="Q590" s="148"/>
      <c r="R590" s="437"/>
      <c r="S590" s="107"/>
      <c r="T590" s="179"/>
      <c r="U590" s="178"/>
      <c r="V590" s="107"/>
      <c r="W590" s="107"/>
      <c r="X590" s="470"/>
      <c r="Y590" s="470"/>
      <c r="Z590" s="471"/>
      <c r="AA590" s="471"/>
      <c r="AB590" s="466"/>
      <c r="AC590" s="350"/>
      <c r="AD590" s="350"/>
      <c r="AE590" s="350"/>
      <c r="AF590" s="350"/>
    </row>
    <row r="591" spans="1:32" s="457" customFormat="1" ht="18" customHeight="1" x14ac:dyDescent="0.2">
      <c r="A591" s="145"/>
      <c r="B591" s="177"/>
      <c r="C591" s="177"/>
      <c r="D591" s="145"/>
      <c r="E591" s="145"/>
      <c r="F591" s="145"/>
      <c r="G591" s="145"/>
      <c r="H591" s="147"/>
      <c r="I591" s="107"/>
      <c r="J591" s="178"/>
      <c r="K591" s="107"/>
      <c r="L591" s="145"/>
      <c r="M591" s="145"/>
      <c r="N591" s="145"/>
      <c r="O591" s="145"/>
      <c r="P591" s="147"/>
      <c r="Q591" s="148"/>
      <c r="R591" s="437"/>
      <c r="S591" s="107"/>
      <c r="T591" s="179"/>
      <c r="U591" s="178"/>
      <c r="V591" s="107"/>
      <c r="W591" s="107"/>
      <c r="X591" s="470"/>
      <c r="Y591" s="470"/>
      <c r="Z591" s="471"/>
      <c r="AA591" s="471"/>
      <c r="AB591" s="466"/>
      <c r="AC591" s="350"/>
      <c r="AD591" s="350"/>
      <c r="AE591" s="350"/>
      <c r="AF591" s="350"/>
    </row>
    <row r="592" spans="1:32" s="457" customFormat="1" ht="18" customHeight="1" x14ac:dyDescent="0.2">
      <c r="A592" s="145"/>
      <c r="B592" s="177"/>
      <c r="C592" s="177"/>
      <c r="D592" s="145"/>
      <c r="E592" s="145"/>
      <c r="F592" s="145"/>
      <c r="G592" s="145"/>
      <c r="H592" s="147"/>
      <c r="I592" s="107"/>
      <c r="J592" s="178"/>
      <c r="K592" s="107"/>
      <c r="L592" s="145"/>
      <c r="M592" s="145"/>
      <c r="N592" s="145"/>
      <c r="O592" s="145"/>
      <c r="P592" s="147"/>
      <c r="Q592" s="148"/>
      <c r="R592" s="437"/>
      <c r="S592" s="107"/>
      <c r="T592" s="179"/>
      <c r="U592" s="178"/>
      <c r="V592" s="107"/>
      <c r="W592" s="107"/>
      <c r="X592" s="470"/>
      <c r="Y592" s="470"/>
      <c r="Z592" s="471"/>
      <c r="AA592" s="471"/>
      <c r="AB592" s="466"/>
      <c r="AC592" s="350"/>
      <c r="AD592" s="350"/>
      <c r="AE592" s="350"/>
      <c r="AF592" s="350"/>
    </row>
    <row r="593" spans="1:32" s="457" customFormat="1" ht="18" customHeight="1" x14ac:dyDescent="0.2">
      <c r="A593" s="145"/>
      <c r="B593" s="177"/>
      <c r="C593" s="177"/>
      <c r="D593" s="145"/>
      <c r="E593" s="145"/>
      <c r="F593" s="145"/>
      <c r="G593" s="145"/>
      <c r="H593" s="147"/>
      <c r="I593" s="107"/>
      <c r="J593" s="178"/>
      <c r="K593" s="107"/>
      <c r="L593" s="145"/>
      <c r="M593" s="145"/>
      <c r="N593" s="145"/>
      <c r="O593" s="145"/>
      <c r="P593" s="147"/>
      <c r="Q593" s="148"/>
      <c r="R593" s="437"/>
      <c r="S593" s="107"/>
      <c r="T593" s="179"/>
      <c r="U593" s="178"/>
      <c r="V593" s="107"/>
      <c r="W593" s="107"/>
      <c r="X593" s="470"/>
      <c r="Y593" s="470"/>
      <c r="Z593" s="471"/>
      <c r="AA593" s="471"/>
      <c r="AB593" s="466"/>
      <c r="AC593" s="350"/>
      <c r="AD593" s="350"/>
      <c r="AE593" s="350"/>
      <c r="AF593" s="350"/>
    </row>
    <row r="594" spans="1:32" s="457" customFormat="1" ht="18" customHeight="1" x14ac:dyDescent="0.2">
      <c r="A594" s="145"/>
      <c r="B594" s="177"/>
      <c r="C594" s="177"/>
      <c r="D594" s="145"/>
      <c r="E594" s="145"/>
      <c r="F594" s="145"/>
      <c r="G594" s="145"/>
      <c r="H594" s="147"/>
      <c r="I594" s="107"/>
      <c r="J594" s="178"/>
      <c r="K594" s="107"/>
      <c r="L594" s="145"/>
      <c r="M594" s="145"/>
      <c r="N594" s="145"/>
      <c r="O594" s="145"/>
      <c r="P594" s="147"/>
      <c r="Q594" s="148"/>
      <c r="R594" s="437"/>
      <c r="S594" s="107"/>
      <c r="T594" s="179"/>
      <c r="U594" s="178"/>
      <c r="V594" s="107"/>
      <c r="W594" s="107"/>
      <c r="X594" s="470"/>
      <c r="Y594" s="470"/>
      <c r="Z594" s="471"/>
      <c r="AA594" s="471"/>
      <c r="AB594" s="466"/>
      <c r="AC594" s="350"/>
      <c r="AD594" s="350"/>
      <c r="AE594" s="350"/>
      <c r="AF594" s="350"/>
    </row>
    <row r="595" spans="1:32" s="457" customFormat="1" ht="18" customHeight="1" x14ac:dyDescent="0.2">
      <c r="A595" s="145"/>
      <c r="B595" s="177"/>
      <c r="C595" s="177"/>
      <c r="D595" s="145"/>
      <c r="E595" s="145"/>
      <c r="F595" s="145"/>
      <c r="G595" s="145"/>
      <c r="H595" s="147"/>
      <c r="I595" s="107"/>
      <c r="J595" s="178"/>
      <c r="K595" s="107"/>
      <c r="L595" s="145"/>
      <c r="M595" s="145"/>
      <c r="N595" s="145"/>
      <c r="O595" s="145"/>
      <c r="P595" s="147"/>
      <c r="Q595" s="148"/>
      <c r="R595" s="437"/>
      <c r="S595" s="107"/>
      <c r="T595" s="179"/>
      <c r="U595" s="178"/>
      <c r="V595" s="107"/>
      <c r="W595" s="107"/>
      <c r="X595" s="470"/>
      <c r="Y595" s="470"/>
      <c r="Z595" s="471"/>
      <c r="AA595" s="471"/>
      <c r="AB595" s="466"/>
      <c r="AC595" s="350"/>
      <c r="AD595" s="350"/>
      <c r="AE595" s="350"/>
      <c r="AF595" s="350"/>
    </row>
    <row r="596" spans="1:32" s="457" customFormat="1" ht="18" customHeight="1" x14ac:dyDescent="0.2">
      <c r="A596" s="145"/>
      <c r="B596" s="177"/>
      <c r="C596" s="177"/>
      <c r="D596" s="145"/>
      <c r="E596" s="145"/>
      <c r="F596" s="145"/>
      <c r="G596" s="145"/>
      <c r="H596" s="147"/>
      <c r="I596" s="107"/>
      <c r="J596" s="178"/>
      <c r="K596" s="107"/>
      <c r="L596" s="145"/>
      <c r="M596" s="145"/>
      <c r="N596" s="145"/>
      <c r="O596" s="145"/>
      <c r="P596" s="147"/>
      <c r="Q596" s="148"/>
      <c r="R596" s="437"/>
      <c r="S596" s="107"/>
      <c r="T596" s="179"/>
      <c r="U596" s="178"/>
      <c r="V596" s="107"/>
      <c r="W596" s="107"/>
      <c r="X596" s="470"/>
      <c r="Y596" s="470"/>
      <c r="Z596" s="471"/>
      <c r="AA596" s="471"/>
      <c r="AB596" s="466"/>
      <c r="AC596" s="350"/>
      <c r="AD596" s="350"/>
      <c r="AE596" s="350"/>
      <c r="AF596" s="350"/>
    </row>
    <row r="597" spans="1:32" s="457" customFormat="1" ht="18" customHeight="1" x14ac:dyDescent="0.2">
      <c r="A597" s="183"/>
      <c r="B597" s="183"/>
      <c r="C597" s="183"/>
      <c r="D597" s="183"/>
      <c r="E597" s="183"/>
      <c r="F597" s="183"/>
      <c r="G597" s="183"/>
      <c r="H597" s="184"/>
      <c r="I597" s="185"/>
      <c r="J597" s="186"/>
      <c r="K597" s="185"/>
      <c r="L597" s="185"/>
      <c r="M597" s="185"/>
      <c r="N597" s="185"/>
      <c r="O597" s="185"/>
      <c r="P597" s="185"/>
      <c r="Q597" s="185"/>
      <c r="R597" s="438"/>
      <c r="S597" s="185"/>
      <c r="T597" s="187"/>
      <c r="U597" s="186"/>
      <c r="V597" s="185"/>
      <c r="W597" s="185"/>
      <c r="X597" s="474"/>
      <c r="Y597" s="474"/>
      <c r="Z597" s="475"/>
      <c r="AA597" s="475"/>
      <c r="AB597" s="1847">
        <f>SUM(AB582:AB596)</f>
        <v>112.2</v>
      </c>
      <c r="AC597" s="349"/>
      <c r="AD597" s="349"/>
      <c r="AE597" s="349"/>
      <c r="AF597" s="349"/>
    </row>
    <row r="598" spans="1:32" s="457" customFormat="1" ht="18" customHeight="1" x14ac:dyDescent="0.2">
      <c r="A598" s="2737" t="s">
        <v>76</v>
      </c>
      <c r="B598" s="2737"/>
      <c r="C598" s="2738" t="s">
        <v>77</v>
      </c>
      <c r="D598" s="2738"/>
      <c r="E598" s="2738"/>
      <c r="F598" s="2738"/>
      <c r="G598" s="2738"/>
      <c r="H598" s="2738"/>
      <c r="I598" s="457" t="s">
        <v>78</v>
      </c>
      <c r="AB598" s="478"/>
    </row>
    <row r="599" spans="1:32" s="457" customFormat="1" ht="18" customHeight="1" x14ac:dyDescent="0.2">
      <c r="B599" s="479"/>
      <c r="I599" s="457" t="s">
        <v>79</v>
      </c>
      <c r="AB599" s="478"/>
    </row>
    <row r="600" spans="1:32" s="457" customFormat="1" ht="18" customHeight="1" x14ac:dyDescent="0.2">
      <c r="B600" s="479"/>
      <c r="I600" s="457" t="s">
        <v>80</v>
      </c>
      <c r="AB600" s="478"/>
    </row>
    <row r="601" spans="1:32" s="457" customFormat="1" ht="18" customHeight="1" x14ac:dyDescent="0.2">
      <c r="B601" s="479"/>
      <c r="I601" s="457" t="s">
        <v>81</v>
      </c>
      <c r="AB601" s="478"/>
    </row>
    <row r="602" spans="1:32" s="457" customFormat="1" ht="18" customHeight="1" x14ac:dyDescent="0.2">
      <c r="B602" s="479"/>
      <c r="I602" s="457" t="s">
        <v>88</v>
      </c>
      <c r="AB602" s="478"/>
    </row>
    <row r="603" spans="1:32" s="457" customFormat="1" ht="18" customHeight="1" x14ac:dyDescent="0.2">
      <c r="A603" s="455"/>
      <c r="B603" s="455"/>
      <c r="C603" s="455"/>
      <c r="D603" s="455"/>
      <c r="E603" s="455"/>
      <c r="F603" s="455"/>
      <c r="G603" s="455"/>
      <c r="H603" s="455"/>
      <c r="I603" s="455"/>
      <c r="J603" s="455"/>
      <c r="K603" s="455"/>
      <c r="L603" s="455"/>
      <c r="M603" s="455"/>
      <c r="N603" s="455"/>
      <c r="O603" s="455"/>
      <c r="P603" s="455"/>
      <c r="Q603" s="455"/>
      <c r="R603" s="455"/>
      <c r="S603" s="455"/>
      <c r="T603" s="455"/>
      <c r="U603" s="455"/>
      <c r="V603" s="455"/>
      <c r="W603" s="455"/>
      <c r="X603" s="455"/>
      <c r="Y603" s="455"/>
      <c r="Z603" s="455"/>
      <c r="AA603" s="2705" t="s">
        <v>0</v>
      </c>
      <c r="AB603" s="2705"/>
    </row>
    <row r="604" spans="1:32" s="457" customFormat="1" ht="18" customHeight="1" x14ac:dyDescent="0.2">
      <c r="A604" s="2706" t="s">
        <v>1</v>
      </c>
      <c r="B604" s="2706"/>
      <c r="C604" s="2706"/>
      <c r="D604" s="2706"/>
      <c r="E604" s="2706"/>
      <c r="F604" s="2706"/>
      <c r="G604" s="2706"/>
      <c r="H604" s="2706"/>
      <c r="I604" s="2706"/>
      <c r="J604" s="2706"/>
      <c r="K604" s="2706"/>
      <c r="L604" s="2706"/>
      <c r="M604" s="2706"/>
      <c r="N604" s="2706"/>
      <c r="O604" s="2706"/>
      <c r="P604" s="2706"/>
      <c r="Q604" s="2706"/>
      <c r="R604" s="2706"/>
      <c r="S604" s="2706"/>
      <c r="T604" s="2706"/>
      <c r="U604" s="2706"/>
      <c r="V604" s="2706"/>
      <c r="W604" s="2706"/>
      <c r="X604" s="2706"/>
      <c r="Y604" s="2706"/>
      <c r="Z604" s="2706"/>
      <c r="AA604" s="2706"/>
      <c r="AB604" s="2706"/>
    </row>
    <row r="605" spans="1:32" s="457" customFormat="1" ht="18" customHeight="1" x14ac:dyDescent="0.2">
      <c r="A605" s="2704" t="s">
        <v>389</v>
      </c>
      <c r="B605" s="2704"/>
      <c r="C605" s="2704"/>
      <c r="D605" s="2704"/>
      <c r="E605" s="2704"/>
      <c r="F605" s="2704"/>
      <c r="G605" s="2704"/>
      <c r="H605" s="2704"/>
      <c r="I605" s="2704"/>
      <c r="J605" s="2704"/>
      <c r="K605" s="2704"/>
      <c r="L605" s="2704"/>
      <c r="M605" s="2704"/>
      <c r="N605" s="2704"/>
      <c r="O605" s="2704"/>
      <c r="P605" s="2704"/>
      <c r="Q605" s="2704"/>
      <c r="R605" s="2704"/>
      <c r="S605" s="2704"/>
      <c r="T605" s="2704"/>
      <c r="U605" s="2704"/>
      <c r="V605" s="2704"/>
      <c r="W605" s="2704"/>
      <c r="X605" s="2704"/>
      <c r="Y605" s="2704"/>
      <c r="Z605" s="2704"/>
      <c r="AA605" s="2704"/>
      <c r="AB605" s="2704"/>
    </row>
    <row r="606" spans="1:32" s="457" customFormat="1" ht="18" customHeight="1" x14ac:dyDescent="0.2">
      <c r="A606" s="2686" t="s">
        <v>2</v>
      </c>
      <c r="B606" s="360"/>
      <c r="C606" s="2686" t="s">
        <v>3</v>
      </c>
      <c r="D606" s="360"/>
      <c r="E606" s="360"/>
      <c r="F606" s="2693" t="s">
        <v>4</v>
      </c>
      <c r="G606" s="2693"/>
      <c r="H606" s="2693"/>
      <c r="I606" s="2694"/>
      <c r="J606" s="2694"/>
      <c r="K606" s="2695"/>
      <c r="L606" s="361"/>
      <c r="M606" s="2679" t="s">
        <v>5</v>
      </c>
      <c r="N606" s="2679"/>
      <c r="O606" s="2679"/>
      <c r="P606" s="2679"/>
      <c r="Q606" s="2696"/>
      <c r="R606" s="2696"/>
      <c r="S606" s="2696"/>
      <c r="T606" s="2696"/>
      <c r="U606" s="2696"/>
      <c r="V606" s="2697"/>
      <c r="W606" s="362" t="s">
        <v>6</v>
      </c>
      <c r="X606" s="363" t="s">
        <v>7</v>
      </c>
      <c r="Y606" s="364"/>
      <c r="Z606" s="364"/>
      <c r="AA606" s="363"/>
      <c r="AB606" s="458"/>
    </row>
    <row r="607" spans="1:32" s="457" customFormat="1" ht="18" customHeight="1" x14ac:dyDescent="0.2">
      <c r="A607" s="2687"/>
      <c r="B607" s="367"/>
      <c r="C607" s="2687"/>
      <c r="D607" s="366" t="s">
        <v>9</v>
      </c>
      <c r="E607" s="366" t="s">
        <v>10</v>
      </c>
      <c r="F607" s="2698" t="s">
        <v>11</v>
      </c>
      <c r="G607" s="2694"/>
      <c r="H607" s="2695"/>
      <c r="I607" s="360"/>
      <c r="J607" s="449" t="s">
        <v>12</v>
      </c>
      <c r="K607" s="360"/>
      <c r="L607" s="2679" t="s">
        <v>2</v>
      </c>
      <c r="M607" s="370"/>
      <c r="N607" s="370"/>
      <c r="O607" s="370"/>
      <c r="P607" s="371"/>
      <c r="Q607" s="459" t="s">
        <v>13</v>
      </c>
      <c r="R607" s="370" t="s">
        <v>12</v>
      </c>
      <c r="S607" s="370" t="s">
        <v>6</v>
      </c>
      <c r="T607" s="2682" t="s">
        <v>14</v>
      </c>
      <c r="U607" s="2683"/>
      <c r="V607" s="375" t="s">
        <v>7</v>
      </c>
      <c r="W607" s="376" t="s">
        <v>15</v>
      </c>
      <c r="X607" s="377" t="s">
        <v>16</v>
      </c>
      <c r="Y607" s="377" t="s">
        <v>17</v>
      </c>
      <c r="Z607" s="377" t="s">
        <v>18</v>
      </c>
      <c r="AA607" s="377"/>
      <c r="AB607" s="460" t="s">
        <v>19</v>
      </c>
    </row>
    <row r="608" spans="1:32" s="457" customFormat="1" ht="18" customHeight="1" x14ac:dyDescent="0.2">
      <c r="A608" s="2687"/>
      <c r="B608" s="366" t="s">
        <v>23</v>
      </c>
      <c r="C608" s="2687"/>
      <c r="D608" s="366" t="s">
        <v>24</v>
      </c>
      <c r="E608" s="366" t="s">
        <v>25</v>
      </c>
      <c r="F608" s="2699"/>
      <c r="G608" s="2700"/>
      <c r="H608" s="2701"/>
      <c r="I608" s="366" t="s">
        <v>26</v>
      </c>
      <c r="J608" s="380" t="s">
        <v>15</v>
      </c>
      <c r="K608" s="380" t="s">
        <v>6</v>
      </c>
      <c r="L608" s="2680"/>
      <c r="M608" s="381" t="s">
        <v>27</v>
      </c>
      <c r="N608" s="381" t="s">
        <v>10</v>
      </c>
      <c r="O608" s="381" t="s">
        <v>10</v>
      </c>
      <c r="P608" s="385" t="s">
        <v>28</v>
      </c>
      <c r="Q608" s="461" t="s">
        <v>29</v>
      </c>
      <c r="R608" s="385" t="s">
        <v>15</v>
      </c>
      <c r="S608" s="385" t="s">
        <v>15</v>
      </c>
      <c r="T608" s="2684"/>
      <c r="U608" s="2685"/>
      <c r="V608" s="375" t="s">
        <v>30</v>
      </c>
      <c r="W608" s="376" t="s">
        <v>31</v>
      </c>
      <c r="X608" s="377" t="s">
        <v>30</v>
      </c>
      <c r="Y608" s="377" t="s">
        <v>32</v>
      </c>
      <c r="Z608" s="377" t="s">
        <v>7</v>
      </c>
      <c r="AA608" s="377" t="s">
        <v>33</v>
      </c>
      <c r="AB608" s="460" t="s">
        <v>34</v>
      </c>
    </row>
    <row r="609" spans="1:28" s="457" customFormat="1" ht="18" customHeight="1" x14ac:dyDescent="0.2">
      <c r="A609" s="2687"/>
      <c r="B609" s="366" t="s">
        <v>39</v>
      </c>
      <c r="C609" s="2687"/>
      <c r="D609" s="366" t="s">
        <v>40</v>
      </c>
      <c r="E609" s="366" t="s">
        <v>41</v>
      </c>
      <c r="F609" s="2686" t="s">
        <v>42</v>
      </c>
      <c r="G609" s="2686" t="s">
        <v>43</v>
      </c>
      <c r="H609" s="2688" t="s">
        <v>44</v>
      </c>
      <c r="I609" s="366" t="s">
        <v>45</v>
      </c>
      <c r="J609" s="380" t="s">
        <v>46</v>
      </c>
      <c r="K609" s="380" t="s">
        <v>47</v>
      </c>
      <c r="L609" s="2680"/>
      <c r="M609" s="381" t="s">
        <v>30</v>
      </c>
      <c r="N609" s="381" t="s">
        <v>30</v>
      </c>
      <c r="O609" s="381" t="s">
        <v>25</v>
      </c>
      <c r="P609" s="385" t="s">
        <v>30</v>
      </c>
      <c r="Q609" s="461" t="s">
        <v>48</v>
      </c>
      <c r="R609" s="385" t="s">
        <v>49</v>
      </c>
      <c r="S609" s="385" t="s">
        <v>30</v>
      </c>
      <c r="T609" s="374" t="s">
        <v>50</v>
      </c>
      <c r="U609" s="374" t="s">
        <v>13</v>
      </c>
      <c r="V609" s="375" t="s">
        <v>51</v>
      </c>
      <c r="W609" s="376" t="s">
        <v>52</v>
      </c>
      <c r="X609" s="377" t="s">
        <v>53</v>
      </c>
      <c r="Y609" s="377" t="s">
        <v>54</v>
      </c>
      <c r="Z609" s="377" t="s">
        <v>55</v>
      </c>
      <c r="AA609" s="377" t="s">
        <v>56</v>
      </c>
      <c r="AB609" s="460" t="s">
        <v>57</v>
      </c>
    </row>
    <row r="610" spans="1:28" s="457" customFormat="1" ht="18" customHeight="1" x14ac:dyDescent="0.2">
      <c r="A610" s="2687"/>
      <c r="B610" s="366" t="s">
        <v>61</v>
      </c>
      <c r="C610" s="2687"/>
      <c r="D610" s="366" t="s">
        <v>62</v>
      </c>
      <c r="E610" s="366" t="s">
        <v>63</v>
      </c>
      <c r="F610" s="2687"/>
      <c r="G610" s="2687"/>
      <c r="H610" s="2689"/>
      <c r="I610" s="366" t="s">
        <v>64</v>
      </c>
      <c r="J610" s="380" t="s">
        <v>59</v>
      </c>
      <c r="K610" s="380" t="s">
        <v>59</v>
      </c>
      <c r="L610" s="2680"/>
      <c r="M610" s="381"/>
      <c r="N610" s="381"/>
      <c r="O610" s="381" t="s">
        <v>41</v>
      </c>
      <c r="P610" s="385" t="s">
        <v>65</v>
      </c>
      <c r="Q610" s="461" t="s">
        <v>66</v>
      </c>
      <c r="R610" s="385" t="s">
        <v>67</v>
      </c>
      <c r="S610" s="385" t="s">
        <v>59</v>
      </c>
      <c r="T610" s="375" t="s">
        <v>68</v>
      </c>
      <c r="U610" s="375" t="s">
        <v>14</v>
      </c>
      <c r="V610" s="375" t="s">
        <v>14</v>
      </c>
      <c r="W610" s="376" t="s">
        <v>30</v>
      </c>
      <c r="X610" s="388" t="s">
        <v>69</v>
      </c>
      <c r="Y610" s="388" t="s">
        <v>70</v>
      </c>
      <c r="Z610" s="377" t="s">
        <v>71</v>
      </c>
      <c r="AA610" s="377" t="s">
        <v>72</v>
      </c>
      <c r="AB610" s="460" t="s">
        <v>59</v>
      </c>
    </row>
    <row r="611" spans="1:28" s="457" customFormat="1" ht="18" customHeight="1" x14ac:dyDescent="0.2">
      <c r="A611" s="2692"/>
      <c r="B611" s="390"/>
      <c r="C611" s="2692"/>
      <c r="D611" s="390"/>
      <c r="E611" s="389"/>
      <c r="F611" s="390"/>
      <c r="G611" s="390"/>
      <c r="H611" s="391"/>
      <c r="I611" s="389"/>
      <c r="J611" s="393"/>
      <c r="K611" s="393"/>
      <c r="L611" s="2681"/>
      <c r="M611" s="394"/>
      <c r="N611" s="394"/>
      <c r="O611" s="394" t="s">
        <v>63</v>
      </c>
      <c r="P611" s="394"/>
      <c r="Q611" s="450" t="s">
        <v>72</v>
      </c>
      <c r="R611" s="398" t="s">
        <v>59</v>
      </c>
      <c r="S611" s="398"/>
      <c r="T611" s="398" t="s">
        <v>73</v>
      </c>
      <c r="U611" s="398" t="s">
        <v>59</v>
      </c>
      <c r="V611" s="399" t="s">
        <v>59</v>
      </c>
      <c r="W611" s="400" t="s">
        <v>59</v>
      </c>
      <c r="X611" s="401" t="s">
        <v>59</v>
      </c>
      <c r="Y611" s="401" t="s">
        <v>59</v>
      </c>
      <c r="Z611" s="401" t="s">
        <v>59</v>
      </c>
      <c r="AA611" s="402"/>
      <c r="AB611" s="462"/>
    </row>
    <row r="612" spans="1:28" s="457" customFormat="1" ht="18" customHeight="1" x14ac:dyDescent="0.25">
      <c r="A612" s="1080">
        <v>1</v>
      </c>
      <c r="B612" s="269">
        <v>2400</v>
      </c>
      <c r="C612" s="285" t="s">
        <v>175</v>
      </c>
      <c r="D612" s="27" t="s">
        <v>86</v>
      </c>
      <c r="E612" s="273">
        <v>1</v>
      </c>
      <c r="F612" s="268">
        <v>8</v>
      </c>
      <c r="G612" s="269">
        <v>1</v>
      </c>
      <c r="H612" s="266">
        <v>64</v>
      </c>
      <c r="I612" s="77">
        <f>F612*400+G612*100+H612</f>
        <v>3364</v>
      </c>
      <c r="J612" s="305">
        <v>300</v>
      </c>
      <c r="K612" s="1827">
        <f>SUM(I612*J612)</f>
        <v>1009200</v>
      </c>
      <c r="L612" s="269"/>
      <c r="M612" s="242"/>
      <c r="N612" s="269"/>
      <c r="O612" s="269"/>
      <c r="P612" s="266"/>
      <c r="Q612" s="285"/>
      <c r="R612" s="1005"/>
      <c r="S612" s="321"/>
      <c r="T612" s="323"/>
      <c r="U612" s="324"/>
      <c r="V612" s="324"/>
      <c r="W612" s="77">
        <f>K612+V612</f>
        <v>1009200</v>
      </c>
      <c r="X612" s="77">
        <f>W612</f>
        <v>1009200</v>
      </c>
      <c r="Y612" s="305">
        <v>0</v>
      </c>
      <c r="Z612" s="305">
        <v>0</v>
      </c>
      <c r="AA612" s="1081">
        <v>0.01</v>
      </c>
      <c r="AB612" s="465">
        <f>+Z612*AA612/100</f>
        <v>0</v>
      </c>
    </row>
    <row r="613" spans="1:28" s="457" customFormat="1" ht="18" customHeight="1" x14ac:dyDescent="0.25">
      <c r="A613" s="1080">
        <v>2</v>
      </c>
      <c r="B613" s="255">
        <v>2360</v>
      </c>
      <c r="C613" s="334" t="s">
        <v>176</v>
      </c>
      <c r="D613" s="15" t="s">
        <v>86</v>
      </c>
      <c r="E613" s="287">
        <v>1</v>
      </c>
      <c r="F613" s="709">
        <v>4</v>
      </c>
      <c r="G613" s="255">
        <v>2</v>
      </c>
      <c r="H613" s="848">
        <v>20</v>
      </c>
      <c r="I613" s="77">
        <f t="shared" ref="I613:I615" si="146">F613*400+G613*100+H613</f>
        <v>1820</v>
      </c>
      <c r="J613" s="306">
        <v>300</v>
      </c>
      <c r="K613" s="1827">
        <f t="shared" ref="K613:K615" si="147">SUM(I613*J613)</f>
        <v>546000</v>
      </c>
      <c r="L613" s="255"/>
      <c r="M613" s="241"/>
      <c r="N613" s="255"/>
      <c r="O613" s="273"/>
      <c r="P613" s="1082"/>
      <c r="Q613" s="334"/>
      <c r="R613" s="702"/>
      <c r="S613" s="320"/>
      <c r="T613" s="849"/>
      <c r="U613" s="320"/>
      <c r="V613" s="320"/>
      <c r="W613" s="77">
        <f t="shared" ref="W613:W616" si="148">K613+V613</f>
        <v>546000</v>
      </c>
      <c r="X613" s="77">
        <f t="shared" ref="X613:X616" si="149">W613</f>
        <v>546000</v>
      </c>
      <c r="Y613" s="306">
        <v>0</v>
      </c>
      <c r="Z613" s="305">
        <v>0</v>
      </c>
      <c r="AA613" s="1083">
        <v>0.01</v>
      </c>
      <c r="AB613" s="466">
        <f>+Z613*AA613/100</f>
        <v>0</v>
      </c>
    </row>
    <row r="614" spans="1:28" s="457" customFormat="1" ht="18" customHeight="1" x14ac:dyDescent="0.25">
      <c r="A614" s="85">
        <v>3</v>
      </c>
      <c r="B614" s="273">
        <v>2970</v>
      </c>
      <c r="C614" s="1084" t="s">
        <v>177</v>
      </c>
      <c r="D614" s="27" t="s">
        <v>86</v>
      </c>
      <c r="E614" s="273">
        <v>1</v>
      </c>
      <c r="F614" s="273">
        <v>8</v>
      </c>
      <c r="G614" s="273">
        <v>2</v>
      </c>
      <c r="H614" s="1006">
        <v>22</v>
      </c>
      <c r="I614" s="77">
        <f t="shared" si="146"/>
        <v>3422</v>
      </c>
      <c r="J614" s="312">
        <v>250</v>
      </c>
      <c r="K614" s="1827">
        <f t="shared" si="147"/>
        <v>855500</v>
      </c>
      <c r="L614" s="273"/>
      <c r="M614" s="85"/>
      <c r="N614" s="273"/>
      <c r="O614" s="273"/>
      <c r="P614" s="1006"/>
      <c r="Q614" s="1084"/>
      <c r="R614" s="1085"/>
      <c r="S614" s="324"/>
      <c r="T614" s="1086"/>
      <c r="U614" s="324"/>
      <c r="V614" s="324"/>
      <c r="W614" s="77">
        <f t="shared" si="148"/>
        <v>855500</v>
      </c>
      <c r="X614" s="77">
        <f t="shared" si="149"/>
        <v>855500</v>
      </c>
      <c r="Y614" s="305">
        <v>0</v>
      </c>
      <c r="Z614" s="305">
        <v>0</v>
      </c>
      <c r="AA614" s="1081">
        <v>0.01</v>
      </c>
      <c r="AB614" s="466">
        <f>+Z614*AA614/100</f>
        <v>0</v>
      </c>
    </row>
    <row r="615" spans="1:28" s="457" customFormat="1" ht="18" customHeight="1" x14ac:dyDescent="0.25">
      <c r="A615" s="61">
        <v>4</v>
      </c>
      <c r="B615" s="287">
        <v>1982</v>
      </c>
      <c r="C615" s="15">
        <v>394</v>
      </c>
      <c r="D615" s="15" t="s">
        <v>86</v>
      </c>
      <c r="E615" s="15">
        <v>2</v>
      </c>
      <c r="F615" s="15">
        <v>1</v>
      </c>
      <c r="G615" s="15">
        <v>0</v>
      </c>
      <c r="H615" s="284">
        <v>39</v>
      </c>
      <c r="I615" s="77">
        <f t="shared" si="146"/>
        <v>439</v>
      </c>
      <c r="J615" s="306">
        <v>2300</v>
      </c>
      <c r="K615" s="1827">
        <f t="shared" si="147"/>
        <v>1009700</v>
      </c>
      <c r="L615" s="50">
        <v>1</v>
      </c>
      <c r="M615" s="145">
        <v>106</v>
      </c>
      <c r="N615" s="15" t="s">
        <v>96</v>
      </c>
      <c r="O615" s="50">
        <v>2</v>
      </c>
      <c r="P615" s="21">
        <v>145.49</v>
      </c>
      <c r="Q615" s="76" t="s">
        <v>75</v>
      </c>
      <c r="R615" s="672">
        <v>7950</v>
      </c>
      <c r="S615" s="73">
        <f>+P615*R615</f>
        <v>1156645.5</v>
      </c>
      <c r="T615" s="1508">
        <v>39</v>
      </c>
      <c r="U615" s="1844">
        <f>S615*0.85</f>
        <v>983148.67499999993</v>
      </c>
      <c r="V615" s="73">
        <f>SUM(S615-U615)</f>
        <v>173496.82500000007</v>
      </c>
      <c r="W615" s="77">
        <f t="shared" si="148"/>
        <v>1183196.8250000002</v>
      </c>
      <c r="X615" s="77">
        <f t="shared" si="149"/>
        <v>1183196.8250000002</v>
      </c>
      <c r="Y615" s="306" t="s">
        <v>87</v>
      </c>
      <c r="Z615" s="306">
        <v>0</v>
      </c>
      <c r="AA615" s="1083">
        <v>0.02</v>
      </c>
      <c r="AB615" s="466">
        <f>+Z615*AA615/100</f>
        <v>0</v>
      </c>
    </row>
    <row r="616" spans="1:28" s="457" customFormat="1" ht="18" customHeight="1" x14ac:dyDescent="0.25">
      <c r="A616" s="242"/>
      <c r="B616" s="255"/>
      <c r="C616" s="334"/>
      <c r="D616" s="27"/>
      <c r="E616" s="273"/>
      <c r="F616" s="709"/>
      <c r="G616" s="255"/>
      <c r="H616" s="848"/>
      <c r="I616" s="296"/>
      <c r="J616" s="306"/>
      <c r="K616" s="297"/>
      <c r="L616" s="50">
        <v>2</v>
      </c>
      <c r="M616" s="145">
        <v>103</v>
      </c>
      <c r="N616" s="15" t="s">
        <v>74</v>
      </c>
      <c r="O616" s="50">
        <v>2</v>
      </c>
      <c r="P616" s="21">
        <v>182.48000000000002</v>
      </c>
      <c r="Q616" s="76" t="s">
        <v>75</v>
      </c>
      <c r="R616" s="672">
        <v>9050</v>
      </c>
      <c r="S616" s="73">
        <f>+P616*R616</f>
        <v>1651444.0000000002</v>
      </c>
      <c r="T616" s="1492">
        <v>3</v>
      </c>
      <c r="U616" s="1844">
        <f>S616*0.02</f>
        <v>33028.880000000005</v>
      </c>
      <c r="V616" s="73">
        <f>SUM(S616-U616)</f>
        <v>1618415.12</v>
      </c>
      <c r="W616" s="77">
        <f t="shared" si="148"/>
        <v>1618415.12</v>
      </c>
      <c r="X616" s="77">
        <f t="shared" si="149"/>
        <v>1618415.12</v>
      </c>
      <c r="Y616" s="305"/>
      <c r="Z616" s="94">
        <f>+X616</f>
        <v>1618415.12</v>
      </c>
      <c r="AA616" s="1081">
        <v>0.02</v>
      </c>
      <c r="AB616" s="466">
        <f>+Z616*AA616/100</f>
        <v>323.68302400000005</v>
      </c>
    </row>
    <row r="617" spans="1:28" s="457" customFormat="1" ht="18" customHeight="1" x14ac:dyDescent="0.2">
      <c r="A617" s="145"/>
      <c r="B617" s="177"/>
      <c r="C617" s="177"/>
      <c r="D617" s="145"/>
      <c r="E617" s="145"/>
      <c r="F617" s="145"/>
      <c r="G617" s="145"/>
      <c r="H617" s="147"/>
      <c r="I617" s="107"/>
      <c r="J617" s="178"/>
      <c r="K617" s="107"/>
      <c r="L617" s="145"/>
      <c r="M617" s="145"/>
      <c r="N617" s="145"/>
      <c r="O617" s="145"/>
      <c r="P617" s="147"/>
      <c r="Q617" s="148"/>
      <c r="R617" s="437"/>
      <c r="S617" s="107"/>
      <c r="T617" s="179"/>
      <c r="U617" s="178"/>
      <c r="V617" s="107"/>
      <c r="W617" s="107"/>
      <c r="X617" s="470"/>
      <c r="Y617" s="470"/>
      <c r="Z617" s="471"/>
      <c r="AA617" s="471"/>
      <c r="AB617" s="466"/>
    </row>
    <row r="618" spans="1:28" s="457" customFormat="1" ht="18" customHeight="1" x14ac:dyDescent="0.2">
      <c r="A618" s="145"/>
      <c r="B618" s="177"/>
      <c r="C618" s="177"/>
      <c r="D618" s="145"/>
      <c r="E618" s="145"/>
      <c r="F618" s="145"/>
      <c r="G618" s="145"/>
      <c r="H618" s="147"/>
      <c r="I618" s="107"/>
      <c r="J618" s="178"/>
      <c r="K618" s="107"/>
      <c r="L618" s="145"/>
      <c r="M618" s="145"/>
      <c r="N618" s="145"/>
      <c r="O618" s="145"/>
      <c r="P618" s="147"/>
      <c r="Q618" s="148"/>
      <c r="R618" s="437"/>
      <c r="S618" s="107"/>
      <c r="T618" s="179"/>
      <c r="U618" s="178"/>
      <c r="V618" s="107"/>
      <c r="W618" s="107"/>
      <c r="X618" s="470"/>
      <c r="Y618" s="470"/>
      <c r="Z618" s="471"/>
      <c r="AA618" s="471"/>
      <c r="AB618" s="466"/>
    </row>
    <row r="619" spans="1:28" s="457" customFormat="1" ht="18" customHeight="1" x14ac:dyDescent="0.2">
      <c r="A619" s="145"/>
      <c r="B619" s="177"/>
      <c r="C619" s="177"/>
      <c r="D619" s="145"/>
      <c r="E619" s="145"/>
      <c r="F619" s="145"/>
      <c r="G619" s="145"/>
      <c r="H619" s="147"/>
      <c r="I619" s="107"/>
      <c r="J619" s="178"/>
      <c r="K619" s="107"/>
      <c r="L619" s="145"/>
      <c r="M619" s="145"/>
      <c r="N619" s="145"/>
      <c r="O619" s="145"/>
      <c r="P619" s="147"/>
      <c r="Q619" s="148"/>
      <c r="R619" s="437"/>
      <c r="S619" s="107"/>
      <c r="T619" s="179"/>
      <c r="U619" s="178"/>
      <c r="V619" s="107"/>
      <c r="W619" s="107"/>
      <c r="X619" s="470"/>
      <c r="Y619" s="470"/>
      <c r="Z619" s="471"/>
      <c r="AA619" s="471"/>
      <c r="AB619" s="466"/>
    </row>
    <row r="620" spans="1:28" s="457" customFormat="1" ht="18" customHeight="1" x14ac:dyDescent="0.2">
      <c r="A620" s="145"/>
      <c r="B620" s="177"/>
      <c r="C620" s="177"/>
      <c r="D620" s="145"/>
      <c r="E620" s="145"/>
      <c r="F620" s="145"/>
      <c r="G620" s="145"/>
      <c r="H620" s="147"/>
      <c r="I620" s="107"/>
      <c r="J620" s="178"/>
      <c r="K620" s="107"/>
      <c r="L620" s="145"/>
      <c r="M620" s="145"/>
      <c r="N620" s="145"/>
      <c r="O620" s="145"/>
      <c r="P620" s="147"/>
      <c r="Q620" s="148"/>
      <c r="R620" s="437"/>
      <c r="S620" s="107"/>
      <c r="T620" s="179"/>
      <c r="U620" s="178"/>
      <c r="V620" s="107"/>
      <c r="W620" s="107"/>
      <c r="X620" s="470"/>
      <c r="Y620" s="470"/>
      <c r="Z620" s="471"/>
      <c r="AA620" s="471"/>
      <c r="AB620" s="466"/>
    </row>
    <row r="621" spans="1:28" s="457" customFormat="1" ht="18" customHeight="1" x14ac:dyDescent="0.2">
      <c r="A621" s="145"/>
      <c r="B621" s="177"/>
      <c r="C621" s="177"/>
      <c r="D621" s="145"/>
      <c r="E621" s="145"/>
      <c r="F621" s="145"/>
      <c r="G621" s="145"/>
      <c r="H621" s="147"/>
      <c r="I621" s="107"/>
      <c r="J621" s="178"/>
      <c r="K621" s="107"/>
      <c r="L621" s="145"/>
      <c r="M621" s="145"/>
      <c r="N621" s="145"/>
      <c r="O621" s="145"/>
      <c r="P621" s="147"/>
      <c r="Q621" s="148"/>
      <c r="R621" s="437"/>
      <c r="S621" s="107"/>
      <c r="T621" s="179"/>
      <c r="U621" s="178"/>
      <c r="V621" s="107"/>
      <c r="W621" s="107"/>
      <c r="X621" s="470"/>
      <c r="Y621" s="470"/>
      <c r="Z621" s="471"/>
      <c r="AA621" s="471"/>
      <c r="AB621" s="466"/>
    </row>
    <row r="622" spans="1:28" s="457" customFormat="1" ht="18" customHeight="1" x14ac:dyDescent="0.2">
      <c r="A622" s="145"/>
      <c r="B622" s="177"/>
      <c r="C622" s="177"/>
      <c r="D622" s="145"/>
      <c r="E622" s="145"/>
      <c r="F622" s="145"/>
      <c r="G622" s="145"/>
      <c r="H622" s="147"/>
      <c r="I622" s="107"/>
      <c r="J622" s="178"/>
      <c r="K622" s="107"/>
      <c r="L622" s="145"/>
      <c r="M622" s="145"/>
      <c r="N622" s="145"/>
      <c r="O622" s="145"/>
      <c r="P622" s="147"/>
      <c r="Q622" s="148"/>
      <c r="R622" s="437"/>
      <c r="S622" s="107"/>
      <c r="T622" s="179"/>
      <c r="U622" s="178"/>
      <c r="V622" s="107"/>
      <c r="W622" s="107"/>
      <c r="X622" s="470"/>
      <c r="Y622" s="470"/>
      <c r="Z622" s="471"/>
      <c r="AA622" s="471"/>
      <c r="AB622" s="466"/>
    </row>
    <row r="623" spans="1:28" s="457" customFormat="1" ht="18" customHeight="1" x14ac:dyDescent="0.2">
      <c r="A623" s="145"/>
      <c r="B623" s="177"/>
      <c r="C623" s="177"/>
      <c r="D623" s="145"/>
      <c r="E623" s="145"/>
      <c r="F623" s="145"/>
      <c r="G623" s="145"/>
      <c r="H623" s="147"/>
      <c r="I623" s="107"/>
      <c r="J623" s="178"/>
      <c r="K623" s="107"/>
      <c r="L623" s="145"/>
      <c r="M623" s="145"/>
      <c r="N623" s="145"/>
      <c r="O623" s="145"/>
      <c r="P623" s="147"/>
      <c r="Q623" s="148"/>
      <c r="R623" s="437"/>
      <c r="S623" s="107"/>
      <c r="T623" s="179"/>
      <c r="U623" s="178"/>
      <c r="V623" s="107"/>
      <c r="W623" s="107"/>
      <c r="X623" s="470"/>
      <c r="Y623" s="470"/>
      <c r="Z623" s="471"/>
      <c r="AA623" s="471"/>
      <c r="AB623" s="466"/>
    </row>
    <row r="624" spans="1:28" s="457" customFormat="1" ht="18" customHeight="1" x14ac:dyDescent="0.2">
      <c r="A624" s="145"/>
      <c r="B624" s="177"/>
      <c r="C624" s="177"/>
      <c r="D624" s="145"/>
      <c r="E624" s="145"/>
      <c r="F624" s="145"/>
      <c r="G624" s="145"/>
      <c r="H624" s="147"/>
      <c r="I624" s="107"/>
      <c r="J624" s="178"/>
      <c r="K624" s="107"/>
      <c r="L624" s="145"/>
      <c r="M624" s="145"/>
      <c r="N624" s="145"/>
      <c r="O624" s="145"/>
      <c r="P624" s="147"/>
      <c r="Q624" s="148"/>
      <c r="R624" s="437"/>
      <c r="S624" s="107"/>
      <c r="T624" s="179"/>
      <c r="U624" s="178"/>
      <c r="V624" s="107"/>
      <c r="W624" s="107"/>
      <c r="X624" s="470"/>
      <c r="Y624" s="470"/>
      <c r="Z624" s="471"/>
      <c r="AA624" s="471"/>
      <c r="AB624" s="466"/>
    </row>
    <row r="625" spans="1:28" s="457" customFormat="1" ht="18" customHeight="1" x14ac:dyDescent="0.2">
      <c r="A625" s="145"/>
      <c r="B625" s="177"/>
      <c r="C625" s="177"/>
      <c r="D625" s="145"/>
      <c r="E625" s="145"/>
      <c r="F625" s="145"/>
      <c r="G625" s="145"/>
      <c r="H625" s="147"/>
      <c r="I625" s="107"/>
      <c r="J625" s="178"/>
      <c r="K625" s="107"/>
      <c r="L625" s="145"/>
      <c r="M625" s="145"/>
      <c r="N625" s="145"/>
      <c r="O625" s="145"/>
      <c r="P625" s="147"/>
      <c r="Q625" s="148"/>
      <c r="R625" s="437"/>
      <c r="S625" s="107"/>
      <c r="T625" s="179"/>
      <c r="U625" s="178"/>
      <c r="V625" s="107"/>
      <c r="W625" s="107"/>
      <c r="X625" s="470"/>
      <c r="Y625" s="470"/>
      <c r="Z625" s="471"/>
      <c r="AA625" s="471"/>
      <c r="AB625" s="466"/>
    </row>
    <row r="626" spans="1:28" s="457" customFormat="1" ht="18" customHeight="1" x14ac:dyDescent="0.2">
      <c r="A626" s="145"/>
      <c r="B626" s="177"/>
      <c r="C626" s="177"/>
      <c r="D626" s="145"/>
      <c r="E626" s="145"/>
      <c r="F626" s="145"/>
      <c r="G626" s="145"/>
      <c r="H626" s="147"/>
      <c r="I626" s="107"/>
      <c r="J626" s="178"/>
      <c r="K626" s="107"/>
      <c r="L626" s="145"/>
      <c r="M626" s="145"/>
      <c r="N626" s="145"/>
      <c r="O626" s="145"/>
      <c r="P626" s="147"/>
      <c r="Q626" s="148"/>
      <c r="R626" s="437"/>
      <c r="S626" s="107"/>
      <c r="T626" s="179"/>
      <c r="U626" s="178"/>
      <c r="V626" s="107"/>
      <c r="W626" s="107"/>
      <c r="X626" s="470"/>
      <c r="Y626" s="470"/>
      <c r="Z626" s="471"/>
      <c r="AA626" s="471"/>
      <c r="AB626" s="466"/>
    </row>
    <row r="627" spans="1:28" s="457" customFormat="1" ht="18" customHeight="1" x14ac:dyDescent="0.2">
      <c r="A627" s="183"/>
      <c r="B627" s="183"/>
      <c r="C627" s="183"/>
      <c r="D627" s="183"/>
      <c r="E627" s="183"/>
      <c r="F627" s="183"/>
      <c r="G627" s="183"/>
      <c r="H627" s="184"/>
      <c r="I627" s="185"/>
      <c r="J627" s="186"/>
      <c r="K627" s="185"/>
      <c r="L627" s="185"/>
      <c r="M627" s="185"/>
      <c r="N627" s="185"/>
      <c r="O627" s="185"/>
      <c r="P627" s="185"/>
      <c r="Q627" s="185"/>
      <c r="R627" s="438"/>
      <c r="S627" s="185"/>
      <c r="T627" s="187"/>
      <c r="U627" s="186"/>
      <c r="V627" s="185"/>
      <c r="W627" s="185"/>
      <c r="X627" s="474"/>
      <c r="Y627" s="474"/>
      <c r="Z627" s="475"/>
      <c r="AA627" s="475"/>
      <c r="AB627" s="1847">
        <f>SUM(AB612:AB626)</f>
        <v>323.68302400000005</v>
      </c>
    </row>
    <row r="628" spans="1:28" s="457" customFormat="1" ht="18" customHeight="1" x14ac:dyDescent="0.2">
      <c r="A628" s="2737" t="s">
        <v>76</v>
      </c>
      <c r="B628" s="2737"/>
      <c r="C628" s="2738" t="s">
        <v>77</v>
      </c>
      <c r="D628" s="2738"/>
      <c r="E628" s="2738"/>
      <c r="F628" s="2738"/>
      <c r="G628" s="2738"/>
      <c r="H628" s="2738"/>
      <c r="I628" s="457" t="s">
        <v>78</v>
      </c>
      <c r="AB628" s="478"/>
    </row>
    <row r="629" spans="1:28" s="457" customFormat="1" ht="18" customHeight="1" x14ac:dyDescent="0.2">
      <c r="B629" s="479"/>
      <c r="I629" s="457" t="s">
        <v>79</v>
      </c>
      <c r="AB629" s="478"/>
    </row>
    <row r="630" spans="1:28" s="457" customFormat="1" ht="18" customHeight="1" x14ac:dyDescent="0.2">
      <c r="B630" s="479"/>
      <c r="I630" s="457" t="s">
        <v>80</v>
      </c>
      <c r="AB630" s="478"/>
    </row>
    <row r="631" spans="1:28" s="457" customFormat="1" ht="18" customHeight="1" x14ac:dyDescent="0.2">
      <c r="B631" s="479"/>
      <c r="I631" s="457" t="s">
        <v>81</v>
      </c>
      <c r="AB631" s="478"/>
    </row>
    <row r="632" spans="1:28" s="457" customFormat="1" ht="18" customHeight="1" x14ac:dyDescent="0.2">
      <c r="B632" s="479"/>
      <c r="I632" s="457" t="s">
        <v>88</v>
      </c>
      <c r="AB632" s="478"/>
    </row>
    <row r="633" spans="1:28" s="457" customFormat="1" ht="18" customHeight="1" x14ac:dyDescent="0.2">
      <c r="A633" s="455"/>
      <c r="B633" s="455"/>
      <c r="C633" s="455"/>
      <c r="D633" s="455"/>
      <c r="E633" s="455"/>
      <c r="F633" s="455"/>
      <c r="G633" s="455"/>
      <c r="H633" s="455"/>
      <c r="I633" s="455"/>
      <c r="J633" s="455"/>
      <c r="K633" s="455"/>
      <c r="L633" s="455"/>
      <c r="M633" s="455"/>
      <c r="N633" s="455"/>
      <c r="O633" s="455"/>
      <c r="P633" s="455"/>
      <c r="Q633" s="455"/>
      <c r="R633" s="455"/>
      <c r="S633" s="455"/>
      <c r="T633" s="455"/>
      <c r="U633" s="455"/>
      <c r="V633" s="455"/>
      <c r="W633" s="455"/>
      <c r="X633" s="455"/>
      <c r="Y633" s="455"/>
      <c r="Z633" s="455"/>
      <c r="AA633" s="2705" t="s">
        <v>0</v>
      </c>
      <c r="AB633" s="2705"/>
    </row>
    <row r="634" spans="1:28" s="457" customFormat="1" ht="18" customHeight="1" x14ac:dyDescent="0.2">
      <c r="A634" s="2706" t="s">
        <v>1</v>
      </c>
      <c r="B634" s="2706"/>
      <c r="C634" s="2706"/>
      <c r="D634" s="2706"/>
      <c r="E634" s="2706"/>
      <c r="F634" s="2706"/>
      <c r="G634" s="2706"/>
      <c r="H634" s="2706"/>
      <c r="I634" s="2706"/>
      <c r="J634" s="2706"/>
      <c r="K634" s="2706"/>
      <c r="L634" s="2706"/>
      <c r="M634" s="2706"/>
      <c r="N634" s="2706"/>
      <c r="O634" s="2706"/>
      <c r="P634" s="2706"/>
      <c r="Q634" s="2706"/>
      <c r="R634" s="2706"/>
      <c r="S634" s="2706"/>
      <c r="T634" s="2706"/>
      <c r="U634" s="2706"/>
      <c r="V634" s="2706"/>
      <c r="W634" s="2706"/>
      <c r="X634" s="2706"/>
      <c r="Y634" s="2706"/>
      <c r="Z634" s="2706"/>
      <c r="AA634" s="2706"/>
      <c r="AB634" s="2706"/>
    </row>
    <row r="635" spans="1:28" s="457" customFormat="1" ht="18" customHeight="1" x14ac:dyDescent="0.2">
      <c r="A635" s="2704" t="s">
        <v>390</v>
      </c>
      <c r="B635" s="2704"/>
      <c r="C635" s="2704"/>
      <c r="D635" s="2704"/>
      <c r="E635" s="2704"/>
      <c r="F635" s="2704"/>
      <c r="G635" s="2704"/>
      <c r="H635" s="2704"/>
      <c r="I635" s="2704"/>
      <c r="J635" s="2704"/>
      <c r="K635" s="2704"/>
      <c r="L635" s="2704"/>
      <c r="M635" s="2704"/>
      <c r="N635" s="2704"/>
      <c r="O635" s="2704"/>
      <c r="P635" s="2704"/>
      <c r="Q635" s="2704"/>
      <c r="R635" s="2704"/>
      <c r="S635" s="2704"/>
      <c r="T635" s="2704"/>
      <c r="U635" s="2704"/>
      <c r="V635" s="2704"/>
      <c r="W635" s="2704"/>
      <c r="X635" s="2704"/>
      <c r="Y635" s="2704"/>
      <c r="Z635" s="2704"/>
      <c r="AA635" s="2704"/>
      <c r="AB635" s="2704"/>
    </row>
    <row r="636" spans="1:28" s="457" customFormat="1" ht="18" customHeight="1" x14ac:dyDescent="0.2">
      <c r="A636" s="2686" t="s">
        <v>2</v>
      </c>
      <c r="B636" s="360"/>
      <c r="C636" s="2686" t="s">
        <v>3</v>
      </c>
      <c r="D636" s="360"/>
      <c r="E636" s="360"/>
      <c r="F636" s="2693" t="s">
        <v>4</v>
      </c>
      <c r="G636" s="2693"/>
      <c r="H636" s="2693"/>
      <c r="I636" s="2694"/>
      <c r="J636" s="2694"/>
      <c r="K636" s="2695"/>
      <c r="L636" s="361"/>
      <c r="M636" s="2679" t="s">
        <v>5</v>
      </c>
      <c r="N636" s="2679"/>
      <c r="O636" s="2679"/>
      <c r="P636" s="2679"/>
      <c r="Q636" s="2696"/>
      <c r="R636" s="2696"/>
      <c r="S636" s="2696"/>
      <c r="T636" s="2696"/>
      <c r="U636" s="2696"/>
      <c r="V636" s="2697"/>
      <c r="W636" s="362" t="s">
        <v>6</v>
      </c>
      <c r="X636" s="363" t="s">
        <v>7</v>
      </c>
      <c r="Y636" s="364"/>
      <c r="Z636" s="364"/>
      <c r="AA636" s="363"/>
      <c r="AB636" s="458"/>
    </row>
    <row r="637" spans="1:28" s="457" customFormat="1" ht="18" customHeight="1" x14ac:dyDescent="0.2">
      <c r="A637" s="2687"/>
      <c r="B637" s="367"/>
      <c r="C637" s="2687"/>
      <c r="D637" s="366" t="s">
        <v>9</v>
      </c>
      <c r="E637" s="366" t="s">
        <v>10</v>
      </c>
      <c r="F637" s="2698" t="s">
        <v>11</v>
      </c>
      <c r="G637" s="2694"/>
      <c r="H637" s="2695"/>
      <c r="I637" s="360"/>
      <c r="J637" s="449" t="s">
        <v>12</v>
      </c>
      <c r="K637" s="360"/>
      <c r="L637" s="2679" t="s">
        <v>2</v>
      </c>
      <c r="M637" s="370"/>
      <c r="N637" s="370"/>
      <c r="O637" s="370"/>
      <c r="P637" s="371"/>
      <c r="Q637" s="459" t="s">
        <v>13</v>
      </c>
      <c r="R637" s="370" t="s">
        <v>12</v>
      </c>
      <c r="S637" s="370" t="s">
        <v>6</v>
      </c>
      <c r="T637" s="2682" t="s">
        <v>14</v>
      </c>
      <c r="U637" s="2683"/>
      <c r="V637" s="375" t="s">
        <v>7</v>
      </c>
      <c r="W637" s="376" t="s">
        <v>15</v>
      </c>
      <c r="X637" s="377" t="s">
        <v>16</v>
      </c>
      <c r="Y637" s="377" t="s">
        <v>17</v>
      </c>
      <c r="Z637" s="377" t="s">
        <v>18</v>
      </c>
      <c r="AA637" s="377"/>
      <c r="AB637" s="460" t="s">
        <v>19</v>
      </c>
    </row>
    <row r="638" spans="1:28" s="457" customFormat="1" ht="18" customHeight="1" x14ac:dyDescent="0.2">
      <c r="A638" s="2687"/>
      <c r="B638" s="366" t="s">
        <v>23</v>
      </c>
      <c r="C638" s="2687"/>
      <c r="D638" s="366" t="s">
        <v>24</v>
      </c>
      <c r="E638" s="366" t="s">
        <v>25</v>
      </c>
      <c r="F638" s="2699"/>
      <c r="G638" s="2700"/>
      <c r="H638" s="2701"/>
      <c r="I638" s="366" t="s">
        <v>26</v>
      </c>
      <c r="J638" s="380" t="s">
        <v>15</v>
      </c>
      <c r="K638" s="380" t="s">
        <v>6</v>
      </c>
      <c r="L638" s="2680"/>
      <c r="M638" s="381" t="s">
        <v>27</v>
      </c>
      <c r="N638" s="381" t="s">
        <v>10</v>
      </c>
      <c r="O638" s="381" t="s">
        <v>10</v>
      </c>
      <c r="P638" s="385" t="s">
        <v>28</v>
      </c>
      <c r="Q638" s="461" t="s">
        <v>29</v>
      </c>
      <c r="R638" s="385" t="s">
        <v>15</v>
      </c>
      <c r="S638" s="385" t="s">
        <v>15</v>
      </c>
      <c r="T638" s="2684"/>
      <c r="U638" s="2685"/>
      <c r="V638" s="375" t="s">
        <v>30</v>
      </c>
      <c r="W638" s="376" t="s">
        <v>31</v>
      </c>
      <c r="X638" s="377" t="s">
        <v>30</v>
      </c>
      <c r="Y638" s="377" t="s">
        <v>32</v>
      </c>
      <c r="Z638" s="377" t="s">
        <v>7</v>
      </c>
      <c r="AA638" s="377" t="s">
        <v>33</v>
      </c>
      <c r="AB638" s="460" t="s">
        <v>34</v>
      </c>
    </row>
    <row r="639" spans="1:28" s="457" customFormat="1" ht="18" customHeight="1" x14ac:dyDescent="0.2">
      <c r="A639" s="2687"/>
      <c r="B639" s="366" t="s">
        <v>39</v>
      </c>
      <c r="C639" s="2687"/>
      <c r="D639" s="366" t="s">
        <v>40</v>
      </c>
      <c r="E639" s="366" t="s">
        <v>41</v>
      </c>
      <c r="F639" s="2686" t="s">
        <v>42</v>
      </c>
      <c r="G639" s="2686" t="s">
        <v>43</v>
      </c>
      <c r="H639" s="2688" t="s">
        <v>44</v>
      </c>
      <c r="I639" s="366" t="s">
        <v>45</v>
      </c>
      <c r="J639" s="380" t="s">
        <v>46</v>
      </c>
      <c r="K639" s="380" t="s">
        <v>47</v>
      </c>
      <c r="L639" s="2680"/>
      <c r="M639" s="381" t="s">
        <v>30</v>
      </c>
      <c r="N639" s="381" t="s">
        <v>30</v>
      </c>
      <c r="O639" s="381" t="s">
        <v>25</v>
      </c>
      <c r="P639" s="385" t="s">
        <v>30</v>
      </c>
      <c r="Q639" s="461" t="s">
        <v>48</v>
      </c>
      <c r="R639" s="385" t="s">
        <v>49</v>
      </c>
      <c r="S639" s="385" t="s">
        <v>30</v>
      </c>
      <c r="T639" s="374" t="s">
        <v>50</v>
      </c>
      <c r="U639" s="374" t="s">
        <v>13</v>
      </c>
      <c r="V639" s="375" t="s">
        <v>51</v>
      </c>
      <c r="W639" s="376" t="s">
        <v>52</v>
      </c>
      <c r="X639" s="377" t="s">
        <v>53</v>
      </c>
      <c r="Y639" s="377" t="s">
        <v>54</v>
      </c>
      <c r="Z639" s="377" t="s">
        <v>55</v>
      </c>
      <c r="AA639" s="377" t="s">
        <v>56</v>
      </c>
      <c r="AB639" s="460" t="s">
        <v>57</v>
      </c>
    </row>
    <row r="640" spans="1:28" s="457" customFormat="1" ht="18" customHeight="1" x14ac:dyDescent="0.2">
      <c r="A640" s="2687"/>
      <c r="B640" s="366" t="s">
        <v>61</v>
      </c>
      <c r="C640" s="2687"/>
      <c r="D640" s="366" t="s">
        <v>62</v>
      </c>
      <c r="E640" s="366" t="s">
        <v>63</v>
      </c>
      <c r="F640" s="2687"/>
      <c r="G640" s="2687"/>
      <c r="H640" s="2689"/>
      <c r="I640" s="366" t="s">
        <v>64</v>
      </c>
      <c r="J640" s="380" t="s">
        <v>59</v>
      </c>
      <c r="K640" s="380" t="s">
        <v>59</v>
      </c>
      <c r="L640" s="2680"/>
      <c r="M640" s="381"/>
      <c r="N640" s="381"/>
      <c r="O640" s="381" t="s">
        <v>41</v>
      </c>
      <c r="P640" s="385" t="s">
        <v>65</v>
      </c>
      <c r="Q640" s="461" t="s">
        <v>66</v>
      </c>
      <c r="R640" s="385" t="s">
        <v>67</v>
      </c>
      <c r="S640" s="385" t="s">
        <v>59</v>
      </c>
      <c r="T640" s="375" t="s">
        <v>68</v>
      </c>
      <c r="U640" s="375" t="s">
        <v>14</v>
      </c>
      <c r="V640" s="375" t="s">
        <v>14</v>
      </c>
      <c r="W640" s="376" t="s">
        <v>30</v>
      </c>
      <c r="X640" s="388" t="s">
        <v>69</v>
      </c>
      <c r="Y640" s="388" t="s">
        <v>70</v>
      </c>
      <c r="Z640" s="377" t="s">
        <v>71</v>
      </c>
      <c r="AA640" s="377" t="s">
        <v>72</v>
      </c>
      <c r="AB640" s="460" t="s">
        <v>59</v>
      </c>
    </row>
    <row r="641" spans="1:28" s="457" customFormat="1" ht="18" customHeight="1" x14ac:dyDescent="0.2">
      <c r="A641" s="2692"/>
      <c r="B641" s="390"/>
      <c r="C641" s="2692"/>
      <c r="D641" s="390"/>
      <c r="E641" s="389"/>
      <c r="F641" s="390"/>
      <c r="G641" s="390"/>
      <c r="H641" s="391"/>
      <c r="I641" s="389"/>
      <c r="J641" s="393"/>
      <c r="K641" s="393"/>
      <c r="L641" s="2681"/>
      <c r="M641" s="394"/>
      <c r="N641" s="394"/>
      <c r="O641" s="394" t="s">
        <v>63</v>
      </c>
      <c r="P641" s="394"/>
      <c r="Q641" s="450" t="s">
        <v>72</v>
      </c>
      <c r="R641" s="398" t="s">
        <v>59</v>
      </c>
      <c r="S641" s="398"/>
      <c r="T641" s="398" t="s">
        <v>73</v>
      </c>
      <c r="U641" s="398" t="s">
        <v>59</v>
      </c>
      <c r="V641" s="399" t="s">
        <v>59</v>
      </c>
      <c r="W641" s="400" t="s">
        <v>59</v>
      </c>
      <c r="X641" s="401" t="s">
        <v>59</v>
      </c>
      <c r="Y641" s="401" t="s">
        <v>59</v>
      </c>
      <c r="Z641" s="401" t="s">
        <v>59</v>
      </c>
      <c r="AA641" s="402"/>
      <c r="AB641" s="462"/>
    </row>
    <row r="642" spans="1:28" s="457" customFormat="1" ht="18" customHeight="1" x14ac:dyDescent="0.25">
      <c r="A642" s="53">
        <v>1</v>
      </c>
      <c r="B642" s="333">
        <v>2649</v>
      </c>
      <c r="C642" s="41">
        <v>302</v>
      </c>
      <c r="D642" s="41" t="s">
        <v>86</v>
      </c>
      <c r="E642" s="41">
        <v>2</v>
      </c>
      <c r="F642" s="41">
        <v>4</v>
      </c>
      <c r="G642" s="41">
        <v>0</v>
      </c>
      <c r="H642" s="267">
        <v>41.6</v>
      </c>
      <c r="I642" s="77">
        <f t="shared" ref="I642" si="150">F642*400+G642*100+H642</f>
        <v>1641.6</v>
      </c>
      <c r="J642" s="310">
        <v>520</v>
      </c>
      <c r="K642" s="1827">
        <f t="shared" ref="K642" si="151">SUM(I642*J642)</f>
        <v>853632</v>
      </c>
      <c r="L642" s="16">
        <v>1</v>
      </c>
      <c r="M642" s="82">
        <v>105</v>
      </c>
      <c r="N642" s="41" t="s">
        <v>74</v>
      </c>
      <c r="O642" s="16">
        <v>2</v>
      </c>
      <c r="P642" s="847">
        <v>544</v>
      </c>
      <c r="Q642" s="14" t="s">
        <v>75</v>
      </c>
      <c r="R642" s="741">
        <v>8800</v>
      </c>
      <c r="S642" s="73">
        <f>+P642*R642</f>
        <v>4787200</v>
      </c>
      <c r="T642" s="1539">
        <v>13</v>
      </c>
      <c r="U642" s="1844">
        <f>S642*0.14</f>
        <v>670208.00000000012</v>
      </c>
      <c r="V642" s="73">
        <f>SUM(S642-U642)</f>
        <v>4116992</v>
      </c>
      <c r="W642" s="77">
        <f t="shared" ref="W642:W645" si="152">K642+V642</f>
        <v>4970624</v>
      </c>
      <c r="X642" s="77">
        <f t="shared" ref="X642:X645" si="153">W642</f>
        <v>4970624</v>
      </c>
      <c r="Y642" s="310"/>
      <c r="Z642" s="94">
        <f>+X642</f>
        <v>4970624</v>
      </c>
      <c r="AA642" s="405">
        <v>0.02</v>
      </c>
      <c r="AB642" s="465">
        <f>+Z642*AA642/100</f>
        <v>994.12479999999994</v>
      </c>
    </row>
    <row r="643" spans="1:28" s="457" customFormat="1" ht="18" customHeight="1" x14ac:dyDescent="0.25">
      <c r="A643" s="242"/>
      <c r="B643" s="269"/>
      <c r="C643" s="285"/>
      <c r="D643" s="27"/>
      <c r="E643" s="273"/>
      <c r="F643" s="268"/>
      <c r="G643" s="269"/>
      <c r="H643" s="1006"/>
      <c r="I643" s="296"/>
      <c r="J643" s="306"/>
      <c r="K643" s="297"/>
      <c r="L643" s="50">
        <v>2</v>
      </c>
      <c r="M643" s="145">
        <v>101</v>
      </c>
      <c r="N643" s="15" t="s">
        <v>82</v>
      </c>
      <c r="O643" s="50">
        <v>2</v>
      </c>
      <c r="P643" s="28">
        <v>96</v>
      </c>
      <c r="Q643" s="62" t="s">
        <v>75</v>
      </c>
      <c r="R643" s="743">
        <v>7700</v>
      </c>
      <c r="S643" s="73">
        <f t="shared" ref="S643:S645" si="154">+P643*R643</f>
        <v>739200</v>
      </c>
      <c r="T643" s="1492">
        <v>12</v>
      </c>
      <c r="U643" s="1844">
        <f>S643*0.5</f>
        <v>369600</v>
      </c>
      <c r="V643" s="73">
        <f t="shared" ref="V643:V645" si="155">SUM(S643-U643)</f>
        <v>369600</v>
      </c>
      <c r="W643" s="77">
        <f t="shared" si="152"/>
        <v>369600</v>
      </c>
      <c r="X643" s="77">
        <f t="shared" si="153"/>
        <v>369600</v>
      </c>
      <c r="Y643" s="305"/>
      <c r="Z643" s="94">
        <f t="shared" ref="Z643:Z645" si="156">+X643</f>
        <v>369600</v>
      </c>
      <c r="AA643" s="670">
        <v>0.02</v>
      </c>
      <c r="AB643" s="410">
        <f>+Z643*AA643/100</f>
        <v>73.92</v>
      </c>
    </row>
    <row r="644" spans="1:28" s="457" customFormat="1" ht="18" customHeight="1" x14ac:dyDescent="0.25">
      <c r="A644" s="242"/>
      <c r="B644" s="255"/>
      <c r="C644" s="334"/>
      <c r="D644" s="15"/>
      <c r="E644" s="287"/>
      <c r="F644" s="709"/>
      <c r="G644" s="255"/>
      <c r="H644" s="848"/>
      <c r="I644" s="296"/>
      <c r="J644" s="306"/>
      <c r="K644" s="297"/>
      <c r="L644" s="45">
        <v>3</v>
      </c>
      <c r="M644" s="145">
        <v>103</v>
      </c>
      <c r="N644" s="15" t="s">
        <v>74</v>
      </c>
      <c r="O644" s="50">
        <v>3</v>
      </c>
      <c r="P644" s="21">
        <v>110</v>
      </c>
      <c r="Q644" s="76" t="s">
        <v>75</v>
      </c>
      <c r="R644" s="743">
        <v>9050</v>
      </c>
      <c r="S644" s="73">
        <f t="shared" si="154"/>
        <v>995500</v>
      </c>
      <c r="T644" s="1492">
        <v>12</v>
      </c>
      <c r="U644" s="1844">
        <f>S644*0.14</f>
        <v>139370</v>
      </c>
      <c r="V644" s="73">
        <f t="shared" si="155"/>
        <v>856130</v>
      </c>
      <c r="W644" s="77">
        <f t="shared" si="152"/>
        <v>856130</v>
      </c>
      <c r="X644" s="77">
        <f t="shared" si="153"/>
        <v>856130</v>
      </c>
      <c r="Y644" s="305"/>
      <c r="Z644" s="94">
        <f t="shared" si="156"/>
        <v>856130</v>
      </c>
      <c r="AA644" s="670">
        <v>0.02</v>
      </c>
      <c r="AB644" s="410">
        <f>+Z644*AA644/100</f>
        <v>171.226</v>
      </c>
    </row>
    <row r="645" spans="1:28" s="457" customFormat="1" ht="18" customHeight="1" x14ac:dyDescent="0.25">
      <c r="A645" s="242"/>
      <c r="B645" s="269"/>
      <c r="C645" s="285"/>
      <c r="D645" s="273"/>
      <c r="E645" s="273"/>
      <c r="F645" s="268"/>
      <c r="G645" s="269"/>
      <c r="H645" s="266"/>
      <c r="I645" s="296"/>
      <c r="J645" s="324"/>
      <c r="K645" s="330"/>
      <c r="L645" s="269">
        <v>4</v>
      </c>
      <c r="M645" s="242">
        <v>608</v>
      </c>
      <c r="N645" s="269" t="s">
        <v>74</v>
      </c>
      <c r="O645" s="50">
        <v>3</v>
      </c>
      <c r="P645" s="266">
        <v>48</v>
      </c>
      <c r="Q645" s="76" t="s">
        <v>75</v>
      </c>
      <c r="R645" s="672">
        <v>8850</v>
      </c>
      <c r="S645" s="73">
        <f t="shared" si="154"/>
        <v>424800</v>
      </c>
      <c r="T645" s="1845">
        <v>12</v>
      </c>
      <c r="U645" s="1844">
        <f t="shared" ref="U645" si="157">S645*0.14</f>
        <v>59472.000000000007</v>
      </c>
      <c r="V645" s="73">
        <f t="shared" si="155"/>
        <v>365328</v>
      </c>
      <c r="W645" s="77">
        <f t="shared" si="152"/>
        <v>365328</v>
      </c>
      <c r="X645" s="77">
        <f t="shared" si="153"/>
        <v>365328</v>
      </c>
      <c r="Y645" s="1008"/>
      <c r="Z645" s="94">
        <f t="shared" si="156"/>
        <v>365328</v>
      </c>
      <c r="AA645" s="494">
        <v>0.02</v>
      </c>
      <c r="AB645" s="410">
        <f>+Z645*AA645/100</f>
        <v>73.065600000000003</v>
      </c>
    </row>
    <row r="646" spans="1:28" s="457" customFormat="1" ht="18" customHeight="1" x14ac:dyDescent="0.2">
      <c r="A646" s="242"/>
      <c r="B646" s="241"/>
      <c r="C646" s="498"/>
      <c r="D646" s="88"/>
      <c r="E646" s="85"/>
      <c r="F646" s="499"/>
      <c r="G646" s="241"/>
      <c r="H646" s="500"/>
      <c r="I646" s="77"/>
      <c r="J646" s="107"/>
      <c r="K646" s="78"/>
      <c r="L646" s="61"/>
      <c r="M646" s="145"/>
      <c r="N646" s="145"/>
      <c r="O646" s="61"/>
      <c r="P646" s="177"/>
      <c r="Q646" s="196"/>
      <c r="R646" s="440"/>
      <c r="S646" s="190"/>
      <c r="T646" s="88"/>
      <c r="U646" s="77"/>
      <c r="V646" s="77"/>
      <c r="W646" s="74"/>
      <c r="X646" s="74"/>
      <c r="Y646" s="121"/>
      <c r="Z646" s="121"/>
      <c r="AA646" s="468"/>
      <c r="AB646" s="466"/>
    </row>
    <row r="647" spans="1:28" s="457" customFormat="1" ht="18" customHeight="1" x14ac:dyDescent="0.2">
      <c r="A647" s="145"/>
      <c r="B647" s="177"/>
      <c r="C647" s="177"/>
      <c r="D647" s="145"/>
      <c r="E647" s="145"/>
      <c r="F647" s="145"/>
      <c r="G647" s="145"/>
      <c r="H647" s="147"/>
      <c r="I647" s="107"/>
      <c r="J647" s="178"/>
      <c r="K647" s="107"/>
      <c r="L647" s="145"/>
      <c r="M647" s="145"/>
      <c r="N647" s="145"/>
      <c r="O647" s="145"/>
      <c r="P647" s="147"/>
      <c r="Q647" s="148"/>
      <c r="R647" s="437"/>
      <c r="S647" s="107"/>
      <c r="T647" s="179"/>
      <c r="U647" s="178"/>
      <c r="V647" s="107"/>
      <c r="W647" s="107"/>
      <c r="X647" s="470"/>
      <c r="Y647" s="470"/>
      <c r="Z647" s="471"/>
      <c r="AA647" s="471"/>
      <c r="AB647" s="466"/>
    </row>
    <row r="648" spans="1:28" s="457" customFormat="1" ht="18" customHeight="1" x14ac:dyDescent="0.2">
      <c r="A648" s="145"/>
      <c r="B648" s="177"/>
      <c r="C648" s="177"/>
      <c r="D648" s="145"/>
      <c r="E648" s="145"/>
      <c r="F648" s="145"/>
      <c r="G648" s="145"/>
      <c r="H648" s="147"/>
      <c r="I648" s="107"/>
      <c r="J648" s="178"/>
      <c r="K648" s="107"/>
      <c r="L648" s="145"/>
      <c r="M648" s="145"/>
      <c r="N648" s="145"/>
      <c r="O648" s="145"/>
      <c r="P648" s="147"/>
      <c r="Q648" s="148"/>
      <c r="R648" s="437"/>
      <c r="S648" s="107"/>
      <c r="T648" s="179"/>
      <c r="U648" s="178"/>
      <c r="V648" s="107"/>
      <c r="W648" s="107"/>
      <c r="X648" s="470"/>
      <c r="Y648" s="470"/>
      <c r="Z648" s="471"/>
      <c r="AA648" s="471"/>
      <c r="AB648" s="466"/>
    </row>
    <row r="649" spans="1:28" s="457" customFormat="1" ht="18" customHeight="1" x14ac:dyDescent="0.2">
      <c r="A649" s="145"/>
      <c r="B649" s="177"/>
      <c r="C649" s="177"/>
      <c r="D649" s="145"/>
      <c r="E649" s="145"/>
      <c r="F649" s="145"/>
      <c r="G649" s="145"/>
      <c r="H649" s="147"/>
      <c r="I649" s="107"/>
      <c r="J649" s="178"/>
      <c r="K649" s="107"/>
      <c r="L649" s="145"/>
      <c r="M649" s="145"/>
      <c r="N649" s="145"/>
      <c r="O649" s="145"/>
      <c r="P649" s="147"/>
      <c r="Q649" s="148"/>
      <c r="R649" s="437"/>
      <c r="S649" s="107"/>
      <c r="T649" s="179"/>
      <c r="U649" s="178"/>
      <c r="V649" s="107"/>
      <c r="W649" s="107"/>
      <c r="X649" s="470"/>
      <c r="Y649" s="470"/>
      <c r="Z649" s="471"/>
      <c r="AA649" s="471"/>
      <c r="AB649" s="466"/>
    </row>
    <row r="650" spans="1:28" s="457" customFormat="1" ht="18" customHeight="1" x14ac:dyDescent="0.2">
      <c r="A650" s="145"/>
      <c r="B650" s="177"/>
      <c r="C650" s="177"/>
      <c r="D650" s="145"/>
      <c r="E650" s="145"/>
      <c r="F650" s="145"/>
      <c r="G650" s="145"/>
      <c r="H650" s="147"/>
      <c r="I650" s="107"/>
      <c r="J650" s="178"/>
      <c r="K650" s="107"/>
      <c r="L650" s="145"/>
      <c r="M650" s="145"/>
      <c r="N650" s="145"/>
      <c r="O650" s="145"/>
      <c r="P650" s="147"/>
      <c r="Q650" s="148"/>
      <c r="R650" s="437"/>
      <c r="S650" s="107"/>
      <c r="T650" s="179"/>
      <c r="U650" s="178"/>
      <c r="V650" s="107"/>
      <c r="W650" s="107"/>
      <c r="X650" s="470"/>
      <c r="Y650" s="470"/>
      <c r="Z650" s="471"/>
      <c r="AA650" s="471"/>
      <c r="AB650" s="466"/>
    </row>
    <row r="651" spans="1:28" s="457" customFormat="1" ht="18" customHeight="1" x14ac:dyDescent="0.2">
      <c r="A651" s="145"/>
      <c r="B651" s="177"/>
      <c r="C651" s="177"/>
      <c r="D651" s="145"/>
      <c r="E651" s="145"/>
      <c r="F651" s="145"/>
      <c r="G651" s="145"/>
      <c r="H651" s="147"/>
      <c r="I651" s="107"/>
      <c r="J651" s="178"/>
      <c r="K651" s="107"/>
      <c r="L651" s="145"/>
      <c r="M651" s="145"/>
      <c r="N651" s="145"/>
      <c r="O651" s="145"/>
      <c r="P651" s="147"/>
      <c r="Q651" s="148"/>
      <c r="R651" s="437"/>
      <c r="S651" s="107"/>
      <c r="T651" s="179"/>
      <c r="U651" s="178"/>
      <c r="V651" s="107"/>
      <c r="W651" s="107"/>
      <c r="X651" s="470"/>
      <c r="Y651" s="470"/>
      <c r="Z651" s="471"/>
      <c r="AA651" s="471"/>
      <c r="AB651" s="466"/>
    </row>
    <row r="652" spans="1:28" s="457" customFormat="1" ht="18" customHeight="1" x14ac:dyDescent="0.2">
      <c r="A652" s="145"/>
      <c r="B652" s="177"/>
      <c r="C652" s="177"/>
      <c r="D652" s="145"/>
      <c r="E652" s="145"/>
      <c r="F652" s="145"/>
      <c r="G652" s="145"/>
      <c r="H652" s="147"/>
      <c r="I652" s="107"/>
      <c r="J652" s="178"/>
      <c r="K652" s="107"/>
      <c r="L652" s="145"/>
      <c r="M652" s="145"/>
      <c r="N652" s="145"/>
      <c r="O652" s="145"/>
      <c r="P652" s="147"/>
      <c r="Q652" s="148"/>
      <c r="R652" s="437"/>
      <c r="S652" s="107"/>
      <c r="T652" s="179"/>
      <c r="U652" s="178"/>
      <c r="V652" s="107"/>
      <c r="W652" s="107"/>
      <c r="X652" s="470"/>
      <c r="Y652" s="470"/>
      <c r="Z652" s="471"/>
      <c r="AA652" s="471"/>
      <c r="AB652" s="466"/>
    </row>
    <row r="653" spans="1:28" s="457" customFormat="1" ht="18" customHeight="1" x14ac:dyDescent="0.2">
      <c r="A653" s="145"/>
      <c r="B653" s="177"/>
      <c r="C653" s="177"/>
      <c r="D653" s="145"/>
      <c r="E653" s="145"/>
      <c r="F653" s="145"/>
      <c r="G653" s="145"/>
      <c r="H653" s="147"/>
      <c r="I653" s="107"/>
      <c r="J653" s="178"/>
      <c r="K653" s="107"/>
      <c r="L653" s="145"/>
      <c r="M653" s="145"/>
      <c r="N653" s="145"/>
      <c r="O653" s="145"/>
      <c r="P653" s="147"/>
      <c r="Q653" s="148"/>
      <c r="R653" s="437"/>
      <c r="S653" s="107"/>
      <c r="T653" s="179"/>
      <c r="U653" s="178"/>
      <c r="V653" s="107"/>
      <c r="W653" s="107"/>
      <c r="X653" s="470"/>
      <c r="Y653" s="470"/>
      <c r="Z653" s="471"/>
      <c r="AA653" s="471"/>
      <c r="AB653" s="466"/>
    </row>
    <row r="654" spans="1:28" s="457" customFormat="1" ht="18" customHeight="1" x14ac:dyDescent="0.2">
      <c r="A654" s="145"/>
      <c r="B654" s="177"/>
      <c r="C654" s="177"/>
      <c r="D654" s="145"/>
      <c r="E654" s="145"/>
      <c r="F654" s="145"/>
      <c r="G654" s="145"/>
      <c r="H654" s="147"/>
      <c r="I654" s="107"/>
      <c r="J654" s="178"/>
      <c r="K654" s="107"/>
      <c r="L654" s="145"/>
      <c r="M654" s="145"/>
      <c r="N654" s="145"/>
      <c r="O654" s="145"/>
      <c r="P654" s="147"/>
      <c r="Q654" s="148"/>
      <c r="R654" s="437"/>
      <c r="S654" s="107"/>
      <c r="T654" s="179"/>
      <c r="U654" s="178"/>
      <c r="V654" s="107"/>
      <c r="W654" s="107"/>
      <c r="X654" s="470"/>
      <c r="Y654" s="470"/>
      <c r="Z654" s="471"/>
      <c r="AA654" s="471"/>
      <c r="AB654" s="466"/>
    </row>
    <row r="655" spans="1:28" s="457" customFormat="1" ht="18" customHeight="1" x14ac:dyDescent="0.2">
      <c r="A655" s="145"/>
      <c r="B655" s="177"/>
      <c r="C655" s="177"/>
      <c r="D655" s="145"/>
      <c r="E655" s="145"/>
      <c r="F655" s="145"/>
      <c r="G655" s="145"/>
      <c r="H655" s="147"/>
      <c r="I655" s="107"/>
      <c r="J655" s="178"/>
      <c r="K655" s="107"/>
      <c r="L655" s="145"/>
      <c r="M655" s="145"/>
      <c r="N655" s="145"/>
      <c r="O655" s="145"/>
      <c r="P655" s="147"/>
      <c r="Q655" s="148"/>
      <c r="R655" s="437"/>
      <c r="S655" s="107"/>
      <c r="T655" s="179"/>
      <c r="U655" s="178"/>
      <c r="V655" s="107"/>
      <c r="W655" s="107"/>
      <c r="X655" s="470"/>
      <c r="Y655" s="470"/>
      <c r="Z655" s="471"/>
      <c r="AA655" s="471"/>
      <c r="AB655" s="466"/>
    </row>
    <row r="656" spans="1:28" s="457" customFormat="1" ht="18" customHeight="1" x14ac:dyDescent="0.2">
      <c r="A656" s="145"/>
      <c r="B656" s="177"/>
      <c r="C656" s="177"/>
      <c r="D656" s="145"/>
      <c r="E656" s="145"/>
      <c r="F656" s="145"/>
      <c r="G656" s="145"/>
      <c r="H656" s="147"/>
      <c r="I656" s="107"/>
      <c r="J656" s="178"/>
      <c r="K656" s="107"/>
      <c r="L656" s="145"/>
      <c r="M656" s="145"/>
      <c r="N656" s="145"/>
      <c r="O656" s="145"/>
      <c r="P656" s="147"/>
      <c r="Q656" s="148"/>
      <c r="R656" s="437"/>
      <c r="S656" s="107"/>
      <c r="T656" s="179"/>
      <c r="U656" s="178"/>
      <c r="V656" s="107"/>
      <c r="W656" s="107"/>
      <c r="X656" s="470"/>
      <c r="Y656" s="470"/>
      <c r="Z656" s="471"/>
      <c r="AA656" s="471"/>
      <c r="AB656" s="466"/>
    </row>
    <row r="657" spans="1:28" s="457" customFormat="1" ht="18" customHeight="1" x14ac:dyDescent="0.2">
      <c r="A657" s="183"/>
      <c r="B657" s="183"/>
      <c r="C657" s="183"/>
      <c r="D657" s="183"/>
      <c r="E657" s="183"/>
      <c r="F657" s="183"/>
      <c r="G657" s="183"/>
      <c r="H657" s="184"/>
      <c r="I657" s="185"/>
      <c r="J657" s="186"/>
      <c r="K657" s="185"/>
      <c r="L657" s="185"/>
      <c r="M657" s="185"/>
      <c r="N657" s="185"/>
      <c r="O657" s="185"/>
      <c r="P657" s="185"/>
      <c r="Q657" s="185"/>
      <c r="R657" s="438"/>
      <c r="S657" s="185"/>
      <c r="T657" s="187"/>
      <c r="U657" s="186"/>
      <c r="V657" s="185"/>
      <c r="W657" s="185"/>
      <c r="X657" s="474"/>
      <c r="Y657" s="474"/>
      <c r="Z657" s="475"/>
      <c r="AA657" s="475"/>
      <c r="AB657" s="1847">
        <f>SUM(AB642:AB656)</f>
        <v>1312.3363999999997</v>
      </c>
    </row>
    <row r="658" spans="1:28" s="457" customFormat="1" ht="18" customHeight="1" x14ac:dyDescent="0.2">
      <c r="A658" s="2737" t="s">
        <v>76</v>
      </c>
      <c r="B658" s="2737"/>
      <c r="C658" s="2738" t="s">
        <v>77</v>
      </c>
      <c r="D658" s="2738"/>
      <c r="E658" s="2738"/>
      <c r="F658" s="2738"/>
      <c r="G658" s="2738"/>
      <c r="H658" s="2738"/>
      <c r="I658" s="457" t="s">
        <v>78</v>
      </c>
      <c r="AB658" s="478"/>
    </row>
    <row r="659" spans="1:28" s="457" customFormat="1" ht="18" customHeight="1" x14ac:dyDescent="0.2">
      <c r="B659" s="479"/>
      <c r="I659" s="457" t="s">
        <v>79</v>
      </c>
      <c r="AB659" s="478"/>
    </row>
    <row r="660" spans="1:28" s="457" customFormat="1" ht="18" customHeight="1" x14ac:dyDescent="0.2">
      <c r="B660" s="479"/>
      <c r="I660" s="457" t="s">
        <v>80</v>
      </c>
      <c r="AB660" s="478"/>
    </row>
    <row r="661" spans="1:28" s="457" customFormat="1" ht="18" customHeight="1" x14ac:dyDescent="0.2">
      <c r="B661" s="479"/>
      <c r="I661" s="457" t="s">
        <v>81</v>
      </c>
      <c r="AB661" s="478"/>
    </row>
    <row r="662" spans="1:28" s="457" customFormat="1" ht="18" customHeight="1" x14ac:dyDescent="0.2">
      <c r="B662" s="479"/>
      <c r="I662" s="457" t="s">
        <v>88</v>
      </c>
      <c r="AB662" s="478"/>
    </row>
    <row r="663" spans="1:28" s="457" customFormat="1" ht="18" customHeight="1" x14ac:dyDescent="0.2">
      <c r="A663" s="455"/>
      <c r="B663" s="455"/>
      <c r="C663" s="455"/>
      <c r="D663" s="455"/>
      <c r="E663" s="455"/>
      <c r="F663" s="455"/>
      <c r="G663" s="455"/>
      <c r="H663" s="455"/>
      <c r="I663" s="455"/>
      <c r="J663" s="455"/>
      <c r="K663" s="455"/>
      <c r="L663" s="455"/>
      <c r="M663" s="455"/>
      <c r="N663" s="455"/>
      <c r="O663" s="455"/>
      <c r="P663" s="455"/>
      <c r="Q663" s="455"/>
      <c r="R663" s="455"/>
      <c r="S663" s="455"/>
      <c r="T663" s="455"/>
      <c r="U663" s="455"/>
      <c r="V663" s="455"/>
      <c r="W663" s="455"/>
      <c r="X663" s="455"/>
      <c r="Y663" s="455"/>
      <c r="Z663" s="455"/>
      <c r="AA663" s="2705" t="s">
        <v>0</v>
      </c>
      <c r="AB663" s="2705"/>
    </row>
    <row r="664" spans="1:28" s="457" customFormat="1" ht="18" customHeight="1" x14ac:dyDescent="0.2">
      <c r="A664" s="2706" t="s">
        <v>1</v>
      </c>
      <c r="B664" s="2706"/>
      <c r="C664" s="2706"/>
      <c r="D664" s="2706"/>
      <c r="E664" s="2706"/>
      <c r="F664" s="2706"/>
      <c r="G664" s="2706"/>
      <c r="H664" s="2706"/>
      <c r="I664" s="2706"/>
      <c r="J664" s="2706"/>
      <c r="K664" s="2706"/>
      <c r="L664" s="2706"/>
      <c r="M664" s="2706"/>
      <c r="N664" s="2706"/>
      <c r="O664" s="2706"/>
      <c r="P664" s="2706"/>
      <c r="Q664" s="2706"/>
      <c r="R664" s="2706"/>
      <c r="S664" s="2706"/>
      <c r="T664" s="2706"/>
      <c r="U664" s="2706"/>
      <c r="V664" s="2706"/>
      <c r="W664" s="2706"/>
      <c r="X664" s="2706"/>
      <c r="Y664" s="2706"/>
      <c r="Z664" s="2706"/>
      <c r="AA664" s="2706"/>
      <c r="AB664" s="2706"/>
    </row>
    <row r="665" spans="1:28" s="457" customFormat="1" ht="18" customHeight="1" x14ac:dyDescent="0.2">
      <c r="A665" s="2704" t="s">
        <v>391</v>
      </c>
      <c r="B665" s="2704"/>
      <c r="C665" s="2704"/>
      <c r="D665" s="2704"/>
      <c r="E665" s="2704"/>
      <c r="F665" s="2704"/>
      <c r="G665" s="2704"/>
      <c r="H665" s="2704"/>
      <c r="I665" s="2704"/>
      <c r="J665" s="2704"/>
      <c r="K665" s="2704"/>
      <c r="L665" s="2704"/>
      <c r="M665" s="2704"/>
      <c r="N665" s="2704"/>
      <c r="O665" s="2704"/>
      <c r="P665" s="2704"/>
      <c r="Q665" s="2704"/>
      <c r="R665" s="2704"/>
      <c r="S665" s="2704"/>
      <c r="T665" s="2704"/>
      <c r="U665" s="2704"/>
      <c r="V665" s="2704"/>
      <c r="W665" s="2704"/>
      <c r="X665" s="2704"/>
      <c r="Y665" s="2704"/>
      <c r="Z665" s="2704"/>
      <c r="AA665" s="2704"/>
      <c r="AB665" s="2704"/>
    </row>
    <row r="666" spans="1:28" s="457" customFormat="1" ht="18" customHeight="1" x14ac:dyDescent="0.2">
      <c r="A666" s="2686" t="s">
        <v>2</v>
      </c>
      <c r="B666" s="360"/>
      <c r="C666" s="2686" t="s">
        <v>3</v>
      </c>
      <c r="D666" s="360"/>
      <c r="E666" s="360"/>
      <c r="F666" s="2693" t="s">
        <v>4</v>
      </c>
      <c r="G666" s="2693"/>
      <c r="H666" s="2693"/>
      <c r="I666" s="2694"/>
      <c r="J666" s="2694"/>
      <c r="K666" s="2695"/>
      <c r="L666" s="361"/>
      <c r="M666" s="2679" t="s">
        <v>5</v>
      </c>
      <c r="N666" s="2679"/>
      <c r="O666" s="2679"/>
      <c r="P666" s="2679"/>
      <c r="Q666" s="2696"/>
      <c r="R666" s="2696"/>
      <c r="S666" s="2696"/>
      <c r="T666" s="2696"/>
      <c r="U666" s="2696"/>
      <c r="V666" s="2697"/>
      <c r="W666" s="362" t="s">
        <v>6</v>
      </c>
      <c r="X666" s="363" t="s">
        <v>7</v>
      </c>
      <c r="Y666" s="364"/>
      <c r="Z666" s="364"/>
      <c r="AA666" s="363"/>
      <c r="AB666" s="458"/>
    </row>
    <row r="667" spans="1:28" s="457" customFormat="1" ht="18" customHeight="1" x14ac:dyDescent="0.2">
      <c r="A667" s="2687"/>
      <c r="B667" s="367"/>
      <c r="C667" s="2687"/>
      <c r="D667" s="366" t="s">
        <v>9</v>
      </c>
      <c r="E667" s="366" t="s">
        <v>10</v>
      </c>
      <c r="F667" s="2698" t="s">
        <v>11</v>
      </c>
      <c r="G667" s="2694"/>
      <c r="H667" s="2695"/>
      <c r="I667" s="360"/>
      <c r="J667" s="449" t="s">
        <v>12</v>
      </c>
      <c r="K667" s="360"/>
      <c r="L667" s="2679" t="s">
        <v>2</v>
      </c>
      <c r="M667" s="370"/>
      <c r="N667" s="370"/>
      <c r="O667" s="370"/>
      <c r="P667" s="371"/>
      <c r="Q667" s="459" t="s">
        <v>13</v>
      </c>
      <c r="R667" s="370" t="s">
        <v>12</v>
      </c>
      <c r="S667" s="370" t="s">
        <v>6</v>
      </c>
      <c r="T667" s="2682" t="s">
        <v>14</v>
      </c>
      <c r="U667" s="2683"/>
      <c r="V667" s="375" t="s">
        <v>7</v>
      </c>
      <c r="W667" s="376" t="s">
        <v>15</v>
      </c>
      <c r="X667" s="377" t="s">
        <v>16</v>
      </c>
      <c r="Y667" s="377" t="s">
        <v>17</v>
      </c>
      <c r="Z667" s="377" t="s">
        <v>18</v>
      </c>
      <c r="AA667" s="377"/>
      <c r="AB667" s="460" t="s">
        <v>19</v>
      </c>
    </row>
    <row r="668" spans="1:28" s="457" customFormat="1" ht="18" customHeight="1" x14ac:dyDescent="0.2">
      <c r="A668" s="2687"/>
      <c r="B668" s="366" t="s">
        <v>23</v>
      </c>
      <c r="C668" s="2687"/>
      <c r="D668" s="366" t="s">
        <v>24</v>
      </c>
      <c r="E668" s="366" t="s">
        <v>25</v>
      </c>
      <c r="F668" s="2699"/>
      <c r="G668" s="2700"/>
      <c r="H668" s="2701"/>
      <c r="I668" s="366" t="s">
        <v>26</v>
      </c>
      <c r="J668" s="380" t="s">
        <v>15</v>
      </c>
      <c r="K668" s="380" t="s">
        <v>6</v>
      </c>
      <c r="L668" s="2680"/>
      <c r="M668" s="381" t="s">
        <v>27</v>
      </c>
      <c r="N668" s="381" t="s">
        <v>10</v>
      </c>
      <c r="O668" s="381" t="s">
        <v>10</v>
      </c>
      <c r="P668" s="385" t="s">
        <v>28</v>
      </c>
      <c r="Q668" s="461" t="s">
        <v>29</v>
      </c>
      <c r="R668" s="385" t="s">
        <v>15</v>
      </c>
      <c r="S668" s="385" t="s">
        <v>15</v>
      </c>
      <c r="T668" s="2684"/>
      <c r="U668" s="2685"/>
      <c r="V668" s="375" t="s">
        <v>30</v>
      </c>
      <c r="W668" s="376" t="s">
        <v>31</v>
      </c>
      <c r="X668" s="377" t="s">
        <v>30</v>
      </c>
      <c r="Y668" s="377" t="s">
        <v>32</v>
      </c>
      <c r="Z668" s="377" t="s">
        <v>7</v>
      </c>
      <c r="AA668" s="377" t="s">
        <v>33</v>
      </c>
      <c r="AB668" s="460" t="s">
        <v>34</v>
      </c>
    </row>
    <row r="669" spans="1:28" s="457" customFormat="1" ht="18" customHeight="1" x14ac:dyDescent="0.2">
      <c r="A669" s="2687"/>
      <c r="B669" s="366" t="s">
        <v>39</v>
      </c>
      <c r="C669" s="2687"/>
      <c r="D669" s="366" t="s">
        <v>40</v>
      </c>
      <c r="E669" s="366" t="s">
        <v>41</v>
      </c>
      <c r="F669" s="2686" t="s">
        <v>42</v>
      </c>
      <c r="G669" s="2686" t="s">
        <v>43</v>
      </c>
      <c r="H669" s="2688" t="s">
        <v>44</v>
      </c>
      <c r="I669" s="366" t="s">
        <v>45</v>
      </c>
      <c r="J669" s="380" t="s">
        <v>46</v>
      </c>
      <c r="K669" s="380" t="s">
        <v>47</v>
      </c>
      <c r="L669" s="2680"/>
      <c r="M669" s="381" t="s">
        <v>30</v>
      </c>
      <c r="N669" s="381" t="s">
        <v>30</v>
      </c>
      <c r="O669" s="381" t="s">
        <v>25</v>
      </c>
      <c r="P669" s="385" t="s">
        <v>30</v>
      </c>
      <c r="Q669" s="461" t="s">
        <v>48</v>
      </c>
      <c r="R669" s="385" t="s">
        <v>49</v>
      </c>
      <c r="S669" s="385" t="s">
        <v>30</v>
      </c>
      <c r="T669" s="374" t="s">
        <v>50</v>
      </c>
      <c r="U669" s="374" t="s">
        <v>13</v>
      </c>
      <c r="V669" s="375" t="s">
        <v>51</v>
      </c>
      <c r="W669" s="376" t="s">
        <v>52</v>
      </c>
      <c r="X669" s="377" t="s">
        <v>53</v>
      </c>
      <c r="Y669" s="377" t="s">
        <v>54</v>
      </c>
      <c r="Z669" s="377" t="s">
        <v>55</v>
      </c>
      <c r="AA669" s="377" t="s">
        <v>56</v>
      </c>
      <c r="AB669" s="460" t="s">
        <v>57</v>
      </c>
    </row>
    <row r="670" spans="1:28" s="457" customFormat="1" ht="18" customHeight="1" x14ac:dyDescent="0.2">
      <c r="A670" s="2687"/>
      <c r="B670" s="366" t="s">
        <v>61</v>
      </c>
      <c r="C670" s="2687"/>
      <c r="D670" s="366" t="s">
        <v>62</v>
      </c>
      <c r="E670" s="366" t="s">
        <v>63</v>
      </c>
      <c r="F670" s="2687"/>
      <c r="G670" s="2687"/>
      <c r="H670" s="2689"/>
      <c r="I670" s="366" t="s">
        <v>64</v>
      </c>
      <c r="J670" s="380" t="s">
        <v>59</v>
      </c>
      <c r="K670" s="380" t="s">
        <v>59</v>
      </c>
      <c r="L670" s="2680"/>
      <c r="M670" s="381"/>
      <c r="N670" s="381"/>
      <c r="O670" s="381" t="s">
        <v>41</v>
      </c>
      <c r="P670" s="385" t="s">
        <v>65</v>
      </c>
      <c r="Q670" s="461" t="s">
        <v>66</v>
      </c>
      <c r="R670" s="385" t="s">
        <v>67</v>
      </c>
      <c r="S670" s="385" t="s">
        <v>59</v>
      </c>
      <c r="T670" s="375" t="s">
        <v>68</v>
      </c>
      <c r="U670" s="375" t="s">
        <v>14</v>
      </c>
      <c r="V670" s="375" t="s">
        <v>14</v>
      </c>
      <c r="W670" s="376" t="s">
        <v>30</v>
      </c>
      <c r="X670" s="388" t="s">
        <v>69</v>
      </c>
      <c r="Y670" s="388" t="s">
        <v>70</v>
      </c>
      <c r="Z670" s="377" t="s">
        <v>71</v>
      </c>
      <c r="AA670" s="377" t="s">
        <v>72</v>
      </c>
      <c r="AB670" s="460" t="s">
        <v>59</v>
      </c>
    </row>
    <row r="671" spans="1:28" s="457" customFormat="1" ht="18" customHeight="1" x14ac:dyDescent="0.2">
      <c r="A671" s="2692"/>
      <c r="B671" s="390"/>
      <c r="C671" s="2692"/>
      <c r="D671" s="390"/>
      <c r="E671" s="389"/>
      <c r="F671" s="390"/>
      <c r="G671" s="390"/>
      <c r="H671" s="391"/>
      <c r="I671" s="389"/>
      <c r="J671" s="393"/>
      <c r="K671" s="393"/>
      <c r="L671" s="2681"/>
      <c r="M671" s="394"/>
      <c r="N671" s="394"/>
      <c r="O671" s="394" t="s">
        <v>63</v>
      </c>
      <c r="P671" s="394"/>
      <c r="Q671" s="450" t="s">
        <v>72</v>
      </c>
      <c r="R671" s="398" t="s">
        <v>59</v>
      </c>
      <c r="S671" s="398"/>
      <c r="T671" s="398" t="s">
        <v>73</v>
      </c>
      <c r="U671" s="398" t="s">
        <v>59</v>
      </c>
      <c r="V671" s="399" t="s">
        <v>59</v>
      </c>
      <c r="W671" s="400" t="s">
        <v>59</v>
      </c>
      <c r="X671" s="401" t="s">
        <v>59</v>
      </c>
      <c r="Y671" s="401" t="s">
        <v>59</v>
      </c>
      <c r="Z671" s="401" t="s">
        <v>59</v>
      </c>
      <c r="AA671" s="402"/>
      <c r="AB671" s="462"/>
    </row>
    <row r="672" spans="1:28" s="597" customFormat="1" ht="18" customHeight="1" x14ac:dyDescent="0.2">
      <c r="A672" s="240">
        <v>1</v>
      </c>
      <c r="B672" s="240">
        <v>2682</v>
      </c>
      <c r="C672" s="939" t="s">
        <v>179</v>
      </c>
      <c r="D672" s="82" t="s">
        <v>86</v>
      </c>
      <c r="E672" s="95">
        <v>1</v>
      </c>
      <c r="F672" s="700">
        <v>10</v>
      </c>
      <c r="G672" s="240">
        <v>1</v>
      </c>
      <c r="H672" s="940">
        <v>4</v>
      </c>
      <c r="I672" s="70">
        <f>F672*400+G672*100+H672</f>
        <v>4104</v>
      </c>
      <c r="J672" s="123">
        <v>300</v>
      </c>
      <c r="K672" s="124">
        <f>SUM(I672*J672)</f>
        <v>1231200</v>
      </c>
      <c r="L672" s="53"/>
      <c r="M672" s="82"/>
      <c r="N672" s="82"/>
      <c r="O672" s="53"/>
      <c r="P672" s="358"/>
      <c r="Q672" s="197"/>
      <c r="R672" s="444"/>
      <c r="S672" s="70"/>
      <c r="T672" s="82"/>
      <c r="U672" s="70"/>
      <c r="V672" s="70"/>
      <c r="W672" s="70">
        <f>K672+V672</f>
        <v>1231200</v>
      </c>
      <c r="X672" s="70">
        <f>W672</f>
        <v>1231200</v>
      </c>
      <c r="Y672" s="70" t="s">
        <v>87</v>
      </c>
      <c r="Z672" s="70">
        <v>0</v>
      </c>
      <c r="AA672" s="464">
        <v>0.01</v>
      </c>
      <c r="AB672" s="941">
        <f>+Z672*AA672/100</f>
        <v>0</v>
      </c>
    </row>
    <row r="673" spans="1:28" s="597" customFormat="1" ht="18" customHeight="1" x14ac:dyDescent="0.2">
      <c r="A673" s="61">
        <v>2</v>
      </c>
      <c r="B673" s="102">
        <v>32028</v>
      </c>
      <c r="C673" s="145">
        <v>1206</v>
      </c>
      <c r="D673" s="145" t="s">
        <v>86</v>
      </c>
      <c r="E673" s="145">
        <v>2</v>
      </c>
      <c r="F673" s="145">
        <v>0</v>
      </c>
      <c r="G673" s="145">
        <v>3</v>
      </c>
      <c r="H673" s="407">
        <v>95</v>
      </c>
      <c r="I673" s="77">
        <f>F673*400+G673*100+H673</f>
        <v>395</v>
      </c>
      <c r="J673" s="107">
        <v>2000</v>
      </c>
      <c r="K673" s="78">
        <f>SUM(I673*J673)</f>
        <v>790000</v>
      </c>
      <c r="L673" s="61">
        <v>1</v>
      </c>
      <c r="M673" s="231">
        <v>106</v>
      </c>
      <c r="N673" s="145" t="s">
        <v>96</v>
      </c>
      <c r="O673" s="61">
        <v>2</v>
      </c>
      <c r="P673" s="177">
        <v>184.56</v>
      </c>
      <c r="Q673" s="196" t="s">
        <v>75</v>
      </c>
      <c r="R673" s="408">
        <v>7950</v>
      </c>
      <c r="S673" s="77">
        <f>+P673*R673</f>
        <v>1467252</v>
      </c>
      <c r="T673" s="146">
        <v>32</v>
      </c>
      <c r="U673" s="127">
        <f>+S673*85/100</f>
        <v>1247164.2</v>
      </c>
      <c r="V673" s="77">
        <f>+S673-U673</f>
        <v>220087.80000000005</v>
      </c>
      <c r="W673" s="77">
        <f>K673+V673</f>
        <v>1010087.8</v>
      </c>
      <c r="X673" s="77">
        <f>W673</f>
        <v>1010087.8</v>
      </c>
      <c r="Y673" s="107" t="s">
        <v>87</v>
      </c>
      <c r="Z673" s="77">
        <v>0</v>
      </c>
      <c r="AA673" s="409">
        <v>0.02</v>
      </c>
      <c r="AB673" s="466">
        <f>+Z673*AA673/100</f>
        <v>0</v>
      </c>
    </row>
    <row r="674" spans="1:28" s="597" customFormat="1" ht="18" customHeight="1" x14ac:dyDescent="0.2">
      <c r="A674" s="242">
        <v>3</v>
      </c>
      <c r="B674" s="242">
        <v>2239</v>
      </c>
      <c r="C674" s="498" t="s">
        <v>180</v>
      </c>
      <c r="D674" s="88" t="s">
        <v>86</v>
      </c>
      <c r="E674" s="85">
        <v>4</v>
      </c>
      <c r="F674" s="411">
        <v>0</v>
      </c>
      <c r="G674" s="242">
        <v>2</v>
      </c>
      <c r="H674" s="497">
        <v>88</v>
      </c>
      <c r="I674" s="77">
        <f>F674*400+G674*100+H674</f>
        <v>288</v>
      </c>
      <c r="J674" s="107">
        <v>2300</v>
      </c>
      <c r="K674" s="78">
        <f>SUM(I674*J674)</f>
        <v>662400</v>
      </c>
      <c r="L674" s="75"/>
      <c r="M674" s="145"/>
      <c r="N674" s="145"/>
      <c r="O674" s="61"/>
      <c r="P674" s="177"/>
      <c r="Q674" s="196"/>
      <c r="R674" s="408"/>
      <c r="S674" s="77"/>
      <c r="T674" s="145"/>
      <c r="U674" s="77"/>
      <c r="V674" s="77"/>
      <c r="W674" s="77">
        <f>K674+V674</f>
        <v>662400</v>
      </c>
      <c r="X674" s="77">
        <f>W674</f>
        <v>662400</v>
      </c>
      <c r="Y674" s="77"/>
      <c r="Z674" s="77">
        <f>+X674</f>
        <v>662400</v>
      </c>
      <c r="AA674" s="409">
        <v>0.6</v>
      </c>
      <c r="AB674" s="466">
        <f>+Z674*AA674/100</f>
        <v>3974.4</v>
      </c>
    </row>
    <row r="675" spans="1:28" s="457" customFormat="1" ht="18" customHeight="1" x14ac:dyDescent="0.2">
      <c r="A675" s="61"/>
      <c r="B675" s="145"/>
      <c r="C675" s="145"/>
      <c r="D675" s="145"/>
      <c r="E675" s="145"/>
      <c r="F675" s="145"/>
      <c r="G675" s="145"/>
      <c r="H675" s="407"/>
      <c r="I675" s="77"/>
      <c r="J675" s="107"/>
      <c r="K675" s="78"/>
      <c r="L675" s="61"/>
      <c r="M675" s="145"/>
      <c r="N675" s="145"/>
      <c r="O675" s="61"/>
      <c r="P675" s="177"/>
      <c r="Q675" s="196"/>
      <c r="R675" s="408"/>
      <c r="S675" s="77"/>
      <c r="T675" s="145"/>
      <c r="U675" s="107"/>
      <c r="V675" s="77"/>
      <c r="W675" s="77"/>
      <c r="X675" s="77"/>
      <c r="Y675" s="107"/>
      <c r="Z675" s="107"/>
      <c r="AA675" s="468"/>
      <c r="AB675" s="410"/>
    </row>
    <row r="676" spans="1:28" s="457" customFormat="1" ht="18" customHeight="1" x14ac:dyDescent="0.2">
      <c r="A676" s="242"/>
      <c r="B676" s="241"/>
      <c r="C676" s="498"/>
      <c r="D676" s="88"/>
      <c r="E676" s="85"/>
      <c r="F676" s="499"/>
      <c r="G676" s="241"/>
      <c r="H676" s="500"/>
      <c r="I676" s="77"/>
      <c r="J676" s="107"/>
      <c r="K676" s="78"/>
      <c r="L676" s="61"/>
      <c r="M676" s="145"/>
      <c r="N676" s="145"/>
      <c r="O676" s="61"/>
      <c r="P676" s="177"/>
      <c r="Q676" s="196"/>
      <c r="R676" s="440"/>
      <c r="S676" s="190"/>
      <c r="T676" s="88"/>
      <c r="U676" s="77"/>
      <c r="V676" s="74"/>
      <c r="W676" s="74"/>
      <c r="X676" s="74"/>
      <c r="Y676" s="121"/>
      <c r="Z676" s="121"/>
      <c r="AA676" s="469"/>
      <c r="AB676" s="466"/>
    </row>
    <row r="677" spans="1:28" s="457" customFormat="1" ht="18" customHeight="1" x14ac:dyDescent="0.2">
      <c r="A677" s="145"/>
      <c r="B677" s="177"/>
      <c r="C677" s="177"/>
      <c r="D677" s="145"/>
      <c r="E677" s="145"/>
      <c r="F677" s="145"/>
      <c r="G677" s="145"/>
      <c r="H677" s="147"/>
      <c r="I677" s="107"/>
      <c r="J677" s="178"/>
      <c r="K677" s="107"/>
      <c r="L677" s="145"/>
      <c r="M677" s="145"/>
      <c r="N677" s="145"/>
      <c r="O677" s="145"/>
      <c r="P677" s="147"/>
      <c r="Q677" s="148"/>
      <c r="R677" s="437"/>
      <c r="S677" s="107"/>
      <c r="T677" s="179"/>
      <c r="U677" s="178"/>
      <c r="V677" s="107"/>
      <c r="W677" s="107"/>
      <c r="X677" s="470"/>
      <c r="Y677" s="470"/>
      <c r="Z677" s="471"/>
      <c r="AA677" s="471"/>
      <c r="AB677" s="466"/>
    </row>
    <row r="678" spans="1:28" s="457" customFormat="1" ht="18" customHeight="1" x14ac:dyDescent="0.2">
      <c r="A678" s="145"/>
      <c r="B678" s="177"/>
      <c r="C678" s="177"/>
      <c r="D678" s="145"/>
      <c r="E678" s="145"/>
      <c r="F678" s="145"/>
      <c r="G678" s="145"/>
      <c r="H678" s="147"/>
      <c r="I678" s="107"/>
      <c r="J678" s="178"/>
      <c r="K678" s="107"/>
      <c r="L678" s="145"/>
      <c r="M678" s="145"/>
      <c r="N678" s="145"/>
      <c r="O678" s="145"/>
      <c r="P678" s="147"/>
      <c r="Q678" s="148"/>
      <c r="R678" s="437"/>
      <c r="S678" s="107"/>
      <c r="T678" s="179"/>
      <c r="U678" s="178"/>
      <c r="V678" s="107"/>
      <c r="W678" s="107"/>
      <c r="X678" s="470"/>
      <c r="Y678" s="470"/>
      <c r="Z678" s="471"/>
      <c r="AA678" s="471"/>
      <c r="AB678" s="466"/>
    </row>
    <row r="679" spans="1:28" s="457" customFormat="1" ht="18" customHeight="1" x14ac:dyDescent="0.2">
      <c r="A679" s="145"/>
      <c r="B679" s="177"/>
      <c r="C679" s="177"/>
      <c r="D679" s="145"/>
      <c r="E679" s="145"/>
      <c r="F679" s="145"/>
      <c r="G679" s="145"/>
      <c r="H679" s="147"/>
      <c r="I679" s="107"/>
      <c r="J679" s="178"/>
      <c r="K679" s="107"/>
      <c r="L679" s="145"/>
      <c r="M679" s="145"/>
      <c r="N679" s="145"/>
      <c r="O679" s="145"/>
      <c r="P679" s="147"/>
      <c r="Q679" s="148"/>
      <c r="R679" s="437"/>
      <c r="S679" s="107"/>
      <c r="T679" s="179"/>
      <c r="U679" s="178"/>
      <c r="V679" s="107"/>
      <c r="W679" s="107"/>
      <c r="X679" s="470"/>
      <c r="Y679" s="470"/>
      <c r="Z679" s="471"/>
      <c r="AA679" s="471"/>
      <c r="AB679" s="466"/>
    </row>
    <row r="680" spans="1:28" s="457" customFormat="1" ht="18" customHeight="1" x14ac:dyDescent="0.2">
      <c r="A680" s="145"/>
      <c r="B680" s="177"/>
      <c r="C680" s="177"/>
      <c r="D680" s="145"/>
      <c r="E680" s="145"/>
      <c r="F680" s="145"/>
      <c r="G680" s="145"/>
      <c r="H680" s="147"/>
      <c r="I680" s="107"/>
      <c r="J680" s="178"/>
      <c r="K680" s="107"/>
      <c r="L680" s="145"/>
      <c r="M680" s="145"/>
      <c r="N680" s="145"/>
      <c r="O680" s="145"/>
      <c r="P680" s="147"/>
      <c r="Q680" s="148"/>
      <c r="R680" s="437"/>
      <c r="S680" s="107"/>
      <c r="T680" s="179"/>
      <c r="U680" s="178"/>
      <c r="V680" s="107"/>
      <c r="W680" s="107"/>
      <c r="X680" s="470"/>
      <c r="Y680" s="470"/>
      <c r="Z680" s="471"/>
      <c r="AA680" s="471"/>
      <c r="AB680" s="466"/>
    </row>
    <row r="681" spans="1:28" s="457" customFormat="1" ht="18" customHeight="1" x14ac:dyDescent="0.2">
      <c r="A681" s="145"/>
      <c r="B681" s="177"/>
      <c r="C681" s="177"/>
      <c r="D681" s="145"/>
      <c r="E681" s="145"/>
      <c r="F681" s="145"/>
      <c r="G681" s="145"/>
      <c r="H681" s="147"/>
      <c r="I681" s="107"/>
      <c r="J681" s="178"/>
      <c r="K681" s="107"/>
      <c r="L681" s="145"/>
      <c r="M681" s="145"/>
      <c r="N681" s="145"/>
      <c r="O681" s="145"/>
      <c r="P681" s="147"/>
      <c r="Q681" s="148"/>
      <c r="R681" s="437"/>
      <c r="S681" s="107"/>
      <c r="T681" s="179"/>
      <c r="U681" s="178"/>
      <c r="V681" s="107"/>
      <c r="W681" s="107"/>
      <c r="X681" s="470"/>
      <c r="Y681" s="470"/>
      <c r="Z681" s="471"/>
      <c r="AA681" s="471"/>
      <c r="AB681" s="466"/>
    </row>
    <row r="682" spans="1:28" s="457" customFormat="1" ht="18" customHeight="1" x14ac:dyDescent="0.2">
      <c r="A682" s="145"/>
      <c r="B682" s="177"/>
      <c r="C682" s="177"/>
      <c r="D682" s="145"/>
      <c r="E682" s="145"/>
      <c r="F682" s="145"/>
      <c r="G682" s="145"/>
      <c r="H682" s="147"/>
      <c r="I682" s="107"/>
      <c r="J682" s="178"/>
      <c r="K682" s="107"/>
      <c r="L682" s="145"/>
      <c r="M682" s="145"/>
      <c r="N682" s="145"/>
      <c r="O682" s="145"/>
      <c r="P682" s="147"/>
      <c r="Q682" s="148"/>
      <c r="R682" s="437"/>
      <c r="S682" s="107"/>
      <c r="T682" s="179"/>
      <c r="U682" s="178"/>
      <c r="V682" s="107"/>
      <c r="W682" s="107"/>
      <c r="X682" s="470"/>
      <c r="Y682" s="470"/>
      <c r="Z682" s="471"/>
      <c r="AA682" s="471"/>
      <c r="AB682" s="466"/>
    </row>
    <row r="683" spans="1:28" s="457" customFormat="1" ht="18" customHeight="1" x14ac:dyDescent="0.2">
      <c r="A683" s="145"/>
      <c r="B683" s="177"/>
      <c r="C683" s="177"/>
      <c r="D683" s="145"/>
      <c r="E683" s="145"/>
      <c r="F683" s="145"/>
      <c r="G683" s="145"/>
      <c r="H683" s="147"/>
      <c r="I683" s="107"/>
      <c r="J683" s="178"/>
      <c r="K683" s="107"/>
      <c r="L683" s="145"/>
      <c r="M683" s="145"/>
      <c r="N683" s="145"/>
      <c r="O683" s="145"/>
      <c r="P683" s="147"/>
      <c r="Q683" s="148"/>
      <c r="R683" s="437"/>
      <c r="S683" s="107"/>
      <c r="T683" s="179"/>
      <c r="U683" s="178"/>
      <c r="V683" s="107"/>
      <c r="W683" s="107"/>
      <c r="X683" s="470"/>
      <c r="Y683" s="470"/>
      <c r="Z683" s="471"/>
      <c r="AA683" s="471"/>
      <c r="AB683" s="466"/>
    </row>
    <row r="684" spans="1:28" s="457" customFormat="1" ht="18" customHeight="1" x14ac:dyDescent="0.2">
      <c r="A684" s="145"/>
      <c r="B684" s="177"/>
      <c r="C684" s="177"/>
      <c r="D684" s="145"/>
      <c r="E684" s="145"/>
      <c r="F684" s="145"/>
      <c r="G684" s="145"/>
      <c r="H684" s="147"/>
      <c r="I684" s="107"/>
      <c r="J684" s="178"/>
      <c r="K684" s="107"/>
      <c r="L684" s="145"/>
      <c r="M684" s="145"/>
      <c r="N684" s="145"/>
      <c r="O684" s="145"/>
      <c r="P684" s="147"/>
      <c r="Q684" s="148"/>
      <c r="R684" s="437"/>
      <c r="S684" s="107"/>
      <c r="T684" s="179"/>
      <c r="U684" s="178"/>
      <c r="V684" s="107"/>
      <c r="W684" s="107"/>
      <c r="X684" s="470"/>
      <c r="Y684" s="470"/>
      <c r="Z684" s="471"/>
      <c r="AA684" s="471"/>
      <c r="AB684" s="466"/>
    </row>
    <row r="685" spans="1:28" s="457" customFormat="1" ht="18" customHeight="1" x14ac:dyDescent="0.2">
      <c r="A685" s="145"/>
      <c r="B685" s="177"/>
      <c r="C685" s="177"/>
      <c r="D685" s="145"/>
      <c r="E685" s="145"/>
      <c r="F685" s="145"/>
      <c r="G685" s="145"/>
      <c r="H685" s="147"/>
      <c r="I685" s="107"/>
      <c r="J685" s="178"/>
      <c r="K685" s="107"/>
      <c r="L685" s="145"/>
      <c r="M685" s="145"/>
      <c r="N685" s="145"/>
      <c r="O685" s="145"/>
      <c r="P685" s="147"/>
      <c r="Q685" s="148"/>
      <c r="R685" s="437"/>
      <c r="S685" s="107"/>
      <c r="T685" s="179"/>
      <c r="U685" s="178"/>
      <c r="V685" s="107"/>
      <c r="W685" s="107"/>
      <c r="X685" s="470"/>
      <c r="Y685" s="470"/>
      <c r="Z685" s="471"/>
      <c r="AA685" s="471"/>
      <c r="AB685" s="466"/>
    </row>
    <row r="686" spans="1:28" s="457" customFormat="1" ht="18" customHeight="1" x14ac:dyDescent="0.2">
      <c r="A686" s="145"/>
      <c r="B686" s="177"/>
      <c r="C686" s="177"/>
      <c r="D686" s="145"/>
      <c r="E686" s="145"/>
      <c r="F686" s="145"/>
      <c r="G686" s="145"/>
      <c r="H686" s="147"/>
      <c r="I686" s="107"/>
      <c r="J686" s="178"/>
      <c r="K686" s="107"/>
      <c r="L686" s="145"/>
      <c r="M686" s="145"/>
      <c r="N686" s="145"/>
      <c r="O686" s="145"/>
      <c r="P686" s="147"/>
      <c r="Q686" s="148"/>
      <c r="R686" s="437"/>
      <c r="S686" s="107"/>
      <c r="T686" s="179"/>
      <c r="U686" s="178"/>
      <c r="V686" s="107"/>
      <c r="W686" s="107"/>
      <c r="X686" s="470"/>
      <c r="Y686" s="470"/>
      <c r="Z686" s="471"/>
      <c r="AA686" s="471"/>
      <c r="AB686" s="466"/>
    </row>
    <row r="687" spans="1:28" s="457" customFormat="1" ht="18" customHeight="1" x14ac:dyDescent="0.2">
      <c r="A687" s="183"/>
      <c r="B687" s="183"/>
      <c r="C687" s="183"/>
      <c r="D687" s="183"/>
      <c r="E687" s="183"/>
      <c r="F687" s="183"/>
      <c r="G687" s="183"/>
      <c r="H687" s="184"/>
      <c r="I687" s="185"/>
      <c r="J687" s="186"/>
      <c r="K687" s="185"/>
      <c r="L687" s="185"/>
      <c r="M687" s="185"/>
      <c r="N687" s="185"/>
      <c r="O687" s="185"/>
      <c r="P687" s="185"/>
      <c r="Q687" s="185"/>
      <c r="R687" s="438"/>
      <c r="S687" s="185"/>
      <c r="T687" s="187"/>
      <c r="U687" s="186"/>
      <c r="V687" s="185"/>
      <c r="W687" s="185"/>
      <c r="X687" s="474"/>
      <c r="Y687" s="474"/>
      <c r="Z687" s="475"/>
      <c r="AA687" s="475"/>
      <c r="AB687" s="1847">
        <f>SUM(AB672:AB686)</f>
        <v>3974.4</v>
      </c>
    </row>
    <row r="688" spans="1:28" s="457" customFormat="1" ht="18" customHeight="1" x14ac:dyDescent="0.2">
      <c r="A688" s="2737" t="s">
        <v>76</v>
      </c>
      <c r="B688" s="2737"/>
      <c r="C688" s="2738" t="s">
        <v>77</v>
      </c>
      <c r="D688" s="2738"/>
      <c r="E688" s="2738"/>
      <c r="F688" s="2738"/>
      <c r="G688" s="2738"/>
      <c r="H688" s="2738"/>
      <c r="I688" s="457" t="s">
        <v>78</v>
      </c>
      <c r="AB688" s="478"/>
    </row>
    <row r="689" spans="1:28" s="457" customFormat="1" ht="18" customHeight="1" x14ac:dyDescent="0.2">
      <c r="B689" s="479"/>
      <c r="I689" s="457" t="s">
        <v>79</v>
      </c>
      <c r="AB689" s="478"/>
    </row>
    <row r="690" spans="1:28" s="457" customFormat="1" ht="18" customHeight="1" x14ac:dyDescent="0.2">
      <c r="B690" s="479"/>
      <c r="I690" s="457" t="s">
        <v>80</v>
      </c>
      <c r="AB690" s="478"/>
    </row>
    <row r="691" spans="1:28" s="457" customFormat="1" ht="18" customHeight="1" x14ac:dyDescent="0.2">
      <c r="B691" s="479"/>
      <c r="I691" s="457" t="s">
        <v>81</v>
      </c>
      <c r="AB691" s="478"/>
    </row>
    <row r="692" spans="1:28" s="457" customFormat="1" ht="18" customHeight="1" x14ac:dyDescent="0.2">
      <c r="B692" s="479"/>
      <c r="I692" s="457" t="s">
        <v>88</v>
      </c>
      <c r="AB692" s="478"/>
    </row>
    <row r="693" spans="1:28" s="457" customFormat="1" ht="18" customHeight="1" x14ac:dyDescent="0.2">
      <c r="A693" s="455"/>
      <c r="B693" s="455"/>
      <c r="C693" s="455"/>
      <c r="D693" s="455"/>
      <c r="E693" s="455"/>
      <c r="F693" s="455"/>
      <c r="G693" s="455"/>
      <c r="H693" s="455"/>
      <c r="I693" s="455"/>
      <c r="J693" s="455"/>
      <c r="K693" s="455"/>
      <c r="L693" s="455"/>
      <c r="M693" s="455"/>
      <c r="N693" s="455"/>
      <c r="O693" s="455"/>
      <c r="P693" s="455"/>
      <c r="Q693" s="455"/>
      <c r="R693" s="455"/>
      <c r="S693" s="455"/>
      <c r="T693" s="455"/>
      <c r="U693" s="455"/>
      <c r="V693" s="455"/>
      <c r="W693" s="455"/>
      <c r="X693" s="455"/>
      <c r="Y693" s="455"/>
      <c r="Z693" s="455"/>
      <c r="AA693" s="2705" t="s">
        <v>0</v>
      </c>
      <c r="AB693" s="2705"/>
    </row>
    <row r="694" spans="1:28" s="457" customFormat="1" ht="18" customHeight="1" x14ac:dyDescent="0.2">
      <c r="A694" s="2706" t="s">
        <v>1</v>
      </c>
      <c r="B694" s="2706"/>
      <c r="C694" s="2706"/>
      <c r="D694" s="2706"/>
      <c r="E694" s="2706"/>
      <c r="F694" s="2706"/>
      <c r="G694" s="2706"/>
      <c r="H694" s="2706"/>
      <c r="I694" s="2706"/>
      <c r="J694" s="2706"/>
      <c r="K694" s="2706"/>
      <c r="L694" s="2706"/>
      <c r="M694" s="2706"/>
      <c r="N694" s="2706"/>
      <c r="O694" s="2706"/>
      <c r="P694" s="2706"/>
      <c r="Q694" s="2706"/>
      <c r="R694" s="2706"/>
      <c r="S694" s="2706"/>
      <c r="T694" s="2706"/>
      <c r="U694" s="2706"/>
      <c r="V694" s="2706"/>
      <c r="W694" s="2706"/>
      <c r="X694" s="2706"/>
      <c r="Y694" s="2706"/>
      <c r="Z694" s="2706"/>
      <c r="AA694" s="2706"/>
      <c r="AB694" s="2706"/>
    </row>
    <row r="695" spans="1:28" s="457" customFormat="1" ht="18" customHeight="1" x14ac:dyDescent="0.2">
      <c r="A695" s="2704" t="s">
        <v>392</v>
      </c>
      <c r="B695" s="2704"/>
      <c r="C695" s="2704"/>
      <c r="D695" s="2704"/>
      <c r="E695" s="2704"/>
      <c r="F695" s="2704"/>
      <c r="G695" s="2704"/>
      <c r="H695" s="2704"/>
      <c r="I695" s="2704"/>
      <c r="J695" s="2704"/>
      <c r="K695" s="2704"/>
      <c r="L695" s="2704"/>
      <c r="M695" s="2704"/>
      <c r="N695" s="2704"/>
      <c r="O695" s="2704"/>
      <c r="P695" s="2704"/>
      <c r="Q695" s="2704"/>
      <c r="R695" s="2704"/>
      <c r="S695" s="2704"/>
      <c r="T695" s="2704"/>
      <c r="U695" s="2704"/>
      <c r="V695" s="2704"/>
      <c r="W695" s="2704"/>
      <c r="X695" s="2704"/>
      <c r="Y695" s="2704"/>
      <c r="Z695" s="2704"/>
      <c r="AA695" s="2704"/>
      <c r="AB695" s="2704"/>
    </row>
    <row r="696" spans="1:28" s="457" customFormat="1" ht="18" customHeight="1" x14ac:dyDescent="0.2">
      <c r="A696" s="2686" t="s">
        <v>2</v>
      </c>
      <c r="B696" s="360"/>
      <c r="C696" s="2686" t="s">
        <v>3</v>
      </c>
      <c r="D696" s="360"/>
      <c r="E696" s="360"/>
      <c r="F696" s="2693" t="s">
        <v>4</v>
      </c>
      <c r="G696" s="2693"/>
      <c r="H696" s="2693"/>
      <c r="I696" s="2694"/>
      <c r="J696" s="2694"/>
      <c r="K696" s="2695"/>
      <c r="L696" s="361"/>
      <c r="M696" s="2679" t="s">
        <v>5</v>
      </c>
      <c r="N696" s="2679"/>
      <c r="O696" s="2679"/>
      <c r="P696" s="2679"/>
      <c r="Q696" s="2696"/>
      <c r="R696" s="2696"/>
      <c r="S696" s="2696"/>
      <c r="T696" s="2696"/>
      <c r="U696" s="2696"/>
      <c r="V696" s="2697"/>
      <c r="W696" s="362" t="s">
        <v>6</v>
      </c>
      <c r="X696" s="363" t="s">
        <v>7</v>
      </c>
      <c r="Y696" s="364"/>
      <c r="Z696" s="364"/>
      <c r="AA696" s="363"/>
      <c r="AB696" s="458"/>
    </row>
    <row r="697" spans="1:28" s="457" customFormat="1" ht="18" customHeight="1" x14ac:dyDescent="0.2">
      <c r="A697" s="2687"/>
      <c r="B697" s="367"/>
      <c r="C697" s="2687"/>
      <c r="D697" s="366" t="s">
        <v>9</v>
      </c>
      <c r="E697" s="366" t="s">
        <v>10</v>
      </c>
      <c r="F697" s="2698" t="s">
        <v>11</v>
      </c>
      <c r="G697" s="2694"/>
      <c r="H697" s="2695"/>
      <c r="I697" s="360"/>
      <c r="J697" s="449" t="s">
        <v>12</v>
      </c>
      <c r="K697" s="360"/>
      <c r="L697" s="2679" t="s">
        <v>2</v>
      </c>
      <c r="M697" s="370"/>
      <c r="N697" s="370"/>
      <c r="O697" s="370"/>
      <c r="P697" s="371"/>
      <c r="Q697" s="459" t="s">
        <v>13</v>
      </c>
      <c r="R697" s="370" t="s">
        <v>12</v>
      </c>
      <c r="S697" s="370" t="s">
        <v>6</v>
      </c>
      <c r="T697" s="2682" t="s">
        <v>14</v>
      </c>
      <c r="U697" s="2683"/>
      <c r="V697" s="375" t="s">
        <v>7</v>
      </c>
      <c r="W697" s="376" t="s">
        <v>15</v>
      </c>
      <c r="X697" s="377" t="s">
        <v>16</v>
      </c>
      <c r="Y697" s="377" t="s">
        <v>17</v>
      </c>
      <c r="Z697" s="377" t="s">
        <v>18</v>
      </c>
      <c r="AA697" s="377"/>
      <c r="AB697" s="460" t="s">
        <v>19</v>
      </c>
    </row>
    <row r="698" spans="1:28" s="457" customFormat="1" ht="18" customHeight="1" x14ac:dyDescent="0.2">
      <c r="A698" s="2687"/>
      <c r="B698" s="366" t="s">
        <v>23</v>
      </c>
      <c r="C698" s="2687"/>
      <c r="D698" s="366" t="s">
        <v>24</v>
      </c>
      <c r="E698" s="366" t="s">
        <v>25</v>
      </c>
      <c r="F698" s="2699"/>
      <c r="G698" s="2700"/>
      <c r="H698" s="2701"/>
      <c r="I698" s="366" t="s">
        <v>26</v>
      </c>
      <c r="J698" s="380" t="s">
        <v>15</v>
      </c>
      <c r="K698" s="380" t="s">
        <v>6</v>
      </c>
      <c r="L698" s="2680"/>
      <c r="M698" s="381" t="s">
        <v>27</v>
      </c>
      <c r="N698" s="381" t="s">
        <v>10</v>
      </c>
      <c r="O698" s="381" t="s">
        <v>10</v>
      </c>
      <c r="P698" s="385" t="s">
        <v>28</v>
      </c>
      <c r="Q698" s="461" t="s">
        <v>29</v>
      </c>
      <c r="R698" s="385" t="s">
        <v>15</v>
      </c>
      <c r="S698" s="385" t="s">
        <v>15</v>
      </c>
      <c r="T698" s="2684"/>
      <c r="U698" s="2685"/>
      <c r="V698" s="375" t="s">
        <v>30</v>
      </c>
      <c r="W698" s="376" t="s">
        <v>31</v>
      </c>
      <c r="X698" s="377" t="s">
        <v>30</v>
      </c>
      <c r="Y698" s="377" t="s">
        <v>32</v>
      </c>
      <c r="Z698" s="377" t="s">
        <v>7</v>
      </c>
      <c r="AA698" s="377" t="s">
        <v>33</v>
      </c>
      <c r="AB698" s="460" t="s">
        <v>34</v>
      </c>
    </row>
    <row r="699" spans="1:28" s="457" customFormat="1" ht="18" customHeight="1" x14ac:dyDescent="0.2">
      <c r="A699" s="2687"/>
      <c r="B699" s="366" t="s">
        <v>39</v>
      </c>
      <c r="C699" s="2687"/>
      <c r="D699" s="366" t="s">
        <v>40</v>
      </c>
      <c r="E699" s="366" t="s">
        <v>41</v>
      </c>
      <c r="F699" s="2686" t="s">
        <v>42</v>
      </c>
      <c r="G699" s="2686" t="s">
        <v>43</v>
      </c>
      <c r="H699" s="2688" t="s">
        <v>44</v>
      </c>
      <c r="I699" s="366" t="s">
        <v>45</v>
      </c>
      <c r="J699" s="380" t="s">
        <v>46</v>
      </c>
      <c r="K699" s="380" t="s">
        <v>47</v>
      </c>
      <c r="L699" s="2680"/>
      <c r="M699" s="381" t="s">
        <v>30</v>
      </c>
      <c r="N699" s="381" t="s">
        <v>30</v>
      </c>
      <c r="O699" s="381" t="s">
        <v>25</v>
      </c>
      <c r="P699" s="385" t="s">
        <v>30</v>
      </c>
      <c r="Q699" s="461" t="s">
        <v>48</v>
      </c>
      <c r="R699" s="385" t="s">
        <v>49</v>
      </c>
      <c r="S699" s="385" t="s">
        <v>30</v>
      </c>
      <c r="T699" s="374" t="s">
        <v>50</v>
      </c>
      <c r="U699" s="374" t="s">
        <v>13</v>
      </c>
      <c r="V699" s="375" t="s">
        <v>51</v>
      </c>
      <c r="W699" s="376" t="s">
        <v>52</v>
      </c>
      <c r="X699" s="377" t="s">
        <v>53</v>
      </c>
      <c r="Y699" s="377" t="s">
        <v>54</v>
      </c>
      <c r="Z699" s="377" t="s">
        <v>55</v>
      </c>
      <c r="AA699" s="377" t="s">
        <v>56</v>
      </c>
      <c r="AB699" s="460" t="s">
        <v>57</v>
      </c>
    </row>
    <row r="700" spans="1:28" s="457" customFormat="1" ht="18" customHeight="1" x14ac:dyDescent="0.2">
      <c r="A700" s="2687"/>
      <c r="B700" s="366" t="s">
        <v>61</v>
      </c>
      <c r="C700" s="2687"/>
      <c r="D700" s="366" t="s">
        <v>62</v>
      </c>
      <c r="E700" s="366" t="s">
        <v>63</v>
      </c>
      <c r="F700" s="2687"/>
      <c r="G700" s="2687"/>
      <c r="H700" s="2689"/>
      <c r="I700" s="366" t="s">
        <v>64</v>
      </c>
      <c r="J700" s="380" t="s">
        <v>59</v>
      </c>
      <c r="K700" s="380" t="s">
        <v>59</v>
      </c>
      <c r="L700" s="2680"/>
      <c r="M700" s="381"/>
      <c r="N700" s="381"/>
      <c r="O700" s="381" t="s">
        <v>41</v>
      </c>
      <c r="P700" s="385" t="s">
        <v>65</v>
      </c>
      <c r="Q700" s="461" t="s">
        <v>66</v>
      </c>
      <c r="R700" s="385" t="s">
        <v>67</v>
      </c>
      <c r="S700" s="385" t="s">
        <v>59</v>
      </c>
      <c r="T700" s="375" t="s">
        <v>68</v>
      </c>
      <c r="U700" s="375" t="s">
        <v>14</v>
      </c>
      <c r="V700" s="375" t="s">
        <v>14</v>
      </c>
      <c r="W700" s="376" t="s">
        <v>30</v>
      </c>
      <c r="X700" s="388" t="s">
        <v>69</v>
      </c>
      <c r="Y700" s="388" t="s">
        <v>70</v>
      </c>
      <c r="Z700" s="377" t="s">
        <v>71</v>
      </c>
      <c r="AA700" s="377" t="s">
        <v>72</v>
      </c>
      <c r="AB700" s="460" t="s">
        <v>59</v>
      </c>
    </row>
    <row r="701" spans="1:28" s="457" customFormat="1" ht="18" customHeight="1" x14ac:dyDescent="0.2">
      <c r="A701" s="2692"/>
      <c r="B701" s="390"/>
      <c r="C701" s="2692"/>
      <c r="D701" s="390"/>
      <c r="E701" s="389"/>
      <c r="F701" s="390"/>
      <c r="G701" s="390"/>
      <c r="H701" s="391"/>
      <c r="I701" s="389"/>
      <c r="J701" s="393"/>
      <c r="K701" s="393"/>
      <c r="L701" s="2681"/>
      <c r="M701" s="394"/>
      <c r="N701" s="394"/>
      <c r="O701" s="394" t="s">
        <v>63</v>
      </c>
      <c r="P701" s="394"/>
      <c r="Q701" s="450" t="s">
        <v>72</v>
      </c>
      <c r="R701" s="398" t="s">
        <v>59</v>
      </c>
      <c r="S701" s="398"/>
      <c r="T701" s="398" t="s">
        <v>73</v>
      </c>
      <c r="U701" s="398" t="s">
        <v>59</v>
      </c>
      <c r="V701" s="399" t="s">
        <v>59</v>
      </c>
      <c r="W701" s="400" t="s">
        <v>59</v>
      </c>
      <c r="X701" s="401" t="s">
        <v>59</v>
      </c>
      <c r="Y701" s="401" t="s">
        <v>59</v>
      </c>
      <c r="Z701" s="401" t="s">
        <v>59</v>
      </c>
      <c r="AA701" s="402"/>
      <c r="AB701" s="462"/>
    </row>
    <row r="702" spans="1:28" s="457" customFormat="1" ht="18" customHeight="1" x14ac:dyDescent="0.2">
      <c r="A702" s="53">
        <v>1</v>
      </c>
      <c r="B702" s="95">
        <v>37256</v>
      </c>
      <c r="C702" s="82">
        <v>1418</v>
      </c>
      <c r="D702" s="82" t="s">
        <v>86</v>
      </c>
      <c r="E702" s="82">
        <v>4</v>
      </c>
      <c r="F702" s="82">
        <v>0</v>
      </c>
      <c r="G702" s="82">
        <v>0</v>
      </c>
      <c r="H702" s="463">
        <v>90</v>
      </c>
      <c r="I702" s="70">
        <f>F702*400+G702*100+H702</f>
        <v>90</v>
      </c>
      <c r="J702" s="123">
        <v>1600</v>
      </c>
      <c r="K702" s="124">
        <f>SUM(I702*J702)</f>
        <v>144000</v>
      </c>
      <c r="L702" s="53"/>
      <c r="M702" s="82"/>
      <c r="N702" s="82"/>
      <c r="O702" s="53"/>
      <c r="P702" s="358"/>
      <c r="Q702" s="197"/>
      <c r="R702" s="444"/>
      <c r="S702" s="70"/>
      <c r="T702" s="82"/>
      <c r="U702" s="70"/>
      <c r="V702" s="70"/>
      <c r="W702" s="70">
        <f>K702+V702</f>
        <v>144000</v>
      </c>
      <c r="X702" s="70">
        <f>W702</f>
        <v>144000</v>
      </c>
      <c r="Y702" s="123">
        <v>0</v>
      </c>
      <c r="Z702" s="70">
        <f>+X702</f>
        <v>144000</v>
      </c>
      <c r="AA702" s="464">
        <v>0.6</v>
      </c>
      <c r="AB702" s="941">
        <f>+Z702*AA702/100</f>
        <v>864</v>
      </c>
    </row>
    <row r="703" spans="1:28" s="457" customFormat="1" ht="18" customHeight="1" x14ac:dyDescent="0.2">
      <c r="A703" s="242"/>
      <c r="B703" s="242"/>
      <c r="C703" s="496"/>
      <c r="D703" s="88"/>
      <c r="E703" s="85"/>
      <c r="F703" s="411"/>
      <c r="G703" s="242"/>
      <c r="H703" s="497"/>
      <c r="I703" s="77"/>
      <c r="J703" s="107"/>
      <c r="K703" s="78"/>
      <c r="L703" s="61"/>
      <c r="M703" s="145"/>
      <c r="N703" s="145"/>
      <c r="O703" s="61"/>
      <c r="P703" s="177"/>
      <c r="Q703" s="196"/>
      <c r="R703" s="408"/>
      <c r="S703" s="77"/>
      <c r="T703" s="145"/>
      <c r="U703" s="77"/>
      <c r="V703" s="77"/>
      <c r="W703" s="77"/>
      <c r="X703" s="77"/>
      <c r="Y703" s="121"/>
      <c r="Z703" s="77"/>
      <c r="AA703" s="409"/>
      <c r="AB703" s="466"/>
    </row>
    <row r="704" spans="1:28" s="457" customFormat="1" ht="18" customHeight="1" x14ac:dyDescent="0.2">
      <c r="A704" s="242"/>
      <c r="B704" s="242"/>
      <c r="C704" s="498"/>
      <c r="D704" s="88"/>
      <c r="E704" s="85"/>
      <c r="F704" s="411"/>
      <c r="G704" s="242"/>
      <c r="H704" s="497"/>
      <c r="I704" s="77"/>
      <c r="J704" s="107"/>
      <c r="K704" s="78"/>
      <c r="L704" s="75"/>
      <c r="M704" s="145"/>
      <c r="N704" s="145"/>
      <c r="O704" s="61"/>
      <c r="P704" s="177"/>
      <c r="Q704" s="196"/>
      <c r="R704" s="408"/>
      <c r="S704" s="77"/>
      <c r="T704" s="145"/>
      <c r="U704" s="77"/>
      <c r="V704" s="77"/>
      <c r="W704" s="77"/>
      <c r="X704" s="77"/>
      <c r="Y704" s="77"/>
      <c r="Z704" s="77"/>
      <c r="AA704" s="409"/>
      <c r="AB704" s="466"/>
    </row>
    <row r="705" spans="1:28" s="457" customFormat="1" ht="18" customHeight="1" x14ac:dyDescent="0.2">
      <c r="A705" s="61"/>
      <c r="B705" s="145"/>
      <c r="C705" s="145"/>
      <c r="D705" s="145"/>
      <c r="E705" s="145"/>
      <c r="F705" s="145"/>
      <c r="G705" s="145"/>
      <c r="H705" s="407"/>
      <c r="I705" s="77"/>
      <c r="J705" s="107"/>
      <c r="K705" s="78"/>
      <c r="L705" s="61"/>
      <c r="M705" s="145"/>
      <c r="N705" s="145"/>
      <c r="O705" s="61"/>
      <c r="P705" s="177"/>
      <c r="Q705" s="196"/>
      <c r="R705" s="408"/>
      <c r="S705" s="77"/>
      <c r="T705" s="145"/>
      <c r="U705" s="107"/>
      <c r="V705" s="77"/>
      <c r="W705" s="77"/>
      <c r="X705" s="77"/>
      <c r="Y705" s="107"/>
      <c r="Z705" s="107"/>
      <c r="AA705" s="468"/>
      <c r="AB705" s="410"/>
    </row>
    <row r="706" spans="1:28" s="457" customFormat="1" ht="18" customHeight="1" x14ac:dyDescent="0.2">
      <c r="A706" s="242"/>
      <c r="B706" s="241"/>
      <c r="C706" s="498"/>
      <c r="D706" s="88"/>
      <c r="E706" s="85"/>
      <c r="F706" s="499"/>
      <c r="G706" s="241"/>
      <c r="H706" s="500"/>
      <c r="I706" s="77"/>
      <c r="J706" s="107"/>
      <c r="K706" s="78"/>
      <c r="L706" s="61"/>
      <c r="M706" s="145"/>
      <c r="N706" s="145"/>
      <c r="O706" s="61"/>
      <c r="P706" s="177"/>
      <c r="Q706" s="196"/>
      <c r="R706" s="440"/>
      <c r="S706" s="190"/>
      <c r="T706" s="88"/>
      <c r="U706" s="77"/>
      <c r="V706" s="74"/>
      <c r="W706" s="74"/>
      <c r="X706" s="74"/>
      <c r="Y706" s="121"/>
      <c r="Z706" s="121"/>
      <c r="AA706" s="469"/>
      <c r="AB706" s="466"/>
    </row>
    <row r="707" spans="1:28" s="457" customFormat="1" ht="18" customHeight="1" x14ac:dyDescent="0.2">
      <c r="A707" s="145"/>
      <c r="B707" s="177"/>
      <c r="C707" s="177"/>
      <c r="D707" s="145"/>
      <c r="E707" s="145"/>
      <c r="F707" s="145"/>
      <c r="G707" s="145"/>
      <c r="H707" s="147"/>
      <c r="I707" s="107"/>
      <c r="J707" s="178"/>
      <c r="K707" s="107"/>
      <c r="L707" s="145"/>
      <c r="M707" s="145"/>
      <c r="N707" s="145"/>
      <c r="O707" s="145"/>
      <c r="P707" s="147"/>
      <c r="Q707" s="148"/>
      <c r="R707" s="437"/>
      <c r="S707" s="107"/>
      <c r="T707" s="179"/>
      <c r="U707" s="178"/>
      <c r="V707" s="107"/>
      <c r="W707" s="107"/>
      <c r="X707" s="470"/>
      <c r="Y707" s="470"/>
      <c r="Z707" s="471"/>
      <c r="AA707" s="471"/>
      <c r="AB707" s="466"/>
    </row>
    <row r="708" spans="1:28" s="457" customFormat="1" ht="18" customHeight="1" x14ac:dyDescent="0.2">
      <c r="A708" s="145"/>
      <c r="B708" s="177"/>
      <c r="C708" s="177"/>
      <c r="D708" s="145"/>
      <c r="E708" s="145"/>
      <c r="F708" s="145"/>
      <c r="G708" s="145"/>
      <c r="H708" s="147"/>
      <c r="I708" s="107"/>
      <c r="J708" s="178"/>
      <c r="K708" s="107"/>
      <c r="L708" s="145"/>
      <c r="M708" s="145"/>
      <c r="N708" s="145"/>
      <c r="O708" s="145"/>
      <c r="P708" s="147"/>
      <c r="Q708" s="148"/>
      <c r="R708" s="437"/>
      <c r="S708" s="107"/>
      <c r="T708" s="179"/>
      <c r="U708" s="178"/>
      <c r="V708" s="107"/>
      <c r="W708" s="107"/>
      <c r="X708" s="470"/>
      <c r="Y708" s="470"/>
      <c r="Z708" s="471"/>
      <c r="AA708" s="471"/>
      <c r="AB708" s="466"/>
    </row>
    <row r="709" spans="1:28" s="457" customFormat="1" ht="18" customHeight="1" x14ac:dyDescent="0.2">
      <c r="A709" s="145"/>
      <c r="B709" s="177"/>
      <c r="C709" s="177"/>
      <c r="D709" s="145"/>
      <c r="E709" s="145"/>
      <c r="F709" s="145"/>
      <c r="G709" s="145"/>
      <c r="H709" s="147"/>
      <c r="I709" s="107"/>
      <c r="J709" s="178"/>
      <c r="K709" s="107"/>
      <c r="L709" s="145"/>
      <c r="M709" s="145"/>
      <c r="N709" s="145"/>
      <c r="O709" s="145"/>
      <c r="P709" s="147"/>
      <c r="Q709" s="148"/>
      <c r="R709" s="437"/>
      <c r="S709" s="107"/>
      <c r="T709" s="179"/>
      <c r="U709" s="178"/>
      <c r="V709" s="107"/>
      <c r="W709" s="107"/>
      <c r="X709" s="470"/>
      <c r="Y709" s="470"/>
      <c r="Z709" s="471"/>
      <c r="AA709" s="471"/>
      <c r="AB709" s="466"/>
    </row>
    <row r="710" spans="1:28" s="457" customFormat="1" ht="18" customHeight="1" x14ac:dyDescent="0.2">
      <c r="A710" s="145"/>
      <c r="B710" s="177"/>
      <c r="C710" s="177"/>
      <c r="D710" s="145"/>
      <c r="E710" s="145"/>
      <c r="F710" s="145"/>
      <c r="G710" s="145"/>
      <c r="H710" s="147"/>
      <c r="I710" s="107"/>
      <c r="J710" s="178"/>
      <c r="K710" s="107"/>
      <c r="L710" s="145"/>
      <c r="M710" s="145"/>
      <c r="N710" s="145"/>
      <c r="O710" s="145"/>
      <c r="P710" s="147"/>
      <c r="Q710" s="148"/>
      <c r="R710" s="437"/>
      <c r="S710" s="107"/>
      <c r="T710" s="179"/>
      <c r="U710" s="178"/>
      <c r="V710" s="107"/>
      <c r="W710" s="107"/>
      <c r="X710" s="470"/>
      <c r="Y710" s="470"/>
      <c r="Z710" s="471"/>
      <c r="AA710" s="471"/>
      <c r="AB710" s="466"/>
    </row>
    <row r="711" spans="1:28" s="457" customFormat="1" ht="18" customHeight="1" x14ac:dyDescent="0.2">
      <c r="A711" s="145"/>
      <c r="B711" s="177"/>
      <c r="C711" s="177"/>
      <c r="D711" s="145"/>
      <c r="E711" s="145"/>
      <c r="F711" s="145"/>
      <c r="G711" s="145"/>
      <c r="H711" s="147"/>
      <c r="I711" s="107"/>
      <c r="J711" s="178"/>
      <c r="K711" s="107"/>
      <c r="L711" s="145"/>
      <c r="M711" s="145"/>
      <c r="N711" s="145"/>
      <c r="O711" s="145"/>
      <c r="P711" s="147"/>
      <c r="Q711" s="148"/>
      <c r="R711" s="437"/>
      <c r="S711" s="107"/>
      <c r="T711" s="179"/>
      <c r="U711" s="178"/>
      <c r="V711" s="107"/>
      <c r="W711" s="107"/>
      <c r="X711" s="470"/>
      <c r="Y711" s="470"/>
      <c r="Z711" s="471"/>
      <c r="AA711" s="471"/>
      <c r="AB711" s="466"/>
    </row>
    <row r="712" spans="1:28" s="457" customFormat="1" ht="18" customHeight="1" x14ac:dyDescent="0.2">
      <c r="A712" s="145"/>
      <c r="B712" s="177"/>
      <c r="C712" s="177"/>
      <c r="D712" s="145"/>
      <c r="E712" s="145"/>
      <c r="F712" s="145"/>
      <c r="G712" s="145"/>
      <c r="H712" s="147"/>
      <c r="I712" s="107"/>
      <c r="J712" s="178"/>
      <c r="K712" s="107"/>
      <c r="L712" s="145"/>
      <c r="M712" s="145"/>
      <c r="N712" s="145"/>
      <c r="O712" s="145"/>
      <c r="P712" s="147"/>
      <c r="Q712" s="148"/>
      <c r="R712" s="437"/>
      <c r="S712" s="107"/>
      <c r="T712" s="179"/>
      <c r="U712" s="178"/>
      <c r="V712" s="107"/>
      <c r="W712" s="107"/>
      <c r="X712" s="470"/>
      <c r="Y712" s="470"/>
      <c r="Z712" s="471"/>
      <c r="AA712" s="471"/>
      <c r="AB712" s="466"/>
    </row>
    <row r="713" spans="1:28" s="457" customFormat="1" ht="18" customHeight="1" x14ac:dyDescent="0.2">
      <c r="A713" s="145"/>
      <c r="B713" s="177"/>
      <c r="C713" s="177"/>
      <c r="D713" s="145"/>
      <c r="E713" s="145"/>
      <c r="F713" s="145"/>
      <c r="G713" s="145"/>
      <c r="H713" s="147"/>
      <c r="I713" s="107"/>
      <c r="J713" s="178"/>
      <c r="K713" s="107"/>
      <c r="L713" s="145"/>
      <c r="M713" s="145"/>
      <c r="N713" s="145"/>
      <c r="O713" s="145"/>
      <c r="P713" s="147"/>
      <c r="Q713" s="148"/>
      <c r="R713" s="437"/>
      <c r="S713" s="107"/>
      <c r="T713" s="179"/>
      <c r="U713" s="178"/>
      <c r="V713" s="107"/>
      <c r="W713" s="107"/>
      <c r="X713" s="470"/>
      <c r="Y713" s="470"/>
      <c r="Z713" s="471"/>
      <c r="AA713" s="471"/>
      <c r="AB713" s="466"/>
    </row>
    <row r="714" spans="1:28" s="457" customFormat="1" ht="18" customHeight="1" x14ac:dyDescent="0.2">
      <c r="A714" s="145"/>
      <c r="B714" s="177"/>
      <c r="C714" s="177"/>
      <c r="D714" s="145"/>
      <c r="E714" s="145"/>
      <c r="F714" s="145"/>
      <c r="G714" s="145"/>
      <c r="H714" s="147"/>
      <c r="I714" s="107"/>
      <c r="J714" s="178"/>
      <c r="K714" s="107"/>
      <c r="L714" s="145"/>
      <c r="M714" s="145"/>
      <c r="N714" s="145"/>
      <c r="O714" s="145"/>
      <c r="P714" s="147"/>
      <c r="Q714" s="148"/>
      <c r="R714" s="437"/>
      <c r="S714" s="107"/>
      <c r="T714" s="179"/>
      <c r="U714" s="178"/>
      <c r="V714" s="107"/>
      <c r="W714" s="107"/>
      <c r="X714" s="470"/>
      <c r="Y714" s="470"/>
      <c r="Z714" s="471"/>
      <c r="AA714" s="471"/>
      <c r="AB714" s="466"/>
    </row>
    <row r="715" spans="1:28" s="457" customFormat="1" ht="18" customHeight="1" x14ac:dyDescent="0.2">
      <c r="A715" s="145"/>
      <c r="B715" s="177"/>
      <c r="C715" s="177"/>
      <c r="D715" s="145"/>
      <c r="E715" s="145"/>
      <c r="F715" s="145"/>
      <c r="G715" s="145"/>
      <c r="H715" s="147"/>
      <c r="I715" s="107"/>
      <c r="J715" s="178"/>
      <c r="K715" s="107"/>
      <c r="L715" s="145"/>
      <c r="M715" s="145"/>
      <c r="N715" s="145"/>
      <c r="O715" s="145"/>
      <c r="P715" s="147"/>
      <c r="Q715" s="148"/>
      <c r="R715" s="437"/>
      <c r="S715" s="107"/>
      <c r="T715" s="179"/>
      <c r="U715" s="178"/>
      <c r="V715" s="107"/>
      <c r="W715" s="107"/>
      <c r="X715" s="470"/>
      <c r="Y715" s="470"/>
      <c r="Z715" s="471"/>
      <c r="AA715" s="471"/>
      <c r="AB715" s="466"/>
    </row>
    <row r="716" spans="1:28" s="457" customFormat="1" ht="18" customHeight="1" x14ac:dyDescent="0.2">
      <c r="A716" s="145"/>
      <c r="B716" s="177"/>
      <c r="C716" s="177"/>
      <c r="D716" s="145"/>
      <c r="E716" s="145"/>
      <c r="F716" s="145"/>
      <c r="G716" s="145"/>
      <c r="H716" s="147"/>
      <c r="I716" s="107"/>
      <c r="J716" s="178"/>
      <c r="K716" s="107"/>
      <c r="L716" s="145"/>
      <c r="M716" s="145"/>
      <c r="N716" s="145"/>
      <c r="O716" s="145"/>
      <c r="P716" s="147"/>
      <c r="Q716" s="148"/>
      <c r="R716" s="437"/>
      <c r="S716" s="107"/>
      <c r="T716" s="179"/>
      <c r="U716" s="178"/>
      <c r="V716" s="107"/>
      <c r="W716" s="107"/>
      <c r="X716" s="470"/>
      <c r="Y716" s="470"/>
      <c r="Z716" s="471"/>
      <c r="AA716" s="471"/>
      <c r="AB716" s="466"/>
    </row>
    <row r="717" spans="1:28" s="457" customFormat="1" ht="18" customHeight="1" x14ac:dyDescent="0.2">
      <c r="A717" s="183"/>
      <c r="B717" s="183"/>
      <c r="C717" s="183"/>
      <c r="D717" s="183"/>
      <c r="E717" s="183"/>
      <c r="F717" s="183"/>
      <c r="G717" s="183"/>
      <c r="H717" s="184"/>
      <c r="I717" s="185"/>
      <c r="J717" s="186"/>
      <c r="K717" s="185"/>
      <c r="L717" s="185"/>
      <c r="M717" s="185"/>
      <c r="N717" s="185"/>
      <c r="O717" s="185"/>
      <c r="P717" s="185"/>
      <c r="Q717" s="185"/>
      <c r="R717" s="438"/>
      <c r="S717" s="185"/>
      <c r="T717" s="187"/>
      <c r="U717" s="186"/>
      <c r="V717" s="185"/>
      <c r="W717" s="185"/>
      <c r="X717" s="474"/>
      <c r="Y717" s="474"/>
      <c r="Z717" s="475"/>
      <c r="AA717" s="475"/>
      <c r="AB717" s="1847">
        <f>SUM(AB702:AB716)</f>
        <v>864</v>
      </c>
    </row>
    <row r="718" spans="1:28" s="457" customFormat="1" ht="18" customHeight="1" x14ac:dyDescent="0.2">
      <c r="A718" s="2737" t="s">
        <v>76</v>
      </c>
      <c r="B718" s="2737"/>
      <c r="C718" s="2738" t="s">
        <v>77</v>
      </c>
      <c r="D718" s="2738"/>
      <c r="E718" s="2738"/>
      <c r="F718" s="2738"/>
      <c r="G718" s="2738"/>
      <c r="H718" s="2738"/>
      <c r="I718" s="457" t="s">
        <v>78</v>
      </c>
      <c r="AB718" s="478"/>
    </row>
    <row r="719" spans="1:28" s="457" customFormat="1" ht="18" customHeight="1" x14ac:dyDescent="0.2">
      <c r="B719" s="479"/>
      <c r="I719" s="457" t="s">
        <v>79</v>
      </c>
      <c r="AB719" s="478"/>
    </row>
    <row r="720" spans="1:28" s="457" customFormat="1" ht="18" customHeight="1" x14ac:dyDescent="0.2">
      <c r="B720" s="479"/>
      <c r="I720" s="457" t="s">
        <v>80</v>
      </c>
      <c r="AB720" s="478"/>
    </row>
    <row r="721" spans="1:28" s="457" customFormat="1" ht="18" customHeight="1" x14ac:dyDescent="0.2">
      <c r="B721" s="479"/>
      <c r="I721" s="457" t="s">
        <v>81</v>
      </c>
      <c r="AB721" s="478"/>
    </row>
    <row r="722" spans="1:28" s="457" customFormat="1" ht="18" customHeight="1" x14ac:dyDescent="0.2">
      <c r="B722" s="479"/>
      <c r="I722" s="457" t="s">
        <v>88</v>
      </c>
      <c r="AB722" s="478"/>
    </row>
    <row r="723" spans="1:28" s="457" customFormat="1" ht="18" customHeight="1" x14ac:dyDescent="0.2">
      <c r="A723" s="610"/>
      <c r="B723" s="610"/>
      <c r="C723" s="610"/>
      <c r="D723" s="610"/>
      <c r="E723" s="610"/>
      <c r="F723" s="610"/>
      <c r="G723" s="610"/>
      <c r="H723" s="610"/>
      <c r="I723" s="610"/>
      <c r="J723" s="610"/>
      <c r="K723" s="610"/>
      <c r="L723" s="610"/>
      <c r="M723" s="610"/>
      <c r="N723" s="610"/>
      <c r="O723" s="610"/>
      <c r="P723" s="610"/>
      <c r="Q723" s="610"/>
      <c r="R723" s="610"/>
      <c r="S723" s="610"/>
      <c r="T723" s="610"/>
      <c r="U723" s="610"/>
      <c r="V723" s="610"/>
      <c r="W723" s="610"/>
      <c r="X723" s="610"/>
      <c r="Y723" s="610"/>
      <c r="Z723" s="610"/>
      <c r="AA723" s="2706" t="s">
        <v>0</v>
      </c>
      <c r="AB723" s="2706"/>
    </row>
    <row r="724" spans="1:28" s="457" customFormat="1" ht="18" customHeight="1" x14ac:dyDescent="0.2">
      <c r="A724" s="2706" t="s">
        <v>1</v>
      </c>
      <c r="B724" s="2706"/>
      <c r="C724" s="2706"/>
      <c r="D724" s="2706"/>
      <c r="E724" s="2706"/>
      <c r="F724" s="2706"/>
      <c r="G724" s="2706"/>
      <c r="H724" s="2706"/>
      <c r="I724" s="2706"/>
      <c r="J724" s="2706"/>
      <c r="K724" s="2706"/>
      <c r="L724" s="2706"/>
      <c r="M724" s="2706"/>
      <c r="N724" s="2706"/>
      <c r="O724" s="2706"/>
      <c r="P724" s="2706"/>
      <c r="Q724" s="2706"/>
      <c r="R724" s="2706"/>
      <c r="S724" s="2706"/>
      <c r="T724" s="2706"/>
      <c r="U724" s="2706"/>
      <c r="V724" s="2706"/>
      <c r="W724" s="2706"/>
      <c r="X724" s="2706"/>
      <c r="Y724" s="2706"/>
      <c r="Z724" s="2706"/>
      <c r="AA724" s="2706"/>
      <c r="AB724" s="2706"/>
    </row>
    <row r="725" spans="1:28" s="457" customFormat="1" ht="18" customHeight="1" x14ac:dyDescent="0.2">
      <c r="A725" s="2704" t="s">
        <v>393</v>
      </c>
      <c r="B725" s="2704"/>
      <c r="C725" s="2704"/>
      <c r="D725" s="2704"/>
      <c r="E725" s="2704"/>
      <c r="F725" s="2704"/>
      <c r="G725" s="2704"/>
      <c r="H725" s="2704"/>
      <c r="I725" s="2704"/>
      <c r="J725" s="2704"/>
      <c r="K725" s="2704"/>
      <c r="L725" s="2704"/>
      <c r="M725" s="2704"/>
      <c r="N725" s="2704"/>
      <c r="O725" s="2704"/>
      <c r="P725" s="2704"/>
      <c r="Q725" s="2704"/>
      <c r="R725" s="2704"/>
      <c r="S725" s="2704"/>
      <c r="T725" s="2704"/>
      <c r="U725" s="2704"/>
      <c r="V725" s="2704"/>
      <c r="W725" s="2704"/>
      <c r="X725" s="2704"/>
      <c r="Y725" s="2704"/>
      <c r="Z725" s="2704"/>
      <c r="AA725" s="2704"/>
      <c r="AB725" s="2704"/>
    </row>
    <row r="726" spans="1:28" s="457" customFormat="1" ht="18" customHeight="1" x14ac:dyDescent="0.2">
      <c r="A726" s="2686" t="s">
        <v>2</v>
      </c>
      <c r="B726" s="360"/>
      <c r="C726" s="2686" t="s">
        <v>3</v>
      </c>
      <c r="D726" s="360"/>
      <c r="E726" s="360"/>
      <c r="F726" s="2693" t="s">
        <v>4</v>
      </c>
      <c r="G726" s="2693"/>
      <c r="H726" s="2693"/>
      <c r="I726" s="2694"/>
      <c r="J726" s="2694"/>
      <c r="K726" s="2695"/>
      <c r="L726" s="361"/>
      <c r="M726" s="2679" t="s">
        <v>5</v>
      </c>
      <c r="N726" s="2679"/>
      <c r="O726" s="2679"/>
      <c r="P726" s="2679"/>
      <c r="Q726" s="2696"/>
      <c r="R726" s="2696"/>
      <c r="S726" s="2696"/>
      <c r="T726" s="2696"/>
      <c r="U726" s="2696"/>
      <c r="V726" s="2697"/>
      <c r="W726" s="362" t="s">
        <v>6</v>
      </c>
      <c r="X726" s="363" t="s">
        <v>7</v>
      </c>
      <c r="Y726" s="364"/>
      <c r="Z726" s="364"/>
      <c r="AA726" s="363"/>
      <c r="AB726" s="458"/>
    </row>
    <row r="727" spans="1:28" s="457" customFormat="1" ht="18" customHeight="1" x14ac:dyDescent="0.2">
      <c r="A727" s="2687"/>
      <c r="B727" s="367"/>
      <c r="C727" s="2687"/>
      <c r="D727" s="366" t="s">
        <v>9</v>
      </c>
      <c r="E727" s="366" t="s">
        <v>10</v>
      </c>
      <c r="F727" s="2698" t="s">
        <v>11</v>
      </c>
      <c r="G727" s="2694"/>
      <c r="H727" s="2695"/>
      <c r="I727" s="360"/>
      <c r="J727" s="449" t="s">
        <v>12</v>
      </c>
      <c r="K727" s="360"/>
      <c r="L727" s="2679" t="s">
        <v>2</v>
      </c>
      <c r="M727" s="370"/>
      <c r="N727" s="370"/>
      <c r="O727" s="370"/>
      <c r="P727" s="371"/>
      <c r="Q727" s="459" t="s">
        <v>13</v>
      </c>
      <c r="R727" s="370" t="s">
        <v>12</v>
      </c>
      <c r="S727" s="370" t="s">
        <v>6</v>
      </c>
      <c r="T727" s="2682" t="s">
        <v>14</v>
      </c>
      <c r="U727" s="2683"/>
      <c r="V727" s="375" t="s">
        <v>7</v>
      </c>
      <c r="W727" s="376" t="s">
        <v>15</v>
      </c>
      <c r="X727" s="377" t="s">
        <v>16</v>
      </c>
      <c r="Y727" s="377" t="s">
        <v>17</v>
      </c>
      <c r="Z727" s="377" t="s">
        <v>18</v>
      </c>
      <c r="AA727" s="377"/>
      <c r="AB727" s="460" t="s">
        <v>19</v>
      </c>
    </row>
    <row r="728" spans="1:28" s="457" customFormat="1" ht="18" customHeight="1" x14ac:dyDescent="0.2">
      <c r="A728" s="2687"/>
      <c r="B728" s="366" t="s">
        <v>23</v>
      </c>
      <c r="C728" s="2687"/>
      <c r="D728" s="366" t="s">
        <v>24</v>
      </c>
      <c r="E728" s="366" t="s">
        <v>25</v>
      </c>
      <c r="F728" s="2699"/>
      <c r="G728" s="2700"/>
      <c r="H728" s="2701"/>
      <c r="I728" s="366" t="s">
        <v>26</v>
      </c>
      <c r="J728" s="380" t="s">
        <v>15</v>
      </c>
      <c r="K728" s="380" t="s">
        <v>6</v>
      </c>
      <c r="L728" s="2680"/>
      <c r="M728" s="381" t="s">
        <v>27</v>
      </c>
      <c r="N728" s="381" t="s">
        <v>10</v>
      </c>
      <c r="O728" s="381" t="s">
        <v>10</v>
      </c>
      <c r="P728" s="385" t="s">
        <v>28</v>
      </c>
      <c r="Q728" s="461" t="s">
        <v>29</v>
      </c>
      <c r="R728" s="385" t="s">
        <v>15</v>
      </c>
      <c r="S728" s="385" t="s">
        <v>15</v>
      </c>
      <c r="T728" s="2684"/>
      <c r="U728" s="2685"/>
      <c r="V728" s="375" t="s">
        <v>30</v>
      </c>
      <c r="W728" s="376" t="s">
        <v>31</v>
      </c>
      <c r="X728" s="377" t="s">
        <v>30</v>
      </c>
      <c r="Y728" s="377" t="s">
        <v>32</v>
      </c>
      <c r="Z728" s="377" t="s">
        <v>7</v>
      </c>
      <c r="AA728" s="377" t="s">
        <v>33</v>
      </c>
      <c r="AB728" s="460" t="s">
        <v>34</v>
      </c>
    </row>
    <row r="729" spans="1:28" s="457" customFormat="1" ht="18" customHeight="1" x14ac:dyDescent="0.2">
      <c r="A729" s="2687"/>
      <c r="B729" s="366" t="s">
        <v>39</v>
      </c>
      <c r="C729" s="2687"/>
      <c r="D729" s="366" t="s">
        <v>40</v>
      </c>
      <c r="E729" s="366" t="s">
        <v>41</v>
      </c>
      <c r="F729" s="2686" t="s">
        <v>42</v>
      </c>
      <c r="G729" s="2686" t="s">
        <v>43</v>
      </c>
      <c r="H729" s="2688" t="s">
        <v>44</v>
      </c>
      <c r="I729" s="366" t="s">
        <v>45</v>
      </c>
      <c r="J729" s="380" t="s">
        <v>46</v>
      </c>
      <c r="K729" s="380" t="s">
        <v>47</v>
      </c>
      <c r="L729" s="2680"/>
      <c r="M729" s="381" t="s">
        <v>30</v>
      </c>
      <c r="N729" s="381" t="s">
        <v>30</v>
      </c>
      <c r="O729" s="381" t="s">
        <v>25</v>
      </c>
      <c r="P729" s="385" t="s">
        <v>30</v>
      </c>
      <c r="Q729" s="461" t="s">
        <v>48</v>
      </c>
      <c r="R729" s="385" t="s">
        <v>49</v>
      </c>
      <c r="S729" s="385" t="s">
        <v>30</v>
      </c>
      <c r="T729" s="374" t="s">
        <v>50</v>
      </c>
      <c r="U729" s="374" t="s">
        <v>13</v>
      </c>
      <c r="V729" s="375" t="s">
        <v>51</v>
      </c>
      <c r="W729" s="376" t="s">
        <v>52</v>
      </c>
      <c r="X729" s="377" t="s">
        <v>53</v>
      </c>
      <c r="Y729" s="377" t="s">
        <v>54</v>
      </c>
      <c r="Z729" s="377" t="s">
        <v>55</v>
      </c>
      <c r="AA729" s="377" t="s">
        <v>56</v>
      </c>
      <c r="AB729" s="460" t="s">
        <v>57</v>
      </c>
    </row>
    <row r="730" spans="1:28" s="457" customFormat="1" ht="18" customHeight="1" x14ac:dyDescent="0.2">
      <c r="A730" s="2687"/>
      <c r="B730" s="366" t="s">
        <v>61</v>
      </c>
      <c r="C730" s="2687"/>
      <c r="D730" s="366" t="s">
        <v>62</v>
      </c>
      <c r="E730" s="366" t="s">
        <v>63</v>
      </c>
      <c r="F730" s="2687"/>
      <c r="G730" s="2687"/>
      <c r="H730" s="2689"/>
      <c r="I730" s="366" t="s">
        <v>64</v>
      </c>
      <c r="J730" s="380" t="s">
        <v>59</v>
      </c>
      <c r="K730" s="380" t="s">
        <v>59</v>
      </c>
      <c r="L730" s="2680"/>
      <c r="M730" s="381"/>
      <c r="N730" s="381"/>
      <c r="O730" s="381" t="s">
        <v>41</v>
      </c>
      <c r="P730" s="385" t="s">
        <v>65</v>
      </c>
      <c r="Q730" s="461" t="s">
        <v>66</v>
      </c>
      <c r="R730" s="385" t="s">
        <v>67</v>
      </c>
      <c r="S730" s="385" t="s">
        <v>59</v>
      </c>
      <c r="T730" s="375" t="s">
        <v>68</v>
      </c>
      <c r="U730" s="375" t="s">
        <v>14</v>
      </c>
      <c r="V730" s="375" t="s">
        <v>14</v>
      </c>
      <c r="W730" s="376" t="s">
        <v>30</v>
      </c>
      <c r="X730" s="388" t="s">
        <v>69</v>
      </c>
      <c r="Y730" s="388" t="s">
        <v>70</v>
      </c>
      <c r="Z730" s="377" t="s">
        <v>71</v>
      </c>
      <c r="AA730" s="377" t="s">
        <v>72</v>
      </c>
      <c r="AB730" s="460" t="s">
        <v>59</v>
      </c>
    </row>
    <row r="731" spans="1:28" s="457" customFormat="1" ht="18" customHeight="1" x14ac:dyDescent="0.2">
      <c r="A731" s="2692"/>
      <c r="B731" s="390"/>
      <c r="C731" s="2692"/>
      <c r="D731" s="390"/>
      <c r="E731" s="389"/>
      <c r="F731" s="390"/>
      <c r="G731" s="390"/>
      <c r="H731" s="391"/>
      <c r="I731" s="389"/>
      <c r="J731" s="393"/>
      <c r="K731" s="393"/>
      <c r="L731" s="2681"/>
      <c r="M731" s="394"/>
      <c r="N731" s="394"/>
      <c r="O731" s="394" t="s">
        <v>63</v>
      </c>
      <c r="P731" s="394"/>
      <c r="Q731" s="450" t="s">
        <v>72</v>
      </c>
      <c r="R731" s="398" t="s">
        <v>59</v>
      </c>
      <c r="S731" s="398"/>
      <c r="T731" s="398" t="s">
        <v>73</v>
      </c>
      <c r="U731" s="398" t="s">
        <v>59</v>
      </c>
      <c r="V731" s="399" t="s">
        <v>59</v>
      </c>
      <c r="W731" s="400" t="s">
        <v>59</v>
      </c>
      <c r="X731" s="401" t="s">
        <v>59</v>
      </c>
      <c r="Y731" s="401" t="s">
        <v>59</v>
      </c>
      <c r="Z731" s="401" t="s">
        <v>59</v>
      </c>
      <c r="AA731" s="402"/>
      <c r="AB731" s="462"/>
    </row>
    <row r="732" spans="1:28" s="457" customFormat="1" ht="18" customHeight="1" x14ac:dyDescent="0.2">
      <c r="A732" s="53">
        <v>1</v>
      </c>
      <c r="B732" s="95">
        <v>32167</v>
      </c>
      <c r="C732" s="82">
        <v>975</v>
      </c>
      <c r="D732" s="82" t="s">
        <v>86</v>
      </c>
      <c r="E732" s="82">
        <v>4</v>
      </c>
      <c r="F732" s="82">
        <v>0</v>
      </c>
      <c r="G732" s="82">
        <v>0</v>
      </c>
      <c r="H732" s="463">
        <v>99</v>
      </c>
      <c r="I732" s="70">
        <f>F732*400+G732*100+H732</f>
        <v>99</v>
      </c>
      <c r="J732" s="123">
        <v>1600</v>
      </c>
      <c r="K732" s="124">
        <f>SUM(I732*J732)</f>
        <v>158400</v>
      </c>
      <c r="L732" s="53"/>
      <c r="M732" s="82"/>
      <c r="N732" s="82"/>
      <c r="O732" s="53"/>
      <c r="P732" s="358"/>
      <c r="Q732" s="197"/>
      <c r="R732" s="444"/>
      <c r="S732" s="70"/>
      <c r="T732" s="82"/>
      <c r="U732" s="70"/>
      <c r="V732" s="70"/>
      <c r="W732" s="70">
        <f>K732+V732</f>
        <v>158400</v>
      </c>
      <c r="X732" s="70">
        <f>W732</f>
        <v>158400</v>
      </c>
      <c r="Y732" s="123">
        <v>0</v>
      </c>
      <c r="Z732" s="70">
        <f>+X732</f>
        <v>158400</v>
      </c>
      <c r="AA732" s="464">
        <v>0.6</v>
      </c>
      <c r="AB732" s="465">
        <f>+Z732*AA732/100</f>
        <v>950.4</v>
      </c>
    </row>
    <row r="733" spans="1:28" s="457" customFormat="1" ht="18" customHeight="1" x14ac:dyDescent="0.2">
      <c r="A733" s="242">
        <v>2</v>
      </c>
      <c r="B733" s="241">
        <v>32170</v>
      </c>
      <c r="C733" s="498" t="s">
        <v>181</v>
      </c>
      <c r="D733" s="145" t="s">
        <v>86</v>
      </c>
      <c r="E733" s="102">
        <v>4</v>
      </c>
      <c r="F733" s="499">
        <v>0</v>
      </c>
      <c r="G733" s="241">
        <v>0</v>
      </c>
      <c r="H733" s="500">
        <v>99</v>
      </c>
      <c r="I733" s="77">
        <f>F733*400+G733*100+H733</f>
        <v>99</v>
      </c>
      <c r="J733" s="107">
        <v>1600</v>
      </c>
      <c r="K733" s="78">
        <f>SUM(I733*J733)</f>
        <v>158400</v>
      </c>
      <c r="L733" s="61"/>
      <c r="M733" s="145"/>
      <c r="N733" s="145"/>
      <c r="O733" s="61"/>
      <c r="P733" s="177"/>
      <c r="Q733" s="196"/>
      <c r="R733" s="408"/>
      <c r="S733" s="77"/>
      <c r="T733" s="145"/>
      <c r="U733" s="77"/>
      <c r="V733" s="77"/>
      <c r="W733" s="77">
        <f>K733+V733</f>
        <v>158400</v>
      </c>
      <c r="X733" s="77">
        <f>W733</f>
        <v>158400</v>
      </c>
      <c r="Y733" s="77">
        <v>0</v>
      </c>
      <c r="Z733" s="77">
        <f>+X733</f>
        <v>158400</v>
      </c>
      <c r="AA733" s="409">
        <v>0.6</v>
      </c>
      <c r="AB733" s="506">
        <f>+Z733*AA733/100</f>
        <v>950.4</v>
      </c>
    </row>
    <row r="734" spans="1:28" s="457" customFormat="1" ht="18" customHeight="1" x14ac:dyDescent="0.2">
      <c r="A734" s="242"/>
      <c r="B734" s="242"/>
      <c r="C734" s="498"/>
      <c r="D734" s="88"/>
      <c r="E734" s="85"/>
      <c r="F734" s="411"/>
      <c r="G734" s="242"/>
      <c r="H734" s="497"/>
      <c r="I734" s="77"/>
      <c r="J734" s="107"/>
      <c r="K734" s="78"/>
      <c r="L734" s="75"/>
      <c r="M734" s="145"/>
      <c r="N734" s="145"/>
      <c r="O734" s="61"/>
      <c r="P734" s="177"/>
      <c r="Q734" s="196"/>
      <c r="R734" s="408"/>
      <c r="S734" s="77"/>
      <c r="T734" s="145"/>
      <c r="U734" s="77"/>
      <c r="V734" s="77"/>
      <c r="W734" s="77"/>
      <c r="X734" s="77"/>
      <c r="Y734" s="77"/>
      <c r="Z734" s="77"/>
      <c r="AA734" s="409"/>
      <c r="AB734" s="466"/>
    </row>
    <row r="735" spans="1:28" s="457" customFormat="1" ht="18" customHeight="1" x14ac:dyDescent="0.2">
      <c r="A735" s="61"/>
      <c r="B735" s="145"/>
      <c r="C735" s="145"/>
      <c r="D735" s="145"/>
      <c r="E735" s="145"/>
      <c r="F735" s="145"/>
      <c r="G735" s="145"/>
      <c r="H735" s="407"/>
      <c r="I735" s="77"/>
      <c r="J735" s="107"/>
      <c r="K735" s="78"/>
      <c r="L735" s="61"/>
      <c r="M735" s="145"/>
      <c r="N735" s="145"/>
      <c r="O735" s="61"/>
      <c r="P735" s="177"/>
      <c r="Q735" s="196"/>
      <c r="R735" s="408"/>
      <c r="S735" s="77"/>
      <c r="T735" s="145"/>
      <c r="U735" s="107"/>
      <c r="V735" s="77"/>
      <c r="W735" s="77"/>
      <c r="X735" s="77"/>
      <c r="Y735" s="107"/>
      <c r="Z735" s="107"/>
      <c r="AA735" s="468"/>
      <c r="AB735" s="410"/>
    </row>
    <row r="736" spans="1:28" s="457" customFormat="1" ht="18" customHeight="1" x14ac:dyDescent="0.2">
      <c r="A736" s="242"/>
      <c r="B736" s="241"/>
      <c r="C736" s="498"/>
      <c r="D736" s="88"/>
      <c r="E736" s="85"/>
      <c r="F736" s="499"/>
      <c r="G736" s="241"/>
      <c r="H736" s="500"/>
      <c r="I736" s="77"/>
      <c r="J736" s="107"/>
      <c r="K736" s="78"/>
      <c r="L736" s="61"/>
      <c r="M736" s="145"/>
      <c r="N736" s="145"/>
      <c r="O736" s="61"/>
      <c r="P736" s="177"/>
      <c r="Q736" s="196"/>
      <c r="R736" s="440"/>
      <c r="S736" s="190"/>
      <c r="T736" s="88"/>
      <c r="U736" s="77"/>
      <c r="V736" s="74"/>
      <c r="W736" s="74"/>
      <c r="X736" s="74"/>
      <c r="Y736" s="121"/>
      <c r="Z736" s="121"/>
      <c r="AA736" s="469"/>
      <c r="AB736" s="466"/>
    </row>
    <row r="737" spans="1:28" s="457" customFormat="1" ht="18" customHeight="1" x14ac:dyDescent="0.2">
      <c r="A737" s="145"/>
      <c r="B737" s="177"/>
      <c r="C737" s="177"/>
      <c r="D737" s="145"/>
      <c r="E737" s="145"/>
      <c r="F737" s="145"/>
      <c r="G737" s="145"/>
      <c r="H737" s="147"/>
      <c r="I737" s="107"/>
      <c r="J737" s="178"/>
      <c r="K737" s="107"/>
      <c r="L737" s="145"/>
      <c r="M737" s="145"/>
      <c r="N737" s="145"/>
      <c r="O737" s="145"/>
      <c r="P737" s="147"/>
      <c r="Q737" s="148"/>
      <c r="R737" s="437"/>
      <c r="S737" s="107"/>
      <c r="T737" s="179"/>
      <c r="U737" s="178"/>
      <c r="V737" s="107"/>
      <c r="W737" s="107"/>
      <c r="X737" s="470"/>
      <c r="Y737" s="470"/>
      <c r="Z737" s="471"/>
      <c r="AA737" s="471"/>
      <c r="AB737" s="466"/>
    </row>
    <row r="738" spans="1:28" s="457" customFormat="1" ht="18" customHeight="1" x14ac:dyDescent="0.2">
      <c r="A738" s="145"/>
      <c r="B738" s="177"/>
      <c r="C738" s="177"/>
      <c r="D738" s="145"/>
      <c r="E738" s="145"/>
      <c r="F738" s="145"/>
      <c r="G738" s="145"/>
      <c r="H738" s="147"/>
      <c r="I738" s="107"/>
      <c r="J738" s="178"/>
      <c r="K738" s="107"/>
      <c r="L738" s="145"/>
      <c r="M738" s="145"/>
      <c r="N738" s="145"/>
      <c r="O738" s="145"/>
      <c r="P738" s="147"/>
      <c r="Q738" s="148"/>
      <c r="R738" s="437"/>
      <c r="S738" s="107"/>
      <c r="T738" s="179"/>
      <c r="U738" s="178"/>
      <c r="V738" s="107"/>
      <c r="W738" s="107"/>
      <c r="X738" s="470"/>
      <c r="Y738" s="470"/>
      <c r="Z738" s="471"/>
      <c r="AA738" s="471"/>
      <c r="AB738" s="466"/>
    </row>
    <row r="739" spans="1:28" s="457" customFormat="1" ht="18" customHeight="1" x14ac:dyDescent="0.2">
      <c r="A739" s="145"/>
      <c r="B739" s="177"/>
      <c r="C739" s="177"/>
      <c r="D739" s="145"/>
      <c r="E739" s="145"/>
      <c r="F739" s="145"/>
      <c r="G739" s="145"/>
      <c r="H739" s="147"/>
      <c r="I739" s="107"/>
      <c r="J739" s="178"/>
      <c r="K739" s="107"/>
      <c r="L739" s="145"/>
      <c r="M739" s="145"/>
      <c r="N739" s="145"/>
      <c r="O739" s="145"/>
      <c r="P739" s="147"/>
      <c r="Q739" s="148"/>
      <c r="R739" s="437"/>
      <c r="S739" s="107"/>
      <c r="T739" s="179"/>
      <c r="U739" s="178"/>
      <c r="V739" s="107"/>
      <c r="W739" s="107"/>
      <c r="X739" s="470"/>
      <c r="Y739" s="470"/>
      <c r="Z739" s="471"/>
      <c r="AA739" s="471"/>
      <c r="AB739" s="466"/>
    </row>
    <row r="740" spans="1:28" s="457" customFormat="1" ht="18" customHeight="1" x14ac:dyDescent="0.2">
      <c r="A740" s="145"/>
      <c r="B740" s="177"/>
      <c r="C740" s="177"/>
      <c r="D740" s="145"/>
      <c r="E740" s="145"/>
      <c r="F740" s="145"/>
      <c r="G740" s="145"/>
      <c r="H740" s="147"/>
      <c r="I740" s="107"/>
      <c r="J740" s="178"/>
      <c r="K740" s="107"/>
      <c r="L740" s="145"/>
      <c r="M740" s="145"/>
      <c r="N740" s="145"/>
      <c r="O740" s="145"/>
      <c r="P740" s="147"/>
      <c r="Q740" s="148"/>
      <c r="R740" s="437"/>
      <c r="S740" s="107"/>
      <c r="T740" s="179"/>
      <c r="U740" s="178"/>
      <c r="V740" s="107"/>
      <c r="W740" s="107"/>
      <c r="X740" s="470"/>
      <c r="Y740" s="470"/>
      <c r="Z740" s="471"/>
      <c r="AA740" s="471"/>
      <c r="AB740" s="466"/>
    </row>
    <row r="741" spans="1:28" s="457" customFormat="1" ht="18" customHeight="1" x14ac:dyDescent="0.2">
      <c r="A741" s="145"/>
      <c r="B741" s="177"/>
      <c r="C741" s="177"/>
      <c r="D741" s="145"/>
      <c r="E741" s="145"/>
      <c r="F741" s="145"/>
      <c r="G741" s="145"/>
      <c r="H741" s="147"/>
      <c r="I741" s="107"/>
      <c r="J741" s="178"/>
      <c r="K741" s="107"/>
      <c r="L741" s="145"/>
      <c r="M741" s="145"/>
      <c r="N741" s="145"/>
      <c r="O741" s="145"/>
      <c r="P741" s="147"/>
      <c r="Q741" s="148"/>
      <c r="R741" s="437"/>
      <c r="S741" s="107"/>
      <c r="T741" s="179"/>
      <c r="U741" s="178"/>
      <c r="V741" s="107"/>
      <c r="W741" s="107"/>
      <c r="X741" s="470"/>
      <c r="Y741" s="470"/>
      <c r="Z741" s="471"/>
      <c r="AA741" s="471"/>
      <c r="AB741" s="466"/>
    </row>
    <row r="742" spans="1:28" s="457" customFormat="1" ht="18" customHeight="1" x14ac:dyDescent="0.2">
      <c r="A742" s="145"/>
      <c r="B742" s="177"/>
      <c r="C742" s="177"/>
      <c r="D742" s="145"/>
      <c r="E742" s="145"/>
      <c r="F742" s="145"/>
      <c r="G742" s="145"/>
      <c r="H742" s="147"/>
      <c r="I742" s="107"/>
      <c r="J742" s="178"/>
      <c r="K742" s="107"/>
      <c r="L742" s="145"/>
      <c r="M742" s="145"/>
      <c r="N742" s="145"/>
      <c r="O742" s="145"/>
      <c r="P742" s="147"/>
      <c r="Q742" s="148"/>
      <c r="R742" s="437"/>
      <c r="S742" s="107"/>
      <c r="T742" s="179"/>
      <c r="U742" s="178"/>
      <c r="V742" s="107"/>
      <c r="W742" s="107"/>
      <c r="X742" s="470"/>
      <c r="Y742" s="470"/>
      <c r="Z742" s="471"/>
      <c r="AA742" s="471"/>
      <c r="AB742" s="466"/>
    </row>
    <row r="743" spans="1:28" s="457" customFormat="1" ht="18" customHeight="1" x14ac:dyDescent="0.2">
      <c r="A743" s="145"/>
      <c r="B743" s="177"/>
      <c r="C743" s="177"/>
      <c r="D743" s="145"/>
      <c r="E743" s="145"/>
      <c r="F743" s="145"/>
      <c r="G743" s="145"/>
      <c r="H743" s="147"/>
      <c r="I743" s="107"/>
      <c r="J743" s="178"/>
      <c r="K743" s="107"/>
      <c r="L743" s="145"/>
      <c r="M743" s="145"/>
      <c r="N743" s="145"/>
      <c r="O743" s="145"/>
      <c r="P743" s="147"/>
      <c r="Q743" s="148"/>
      <c r="R743" s="437"/>
      <c r="S743" s="107"/>
      <c r="T743" s="179"/>
      <c r="U743" s="178"/>
      <c r="V743" s="107"/>
      <c r="W743" s="107"/>
      <c r="X743" s="470"/>
      <c r="Y743" s="470"/>
      <c r="Z743" s="471"/>
      <c r="AA743" s="471"/>
      <c r="AB743" s="466"/>
    </row>
    <row r="744" spans="1:28" s="457" customFormat="1" ht="18" customHeight="1" x14ac:dyDescent="0.2">
      <c r="A744" s="145"/>
      <c r="B744" s="177"/>
      <c r="C744" s="177"/>
      <c r="D744" s="145"/>
      <c r="E744" s="145"/>
      <c r="F744" s="145"/>
      <c r="G744" s="145"/>
      <c r="H744" s="147"/>
      <c r="I744" s="107"/>
      <c r="J744" s="178"/>
      <c r="K744" s="107"/>
      <c r="L744" s="145"/>
      <c r="M744" s="145"/>
      <c r="N744" s="145"/>
      <c r="O744" s="145"/>
      <c r="P744" s="147"/>
      <c r="Q744" s="148"/>
      <c r="R744" s="437"/>
      <c r="S744" s="107"/>
      <c r="T744" s="179"/>
      <c r="U744" s="178"/>
      <c r="V744" s="107"/>
      <c r="W744" s="107"/>
      <c r="X744" s="470"/>
      <c r="Y744" s="470"/>
      <c r="Z744" s="471"/>
      <c r="AA744" s="471"/>
      <c r="AB744" s="466"/>
    </row>
    <row r="745" spans="1:28" s="457" customFormat="1" ht="18" customHeight="1" x14ac:dyDescent="0.2">
      <c r="A745" s="145"/>
      <c r="B745" s="177"/>
      <c r="C745" s="177"/>
      <c r="D745" s="145"/>
      <c r="E745" s="145"/>
      <c r="F745" s="145"/>
      <c r="G745" s="145"/>
      <c r="H745" s="147"/>
      <c r="I745" s="107"/>
      <c r="J745" s="178"/>
      <c r="K745" s="107"/>
      <c r="L745" s="145"/>
      <c r="M745" s="145"/>
      <c r="N745" s="145"/>
      <c r="O745" s="145"/>
      <c r="P745" s="147"/>
      <c r="Q745" s="148"/>
      <c r="R745" s="437"/>
      <c r="S745" s="107"/>
      <c r="T745" s="179"/>
      <c r="U745" s="178"/>
      <c r="V745" s="107"/>
      <c r="W745" s="107"/>
      <c r="X745" s="470"/>
      <c r="Y745" s="470"/>
      <c r="Z745" s="471"/>
      <c r="AA745" s="471"/>
      <c r="AB745" s="466"/>
    </row>
    <row r="746" spans="1:28" s="457" customFormat="1" ht="18" customHeight="1" x14ac:dyDescent="0.2">
      <c r="A746" s="145"/>
      <c r="B746" s="177"/>
      <c r="C746" s="177"/>
      <c r="D746" s="145"/>
      <c r="E746" s="145"/>
      <c r="F746" s="145"/>
      <c r="G746" s="145"/>
      <c r="H746" s="147"/>
      <c r="I746" s="107"/>
      <c r="J746" s="178"/>
      <c r="K746" s="107"/>
      <c r="L746" s="145"/>
      <c r="M746" s="145"/>
      <c r="N746" s="145"/>
      <c r="O746" s="145"/>
      <c r="P746" s="147"/>
      <c r="Q746" s="148"/>
      <c r="R746" s="437"/>
      <c r="S746" s="107"/>
      <c r="T746" s="179"/>
      <c r="U746" s="178"/>
      <c r="V746" s="107"/>
      <c r="W746" s="107"/>
      <c r="X746" s="470"/>
      <c r="Y746" s="470"/>
      <c r="Z746" s="471"/>
      <c r="AA746" s="471"/>
      <c r="AB746" s="466"/>
    </row>
    <row r="747" spans="1:28" s="457" customFormat="1" ht="18" customHeight="1" x14ac:dyDescent="0.2">
      <c r="A747" s="183"/>
      <c r="B747" s="183"/>
      <c r="C747" s="183"/>
      <c r="D747" s="183"/>
      <c r="E747" s="183"/>
      <c r="F747" s="183"/>
      <c r="G747" s="183"/>
      <c r="H747" s="184"/>
      <c r="I747" s="185"/>
      <c r="J747" s="186"/>
      <c r="K747" s="185"/>
      <c r="L747" s="185"/>
      <c r="M747" s="185"/>
      <c r="N747" s="185"/>
      <c r="O747" s="185"/>
      <c r="P747" s="185"/>
      <c r="Q747" s="185"/>
      <c r="R747" s="438"/>
      <c r="S747" s="185"/>
      <c r="T747" s="187"/>
      <c r="U747" s="186"/>
      <c r="V747" s="185"/>
      <c r="W747" s="185"/>
      <c r="X747" s="474"/>
      <c r="Y747" s="474"/>
      <c r="Z747" s="475"/>
      <c r="AA747" s="475"/>
      <c r="AB747" s="1847">
        <f>SUM(AB732:AB746)</f>
        <v>1900.8</v>
      </c>
    </row>
    <row r="748" spans="1:28" s="457" customFormat="1" ht="18" customHeight="1" x14ac:dyDescent="0.2">
      <c r="A748" s="2737" t="s">
        <v>76</v>
      </c>
      <c r="B748" s="2737"/>
      <c r="C748" s="2738" t="s">
        <v>77</v>
      </c>
      <c r="D748" s="2738"/>
      <c r="E748" s="2738"/>
      <c r="F748" s="2738"/>
      <c r="G748" s="2738"/>
      <c r="H748" s="2738"/>
      <c r="I748" s="457" t="s">
        <v>78</v>
      </c>
      <c r="AB748" s="478"/>
    </row>
    <row r="749" spans="1:28" s="457" customFormat="1" ht="18" customHeight="1" x14ac:dyDescent="0.2">
      <c r="B749" s="479"/>
      <c r="I749" s="457" t="s">
        <v>79</v>
      </c>
      <c r="AB749" s="478"/>
    </row>
    <row r="750" spans="1:28" s="457" customFormat="1" ht="18" customHeight="1" x14ac:dyDescent="0.2">
      <c r="B750" s="479"/>
      <c r="I750" s="457" t="s">
        <v>80</v>
      </c>
      <c r="AB750" s="478"/>
    </row>
    <row r="751" spans="1:28" s="457" customFormat="1" ht="18" customHeight="1" x14ac:dyDescent="0.2">
      <c r="B751" s="479"/>
      <c r="I751" s="457" t="s">
        <v>81</v>
      </c>
      <c r="AB751" s="478"/>
    </row>
    <row r="752" spans="1:28" s="457" customFormat="1" ht="18" customHeight="1" x14ac:dyDescent="0.2">
      <c r="B752" s="479"/>
      <c r="I752" s="457" t="s">
        <v>88</v>
      </c>
      <c r="AB752" s="478"/>
    </row>
    <row r="753" spans="1:28" s="457" customFormat="1" ht="18" customHeight="1" x14ac:dyDescent="0.2">
      <c r="A753" s="455"/>
      <c r="B753" s="455"/>
      <c r="C753" s="455"/>
      <c r="D753" s="455"/>
      <c r="E753" s="455"/>
      <c r="F753" s="455"/>
      <c r="G753" s="455"/>
      <c r="H753" s="455"/>
      <c r="I753" s="455"/>
      <c r="J753" s="455"/>
      <c r="K753" s="455"/>
      <c r="L753" s="455"/>
      <c r="M753" s="455"/>
      <c r="N753" s="455"/>
      <c r="O753" s="455"/>
      <c r="P753" s="455"/>
      <c r="Q753" s="455"/>
      <c r="R753" s="455"/>
      <c r="S753" s="455"/>
      <c r="T753" s="455"/>
      <c r="U753" s="455"/>
      <c r="V753" s="455"/>
      <c r="W753" s="455"/>
      <c r="X753" s="455"/>
      <c r="Y753" s="455"/>
      <c r="Z753" s="455"/>
      <c r="AA753" s="2705" t="s">
        <v>0</v>
      </c>
      <c r="AB753" s="2705"/>
    </row>
    <row r="754" spans="1:28" s="457" customFormat="1" ht="18" customHeight="1" x14ac:dyDescent="0.2">
      <c r="A754" s="2706" t="s">
        <v>1</v>
      </c>
      <c r="B754" s="2706"/>
      <c r="C754" s="2706"/>
      <c r="D754" s="2706"/>
      <c r="E754" s="2706"/>
      <c r="F754" s="2706"/>
      <c r="G754" s="2706"/>
      <c r="H754" s="2706"/>
      <c r="I754" s="2706"/>
      <c r="J754" s="2706"/>
      <c r="K754" s="2706"/>
      <c r="L754" s="2706"/>
      <c r="M754" s="2706"/>
      <c r="N754" s="2706"/>
      <c r="O754" s="2706"/>
      <c r="P754" s="2706"/>
      <c r="Q754" s="2706"/>
      <c r="R754" s="2706"/>
      <c r="S754" s="2706"/>
      <c r="T754" s="2706"/>
      <c r="U754" s="2706"/>
      <c r="V754" s="2706"/>
      <c r="W754" s="2706"/>
      <c r="X754" s="2706"/>
      <c r="Y754" s="2706"/>
      <c r="Z754" s="2706"/>
      <c r="AA754" s="2706"/>
      <c r="AB754" s="2706"/>
    </row>
    <row r="755" spans="1:28" s="457" customFormat="1" ht="18" customHeight="1" x14ac:dyDescent="0.2">
      <c r="A755" s="2704" t="s">
        <v>394</v>
      </c>
      <c r="B755" s="2704"/>
      <c r="C755" s="2704"/>
      <c r="D755" s="2704"/>
      <c r="E755" s="2704"/>
      <c r="F755" s="2704"/>
      <c r="G755" s="2704"/>
      <c r="H755" s="2704"/>
      <c r="I755" s="2704"/>
      <c r="J755" s="2704"/>
      <c r="K755" s="2704"/>
      <c r="L755" s="2704"/>
      <c r="M755" s="2704"/>
      <c r="N755" s="2704"/>
      <c r="O755" s="2704"/>
      <c r="P755" s="2704"/>
      <c r="Q755" s="2704"/>
      <c r="R755" s="2704"/>
      <c r="S755" s="2704"/>
      <c r="T755" s="2704"/>
      <c r="U755" s="2704"/>
      <c r="V755" s="2704"/>
      <c r="W755" s="2704"/>
      <c r="X755" s="2704"/>
      <c r="Y755" s="2704"/>
      <c r="Z755" s="2704"/>
      <c r="AA755" s="2704"/>
      <c r="AB755" s="2704"/>
    </row>
    <row r="756" spans="1:28" s="457" customFormat="1" ht="18" customHeight="1" x14ac:dyDescent="0.2">
      <c r="A756" s="2686" t="s">
        <v>2</v>
      </c>
      <c r="B756" s="360"/>
      <c r="C756" s="2686" t="s">
        <v>3</v>
      </c>
      <c r="D756" s="360"/>
      <c r="E756" s="360"/>
      <c r="F756" s="2693" t="s">
        <v>4</v>
      </c>
      <c r="G756" s="2693"/>
      <c r="H756" s="2693"/>
      <c r="I756" s="2694"/>
      <c r="J756" s="2694"/>
      <c r="K756" s="2695"/>
      <c r="L756" s="361"/>
      <c r="M756" s="2679" t="s">
        <v>5</v>
      </c>
      <c r="N756" s="2679"/>
      <c r="O756" s="2679"/>
      <c r="P756" s="2679"/>
      <c r="Q756" s="2696"/>
      <c r="R756" s="2696"/>
      <c r="S756" s="2696"/>
      <c r="T756" s="2696"/>
      <c r="U756" s="2696"/>
      <c r="V756" s="2697"/>
      <c r="W756" s="362" t="s">
        <v>6</v>
      </c>
      <c r="X756" s="363" t="s">
        <v>7</v>
      </c>
      <c r="Y756" s="364"/>
      <c r="Z756" s="364"/>
      <c r="AA756" s="363"/>
      <c r="AB756" s="458"/>
    </row>
    <row r="757" spans="1:28" s="457" customFormat="1" ht="18" customHeight="1" x14ac:dyDescent="0.2">
      <c r="A757" s="2687"/>
      <c r="B757" s="367"/>
      <c r="C757" s="2687"/>
      <c r="D757" s="366" t="s">
        <v>9</v>
      </c>
      <c r="E757" s="366" t="s">
        <v>10</v>
      </c>
      <c r="F757" s="2698" t="s">
        <v>11</v>
      </c>
      <c r="G757" s="2694"/>
      <c r="H757" s="2695"/>
      <c r="I757" s="360"/>
      <c r="J757" s="449" t="s">
        <v>12</v>
      </c>
      <c r="K757" s="360"/>
      <c r="L757" s="2679" t="s">
        <v>2</v>
      </c>
      <c r="M757" s="370"/>
      <c r="N757" s="370"/>
      <c r="O757" s="370"/>
      <c r="P757" s="371"/>
      <c r="Q757" s="459" t="s">
        <v>13</v>
      </c>
      <c r="R757" s="370" t="s">
        <v>12</v>
      </c>
      <c r="S757" s="370" t="s">
        <v>6</v>
      </c>
      <c r="T757" s="2682" t="s">
        <v>14</v>
      </c>
      <c r="U757" s="2683"/>
      <c r="V757" s="375" t="s">
        <v>7</v>
      </c>
      <c r="W757" s="376" t="s">
        <v>15</v>
      </c>
      <c r="X757" s="377" t="s">
        <v>16</v>
      </c>
      <c r="Y757" s="377" t="s">
        <v>17</v>
      </c>
      <c r="Z757" s="377" t="s">
        <v>18</v>
      </c>
      <c r="AA757" s="377"/>
      <c r="AB757" s="460" t="s">
        <v>19</v>
      </c>
    </row>
    <row r="758" spans="1:28" s="457" customFormat="1" ht="18" customHeight="1" x14ac:dyDescent="0.2">
      <c r="A758" s="2687"/>
      <c r="B758" s="366" t="s">
        <v>23</v>
      </c>
      <c r="C758" s="2687"/>
      <c r="D758" s="366" t="s">
        <v>24</v>
      </c>
      <c r="E758" s="366" t="s">
        <v>25</v>
      </c>
      <c r="F758" s="2699"/>
      <c r="G758" s="2700"/>
      <c r="H758" s="2701"/>
      <c r="I758" s="366" t="s">
        <v>26</v>
      </c>
      <c r="J758" s="380" t="s">
        <v>15</v>
      </c>
      <c r="K758" s="380" t="s">
        <v>6</v>
      </c>
      <c r="L758" s="2680"/>
      <c r="M758" s="381" t="s">
        <v>27</v>
      </c>
      <c r="N758" s="381" t="s">
        <v>10</v>
      </c>
      <c r="O758" s="381" t="s">
        <v>10</v>
      </c>
      <c r="P758" s="385" t="s">
        <v>28</v>
      </c>
      <c r="Q758" s="461" t="s">
        <v>29</v>
      </c>
      <c r="R758" s="385" t="s">
        <v>15</v>
      </c>
      <c r="S758" s="385" t="s">
        <v>15</v>
      </c>
      <c r="T758" s="2684"/>
      <c r="U758" s="2685"/>
      <c r="V758" s="375" t="s">
        <v>30</v>
      </c>
      <c r="W758" s="376" t="s">
        <v>31</v>
      </c>
      <c r="X758" s="377" t="s">
        <v>30</v>
      </c>
      <c r="Y758" s="377" t="s">
        <v>32</v>
      </c>
      <c r="Z758" s="377" t="s">
        <v>7</v>
      </c>
      <c r="AA758" s="377" t="s">
        <v>33</v>
      </c>
      <c r="AB758" s="460" t="s">
        <v>34</v>
      </c>
    </row>
    <row r="759" spans="1:28" s="457" customFormat="1" ht="18" customHeight="1" x14ac:dyDescent="0.2">
      <c r="A759" s="2687"/>
      <c r="B759" s="366" t="s">
        <v>39</v>
      </c>
      <c r="C759" s="2687"/>
      <c r="D759" s="366" t="s">
        <v>40</v>
      </c>
      <c r="E759" s="366" t="s">
        <v>41</v>
      </c>
      <c r="F759" s="2686" t="s">
        <v>42</v>
      </c>
      <c r="G759" s="2686" t="s">
        <v>43</v>
      </c>
      <c r="H759" s="2688" t="s">
        <v>44</v>
      </c>
      <c r="I759" s="366" t="s">
        <v>45</v>
      </c>
      <c r="J759" s="380" t="s">
        <v>46</v>
      </c>
      <c r="K759" s="380" t="s">
        <v>47</v>
      </c>
      <c r="L759" s="2680"/>
      <c r="M759" s="381" t="s">
        <v>30</v>
      </c>
      <c r="N759" s="381" t="s">
        <v>30</v>
      </c>
      <c r="O759" s="381" t="s">
        <v>25</v>
      </c>
      <c r="P759" s="385" t="s">
        <v>30</v>
      </c>
      <c r="Q759" s="461" t="s">
        <v>48</v>
      </c>
      <c r="R759" s="385" t="s">
        <v>49</v>
      </c>
      <c r="S759" s="385" t="s">
        <v>30</v>
      </c>
      <c r="T759" s="374" t="s">
        <v>50</v>
      </c>
      <c r="U759" s="374" t="s">
        <v>13</v>
      </c>
      <c r="V759" s="375" t="s">
        <v>51</v>
      </c>
      <c r="W759" s="376" t="s">
        <v>52</v>
      </c>
      <c r="X759" s="377" t="s">
        <v>53</v>
      </c>
      <c r="Y759" s="377" t="s">
        <v>54</v>
      </c>
      <c r="Z759" s="377" t="s">
        <v>55</v>
      </c>
      <c r="AA759" s="377" t="s">
        <v>56</v>
      </c>
      <c r="AB759" s="460" t="s">
        <v>57</v>
      </c>
    </row>
    <row r="760" spans="1:28" s="457" customFormat="1" ht="18" customHeight="1" x14ac:dyDescent="0.2">
      <c r="A760" s="2687"/>
      <c r="B760" s="366" t="s">
        <v>61</v>
      </c>
      <c r="C760" s="2687"/>
      <c r="D760" s="366" t="s">
        <v>62</v>
      </c>
      <c r="E760" s="366" t="s">
        <v>63</v>
      </c>
      <c r="F760" s="2687"/>
      <c r="G760" s="2687"/>
      <c r="H760" s="2689"/>
      <c r="I760" s="366" t="s">
        <v>64</v>
      </c>
      <c r="J760" s="380" t="s">
        <v>59</v>
      </c>
      <c r="K760" s="380" t="s">
        <v>59</v>
      </c>
      <c r="L760" s="2680"/>
      <c r="M760" s="381"/>
      <c r="N760" s="381"/>
      <c r="O760" s="381" t="s">
        <v>41</v>
      </c>
      <c r="P760" s="385" t="s">
        <v>65</v>
      </c>
      <c r="Q760" s="461" t="s">
        <v>66</v>
      </c>
      <c r="R760" s="385" t="s">
        <v>67</v>
      </c>
      <c r="S760" s="385" t="s">
        <v>59</v>
      </c>
      <c r="T760" s="375" t="s">
        <v>68</v>
      </c>
      <c r="U760" s="375" t="s">
        <v>14</v>
      </c>
      <c r="V760" s="375" t="s">
        <v>14</v>
      </c>
      <c r="W760" s="376" t="s">
        <v>30</v>
      </c>
      <c r="X760" s="388" t="s">
        <v>69</v>
      </c>
      <c r="Y760" s="388" t="s">
        <v>70</v>
      </c>
      <c r="Z760" s="377" t="s">
        <v>71</v>
      </c>
      <c r="AA760" s="377" t="s">
        <v>72</v>
      </c>
      <c r="AB760" s="460" t="s">
        <v>59</v>
      </c>
    </row>
    <row r="761" spans="1:28" s="457" customFormat="1" ht="18" customHeight="1" x14ac:dyDescent="0.2">
      <c r="A761" s="2692"/>
      <c r="B761" s="390"/>
      <c r="C761" s="2692"/>
      <c r="D761" s="390"/>
      <c r="E761" s="389"/>
      <c r="F761" s="390"/>
      <c r="G761" s="390"/>
      <c r="H761" s="391"/>
      <c r="I761" s="389"/>
      <c r="J761" s="393"/>
      <c r="K761" s="393"/>
      <c r="L761" s="2681"/>
      <c r="M761" s="394"/>
      <c r="N761" s="394"/>
      <c r="O761" s="394" t="s">
        <v>63</v>
      </c>
      <c r="P761" s="394"/>
      <c r="Q761" s="450" t="s">
        <v>72</v>
      </c>
      <c r="R761" s="398" t="s">
        <v>59</v>
      </c>
      <c r="S761" s="398"/>
      <c r="T761" s="398" t="s">
        <v>73</v>
      </c>
      <c r="U761" s="398" t="s">
        <v>59</v>
      </c>
      <c r="V761" s="399" t="s">
        <v>59</v>
      </c>
      <c r="W761" s="400" t="s">
        <v>59</v>
      </c>
      <c r="X761" s="401" t="s">
        <v>59</v>
      </c>
      <c r="Y761" s="401" t="s">
        <v>59</v>
      </c>
      <c r="Z761" s="401" t="s">
        <v>59</v>
      </c>
      <c r="AA761" s="402"/>
      <c r="AB761" s="462"/>
    </row>
    <row r="762" spans="1:28" s="457" customFormat="1" ht="18" customHeight="1" x14ac:dyDescent="0.2">
      <c r="A762" s="53">
        <v>1</v>
      </c>
      <c r="B762" s="95">
        <v>23238</v>
      </c>
      <c r="C762" s="82">
        <v>650</v>
      </c>
      <c r="D762" s="82" t="s">
        <v>86</v>
      </c>
      <c r="E762" s="82">
        <v>2</v>
      </c>
      <c r="F762" s="82">
        <v>0</v>
      </c>
      <c r="G762" s="82">
        <v>0</v>
      </c>
      <c r="H762" s="463">
        <v>98</v>
      </c>
      <c r="I762" s="77">
        <f>F762*400+G762*100+H762</f>
        <v>98</v>
      </c>
      <c r="J762" s="107">
        <v>1000</v>
      </c>
      <c r="K762" s="70">
        <f>SUM(I762*J762)</f>
        <v>98000</v>
      </c>
      <c r="L762" s="53">
        <v>1</v>
      </c>
      <c r="M762" s="82" t="s">
        <v>285</v>
      </c>
      <c r="N762" s="82" t="s">
        <v>96</v>
      </c>
      <c r="O762" s="53">
        <v>2</v>
      </c>
      <c r="P762" s="358">
        <v>132.33000000000001</v>
      </c>
      <c r="Q762" s="197" t="s">
        <v>75</v>
      </c>
      <c r="R762" s="444">
        <v>7950</v>
      </c>
      <c r="S762" s="70">
        <f>+P762*R762</f>
        <v>1052023.5</v>
      </c>
      <c r="T762" s="69">
        <v>42</v>
      </c>
      <c r="U762" s="125">
        <f>+S762*0.85</f>
        <v>894219.97499999998</v>
      </c>
      <c r="V762" s="70">
        <f>+S762-U762</f>
        <v>157803.52500000002</v>
      </c>
      <c r="W762" s="70">
        <f>K762+V762</f>
        <v>255803.52500000002</v>
      </c>
      <c r="X762" s="70">
        <f>W762</f>
        <v>255803.52500000002</v>
      </c>
      <c r="Y762" s="123" t="s">
        <v>87</v>
      </c>
      <c r="Z762" s="70">
        <v>0</v>
      </c>
      <c r="AA762" s="464">
        <v>0.02</v>
      </c>
      <c r="AB762" s="465">
        <f>+Z762*AA762/100</f>
        <v>0</v>
      </c>
    </row>
    <row r="763" spans="1:28" s="457" customFormat="1" ht="18" customHeight="1" x14ac:dyDescent="0.2">
      <c r="A763" s="242">
        <v>2</v>
      </c>
      <c r="B763" s="242">
        <v>49415</v>
      </c>
      <c r="C763" s="496" t="s">
        <v>182</v>
      </c>
      <c r="D763" s="88" t="s">
        <v>86</v>
      </c>
      <c r="E763" s="85">
        <v>2</v>
      </c>
      <c r="F763" s="411">
        <v>0</v>
      </c>
      <c r="G763" s="242">
        <v>1</v>
      </c>
      <c r="H763" s="497">
        <v>7</v>
      </c>
      <c r="I763" s="77">
        <f>F763*400+G763*100+H763</f>
        <v>107</v>
      </c>
      <c r="J763" s="107">
        <v>2300</v>
      </c>
      <c r="K763" s="78">
        <f>SUM(I763*J763)</f>
        <v>246100</v>
      </c>
      <c r="L763" s="61">
        <v>1</v>
      </c>
      <c r="M763" s="88">
        <v>106</v>
      </c>
      <c r="N763" s="88" t="s">
        <v>96</v>
      </c>
      <c r="O763" s="75">
        <v>2</v>
      </c>
      <c r="P763" s="180">
        <v>238.67</v>
      </c>
      <c r="Q763" s="174" t="s">
        <v>75</v>
      </c>
      <c r="R763" s="413">
        <v>7950</v>
      </c>
      <c r="S763" s="74">
        <f>+P763*R763</f>
        <v>1897426.5</v>
      </c>
      <c r="T763" s="115">
        <v>33</v>
      </c>
      <c r="U763" s="125">
        <f>+S763*0.85</f>
        <v>1612812.5249999999</v>
      </c>
      <c r="V763" s="74">
        <f>+S763-U763</f>
        <v>284613.97500000009</v>
      </c>
      <c r="W763" s="74">
        <f>K763+V763</f>
        <v>530713.97500000009</v>
      </c>
      <c r="X763" s="74">
        <f>W763</f>
        <v>530713.97500000009</v>
      </c>
      <c r="Y763" s="121"/>
      <c r="Z763" s="74">
        <f>+X763</f>
        <v>530713.97500000009</v>
      </c>
      <c r="AA763" s="414">
        <v>0.02</v>
      </c>
      <c r="AB763" s="506">
        <f>+Z763*AA763/100</f>
        <v>106.14279500000002</v>
      </c>
    </row>
    <row r="764" spans="1:28" s="457" customFormat="1" ht="18" customHeight="1" x14ac:dyDescent="0.2">
      <c r="A764" s="242"/>
      <c r="B764" s="242"/>
      <c r="C764" s="498"/>
      <c r="D764" s="88"/>
      <c r="E764" s="85"/>
      <c r="F764" s="411"/>
      <c r="G764" s="242"/>
      <c r="H764" s="497"/>
      <c r="I764" s="77"/>
      <c r="J764" s="107"/>
      <c r="K764" s="78"/>
      <c r="L764" s="75"/>
      <c r="M764" s="145"/>
      <c r="N764" s="145"/>
      <c r="O764" s="61"/>
      <c r="P764" s="177"/>
      <c r="Q764" s="196"/>
      <c r="R764" s="408"/>
      <c r="S764" s="77"/>
      <c r="T764" s="145"/>
      <c r="U764" s="77"/>
      <c r="V764" s="77"/>
      <c r="W764" s="77"/>
      <c r="X764" s="77"/>
      <c r="Y764" s="77"/>
      <c r="Z764" s="77"/>
      <c r="AA764" s="409"/>
      <c r="AB764" s="466"/>
    </row>
    <row r="765" spans="1:28" s="457" customFormat="1" ht="18" customHeight="1" x14ac:dyDescent="0.2">
      <c r="A765" s="61"/>
      <c r="B765" s="145"/>
      <c r="C765" s="145"/>
      <c r="D765" s="145"/>
      <c r="E765" s="145"/>
      <c r="F765" s="145"/>
      <c r="G765" s="145"/>
      <c r="H765" s="407"/>
      <c r="I765" s="77"/>
      <c r="J765" s="107"/>
      <c r="K765" s="78"/>
      <c r="L765" s="61"/>
      <c r="M765" s="145"/>
      <c r="N765" s="145"/>
      <c r="O765" s="61"/>
      <c r="P765" s="177"/>
      <c r="Q765" s="196"/>
      <c r="R765" s="408"/>
      <c r="S765" s="77"/>
      <c r="T765" s="145"/>
      <c r="U765" s="107"/>
      <c r="V765" s="77"/>
      <c r="W765" s="77"/>
      <c r="X765" s="77"/>
      <c r="Y765" s="107"/>
      <c r="Z765" s="107"/>
      <c r="AA765" s="468"/>
      <c r="AB765" s="410"/>
    </row>
    <row r="766" spans="1:28" s="457" customFormat="1" ht="18" customHeight="1" x14ac:dyDescent="0.2">
      <c r="A766" s="242"/>
      <c r="B766" s="241"/>
      <c r="C766" s="498"/>
      <c r="D766" s="88"/>
      <c r="E766" s="85"/>
      <c r="F766" s="499"/>
      <c r="G766" s="241"/>
      <c r="H766" s="500"/>
      <c r="I766" s="77"/>
      <c r="J766" s="107"/>
      <c r="K766" s="78"/>
      <c r="L766" s="61"/>
      <c r="M766" s="145"/>
      <c r="N766" s="145"/>
      <c r="O766" s="61"/>
      <c r="P766" s="177"/>
      <c r="Q766" s="196"/>
      <c r="R766" s="440"/>
      <c r="S766" s="190"/>
      <c r="T766" s="88"/>
      <c r="U766" s="77"/>
      <c r="V766" s="74"/>
      <c r="W766" s="74"/>
      <c r="X766" s="74"/>
      <c r="Y766" s="121"/>
      <c r="Z766" s="121"/>
      <c r="AA766" s="469"/>
      <c r="AB766" s="466"/>
    </row>
    <row r="767" spans="1:28" s="457" customFormat="1" ht="18" customHeight="1" x14ac:dyDescent="0.2">
      <c r="A767" s="145"/>
      <c r="B767" s="177"/>
      <c r="C767" s="177"/>
      <c r="D767" s="145"/>
      <c r="E767" s="145"/>
      <c r="F767" s="145"/>
      <c r="G767" s="145"/>
      <c r="H767" s="147"/>
      <c r="I767" s="107"/>
      <c r="J767" s="178"/>
      <c r="K767" s="107"/>
      <c r="L767" s="145"/>
      <c r="M767" s="145"/>
      <c r="N767" s="145"/>
      <c r="O767" s="145"/>
      <c r="P767" s="147"/>
      <c r="Q767" s="148"/>
      <c r="R767" s="437"/>
      <c r="S767" s="107"/>
      <c r="T767" s="179"/>
      <c r="U767" s="178"/>
      <c r="V767" s="107"/>
      <c r="W767" s="107"/>
      <c r="X767" s="470"/>
      <c r="Y767" s="470"/>
      <c r="Z767" s="471"/>
      <c r="AA767" s="471"/>
      <c r="AB767" s="466"/>
    </row>
    <row r="768" spans="1:28" s="457" customFormat="1" ht="18" customHeight="1" x14ac:dyDescent="0.2">
      <c r="A768" s="145"/>
      <c r="B768" s="177"/>
      <c r="C768" s="177"/>
      <c r="D768" s="145"/>
      <c r="E768" s="145"/>
      <c r="F768" s="145"/>
      <c r="G768" s="145"/>
      <c r="H768" s="147"/>
      <c r="I768" s="107"/>
      <c r="J768" s="178"/>
      <c r="K768" s="107"/>
      <c r="L768" s="145"/>
      <c r="M768" s="145"/>
      <c r="N768" s="145"/>
      <c r="O768" s="145"/>
      <c r="P768" s="147"/>
      <c r="Q768" s="148"/>
      <c r="R768" s="437"/>
      <c r="S768" s="107"/>
      <c r="T768" s="179"/>
      <c r="U768" s="178"/>
      <c r="V768" s="107"/>
      <c r="W768" s="107"/>
      <c r="X768" s="470"/>
      <c r="Y768" s="470"/>
      <c r="Z768" s="471"/>
      <c r="AA768" s="471"/>
      <c r="AB768" s="466"/>
    </row>
    <row r="769" spans="1:28" s="457" customFormat="1" ht="18" customHeight="1" x14ac:dyDescent="0.2">
      <c r="A769" s="145"/>
      <c r="B769" s="177"/>
      <c r="C769" s="177"/>
      <c r="D769" s="145"/>
      <c r="E769" s="145"/>
      <c r="F769" s="145"/>
      <c r="G769" s="145"/>
      <c r="H769" s="147"/>
      <c r="I769" s="107"/>
      <c r="J769" s="178"/>
      <c r="K769" s="107"/>
      <c r="L769" s="145"/>
      <c r="M769" s="145"/>
      <c r="N769" s="145"/>
      <c r="O769" s="145"/>
      <c r="P769" s="147"/>
      <c r="Q769" s="148"/>
      <c r="R769" s="437"/>
      <c r="S769" s="107"/>
      <c r="T769" s="179"/>
      <c r="U769" s="178"/>
      <c r="V769" s="107"/>
      <c r="W769" s="107"/>
      <c r="X769" s="470"/>
      <c r="Y769" s="470"/>
      <c r="Z769" s="471"/>
      <c r="AA769" s="471"/>
      <c r="AB769" s="466"/>
    </row>
    <row r="770" spans="1:28" s="457" customFormat="1" ht="18" customHeight="1" x14ac:dyDescent="0.2">
      <c r="A770" s="145"/>
      <c r="B770" s="177"/>
      <c r="C770" s="177"/>
      <c r="D770" s="145"/>
      <c r="E770" s="145"/>
      <c r="F770" s="145"/>
      <c r="G770" s="145"/>
      <c r="H770" s="147"/>
      <c r="I770" s="107"/>
      <c r="J770" s="178"/>
      <c r="K770" s="107"/>
      <c r="L770" s="145"/>
      <c r="M770" s="145"/>
      <c r="N770" s="145"/>
      <c r="O770" s="145"/>
      <c r="P770" s="147"/>
      <c r="Q770" s="148"/>
      <c r="R770" s="437"/>
      <c r="S770" s="107"/>
      <c r="T770" s="179"/>
      <c r="U770" s="178"/>
      <c r="V770" s="107"/>
      <c r="W770" s="107"/>
      <c r="X770" s="470"/>
      <c r="Y770" s="470"/>
      <c r="Z770" s="471"/>
      <c r="AA770" s="471"/>
      <c r="AB770" s="466"/>
    </row>
    <row r="771" spans="1:28" s="457" customFormat="1" ht="18" customHeight="1" x14ac:dyDescent="0.2">
      <c r="A771" s="145"/>
      <c r="B771" s="177"/>
      <c r="C771" s="177"/>
      <c r="D771" s="145"/>
      <c r="E771" s="145"/>
      <c r="F771" s="145"/>
      <c r="G771" s="145"/>
      <c r="H771" s="147"/>
      <c r="I771" s="107"/>
      <c r="J771" s="178"/>
      <c r="K771" s="107"/>
      <c r="L771" s="145"/>
      <c r="M771" s="145"/>
      <c r="N771" s="145"/>
      <c r="O771" s="145"/>
      <c r="P771" s="147"/>
      <c r="Q771" s="148"/>
      <c r="R771" s="437"/>
      <c r="S771" s="107"/>
      <c r="T771" s="179"/>
      <c r="U771" s="178"/>
      <c r="V771" s="107"/>
      <c r="W771" s="107"/>
      <c r="X771" s="470"/>
      <c r="Y771" s="470"/>
      <c r="Z771" s="471"/>
      <c r="AA771" s="471"/>
      <c r="AB771" s="466"/>
    </row>
    <row r="772" spans="1:28" s="457" customFormat="1" ht="18" customHeight="1" x14ac:dyDescent="0.2">
      <c r="A772" s="145"/>
      <c r="B772" s="177"/>
      <c r="C772" s="177"/>
      <c r="D772" s="145"/>
      <c r="E772" s="145"/>
      <c r="F772" s="145"/>
      <c r="G772" s="145"/>
      <c r="H772" s="147"/>
      <c r="I772" s="107"/>
      <c r="J772" s="178"/>
      <c r="K772" s="107"/>
      <c r="L772" s="145"/>
      <c r="M772" s="145"/>
      <c r="N772" s="145"/>
      <c r="O772" s="145"/>
      <c r="P772" s="147"/>
      <c r="Q772" s="148"/>
      <c r="R772" s="437"/>
      <c r="S772" s="107"/>
      <c r="T772" s="179"/>
      <c r="U772" s="178"/>
      <c r="V772" s="107"/>
      <c r="W772" s="107"/>
      <c r="X772" s="470"/>
      <c r="Y772" s="470"/>
      <c r="Z772" s="471"/>
      <c r="AA772" s="471"/>
      <c r="AB772" s="466"/>
    </row>
    <row r="773" spans="1:28" s="457" customFormat="1" ht="18" customHeight="1" x14ac:dyDescent="0.2">
      <c r="A773" s="145"/>
      <c r="B773" s="177"/>
      <c r="C773" s="177"/>
      <c r="D773" s="145"/>
      <c r="E773" s="145"/>
      <c r="F773" s="145"/>
      <c r="G773" s="145"/>
      <c r="H773" s="147"/>
      <c r="I773" s="107"/>
      <c r="J773" s="178"/>
      <c r="K773" s="107"/>
      <c r="L773" s="145"/>
      <c r="M773" s="145"/>
      <c r="N773" s="145"/>
      <c r="O773" s="145"/>
      <c r="P773" s="147"/>
      <c r="Q773" s="148"/>
      <c r="R773" s="437"/>
      <c r="S773" s="107"/>
      <c r="T773" s="179"/>
      <c r="U773" s="178"/>
      <c r="V773" s="107"/>
      <c r="W773" s="107"/>
      <c r="X773" s="470"/>
      <c r="Y773" s="470"/>
      <c r="Z773" s="471"/>
      <c r="AA773" s="471"/>
      <c r="AB773" s="466"/>
    </row>
    <row r="774" spans="1:28" s="457" customFormat="1" ht="18" customHeight="1" x14ac:dyDescent="0.2">
      <c r="A774" s="145"/>
      <c r="B774" s="177"/>
      <c r="C774" s="177"/>
      <c r="D774" s="145"/>
      <c r="E774" s="145"/>
      <c r="F774" s="145"/>
      <c r="G774" s="145"/>
      <c r="H774" s="147"/>
      <c r="I774" s="107"/>
      <c r="J774" s="178"/>
      <c r="K774" s="107"/>
      <c r="L774" s="145"/>
      <c r="M774" s="145"/>
      <c r="N774" s="145"/>
      <c r="O774" s="145"/>
      <c r="P774" s="147"/>
      <c r="Q774" s="148"/>
      <c r="R774" s="437"/>
      <c r="S774" s="107"/>
      <c r="T774" s="179"/>
      <c r="U774" s="178"/>
      <c r="V774" s="107"/>
      <c r="W774" s="107"/>
      <c r="X774" s="470"/>
      <c r="Y774" s="470"/>
      <c r="Z774" s="471"/>
      <c r="AA774" s="471"/>
      <c r="AB774" s="466"/>
    </row>
    <row r="775" spans="1:28" s="457" customFormat="1" ht="18" customHeight="1" x14ac:dyDescent="0.2">
      <c r="A775" s="145"/>
      <c r="B775" s="177"/>
      <c r="C775" s="177"/>
      <c r="D775" s="145"/>
      <c r="E775" s="145"/>
      <c r="F775" s="145"/>
      <c r="G775" s="145"/>
      <c r="H775" s="147"/>
      <c r="I775" s="107"/>
      <c r="J775" s="178"/>
      <c r="K775" s="107"/>
      <c r="L775" s="145"/>
      <c r="M775" s="145"/>
      <c r="N775" s="145"/>
      <c r="O775" s="145"/>
      <c r="P775" s="147"/>
      <c r="Q775" s="148"/>
      <c r="R775" s="437"/>
      <c r="S775" s="107"/>
      <c r="T775" s="179"/>
      <c r="U775" s="178"/>
      <c r="V775" s="107"/>
      <c r="W775" s="107"/>
      <c r="X775" s="470"/>
      <c r="Y775" s="470"/>
      <c r="Z775" s="471"/>
      <c r="AA775" s="471"/>
      <c r="AB775" s="466"/>
    </row>
    <row r="776" spans="1:28" s="457" customFormat="1" ht="18" customHeight="1" x14ac:dyDescent="0.2">
      <c r="A776" s="145"/>
      <c r="B776" s="177"/>
      <c r="C776" s="177"/>
      <c r="D776" s="145"/>
      <c r="E776" s="145"/>
      <c r="F776" s="145"/>
      <c r="G776" s="145"/>
      <c r="H776" s="147"/>
      <c r="I776" s="107"/>
      <c r="J776" s="178"/>
      <c r="K776" s="107"/>
      <c r="L776" s="145"/>
      <c r="M776" s="145"/>
      <c r="N776" s="145"/>
      <c r="O776" s="145"/>
      <c r="P776" s="147"/>
      <c r="Q776" s="148"/>
      <c r="R776" s="437"/>
      <c r="S776" s="107"/>
      <c r="T776" s="179"/>
      <c r="U776" s="178"/>
      <c r="V776" s="107"/>
      <c r="W776" s="107"/>
      <c r="X776" s="470"/>
      <c r="Y776" s="470"/>
      <c r="Z776" s="471"/>
      <c r="AA776" s="471"/>
      <c r="AB776" s="466"/>
    </row>
    <row r="777" spans="1:28" s="457" customFormat="1" ht="18" customHeight="1" x14ac:dyDescent="0.2">
      <c r="A777" s="183"/>
      <c r="B777" s="183"/>
      <c r="C777" s="183"/>
      <c r="D777" s="183"/>
      <c r="E777" s="183"/>
      <c r="F777" s="183"/>
      <c r="G777" s="183"/>
      <c r="H777" s="184"/>
      <c r="I777" s="185"/>
      <c r="J777" s="186"/>
      <c r="K777" s="185"/>
      <c r="L777" s="185"/>
      <c r="M777" s="185"/>
      <c r="N777" s="185"/>
      <c r="O777" s="185"/>
      <c r="P777" s="185"/>
      <c r="Q777" s="185"/>
      <c r="R777" s="438"/>
      <c r="S777" s="185"/>
      <c r="T777" s="187"/>
      <c r="U777" s="186"/>
      <c r="V777" s="185"/>
      <c r="W777" s="185"/>
      <c r="X777" s="474"/>
      <c r="Y777" s="474"/>
      <c r="Z777" s="475"/>
      <c r="AA777" s="475"/>
      <c r="AB777" s="1847">
        <f>SUM(AB762:AB776)</f>
        <v>106.14279500000002</v>
      </c>
    </row>
    <row r="778" spans="1:28" s="457" customFormat="1" ht="18" customHeight="1" x14ac:dyDescent="0.2">
      <c r="A778" s="2737" t="s">
        <v>76</v>
      </c>
      <c r="B778" s="2737"/>
      <c r="C778" s="2738" t="s">
        <v>77</v>
      </c>
      <c r="D778" s="2738"/>
      <c r="E778" s="2738"/>
      <c r="F778" s="2738"/>
      <c r="G778" s="2738"/>
      <c r="H778" s="2738"/>
      <c r="I778" s="457" t="s">
        <v>78</v>
      </c>
      <c r="AB778" s="478"/>
    </row>
    <row r="779" spans="1:28" s="457" customFormat="1" ht="18" customHeight="1" x14ac:dyDescent="0.2">
      <c r="B779" s="479"/>
      <c r="I779" s="457" t="s">
        <v>79</v>
      </c>
      <c r="AB779" s="478"/>
    </row>
    <row r="780" spans="1:28" s="457" customFormat="1" ht="18" customHeight="1" x14ac:dyDescent="0.2">
      <c r="B780" s="479"/>
      <c r="I780" s="457" t="s">
        <v>80</v>
      </c>
      <c r="AB780" s="478"/>
    </row>
    <row r="781" spans="1:28" s="457" customFormat="1" ht="18" customHeight="1" x14ac:dyDescent="0.2">
      <c r="B781" s="479"/>
      <c r="I781" s="457" t="s">
        <v>81</v>
      </c>
      <c r="AB781" s="478"/>
    </row>
    <row r="782" spans="1:28" s="457" customFormat="1" ht="18" customHeight="1" x14ac:dyDescent="0.2">
      <c r="B782" s="479"/>
      <c r="I782" s="457" t="s">
        <v>88</v>
      </c>
      <c r="AB782" s="478"/>
    </row>
    <row r="783" spans="1:28" s="457" customFormat="1" ht="18" customHeight="1" x14ac:dyDescent="0.2">
      <c r="A783" s="610"/>
      <c r="B783" s="610"/>
      <c r="C783" s="610"/>
      <c r="D783" s="610"/>
      <c r="E783" s="610"/>
      <c r="F783" s="610"/>
      <c r="G783" s="610"/>
      <c r="H783" s="610"/>
      <c r="I783" s="610"/>
      <c r="J783" s="610"/>
      <c r="K783" s="610"/>
      <c r="L783" s="610"/>
      <c r="M783" s="610"/>
      <c r="N783" s="610"/>
      <c r="O783" s="610"/>
      <c r="P783" s="610"/>
      <c r="Q783" s="610"/>
      <c r="R783" s="610"/>
      <c r="S783" s="610"/>
      <c r="T783" s="610"/>
      <c r="U783" s="610"/>
      <c r="V783" s="610"/>
      <c r="W783" s="610"/>
      <c r="X783" s="610"/>
      <c r="Y783" s="610"/>
      <c r="Z783" s="610"/>
      <c r="AA783" s="2706" t="s">
        <v>0</v>
      </c>
      <c r="AB783" s="2706"/>
    </row>
    <row r="784" spans="1:28" s="457" customFormat="1" ht="18" customHeight="1" x14ac:dyDescent="0.2">
      <c r="A784" s="2706" t="s">
        <v>1</v>
      </c>
      <c r="B784" s="2706"/>
      <c r="C784" s="2706"/>
      <c r="D784" s="2706"/>
      <c r="E784" s="2706"/>
      <c r="F784" s="2706"/>
      <c r="G784" s="2706"/>
      <c r="H784" s="2706"/>
      <c r="I784" s="2706"/>
      <c r="J784" s="2706"/>
      <c r="K784" s="2706"/>
      <c r="L784" s="2706"/>
      <c r="M784" s="2706"/>
      <c r="N784" s="2706"/>
      <c r="O784" s="2706"/>
      <c r="P784" s="2706"/>
      <c r="Q784" s="2706"/>
      <c r="R784" s="2706"/>
      <c r="S784" s="2706"/>
      <c r="T784" s="2706"/>
      <c r="U784" s="2706"/>
      <c r="V784" s="2706"/>
      <c r="W784" s="2706"/>
      <c r="X784" s="2706"/>
      <c r="Y784" s="2706"/>
      <c r="Z784" s="2706"/>
      <c r="AA784" s="2706"/>
      <c r="AB784" s="2706"/>
    </row>
    <row r="785" spans="1:28" s="457" customFormat="1" ht="17.25" customHeight="1" x14ac:dyDescent="0.2">
      <c r="A785" s="2704" t="s">
        <v>395</v>
      </c>
      <c r="B785" s="2704"/>
      <c r="C785" s="2704"/>
      <c r="D785" s="2704"/>
      <c r="E785" s="2704"/>
      <c r="F785" s="2704"/>
      <c r="G785" s="2704"/>
      <c r="H785" s="2704"/>
      <c r="I785" s="2704"/>
      <c r="J785" s="2704"/>
      <c r="K785" s="2704"/>
      <c r="L785" s="2704"/>
      <c r="M785" s="2704"/>
      <c r="N785" s="2704"/>
      <c r="O785" s="2704"/>
      <c r="P785" s="2704"/>
      <c r="Q785" s="2704"/>
      <c r="R785" s="2704"/>
      <c r="S785" s="2704"/>
      <c r="T785" s="2704"/>
      <c r="U785" s="2704"/>
      <c r="V785" s="2704"/>
      <c r="W785" s="2704"/>
      <c r="X785" s="2704"/>
      <c r="Y785" s="2704"/>
      <c r="Z785" s="2704"/>
      <c r="AA785" s="2704"/>
      <c r="AB785" s="2704"/>
    </row>
    <row r="786" spans="1:28" s="457" customFormat="1" ht="18" customHeight="1" x14ac:dyDescent="0.2">
      <c r="A786" s="2686" t="s">
        <v>2</v>
      </c>
      <c r="B786" s="360"/>
      <c r="C786" s="2686" t="s">
        <v>3</v>
      </c>
      <c r="D786" s="360"/>
      <c r="E786" s="360"/>
      <c r="F786" s="2693" t="s">
        <v>4</v>
      </c>
      <c r="G786" s="2693"/>
      <c r="H786" s="2693"/>
      <c r="I786" s="2694"/>
      <c r="J786" s="2694"/>
      <c r="K786" s="2695"/>
      <c r="L786" s="361"/>
      <c r="M786" s="2679" t="s">
        <v>5</v>
      </c>
      <c r="N786" s="2679"/>
      <c r="O786" s="2679"/>
      <c r="P786" s="2679"/>
      <c r="Q786" s="2696"/>
      <c r="R786" s="2696"/>
      <c r="S786" s="2696"/>
      <c r="T786" s="2696"/>
      <c r="U786" s="2696"/>
      <c r="V786" s="2697"/>
      <c r="W786" s="362" t="s">
        <v>6</v>
      </c>
      <c r="X786" s="363" t="s">
        <v>7</v>
      </c>
      <c r="Y786" s="364"/>
      <c r="Z786" s="364"/>
      <c r="AA786" s="363"/>
      <c r="AB786" s="458"/>
    </row>
    <row r="787" spans="1:28" s="457" customFormat="1" ht="18" customHeight="1" x14ac:dyDescent="0.2">
      <c r="A787" s="2687"/>
      <c r="B787" s="367"/>
      <c r="C787" s="2687"/>
      <c r="D787" s="366" t="s">
        <v>9</v>
      </c>
      <c r="E787" s="366" t="s">
        <v>10</v>
      </c>
      <c r="F787" s="2698" t="s">
        <v>11</v>
      </c>
      <c r="G787" s="2694"/>
      <c r="H787" s="2695"/>
      <c r="I787" s="360"/>
      <c r="J787" s="449" t="s">
        <v>12</v>
      </c>
      <c r="K787" s="360"/>
      <c r="L787" s="2679" t="s">
        <v>2</v>
      </c>
      <c r="M787" s="370"/>
      <c r="N787" s="370"/>
      <c r="O787" s="370"/>
      <c r="P787" s="371"/>
      <c r="Q787" s="459" t="s">
        <v>13</v>
      </c>
      <c r="R787" s="370" t="s">
        <v>12</v>
      </c>
      <c r="S787" s="370" t="s">
        <v>6</v>
      </c>
      <c r="T787" s="2682" t="s">
        <v>14</v>
      </c>
      <c r="U787" s="2683"/>
      <c r="V787" s="375" t="s">
        <v>7</v>
      </c>
      <c r="W787" s="376" t="s">
        <v>15</v>
      </c>
      <c r="X787" s="377" t="s">
        <v>16</v>
      </c>
      <c r="Y787" s="377" t="s">
        <v>17</v>
      </c>
      <c r="Z787" s="377" t="s">
        <v>18</v>
      </c>
      <c r="AA787" s="377"/>
      <c r="AB787" s="460" t="s">
        <v>19</v>
      </c>
    </row>
    <row r="788" spans="1:28" s="457" customFormat="1" ht="18" customHeight="1" x14ac:dyDescent="0.2">
      <c r="A788" s="2687"/>
      <c r="B788" s="366" t="s">
        <v>23</v>
      </c>
      <c r="C788" s="2687"/>
      <c r="D788" s="366" t="s">
        <v>24</v>
      </c>
      <c r="E788" s="366" t="s">
        <v>25</v>
      </c>
      <c r="F788" s="2699"/>
      <c r="G788" s="2700"/>
      <c r="H788" s="2701"/>
      <c r="I788" s="366" t="s">
        <v>26</v>
      </c>
      <c r="J788" s="380" t="s">
        <v>15</v>
      </c>
      <c r="K788" s="380" t="s">
        <v>6</v>
      </c>
      <c r="L788" s="2680"/>
      <c r="M788" s="381" t="s">
        <v>27</v>
      </c>
      <c r="N788" s="381" t="s">
        <v>10</v>
      </c>
      <c r="O788" s="381" t="s">
        <v>10</v>
      </c>
      <c r="P788" s="385" t="s">
        <v>28</v>
      </c>
      <c r="Q788" s="461" t="s">
        <v>29</v>
      </c>
      <c r="R788" s="385" t="s">
        <v>15</v>
      </c>
      <c r="S788" s="385" t="s">
        <v>15</v>
      </c>
      <c r="T788" s="2684"/>
      <c r="U788" s="2685"/>
      <c r="V788" s="375" t="s">
        <v>30</v>
      </c>
      <c r="W788" s="376" t="s">
        <v>31</v>
      </c>
      <c r="X788" s="377" t="s">
        <v>30</v>
      </c>
      <c r="Y788" s="377" t="s">
        <v>32</v>
      </c>
      <c r="Z788" s="377" t="s">
        <v>7</v>
      </c>
      <c r="AA788" s="377" t="s">
        <v>33</v>
      </c>
      <c r="AB788" s="460" t="s">
        <v>34</v>
      </c>
    </row>
    <row r="789" spans="1:28" s="457" customFormat="1" ht="18" customHeight="1" x14ac:dyDescent="0.2">
      <c r="A789" s="2687"/>
      <c r="B789" s="366" t="s">
        <v>39</v>
      </c>
      <c r="C789" s="2687"/>
      <c r="D789" s="366" t="s">
        <v>40</v>
      </c>
      <c r="E789" s="366" t="s">
        <v>41</v>
      </c>
      <c r="F789" s="2686" t="s">
        <v>42</v>
      </c>
      <c r="G789" s="2686" t="s">
        <v>43</v>
      </c>
      <c r="H789" s="2688" t="s">
        <v>44</v>
      </c>
      <c r="I789" s="366" t="s">
        <v>45</v>
      </c>
      <c r="J789" s="380" t="s">
        <v>46</v>
      </c>
      <c r="K789" s="380" t="s">
        <v>47</v>
      </c>
      <c r="L789" s="2680"/>
      <c r="M789" s="381" t="s">
        <v>30</v>
      </c>
      <c r="N789" s="381" t="s">
        <v>30</v>
      </c>
      <c r="O789" s="381" t="s">
        <v>25</v>
      </c>
      <c r="P789" s="385" t="s">
        <v>30</v>
      </c>
      <c r="Q789" s="461" t="s">
        <v>48</v>
      </c>
      <c r="R789" s="385" t="s">
        <v>49</v>
      </c>
      <c r="S789" s="385" t="s">
        <v>30</v>
      </c>
      <c r="T789" s="374" t="s">
        <v>50</v>
      </c>
      <c r="U789" s="374" t="s">
        <v>13</v>
      </c>
      <c r="V789" s="375" t="s">
        <v>51</v>
      </c>
      <c r="W789" s="376" t="s">
        <v>52</v>
      </c>
      <c r="X789" s="377" t="s">
        <v>53</v>
      </c>
      <c r="Y789" s="377" t="s">
        <v>54</v>
      </c>
      <c r="Z789" s="377" t="s">
        <v>55</v>
      </c>
      <c r="AA789" s="377" t="s">
        <v>56</v>
      </c>
      <c r="AB789" s="460" t="s">
        <v>57</v>
      </c>
    </row>
    <row r="790" spans="1:28" s="457" customFormat="1" ht="18" customHeight="1" x14ac:dyDescent="0.2">
      <c r="A790" s="2687"/>
      <c r="B790" s="366" t="s">
        <v>61</v>
      </c>
      <c r="C790" s="2687"/>
      <c r="D790" s="366" t="s">
        <v>62</v>
      </c>
      <c r="E790" s="366" t="s">
        <v>63</v>
      </c>
      <c r="F790" s="2687"/>
      <c r="G790" s="2687"/>
      <c r="H790" s="2689"/>
      <c r="I790" s="366" t="s">
        <v>64</v>
      </c>
      <c r="J790" s="380" t="s">
        <v>59</v>
      </c>
      <c r="K790" s="380" t="s">
        <v>59</v>
      </c>
      <c r="L790" s="2680"/>
      <c r="M790" s="381"/>
      <c r="N790" s="381"/>
      <c r="O790" s="381" t="s">
        <v>41</v>
      </c>
      <c r="P790" s="385" t="s">
        <v>65</v>
      </c>
      <c r="Q790" s="461" t="s">
        <v>66</v>
      </c>
      <c r="R790" s="385" t="s">
        <v>67</v>
      </c>
      <c r="S790" s="385" t="s">
        <v>59</v>
      </c>
      <c r="T790" s="375" t="s">
        <v>68</v>
      </c>
      <c r="U790" s="375" t="s">
        <v>14</v>
      </c>
      <c r="V790" s="375" t="s">
        <v>14</v>
      </c>
      <c r="W790" s="376" t="s">
        <v>30</v>
      </c>
      <c r="X790" s="388" t="s">
        <v>69</v>
      </c>
      <c r="Y790" s="388" t="s">
        <v>70</v>
      </c>
      <c r="Z790" s="377" t="s">
        <v>71</v>
      </c>
      <c r="AA790" s="377" t="s">
        <v>72</v>
      </c>
      <c r="AB790" s="460" t="s">
        <v>59</v>
      </c>
    </row>
    <row r="791" spans="1:28" s="457" customFormat="1" ht="18" customHeight="1" x14ac:dyDescent="0.2">
      <c r="A791" s="2692"/>
      <c r="B791" s="390"/>
      <c r="C791" s="2692"/>
      <c r="D791" s="390"/>
      <c r="E791" s="389"/>
      <c r="F791" s="390"/>
      <c r="G791" s="390"/>
      <c r="H791" s="391"/>
      <c r="I791" s="389"/>
      <c r="J791" s="393"/>
      <c r="K791" s="393"/>
      <c r="L791" s="2681"/>
      <c r="M791" s="394"/>
      <c r="N791" s="394"/>
      <c r="O791" s="394" t="s">
        <v>63</v>
      </c>
      <c r="P791" s="394"/>
      <c r="Q791" s="450" t="s">
        <v>72</v>
      </c>
      <c r="R791" s="398" t="s">
        <v>59</v>
      </c>
      <c r="S791" s="398"/>
      <c r="T791" s="398" t="s">
        <v>73</v>
      </c>
      <c r="U791" s="398" t="s">
        <v>59</v>
      </c>
      <c r="V791" s="399" t="s">
        <v>59</v>
      </c>
      <c r="W791" s="400" t="s">
        <v>59</v>
      </c>
      <c r="X791" s="401" t="s">
        <v>59</v>
      </c>
      <c r="Y791" s="401" t="s">
        <v>59</v>
      </c>
      <c r="Z791" s="401" t="s">
        <v>59</v>
      </c>
      <c r="AA791" s="402"/>
      <c r="AB791" s="462"/>
    </row>
    <row r="792" spans="1:28" s="457" customFormat="1" ht="18" customHeight="1" x14ac:dyDescent="0.25">
      <c r="A792" s="53">
        <v>1</v>
      </c>
      <c r="B792" s="333">
        <v>31550</v>
      </c>
      <c r="C792" s="41">
        <v>1215</v>
      </c>
      <c r="D792" s="41" t="s">
        <v>86</v>
      </c>
      <c r="E792" s="41">
        <v>4</v>
      </c>
      <c r="F792" s="41">
        <v>0</v>
      </c>
      <c r="G792" s="41">
        <v>0</v>
      </c>
      <c r="H792" s="267">
        <v>56</v>
      </c>
      <c r="I792" s="77">
        <f>F792*400+G792*100+H792</f>
        <v>56</v>
      </c>
      <c r="J792" s="310">
        <v>1100</v>
      </c>
      <c r="K792" s="78">
        <f>SUM(I792*J792)</f>
        <v>61600</v>
      </c>
      <c r="L792" s="16"/>
      <c r="M792" s="82"/>
      <c r="N792" s="41"/>
      <c r="O792" s="16"/>
      <c r="P792" s="847"/>
      <c r="Q792" s="14"/>
      <c r="R792" s="741"/>
      <c r="S792" s="302"/>
      <c r="T792" s="41"/>
      <c r="U792" s="302"/>
      <c r="V792" s="302"/>
      <c r="W792" s="74">
        <f>K792+V792</f>
        <v>61600</v>
      </c>
      <c r="X792" s="74">
        <f>W792</f>
        <v>61600</v>
      </c>
      <c r="Y792" s="310">
        <v>0</v>
      </c>
      <c r="Z792" s="74">
        <f>+X792</f>
        <v>61600</v>
      </c>
      <c r="AA792" s="405">
        <v>0.6</v>
      </c>
      <c r="AB792" s="742">
        <f>+Z792*AA792/100</f>
        <v>369.6</v>
      </c>
    </row>
    <row r="793" spans="1:28" s="457" customFormat="1" ht="18" customHeight="1" x14ac:dyDescent="0.25">
      <c r="A793" s="242">
        <v>2</v>
      </c>
      <c r="B793" s="269">
        <v>31551</v>
      </c>
      <c r="C793" s="285" t="s">
        <v>144</v>
      </c>
      <c r="D793" s="27" t="s">
        <v>86</v>
      </c>
      <c r="E793" s="273">
        <v>4</v>
      </c>
      <c r="F793" s="268">
        <v>0</v>
      </c>
      <c r="G793" s="269">
        <v>0</v>
      </c>
      <c r="H793" s="266">
        <v>56</v>
      </c>
      <c r="I793" s="77">
        <f>F793*400+G793*100+H793</f>
        <v>56</v>
      </c>
      <c r="J793" s="305">
        <v>1100</v>
      </c>
      <c r="K793" s="78">
        <f>SUM(I793*J793)</f>
        <v>61600</v>
      </c>
      <c r="L793" s="45"/>
      <c r="M793" s="88"/>
      <c r="N793" s="27"/>
      <c r="O793" s="45"/>
      <c r="P793" s="28"/>
      <c r="Q793" s="62"/>
      <c r="R793" s="743"/>
      <c r="S793" s="299"/>
      <c r="T793" s="27"/>
      <c r="U793" s="299"/>
      <c r="V793" s="299"/>
      <c r="W793" s="74">
        <f>K793+V793</f>
        <v>61600</v>
      </c>
      <c r="X793" s="74">
        <f>W793</f>
        <v>61600</v>
      </c>
      <c r="Y793" s="299">
        <v>0</v>
      </c>
      <c r="Z793" s="74">
        <f>+X793</f>
        <v>61600</v>
      </c>
      <c r="AA793" s="670">
        <v>0.6</v>
      </c>
      <c r="AB793" s="1403">
        <f>+Z793*AA793/100</f>
        <v>369.6</v>
      </c>
    </row>
    <row r="794" spans="1:28" s="457" customFormat="1" ht="18" customHeight="1" x14ac:dyDescent="0.2">
      <c r="A794" s="242"/>
      <c r="B794" s="242"/>
      <c r="C794" s="498"/>
      <c r="D794" s="88"/>
      <c r="E794" s="85"/>
      <c r="F794" s="411"/>
      <c r="G794" s="242"/>
      <c r="H794" s="497"/>
      <c r="I794" s="244"/>
      <c r="J794" s="178"/>
      <c r="K794" s="247"/>
      <c r="L794" s="75"/>
      <c r="M794" s="145"/>
      <c r="N794" s="145"/>
      <c r="O794" s="61"/>
      <c r="P794" s="145"/>
      <c r="Q794" s="196"/>
      <c r="R794" s="1399"/>
      <c r="S794" s="244"/>
      <c r="T794" s="145"/>
      <c r="U794" s="244"/>
      <c r="V794" s="244"/>
      <c r="W794" s="244"/>
      <c r="X794" s="244"/>
      <c r="Y794" s="244"/>
      <c r="Z794" s="244"/>
      <c r="AA794" s="747"/>
      <c r="AB794" s="744"/>
    </row>
    <row r="795" spans="1:28" s="457" customFormat="1" ht="18" customHeight="1" x14ac:dyDescent="0.2">
      <c r="A795" s="61"/>
      <c r="B795" s="145"/>
      <c r="C795" s="145"/>
      <c r="D795" s="145"/>
      <c r="E795" s="145"/>
      <c r="F795" s="145"/>
      <c r="G795" s="145"/>
      <c r="H795" s="407"/>
      <c r="I795" s="244"/>
      <c r="J795" s="178"/>
      <c r="K795" s="247"/>
      <c r="L795" s="61"/>
      <c r="M795" s="145"/>
      <c r="N795" s="145"/>
      <c r="O795" s="61"/>
      <c r="P795" s="145"/>
      <c r="Q795" s="196"/>
      <c r="R795" s="1399"/>
      <c r="S795" s="244"/>
      <c r="T795" s="145"/>
      <c r="U795" s="178"/>
      <c r="V795" s="244"/>
      <c r="W795" s="244"/>
      <c r="X795" s="244"/>
      <c r="Y795" s="178"/>
      <c r="Z795" s="178"/>
      <c r="AA795" s="1405"/>
      <c r="AB795" s="660"/>
    </row>
    <row r="796" spans="1:28" s="457" customFormat="1" ht="18" customHeight="1" x14ac:dyDescent="0.2">
      <c r="A796" s="242"/>
      <c r="B796" s="241"/>
      <c r="C796" s="498"/>
      <c r="D796" s="88"/>
      <c r="E796" s="85"/>
      <c r="F796" s="499"/>
      <c r="G796" s="241"/>
      <c r="H796" s="500"/>
      <c r="I796" s="244"/>
      <c r="J796" s="178"/>
      <c r="K796" s="247"/>
      <c r="L796" s="61"/>
      <c r="M796" s="145"/>
      <c r="N796" s="145"/>
      <c r="O796" s="61"/>
      <c r="P796" s="145"/>
      <c r="Q796" s="196"/>
      <c r="R796" s="445"/>
      <c r="S796" s="1398"/>
      <c r="T796" s="88"/>
      <c r="U796" s="244"/>
      <c r="V796" s="205"/>
      <c r="W796" s="205"/>
      <c r="X796" s="205"/>
      <c r="Y796" s="181"/>
      <c r="Z796" s="181"/>
      <c r="AA796" s="1406"/>
      <c r="AB796" s="744"/>
    </row>
    <row r="797" spans="1:28" s="457" customFormat="1" ht="18" customHeight="1" x14ac:dyDescent="0.2">
      <c r="A797" s="145"/>
      <c r="B797" s="145"/>
      <c r="C797" s="145"/>
      <c r="D797" s="145"/>
      <c r="E797" s="145"/>
      <c r="F797" s="145"/>
      <c r="G797" s="145"/>
      <c r="H797" s="147"/>
      <c r="I797" s="178"/>
      <c r="J797" s="178"/>
      <c r="K797" s="178"/>
      <c r="L797" s="145"/>
      <c r="M797" s="145"/>
      <c r="N797" s="145"/>
      <c r="O797" s="145"/>
      <c r="P797" s="147"/>
      <c r="Q797" s="148"/>
      <c r="R797" s="437"/>
      <c r="S797" s="178"/>
      <c r="T797" s="179"/>
      <c r="U797" s="178"/>
      <c r="V797" s="178"/>
      <c r="W797" s="178"/>
      <c r="X797" s="470"/>
      <c r="Y797" s="470"/>
      <c r="Z797" s="748"/>
      <c r="AA797" s="748"/>
      <c r="AB797" s="744"/>
    </row>
    <row r="798" spans="1:28" s="457" customFormat="1" ht="18" customHeight="1" x14ac:dyDescent="0.2">
      <c r="A798" s="145"/>
      <c r="B798" s="145"/>
      <c r="C798" s="145"/>
      <c r="D798" s="145"/>
      <c r="E798" s="145"/>
      <c r="F798" s="145"/>
      <c r="G798" s="145"/>
      <c r="H798" s="147"/>
      <c r="I798" s="178"/>
      <c r="J798" s="178"/>
      <c r="K798" s="178"/>
      <c r="L798" s="145"/>
      <c r="M798" s="145"/>
      <c r="N798" s="145"/>
      <c r="O798" s="145"/>
      <c r="P798" s="147"/>
      <c r="Q798" s="148"/>
      <c r="R798" s="437"/>
      <c r="S798" s="178"/>
      <c r="T798" s="179"/>
      <c r="U798" s="178"/>
      <c r="V798" s="178"/>
      <c r="W798" s="178"/>
      <c r="X798" s="470"/>
      <c r="Y798" s="470"/>
      <c r="Z798" s="748"/>
      <c r="AA798" s="748"/>
      <c r="AB798" s="744"/>
    </row>
    <row r="799" spans="1:28" s="457" customFormat="1" ht="18" customHeight="1" x14ac:dyDescent="0.2">
      <c r="A799" s="145"/>
      <c r="B799" s="145"/>
      <c r="C799" s="145"/>
      <c r="D799" s="145"/>
      <c r="E799" s="145"/>
      <c r="F799" s="145"/>
      <c r="G799" s="145"/>
      <c r="H799" s="147"/>
      <c r="I799" s="178"/>
      <c r="J799" s="178"/>
      <c r="K799" s="178"/>
      <c r="L799" s="145"/>
      <c r="M799" s="145"/>
      <c r="N799" s="145"/>
      <c r="O799" s="145"/>
      <c r="P799" s="147"/>
      <c r="Q799" s="148"/>
      <c r="R799" s="437"/>
      <c r="S799" s="178"/>
      <c r="T799" s="179"/>
      <c r="U799" s="178"/>
      <c r="V799" s="178"/>
      <c r="W799" s="178"/>
      <c r="X799" s="470"/>
      <c r="Y799" s="470"/>
      <c r="Z799" s="748"/>
      <c r="AA799" s="748"/>
      <c r="AB799" s="744"/>
    </row>
    <row r="800" spans="1:28" s="457" customFormat="1" ht="18" customHeight="1" x14ac:dyDescent="0.2">
      <c r="A800" s="145"/>
      <c r="B800" s="145"/>
      <c r="C800" s="145"/>
      <c r="D800" s="145"/>
      <c r="E800" s="145"/>
      <c r="F800" s="145"/>
      <c r="G800" s="145"/>
      <c r="H800" s="147"/>
      <c r="I800" s="178"/>
      <c r="J800" s="178"/>
      <c r="K800" s="178"/>
      <c r="L800" s="145"/>
      <c r="M800" s="145"/>
      <c r="N800" s="145"/>
      <c r="O800" s="145"/>
      <c r="P800" s="147"/>
      <c r="Q800" s="148"/>
      <c r="R800" s="437"/>
      <c r="S800" s="178"/>
      <c r="T800" s="179"/>
      <c r="U800" s="178"/>
      <c r="V800" s="178"/>
      <c r="W800" s="178"/>
      <c r="X800" s="470"/>
      <c r="Y800" s="470"/>
      <c r="Z800" s="748"/>
      <c r="AA800" s="748"/>
      <c r="AB800" s="744"/>
    </row>
    <row r="801" spans="1:28" s="457" customFormat="1" ht="18" customHeight="1" x14ac:dyDescent="0.2">
      <c r="A801" s="145"/>
      <c r="B801" s="145"/>
      <c r="C801" s="145"/>
      <c r="D801" s="145"/>
      <c r="E801" s="145"/>
      <c r="F801" s="145"/>
      <c r="G801" s="145"/>
      <c r="H801" s="147"/>
      <c r="I801" s="178"/>
      <c r="J801" s="178"/>
      <c r="K801" s="178"/>
      <c r="L801" s="145"/>
      <c r="M801" s="145"/>
      <c r="N801" s="145"/>
      <c r="O801" s="145"/>
      <c r="P801" s="147"/>
      <c r="Q801" s="148"/>
      <c r="R801" s="437"/>
      <c r="S801" s="178"/>
      <c r="T801" s="179"/>
      <c r="U801" s="178"/>
      <c r="V801" s="178"/>
      <c r="W801" s="178"/>
      <c r="X801" s="470"/>
      <c r="Y801" s="470"/>
      <c r="Z801" s="748"/>
      <c r="AA801" s="748"/>
      <c r="AB801" s="744"/>
    </row>
    <row r="802" spans="1:28" s="457" customFormat="1" ht="18" customHeight="1" x14ac:dyDescent="0.2">
      <c r="A802" s="145"/>
      <c r="B802" s="145"/>
      <c r="C802" s="145"/>
      <c r="D802" s="145"/>
      <c r="E802" s="145"/>
      <c r="F802" s="145"/>
      <c r="G802" s="145"/>
      <c r="H802" s="147"/>
      <c r="I802" s="178"/>
      <c r="J802" s="178"/>
      <c r="K802" s="178"/>
      <c r="L802" s="145"/>
      <c r="M802" s="145"/>
      <c r="N802" s="145"/>
      <c r="O802" s="145"/>
      <c r="P802" s="147"/>
      <c r="Q802" s="148"/>
      <c r="R802" s="437"/>
      <c r="S802" s="178"/>
      <c r="T802" s="179"/>
      <c r="U802" s="178"/>
      <c r="V802" s="178"/>
      <c r="W802" s="178"/>
      <c r="X802" s="470"/>
      <c r="Y802" s="470"/>
      <c r="Z802" s="748"/>
      <c r="AA802" s="748"/>
      <c r="AB802" s="744"/>
    </row>
    <row r="803" spans="1:28" s="457" customFormat="1" ht="18" customHeight="1" x14ac:dyDescent="0.2">
      <c r="A803" s="145"/>
      <c r="B803" s="145"/>
      <c r="C803" s="145"/>
      <c r="D803" s="145"/>
      <c r="E803" s="145"/>
      <c r="F803" s="145"/>
      <c r="G803" s="145"/>
      <c r="H803" s="147"/>
      <c r="I803" s="178"/>
      <c r="J803" s="178"/>
      <c r="K803" s="178"/>
      <c r="L803" s="145"/>
      <c r="M803" s="145"/>
      <c r="N803" s="145"/>
      <c r="O803" s="145"/>
      <c r="P803" s="147"/>
      <c r="Q803" s="148"/>
      <c r="R803" s="437"/>
      <c r="S803" s="178"/>
      <c r="T803" s="179"/>
      <c r="U803" s="178"/>
      <c r="V803" s="178"/>
      <c r="W803" s="178"/>
      <c r="X803" s="470"/>
      <c r="Y803" s="470"/>
      <c r="Z803" s="748"/>
      <c r="AA803" s="748"/>
      <c r="AB803" s="744"/>
    </row>
    <row r="804" spans="1:28" s="457" customFormat="1" ht="18" customHeight="1" x14ac:dyDescent="0.2">
      <c r="A804" s="145"/>
      <c r="B804" s="145"/>
      <c r="C804" s="145"/>
      <c r="D804" s="145"/>
      <c r="E804" s="145"/>
      <c r="F804" s="145"/>
      <c r="G804" s="145"/>
      <c r="H804" s="147"/>
      <c r="I804" s="178"/>
      <c r="J804" s="178"/>
      <c r="K804" s="178"/>
      <c r="L804" s="145"/>
      <c r="M804" s="145"/>
      <c r="N804" s="145"/>
      <c r="O804" s="145"/>
      <c r="P804" s="147"/>
      <c r="Q804" s="148"/>
      <c r="R804" s="437"/>
      <c r="S804" s="178"/>
      <c r="T804" s="179"/>
      <c r="U804" s="178"/>
      <c r="V804" s="178"/>
      <c r="W804" s="178"/>
      <c r="X804" s="470"/>
      <c r="Y804" s="470"/>
      <c r="Z804" s="748"/>
      <c r="AA804" s="748"/>
      <c r="AB804" s="744"/>
    </row>
    <row r="805" spans="1:28" s="457" customFormat="1" ht="18" customHeight="1" x14ac:dyDescent="0.2">
      <c r="A805" s="145"/>
      <c r="B805" s="145"/>
      <c r="C805" s="145"/>
      <c r="D805" s="145"/>
      <c r="E805" s="145"/>
      <c r="F805" s="145"/>
      <c r="G805" s="145"/>
      <c r="H805" s="147"/>
      <c r="I805" s="178"/>
      <c r="J805" s="178"/>
      <c r="K805" s="178"/>
      <c r="L805" s="145"/>
      <c r="M805" s="145"/>
      <c r="N805" s="145"/>
      <c r="O805" s="145"/>
      <c r="P805" s="147"/>
      <c r="Q805" s="148"/>
      <c r="R805" s="437"/>
      <c r="S805" s="178"/>
      <c r="T805" s="179"/>
      <c r="U805" s="178"/>
      <c r="V805" s="178"/>
      <c r="W805" s="178"/>
      <c r="X805" s="470"/>
      <c r="Y805" s="470"/>
      <c r="Z805" s="748"/>
      <c r="AA805" s="748"/>
      <c r="AB805" s="744"/>
    </row>
    <row r="806" spans="1:28" s="457" customFormat="1" ht="18" customHeight="1" x14ac:dyDescent="0.2">
      <c r="A806" s="145"/>
      <c r="B806" s="145"/>
      <c r="C806" s="145"/>
      <c r="D806" s="145"/>
      <c r="E806" s="145"/>
      <c r="F806" s="145"/>
      <c r="G806" s="145"/>
      <c r="H806" s="147"/>
      <c r="I806" s="178"/>
      <c r="J806" s="178"/>
      <c r="K806" s="178"/>
      <c r="L806" s="145"/>
      <c r="M806" s="145"/>
      <c r="N806" s="145"/>
      <c r="O806" s="145"/>
      <c r="P806" s="147"/>
      <c r="Q806" s="148"/>
      <c r="R806" s="437"/>
      <c r="S806" s="178"/>
      <c r="T806" s="179"/>
      <c r="U806" s="178"/>
      <c r="V806" s="178"/>
      <c r="W806" s="178"/>
      <c r="X806" s="470"/>
      <c r="Y806" s="470"/>
      <c r="Z806" s="748"/>
      <c r="AA806" s="748"/>
      <c r="AB806" s="744"/>
    </row>
    <row r="807" spans="1:28" s="457" customFormat="1" ht="18" customHeight="1" x14ac:dyDescent="0.2">
      <c r="A807" s="183"/>
      <c r="B807" s="183"/>
      <c r="C807" s="183"/>
      <c r="D807" s="183"/>
      <c r="E807" s="183"/>
      <c r="F807" s="183"/>
      <c r="G807" s="183"/>
      <c r="H807" s="184"/>
      <c r="I807" s="186"/>
      <c r="J807" s="186"/>
      <c r="K807" s="186"/>
      <c r="L807" s="186"/>
      <c r="M807" s="186"/>
      <c r="N807" s="186"/>
      <c r="O807" s="186"/>
      <c r="P807" s="186"/>
      <c r="Q807" s="186"/>
      <c r="R807" s="438"/>
      <c r="S807" s="186"/>
      <c r="T807" s="187"/>
      <c r="U807" s="186"/>
      <c r="V807" s="186"/>
      <c r="W807" s="186"/>
      <c r="X807" s="474"/>
      <c r="Y807" s="474"/>
      <c r="Z807" s="749"/>
      <c r="AA807" s="749"/>
      <c r="AB807" s="1848">
        <f>SUM(AB792:AB806)</f>
        <v>739.2</v>
      </c>
    </row>
    <row r="808" spans="1:28" s="457" customFormat="1" ht="18" customHeight="1" x14ac:dyDescent="0.2">
      <c r="A808" s="2737" t="s">
        <v>76</v>
      </c>
      <c r="B808" s="2737"/>
      <c r="C808" s="2738" t="s">
        <v>77</v>
      </c>
      <c r="D808" s="2738"/>
      <c r="E808" s="2738"/>
      <c r="F808" s="2738"/>
      <c r="G808" s="2738"/>
      <c r="H808" s="2738"/>
      <c r="I808" s="457" t="s">
        <v>78</v>
      </c>
      <c r="AB808" s="750"/>
    </row>
    <row r="809" spans="1:28" s="457" customFormat="1" ht="18" customHeight="1" x14ac:dyDescent="0.2">
      <c r="B809" s="479"/>
      <c r="I809" s="457" t="s">
        <v>79</v>
      </c>
      <c r="AB809" s="750"/>
    </row>
    <row r="810" spans="1:28" s="457" customFormat="1" ht="18" customHeight="1" x14ac:dyDescent="0.2">
      <c r="B810" s="479"/>
      <c r="I810" s="457" t="s">
        <v>80</v>
      </c>
      <c r="AB810" s="750"/>
    </row>
    <row r="811" spans="1:28" s="457" customFormat="1" ht="18" customHeight="1" x14ac:dyDescent="0.2">
      <c r="B811" s="479"/>
      <c r="I811" s="457" t="s">
        <v>81</v>
      </c>
      <c r="AB811" s="750"/>
    </row>
    <row r="812" spans="1:28" s="457" customFormat="1" ht="18" customHeight="1" x14ac:dyDescent="0.2">
      <c r="B812" s="479"/>
      <c r="I812" s="457" t="s">
        <v>88</v>
      </c>
      <c r="AB812" s="750"/>
    </row>
    <row r="813" spans="1:28" s="457" customFormat="1" ht="17.25" customHeight="1" x14ac:dyDescent="0.2">
      <c r="A813" s="455"/>
      <c r="B813" s="455"/>
      <c r="C813" s="455"/>
      <c r="D813" s="455"/>
      <c r="E813" s="455"/>
      <c r="F813" s="455"/>
      <c r="G813" s="455"/>
      <c r="H813" s="455"/>
      <c r="I813" s="455"/>
      <c r="J813" s="455"/>
      <c r="K813" s="455"/>
      <c r="L813" s="455"/>
      <c r="M813" s="455"/>
      <c r="N813" s="455"/>
      <c r="O813" s="455"/>
      <c r="P813" s="455"/>
      <c r="Q813" s="455"/>
      <c r="R813" s="455"/>
      <c r="S813" s="455"/>
      <c r="T813" s="455"/>
      <c r="U813" s="455"/>
      <c r="V813" s="455"/>
      <c r="W813" s="455"/>
      <c r="X813" s="455"/>
      <c r="Y813" s="455"/>
      <c r="Z813" s="455"/>
      <c r="AA813" s="2705" t="s">
        <v>0</v>
      </c>
      <c r="AB813" s="2705"/>
    </row>
    <row r="814" spans="1:28" s="457" customFormat="1" ht="15" customHeight="1" x14ac:dyDescent="0.2">
      <c r="A814" s="2706" t="s">
        <v>1</v>
      </c>
      <c r="B814" s="2706"/>
      <c r="C814" s="2706"/>
      <c r="D814" s="2706"/>
      <c r="E814" s="2706"/>
      <c r="F814" s="2706"/>
      <c r="G814" s="2706"/>
      <c r="H814" s="2706"/>
      <c r="I814" s="2706"/>
      <c r="J814" s="2706"/>
      <c r="K814" s="2706"/>
      <c r="L814" s="2706"/>
      <c r="M814" s="2706"/>
      <c r="N814" s="2706"/>
      <c r="O814" s="2706"/>
      <c r="P814" s="2706"/>
      <c r="Q814" s="2706"/>
      <c r="R814" s="2706"/>
      <c r="S814" s="2706"/>
      <c r="T814" s="2706"/>
      <c r="U814" s="2706"/>
      <c r="V814" s="2706"/>
      <c r="W814" s="2706"/>
      <c r="X814" s="2706"/>
      <c r="Y814" s="2706"/>
      <c r="Z814" s="2706"/>
      <c r="AA814" s="2706"/>
      <c r="AB814" s="2706"/>
    </row>
    <row r="815" spans="1:28" s="457" customFormat="1" ht="15" customHeight="1" x14ac:dyDescent="0.2">
      <c r="A815" s="2704" t="s">
        <v>364</v>
      </c>
      <c r="B815" s="2704"/>
      <c r="C815" s="2704"/>
      <c r="D815" s="2704"/>
      <c r="E815" s="2704"/>
      <c r="F815" s="2704"/>
      <c r="G815" s="2704"/>
      <c r="H815" s="2704"/>
      <c r="I815" s="2704"/>
      <c r="J815" s="2704"/>
      <c r="K815" s="2704"/>
      <c r="L815" s="2704"/>
      <c r="M815" s="2704"/>
      <c r="N815" s="2704"/>
      <c r="O815" s="2704"/>
      <c r="P815" s="2704"/>
      <c r="Q815" s="2704"/>
      <c r="R815" s="2704"/>
      <c r="S815" s="2704"/>
      <c r="T815" s="2704"/>
      <c r="U815" s="2704"/>
      <c r="V815" s="2704"/>
      <c r="W815" s="2704"/>
      <c r="X815" s="2704"/>
      <c r="Y815" s="2704"/>
      <c r="Z815" s="2704"/>
      <c r="AA815" s="2704"/>
      <c r="AB815" s="2704"/>
    </row>
    <row r="816" spans="1:28" s="457" customFormat="1" ht="17.25" customHeight="1" x14ac:dyDescent="0.2">
      <c r="A816" s="2686" t="s">
        <v>2</v>
      </c>
      <c r="B816" s="360"/>
      <c r="C816" s="2686" t="s">
        <v>3</v>
      </c>
      <c r="D816" s="360"/>
      <c r="E816" s="360"/>
      <c r="F816" s="2693" t="s">
        <v>4</v>
      </c>
      <c r="G816" s="2693"/>
      <c r="H816" s="2693"/>
      <c r="I816" s="2694"/>
      <c r="J816" s="2694"/>
      <c r="K816" s="2695"/>
      <c r="L816" s="361"/>
      <c r="M816" s="2679" t="s">
        <v>5</v>
      </c>
      <c r="N816" s="2679"/>
      <c r="O816" s="2679"/>
      <c r="P816" s="2679"/>
      <c r="Q816" s="2696"/>
      <c r="R816" s="2696"/>
      <c r="S816" s="2696"/>
      <c r="T816" s="2696"/>
      <c r="U816" s="2696"/>
      <c r="V816" s="2697"/>
      <c r="W816" s="362" t="s">
        <v>6</v>
      </c>
      <c r="X816" s="363" t="s">
        <v>7</v>
      </c>
      <c r="Y816" s="364"/>
      <c r="Z816" s="364"/>
      <c r="AA816" s="363"/>
      <c r="AB816" s="458"/>
    </row>
    <row r="817" spans="1:32" s="457" customFormat="1" ht="17.25" customHeight="1" x14ac:dyDescent="0.2">
      <c r="A817" s="2687"/>
      <c r="B817" s="367"/>
      <c r="C817" s="2687"/>
      <c r="D817" s="366" t="s">
        <v>9</v>
      </c>
      <c r="E817" s="366" t="s">
        <v>10</v>
      </c>
      <c r="F817" s="2698" t="s">
        <v>11</v>
      </c>
      <c r="G817" s="2694"/>
      <c r="H817" s="2695"/>
      <c r="I817" s="360"/>
      <c r="J817" s="449" t="s">
        <v>12</v>
      </c>
      <c r="K817" s="360"/>
      <c r="L817" s="2679" t="s">
        <v>2</v>
      </c>
      <c r="M817" s="370"/>
      <c r="N817" s="370"/>
      <c r="O817" s="370"/>
      <c r="P817" s="371"/>
      <c r="Q817" s="459" t="s">
        <v>13</v>
      </c>
      <c r="R817" s="370" t="s">
        <v>12</v>
      </c>
      <c r="S817" s="370" t="s">
        <v>6</v>
      </c>
      <c r="T817" s="2682" t="s">
        <v>14</v>
      </c>
      <c r="U817" s="2683"/>
      <c r="V817" s="375" t="s">
        <v>7</v>
      </c>
      <c r="W817" s="376" t="s">
        <v>15</v>
      </c>
      <c r="X817" s="377" t="s">
        <v>16</v>
      </c>
      <c r="Y817" s="377" t="s">
        <v>17</v>
      </c>
      <c r="Z817" s="377" t="s">
        <v>18</v>
      </c>
      <c r="AA817" s="377"/>
      <c r="AB817" s="460" t="s">
        <v>19</v>
      </c>
    </row>
    <row r="818" spans="1:32" s="457" customFormat="1" ht="17.25" customHeight="1" x14ac:dyDescent="0.2">
      <c r="A818" s="2687"/>
      <c r="B818" s="366" t="s">
        <v>23</v>
      </c>
      <c r="C818" s="2687"/>
      <c r="D818" s="366" t="s">
        <v>24</v>
      </c>
      <c r="E818" s="366" t="s">
        <v>25</v>
      </c>
      <c r="F818" s="2699"/>
      <c r="G818" s="2700"/>
      <c r="H818" s="2701"/>
      <c r="I818" s="366" t="s">
        <v>26</v>
      </c>
      <c r="J818" s="380" t="s">
        <v>15</v>
      </c>
      <c r="K818" s="380" t="s">
        <v>6</v>
      </c>
      <c r="L818" s="2680"/>
      <c r="M818" s="381" t="s">
        <v>27</v>
      </c>
      <c r="N818" s="381" t="s">
        <v>10</v>
      </c>
      <c r="O818" s="381" t="s">
        <v>10</v>
      </c>
      <c r="P818" s="385" t="s">
        <v>28</v>
      </c>
      <c r="Q818" s="461" t="s">
        <v>29</v>
      </c>
      <c r="R818" s="385" t="s">
        <v>15</v>
      </c>
      <c r="S818" s="385" t="s">
        <v>15</v>
      </c>
      <c r="T818" s="2684"/>
      <c r="U818" s="2685"/>
      <c r="V818" s="375" t="s">
        <v>30</v>
      </c>
      <c r="W818" s="376" t="s">
        <v>31</v>
      </c>
      <c r="X818" s="377" t="s">
        <v>30</v>
      </c>
      <c r="Y818" s="377" t="s">
        <v>32</v>
      </c>
      <c r="Z818" s="377" t="s">
        <v>7</v>
      </c>
      <c r="AA818" s="377" t="s">
        <v>33</v>
      </c>
      <c r="AB818" s="460" t="s">
        <v>34</v>
      </c>
    </row>
    <row r="819" spans="1:32" s="457" customFormat="1" ht="17.25" customHeight="1" x14ac:dyDescent="0.2">
      <c r="A819" s="2687"/>
      <c r="B819" s="366" t="s">
        <v>39</v>
      </c>
      <c r="C819" s="2687"/>
      <c r="D819" s="366" t="s">
        <v>40</v>
      </c>
      <c r="E819" s="366" t="s">
        <v>41</v>
      </c>
      <c r="F819" s="2686" t="s">
        <v>42</v>
      </c>
      <c r="G819" s="2686" t="s">
        <v>43</v>
      </c>
      <c r="H819" s="2688" t="s">
        <v>44</v>
      </c>
      <c r="I819" s="366" t="s">
        <v>45</v>
      </c>
      <c r="J819" s="380" t="s">
        <v>46</v>
      </c>
      <c r="K819" s="380" t="s">
        <v>47</v>
      </c>
      <c r="L819" s="2680"/>
      <c r="M819" s="381" t="s">
        <v>30</v>
      </c>
      <c r="N819" s="381" t="s">
        <v>30</v>
      </c>
      <c r="O819" s="381" t="s">
        <v>25</v>
      </c>
      <c r="P819" s="385" t="s">
        <v>30</v>
      </c>
      <c r="Q819" s="461" t="s">
        <v>48</v>
      </c>
      <c r="R819" s="385" t="s">
        <v>49</v>
      </c>
      <c r="S819" s="385" t="s">
        <v>30</v>
      </c>
      <c r="T819" s="374" t="s">
        <v>50</v>
      </c>
      <c r="U819" s="374" t="s">
        <v>13</v>
      </c>
      <c r="V819" s="375" t="s">
        <v>51</v>
      </c>
      <c r="W819" s="376" t="s">
        <v>52</v>
      </c>
      <c r="X819" s="377" t="s">
        <v>53</v>
      </c>
      <c r="Y819" s="377" t="s">
        <v>54</v>
      </c>
      <c r="Z819" s="377" t="s">
        <v>55</v>
      </c>
      <c r="AA819" s="377" t="s">
        <v>56</v>
      </c>
      <c r="AB819" s="460" t="s">
        <v>57</v>
      </c>
    </row>
    <row r="820" spans="1:32" s="457" customFormat="1" ht="17.25" customHeight="1" x14ac:dyDescent="0.2">
      <c r="A820" s="2687"/>
      <c r="B820" s="366" t="s">
        <v>61</v>
      </c>
      <c r="C820" s="2687"/>
      <c r="D820" s="366" t="s">
        <v>62</v>
      </c>
      <c r="E820" s="366" t="s">
        <v>63</v>
      </c>
      <c r="F820" s="2687"/>
      <c r="G820" s="2687"/>
      <c r="H820" s="2689"/>
      <c r="I820" s="366" t="s">
        <v>64</v>
      </c>
      <c r="J820" s="380" t="s">
        <v>59</v>
      </c>
      <c r="K820" s="380" t="s">
        <v>59</v>
      </c>
      <c r="L820" s="2680"/>
      <c r="M820" s="381"/>
      <c r="N820" s="381"/>
      <c r="O820" s="381" t="s">
        <v>41</v>
      </c>
      <c r="P820" s="385" t="s">
        <v>65</v>
      </c>
      <c r="Q820" s="461" t="s">
        <v>66</v>
      </c>
      <c r="R820" s="385" t="s">
        <v>67</v>
      </c>
      <c r="S820" s="385" t="s">
        <v>59</v>
      </c>
      <c r="T820" s="375" t="s">
        <v>68</v>
      </c>
      <c r="U820" s="375" t="s">
        <v>14</v>
      </c>
      <c r="V820" s="375" t="s">
        <v>14</v>
      </c>
      <c r="W820" s="376" t="s">
        <v>30</v>
      </c>
      <c r="X820" s="388" t="s">
        <v>69</v>
      </c>
      <c r="Y820" s="388" t="s">
        <v>70</v>
      </c>
      <c r="Z820" s="377" t="s">
        <v>71</v>
      </c>
      <c r="AA820" s="377" t="s">
        <v>72</v>
      </c>
      <c r="AB820" s="460" t="s">
        <v>59</v>
      </c>
    </row>
    <row r="821" spans="1:32" s="457" customFormat="1" ht="17.25" customHeight="1" x14ac:dyDescent="0.2">
      <c r="A821" s="2692"/>
      <c r="B821" s="390"/>
      <c r="C821" s="2692"/>
      <c r="D821" s="390"/>
      <c r="E821" s="389"/>
      <c r="F821" s="390"/>
      <c r="G821" s="390"/>
      <c r="H821" s="391"/>
      <c r="I821" s="389"/>
      <c r="J821" s="393"/>
      <c r="K821" s="393"/>
      <c r="L821" s="2681"/>
      <c r="M821" s="394"/>
      <c r="N821" s="394"/>
      <c r="O821" s="394" t="s">
        <v>63</v>
      </c>
      <c r="P821" s="394"/>
      <c r="Q821" s="450" t="s">
        <v>72</v>
      </c>
      <c r="R821" s="398" t="s">
        <v>59</v>
      </c>
      <c r="S821" s="398"/>
      <c r="T821" s="398" t="s">
        <v>73</v>
      </c>
      <c r="U821" s="398" t="s">
        <v>59</v>
      </c>
      <c r="V821" s="399" t="s">
        <v>59</v>
      </c>
      <c r="W821" s="400" t="s">
        <v>59</v>
      </c>
      <c r="X821" s="401" t="s">
        <v>59</v>
      </c>
      <c r="Y821" s="401" t="s">
        <v>59</v>
      </c>
      <c r="Z821" s="401" t="s">
        <v>59</v>
      </c>
      <c r="AA821" s="402"/>
      <c r="AB821" s="462"/>
    </row>
    <row r="822" spans="1:32" s="457" customFormat="1" ht="17.25" customHeight="1" x14ac:dyDescent="0.2">
      <c r="A822" s="16">
        <v>1</v>
      </c>
      <c r="B822" s="41">
        <v>2320</v>
      </c>
      <c r="C822" s="41">
        <v>351</v>
      </c>
      <c r="D822" s="41" t="s">
        <v>86</v>
      </c>
      <c r="E822" s="259">
        <v>4</v>
      </c>
      <c r="F822" s="1615">
        <v>0</v>
      </c>
      <c r="G822" s="1615">
        <v>1</v>
      </c>
      <c r="H822" s="1616">
        <v>32</v>
      </c>
      <c r="I822" s="44">
        <f>F822*400+G822*100+H822</f>
        <v>132</v>
      </c>
      <c r="J822" s="1584">
        <v>300</v>
      </c>
      <c r="K822" s="60">
        <f>SUM(I822*J822)</f>
        <v>39600</v>
      </c>
      <c r="L822" s="16"/>
      <c r="M822" s="82"/>
      <c r="N822" s="41"/>
      <c r="O822" s="1671">
        <v>1</v>
      </c>
      <c r="P822" s="847"/>
      <c r="Q822" s="14"/>
      <c r="R822" s="741"/>
      <c r="S822" s="302"/>
      <c r="T822" s="41"/>
      <c r="U822" s="302"/>
      <c r="V822" s="302"/>
      <c r="W822" s="18">
        <f t="shared" ref="W822:W839" si="158">K822+V822</f>
        <v>39600</v>
      </c>
      <c r="X822" s="47">
        <f t="shared" ref="X822:X839" si="159">W822</f>
        <v>39600</v>
      </c>
      <c r="Y822" s="1781" t="s">
        <v>87</v>
      </c>
      <c r="Z822" s="18">
        <v>0</v>
      </c>
      <c r="AA822" s="494">
        <v>0.01</v>
      </c>
      <c r="AB822" s="465">
        <f t="shared" ref="AB822:AB839" si="160">+Z822*AA822/100</f>
        <v>0</v>
      </c>
    </row>
    <row r="823" spans="1:32" s="457" customFormat="1" ht="17.25" customHeight="1" x14ac:dyDescent="0.25">
      <c r="A823" s="269">
        <v>2</v>
      </c>
      <c r="B823" s="269">
        <v>30604</v>
      </c>
      <c r="C823" s="882" t="s">
        <v>183</v>
      </c>
      <c r="D823" s="270" t="s">
        <v>86</v>
      </c>
      <c r="E823" s="27">
        <v>4</v>
      </c>
      <c r="F823" s="1768">
        <v>0</v>
      </c>
      <c r="G823" s="1769">
        <v>0</v>
      </c>
      <c r="H823" s="1770">
        <v>59</v>
      </c>
      <c r="I823" s="44">
        <f t="shared" ref="I823:I839" si="161">F823*400+G823*100+H823</f>
        <v>59</v>
      </c>
      <c r="J823" s="1778">
        <v>1100</v>
      </c>
      <c r="K823" s="60">
        <f t="shared" ref="K823:K839" si="162">SUM(I823*J823)</f>
        <v>64900</v>
      </c>
      <c r="L823" s="58"/>
      <c r="M823" s="231"/>
      <c r="N823" s="270"/>
      <c r="O823" s="1780">
        <v>1</v>
      </c>
      <c r="P823" s="1128"/>
      <c r="Q823" s="1129"/>
      <c r="R823" s="1130"/>
      <c r="S823" s="1007"/>
      <c r="T823" s="270"/>
      <c r="U823" s="1007"/>
      <c r="V823" s="1007"/>
      <c r="W823" s="18">
        <f t="shared" si="158"/>
        <v>64900</v>
      </c>
      <c r="X823" s="47">
        <f t="shared" si="159"/>
        <v>64900</v>
      </c>
      <c r="Y823" s="18"/>
      <c r="Z823" s="18">
        <v>0</v>
      </c>
      <c r="AA823" s="494">
        <v>0.01</v>
      </c>
      <c r="AB823" s="465">
        <f t="shared" si="160"/>
        <v>0</v>
      </c>
      <c r="AC823" s="602"/>
      <c r="AD823" s="603"/>
      <c r="AE823" s="603"/>
      <c r="AF823" s="603"/>
    </row>
    <row r="824" spans="1:32" s="457" customFormat="1" ht="17.25" customHeight="1" x14ac:dyDescent="0.25">
      <c r="A824" s="269">
        <v>3</v>
      </c>
      <c r="B824" s="269">
        <v>30607</v>
      </c>
      <c r="C824" s="1131" t="s">
        <v>184</v>
      </c>
      <c r="D824" s="27" t="s">
        <v>86</v>
      </c>
      <c r="E824" s="270">
        <v>4</v>
      </c>
      <c r="F824" s="1617">
        <v>0</v>
      </c>
      <c r="G824" s="1618">
        <v>0</v>
      </c>
      <c r="H824" s="1619">
        <v>49</v>
      </c>
      <c r="I824" s="44">
        <f t="shared" si="161"/>
        <v>49</v>
      </c>
      <c r="J824" s="1585">
        <v>1100</v>
      </c>
      <c r="K824" s="60">
        <f t="shared" si="162"/>
        <v>53900</v>
      </c>
      <c r="L824" s="45"/>
      <c r="M824" s="88"/>
      <c r="N824" s="27"/>
      <c r="O824" s="1497">
        <v>1</v>
      </c>
      <c r="P824" s="28"/>
      <c r="Q824" s="62"/>
      <c r="R824" s="743"/>
      <c r="S824" s="299"/>
      <c r="T824" s="27"/>
      <c r="U824" s="299"/>
      <c r="V824" s="299"/>
      <c r="W824" s="18">
        <f t="shared" si="158"/>
        <v>53900</v>
      </c>
      <c r="X824" s="47">
        <f t="shared" si="159"/>
        <v>53900</v>
      </c>
      <c r="Y824" s="1782"/>
      <c r="Z824" s="18">
        <v>0</v>
      </c>
      <c r="AA824" s="494">
        <v>0.01</v>
      </c>
      <c r="AB824" s="465">
        <f t="shared" si="160"/>
        <v>0</v>
      </c>
    </row>
    <row r="825" spans="1:32" s="457" customFormat="1" ht="17.25" customHeight="1" x14ac:dyDescent="0.25">
      <c r="A825" s="269">
        <v>4</v>
      </c>
      <c r="B825" s="269">
        <v>30608</v>
      </c>
      <c r="C825" s="334" t="s">
        <v>185</v>
      </c>
      <c r="D825" s="27" t="s">
        <v>86</v>
      </c>
      <c r="E825" s="880">
        <v>4</v>
      </c>
      <c r="F825" s="1771">
        <v>0</v>
      </c>
      <c r="G825" s="1772">
        <v>0</v>
      </c>
      <c r="H825" s="1773">
        <v>33</v>
      </c>
      <c r="I825" s="44">
        <f t="shared" si="161"/>
        <v>33</v>
      </c>
      <c r="J825" s="1581">
        <v>1100</v>
      </c>
      <c r="K825" s="60">
        <f t="shared" si="162"/>
        <v>36300</v>
      </c>
      <c r="L825" s="255"/>
      <c r="M825" s="241"/>
      <c r="N825" s="255"/>
      <c r="O825" s="1583">
        <v>1</v>
      </c>
      <c r="P825" s="848"/>
      <c r="Q825" s="334"/>
      <c r="R825" s="702"/>
      <c r="S825" s="320"/>
      <c r="T825" s="849"/>
      <c r="U825" s="320"/>
      <c r="V825" s="320"/>
      <c r="W825" s="18">
        <f t="shared" si="158"/>
        <v>36300</v>
      </c>
      <c r="X825" s="47">
        <f t="shared" si="159"/>
        <v>36300</v>
      </c>
      <c r="Y825" s="1782"/>
      <c r="Z825" s="39">
        <v>0</v>
      </c>
      <c r="AA825" s="494">
        <v>0.01</v>
      </c>
      <c r="AB825" s="465">
        <f t="shared" si="160"/>
        <v>0</v>
      </c>
    </row>
    <row r="826" spans="1:32" s="457" customFormat="1" ht="17.25" customHeight="1" x14ac:dyDescent="0.25">
      <c r="A826" s="269">
        <v>5</v>
      </c>
      <c r="B826" s="269">
        <v>31544</v>
      </c>
      <c r="C826" s="285" t="s">
        <v>186</v>
      </c>
      <c r="D826" s="270" t="s">
        <v>86</v>
      </c>
      <c r="E826" s="880">
        <v>4</v>
      </c>
      <c r="F826" s="1617">
        <v>0</v>
      </c>
      <c r="G826" s="1618">
        <v>0</v>
      </c>
      <c r="H826" s="1619">
        <v>84</v>
      </c>
      <c r="I826" s="44">
        <f t="shared" si="161"/>
        <v>84</v>
      </c>
      <c r="J826" s="1581">
        <v>1100</v>
      </c>
      <c r="K826" s="60">
        <f t="shared" si="162"/>
        <v>92400</v>
      </c>
      <c r="L826" s="269"/>
      <c r="M826" s="242"/>
      <c r="N826" s="269"/>
      <c r="O826" s="269">
        <v>1</v>
      </c>
      <c r="P826" s="266"/>
      <c r="Q826" s="285"/>
      <c r="R826" s="1005"/>
      <c r="S826" s="321"/>
      <c r="T826" s="323"/>
      <c r="U826" s="321"/>
      <c r="V826" s="321"/>
      <c r="W826" s="18">
        <f t="shared" si="158"/>
        <v>92400</v>
      </c>
      <c r="X826" s="47">
        <f t="shared" si="159"/>
        <v>92400</v>
      </c>
      <c r="Y826" s="296"/>
      <c r="Z826" s="18">
        <v>0</v>
      </c>
      <c r="AA826" s="494">
        <v>0.01</v>
      </c>
      <c r="AB826" s="465">
        <f t="shared" si="160"/>
        <v>0</v>
      </c>
    </row>
    <row r="827" spans="1:32" s="457" customFormat="1" ht="17.25" customHeight="1" x14ac:dyDescent="0.25">
      <c r="A827" s="269">
        <v>6</v>
      </c>
      <c r="B827" s="269">
        <v>31553</v>
      </c>
      <c r="C827" s="285" t="s">
        <v>187</v>
      </c>
      <c r="D827" s="880" t="s">
        <v>86</v>
      </c>
      <c r="E827" s="27">
        <v>4</v>
      </c>
      <c r="F827" s="1617">
        <v>0</v>
      </c>
      <c r="G827" s="1618">
        <v>0</v>
      </c>
      <c r="H827" s="1619">
        <v>56</v>
      </c>
      <c r="I827" s="44">
        <f t="shared" si="161"/>
        <v>56</v>
      </c>
      <c r="J827" s="1581">
        <v>1100</v>
      </c>
      <c r="K827" s="60">
        <f t="shared" si="162"/>
        <v>61600</v>
      </c>
      <c r="L827" s="269"/>
      <c r="M827" s="242"/>
      <c r="N827" s="269"/>
      <c r="O827" s="269">
        <v>4</v>
      </c>
      <c r="P827" s="266"/>
      <c r="Q827" s="285"/>
      <c r="R827" s="1005"/>
      <c r="S827" s="321"/>
      <c r="T827" s="323"/>
      <c r="U827" s="321"/>
      <c r="V827" s="321"/>
      <c r="W827" s="18">
        <f t="shared" si="158"/>
        <v>61600</v>
      </c>
      <c r="X827" s="47">
        <f t="shared" si="159"/>
        <v>61600</v>
      </c>
      <c r="Y827" s="296"/>
      <c r="Z827" s="18">
        <f t="shared" ref="Z827:Z839" si="163">+X827</f>
        <v>61600</v>
      </c>
      <c r="AA827" s="494">
        <v>0.6</v>
      </c>
      <c r="AB827" s="465">
        <f t="shared" si="160"/>
        <v>369.6</v>
      </c>
    </row>
    <row r="828" spans="1:32" s="457" customFormat="1" ht="17.25" customHeight="1" x14ac:dyDescent="0.25">
      <c r="A828" s="269">
        <v>7</v>
      </c>
      <c r="B828" s="269">
        <v>31575</v>
      </c>
      <c r="C828" s="285" t="s">
        <v>188</v>
      </c>
      <c r="D828" s="27" t="s">
        <v>86</v>
      </c>
      <c r="E828" s="270">
        <v>4</v>
      </c>
      <c r="F828" s="1617">
        <v>0</v>
      </c>
      <c r="G828" s="1618">
        <v>0</v>
      </c>
      <c r="H828" s="1619">
        <v>58</v>
      </c>
      <c r="I828" s="44">
        <f t="shared" si="161"/>
        <v>58</v>
      </c>
      <c r="J828" s="1581">
        <v>1700</v>
      </c>
      <c r="K828" s="60">
        <f t="shared" si="162"/>
        <v>98600</v>
      </c>
      <c r="L828" s="269"/>
      <c r="M828" s="242"/>
      <c r="N828" s="269"/>
      <c r="O828" s="269">
        <v>4</v>
      </c>
      <c r="P828" s="266"/>
      <c r="Q828" s="285"/>
      <c r="R828" s="1005"/>
      <c r="S828" s="321"/>
      <c r="T828" s="323"/>
      <c r="U828" s="321"/>
      <c r="V828" s="321"/>
      <c r="W828" s="18">
        <f t="shared" si="158"/>
        <v>98600</v>
      </c>
      <c r="X828" s="47">
        <f t="shared" si="159"/>
        <v>98600</v>
      </c>
      <c r="Y828" s="296"/>
      <c r="Z828" s="18">
        <f t="shared" si="163"/>
        <v>98600</v>
      </c>
      <c r="AA828" s="494">
        <v>0.6</v>
      </c>
      <c r="AB828" s="465">
        <f t="shared" si="160"/>
        <v>591.6</v>
      </c>
    </row>
    <row r="829" spans="1:32" s="457" customFormat="1" ht="17.25" customHeight="1" x14ac:dyDescent="0.25">
      <c r="A829" s="269">
        <v>8</v>
      </c>
      <c r="B829" s="269">
        <v>31577</v>
      </c>
      <c r="C829" s="285" t="s">
        <v>189</v>
      </c>
      <c r="D829" s="270" t="s">
        <v>86</v>
      </c>
      <c r="E829" s="880">
        <v>4</v>
      </c>
      <c r="F829" s="1617">
        <v>0</v>
      </c>
      <c r="G829" s="1618">
        <v>0</v>
      </c>
      <c r="H829" s="1619">
        <v>51</v>
      </c>
      <c r="I829" s="44">
        <f t="shared" si="161"/>
        <v>51</v>
      </c>
      <c r="J829" s="1581">
        <v>1100</v>
      </c>
      <c r="K829" s="60">
        <f t="shared" si="162"/>
        <v>56100</v>
      </c>
      <c r="L829" s="269"/>
      <c r="M829" s="242"/>
      <c r="N829" s="269"/>
      <c r="O829" s="269">
        <v>4</v>
      </c>
      <c r="P829" s="266"/>
      <c r="Q829" s="285"/>
      <c r="R829" s="1005"/>
      <c r="S829" s="321"/>
      <c r="T829" s="323"/>
      <c r="U829" s="321"/>
      <c r="V829" s="321"/>
      <c r="W829" s="18">
        <f t="shared" si="158"/>
        <v>56100</v>
      </c>
      <c r="X829" s="47">
        <f t="shared" si="159"/>
        <v>56100</v>
      </c>
      <c r="Y829" s="296"/>
      <c r="Z829" s="18">
        <f t="shared" si="163"/>
        <v>56100</v>
      </c>
      <c r="AA829" s="494">
        <v>0.6</v>
      </c>
      <c r="AB829" s="465">
        <f t="shared" si="160"/>
        <v>336.6</v>
      </c>
    </row>
    <row r="830" spans="1:32" s="457" customFormat="1" ht="17.25" customHeight="1" x14ac:dyDescent="0.25">
      <c r="A830" s="269">
        <v>9</v>
      </c>
      <c r="B830" s="269">
        <v>31567</v>
      </c>
      <c r="C830" s="285" t="s">
        <v>190</v>
      </c>
      <c r="D830" s="880" t="s">
        <v>86</v>
      </c>
      <c r="E830" s="880">
        <v>4</v>
      </c>
      <c r="F830" s="1617">
        <v>0</v>
      </c>
      <c r="G830" s="1618">
        <v>0</v>
      </c>
      <c r="H830" s="1619">
        <v>51</v>
      </c>
      <c r="I830" s="44">
        <f t="shared" si="161"/>
        <v>51</v>
      </c>
      <c r="J830" s="1581">
        <v>1100</v>
      </c>
      <c r="K830" s="60">
        <f t="shared" si="162"/>
        <v>56100</v>
      </c>
      <c r="L830" s="269"/>
      <c r="M830" s="242"/>
      <c r="N830" s="269"/>
      <c r="O830" s="269">
        <v>1</v>
      </c>
      <c r="P830" s="266"/>
      <c r="Q830" s="285"/>
      <c r="R830" s="1005"/>
      <c r="S830" s="321"/>
      <c r="T830" s="323"/>
      <c r="U830" s="321"/>
      <c r="V830" s="321"/>
      <c r="W830" s="18">
        <f t="shared" si="158"/>
        <v>56100</v>
      </c>
      <c r="X830" s="47">
        <f t="shared" si="159"/>
        <v>56100</v>
      </c>
      <c r="Y830" s="296"/>
      <c r="Z830" s="18">
        <v>0</v>
      </c>
      <c r="AA830" s="494">
        <v>0.01</v>
      </c>
      <c r="AB830" s="465">
        <f t="shared" si="160"/>
        <v>0</v>
      </c>
    </row>
    <row r="831" spans="1:32" s="457" customFormat="1" ht="17.25" customHeight="1" x14ac:dyDescent="0.25">
      <c r="A831" s="269">
        <v>10</v>
      </c>
      <c r="B831" s="269">
        <v>31569</v>
      </c>
      <c r="C831" s="285" t="s">
        <v>191</v>
      </c>
      <c r="D831" s="27" t="s">
        <v>86</v>
      </c>
      <c r="E831" s="880">
        <v>4</v>
      </c>
      <c r="F831" s="1617">
        <v>0</v>
      </c>
      <c r="G831" s="1618">
        <v>0</v>
      </c>
      <c r="H831" s="1619">
        <v>51</v>
      </c>
      <c r="I831" s="44">
        <f t="shared" si="161"/>
        <v>51</v>
      </c>
      <c r="J831" s="1581">
        <v>1100</v>
      </c>
      <c r="K831" s="60">
        <f t="shared" si="162"/>
        <v>56100</v>
      </c>
      <c r="L831" s="269"/>
      <c r="M831" s="242"/>
      <c r="N831" s="269"/>
      <c r="O831" s="269">
        <v>1</v>
      </c>
      <c r="P831" s="266"/>
      <c r="Q831" s="285"/>
      <c r="R831" s="1005"/>
      <c r="S831" s="321"/>
      <c r="T831" s="323"/>
      <c r="U831" s="321"/>
      <c r="V831" s="321"/>
      <c r="W831" s="18">
        <f t="shared" si="158"/>
        <v>56100</v>
      </c>
      <c r="X831" s="47">
        <f t="shared" si="159"/>
        <v>56100</v>
      </c>
      <c r="Y831" s="296"/>
      <c r="Z831" s="18">
        <v>0</v>
      </c>
      <c r="AA831" s="494">
        <v>0.01</v>
      </c>
      <c r="AB831" s="465">
        <f t="shared" si="160"/>
        <v>0</v>
      </c>
    </row>
    <row r="832" spans="1:32" s="457" customFormat="1" ht="17.25" customHeight="1" x14ac:dyDescent="0.25">
      <c r="A832" s="269">
        <v>11</v>
      </c>
      <c r="B832" s="269">
        <v>31585</v>
      </c>
      <c r="C832" s="285" t="s">
        <v>192</v>
      </c>
      <c r="D832" s="270" t="s">
        <v>86</v>
      </c>
      <c r="E832" s="27">
        <v>4</v>
      </c>
      <c r="F832" s="1617">
        <v>0</v>
      </c>
      <c r="G832" s="1618">
        <v>0</v>
      </c>
      <c r="H832" s="1619">
        <v>50</v>
      </c>
      <c r="I832" s="44">
        <f t="shared" si="161"/>
        <v>50</v>
      </c>
      <c r="J832" s="1581">
        <v>1100</v>
      </c>
      <c r="K832" s="60">
        <f t="shared" si="162"/>
        <v>55000</v>
      </c>
      <c r="L832" s="269"/>
      <c r="M832" s="242"/>
      <c r="N832" s="269"/>
      <c r="O832" s="269">
        <v>4</v>
      </c>
      <c r="P832" s="266"/>
      <c r="Q832" s="285"/>
      <c r="R832" s="1005"/>
      <c r="S832" s="321"/>
      <c r="T832" s="323"/>
      <c r="U832" s="321"/>
      <c r="V832" s="321"/>
      <c r="W832" s="18">
        <f t="shared" si="158"/>
        <v>55000</v>
      </c>
      <c r="X832" s="47">
        <f t="shared" si="159"/>
        <v>55000</v>
      </c>
      <c r="Y832" s="296"/>
      <c r="Z832" s="18">
        <f t="shared" si="163"/>
        <v>55000</v>
      </c>
      <c r="AA832" s="494">
        <v>0.6</v>
      </c>
      <c r="AB832" s="465">
        <f t="shared" si="160"/>
        <v>330</v>
      </c>
    </row>
    <row r="833" spans="1:32" s="457" customFormat="1" ht="17.25" customHeight="1" x14ac:dyDescent="0.25">
      <c r="A833" s="269">
        <v>12</v>
      </c>
      <c r="B833" s="269">
        <v>31586</v>
      </c>
      <c r="C833" s="285" t="s">
        <v>193</v>
      </c>
      <c r="D833" s="880" t="s">
        <v>86</v>
      </c>
      <c r="E833" s="27">
        <v>4</v>
      </c>
      <c r="F833" s="1617">
        <v>0</v>
      </c>
      <c r="G833" s="1618">
        <v>0</v>
      </c>
      <c r="H833" s="1619">
        <v>50</v>
      </c>
      <c r="I833" s="44">
        <f t="shared" si="161"/>
        <v>50</v>
      </c>
      <c r="J833" s="1581">
        <v>1100</v>
      </c>
      <c r="K833" s="60">
        <f t="shared" si="162"/>
        <v>55000</v>
      </c>
      <c r="L833" s="269"/>
      <c r="M833" s="242"/>
      <c r="N833" s="269"/>
      <c r="O833" s="269">
        <v>4</v>
      </c>
      <c r="P833" s="266"/>
      <c r="Q833" s="285"/>
      <c r="R833" s="1005"/>
      <c r="S833" s="321"/>
      <c r="T833" s="323"/>
      <c r="U833" s="321"/>
      <c r="V833" s="321"/>
      <c r="W833" s="18">
        <f t="shared" si="158"/>
        <v>55000</v>
      </c>
      <c r="X833" s="47">
        <f t="shared" si="159"/>
        <v>55000</v>
      </c>
      <c r="Y833" s="296"/>
      <c r="Z833" s="18">
        <f t="shared" si="163"/>
        <v>55000</v>
      </c>
      <c r="AA833" s="494">
        <v>0.6</v>
      </c>
      <c r="AB833" s="465">
        <f t="shared" si="160"/>
        <v>330</v>
      </c>
    </row>
    <row r="834" spans="1:32" s="457" customFormat="1" ht="17.25" customHeight="1" x14ac:dyDescent="0.25">
      <c r="A834" s="269">
        <v>13</v>
      </c>
      <c r="B834" s="269">
        <v>31587</v>
      </c>
      <c r="C834" s="285" t="s">
        <v>194</v>
      </c>
      <c r="D834" s="27" t="s">
        <v>86</v>
      </c>
      <c r="E834" s="270">
        <v>4</v>
      </c>
      <c r="F834" s="1617">
        <v>0</v>
      </c>
      <c r="G834" s="1618">
        <v>0</v>
      </c>
      <c r="H834" s="1619">
        <v>82</v>
      </c>
      <c r="I834" s="44">
        <f t="shared" si="161"/>
        <v>82</v>
      </c>
      <c r="J834" s="1581">
        <v>1100</v>
      </c>
      <c r="K834" s="60">
        <f t="shared" si="162"/>
        <v>90200</v>
      </c>
      <c r="L834" s="269"/>
      <c r="M834" s="242"/>
      <c r="N834" s="269"/>
      <c r="O834" s="269">
        <v>1</v>
      </c>
      <c r="P834" s="266"/>
      <c r="Q834" s="285"/>
      <c r="R834" s="1005"/>
      <c r="S834" s="321"/>
      <c r="T834" s="323"/>
      <c r="U834" s="321"/>
      <c r="V834" s="321"/>
      <c r="W834" s="18">
        <f t="shared" si="158"/>
        <v>90200</v>
      </c>
      <c r="X834" s="47">
        <f t="shared" si="159"/>
        <v>90200</v>
      </c>
      <c r="Y834" s="296"/>
      <c r="Z834" s="18">
        <v>0</v>
      </c>
      <c r="AA834" s="494">
        <v>0.01</v>
      </c>
      <c r="AB834" s="465">
        <f t="shared" si="160"/>
        <v>0</v>
      </c>
    </row>
    <row r="835" spans="1:32" s="457" customFormat="1" ht="17.25" customHeight="1" x14ac:dyDescent="0.25">
      <c r="A835" s="269">
        <v>14</v>
      </c>
      <c r="B835" s="269">
        <v>31591</v>
      </c>
      <c r="C835" s="285" t="s">
        <v>195</v>
      </c>
      <c r="D835" s="27" t="s">
        <v>86</v>
      </c>
      <c r="E835" s="880">
        <v>4</v>
      </c>
      <c r="F835" s="1617">
        <v>0</v>
      </c>
      <c r="G835" s="1618">
        <v>0</v>
      </c>
      <c r="H835" s="1619">
        <v>50</v>
      </c>
      <c r="I835" s="44">
        <f t="shared" si="161"/>
        <v>50</v>
      </c>
      <c r="J835" s="1581">
        <v>1100</v>
      </c>
      <c r="K835" s="60">
        <f t="shared" si="162"/>
        <v>55000</v>
      </c>
      <c r="L835" s="269"/>
      <c r="M835" s="242"/>
      <c r="N835" s="269"/>
      <c r="O835" s="269">
        <v>1</v>
      </c>
      <c r="P835" s="266"/>
      <c r="Q835" s="285"/>
      <c r="R835" s="1005"/>
      <c r="S835" s="321"/>
      <c r="T835" s="323"/>
      <c r="U835" s="321"/>
      <c r="V835" s="321">
        <v>0</v>
      </c>
      <c r="W835" s="18">
        <f>K835+V835</f>
        <v>55000</v>
      </c>
      <c r="X835" s="47">
        <f t="shared" ref="X835:X836" si="164">W835</f>
        <v>55000</v>
      </c>
      <c r="Y835" s="296"/>
      <c r="Z835" s="18">
        <v>0</v>
      </c>
      <c r="AA835" s="494">
        <v>0.01</v>
      </c>
      <c r="AB835" s="465">
        <f t="shared" si="160"/>
        <v>0</v>
      </c>
    </row>
    <row r="836" spans="1:32" s="457" customFormat="1" ht="17.25" customHeight="1" x14ac:dyDescent="0.25">
      <c r="A836" s="269">
        <v>15</v>
      </c>
      <c r="B836" s="269">
        <v>31596</v>
      </c>
      <c r="C836" s="285" t="s">
        <v>196</v>
      </c>
      <c r="D836" s="27" t="s">
        <v>86</v>
      </c>
      <c r="E836" s="27">
        <v>4</v>
      </c>
      <c r="F836" s="1617">
        <v>0</v>
      </c>
      <c r="G836" s="1618">
        <v>0</v>
      </c>
      <c r="H836" s="1619">
        <v>54</v>
      </c>
      <c r="I836" s="44">
        <f t="shared" si="161"/>
        <v>54</v>
      </c>
      <c r="J836" s="1581">
        <v>1100</v>
      </c>
      <c r="K836" s="60">
        <f t="shared" si="162"/>
        <v>59400</v>
      </c>
      <c r="L836" s="269"/>
      <c r="M836" s="242"/>
      <c r="N836" s="269"/>
      <c r="O836" s="269">
        <v>1</v>
      </c>
      <c r="P836" s="266"/>
      <c r="Q836" s="285"/>
      <c r="R836" s="1005"/>
      <c r="S836" s="321"/>
      <c r="T836" s="323"/>
      <c r="U836" s="321"/>
      <c r="V836" s="321"/>
      <c r="W836" s="18">
        <f t="shared" ref="W836" si="165">K836+V836</f>
        <v>59400</v>
      </c>
      <c r="X836" s="47">
        <f t="shared" si="164"/>
        <v>59400</v>
      </c>
      <c r="Y836" s="296"/>
      <c r="Z836" s="18">
        <v>0</v>
      </c>
      <c r="AA836" s="494">
        <v>0.01</v>
      </c>
      <c r="AB836" s="465">
        <f t="shared" si="160"/>
        <v>0</v>
      </c>
    </row>
    <row r="837" spans="1:32" s="457" customFormat="1" ht="17.25" customHeight="1" x14ac:dyDescent="0.25">
      <c r="A837" s="269">
        <v>16</v>
      </c>
      <c r="B837" s="269">
        <v>36121</v>
      </c>
      <c r="C837" s="285" t="s">
        <v>197</v>
      </c>
      <c r="D837" s="27" t="s">
        <v>86</v>
      </c>
      <c r="E837" s="27">
        <v>4</v>
      </c>
      <c r="F837" s="1617">
        <v>0</v>
      </c>
      <c r="G837" s="1618">
        <v>2</v>
      </c>
      <c r="H837" s="1619">
        <v>0</v>
      </c>
      <c r="I837" s="44">
        <f t="shared" si="161"/>
        <v>200</v>
      </c>
      <c r="J837" s="1581">
        <v>1700</v>
      </c>
      <c r="K837" s="60">
        <f t="shared" si="162"/>
        <v>340000</v>
      </c>
      <c r="L837" s="269"/>
      <c r="M837" s="242"/>
      <c r="N837" s="269"/>
      <c r="O837" s="269">
        <v>1</v>
      </c>
      <c r="P837" s="266"/>
      <c r="Q837" s="285"/>
      <c r="R837" s="1005"/>
      <c r="S837" s="321"/>
      <c r="T837" s="323"/>
      <c r="U837" s="321"/>
      <c r="V837" s="321"/>
      <c r="W837" s="18">
        <f t="shared" si="158"/>
        <v>340000</v>
      </c>
      <c r="X837" s="47">
        <f t="shared" si="159"/>
        <v>340000</v>
      </c>
      <c r="Y837" s="296"/>
      <c r="Z837" s="18">
        <v>0</v>
      </c>
      <c r="AA837" s="494">
        <v>0.01</v>
      </c>
      <c r="AB837" s="465">
        <f t="shared" si="160"/>
        <v>0</v>
      </c>
    </row>
    <row r="838" spans="1:32" s="457" customFormat="1" ht="17.25" customHeight="1" x14ac:dyDescent="0.25">
      <c r="A838" s="1132">
        <v>17</v>
      </c>
      <c r="B838" s="1620">
        <v>31547</v>
      </c>
      <c r="C838" s="1133" t="s">
        <v>198</v>
      </c>
      <c r="D838" s="27" t="s">
        <v>86</v>
      </c>
      <c r="E838" s="270">
        <v>4</v>
      </c>
      <c r="F838" s="1776">
        <v>0</v>
      </c>
      <c r="G838" s="1776">
        <v>0</v>
      </c>
      <c r="H838" s="1777">
        <v>56</v>
      </c>
      <c r="I838" s="44">
        <f t="shared" si="161"/>
        <v>56</v>
      </c>
      <c r="J838" s="1581">
        <v>1100</v>
      </c>
      <c r="K838" s="60">
        <f t="shared" si="162"/>
        <v>61600</v>
      </c>
      <c r="L838" s="1134"/>
      <c r="M838" s="1109"/>
      <c r="N838" s="1135"/>
      <c r="O838" s="1135">
        <v>4</v>
      </c>
      <c r="P838" s="1136"/>
      <c r="Q838" s="1137"/>
      <c r="R838" s="1138"/>
      <c r="S838" s="1139"/>
      <c r="T838" s="510"/>
      <c r="U838" s="1140"/>
      <c r="V838" s="1138"/>
      <c r="W838" s="18">
        <f t="shared" si="158"/>
        <v>61600</v>
      </c>
      <c r="X838" s="47">
        <f t="shared" si="159"/>
        <v>61600</v>
      </c>
      <c r="Y838" s="296"/>
      <c r="Z838" s="18">
        <f t="shared" si="163"/>
        <v>61600</v>
      </c>
      <c r="AA838" s="494">
        <v>0.6</v>
      </c>
      <c r="AB838" s="465">
        <f t="shared" si="160"/>
        <v>369.6</v>
      </c>
    </row>
    <row r="839" spans="1:32" s="457" customFormat="1" ht="17.25" customHeight="1" x14ac:dyDescent="0.2">
      <c r="A839" s="1141">
        <v>18</v>
      </c>
      <c r="B839" s="1142">
        <v>31568</v>
      </c>
      <c r="C839" s="1143" t="s">
        <v>199</v>
      </c>
      <c r="D839" s="144" t="s">
        <v>86</v>
      </c>
      <c r="E839" s="144">
        <v>4</v>
      </c>
      <c r="F839" s="1774">
        <v>0</v>
      </c>
      <c r="G839" s="1774">
        <v>0</v>
      </c>
      <c r="H839" s="1775">
        <v>51</v>
      </c>
      <c r="I839" s="44">
        <f t="shared" si="161"/>
        <v>51</v>
      </c>
      <c r="J839" s="1779">
        <v>1700</v>
      </c>
      <c r="K839" s="60">
        <f t="shared" si="162"/>
        <v>86700</v>
      </c>
      <c r="L839" s="1144"/>
      <c r="M839" s="1144"/>
      <c r="N839" s="1144"/>
      <c r="O839" s="1144">
        <v>4</v>
      </c>
      <c r="P839" s="1145"/>
      <c r="Q839" s="1145"/>
      <c r="R839" s="1146"/>
      <c r="S839" s="1146"/>
      <c r="T839" s="1145"/>
      <c r="U839" s="1146"/>
      <c r="V839" s="1146"/>
      <c r="W839" s="18">
        <f t="shared" si="158"/>
        <v>86700</v>
      </c>
      <c r="X839" s="47">
        <f t="shared" si="159"/>
        <v>86700</v>
      </c>
      <c r="Y839" s="914"/>
      <c r="Z839" s="18">
        <f t="shared" si="163"/>
        <v>86700</v>
      </c>
      <c r="AA839" s="1044">
        <v>0.6</v>
      </c>
      <c r="AB839" s="465">
        <f t="shared" si="160"/>
        <v>520.20000000000005</v>
      </c>
    </row>
    <row r="840" spans="1:32" s="457" customFormat="1" ht="17.25" customHeight="1" x14ac:dyDescent="0.2">
      <c r="A840" s="1147"/>
      <c r="B840" s="1148"/>
      <c r="C840" s="1149"/>
      <c r="D840" s="221"/>
      <c r="E840" s="221"/>
      <c r="F840" s="1147"/>
      <c r="G840" s="1147"/>
      <c r="H840" s="1150"/>
      <c r="I840" s="202"/>
      <c r="J840" s="202"/>
      <c r="K840" s="202"/>
      <c r="L840" s="1147"/>
      <c r="M840" s="1147"/>
      <c r="N840" s="1147"/>
      <c r="O840" s="1147"/>
      <c r="P840" s="1151"/>
      <c r="Q840" s="1151"/>
      <c r="R840" s="1152"/>
      <c r="S840" s="1152"/>
      <c r="T840" s="1151"/>
      <c r="U840" s="1152"/>
      <c r="V840" s="1152"/>
      <c r="W840" s="202"/>
      <c r="X840" s="202"/>
      <c r="Y840" s="202"/>
      <c r="Z840" s="202"/>
      <c r="AA840" s="422"/>
      <c r="AB840" s="1849">
        <f>SUM(AB822:AB839)</f>
        <v>2847.6000000000004</v>
      </c>
      <c r="AC840" s="1153"/>
      <c r="AD840" s="1153"/>
      <c r="AE840" s="1153"/>
      <c r="AF840" s="1153"/>
    </row>
    <row r="841" spans="1:32" s="457" customFormat="1" ht="17.25" customHeight="1" x14ac:dyDescent="0.2">
      <c r="A841" s="2737" t="s">
        <v>76</v>
      </c>
      <c r="B841" s="2737"/>
      <c r="C841" s="2738" t="s">
        <v>77</v>
      </c>
      <c r="D841" s="2738"/>
      <c r="E841" s="2738"/>
      <c r="F841" s="2738"/>
      <c r="G841" s="2738"/>
      <c r="H841" s="2738"/>
      <c r="I841" s="457" t="s">
        <v>78</v>
      </c>
      <c r="AB841" s="478"/>
    </row>
    <row r="842" spans="1:32" s="457" customFormat="1" ht="17.25" customHeight="1" x14ac:dyDescent="0.2">
      <c r="B842" s="479"/>
      <c r="I842" s="457" t="s">
        <v>79</v>
      </c>
      <c r="AB842" s="478"/>
    </row>
    <row r="843" spans="1:32" s="457" customFormat="1" ht="17.25" customHeight="1" x14ac:dyDescent="0.2">
      <c r="B843" s="479"/>
      <c r="I843" s="457" t="s">
        <v>80</v>
      </c>
      <c r="AB843" s="478"/>
    </row>
    <row r="844" spans="1:32" s="457" customFormat="1" ht="17.25" customHeight="1" x14ac:dyDescent="0.2">
      <c r="B844" s="479"/>
      <c r="I844" s="457" t="s">
        <v>81</v>
      </c>
      <c r="AB844" s="478"/>
    </row>
    <row r="845" spans="1:32" s="457" customFormat="1" ht="17.25" customHeight="1" x14ac:dyDescent="0.2">
      <c r="B845" s="479"/>
      <c r="I845" s="457" t="s">
        <v>88</v>
      </c>
      <c r="AB845" s="478"/>
    </row>
    <row r="846" spans="1:32" s="457" customFormat="1" ht="18" customHeight="1" x14ac:dyDescent="0.2">
      <c r="A846" s="455"/>
      <c r="B846" s="455"/>
      <c r="C846" s="455"/>
      <c r="D846" s="455"/>
      <c r="E846" s="455"/>
      <c r="F846" s="455"/>
      <c r="G846" s="455"/>
      <c r="H846" s="455"/>
      <c r="I846" s="455"/>
      <c r="J846" s="455"/>
      <c r="K846" s="455"/>
      <c r="L846" s="455"/>
      <c r="M846" s="455"/>
      <c r="N846" s="455"/>
      <c r="O846" s="455"/>
      <c r="P846" s="455"/>
      <c r="Q846" s="455"/>
      <c r="R846" s="455"/>
      <c r="S846" s="455"/>
      <c r="T846" s="455"/>
      <c r="U846" s="455"/>
      <c r="V846" s="455"/>
      <c r="W846" s="455"/>
      <c r="X846" s="455"/>
      <c r="Y846" s="455"/>
      <c r="Z846" s="455"/>
      <c r="AA846" s="2705" t="s">
        <v>0</v>
      </c>
      <c r="AB846" s="2705"/>
    </row>
    <row r="847" spans="1:32" s="457" customFormat="1" ht="18" customHeight="1" x14ac:dyDescent="0.2">
      <c r="A847" s="2706" t="s">
        <v>1</v>
      </c>
      <c r="B847" s="2706"/>
      <c r="C847" s="2706"/>
      <c r="D847" s="2706"/>
      <c r="E847" s="2706"/>
      <c r="F847" s="2706"/>
      <c r="G847" s="2706"/>
      <c r="H847" s="2706"/>
      <c r="I847" s="2706"/>
      <c r="J847" s="2706"/>
      <c r="K847" s="2706"/>
      <c r="L847" s="2706"/>
      <c r="M847" s="2706"/>
      <c r="N847" s="2706"/>
      <c r="O847" s="2706"/>
      <c r="P847" s="2706"/>
      <c r="Q847" s="2706"/>
      <c r="R847" s="2706"/>
      <c r="S847" s="2706"/>
      <c r="T847" s="2706"/>
      <c r="U847" s="2706"/>
      <c r="V847" s="2706"/>
      <c r="W847" s="2706"/>
      <c r="X847" s="2706"/>
      <c r="Y847" s="2706"/>
      <c r="Z847" s="2706"/>
      <c r="AA847" s="2706"/>
      <c r="AB847" s="2706"/>
    </row>
    <row r="848" spans="1:32" s="457" customFormat="1" ht="18" customHeight="1" x14ac:dyDescent="0.2">
      <c r="A848" s="2704" t="s">
        <v>396</v>
      </c>
      <c r="B848" s="2704"/>
      <c r="C848" s="2704"/>
      <c r="D848" s="2704"/>
      <c r="E848" s="2704"/>
      <c r="F848" s="2704"/>
      <c r="G848" s="2704"/>
      <c r="H848" s="2704"/>
      <c r="I848" s="2704"/>
      <c r="J848" s="2704"/>
      <c r="K848" s="2704"/>
      <c r="L848" s="2704"/>
      <c r="M848" s="2704"/>
      <c r="N848" s="2704"/>
      <c r="O848" s="2704"/>
      <c r="P848" s="2704"/>
      <c r="Q848" s="2704"/>
      <c r="R848" s="2704"/>
      <c r="S848" s="2704"/>
      <c r="T848" s="2704"/>
      <c r="U848" s="2704"/>
      <c r="V848" s="2704"/>
      <c r="W848" s="2704"/>
      <c r="X848" s="2704"/>
      <c r="Y848" s="2704"/>
      <c r="Z848" s="2704"/>
      <c r="AA848" s="2704"/>
      <c r="AB848" s="2704"/>
    </row>
    <row r="849" spans="1:28" s="457" customFormat="1" ht="18" customHeight="1" x14ac:dyDescent="0.2">
      <c r="A849" s="2686" t="s">
        <v>2</v>
      </c>
      <c r="B849" s="360"/>
      <c r="C849" s="2686" t="s">
        <v>3</v>
      </c>
      <c r="D849" s="360"/>
      <c r="E849" s="360"/>
      <c r="F849" s="2693" t="s">
        <v>4</v>
      </c>
      <c r="G849" s="2693"/>
      <c r="H849" s="2693"/>
      <c r="I849" s="2694"/>
      <c r="J849" s="2694"/>
      <c r="K849" s="2695"/>
      <c r="L849" s="361"/>
      <c r="M849" s="2679" t="s">
        <v>5</v>
      </c>
      <c r="N849" s="2679"/>
      <c r="O849" s="2679"/>
      <c r="P849" s="2679"/>
      <c r="Q849" s="2696"/>
      <c r="R849" s="2696"/>
      <c r="S849" s="2696"/>
      <c r="T849" s="2696"/>
      <c r="U849" s="2696"/>
      <c r="V849" s="2697"/>
      <c r="W849" s="362" t="s">
        <v>6</v>
      </c>
      <c r="X849" s="363" t="s">
        <v>7</v>
      </c>
      <c r="Y849" s="364"/>
      <c r="Z849" s="364"/>
      <c r="AA849" s="363"/>
      <c r="AB849" s="458"/>
    </row>
    <row r="850" spans="1:28" s="457" customFormat="1" ht="18" customHeight="1" x14ac:dyDescent="0.2">
      <c r="A850" s="2687"/>
      <c r="B850" s="367"/>
      <c r="C850" s="2687"/>
      <c r="D850" s="366" t="s">
        <v>9</v>
      </c>
      <c r="E850" s="366" t="s">
        <v>10</v>
      </c>
      <c r="F850" s="2698" t="s">
        <v>11</v>
      </c>
      <c r="G850" s="2694"/>
      <c r="H850" s="2695"/>
      <c r="I850" s="360"/>
      <c r="J850" s="449" t="s">
        <v>12</v>
      </c>
      <c r="K850" s="360"/>
      <c r="L850" s="2679" t="s">
        <v>2</v>
      </c>
      <c r="M850" s="370"/>
      <c r="N850" s="370"/>
      <c r="O850" s="370"/>
      <c r="P850" s="371"/>
      <c r="Q850" s="459" t="s">
        <v>13</v>
      </c>
      <c r="R850" s="370" t="s">
        <v>12</v>
      </c>
      <c r="S850" s="370" t="s">
        <v>6</v>
      </c>
      <c r="T850" s="2682" t="s">
        <v>14</v>
      </c>
      <c r="U850" s="2683"/>
      <c r="V850" s="375" t="s">
        <v>7</v>
      </c>
      <c r="W850" s="376" t="s">
        <v>15</v>
      </c>
      <c r="X850" s="377" t="s">
        <v>16</v>
      </c>
      <c r="Y850" s="377" t="s">
        <v>17</v>
      </c>
      <c r="Z850" s="377" t="s">
        <v>18</v>
      </c>
      <c r="AA850" s="377"/>
      <c r="AB850" s="460" t="s">
        <v>19</v>
      </c>
    </row>
    <row r="851" spans="1:28" s="457" customFormat="1" ht="18" customHeight="1" x14ac:dyDescent="0.2">
      <c r="A851" s="2687"/>
      <c r="B851" s="366" t="s">
        <v>23</v>
      </c>
      <c r="C851" s="2687"/>
      <c r="D851" s="366" t="s">
        <v>24</v>
      </c>
      <c r="E851" s="366" t="s">
        <v>25</v>
      </c>
      <c r="F851" s="2699"/>
      <c r="G851" s="2700"/>
      <c r="H851" s="2701"/>
      <c r="I851" s="366" t="s">
        <v>26</v>
      </c>
      <c r="J851" s="380" t="s">
        <v>15</v>
      </c>
      <c r="K851" s="380" t="s">
        <v>6</v>
      </c>
      <c r="L851" s="2680"/>
      <c r="M851" s="381" t="s">
        <v>27</v>
      </c>
      <c r="N851" s="381" t="s">
        <v>10</v>
      </c>
      <c r="O851" s="381" t="s">
        <v>10</v>
      </c>
      <c r="P851" s="385" t="s">
        <v>28</v>
      </c>
      <c r="Q851" s="461" t="s">
        <v>29</v>
      </c>
      <c r="R851" s="385" t="s">
        <v>15</v>
      </c>
      <c r="S851" s="385" t="s">
        <v>15</v>
      </c>
      <c r="T851" s="2684"/>
      <c r="U851" s="2685"/>
      <c r="V851" s="375" t="s">
        <v>30</v>
      </c>
      <c r="W851" s="376" t="s">
        <v>31</v>
      </c>
      <c r="X851" s="377" t="s">
        <v>30</v>
      </c>
      <c r="Y851" s="377" t="s">
        <v>32</v>
      </c>
      <c r="Z851" s="377" t="s">
        <v>7</v>
      </c>
      <c r="AA851" s="377" t="s">
        <v>33</v>
      </c>
      <c r="AB851" s="460" t="s">
        <v>34</v>
      </c>
    </row>
    <row r="852" spans="1:28" s="457" customFormat="1" ht="18" customHeight="1" x14ac:dyDescent="0.2">
      <c r="A852" s="2687"/>
      <c r="B852" s="366" t="s">
        <v>39</v>
      </c>
      <c r="C852" s="2687"/>
      <c r="D852" s="366" t="s">
        <v>40</v>
      </c>
      <c r="E852" s="366" t="s">
        <v>41</v>
      </c>
      <c r="F852" s="2686" t="s">
        <v>42</v>
      </c>
      <c r="G852" s="2686" t="s">
        <v>43</v>
      </c>
      <c r="H852" s="2688" t="s">
        <v>44</v>
      </c>
      <c r="I852" s="366" t="s">
        <v>45</v>
      </c>
      <c r="J852" s="380" t="s">
        <v>46</v>
      </c>
      <c r="K852" s="380" t="s">
        <v>47</v>
      </c>
      <c r="L852" s="2680"/>
      <c r="M852" s="381" t="s">
        <v>30</v>
      </c>
      <c r="N852" s="381" t="s">
        <v>30</v>
      </c>
      <c r="O852" s="381" t="s">
        <v>25</v>
      </c>
      <c r="P852" s="385" t="s">
        <v>30</v>
      </c>
      <c r="Q852" s="461" t="s">
        <v>48</v>
      </c>
      <c r="R852" s="385" t="s">
        <v>49</v>
      </c>
      <c r="S852" s="385" t="s">
        <v>30</v>
      </c>
      <c r="T852" s="374" t="s">
        <v>50</v>
      </c>
      <c r="U852" s="374" t="s">
        <v>13</v>
      </c>
      <c r="V852" s="375" t="s">
        <v>51</v>
      </c>
      <c r="W852" s="376" t="s">
        <v>52</v>
      </c>
      <c r="X852" s="377" t="s">
        <v>53</v>
      </c>
      <c r="Y852" s="377" t="s">
        <v>54</v>
      </c>
      <c r="Z852" s="377" t="s">
        <v>55</v>
      </c>
      <c r="AA852" s="377" t="s">
        <v>56</v>
      </c>
      <c r="AB852" s="460" t="s">
        <v>57</v>
      </c>
    </row>
    <row r="853" spans="1:28" s="457" customFormat="1" ht="18" customHeight="1" x14ac:dyDescent="0.2">
      <c r="A853" s="2687"/>
      <c r="B853" s="366" t="s">
        <v>61</v>
      </c>
      <c r="C853" s="2687"/>
      <c r="D853" s="366" t="s">
        <v>62</v>
      </c>
      <c r="E853" s="366" t="s">
        <v>63</v>
      </c>
      <c r="F853" s="2687"/>
      <c r="G853" s="2687"/>
      <c r="H853" s="2689"/>
      <c r="I853" s="366" t="s">
        <v>64</v>
      </c>
      <c r="J853" s="380" t="s">
        <v>59</v>
      </c>
      <c r="K853" s="380" t="s">
        <v>59</v>
      </c>
      <c r="L853" s="2680"/>
      <c r="M853" s="381"/>
      <c r="N853" s="381"/>
      <c r="O853" s="381" t="s">
        <v>41</v>
      </c>
      <c r="P853" s="385" t="s">
        <v>65</v>
      </c>
      <c r="Q853" s="461" t="s">
        <v>66</v>
      </c>
      <c r="R853" s="385" t="s">
        <v>67</v>
      </c>
      <c r="S853" s="385" t="s">
        <v>59</v>
      </c>
      <c r="T853" s="375" t="s">
        <v>68</v>
      </c>
      <c r="U853" s="375" t="s">
        <v>14</v>
      </c>
      <c r="V853" s="375" t="s">
        <v>14</v>
      </c>
      <c r="W853" s="376" t="s">
        <v>30</v>
      </c>
      <c r="X853" s="388" t="s">
        <v>69</v>
      </c>
      <c r="Y853" s="388" t="s">
        <v>70</v>
      </c>
      <c r="Z853" s="377" t="s">
        <v>71</v>
      </c>
      <c r="AA853" s="377" t="s">
        <v>72</v>
      </c>
      <c r="AB853" s="460" t="s">
        <v>59</v>
      </c>
    </row>
    <row r="854" spans="1:28" s="457" customFormat="1" ht="18" customHeight="1" x14ac:dyDescent="0.2">
      <c r="A854" s="2692"/>
      <c r="B854" s="390"/>
      <c r="C854" s="2692"/>
      <c r="D854" s="390"/>
      <c r="E854" s="389"/>
      <c r="F854" s="390"/>
      <c r="G854" s="390"/>
      <c r="H854" s="391"/>
      <c r="I854" s="389"/>
      <c r="J854" s="393"/>
      <c r="K854" s="393"/>
      <c r="L854" s="2681"/>
      <c r="M854" s="394"/>
      <c r="N854" s="394"/>
      <c r="O854" s="394" t="s">
        <v>63</v>
      </c>
      <c r="P854" s="394"/>
      <c r="Q854" s="450" t="s">
        <v>72</v>
      </c>
      <c r="R854" s="398" t="s">
        <v>59</v>
      </c>
      <c r="S854" s="398"/>
      <c r="T854" s="398" t="s">
        <v>73</v>
      </c>
      <c r="U854" s="398" t="s">
        <v>59</v>
      </c>
      <c r="V854" s="399" t="s">
        <v>59</v>
      </c>
      <c r="W854" s="400" t="s">
        <v>59</v>
      </c>
      <c r="X854" s="401" t="s">
        <v>59</v>
      </c>
      <c r="Y854" s="401" t="s">
        <v>59</v>
      </c>
      <c r="Z854" s="401" t="s">
        <v>59</v>
      </c>
      <c r="AA854" s="402"/>
      <c r="AB854" s="462"/>
    </row>
    <row r="855" spans="1:28" s="457" customFormat="1" ht="18" customHeight="1" x14ac:dyDescent="0.25">
      <c r="A855" s="53">
        <v>1</v>
      </c>
      <c r="B855" s="333">
        <v>2361</v>
      </c>
      <c r="C855" s="41">
        <v>101</v>
      </c>
      <c r="D855" s="41" t="s">
        <v>86</v>
      </c>
      <c r="E855" s="41">
        <v>1</v>
      </c>
      <c r="F855" s="41">
        <v>6</v>
      </c>
      <c r="G855" s="41">
        <v>0</v>
      </c>
      <c r="H855" s="267">
        <v>80</v>
      </c>
      <c r="I855" s="44">
        <f t="shared" ref="I855:I858" si="166">F855*400+G855*100+H855</f>
        <v>2480</v>
      </c>
      <c r="J855" s="310">
        <v>300</v>
      </c>
      <c r="K855" s="78">
        <f>SUM(I855*J855)</f>
        <v>744000</v>
      </c>
      <c r="L855" s="16"/>
      <c r="M855" s="82"/>
      <c r="N855" s="41"/>
      <c r="O855" s="16"/>
      <c r="P855" s="847"/>
      <c r="Q855" s="14"/>
      <c r="R855" s="741"/>
      <c r="S855" s="302"/>
      <c r="T855" s="41"/>
      <c r="U855" s="302"/>
      <c r="V855" s="302"/>
      <c r="W855" s="18">
        <f t="shared" ref="W855:W858" si="167">K855+V855</f>
        <v>744000</v>
      </c>
      <c r="X855" s="47">
        <f t="shared" ref="X855:X858" si="168">W855</f>
        <v>744000</v>
      </c>
      <c r="Y855" s="310" t="s">
        <v>87</v>
      </c>
      <c r="Z855" s="302">
        <v>0</v>
      </c>
      <c r="AA855" s="405">
        <v>0.01</v>
      </c>
      <c r="AB855" s="465">
        <f>+Z855*AA855/100</f>
        <v>0</v>
      </c>
    </row>
    <row r="856" spans="1:28" s="457" customFormat="1" ht="18" customHeight="1" x14ac:dyDescent="0.25">
      <c r="A856" s="242">
        <v>2</v>
      </c>
      <c r="B856" s="269">
        <v>58982</v>
      </c>
      <c r="C856" s="285" t="s">
        <v>200</v>
      </c>
      <c r="D856" s="27" t="s">
        <v>86</v>
      </c>
      <c r="E856" s="273">
        <v>1</v>
      </c>
      <c r="F856" s="268">
        <v>0</v>
      </c>
      <c r="G856" s="269">
        <v>2</v>
      </c>
      <c r="H856" s="266">
        <v>5</v>
      </c>
      <c r="I856" s="44">
        <f t="shared" si="166"/>
        <v>205</v>
      </c>
      <c r="J856" s="305">
        <v>550</v>
      </c>
      <c r="K856" s="78">
        <f t="shared" ref="K856:K858" si="169">SUM(I856*J856)</f>
        <v>112750</v>
      </c>
      <c r="L856" s="45"/>
      <c r="M856" s="88"/>
      <c r="N856" s="27"/>
      <c r="O856" s="45"/>
      <c r="P856" s="28"/>
      <c r="Q856" s="62"/>
      <c r="R856" s="743"/>
      <c r="S856" s="299"/>
      <c r="T856" s="27"/>
      <c r="U856" s="299"/>
      <c r="V856" s="299"/>
      <c r="W856" s="18">
        <f t="shared" si="167"/>
        <v>112750</v>
      </c>
      <c r="X856" s="47">
        <f t="shared" si="168"/>
        <v>112750</v>
      </c>
      <c r="Y856" s="305" t="s">
        <v>87</v>
      </c>
      <c r="Z856" s="299">
        <v>0</v>
      </c>
      <c r="AA856" s="670">
        <v>0.01</v>
      </c>
      <c r="AB856" s="506">
        <f>+Z856*AA856/100</f>
        <v>0</v>
      </c>
    </row>
    <row r="857" spans="1:28" s="457" customFormat="1" ht="18" customHeight="1" x14ac:dyDescent="0.25">
      <c r="A857" s="242">
        <v>3</v>
      </c>
      <c r="B857" s="269">
        <v>58653</v>
      </c>
      <c r="C857" s="285" t="s">
        <v>201</v>
      </c>
      <c r="D857" s="27" t="s">
        <v>86</v>
      </c>
      <c r="E857" s="273">
        <v>4</v>
      </c>
      <c r="F857" s="268">
        <v>0</v>
      </c>
      <c r="G857" s="269">
        <v>0</v>
      </c>
      <c r="H857" s="266">
        <v>36</v>
      </c>
      <c r="I857" s="44">
        <f t="shared" si="166"/>
        <v>36</v>
      </c>
      <c r="J857" s="305">
        <v>300</v>
      </c>
      <c r="K857" s="78">
        <f t="shared" si="169"/>
        <v>10800</v>
      </c>
      <c r="L857" s="45"/>
      <c r="M857" s="88"/>
      <c r="N857" s="27"/>
      <c r="O857" s="45"/>
      <c r="P857" s="28"/>
      <c r="Q857" s="62"/>
      <c r="R857" s="743"/>
      <c r="S857" s="299"/>
      <c r="T857" s="27"/>
      <c r="U857" s="299"/>
      <c r="V857" s="299"/>
      <c r="W857" s="18">
        <f t="shared" si="167"/>
        <v>10800</v>
      </c>
      <c r="X857" s="47">
        <f t="shared" si="168"/>
        <v>10800</v>
      </c>
      <c r="Y857" s="305">
        <v>0</v>
      </c>
      <c r="Z857" s="18">
        <f t="shared" ref="Z857:Z858" si="170">+X857</f>
        <v>10800</v>
      </c>
      <c r="AA857" s="494">
        <v>0.6</v>
      </c>
      <c r="AB857" s="506">
        <f>+Z857*AA857/100</f>
        <v>64.8</v>
      </c>
    </row>
    <row r="858" spans="1:28" s="457" customFormat="1" ht="18" customHeight="1" x14ac:dyDescent="0.25">
      <c r="A858" s="242">
        <v>4</v>
      </c>
      <c r="B858" s="255">
        <v>59025</v>
      </c>
      <c r="C858" s="334" t="s">
        <v>202</v>
      </c>
      <c r="D858" s="15" t="s">
        <v>86</v>
      </c>
      <c r="E858" s="287">
        <v>4</v>
      </c>
      <c r="F858" s="709">
        <v>0</v>
      </c>
      <c r="G858" s="255">
        <v>3</v>
      </c>
      <c r="H858" s="848">
        <v>35</v>
      </c>
      <c r="I858" s="44">
        <f t="shared" si="166"/>
        <v>335</v>
      </c>
      <c r="J858" s="306">
        <v>300</v>
      </c>
      <c r="K858" s="78">
        <f t="shared" si="169"/>
        <v>100500</v>
      </c>
      <c r="L858" s="255"/>
      <c r="M858" s="241"/>
      <c r="N858" s="255"/>
      <c r="O858" s="255"/>
      <c r="P858" s="848"/>
      <c r="Q858" s="334"/>
      <c r="R858" s="702"/>
      <c r="S858" s="320"/>
      <c r="T858" s="849"/>
      <c r="U858" s="320"/>
      <c r="V858" s="320"/>
      <c r="W858" s="18">
        <f t="shared" si="167"/>
        <v>100500</v>
      </c>
      <c r="X858" s="47">
        <f t="shared" si="168"/>
        <v>100500</v>
      </c>
      <c r="Y858" s="305">
        <v>0</v>
      </c>
      <c r="Z858" s="18">
        <f t="shared" si="170"/>
        <v>100500</v>
      </c>
      <c r="AA858" s="494">
        <v>0.6</v>
      </c>
      <c r="AB858" s="506">
        <f>+Z858*AA858/100</f>
        <v>603</v>
      </c>
    </row>
    <row r="859" spans="1:28" s="457" customFormat="1" ht="18" customHeight="1" x14ac:dyDescent="0.2">
      <c r="A859" s="242"/>
      <c r="B859" s="242"/>
      <c r="C859" s="496"/>
      <c r="D859" s="231"/>
      <c r="E859" s="144"/>
      <c r="F859" s="411"/>
      <c r="G859" s="242"/>
      <c r="H859" s="497"/>
      <c r="I859" s="77"/>
      <c r="J859" s="107"/>
      <c r="K859" s="78"/>
      <c r="L859" s="242"/>
      <c r="M859" s="242"/>
      <c r="N859" s="242"/>
      <c r="O859" s="242"/>
      <c r="P859" s="497"/>
      <c r="Q859" s="496"/>
      <c r="R859" s="503"/>
      <c r="S859" s="504"/>
      <c r="T859" s="505"/>
      <c r="U859" s="504"/>
      <c r="V859" s="504"/>
      <c r="W859" s="77"/>
      <c r="X859" s="77"/>
      <c r="Y859" s="77"/>
      <c r="Z859" s="77"/>
      <c r="AA859" s="409"/>
      <c r="AB859" s="506"/>
    </row>
    <row r="860" spans="1:28" s="457" customFormat="1" ht="18" customHeight="1" x14ac:dyDescent="0.2">
      <c r="A860" s="242"/>
      <c r="B860" s="242"/>
      <c r="C860" s="496"/>
      <c r="D860" s="144"/>
      <c r="E860" s="88"/>
      <c r="F860" s="411"/>
      <c r="G860" s="242"/>
      <c r="H860" s="497"/>
      <c r="I860" s="77"/>
      <c r="J860" s="107"/>
      <c r="K860" s="78"/>
      <c r="L860" s="242"/>
      <c r="M860" s="242"/>
      <c r="N860" s="242"/>
      <c r="O860" s="242"/>
      <c r="P860" s="497"/>
      <c r="Q860" s="496"/>
      <c r="R860" s="503"/>
      <c r="S860" s="504"/>
      <c r="T860" s="505"/>
      <c r="U860" s="504"/>
      <c r="V860" s="504"/>
      <c r="W860" s="77"/>
      <c r="X860" s="77"/>
      <c r="Y860" s="77"/>
      <c r="Z860" s="77"/>
      <c r="AA860" s="409"/>
      <c r="AB860" s="506"/>
    </row>
    <row r="861" spans="1:28" s="457" customFormat="1" ht="18" customHeight="1" x14ac:dyDescent="0.2">
      <c r="A861" s="242"/>
      <c r="B861" s="242"/>
      <c r="C861" s="496"/>
      <c r="D861" s="88"/>
      <c r="E861" s="231"/>
      <c r="F861" s="411"/>
      <c r="G861" s="242"/>
      <c r="H861" s="497"/>
      <c r="I861" s="77"/>
      <c r="J861" s="107"/>
      <c r="K861" s="78"/>
      <c r="L861" s="242"/>
      <c r="M861" s="242"/>
      <c r="N861" s="242"/>
      <c r="O861" s="242"/>
      <c r="P861" s="497"/>
      <c r="Q861" s="496"/>
      <c r="R861" s="503"/>
      <c r="S861" s="504"/>
      <c r="T861" s="505"/>
      <c r="U861" s="504"/>
      <c r="V861" s="504"/>
      <c r="W861" s="77"/>
      <c r="X861" s="77"/>
      <c r="Y861" s="77"/>
      <c r="Z861" s="77"/>
      <c r="AA861" s="409"/>
      <c r="AB861" s="506"/>
    </row>
    <row r="862" spans="1:28" s="457" customFormat="1" ht="18" customHeight="1" x14ac:dyDescent="0.2">
      <c r="A862" s="242"/>
      <c r="B862" s="242"/>
      <c r="C862" s="496"/>
      <c r="D862" s="231"/>
      <c r="E862" s="144"/>
      <c r="F862" s="411"/>
      <c r="G862" s="242"/>
      <c r="H862" s="497"/>
      <c r="I862" s="77"/>
      <c r="J862" s="107"/>
      <c r="K862" s="78"/>
      <c r="L862" s="242"/>
      <c r="M862" s="242"/>
      <c r="N862" s="242"/>
      <c r="O862" s="242"/>
      <c r="P862" s="497"/>
      <c r="Q862" s="496"/>
      <c r="R862" s="503"/>
      <c r="S862" s="504"/>
      <c r="T862" s="505"/>
      <c r="U862" s="504"/>
      <c r="V862" s="504"/>
      <c r="W862" s="77"/>
      <c r="X862" s="77"/>
      <c r="Y862" s="77"/>
      <c r="Z862" s="77"/>
      <c r="AA862" s="409"/>
      <c r="AB862" s="506"/>
    </row>
    <row r="863" spans="1:28" s="457" customFormat="1" ht="18" customHeight="1" x14ac:dyDescent="0.2">
      <c r="A863" s="242"/>
      <c r="B863" s="242"/>
      <c r="C863" s="496"/>
      <c r="D863" s="144"/>
      <c r="E863" s="144"/>
      <c r="F863" s="411"/>
      <c r="G863" s="242"/>
      <c r="H863" s="497"/>
      <c r="I863" s="77"/>
      <c r="J863" s="107"/>
      <c r="K863" s="78"/>
      <c r="L863" s="242"/>
      <c r="M863" s="242"/>
      <c r="N863" s="242"/>
      <c r="O863" s="242"/>
      <c r="P863" s="497"/>
      <c r="Q863" s="496"/>
      <c r="R863" s="503"/>
      <c r="S863" s="504"/>
      <c r="T863" s="505"/>
      <c r="U863" s="504"/>
      <c r="V863" s="504"/>
      <c r="W863" s="77"/>
      <c r="X863" s="77"/>
      <c r="Y863" s="77"/>
      <c r="Z863" s="77"/>
      <c r="AA863" s="409"/>
      <c r="AB863" s="506"/>
    </row>
    <row r="864" spans="1:28" s="457" customFormat="1" ht="18" customHeight="1" x14ac:dyDescent="0.2">
      <c r="A864" s="242"/>
      <c r="B864" s="242"/>
      <c r="C864" s="496"/>
      <c r="D864" s="88"/>
      <c r="E864" s="144"/>
      <c r="F864" s="411"/>
      <c r="G864" s="242"/>
      <c r="H864" s="497"/>
      <c r="I864" s="77"/>
      <c r="J864" s="107"/>
      <c r="K864" s="78"/>
      <c r="L864" s="242"/>
      <c r="M864" s="242"/>
      <c r="N864" s="242"/>
      <c r="O864" s="242"/>
      <c r="P864" s="497"/>
      <c r="Q864" s="496"/>
      <c r="R864" s="503"/>
      <c r="S864" s="504"/>
      <c r="T864" s="505"/>
      <c r="U864" s="504"/>
      <c r="V864" s="504"/>
      <c r="W864" s="77"/>
      <c r="X864" s="77"/>
      <c r="Y864" s="77"/>
      <c r="Z864" s="77"/>
      <c r="AA864" s="409"/>
      <c r="AB864" s="506"/>
    </row>
    <row r="865" spans="1:28" s="457" customFormat="1" ht="18" customHeight="1" x14ac:dyDescent="0.2">
      <c r="A865" s="242"/>
      <c r="B865" s="242"/>
      <c r="C865" s="496"/>
      <c r="D865" s="88"/>
      <c r="E865" s="88"/>
      <c r="F865" s="411"/>
      <c r="G865" s="242"/>
      <c r="H865" s="497"/>
      <c r="I865" s="77"/>
      <c r="J865" s="107"/>
      <c r="K865" s="78"/>
      <c r="L865" s="242"/>
      <c r="M865" s="242"/>
      <c r="N865" s="242"/>
      <c r="O865" s="242"/>
      <c r="P865" s="497"/>
      <c r="Q865" s="496"/>
      <c r="R865" s="503"/>
      <c r="S865" s="504"/>
      <c r="T865" s="505"/>
      <c r="U865" s="504"/>
      <c r="V865" s="504"/>
      <c r="W865" s="77"/>
      <c r="X865" s="77"/>
      <c r="Y865" s="77"/>
      <c r="Z865" s="77"/>
      <c r="AA865" s="409"/>
      <c r="AB865" s="506"/>
    </row>
    <row r="866" spans="1:28" s="457" customFormat="1" ht="18" customHeight="1" x14ac:dyDescent="0.2">
      <c r="A866" s="242"/>
      <c r="B866" s="242"/>
      <c r="C866" s="496"/>
      <c r="D866" s="88"/>
      <c r="E866" s="88"/>
      <c r="F866" s="411"/>
      <c r="G866" s="242"/>
      <c r="H866" s="497"/>
      <c r="I866" s="77"/>
      <c r="J866" s="107"/>
      <c r="K866" s="78"/>
      <c r="L866" s="242"/>
      <c r="M866" s="242"/>
      <c r="N866" s="242"/>
      <c r="O866" s="242"/>
      <c r="P866" s="497"/>
      <c r="Q866" s="496"/>
      <c r="R866" s="503"/>
      <c r="S866" s="504"/>
      <c r="T866" s="505"/>
      <c r="U866" s="504"/>
      <c r="V866" s="504"/>
      <c r="W866" s="77"/>
      <c r="X866" s="77"/>
      <c r="Y866" s="77"/>
      <c r="Z866" s="77"/>
      <c r="AA866" s="409"/>
      <c r="AB866" s="506"/>
    </row>
    <row r="867" spans="1:28" s="457" customFormat="1" ht="18" customHeight="1" x14ac:dyDescent="0.2">
      <c r="A867" s="242"/>
      <c r="B867" s="242"/>
      <c r="C867" s="496"/>
      <c r="D867" s="144"/>
      <c r="E867" s="88"/>
      <c r="F867" s="411"/>
      <c r="G867" s="242"/>
      <c r="H867" s="497"/>
      <c r="I867" s="77"/>
      <c r="J867" s="107"/>
      <c r="K867" s="78"/>
      <c r="L867" s="242"/>
      <c r="M867" s="242"/>
      <c r="N867" s="242"/>
      <c r="O867" s="242"/>
      <c r="P867" s="497"/>
      <c r="Q867" s="496"/>
      <c r="R867" s="503"/>
      <c r="S867" s="504"/>
      <c r="T867" s="505"/>
      <c r="U867" s="504"/>
      <c r="V867" s="504"/>
      <c r="W867" s="77"/>
      <c r="X867" s="77"/>
      <c r="Y867" s="77"/>
      <c r="Z867" s="77"/>
      <c r="AA867" s="409"/>
      <c r="AB867" s="506"/>
    </row>
    <row r="868" spans="1:28" s="457" customFormat="1" ht="18" customHeight="1" x14ac:dyDescent="0.2">
      <c r="A868" s="242"/>
      <c r="B868" s="242"/>
      <c r="C868" s="496"/>
      <c r="D868" s="88"/>
      <c r="E868" s="88"/>
      <c r="F868" s="411"/>
      <c r="G868" s="242"/>
      <c r="H868" s="497"/>
      <c r="I868" s="77"/>
      <c r="J868" s="107"/>
      <c r="K868" s="78"/>
      <c r="L868" s="242"/>
      <c r="M868" s="242"/>
      <c r="N868" s="242"/>
      <c r="O868" s="242"/>
      <c r="P868" s="497"/>
      <c r="Q868" s="496"/>
      <c r="R868" s="503"/>
      <c r="S868" s="504"/>
      <c r="T868" s="505"/>
      <c r="U868" s="504"/>
      <c r="V868" s="504"/>
      <c r="W868" s="77"/>
      <c r="X868" s="77"/>
      <c r="Y868" s="77"/>
      <c r="Z868" s="77"/>
      <c r="AA868" s="409"/>
      <c r="AB868" s="506"/>
    </row>
    <row r="869" spans="1:28" s="457" customFormat="1" ht="18" customHeight="1" x14ac:dyDescent="0.2">
      <c r="A869" s="242"/>
      <c r="B869" s="242"/>
      <c r="C869" s="496"/>
      <c r="D869" s="88"/>
      <c r="E869" s="88"/>
      <c r="F869" s="411"/>
      <c r="G869" s="242"/>
      <c r="H869" s="497"/>
      <c r="I869" s="77"/>
      <c r="J869" s="107"/>
      <c r="K869" s="78"/>
      <c r="L869" s="242"/>
      <c r="M869" s="242"/>
      <c r="N869" s="242"/>
      <c r="O869" s="242"/>
      <c r="P869" s="497"/>
      <c r="Q869" s="496"/>
      <c r="R869" s="503"/>
      <c r="S869" s="504"/>
      <c r="T869" s="505"/>
      <c r="U869" s="504"/>
      <c r="V869" s="504"/>
      <c r="W869" s="77"/>
      <c r="X869" s="77"/>
      <c r="Y869" s="77"/>
      <c r="Z869" s="77"/>
      <c r="AA869" s="409"/>
      <c r="AB869" s="506"/>
    </row>
    <row r="870" spans="1:28" s="457" customFormat="1" ht="18" customHeight="1" x14ac:dyDescent="0.2">
      <c r="A870" s="183"/>
      <c r="B870" s="183"/>
      <c r="C870" s="183"/>
      <c r="D870" s="183"/>
      <c r="E870" s="183"/>
      <c r="F870" s="183"/>
      <c r="G870" s="183"/>
      <c r="H870" s="184"/>
      <c r="I870" s="185"/>
      <c r="J870" s="186"/>
      <c r="K870" s="185"/>
      <c r="L870" s="185"/>
      <c r="M870" s="185"/>
      <c r="N870" s="185"/>
      <c r="O870" s="185"/>
      <c r="P870" s="185"/>
      <c r="Q870" s="185"/>
      <c r="R870" s="438"/>
      <c r="S870" s="185"/>
      <c r="T870" s="187"/>
      <c r="U870" s="186"/>
      <c r="V870" s="185"/>
      <c r="W870" s="185"/>
      <c r="X870" s="474"/>
      <c r="Y870" s="474"/>
      <c r="Z870" s="475"/>
      <c r="AA870" s="475"/>
      <c r="AB870" s="1847">
        <f>SUM(AB855:AB869)</f>
        <v>667.8</v>
      </c>
    </row>
    <row r="871" spans="1:28" s="457" customFormat="1" ht="18" customHeight="1" x14ac:dyDescent="0.2">
      <c r="A871" s="2737" t="s">
        <v>76</v>
      </c>
      <c r="B871" s="2737"/>
      <c r="C871" s="2738" t="s">
        <v>77</v>
      </c>
      <c r="D871" s="2738"/>
      <c r="E871" s="2738"/>
      <c r="F871" s="2738"/>
      <c r="G871" s="2738"/>
      <c r="H871" s="2738"/>
      <c r="I871" s="457" t="s">
        <v>78</v>
      </c>
      <c r="AB871" s="478"/>
    </row>
    <row r="872" spans="1:28" s="457" customFormat="1" ht="18" customHeight="1" x14ac:dyDescent="0.2">
      <c r="B872" s="479"/>
      <c r="I872" s="457" t="s">
        <v>79</v>
      </c>
      <c r="AB872" s="478"/>
    </row>
    <row r="873" spans="1:28" s="457" customFormat="1" ht="18" customHeight="1" x14ac:dyDescent="0.2">
      <c r="B873" s="479"/>
      <c r="I873" s="457" t="s">
        <v>80</v>
      </c>
      <c r="AB873" s="478"/>
    </row>
    <row r="874" spans="1:28" s="457" customFormat="1" ht="18" customHeight="1" x14ac:dyDescent="0.2">
      <c r="B874" s="479"/>
      <c r="I874" s="457" t="s">
        <v>81</v>
      </c>
      <c r="AB874" s="478"/>
    </row>
    <row r="875" spans="1:28" s="457" customFormat="1" ht="18" customHeight="1" x14ac:dyDescent="0.2">
      <c r="B875" s="479"/>
      <c r="I875" s="457" t="s">
        <v>88</v>
      </c>
      <c r="AB875" s="478"/>
    </row>
    <row r="876" spans="1:28" s="457" customFormat="1" ht="18" customHeight="1" x14ac:dyDescent="0.2">
      <c r="A876" s="455"/>
      <c r="B876" s="455"/>
      <c r="C876" s="455"/>
      <c r="D876" s="455"/>
      <c r="E876" s="455"/>
      <c r="F876" s="455"/>
      <c r="G876" s="455"/>
      <c r="H876" s="455"/>
      <c r="I876" s="455"/>
      <c r="J876" s="455"/>
      <c r="K876" s="455"/>
      <c r="L876" s="455"/>
      <c r="M876" s="455"/>
      <c r="N876" s="455"/>
      <c r="O876" s="455"/>
      <c r="P876" s="455"/>
      <c r="Q876" s="455"/>
      <c r="R876" s="455"/>
      <c r="S876" s="455"/>
      <c r="T876" s="455"/>
      <c r="U876" s="455"/>
      <c r="V876" s="455"/>
      <c r="W876" s="455"/>
      <c r="X876" s="455"/>
      <c r="Y876" s="455"/>
      <c r="Z876" s="455"/>
      <c r="AA876" s="2705" t="s">
        <v>0</v>
      </c>
      <c r="AB876" s="2705"/>
    </row>
    <row r="877" spans="1:28" s="457" customFormat="1" ht="18" customHeight="1" x14ac:dyDescent="0.2">
      <c r="A877" s="2706" t="s">
        <v>1</v>
      </c>
      <c r="B877" s="2706"/>
      <c r="C877" s="2706"/>
      <c r="D877" s="2706"/>
      <c r="E877" s="2706"/>
      <c r="F877" s="2706"/>
      <c r="G877" s="2706"/>
      <c r="H877" s="2706"/>
      <c r="I877" s="2706"/>
      <c r="J877" s="2706"/>
      <c r="K877" s="2706"/>
      <c r="L877" s="2706"/>
      <c r="M877" s="2706"/>
      <c r="N877" s="2706"/>
      <c r="O877" s="2706"/>
      <c r="P877" s="2706"/>
      <c r="Q877" s="2706"/>
      <c r="R877" s="2706"/>
      <c r="S877" s="2706"/>
      <c r="T877" s="2706"/>
      <c r="U877" s="2706"/>
      <c r="V877" s="2706"/>
      <c r="W877" s="2706"/>
      <c r="X877" s="2706"/>
      <c r="Y877" s="2706"/>
      <c r="Z877" s="2706"/>
      <c r="AA877" s="2706"/>
      <c r="AB877" s="2706"/>
    </row>
    <row r="878" spans="1:28" s="457" customFormat="1" ht="18" customHeight="1" x14ac:dyDescent="0.2">
      <c r="A878" s="2704" t="s">
        <v>397</v>
      </c>
      <c r="B878" s="2704"/>
      <c r="C878" s="2704"/>
      <c r="D878" s="2704"/>
      <c r="E878" s="2704"/>
      <c r="F878" s="2704"/>
      <c r="G878" s="2704"/>
      <c r="H878" s="2704"/>
      <c r="I878" s="2704"/>
      <c r="J878" s="2704"/>
      <c r="K878" s="2704"/>
      <c r="L878" s="2704"/>
      <c r="M878" s="2704"/>
      <c r="N878" s="2704"/>
      <c r="O878" s="2704"/>
      <c r="P878" s="2704"/>
      <c r="Q878" s="2704"/>
      <c r="R878" s="2704"/>
      <c r="S878" s="2704"/>
      <c r="T878" s="2704"/>
      <c r="U878" s="2704"/>
      <c r="V878" s="2704"/>
      <c r="W878" s="2704"/>
      <c r="X878" s="2704"/>
      <c r="Y878" s="2704"/>
      <c r="Z878" s="2704"/>
      <c r="AA878" s="2704"/>
      <c r="AB878" s="2704"/>
    </row>
    <row r="879" spans="1:28" s="457" customFormat="1" ht="18" customHeight="1" x14ac:dyDescent="0.2">
      <c r="A879" s="2686" t="s">
        <v>2</v>
      </c>
      <c r="B879" s="360"/>
      <c r="C879" s="2686" t="s">
        <v>3</v>
      </c>
      <c r="D879" s="360"/>
      <c r="E879" s="360"/>
      <c r="F879" s="2693" t="s">
        <v>4</v>
      </c>
      <c r="G879" s="2693"/>
      <c r="H879" s="2693"/>
      <c r="I879" s="2694"/>
      <c r="J879" s="2694"/>
      <c r="K879" s="2695"/>
      <c r="L879" s="361"/>
      <c r="M879" s="2679" t="s">
        <v>5</v>
      </c>
      <c r="N879" s="2679"/>
      <c r="O879" s="2679"/>
      <c r="P879" s="2679"/>
      <c r="Q879" s="2696"/>
      <c r="R879" s="2696"/>
      <c r="S879" s="2696"/>
      <c r="T879" s="2696"/>
      <c r="U879" s="2696"/>
      <c r="V879" s="2697"/>
      <c r="W879" s="362" t="s">
        <v>6</v>
      </c>
      <c r="X879" s="363" t="s">
        <v>7</v>
      </c>
      <c r="Y879" s="364"/>
      <c r="Z879" s="364"/>
      <c r="AA879" s="363"/>
      <c r="AB879" s="458"/>
    </row>
    <row r="880" spans="1:28" s="457" customFormat="1" ht="18" customHeight="1" x14ac:dyDescent="0.2">
      <c r="A880" s="2687"/>
      <c r="B880" s="367"/>
      <c r="C880" s="2687"/>
      <c r="D880" s="366" t="s">
        <v>9</v>
      </c>
      <c r="E880" s="366" t="s">
        <v>10</v>
      </c>
      <c r="F880" s="2698" t="s">
        <v>11</v>
      </c>
      <c r="G880" s="2694"/>
      <c r="H880" s="2695"/>
      <c r="I880" s="360"/>
      <c r="J880" s="449" t="s">
        <v>12</v>
      </c>
      <c r="K880" s="360"/>
      <c r="L880" s="2679" t="s">
        <v>2</v>
      </c>
      <c r="M880" s="370"/>
      <c r="N880" s="370"/>
      <c r="O880" s="370"/>
      <c r="P880" s="371"/>
      <c r="Q880" s="459" t="s">
        <v>13</v>
      </c>
      <c r="R880" s="370" t="s">
        <v>12</v>
      </c>
      <c r="S880" s="370" t="s">
        <v>6</v>
      </c>
      <c r="T880" s="2682" t="s">
        <v>14</v>
      </c>
      <c r="U880" s="2683"/>
      <c r="V880" s="375" t="s">
        <v>7</v>
      </c>
      <c r="W880" s="376" t="s">
        <v>15</v>
      </c>
      <c r="X880" s="377" t="s">
        <v>16</v>
      </c>
      <c r="Y880" s="377" t="s">
        <v>17</v>
      </c>
      <c r="Z880" s="377" t="s">
        <v>18</v>
      </c>
      <c r="AA880" s="377"/>
      <c r="AB880" s="460" t="s">
        <v>19</v>
      </c>
    </row>
    <row r="881" spans="1:28" s="457" customFormat="1" ht="18" customHeight="1" x14ac:dyDescent="0.2">
      <c r="A881" s="2687"/>
      <c r="B881" s="366" t="s">
        <v>23</v>
      </c>
      <c r="C881" s="2687"/>
      <c r="D881" s="366" t="s">
        <v>24</v>
      </c>
      <c r="E881" s="366" t="s">
        <v>25</v>
      </c>
      <c r="F881" s="2699"/>
      <c r="G881" s="2700"/>
      <c r="H881" s="2701"/>
      <c r="I881" s="366" t="s">
        <v>26</v>
      </c>
      <c r="J881" s="380" t="s">
        <v>15</v>
      </c>
      <c r="K881" s="380" t="s">
        <v>6</v>
      </c>
      <c r="L881" s="2680"/>
      <c r="M881" s="381" t="s">
        <v>27</v>
      </c>
      <c r="N881" s="381" t="s">
        <v>10</v>
      </c>
      <c r="O881" s="381" t="s">
        <v>10</v>
      </c>
      <c r="P881" s="385" t="s">
        <v>28</v>
      </c>
      <c r="Q881" s="461" t="s">
        <v>29</v>
      </c>
      <c r="R881" s="385" t="s">
        <v>15</v>
      </c>
      <c r="S881" s="385" t="s">
        <v>15</v>
      </c>
      <c r="T881" s="2684"/>
      <c r="U881" s="2685"/>
      <c r="V881" s="375" t="s">
        <v>30</v>
      </c>
      <c r="W881" s="376" t="s">
        <v>31</v>
      </c>
      <c r="X881" s="377" t="s">
        <v>30</v>
      </c>
      <c r="Y881" s="377" t="s">
        <v>32</v>
      </c>
      <c r="Z881" s="377" t="s">
        <v>7</v>
      </c>
      <c r="AA881" s="377" t="s">
        <v>33</v>
      </c>
      <c r="AB881" s="460" t="s">
        <v>34</v>
      </c>
    </row>
    <row r="882" spans="1:28" s="457" customFormat="1" ht="18" customHeight="1" x14ac:dyDescent="0.2">
      <c r="A882" s="2687"/>
      <c r="B882" s="366" t="s">
        <v>39</v>
      </c>
      <c r="C882" s="2687"/>
      <c r="D882" s="366" t="s">
        <v>40</v>
      </c>
      <c r="E882" s="366" t="s">
        <v>41</v>
      </c>
      <c r="F882" s="2686" t="s">
        <v>42</v>
      </c>
      <c r="G882" s="2686" t="s">
        <v>43</v>
      </c>
      <c r="H882" s="2688" t="s">
        <v>44</v>
      </c>
      <c r="I882" s="366" t="s">
        <v>45</v>
      </c>
      <c r="J882" s="380" t="s">
        <v>46</v>
      </c>
      <c r="K882" s="380" t="s">
        <v>47</v>
      </c>
      <c r="L882" s="2680"/>
      <c r="M882" s="381" t="s">
        <v>30</v>
      </c>
      <c r="N882" s="381" t="s">
        <v>30</v>
      </c>
      <c r="O882" s="381" t="s">
        <v>25</v>
      </c>
      <c r="P882" s="385" t="s">
        <v>30</v>
      </c>
      <c r="Q882" s="461" t="s">
        <v>48</v>
      </c>
      <c r="R882" s="385" t="s">
        <v>49</v>
      </c>
      <c r="S882" s="385" t="s">
        <v>30</v>
      </c>
      <c r="T882" s="374" t="s">
        <v>50</v>
      </c>
      <c r="U882" s="374" t="s">
        <v>13</v>
      </c>
      <c r="V882" s="375" t="s">
        <v>51</v>
      </c>
      <c r="W882" s="376" t="s">
        <v>52</v>
      </c>
      <c r="X882" s="377" t="s">
        <v>53</v>
      </c>
      <c r="Y882" s="377" t="s">
        <v>54</v>
      </c>
      <c r="Z882" s="377" t="s">
        <v>55</v>
      </c>
      <c r="AA882" s="377" t="s">
        <v>56</v>
      </c>
      <c r="AB882" s="460" t="s">
        <v>57</v>
      </c>
    </row>
    <row r="883" spans="1:28" s="457" customFormat="1" ht="18" customHeight="1" x14ac:dyDescent="0.2">
      <c r="A883" s="2687"/>
      <c r="B883" s="366" t="s">
        <v>61</v>
      </c>
      <c r="C883" s="2687"/>
      <c r="D883" s="366" t="s">
        <v>62</v>
      </c>
      <c r="E883" s="366" t="s">
        <v>63</v>
      </c>
      <c r="F883" s="2687"/>
      <c r="G883" s="2687"/>
      <c r="H883" s="2689"/>
      <c r="I883" s="366" t="s">
        <v>64</v>
      </c>
      <c r="J883" s="380" t="s">
        <v>59</v>
      </c>
      <c r="K883" s="380" t="s">
        <v>59</v>
      </c>
      <c r="L883" s="2680"/>
      <c r="M883" s="381"/>
      <c r="N883" s="381"/>
      <c r="O883" s="381" t="s">
        <v>41</v>
      </c>
      <c r="P883" s="385" t="s">
        <v>65</v>
      </c>
      <c r="Q883" s="461" t="s">
        <v>66</v>
      </c>
      <c r="R883" s="385" t="s">
        <v>67</v>
      </c>
      <c r="S883" s="385" t="s">
        <v>59</v>
      </c>
      <c r="T883" s="375" t="s">
        <v>68</v>
      </c>
      <c r="U883" s="375" t="s">
        <v>14</v>
      </c>
      <c r="V883" s="375" t="s">
        <v>14</v>
      </c>
      <c r="W883" s="376" t="s">
        <v>30</v>
      </c>
      <c r="X883" s="388" t="s">
        <v>69</v>
      </c>
      <c r="Y883" s="388" t="s">
        <v>70</v>
      </c>
      <c r="Z883" s="377" t="s">
        <v>71</v>
      </c>
      <c r="AA883" s="377" t="s">
        <v>72</v>
      </c>
      <c r="AB883" s="460" t="s">
        <v>59</v>
      </c>
    </row>
    <row r="884" spans="1:28" s="457" customFormat="1" ht="18" customHeight="1" x14ac:dyDescent="0.2">
      <c r="A884" s="2692"/>
      <c r="B884" s="390"/>
      <c r="C884" s="2692"/>
      <c r="D884" s="390"/>
      <c r="E884" s="389"/>
      <c r="F884" s="390"/>
      <c r="G884" s="390"/>
      <c r="H884" s="391"/>
      <c r="I884" s="389"/>
      <c r="J884" s="393"/>
      <c r="K884" s="393"/>
      <c r="L884" s="2681"/>
      <c r="M884" s="394"/>
      <c r="N884" s="394"/>
      <c r="O884" s="394" t="s">
        <v>63</v>
      </c>
      <c r="P884" s="394"/>
      <c r="Q884" s="450" t="s">
        <v>72</v>
      </c>
      <c r="R884" s="398" t="s">
        <v>59</v>
      </c>
      <c r="S884" s="398"/>
      <c r="T884" s="398" t="s">
        <v>73</v>
      </c>
      <c r="U884" s="398" t="s">
        <v>59</v>
      </c>
      <c r="V884" s="399" t="s">
        <v>59</v>
      </c>
      <c r="W884" s="400" t="s">
        <v>59</v>
      </c>
      <c r="X884" s="401" t="s">
        <v>59</v>
      </c>
      <c r="Y884" s="401" t="s">
        <v>59</v>
      </c>
      <c r="Z884" s="401" t="s">
        <v>59</v>
      </c>
      <c r="AA884" s="402"/>
      <c r="AB884" s="462"/>
    </row>
    <row r="885" spans="1:28" s="457" customFormat="1" ht="18" customHeight="1" x14ac:dyDescent="0.2">
      <c r="A885" s="53">
        <v>1</v>
      </c>
      <c r="B885" s="95">
        <v>25119</v>
      </c>
      <c r="C885" s="82">
        <v>959</v>
      </c>
      <c r="D885" s="153" t="s">
        <v>86</v>
      </c>
      <c r="E885" s="145">
        <v>4</v>
      </c>
      <c r="F885" s="82">
        <v>0</v>
      </c>
      <c r="G885" s="82">
        <v>0</v>
      </c>
      <c r="H885" s="463">
        <v>81</v>
      </c>
      <c r="I885" s="77">
        <f>F885*400+G885*100+H885</f>
        <v>81</v>
      </c>
      <c r="J885" s="107">
        <v>1100</v>
      </c>
      <c r="K885" s="78">
        <f>SUM(I885*J885)</f>
        <v>89100</v>
      </c>
      <c r="L885" s="75"/>
      <c r="M885" s="82"/>
      <c r="N885" s="82"/>
      <c r="O885" s="53"/>
      <c r="P885" s="358"/>
      <c r="Q885" s="197"/>
      <c r="R885" s="444"/>
      <c r="S885" s="70"/>
      <c r="T885" s="82"/>
      <c r="U885" s="70"/>
      <c r="V885" s="70"/>
      <c r="W885" s="70">
        <f>K885+V885</f>
        <v>89100</v>
      </c>
      <c r="X885" s="70">
        <f>W885</f>
        <v>89100</v>
      </c>
      <c r="Y885" s="123">
        <v>0</v>
      </c>
      <c r="Z885" s="70">
        <f>+X885</f>
        <v>89100</v>
      </c>
      <c r="AA885" s="464">
        <v>0.6</v>
      </c>
      <c r="AB885" s="465">
        <f>+Z885*AA885/100</f>
        <v>534.6</v>
      </c>
    </row>
    <row r="886" spans="1:28" s="457" customFormat="1" ht="18" customHeight="1" x14ac:dyDescent="0.2">
      <c r="A886" s="242"/>
      <c r="B886" s="242"/>
      <c r="C886" s="498"/>
      <c r="D886" s="88"/>
      <c r="E886" s="85"/>
      <c r="F886" s="411"/>
      <c r="G886" s="242"/>
      <c r="H886" s="497"/>
      <c r="I886" s="74"/>
      <c r="J886" s="121"/>
      <c r="K886" s="159"/>
      <c r="L886" s="75"/>
      <c r="M886" s="88"/>
      <c r="N886" s="88"/>
      <c r="O886" s="75"/>
      <c r="P886" s="180"/>
      <c r="Q886" s="174"/>
      <c r="R886" s="413"/>
      <c r="S886" s="74"/>
      <c r="T886" s="88"/>
      <c r="U886" s="74"/>
      <c r="V886" s="74"/>
      <c r="W886" s="74"/>
      <c r="X886" s="121"/>
      <c r="Y886" s="77"/>
      <c r="Z886" s="77"/>
      <c r="AA886" s="409"/>
      <c r="AB886" s="416"/>
    </row>
    <row r="887" spans="1:28" s="457" customFormat="1" ht="18" customHeight="1" x14ac:dyDescent="0.2">
      <c r="A887" s="242"/>
      <c r="B887" s="242"/>
      <c r="C887" s="496"/>
      <c r="D887" s="88"/>
      <c r="E887" s="85"/>
      <c r="F887" s="411"/>
      <c r="G887" s="242"/>
      <c r="H887" s="497"/>
      <c r="I887" s="74"/>
      <c r="J887" s="121"/>
      <c r="K887" s="159"/>
      <c r="L887" s="242"/>
      <c r="M887" s="242"/>
      <c r="N887" s="242"/>
      <c r="O887" s="242"/>
      <c r="P887" s="497"/>
      <c r="Q887" s="496"/>
      <c r="R887" s="503"/>
      <c r="S887" s="504"/>
      <c r="T887" s="505"/>
      <c r="U887" s="504"/>
      <c r="V887" s="504"/>
      <c r="W887" s="74"/>
      <c r="X887" s="74"/>
      <c r="Y887" s="74"/>
      <c r="Z887" s="74"/>
      <c r="AA887" s="414"/>
      <c r="AB887" s="410"/>
    </row>
    <row r="888" spans="1:28" s="457" customFormat="1" ht="18" customHeight="1" x14ac:dyDescent="0.2">
      <c r="A888" s="242"/>
      <c r="B888" s="242"/>
      <c r="C888" s="496"/>
      <c r="D888" s="88"/>
      <c r="E888" s="85"/>
      <c r="F888" s="411"/>
      <c r="G888" s="242"/>
      <c r="H888" s="497"/>
      <c r="I888" s="74"/>
      <c r="J888" s="121"/>
      <c r="K888" s="159"/>
      <c r="L888" s="242"/>
      <c r="M888" s="242"/>
      <c r="N888" s="242"/>
      <c r="O888" s="242"/>
      <c r="P888" s="497"/>
      <c r="Q888" s="496"/>
      <c r="R888" s="503"/>
      <c r="S888" s="504"/>
      <c r="T888" s="505"/>
      <c r="U888" s="504"/>
      <c r="V888" s="504"/>
      <c r="W888" s="74"/>
      <c r="X888" s="74"/>
      <c r="Y888" s="74"/>
      <c r="Z888" s="74"/>
      <c r="AA888" s="414"/>
      <c r="AB888" s="466"/>
    </row>
    <row r="889" spans="1:28" s="457" customFormat="1" ht="18" customHeight="1" x14ac:dyDescent="0.2">
      <c r="A889" s="61"/>
      <c r="B889" s="145"/>
      <c r="C889" s="145"/>
      <c r="D889" s="145"/>
      <c r="E889" s="145"/>
      <c r="F889" s="145"/>
      <c r="G889" s="145"/>
      <c r="H889" s="407"/>
      <c r="I889" s="77"/>
      <c r="J889" s="107"/>
      <c r="K889" s="78"/>
      <c r="L889" s="61"/>
      <c r="M889" s="145"/>
      <c r="N889" s="145"/>
      <c r="O889" s="61"/>
      <c r="P889" s="177"/>
      <c r="Q889" s="196"/>
      <c r="R889" s="408"/>
      <c r="S889" s="77"/>
      <c r="T889" s="145"/>
      <c r="U889" s="77"/>
      <c r="V889" s="77"/>
      <c r="W889" s="77"/>
      <c r="X889" s="77"/>
      <c r="Y889" s="107"/>
      <c r="Z889" s="107"/>
      <c r="AA889" s="409"/>
      <c r="AB889" s="466"/>
    </row>
    <row r="890" spans="1:28" s="457" customFormat="1" ht="18" customHeight="1" x14ac:dyDescent="0.2">
      <c r="A890" s="242"/>
      <c r="B890" s="242"/>
      <c r="C890" s="496"/>
      <c r="D890" s="144"/>
      <c r="E890" s="88"/>
      <c r="F890" s="411"/>
      <c r="G890" s="242"/>
      <c r="H890" s="497"/>
      <c r="I890" s="77"/>
      <c r="J890" s="107"/>
      <c r="K890" s="78"/>
      <c r="L890" s="242"/>
      <c r="M890" s="242"/>
      <c r="N890" s="242"/>
      <c r="O890" s="242"/>
      <c r="P890" s="497"/>
      <c r="Q890" s="496"/>
      <c r="R890" s="503"/>
      <c r="S890" s="504"/>
      <c r="T890" s="505"/>
      <c r="U890" s="504"/>
      <c r="V890" s="504"/>
      <c r="W890" s="77"/>
      <c r="X890" s="77"/>
      <c r="Y890" s="77"/>
      <c r="Z890" s="77"/>
      <c r="AA890" s="409"/>
      <c r="AB890" s="506"/>
    </row>
    <row r="891" spans="1:28" s="457" customFormat="1" ht="18" customHeight="1" x14ac:dyDescent="0.2">
      <c r="A891" s="242"/>
      <c r="B891" s="242"/>
      <c r="C891" s="496"/>
      <c r="D891" s="88"/>
      <c r="E891" s="231"/>
      <c r="F891" s="411"/>
      <c r="G891" s="242"/>
      <c r="H891" s="497"/>
      <c r="I891" s="77"/>
      <c r="J891" s="107"/>
      <c r="K891" s="78"/>
      <c r="L891" s="242"/>
      <c r="M891" s="242"/>
      <c r="N891" s="242"/>
      <c r="O891" s="242"/>
      <c r="P891" s="497"/>
      <c r="Q891" s="496"/>
      <c r="R891" s="503"/>
      <c r="S891" s="504"/>
      <c r="T891" s="505"/>
      <c r="U891" s="504"/>
      <c r="V891" s="504"/>
      <c r="W891" s="77"/>
      <c r="X891" s="77"/>
      <c r="Y891" s="77"/>
      <c r="Z891" s="77"/>
      <c r="AA891" s="409"/>
      <c r="AB891" s="506"/>
    </row>
    <row r="892" spans="1:28" s="457" customFormat="1" ht="18" customHeight="1" x14ac:dyDescent="0.2">
      <c r="A892" s="242"/>
      <c r="B892" s="242"/>
      <c r="C892" s="496"/>
      <c r="D892" s="231"/>
      <c r="E892" s="144"/>
      <c r="F892" s="411"/>
      <c r="G892" s="242"/>
      <c r="H892" s="497"/>
      <c r="I892" s="77"/>
      <c r="J892" s="107"/>
      <c r="K892" s="78"/>
      <c r="L892" s="242"/>
      <c r="M892" s="242"/>
      <c r="N892" s="242"/>
      <c r="O892" s="242"/>
      <c r="P892" s="497"/>
      <c r="Q892" s="496"/>
      <c r="R892" s="503"/>
      <c r="S892" s="504"/>
      <c r="T892" s="505"/>
      <c r="U892" s="504"/>
      <c r="V892" s="504"/>
      <c r="W892" s="77"/>
      <c r="X892" s="77"/>
      <c r="Y892" s="77"/>
      <c r="Z892" s="77"/>
      <c r="AA892" s="409"/>
      <c r="AB892" s="506"/>
    </row>
    <row r="893" spans="1:28" s="457" customFormat="1" ht="18" customHeight="1" x14ac:dyDescent="0.2">
      <c r="A893" s="242"/>
      <c r="B893" s="242"/>
      <c r="C893" s="496"/>
      <c r="D893" s="231"/>
      <c r="E893" s="144"/>
      <c r="F893" s="411"/>
      <c r="G893" s="242"/>
      <c r="H893" s="497"/>
      <c r="I893" s="77"/>
      <c r="J893" s="107"/>
      <c r="K893" s="78"/>
      <c r="L893" s="242"/>
      <c r="M893" s="242"/>
      <c r="N893" s="242"/>
      <c r="O893" s="242"/>
      <c r="P893" s="497"/>
      <c r="Q893" s="496"/>
      <c r="R893" s="503"/>
      <c r="S893" s="504"/>
      <c r="T893" s="505"/>
      <c r="U893" s="504"/>
      <c r="V893" s="504"/>
      <c r="W893" s="77"/>
      <c r="X893" s="77"/>
      <c r="Y893" s="77"/>
      <c r="Z893" s="77"/>
      <c r="AA893" s="409"/>
      <c r="AB893" s="506"/>
    </row>
    <row r="894" spans="1:28" s="457" customFormat="1" ht="18" customHeight="1" x14ac:dyDescent="0.2">
      <c r="A894" s="242"/>
      <c r="B894" s="242"/>
      <c r="C894" s="496"/>
      <c r="D894" s="144"/>
      <c r="E894" s="144"/>
      <c r="F894" s="411"/>
      <c r="G894" s="242"/>
      <c r="H894" s="497"/>
      <c r="I894" s="77"/>
      <c r="J894" s="107"/>
      <c r="K894" s="78"/>
      <c r="L894" s="242"/>
      <c r="M894" s="242"/>
      <c r="N894" s="242"/>
      <c r="O894" s="242"/>
      <c r="P894" s="497"/>
      <c r="Q894" s="496"/>
      <c r="R894" s="503"/>
      <c r="S894" s="504"/>
      <c r="T894" s="505"/>
      <c r="U894" s="504"/>
      <c r="V894" s="504"/>
      <c r="W894" s="77"/>
      <c r="X894" s="77"/>
      <c r="Y894" s="77"/>
      <c r="Z894" s="77"/>
      <c r="AA894" s="409"/>
      <c r="AB894" s="506"/>
    </row>
    <row r="895" spans="1:28" s="457" customFormat="1" ht="18" customHeight="1" x14ac:dyDescent="0.2">
      <c r="A895" s="242"/>
      <c r="B895" s="242"/>
      <c r="C895" s="496"/>
      <c r="D895" s="88"/>
      <c r="E895" s="144"/>
      <c r="F895" s="411"/>
      <c r="G895" s="242"/>
      <c r="H895" s="497"/>
      <c r="I895" s="77"/>
      <c r="J895" s="107"/>
      <c r="K895" s="78"/>
      <c r="L895" s="242"/>
      <c r="M895" s="242"/>
      <c r="N895" s="242"/>
      <c r="O895" s="242"/>
      <c r="P895" s="497"/>
      <c r="Q895" s="496"/>
      <c r="R895" s="503"/>
      <c r="S895" s="504"/>
      <c r="T895" s="505"/>
      <c r="U895" s="504"/>
      <c r="V895" s="504"/>
      <c r="W895" s="77"/>
      <c r="X895" s="77"/>
      <c r="Y895" s="77"/>
      <c r="Z895" s="77"/>
      <c r="AA895" s="409"/>
      <c r="AB895" s="506"/>
    </row>
    <row r="896" spans="1:28" s="457" customFormat="1" ht="18" customHeight="1" x14ac:dyDescent="0.2">
      <c r="A896" s="242"/>
      <c r="B896" s="242"/>
      <c r="C896" s="496"/>
      <c r="D896" s="231"/>
      <c r="E896" s="88"/>
      <c r="F896" s="411"/>
      <c r="G896" s="242"/>
      <c r="H896" s="497"/>
      <c r="I896" s="77"/>
      <c r="J896" s="107"/>
      <c r="K896" s="78"/>
      <c r="L896" s="242"/>
      <c r="M896" s="242"/>
      <c r="N896" s="242"/>
      <c r="O896" s="242"/>
      <c r="P896" s="497"/>
      <c r="Q896" s="496"/>
      <c r="R896" s="503"/>
      <c r="S896" s="504"/>
      <c r="T896" s="505"/>
      <c r="U896" s="504"/>
      <c r="V896" s="504"/>
      <c r="W896" s="77"/>
      <c r="X896" s="77"/>
      <c r="Y896" s="77"/>
      <c r="Z896" s="77"/>
      <c r="AA896" s="409"/>
      <c r="AB896" s="506"/>
    </row>
    <row r="897" spans="1:28" s="457" customFormat="1" ht="18" customHeight="1" x14ac:dyDescent="0.2">
      <c r="A897" s="242"/>
      <c r="B897" s="242"/>
      <c r="C897" s="496"/>
      <c r="D897" s="231"/>
      <c r="E897" s="88"/>
      <c r="F897" s="411"/>
      <c r="G897" s="242"/>
      <c r="H897" s="497"/>
      <c r="I897" s="77"/>
      <c r="J897" s="107"/>
      <c r="K897" s="78"/>
      <c r="L897" s="242"/>
      <c r="M897" s="242"/>
      <c r="N897" s="242"/>
      <c r="O897" s="242"/>
      <c r="P897" s="497"/>
      <c r="Q897" s="496"/>
      <c r="R897" s="503"/>
      <c r="S897" s="504"/>
      <c r="T897" s="505"/>
      <c r="U897" s="504"/>
      <c r="V897" s="504"/>
      <c r="W897" s="77"/>
      <c r="X897" s="77"/>
      <c r="Y897" s="77"/>
      <c r="Z897" s="77"/>
      <c r="AA897" s="409"/>
      <c r="AB897" s="506"/>
    </row>
    <row r="898" spans="1:28" s="457" customFormat="1" ht="18" customHeight="1" x14ac:dyDescent="0.2">
      <c r="A898" s="242"/>
      <c r="B898" s="242"/>
      <c r="C898" s="496"/>
      <c r="D898" s="144"/>
      <c r="E898" s="88"/>
      <c r="F898" s="411"/>
      <c r="G898" s="242"/>
      <c r="H898" s="497"/>
      <c r="I898" s="77"/>
      <c r="J898" s="107"/>
      <c r="K898" s="78"/>
      <c r="L898" s="242"/>
      <c r="M898" s="242"/>
      <c r="N898" s="242"/>
      <c r="O898" s="242"/>
      <c r="P898" s="497"/>
      <c r="Q898" s="496"/>
      <c r="R898" s="503"/>
      <c r="S898" s="504"/>
      <c r="T898" s="505"/>
      <c r="U898" s="504"/>
      <c r="V898" s="504"/>
      <c r="W898" s="77"/>
      <c r="X898" s="77"/>
      <c r="Y898" s="77"/>
      <c r="Z898" s="77"/>
      <c r="AA898" s="409"/>
      <c r="AB898" s="506"/>
    </row>
    <row r="899" spans="1:28" s="457" customFormat="1" ht="18" customHeight="1" x14ac:dyDescent="0.2">
      <c r="A899" s="242"/>
      <c r="B899" s="242"/>
      <c r="C899" s="496"/>
      <c r="D899" s="144"/>
      <c r="E899" s="88"/>
      <c r="F899" s="411"/>
      <c r="G899" s="242"/>
      <c r="H899" s="497"/>
      <c r="I899" s="77"/>
      <c r="J899" s="107"/>
      <c r="K899" s="78"/>
      <c r="L899" s="242"/>
      <c r="M899" s="242"/>
      <c r="N899" s="242"/>
      <c r="O899" s="242"/>
      <c r="P899" s="497"/>
      <c r="Q899" s="496"/>
      <c r="R899" s="503"/>
      <c r="S899" s="504"/>
      <c r="T899" s="505"/>
      <c r="U899" s="504"/>
      <c r="V899" s="504"/>
      <c r="W899" s="77"/>
      <c r="X899" s="77"/>
      <c r="Y899" s="77"/>
      <c r="Z899" s="77"/>
      <c r="AA899" s="409"/>
      <c r="AB899" s="506"/>
    </row>
    <row r="900" spans="1:28" s="457" customFormat="1" ht="18" customHeight="1" x14ac:dyDescent="0.2">
      <c r="A900" s="183"/>
      <c r="B900" s="183"/>
      <c r="C900" s="183"/>
      <c r="D900" s="183"/>
      <c r="E900" s="183"/>
      <c r="F900" s="183"/>
      <c r="G900" s="183"/>
      <c r="H900" s="184"/>
      <c r="I900" s="185"/>
      <c r="J900" s="186"/>
      <c r="K900" s="185"/>
      <c r="L900" s="185"/>
      <c r="M900" s="185"/>
      <c r="N900" s="185"/>
      <c r="O900" s="185"/>
      <c r="P900" s="185"/>
      <c r="Q900" s="185"/>
      <c r="R900" s="438"/>
      <c r="S900" s="185"/>
      <c r="T900" s="187"/>
      <c r="U900" s="186"/>
      <c r="V900" s="185"/>
      <c r="W900" s="185"/>
      <c r="X900" s="474"/>
      <c r="Y900" s="474"/>
      <c r="Z900" s="475"/>
      <c r="AA900" s="475"/>
      <c r="AB900" s="1847">
        <f>SUM(AB885:AB899)</f>
        <v>534.6</v>
      </c>
    </row>
    <row r="901" spans="1:28" s="457" customFormat="1" ht="18" customHeight="1" x14ac:dyDescent="0.2">
      <c r="A901" s="2737" t="s">
        <v>76</v>
      </c>
      <c r="B901" s="2737"/>
      <c r="C901" s="2738" t="s">
        <v>77</v>
      </c>
      <c r="D901" s="2738"/>
      <c r="E901" s="2738"/>
      <c r="F901" s="2738"/>
      <c r="G901" s="2738"/>
      <c r="H901" s="2738"/>
      <c r="I901" s="457" t="s">
        <v>78</v>
      </c>
      <c r="AB901" s="478"/>
    </row>
    <row r="902" spans="1:28" s="457" customFormat="1" ht="18" customHeight="1" x14ac:dyDescent="0.2">
      <c r="B902" s="479"/>
      <c r="I902" s="457" t="s">
        <v>79</v>
      </c>
      <c r="AB902" s="478"/>
    </row>
    <row r="903" spans="1:28" s="457" customFormat="1" ht="18" customHeight="1" x14ac:dyDescent="0.2">
      <c r="B903" s="479"/>
      <c r="I903" s="457" t="s">
        <v>80</v>
      </c>
      <c r="AB903" s="478"/>
    </row>
    <row r="904" spans="1:28" s="457" customFormat="1" ht="18" customHeight="1" x14ac:dyDescent="0.2">
      <c r="B904" s="479"/>
      <c r="I904" s="457" t="s">
        <v>81</v>
      </c>
      <c r="AB904" s="478"/>
    </row>
    <row r="905" spans="1:28" s="457" customFormat="1" ht="18" customHeight="1" x14ac:dyDescent="0.2">
      <c r="B905" s="479"/>
      <c r="I905" s="457" t="s">
        <v>88</v>
      </c>
      <c r="AB905" s="478"/>
    </row>
    <row r="906" spans="1:28" s="457" customFormat="1" ht="18" customHeight="1" x14ac:dyDescent="0.2">
      <c r="A906" s="455"/>
      <c r="B906" s="455"/>
      <c r="C906" s="455"/>
      <c r="D906" s="455"/>
      <c r="E906" s="455"/>
      <c r="F906" s="455"/>
      <c r="G906" s="455"/>
      <c r="H906" s="455"/>
      <c r="I906" s="455"/>
      <c r="J906" s="455"/>
      <c r="K906" s="455"/>
      <c r="L906" s="455"/>
      <c r="M906" s="455"/>
      <c r="N906" s="455"/>
      <c r="O906" s="455"/>
      <c r="P906" s="455"/>
      <c r="Q906" s="455"/>
      <c r="R906" s="455"/>
      <c r="S906" s="455"/>
      <c r="T906" s="455"/>
      <c r="U906" s="455"/>
      <c r="V906" s="455"/>
      <c r="W906" s="455"/>
      <c r="X906" s="455"/>
      <c r="Y906" s="455"/>
      <c r="Z906" s="455"/>
      <c r="AA906" s="2705" t="s">
        <v>0</v>
      </c>
      <c r="AB906" s="2705"/>
    </row>
    <row r="907" spans="1:28" s="457" customFormat="1" ht="18" customHeight="1" x14ac:dyDescent="0.2">
      <c r="A907" s="2706" t="s">
        <v>1</v>
      </c>
      <c r="B907" s="2706"/>
      <c r="C907" s="2706"/>
      <c r="D907" s="2706"/>
      <c r="E907" s="2706"/>
      <c r="F907" s="2706"/>
      <c r="G907" s="2706"/>
      <c r="H907" s="2706"/>
      <c r="I907" s="2706"/>
      <c r="J907" s="2706"/>
      <c r="K907" s="2706"/>
      <c r="L907" s="2706"/>
      <c r="M907" s="2706"/>
      <c r="N907" s="2706"/>
      <c r="O907" s="2706"/>
      <c r="P907" s="2706"/>
      <c r="Q907" s="2706"/>
      <c r="R907" s="2706"/>
      <c r="S907" s="2706"/>
      <c r="T907" s="2706"/>
      <c r="U907" s="2706"/>
      <c r="V907" s="2706"/>
      <c r="W907" s="2706"/>
      <c r="X907" s="2706"/>
      <c r="Y907" s="2706"/>
      <c r="Z907" s="2706"/>
      <c r="AA907" s="2706"/>
      <c r="AB907" s="2706"/>
    </row>
    <row r="908" spans="1:28" s="457" customFormat="1" ht="18" customHeight="1" x14ac:dyDescent="0.2">
      <c r="A908" s="2704" t="s">
        <v>398</v>
      </c>
      <c r="B908" s="2704"/>
      <c r="C908" s="2704"/>
      <c r="D908" s="2704"/>
      <c r="E908" s="2704"/>
      <c r="F908" s="2704"/>
      <c r="G908" s="2704"/>
      <c r="H908" s="2704"/>
      <c r="I908" s="2704"/>
      <c r="J908" s="2704"/>
      <c r="K908" s="2704"/>
      <c r="L908" s="2704"/>
      <c r="M908" s="2704"/>
      <c r="N908" s="2704"/>
      <c r="O908" s="2704"/>
      <c r="P908" s="2704"/>
      <c r="Q908" s="2704"/>
      <c r="R908" s="2704"/>
      <c r="S908" s="2704"/>
      <c r="T908" s="2704"/>
      <c r="U908" s="2704"/>
      <c r="V908" s="2704"/>
      <c r="W908" s="2704"/>
      <c r="X908" s="2704"/>
      <c r="Y908" s="2704"/>
      <c r="Z908" s="2704"/>
      <c r="AA908" s="2704"/>
      <c r="AB908" s="2704"/>
    </row>
    <row r="909" spans="1:28" s="457" customFormat="1" ht="18" customHeight="1" x14ac:dyDescent="0.2">
      <c r="A909" s="2686" t="s">
        <v>2</v>
      </c>
      <c r="B909" s="360"/>
      <c r="C909" s="2686" t="s">
        <v>3</v>
      </c>
      <c r="D909" s="360"/>
      <c r="E909" s="360"/>
      <c r="F909" s="2693" t="s">
        <v>4</v>
      </c>
      <c r="G909" s="2693"/>
      <c r="H909" s="2693"/>
      <c r="I909" s="2694"/>
      <c r="J909" s="2694"/>
      <c r="K909" s="2695"/>
      <c r="L909" s="361"/>
      <c r="M909" s="2679" t="s">
        <v>5</v>
      </c>
      <c r="N909" s="2679"/>
      <c r="O909" s="2679"/>
      <c r="P909" s="2679"/>
      <c r="Q909" s="2696"/>
      <c r="R909" s="2696"/>
      <c r="S909" s="2696"/>
      <c r="T909" s="2696"/>
      <c r="U909" s="2696"/>
      <c r="V909" s="2697"/>
      <c r="W909" s="362" t="s">
        <v>6</v>
      </c>
      <c r="X909" s="363" t="s">
        <v>7</v>
      </c>
      <c r="Y909" s="364"/>
      <c r="Z909" s="364"/>
      <c r="AA909" s="363"/>
      <c r="AB909" s="458"/>
    </row>
    <row r="910" spans="1:28" s="457" customFormat="1" ht="18" customHeight="1" x14ac:dyDescent="0.2">
      <c r="A910" s="2687"/>
      <c r="B910" s="367"/>
      <c r="C910" s="2687"/>
      <c r="D910" s="366" t="s">
        <v>9</v>
      </c>
      <c r="E910" s="366" t="s">
        <v>10</v>
      </c>
      <c r="F910" s="2698" t="s">
        <v>11</v>
      </c>
      <c r="G910" s="2694"/>
      <c r="H910" s="2695"/>
      <c r="I910" s="360"/>
      <c r="J910" s="449" t="s">
        <v>12</v>
      </c>
      <c r="K910" s="360"/>
      <c r="L910" s="2679" t="s">
        <v>2</v>
      </c>
      <c r="M910" s="370"/>
      <c r="N910" s="370"/>
      <c r="O910" s="370"/>
      <c r="P910" s="371"/>
      <c r="Q910" s="459" t="s">
        <v>13</v>
      </c>
      <c r="R910" s="370" t="s">
        <v>12</v>
      </c>
      <c r="S910" s="370" t="s">
        <v>6</v>
      </c>
      <c r="T910" s="2682" t="s">
        <v>14</v>
      </c>
      <c r="U910" s="2683"/>
      <c r="V910" s="375" t="s">
        <v>7</v>
      </c>
      <c r="W910" s="376" t="s">
        <v>15</v>
      </c>
      <c r="X910" s="377" t="s">
        <v>16</v>
      </c>
      <c r="Y910" s="377" t="s">
        <v>17</v>
      </c>
      <c r="Z910" s="377" t="s">
        <v>18</v>
      </c>
      <c r="AA910" s="377"/>
      <c r="AB910" s="460" t="s">
        <v>19</v>
      </c>
    </row>
    <row r="911" spans="1:28" s="457" customFormat="1" ht="18" customHeight="1" x14ac:dyDescent="0.2">
      <c r="A911" s="2687"/>
      <c r="B911" s="366" t="s">
        <v>23</v>
      </c>
      <c r="C911" s="2687"/>
      <c r="D911" s="366" t="s">
        <v>24</v>
      </c>
      <c r="E911" s="366" t="s">
        <v>25</v>
      </c>
      <c r="F911" s="2699"/>
      <c r="G911" s="2700"/>
      <c r="H911" s="2701"/>
      <c r="I911" s="366" t="s">
        <v>26</v>
      </c>
      <c r="J911" s="380" t="s">
        <v>15</v>
      </c>
      <c r="K911" s="380" t="s">
        <v>6</v>
      </c>
      <c r="L911" s="2680"/>
      <c r="M911" s="381" t="s">
        <v>27</v>
      </c>
      <c r="N911" s="381" t="s">
        <v>10</v>
      </c>
      <c r="O911" s="381" t="s">
        <v>10</v>
      </c>
      <c r="P911" s="385" t="s">
        <v>28</v>
      </c>
      <c r="Q911" s="461" t="s">
        <v>29</v>
      </c>
      <c r="R911" s="385" t="s">
        <v>15</v>
      </c>
      <c r="S911" s="385" t="s">
        <v>15</v>
      </c>
      <c r="T911" s="2684"/>
      <c r="U911" s="2685"/>
      <c r="V911" s="375" t="s">
        <v>30</v>
      </c>
      <c r="W911" s="376" t="s">
        <v>31</v>
      </c>
      <c r="X911" s="377" t="s">
        <v>30</v>
      </c>
      <c r="Y911" s="377" t="s">
        <v>32</v>
      </c>
      <c r="Z911" s="377" t="s">
        <v>7</v>
      </c>
      <c r="AA911" s="377" t="s">
        <v>33</v>
      </c>
      <c r="AB911" s="460" t="s">
        <v>34</v>
      </c>
    </row>
    <row r="912" spans="1:28" s="457" customFormat="1" ht="18" customHeight="1" x14ac:dyDescent="0.2">
      <c r="A912" s="2687"/>
      <c r="B912" s="366" t="s">
        <v>39</v>
      </c>
      <c r="C912" s="2687"/>
      <c r="D912" s="366" t="s">
        <v>40</v>
      </c>
      <c r="E912" s="366" t="s">
        <v>41</v>
      </c>
      <c r="F912" s="2686" t="s">
        <v>42</v>
      </c>
      <c r="G912" s="2686" t="s">
        <v>43</v>
      </c>
      <c r="H912" s="2688" t="s">
        <v>44</v>
      </c>
      <c r="I912" s="366" t="s">
        <v>45</v>
      </c>
      <c r="J912" s="380" t="s">
        <v>46</v>
      </c>
      <c r="K912" s="380" t="s">
        <v>47</v>
      </c>
      <c r="L912" s="2680"/>
      <c r="M912" s="381" t="s">
        <v>30</v>
      </c>
      <c r="N912" s="381" t="s">
        <v>30</v>
      </c>
      <c r="O912" s="381" t="s">
        <v>25</v>
      </c>
      <c r="P912" s="385" t="s">
        <v>30</v>
      </c>
      <c r="Q912" s="461" t="s">
        <v>48</v>
      </c>
      <c r="R912" s="385" t="s">
        <v>49</v>
      </c>
      <c r="S912" s="385" t="s">
        <v>30</v>
      </c>
      <c r="T912" s="374" t="s">
        <v>50</v>
      </c>
      <c r="U912" s="374" t="s">
        <v>13</v>
      </c>
      <c r="V912" s="375" t="s">
        <v>51</v>
      </c>
      <c r="W912" s="376" t="s">
        <v>52</v>
      </c>
      <c r="X912" s="377" t="s">
        <v>53</v>
      </c>
      <c r="Y912" s="377" t="s">
        <v>54</v>
      </c>
      <c r="Z912" s="377" t="s">
        <v>55</v>
      </c>
      <c r="AA912" s="377" t="s">
        <v>56</v>
      </c>
      <c r="AB912" s="460" t="s">
        <v>57</v>
      </c>
    </row>
    <row r="913" spans="1:28" s="457" customFormat="1" ht="18" customHeight="1" x14ac:dyDescent="0.2">
      <c r="A913" s="2687"/>
      <c r="B913" s="366" t="s">
        <v>61</v>
      </c>
      <c r="C913" s="2687"/>
      <c r="D913" s="366" t="s">
        <v>62</v>
      </c>
      <c r="E913" s="366" t="s">
        <v>63</v>
      </c>
      <c r="F913" s="2687"/>
      <c r="G913" s="2687"/>
      <c r="H913" s="2689"/>
      <c r="I913" s="366" t="s">
        <v>64</v>
      </c>
      <c r="J913" s="380" t="s">
        <v>59</v>
      </c>
      <c r="K913" s="380" t="s">
        <v>59</v>
      </c>
      <c r="L913" s="2680"/>
      <c r="M913" s="381"/>
      <c r="N913" s="381"/>
      <c r="O913" s="381" t="s">
        <v>41</v>
      </c>
      <c r="P913" s="385" t="s">
        <v>65</v>
      </c>
      <c r="Q913" s="461" t="s">
        <v>66</v>
      </c>
      <c r="R913" s="385" t="s">
        <v>67</v>
      </c>
      <c r="S913" s="385" t="s">
        <v>59</v>
      </c>
      <c r="T913" s="375" t="s">
        <v>68</v>
      </c>
      <c r="U913" s="375" t="s">
        <v>14</v>
      </c>
      <c r="V913" s="375" t="s">
        <v>14</v>
      </c>
      <c r="W913" s="376" t="s">
        <v>30</v>
      </c>
      <c r="X913" s="388" t="s">
        <v>69</v>
      </c>
      <c r="Y913" s="388" t="s">
        <v>70</v>
      </c>
      <c r="Z913" s="377" t="s">
        <v>71</v>
      </c>
      <c r="AA913" s="377" t="s">
        <v>72</v>
      </c>
      <c r="AB913" s="460" t="s">
        <v>59</v>
      </c>
    </row>
    <row r="914" spans="1:28" s="457" customFormat="1" ht="18" customHeight="1" x14ac:dyDescent="0.2">
      <c r="A914" s="2692"/>
      <c r="B914" s="390"/>
      <c r="C914" s="2692"/>
      <c r="D914" s="390"/>
      <c r="E914" s="389"/>
      <c r="F914" s="390"/>
      <c r="G914" s="390"/>
      <c r="H914" s="391"/>
      <c r="I914" s="389"/>
      <c r="J914" s="393"/>
      <c r="K914" s="393"/>
      <c r="L914" s="2681"/>
      <c r="M914" s="394"/>
      <c r="N914" s="394"/>
      <c r="O914" s="394" t="s">
        <v>63</v>
      </c>
      <c r="P914" s="394"/>
      <c r="Q914" s="450" t="s">
        <v>72</v>
      </c>
      <c r="R914" s="398" t="s">
        <v>59</v>
      </c>
      <c r="S914" s="398"/>
      <c r="T914" s="398" t="s">
        <v>73</v>
      </c>
      <c r="U914" s="398" t="s">
        <v>59</v>
      </c>
      <c r="V914" s="399" t="s">
        <v>59</v>
      </c>
      <c r="W914" s="400" t="s">
        <v>59</v>
      </c>
      <c r="X914" s="401" t="s">
        <v>59</v>
      </c>
      <c r="Y914" s="401" t="s">
        <v>59</v>
      </c>
      <c r="Z914" s="401" t="s">
        <v>59</v>
      </c>
      <c r="AA914" s="402"/>
      <c r="AB914" s="462"/>
    </row>
    <row r="915" spans="1:28" s="457" customFormat="1" ht="18" customHeight="1" x14ac:dyDescent="0.25">
      <c r="A915" s="240">
        <v>1</v>
      </c>
      <c r="B915" s="333">
        <v>25247</v>
      </c>
      <c r="C915" s="336" t="s">
        <v>203</v>
      </c>
      <c r="D915" s="41" t="s">
        <v>86</v>
      </c>
      <c r="E915" s="41">
        <v>1</v>
      </c>
      <c r="F915" s="976">
        <v>0</v>
      </c>
      <c r="G915" s="254">
        <v>1</v>
      </c>
      <c r="H915" s="335">
        <v>80</v>
      </c>
      <c r="I915" s="77">
        <f>F915*400+G915*100+H915</f>
        <v>180</v>
      </c>
      <c r="J915" s="310">
        <v>1100</v>
      </c>
      <c r="K915" s="78">
        <f>SUM(I915*J915)</f>
        <v>198000</v>
      </c>
      <c r="L915" s="16"/>
      <c r="M915" s="82"/>
      <c r="N915" s="41"/>
      <c r="O915" s="16"/>
      <c r="P915" s="847"/>
      <c r="Q915" s="14"/>
      <c r="R915" s="741"/>
      <c r="S915" s="302"/>
      <c r="T915" s="41"/>
      <c r="U915" s="302"/>
      <c r="V915" s="302"/>
      <c r="W915" s="302">
        <v>198000</v>
      </c>
      <c r="X915" s="302">
        <v>198000</v>
      </c>
      <c r="Y915" s="302" t="s">
        <v>87</v>
      </c>
      <c r="Z915" s="302">
        <v>0</v>
      </c>
      <c r="AA915" s="405">
        <v>0.01</v>
      </c>
      <c r="AB915" s="465">
        <f>+Z915*AA915/100</f>
        <v>0</v>
      </c>
    </row>
    <row r="916" spans="1:28" s="457" customFormat="1" ht="18" customHeight="1" x14ac:dyDescent="0.25">
      <c r="A916" s="61">
        <v>2</v>
      </c>
      <c r="B916" s="287">
        <v>61386</v>
      </c>
      <c r="C916" s="15">
        <v>3382</v>
      </c>
      <c r="D916" s="15" t="s">
        <v>86</v>
      </c>
      <c r="E916" s="15">
        <v>4</v>
      </c>
      <c r="F916" s="15">
        <v>0</v>
      </c>
      <c r="G916" s="15">
        <v>0</v>
      </c>
      <c r="H916" s="284">
        <v>71</v>
      </c>
      <c r="I916" s="77">
        <f>F916*400+G916*100+H916</f>
        <v>71</v>
      </c>
      <c r="J916" s="306">
        <v>300</v>
      </c>
      <c r="K916" s="78">
        <f>SUM(I916*J916)</f>
        <v>21300</v>
      </c>
      <c r="L916" s="50"/>
      <c r="M916" s="145"/>
      <c r="N916" s="15"/>
      <c r="O916" s="50"/>
      <c r="P916" s="21"/>
      <c r="Q916" s="76"/>
      <c r="R916" s="672"/>
      <c r="S916" s="296"/>
      <c r="T916" s="15"/>
      <c r="U916" s="296"/>
      <c r="V916" s="296"/>
      <c r="W916" s="296">
        <v>21300</v>
      </c>
      <c r="X916" s="296">
        <v>21300</v>
      </c>
      <c r="Y916" s="306">
        <v>0</v>
      </c>
      <c r="Z916" s="296">
        <v>21300</v>
      </c>
      <c r="AA916" s="494">
        <v>0.6</v>
      </c>
      <c r="AB916" s="416">
        <f>+Z916*AA916/100</f>
        <v>127.8</v>
      </c>
    </row>
    <row r="917" spans="1:28" s="457" customFormat="1" ht="18" customHeight="1" x14ac:dyDescent="0.2">
      <c r="A917" s="242"/>
      <c r="B917" s="242"/>
      <c r="C917" s="496"/>
      <c r="D917" s="88"/>
      <c r="E917" s="85"/>
      <c r="F917" s="411"/>
      <c r="G917" s="242"/>
      <c r="H917" s="497"/>
      <c r="I917" s="74"/>
      <c r="J917" s="121"/>
      <c r="K917" s="159"/>
      <c r="L917" s="242"/>
      <c r="M917" s="242"/>
      <c r="N917" s="242"/>
      <c r="O917" s="242"/>
      <c r="P917" s="497"/>
      <c r="Q917" s="496"/>
      <c r="R917" s="503"/>
      <c r="S917" s="504"/>
      <c r="T917" s="505"/>
      <c r="U917" s="504"/>
      <c r="V917" s="504"/>
      <c r="W917" s="74"/>
      <c r="X917" s="74"/>
      <c r="Y917" s="74"/>
      <c r="Z917" s="74"/>
      <c r="AA917" s="414"/>
      <c r="AB917" s="410"/>
    </row>
    <row r="918" spans="1:28" s="457" customFormat="1" ht="18" customHeight="1" x14ac:dyDescent="0.2">
      <c r="A918" s="242"/>
      <c r="B918" s="242"/>
      <c r="C918" s="496"/>
      <c r="D918" s="88"/>
      <c r="E918" s="85"/>
      <c r="F918" s="411"/>
      <c r="G918" s="242"/>
      <c r="H918" s="497"/>
      <c r="I918" s="74"/>
      <c r="J918" s="121"/>
      <c r="K918" s="159"/>
      <c r="L918" s="242"/>
      <c r="M918" s="242"/>
      <c r="N918" s="242"/>
      <c r="O918" s="242"/>
      <c r="P918" s="497"/>
      <c r="Q918" s="496"/>
      <c r="R918" s="503"/>
      <c r="S918" s="504"/>
      <c r="T918" s="505"/>
      <c r="U918" s="504"/>
      <c r="V918" s="504"/>
      <c r="W918" s="74"/>
      <c r="X918" s="74"/>
      <c r="Y918" s="74"/>
      <c r="Z918" s="74"/>
      <c r="AA918" s="414"/>
      <c r="AB918" s="466"/>
    </row>
    <row r="919" spans="1:28" s="457" customFormat="1" ht="18" customHeight="1" x14ac:dyDescent="0.2">
      <c r="A919" s="61"/>
      <c r="B919" s="145"/>
      <c r="C919" s="145"/>
      <c r="D919" s="145"/>
      <c r="E919" s="145"/>
      <c r="F919" s="145"/>
      <c r="G919" s="145"/>
      <c r="H919" s="407"/>
      <c r="I919" s="77"/>
      <c r="J919" s="107"/>
      <c r="K919" s="78"/>
      <c r="L919" s="61"/>
      <c r="M919" s="145"/>
      <c r="N919" s="145"/>
      <c r="O919" s="61"/>
      <c r="P919" s="177"/>
      <c r="Q919" s="196"/>
      <c r="R919" s="408"/>
      <c r="S919" s="77"/>
      <c r="T919" s="145"/>
      <c r="U919" s="77"/>
      <c r="V919" s="77"/>
      <c r="W919" s="77"/>
      <c r="X919" s="77"/>
      <c r="Y919" s="107"/>
      <c r="Z919" s="107"/>
      <c r="AA919" s="409"/>
      <c r="AB919" s="466"/>
    </row>
    <row r="920" spans="1:28" s="457" customFormat="1" ht="18" customHeight="1" x14ac:dyDescent="0.2">
      <c r="A920" s="242"/>
      <c r="B920" s="242"/>
      <c r="C920" s="496"/>
      <c r="D920" s="144"/>
      <c r="E920" s="88"/>
      <c r="F920" s="411"/>
      <c r="G920" s="242"/>
      <c r="H920" s="497"/>
      <c r="I920" s="77"/>
      <c r="J920" s="107"/>
      <c r="K920" s="78"/>
      <c r="L920" s="242"/>
      <c r="M920" s="242"/>
      <c r="N920" s="242"/>
      <c r="O920" s="242"/>
      <c r="P920" s="497"/>
      <c r="Q920" s="496"/>
      <c r="R920" s="503"/>
      <c r="S920" s="504"/>
      <c r="T920" s="505"/>
      <c r="U920" s="504"/>
      <c r="V920" s="504"/>
      <c r="W920" s="77"/>
      <c r="X920" s="77"/>
      <c r="Y920" s="77"/>
      <c r="Z920" s="77"/>
      <c r="AA920" s="409"/>
      <c r="AB920" s="506"/>
    </row>
    <row r="921" spans="1:28" s="457" customFormat="1" ht="18" customHeight="1" x14ac:dyDescent="0.2">
      <c r="A921" s="242"/>
      <c r="B921" s="242"/>
      <c r="C921" s="496"/>
      <c r="D921" s="88"/>
      <c r="E921" s="231"/>
      <c r="F921" s="411"/>
      <c r="G921" s="242"/>
      <c r="H921" s="497"/>
      <c r="I921" s="77"/>
      <c r="J921" s="107"/>
      <c r="K921" s="78"/>
      <c r="L921" s="242"/>
      <c r="M921" s="242"/>
      <c r="N921" s="242"/>
      <c r="O921" s="242"/>
      <c r="P921" s="497"/>
      <c r="Q921" s="496"/>
      <c r="R921" s="503"/>
      <c r="S921" s="504"/>
      <c r="T921" s="505"/>
      <c r="U921" s="504"/>
      <c r="V921" s="504"/>
      <c r="W921" s="77"/>
      <c r="X921" s="77"/>
      <c r="Y921" s="77"/>
      <c r="Z921" s="77"/>
      <c r="AA921" s="409"/>
      <c r="AB921" s="506"/>
    </row>
    <row r="922" spans="1:28" s="457" customFormat="1" ht="18" customHeight="1" x14ac:dyDescent="0.2">
      <c r="A922" s="242"/>
      <c r="B922" s="242"/>
      <c r="C922" s="496"/>
      <c r="D922" s="231"/>
      <c r="E922" s="144"/>
      <c r="F922" s="411"/>
      <c r="G922" s="242"/>
      <c r="H922" s="497"/>
      <c r="I922" s="77"/>
      <c r="J922" s="107"/>
      <c r="K922" s="78"/>
      <c r="L922" s="242"/>
      <c r="M922" s="242"/>
      <c r="N922" s="242"/>
      <c r="O922" s="242"/>
      <c r="P922" s="497"/>
      <c r="Q922" s="496"/>
      <c r="R922" s="503"/>
      <c r="S922" s="504"/>
      <c r="T922" s="505"/>
      <c r="U922" s="504"/>
      <c r="V922" s="504"/>
      <c r="W922" s="77"/>
      <c r="X922" s="77"/>
      <c r="Y922" s="77"/>
      <c r="Z922" s="77"/>
      <c r="AA922" s="409"/>
      <c r="AB922" s="506"/>
    </row>
    <row r="923" spans="1:28" s="457" customFormat="1" ht="18" customHeight="1" x14ac:dyDescent="0.2">
      <c r="A923" s="242"/>
      <c r="B923" s="242"/>
      <c r="C923" s="496"/>
      <c r="D923" s="144"/>
      <c r="E923" s="144"/>
      <c r="F923" s="411"/>
      <c r="G923" s="242"/>
      <c r="H923" s="497"/>
      <c r="I923" s="77"/>
      <c r="J923" s="107"/>
      <c r="K923" s="78"/>
      <c r="L923" s="242"/>
      <c r="M923" s="242"/>
      <c r="N923" s="242"/>
      <c r="O923" s="242"/>
      <c r="P923" s="497"/>
      <c r="Q923" s="496"/>
      <c r="R923" s="503"/>
      <c r="S923" s="504"/>
      <c r="T923" s="505"/>
      <c r="U923" s="504"/>
      <c r="V923" s="504"/>
      <c r="W923" s="77"/>
      <c r="X923" s="77"/>
      <c r="Y923" s="77"/>
      <c r="Z923" s="77"/>
      <c r="AA923" s="409"/>
      <c r="AB923" s="506"/>
    </row>
    <row r="924" spans="1:28" s="457" customFormat="1" ht="18" customHeight="1" x14ac:dyDescent="0.2">
      <c r="A924" s="242"/>
      <c r="B924" s="242"/>
      <c r="C924" s="496"/>
      <c r="D924" s="88"/>
      <c r="E924" s="144"/>
      <c r="F924" s="411"/>
      <c r="G924" s="242"/>
      <c r="H924" s="497"/>
      <c r="I924" s="77"/>
      <c r="J924" s="107"/>
      <c r="K924" s="78"/>
      <c r="L924" s="242"/>
      <c r="M924" s="242"/>
      <c r="N924" s="242"/>
      <c r="O924" s="242"/>
      <c r="P924" s="497"/>
      <c r="Q924" s="496"/>
      <c r="R924" s="503"/>
      <c r="S924" s="504"/>
      <c r="T924" s="505"/>
      <c r="U924" s="504"/>
      <c r="V924" s="504"/>
      <c r="W924" s="77"/>
      <c r="X924" s="77"/>
      <c r="Y924" s="77"/>
      <c r="Z924" s="77"/>
      <c r="AA924" s="409"/>
      <c r="AB924" s="506"/>
    </row>
    <row r="925" spans="1:28" s="457" customFormat="1" ht="18" customHeight="1" x14ac:dyDescent="0.2">
      <c r="A925" s="242"/>
      <c r="B925" s="242"/>
      <c r="C925" s="496"/>
      <c r="D925" s="231"/>
      <c r="E925" s="88"/>
      <c r="F925" s="411"/>
      <c r="G925" s="242"/>
      <c r="H925" s="497"/>
      <c r="I925" s="77"/>
      <c r="J925" s="107"/>
      <c r="K925" s="78"/>
      <c r="L925" s="242"/>
      <c r="M925" s="242"/>
      <c r="N925" s="242"/>
      <c r="O925" s="242"/>
      <c r="P925" s="497"/>
      <c r="Q925" s="496"/>
      <c r="R925" s="503"/>
      <c r="S925" s="504"/>
      <c r="T925" s="505"/>
      <c r="U925" s="504"/>
      <c r="V925" s="504"/>
      <c r="W925" s="77"/>
      <c r="X925" s="77"/>
      <c r="Y925" s="77"/>
      <c r="Z925" s="77"/>
      <c r="AA925" s="409"/>
      <c r="AB925" s="506"/>
    </row>
    <row r="926" spans="1:28" s="457" customFormat="1" ht="18" customHeight="1" x14ac:dyDescent="0.2">
      <c r="A926" s="242"/>
      <c r="B926" s="242"/>
      <c r="C926" s="496"/>
      <c r="D926" s="88"/>
      <c r="E926" s="231"/>
      <c r="F926" s="411"/>
      <c r="G926" s="242"/>
      <c r="H926" s="497"/>
      <c r="I926" s="77"/>
      <c r="J926" s="107"/>
      <c r="K926" s="78"/>
      <c r="L926" s="242"/>
      <c r="M926" s="242"/>
      <c r="N926" s="242"/>
      <c r="O926" s="242"/>
      <c r="P926" s="497"/>
      <c r="Q926" s="496"/>
      <c r="R926" s="503"/>
      <c r="S926" s="504"/>
      <c r="T926" s="505"/>
      <c r="U926" s="504"/>
      <c r="V926" s="504"/>
      <c r="W926" s="77"/>
      <c r="X926" s="77"/>
      <c r="Y926" s="77"/>
      <c r="Z926" s="77"/>
      <c r="AA926" s="409"/>
      <c r="AB926" s="506"/>
    </row>
    <row r="927" spans="1:28" s="457" customFormat="1" ht="18" customHeight="1" x14ac:dyDescent="0.2">
      <c r="A927" s="242"/>
      <c r="B927" s="242"/>
      <c r="C927" s="496"/>
      <c r="D927" s="88"/>
      <c r="E927" s="144"/>
      <c r="F927" s="411"/>
      <c r="G927" s="242"/>
      <c r="H927" s="497"/>
      <c r="I927" s="77"/>
      <c r="J927" s="107"/>
      <c r="K927" s="78"/>
      <c r="L927" s="242"/>
      <c r="M927" s="242"/>
      <c r="N927" s="242"/>
      <c r="O927" s="242"/>
      <c r="P927" s="497"/>
      <c r="Q927" s="496"/>
      <c r="R927" s="503"/>
      <c r="S927" s="504"/>
      <c r="T927" s="505"/>
      <c r="U927" s="504"/>
      <c r="V927" s="504"/>
      <c r="W927" s="77"/>
      <c r="X927" s="77"/>
      <c r="Y927" s="77"/>
      <c r="Z927" s="77"/>
      <c r="AA927" s="409"/>
      <c r="AB927" s="506"/>
    </row>
    <row r="928" spans="1:28" s="457" customFormat="1" ht="18" customHeight="1" x14ac:dyDescent="0.2">
      <c r="A928" s="242"/>
      <c r="B928" s="242"/>
      <c r="C928" s="496"/>
      <c r="D928" s="88"/>
      <c r="E928" s="144"/>
      <c r="F928" s="411"/>
      <c r="G928" s="242"/>
      <c r="H928" s="497"/>
      <c r="I928" s="77"/>
      <c r="J928" s="107"/>
      <c r="K928" s="78"/>
      <c r="L928" s="242"/>
      <c r="M928" s="242"/>
      <c r="N928" s="242"/>
      <c r="O928" s="242"/>
      <c r="P928" s="497"/>
      <c r="Q928" s="496"/>
      <c r="R928" s="503"/>
      <c r="S928" s="504"/>
      <c r="T928" s="505"/>
      <c r="U928" s="504"/>
      <c r="V928" s="504"/>
      <c r="W928" s="77"/>
      <c r="X928" s="77"/>
      <c r="Y928" s="77"/>
      <c r="Z928" s="77"/>
      <c r="AA928" s="409"/>
      <c r="AB928" s="506"/>
    </row>
    <row r="929" spans="1:28" s="457" customFormat="1" ht="18" customHeight="1" x14ac:dyDescent="0.2">
      <c r="A929" s="242"/>
      <c r="B929" s="242"/>
      <c r="C929" s="496"/>
      <c r="D929" s="88"/>
      <c r="E929" s="144"/>
      <c r="F929" s="411"/>
      <c r="G929" s="242"/>
      <c r="H929" s="497"/>
      <c r="I929" s="77"/>
      <c r="J929" s="107"/>
      <c r="K929" s="78"/>
      <c r="L929" s="242"/>
      <c r="M929" s="242"/>
      <c r="N929" s="242"/>
      <c r="O929" s="242"/>
      <c r="P929" s="497"/>
      <c r="Q929" s="496"/>
      <c r="R929" s="503"/>
      <c r="S929" s="504"/>
      <c r="T929" s="505"/>
      <c r="U929" s="504"/>
      <c r="V929" s="504"/>
      <c r="W929" s="77"/>
      <c r="X929" s="77"/>
      <c r="Y929" s="77"/>
      <c r="Z929" s="77"/>
      <c r="AA929" s="409"/>
      <c r="AB929" s="506"/>
    </row>
    <row r="930" spans="1:28" s="457" customFormat="1" ht="18" customHeight="1" x14ac:dyDescent="0.2">
      <c r="A930" s="183"/>
      <c r="B930" s="183"/>
      <c r="C930" s="183"/>
      <c r="D930" s="183"/>
      <c r="E930" s="183"/>
      <c r="F930" s="183"/>
      <c r="G930" s="183"/>
      <c r="H930" s="184"/>
      <c r="I930" s="185"/>
      <c r="J930" s="186"/>
      <c r="K930" s="185"/>
      <c r="L930" s="185"/>
      <c r="M930" s="185"/>
      <c r="N930" s="185"/>
      <c r="O930" s="185"/>
      <c r="P930" s="185"/>
      <c r="Q930" s="185"/>
      <c r="R930" s="438"/>
      <c r="S930" s="185"/>
      <c r="T930" s="187"/>
      <c r="U930" s="186"/>
      <c r="V930" s="185"/>
      <c r="W930" s="185"/>
      <c r="X930" s="474"/>
      <c r="Y930" s="474"/>
      <c r="Z930" s="475"/>
      <c r="AA930" s="475"/>
      <c r="AB930" s="1847">
        <f>SUM(AB915:AB929)</f>
        <v>127.8</v>
      </c>
    </row>
    <row r="931" spans="1:28" s="457" customFormat="1" ht="18" customHeight="1" x14ac:dyDescent="0.2">
      <c r="A931" s="2737" t="s">
        <v>76</v>
      </c>
      <c r="B931" s="2737"/>
      <c r="C931" s="2738" t="s">
        <v>77</v>
      </c>
      <c r="D931" s="2738"/>
      <c r="E931" s="2738"/>
      <c r="F931" s="2738"/>
      <c r="G931" s="2738"/>
      <c r="H931" s="2738"/>
      <c r="I931" s="457" t="s">
        <v>78</v>
      </c>
      <c r="AB931" s="478"/>
    </row>
    <row r="932" spans="1:28" s="457" customFormat="1" ht="18" customHeight="1" x14ac:dyDescent="0.2">
      <c r="B932" s="479"/>
      <c r="I932" s="457" t="s">
        <v>79</v>
      </c>
      <c r="AB932" s="478"/>
    </row>
    <row r="933" spans="1:28" s="457" customFormat="1" ht="18" customHeight="1" x14ac:dyDescent="0.2">
      <c r="B933" s="479"/>
      <c r="I933" s="457" t="s">
        <v>80</v>
      </c>
      <c r="AB933" s="478"/>
    </row>
    <row r="934" spans="1:28" s="457" customFormat="1" ht="18" customHeight="1" x14ac:dyDescent="0.2">
      <c r="B934" s="479"/>
      <c r="I934" s="457" t="s">
        <v>81</v>
      </c>
      <c r="AB934" s="478"/>
    </row>
    <row r="935" spans="1:28" s="457" customFormat="1" ht="18" customHeight="1" x14ac:dyDescent="0.2">
      <c r="B935" s="479"/>
      <c r="I935" s="457" t="s">
        <v>88</v>
      </c>
      <c r="AB935" s="478"/>
    </row>
    <row r="936" spans="1:28" s="457" customFormat="1" ht="18" customHeight="1" x14ac:dyDescent="0.2">
      <c r="A936" s="455"/>
      <c r="B936" s="455"/>
      <c r="C936" s="455"/>
      <c r="D936" s="455"/>
      <c r="E936" s="455"/>
      <c r="F936" s="455"/>
      <c r="G936" s="455"/>
      <c r="H936" s="455"/>
      <c r="I936" s="455"/>
      <c r="J936" s="455"/>
      <c r="K936" s="455"/>
      <c r="L936" s="455"/>
      <c r="M936" s="455"/>
      <c r="N936" s="455"/>
      <c r="O936" s="455"/>
      <c r="P936" s="455"/>
      <c r="Q936" s="455"/>
      <c r="R936" s="455"/>
      <c r="S936" s="455"/>
      <c r="T936" s="455"/>
      <c r="U936" s="455"/>
      <c r="V936" s="455"/>
      <c r="W936" s="455"/>
      <c r="X936" s="455"/>
      <c r="Y936" s="455"/>
      <c r="Z936" s="455"/>
      <c r="AA936" s="2705" t="s">
        <v>0</v>
      </c>
      <c r="AB936" s="2705"/>
    </row>
    <row r="937" spans="1:28" s="457" customFormat="1" ht="18" customHeight="1" x14ac:dyDescent="0.2">
      <c r="A937" s="2706" t="s">
        <v>1</v>
      </c>
      <c r="B937" s="2706"/>
      <c r="C937" s="2706"/>
      <c r="D937" s="2706"/>
      <c r="E937" s="2706"/>
      <c r="F937" s="2706"/>
      <c r="G937" s="2706"/>
      <c r="H937" s="2706"/>
      <c r="I937" s="2706"/>
      <c r="J937" s="2706"/>
      <c r="K937" s="2706"/>
      <c r="L937" s="2706"/>
      <c r="M937" s="2706"/>
      <c r="N937" s="2706"/>
      <c r="O937" s="2706"/>
      <c r="P937" s="2706"/>
      <c r="Q937" s="2706"/>
      <c r="R937" s="2706"/>
      <c r="S937" s="2706"/>
      <c r="T937" s="2706"/>
      <c r="U937" s="2706"/>
      <c r="V937" s="2706"/>
      <c r="W937" s="2706"/>
      <c r="X937" s="2706"/>
      <c r="Y937" s="2706"/>
      <c r="Z937" s="2706"/>
      <c r="AA937" s="2706"/>
      <c r="AB937" s="2706"/>
    </row>
    <row r="938" spans="1:28" s="457" customFormat="1" ht="18" customHeight="1" x14ac:dyDescent="0.2">
      <c r="A938" s="2704" t="s">
        <v>400</v>
      </c>
      <c r="B938" s="2704"/>
      <c r="C938" s="2704"/>
      <c r="D938" s="2704"/>
      <c r="E938" s="2704"/>
      <c r="F938" s="2704"/>
      <c r="G938" s="2704"/>
      <c r="H938" s="2704"/>
      <c r="I938" s="2704"/>
      <c r="J938" s="2704"/>
      <c r="K938" s="2704"/>
      <c r="L938" s="2704"/>
      <c r="M938" s="2704"/>
      <c r="N938" s="2704"/>
      <c r="O938" s="2704"/>
      <c r="P938" s="2704"/>
      <c r="Q938" s="2704"/>
      <c r="R938" s="2704"/>
      <c r="S938" s="2704"/>
      <c r="T938" s="2704"/>
      <c r="U938" s="2704"/>
      <c r="V938" s="2704"/>
      <c r="W938" s="2704"/>
      <c r="X938" s="2704"/>
      <c r="Y938" s="2704"/>
      <c r="Z938" s="2704"/>
      <c r="AA938" s="2704"/>
      <c r="AB938" s="2704"/>
    </row>
    <row r="939" spans="1:28" s="457" customFormat="1" ht="18" customHeight="1" x14ac:dyDescent="0.2">
      <c r="A939" s="2686" t="s">
        <v>2</v>
      </c>
      <c r="B939" s="360"/>
      <c r="C939" s="2686" t="s">
        <v>3</v>
      </c>
      <c r="D939" s="360"/>
      <c r="E939" s="360"/>
      <c r="F939" s="2693" t="s">
        <v>4</v>
      </c>
      <c r="G939" s="2693"/>
      <c r="H939" s="2693"/>
      <c r="I939" s="2694"/>
      <c r="J939" s="2694"/>
      <c r="K939" s="2695"/>
      <c r="L939" s="361"/>
      <c r="M939" s="2679" t="s">
        <v>5</v>
      </c>
      <c r="N939" s="2679"/>
      <c r="O939" s="2679"/>
      <c r="P939" s="2679"/>
      <c r="Q939" s="2696"/>
      <c r="R939" s="2696"/>
      <c r="S939" s="2696"/>
      <c r="T939" s="2696"/>
      <c r="U939" s="2696"/>
      <c r="V939" s="2697"/>
      <c r="W939" s="362" t="s">
        <v>6</v>
      </c>
      <c r="X939" s="363" t="s">
        <v>7</v>
      </c>
      <c r="Y939" s="364"/>
      <c r="Z939" s="364"/>
      <c r="AA939" s="363"/>
      <c r="AB939" s="458"/>
    </row>
    <row r="940" spans="1:28" s="457" customFormat="1" ht="18" customHeight="1" x14ac:dyDescent="0.2">
      <c r="A940" s="2687"/>
      <c r="B940" s="367"/>
      <c r="C940" s="2687"/>
      <c r="D940" s="366" t="s">
        <v>9</v>
      </c>
      <c r="E940" s="366" t="s">
        <v>10</v>
      </c>
      <c r="F940" s="2698" t="s">
        <v>11</v>
      </c>
      <c r="G940" s="2694"/>
      <c r="H940" s="2695"/>
      <c r="I940" s="360"/>
      <c r="J940" s="449" t="s">
        <v>12</v>
      </c>
      <c r="K940" s="360"/>
      <c r="L940" s="2679" t="s">
        <v>2</v>
      </c>
      <c r="M940" s="370"/>
      <c r="N940" s="370"/>
      <c r="O940" s="370"/>
      <c r="P940" s="371"/>
      <c r="Q940" s="459" t="s">
        <v>13</v>
      </c>
      <c r="R940" s="370" t="s">
        <v>12</v>
      </c>
      <c r="S940" s="370" t="s">
        <v>6</v>
      </c>
      <c r="T940" s="2682" t="s">
        <v>14</v>
      </c>
      <c r="U940" s="2683"/>
      <c r="V940" s="375" t="s">
        <v>7</v>
      </c>
      <c r="W940" s="376" t="s">
        <v>15</v>
      </c>
      <c r="X940" s="377" t="s">
        <v>16</v>
      </c>
      <c r="Y940" s="377" t="s">
        <v>17</v>
      </c>
      <c r="Z940" s="377" t="s">
        <v>18</v>
      </c>
      <c r="AA940" s="377"/>
      <c r="AB940" s="460" t="s">
        <v>19</v>
      </c>
    </row>
    <row r="941" spans="1:28" s="457" customFormat="1" ht="18" customHeight="1" x14ac:dyDescent="0.2">
      <c r="A941" s="2687"/>
      <c r="B941" s="366" t="s">
        <v>23</v>
      </c>
      <c r="C941" s="2687"/>
      <c r="D941" s="366" t="s">
        <v>24</v>
      </c>
      <c r="E941" s="366" t="s">
        <v>25</v>
      </c>
      <c r="F941" s="2699"/>
      <c r="G941" s="2700"/>
      <c r="H941" s="2701"/>
      <c r="I941" s="366" t="s">
        <v>26</v>
      </c>
      <c r="J941" s="380" t="s">
        <v>15</v>
      </c>
      <c r="K941" s="380" t="s">
        <v>6</v>
      </c>
      <c r="L941" s="2680"/>
      <c r="M941" s="381" t="s">
        <v>27</v>
      </c>
      <c r="N941" s="381" t="s">
        <v>10</v>
      </c>
      <c r="O941" s="381" t="s">
        <v>10</v>
      </c>
      <c r="P941" s="385" t="s">
        <v>28</v>
      </c>
      <c r="Q941" s="461" t="s">
        <v>29</v>
      </c>
      <c r="R941" s="385" t="s">
        <v>15</v>
      </c>
      <c r="S941" s="385" t="s">
        <v>15</v>
      </c>
      <c r="T941" s="2684"/>
      <c r="U941" s="2685"/>
      <c r="V941" s="375" t="s">
        <v>30</v>
      </c>
      <c r="W941" s="376" t="s">
        <v>31</v>
      </c>
      <c r="X941" s="377" t="s">
        <v>30</v>
      </c>
      <c r="Y941" s="377" t="s">
        <v>32</v>
      </c>
      <c r="Z941" s="377" t="s">
        <v>7</v>
      </c>
      <c r="AA941" s="377" t="s">
        <v>33</v>
      </c>
      <c r="AB941" s="460" t="s">
        <v>34</v>
      </c>
    </row>
    <row r="942" spans="1:28" s="457" customFormat="1" ht="18" customHeight="1" x14ac:dyDescent="0.2">
      <c r="A942" s="2687"/>
      <c r="B942" s="366" t="s">
        <v>39</v>
      </c>
      <c r="C942" s="2687"/>
      <c r="D942" s="366" t="s">
        <v>40</v>
      </c>
      <c r="E942" s="366" t="s">
        <v>41</v>
      </c>
      <c r="F942" s="2686" t="s">
        <v>42</v>
      </c>
      <c r="G942" s="2686" t="s">
        <v>43</v>
      </c>
      <c r="H942" s="2688" t="s">
        <v>44</v>
      </c>
      <c r="I942" s="366" t="s">
        <v>45</v>
      </c>
      <c r="J942" s="380" t="s">
        <v>46</v>
      </c>
      <c r="K942" s="380" t="s">
        <v>47</v>
      </c>
      <c r="L942" s="2680"/>
      <c r="M942" s="381" t="s">
        <v>30</v>
      </c>
      <c r="N942" s="381" t="s">
        <v>30</v>
      </c>
      <c r="O942" s="381" t="s">
        <v>25</v>
      </c>
      <c r="P942" s="385" t="s">
        <v>30</v>
      </c>
      <c r="Q942" s="461" t="s">
        <v>48</v>
      </c>
      <c r="R942" s="385" t="s">
        <v>49</v>
      </c>
      <c r="S942" s="385" t="s">
        <v>30</v>
      </c>
      <c r="T942" s="374" t="s">
        <v>50</v>
      </c>
      <c r="U942" s="374" t="s">
        <v>13</v>
      </c>
      <c r="V942" s="375" t="s">
        <v>51</v>
      </c>
      <c r="W942" s="376" t="s">
        <v>52</v>
      </c>
      <c r="X942" s="377" t="s">
        <v>53</v>
      </c>
      <c r="Y942" s="377" t="s">
        <v>54</v>
      </c>
      <c r="Z942" s="377" t="s">
        <v>55</v>
      </c>
      <c r="AA942" s="377" t="s">
        <v>56</v>
      </c>
      <c r="AB942" s="460" t="s">
        <v>57</v>
      </c>
    </row>
    <row r="943" spans="1:28" s="457" customFormat="1" ht="18" customHeight="1" x14ac:dyDescent="0.2">
      <c r="A943" s="2687"/>
      <c r="B943" s="366" t="s">
        <v>61</v>
      </c>
      <c r="C943" s="2687"/>
      <c r="D943" s="366" t="s">
        <v>62</v>
      </c>
      <c r="E943" s="366" t="s">
        <v>63</v>
      </c>
      <c r="F943" s="2687"/>
      <c r="G943" s="2687"/>
      <c r="H943" s="2689"/>
      <c r="I943" s="366" t="s">
        <v>64</v>
      </c>
      <c r="J943" s="380" t="s">
        <v>59</v>
      </c>
      <c r="K943" s="380" t="s">
        <v>59</v>
      </c>
      <c r="L943" s="2680"/>
      <c r="M943" s="381"/>
      <c r="N943" s="381"/>
      <c r="O943" s="381" t="s">
        <v>41</v>
      </c>
      <c r="P943" s="385" t="s">
        <v>65</v>
      </c>
      <c r="Q943" s="461" t="s">
        <v>66</v>
      </c>
      <c r="R943" s="385" t="s">
        <v>67</v>
      </c>
      <c r="S943" s="385" t="s">
        <v>59</v>
      </c>
      <c r="T943" s="375" t="s">
        <v>68</v>
      </c>
      <c r="U943" s="375" t="s">
        <v>14</v>
      </c>
      <c r="V943" s="375" t="s">
        <v>14</v>
      </c>
      <c r="W943" s="376" t="s">
        <v>30</v>
      </c>
      <c r="X943" s="388" t="s">
        <v>69</v>
      </c>
      <c r="Y943" s="388" t="s">
        <v>70</v>
      </c>
      <c r="Z943" s="377" t="s">
        <v>71</v>
      </c>
      <c r="AA943" s="377" t="s">
        <v>72</v>
      </c>
      <c r="AB943" s="460" t="s">
        <v>59</v>
      </c>
    </row>
    <row r="944" spans="1:28" s="457" customFormat="1" ht="18" customHeight="1" x14ac:dyDescent="0.2">
      <c r="A944" s="2692"/>
      <c r="B944" s="390"/>
      <c r="C944" s="2692"/>
      <c r="D944" s="390"/>
      <c r="E944" s="389"/>
      <c r="F944" s="390"/>
      <c r="G944" s="390"/>
      <c r="H944" s="391"/>
      <c r="I944" s="389"/>
      <c r="J944" s="393"/>
      <c r="K944" s="393"/>
      <c r="L944" s="2681"/>
      <c r="M944" s="394"/>
      <c r="N944" s="394"/>
      <c r="O944" s="394" t="s">
        <v>63</v>
      </c>
      <c r="P944" s="394"/>
      <c r="Q944" s="450" t="s">
        <v>72</v>
      </c>
      <c r="R944" s="398" t="s">
        <v>59</v>
      </c>
      <c r="S944" s="398"/>
      <c r="T944" s="398" t="s">
        <v>73</v>
      </c>
      <c r="U944" s="398" t="s">
        <v>59</v>
      </c>
      <c r="V944" s="399" t="s">
        <v>59</v>
      </c>
      <c r="W944" s="400" t="s">
        <v>59</v>
      </c>
      <c r="X944" s="401" t="s">
        <v>59</v>
      </c>
      <c r="Y944" s="401" t="s">
        <v>59</v>
      </c>
      <c r="Z944" s="401" t="s">
        <v>59</v>
      </c>
      <c r="AA944" s="402"/>
      <c r="AB944" s="462"/>
    </row>
    <row r="945" spans="1:28" s="457" customFormat="1" ht="18" customHeight="1" x14ac:dyDescent="0.2">
      <c r="A945" s="53">
        <v>1</v>
      </c>
      <c r="B945" s="95">
        <v>30431</v>
      </c>
      <c r="C945" s="82">
        <v>827</v>
      </c>
      <c r="D945" s="153" t="s">
        <v>86</v>
      </c>
      <c r="E945" s="145">
        <v>4</v>
      </c>
      <c r="F945" s="82">
        <v>0</v>
      </c>
      <c r="G945" s="82">
        <v>0</v>
      </c>
      <c r="H945" s="463">
        <v>90</v>
      </c>
      <c r="I945" s="77">
        <f>F945*400+G945*100+H945</f>
        <v>90</v>
      </c>
      <c r="J945" s="107">
        <v>1600</v>
      </c>
      <c r="K945" s="78">
        <f>SUM(I945*J945)</f>
        <v>144000</v>
      </c>
      <c r="L945" s="75"/>
      <c r="M945" s="82"/>
      <c r="N945" s="82"/>
      <c r="O945" s="53"/>
      <c r="P945" s="358"/>
      <c r="Q945" s="197"/>
      <c r="R945" s="444"/>
      <c r="S945" s="70"/>
      <c r="T945" s="82"/>
      <c r="U945" s="70"/>
      <c r="V945" s="70"/>
      <c r="W945" s="70">
        <f>K945+V945</f>
        <v>144000</v>
      </c>
      <c r="X945" s="70">
        <f>W945</f>
        <v>144000</v>
      </c>
      <c r="Y945" s="123">
        <v>0</v>
      </c>
      <c r="Z945" s="70">
        <f>+X945</f>
        <v>144000</v>
      </c>
      <c r="AA945" s="464">
        <v>0.6</v>
      </c>
      <c r="AB945" s="465">
        <f>+Z945*AA945/100</f>
        <v>864</v>
      </c>
    </row>
    <row r="946" spans="1:28" s="457" customFormat="1" ht="18" customHeight="1" x14ac:dyDescent="0.2">
      <c r="A946" s="61"/>
      <c r="B946" s="145"/>
      <c r="C946" s="145"/>
      <c r="D946" s="145"/>
      <c r="E946" s="145"/>
      <c r="F946" s="145"/>
      <c r="G946" s="145"/>
      <c r="H946" s="407"/>
      <c r="I946" s="77"/>
      <c r="J946" s="107"/>
      <c r="K946" s="78"/>
      <c r="L946" s="61"/>
      <c r="M946" s="145"/>
      <c r="N946" s="145"/>
      <c r="O946" s="61"/>
      <c r="P946" s="177"/>
      <c r="Q946" s="196"/>
      <c r="R946" s="408"/>
      <c r="S946" s="77"/>
      <c r="T946" s="145"/>
      <c r="U946" s="77"/>
      <c r="V946" s="77"/>
      <c r="W946" s="77"/>
      <c r="X946" s="77"/>
      <c r="Y946" s="107"/>
      <c r="Z946" s="77"/>
      <c r="AA946" s="409"/>
      <c r="AB946" s="416"/>
    </row>
    <row r="947" spans="1:28" s="457" customFormat="1" ht="18" customHeight="1" x14ac:dyDescent="0.2">
      <c r="A947" s="242"/>
      <c r="B947" s="242"/>
      <c r="C947" s="496"/>
      <c r="D947" s="88"/>
      <c r="E947" s="85"/>
      <c r="F947" s="411"/>
      <c r="G947" s="242"/>
      <c r="H947" s="497"/>
      <c r="I947" s="74"/>
      <c r="J947" s="121"/>
      <c r="K947" s="159"/>
      <c r="L947" s="242"/>
      <c r="M947" s="242"/>
      <c r="N947" s="242"/>
      <c r="O947" s="242"/>
      <c r="P947" s="497"/>
      <c r="Q947" s="496"/>
      <c r="R947" s="503"/>
      <c r="S947" s="504"/>
      <c r="T947" s="505"/>
      <c r="U947" s="504"/>
      <c r="V947" s="504"/>
      <c r="W947" s="74"/>
      <c r="X947" s="74"/>
      <c r="Y947" s="74"/>
      <c r="Z947" s="74"/>
      <c r="AA947" s="414"/>
      <c r="AB947" s="410"/>
    </row>
    <row r="948" spans="1:28" s="457" customFormat="1" ht="18" customHeight="1" x14ac:dyDescent="0.2">
      <c r="A948" s="242"/>
      <c r="B948" s="242"/>
      <c r="C948" s="496"/>
      <c r="D948" s="88"/>
      <c r="E948" s="85"/>
      <c r="F948" s="411"/>
      <c r="G948" s="242"/>
      <c r="H948" s="497"/>
      <c r="I948" s="74"/>
      <c r="J948" s="121"/>
      <c r="K948" s="159"/>
      <c r="L948" s="242"/>
      <c r="M948" s="242"/>
      <c r="N948" s="242"/>
      <c r="O948" s="242"/>
      <c r="P948" s="497"/>
      <c r="Q948" s="496"/>
      <c r="R948" s="503"/>
      <c r="S948" s="504"/>
      <c r="T948" s="505"/>
      <c r="U948" s="504"/>
      <c r="V948" s="504"/>
      <c r="W948" s="74"/>
      <c r="X948" s="74"/>
      <c r="Y948" s="74"/>
      <c r="Z948" s="74"/>
      <c r="AA948" s="414"/>
      <c r="AB948" s="466"/>
    </row>
    <row r="949" spans="1:28" s="457" customFormat="1" ht="18" customHeight="1" x14ac:dyDescent="0.2">
      <c r="A949" s="61"/>
      <c r="B949" s="145"/>
      <c r="C949" s="145"/>
      <c r="D949" s="145"/>
      <c r="E949" s="145"/>
      <c r="F949" s="145"/>
      <c r="G949" s="145"/>
      <c r="H949" s="407"/>
      <c r="I949" s="77"/>
      <c r="J949" s="107"/>
      <c r="K949" s="78"/>
      <c r="L949" s="61"/>
      <c r="M949" s="145"/>
      <c r="N949" s="145"/>
      <c r="O949" s="61"/>
      <c r="P949" s="177"/>
      <c r="Q949" s="196"/>
      <c r="R949" s="408"/>
      <c r="S949" s="77"/>
      <c r="T949" s="145"/>
      <c r="U949" s="77"/>
      <c r="V949" s="77"/>
      <c r="W949" s="77"/>
      <c r="X949" s="77"/>
      <c r="Y949" s="107"/>
      <c r="Z949" s="107"/>
      <c r="AA949" s="409"/>
      <c r="AB949" s="466"/>
    </row>
    <row r="950" spans="1:28" s="457" customFormat="1" ht="18" customHeight="1" x14ac:dyDescent="0.2">
      <c r="A950" s="242"/>
      <c r="B950" s="242"/>
      <c r="C950" s="496"/>
      <c r="D950" s="144"/>
      <c r="E950" s="88"/>
      <c r="F950" s="411"/>
      <c r="G950" s="242"/>
      <c r="H950" s="497"/>
      <c r="I950" s="77"/>
      <c r="J950" s="107"/>
      <c r="K950" s="78"/>
      <c r="L950" s="242"/>
      <c r="M950" s="242"/>
      <c r="N950" s="242"/>
      <c r="O950" s="242"/>
      <c r="P950" s="497"/>
      <c r="Q950" s="496"/>
      <c r="R950" s="503"/>
      <c r="S950" s="504"/>
      <c r="T950" s="505"/>
      <c r="U950" s="504"/>
      <c r="V950" s="504"/>
      <c r="W950" s="77"/>
      <c r="X950" s="77"/>
      <c r="Y950" s="77"/>
      <c r="Z950" s="77"/>
      <c r="AA950" s="409"/>
      <c r="AB950" s="506"/>
    </row>
    <row r="951" spans="1:28" s="457" customFormat="1" ht="18" customHeight="1" x14ac:dyDescent="0.2">
      <c r="A951" s="242"/>
      <c r="B951" s="242"/>
      <c r="C951" s="496"/>
      <c r="D951" s="88"/>
      <c r="E951" s="231"/>
      <c r="F951" s="411"/>
      <c r="G951" s="242"/>
      <c r="H951" s="497"/>
      <c r="I951" s="77"/>
      <c r="J951" s="107"/>
      <c r="K951" s="78"/>
      <c r="L951" s="242"/>
      <c r="M951" s="242"/>
      <c r="N951" s="242"/>
      <c r="O951" s="242"/>
      <c r="P951" s="497"/>
      <c r="Q951" s="496"/>
      <c r="R951" s="503"/>
      <c r="S951" s="504"/>
      <c r="T951" s="505"/>
      <c r="U951" s="504"/>
      <c r="V951" s="504"/>
      <c r="W951" s="77"/>
      <c r="X951" s="77"/>
      <c r="Y951" s="77"/>
      <c r="Z951" s="77"/>
      <c r="AA951" s="409"/>
      <c r="AB951" s="506"/>
    </row>
    <row r="952" spans="1:28" s="457" customFormat="1" ht="18" customHeight="1" x14ac:dyDescent="0.2">
      <c r="A952" s="242"/>
      <c r="B952" s="242"/>
      <c r="C952" s="496"/>
      <c r="D952" s="231"/>
      <c r="E952" s="144"/>
      <c r="F952" s="411"/>
      <c r="G952" s="242"/>
      <c r="H952" s="497"/>
      <c r="I952" s="77"/>
      <c r="J952" s="107"/>
      <c r="K952" s="78"/>
      <c r="L952" s="242"/>
      <c r="M952" s="242"/>
      <c r="N952" s="242"/>
      <c r="O952" s="242"/>
      <c r="P952" s="497"/>
      <c r="Q952" s="496"/>
      <c r="R952" s="503"/>
      <c r="S952" s="504"/>
      <c r="T952" s="505"/>
      <c r="U952" s="504"/>
      <c r="V952" s="504"/>
      <c r="W952" s="77"/>
      <c r="X952" s="77"/>
      <c r="Y952" s="77"/>
      <c r="Z952" s="77"/>
      <c r="AA952" s="409"/>
      <c r="AB952" s="506"/>
    </row>
    <row r="953" spans="1:28" s="457" customFormat="1" ht="18" customHeight="1" x14ac:dyDescent="0.2">
      <c r="A953" s="242"/>
      <c r="B953" s="242"/>
      <c r="C953" s="496"/>
      <c r="D953" s="144"/>
      <c r="E953" s="144"/>
      <c r="F953" s="411"/>
      <c r="G953" s="242"/>
      <c r="H953" s="497"/>
      <c r="I953" s="77"/>
      <c r="J953" s="107"/>
      <c r="K953" s="78"/>
      <c r="L953" s="242"/>
      <c r="M953" s="242"/>
      <c r="N953" s="242"/>
      <c r="O953" s="242"/>
      <c r="P953" s="497"/>
      <c r="Q953" s="496"/>
      <c r="R953" s="503"/>
      <c r="S953" s="504"/>
      <c r="T953" s="505"/>
      <c r="U953" s="504"/>
      <c r="V953" s="504"/>
      <c r="W953" s="77"/>
      <c r="X953" s="77"/>
      <c r="Y953" s="77"/>
      <c r="Z953" s="77"/>
      <c r="AA953" s="409"/>
      <c r="AB953" s="506"/>
    </row>
    <row r="954" spans="1:28" s="457" customFormat="1" ht="18" customHeight="1" x14ac:dyDescent="0.2">
      <c r="A954" s="242"/>
      <c r="B954" s="242"/>
      <c r="C954" s="496"/>
      <c r="D954" s="144"/>
      <c r="E954" s="144"/>
      <c r="F954" s="411"/>
      <c r="G954" s="242"/>
      <c r="H954" s="497"/>
      <c r="I954" s="77"/>
      <c r="J954" s="107"/>
      <c r="K954" s="78"/>
      <c r="L954" s="242"/>
      <c r="M954" s="242"/>
      <c r="N954" s="242"/>
      <c r="O954" s="242"/>
      <c r="P954" s="497"/>
      <c r="Q954" s="496"/>
      <c r="R954" s="503"/>
      <c r="S954" s="504"/>
      <c r="T954" s="505"/>
      <c r="U954" s="504"/>
      <c r="V954" s="504"/>
      <c r="W954" s="77"/>
      <c r="X954" s="77"/>
      <c r="Y954" s="77"/>
      <c r="Z954" s="77"/>
      <c r="AA954" s="409"/>
      <c r="AB954" s="506"/>
    </row>
    <row r="955" spans="1:28" s="457" customFormat="1" ht="18" customHeight="1" x14ac:dyDescent="0.2">
      <c r="A955" s="242"/>
      <c r="B955" s="242"/>
      <c r="C955" s="496"/>
      <c r="D955" s="88"/>
      <c r="E955" s="144"/>
      <c r="F955" s="411"/>
      <c r="G955" s="242"/>
      <c r="H955" s="497"/>
      <c r="I955" s="77"/>
      <c r="J955" s="107"/>
      <c r="K955" s="78"/>
      <c r="L955" s="242"/>
      <c r="M955" s="242"/>
      <c r="N955" s="242"/>
      <c r="O955" s="242"/>
      <c r="P955" s="497"/>
      <c r="Q955" s="496"/>
      <c r="R955" s="503"/>
      <c r="S955" s="504"/>
      <c r="T955" s="505"/>
      <c r="U955" s="504"/>
      <c r="V955" s="504"/>
      <c r="W955" s="77"/>
      <c r="X955" s="77"/>
      <c r="Y955" s="77"/>
      <c r="Z955" s="77"/>
      <c r="AA955" s="409"/>
      <c r="AB955" s="506"/>
    </row>
    <row r="956" spans="1:28" s="457" customFormat="1" ht="18" customHeight="1" x14ac:dyDescent="0.2">
      <c r="A956" s="242"/>
      <c r="B956" s="242"/>
      <c r="C956" s="496"/>
      <c r="D956" s="231"/>
      <c r="E956" s="88"/>
      <c r="F956" s="411"/>
      <c r="G956" s="242"/>
      <c r="H956" s="497"/>
      <c r="I956" s="77"/>
      <c r="J956" s="107"/>
      <c r="K956" s="78"/>
      <c r="L956" s="242"/>
      <c r="M956" s="242"/>
      <c r="N956" s="242"/>
      <c r="O956" s="242"/>
      <c r="P956" s="497"/>
      <c r="Q956" s="496"/>
      <c r="R956" s="503"/>
      <c r="S956" s="504"/>
      <c r="T956" s="505"/>
      <c r="U956" s="504"/>
      <c r="V956" s="504"/>
      <c r="W956" s="77"/>
      <c r="X956" s="77"/>
      <c r="Y956" s="77"/>
      <c r="Z956" s="77"/>
      <c r="AA956" s="409"/>
      <c r="AB956" s="506"/>
    </row>
    <row r="957" spans="1:28" s="457" customFormat="1" ht="18" customHeight="1" x14ac:dyDescent="0.2">
      <c r="A957" s="242"/>
      <c r="B957" s="242"/>
      <c r="C957" s="496"/>
      <c r="D957" s="144"/>
      <c r="E957" s="88"/>
      <c r="F957" s="411"/>
      <c r="G957" s="242"/>
      <c r="H957" s="497"/>
      <c r="I957" s="77"/>
      <c r="J957" s="107"/>
      <c r="K957" s="78"/>
      <c r="L957" s="242"/>
      <c r="M957" s="242"/>
      <c r="N957" s="242"/>
      <c r="O957" s="242"/>
      <c r="P957" s="497"/>
      <c r="Q957" s="496"/>
      <c r="R957" s="503"/>
      <c r="S957" s="504"/>
      <c r="T957" s="505"/>
      <c r="U957" s="504"/>
      <c r="V957" s="504"/>
      <c r="W957" s="77"/>
      <c r="X957" s="77"/>
      <c r="Y957" s="77"/>
      <c r="Z957" s="77"/>
      <c r="AA957" s="409"/>
      <c r="AB957" s="506"/>
    </row>
    <row r="958" spans="1:28" s="457" customFormat="1" ht="18" customHeight="1" x14ac:dyDescent="0.2">
      <c r="A958" s="242"/>
      <c r="B958" s="242"/>
      <c r="C958" s="496"/>
      <c r="D958" s="144"/>
      <c r="E958" s="88"/>
      <c r="F958" s="411"/>
      <c r="G958" s="242"/>
      <c r="H958" s="497"/>
      <c r="I958" s="77"/>
      <c r="J958" s="107"/>
      <c r="K958" s="78"/>
      <c r="L958" s="242"/>
      <c r="M958" s="242"/>
      <c r="N958" s="242"/>
      <c r="O958" s="242"/>
      <c r="P958" s="497"/>
      <c r="Q958" s="496"/>
      <c r="R958" s="503"/>
      <c r="S958" s="504"/>
      <c r="T958" s="505"/>
      <c r="U958" s="504"/>
      <c r="V958" s="504"/>
      <c r="W958" s="77"/>
      <c r="X958" s="77"/>
      <c r="Y958" s="77"/>
      <c r="Z958" s="77"/>
      <c r="AA958" s="409"/>
      <c r="AB958" s="506"/>
    </row>
    <row r="959" spans="1:28" s="457" customFormat="1" ht="18" customHeight="1" x14ac:dyDescent="0.2">
      <c r="A959" s="242"/>
      <c r="B959" s="242"/>
      <c r="C959" s="496"/>
      <c r="D959" s="88"/>
      <c r="E959" s="88"/>
      <c r="F959" s="411"/>
      <c r="G959" s="242"/>
      <c r="H959" s="497"/>
      <c r="I959" s="77"/>
      <c r="J959" s="107"/>
      <c r="K959" s="78"/>
      <c r="L959" s="242"/>
      <c r="M959" s="242"/>
      <c r="N959" s="242"/>
      <c r="O959" s="242"/>
      <c r="P959" s="497"/>
      <c r="Q959" s="496"/>
      <c r="R959" s="503"/>
      <c r="S959" s="504"/>
      <c r="T959" s="505"/>
      <c r="U959" s="504"/>
      <c r="V959" s="504"/>
      <c r="W959" s="77"/>
      <c r="X959" s="77"/>
      <c r="Y959" s="77"/>
      <c r="Z959" s="77"/>
      <c r="AA959" s="409"/>
      <c r="AB959" s="506"/>
    </row>
    <row r="960" spans="1:28" s="457" customFormat="1" ht="18" customHeight="1" x14ac:dyDescent="0.2">
      <c r="A960" s="183"/>
      <c r="B960" s="183"/>
      <c r="C960" s="183"/>
      <c r="D960" s="183"/>
      <c r="E960" s="183"/>
      <c r="F960" s="183"/>
      <c r="G960" s="183"/>
      <c r="H960" s="184"/>
      <c r="I960" s="185"/>
      <c r="J960" s="186"/>
      <c r="K960" s="185"/>
      <c r="L960" s="185"/>
      <c r="M960" s="185"/>
      <c r="N960" s="185"/>
      <c r="O960" s="185"/>
      <c r="P960" s="185"/>
      <c r="Q960" s="185"/>
      <c r="R960" s="438"/>
      <c r="S960" s="185"/>
      <c r="T960" s="187"/>
      <c r="U960" s="186"/>
      <c r="V960" s="185"/>
      <c r="W960" s="185"/>
      <c r="X960" s="474"/>
      <c r="Y960" s="474"/>
      <c r="Z960" s="475"/>
      <c r="AA960" s="475"/>
      <c r="AB960" s="1847">
        <f>SUM(AB945:AB959)</f>
        <v>864</v>
      </c>
    </row>
    <row r="961" spans="1:28" s="457" customFormat="1" ht="18" customHeight="1" x14ac:dyDescent="0.2">
      <c r="A961" s="2737" t="s">
        <v>76</v>
      </c>
      <c r="B961" s="2737"/>
      <c r="C961" s="2738" t="s">
        <v>77</v>
      </c>
      <c r="D961" s="2738"/>
      <c r="E961" s="2738"/>
      <c r="F961" s="2738"/>
      <c r="G961" s="2738"/>
      <c r="H961" s="2738"/>
      <c r="I961" s="457" t="s">
        <v>78</v>
      </c>
      <c r="AB961" s="478"/>
    </row>
    <row r="962" spans="1:28" s="457" customFormat="1" ht="18" customHeight="1" x14ac:dyDescent="0.2">
      <c r="B962" s="479"/>
      <c r="I962" s="457" t="s">
        <v>79</v>
      </c>
      <c r="AB962" s="478"/>
    </row>
    <row r="963" spans="1:28" s="457" customFormat="1" ht="18" customHeight="1" x14ac:dyDescent="0.2">
      <c r="B963" s="479"/>
      <c r="I963" s="457" t="s">
        <v>80</v>
      </c>
      <c r="AB963" s="478"/>
    </row>
    <row r="964" spans="1:28" s="457" customFormat="1" ht="18" customHeight="1" x14ac:dyDescent="0.2">
      <c r="B964" s="479"/>
      <c r="I964" s="457" t="s">
        <v>81</v>
      </c>
      <c r="AB964" s="478"/>
    </row>
    <row r="965" spans="1:28" s="457" customFormat="1" ht="18" customHeight="1" x14ac:dyDescent="0.2">
      <c r="B965" s="479"/>
      <c r="I965" s="457" t="s">
        <v>88</v>
      </c>
      <c r="AB965" s="478"/>
    </row>
    <row r="966" spans="1:28" s="457" customFormat="1" ht="18" customHeight="1" x14ac:dyDescent="0.2">
      <c r="A966" s="455"/>
      <c r="B966" s="455"/>
      <c r="C966" s="455"/>
      <c r="D966" s="455"/>
      <c r="E966" s="455"/>
      <c r="F966" s="455"/>
      <c r="G966" s="455"/>
      <c r="H966" s="455"/>
      <c r="I966" s="455"/>
      <c r="J966" s="455"/>
      <c r="K966" s="455"/>
      <c r="L966" s="455"/>
      <c r="M966" s="455"/>
      <c r="N966" s="455"/>
      <c r="O966" s="455"/>
      <c r="P966" s="455"/>
      <c r="Q966" s="455"/>
      <c r="R966" s="455"/>
      <c r="S966" s="455"/>
      <c r="T966" s="455"/>
      <c r="U966" s="455"/>
      <c r="V966" s="455"/>
      <c r="W966" s="455"/>
      <c r="X966" s="455"/>
      <c r="Y966" s="455"/>
      <c r="Z966" s="455"/>
      <c r="AA966" s="2705" t="s">
        <v>0</v>
      </c>
      <c r="AB966" s="2705"/>
    </row>
    <row r="967" spans="1:28" s="457" customFormat="1" ht="18" customHeight="1" x14ac:dyDescent="0.2">
      <c r="A967" s="2706" t="s">
        <v>1</v>
      </c>
      <c r="B967" s="2706"/>
      <c r="C967" s="2706"/>
      <c r="D967" s="2706"/>
      <c r="E967" s="2706"/>
      <c r="F967" s="2706"/>
      <c r="G967" s="2706"/>
      <c r="H967" s="2706"/>
      <c r="I967" s="2706"/>
      <c r="J967" s="2706"/>
      <c r="K967" s="2706"/>
      <c r="L967" s="2706"/>
      <c r="M967" s="2706"/>
      <c r="N967" s="2706"/>
      <c r="O967" s="2706"/>
      <c r="P967" s="2706"/>
      <c r="Q967" s="2706"/>
      <c r="R967" s="2706"/>
      <c r="S967" s="2706"/>
      <c r="T967" s="2706"/>
      <c r="U967" s="2706"/>
      <c r="V967" s="2706"/>
      <c r="W967" s="2706"/>
      <c r="X967" s="2706"/>
      <c r="Y967" s="2706"/>
      <c r="Z967" s="2706"/>
      <c r="AA967" s="2706"/>
      <c r="AB967" s="2706"/>
    </row>
    <row r="968" spans="1:28" s="457" customFormat="1" ht="18" customHeight="1" x14ac:dyDescent="0.2">
      <c r="A968" s="2704" t="s">
        <v>401</v>
      </c>
      <c r="B968" s="2704"/>
      <c r="C968" s="2704"/>
      <c r="D968" s="2704"/>
      <c r="E968" s="2704"/>
      <c r="F968" s="2704"/>
      <c r="G968" s="2704"/>
      <c r="H968" s="2704"/>
      <c r="I968" s="2704"/>
      <c r="J968" s="2704"/>
      <c r="K968" s="2704"/>
      <c r="L968" s="2704"/>
      <c r="M968" s="2704"/>
      <c r="N968" s="2704"/>
      <c r="O968" s="2704"/>
      <c r="P968" s="2704"/>
      <c r="Q968" s="2704"/>
      <c r="R968" s="2704"/>
      <c r="S968" s="2704"/>
      <c r="T968" s="2704"/>
      <c r="U968" s="2704"/>
      <c r="V968" s="2704"/>
      <c r="W968" s="2704"/>
      <c r="X968" s="2704"/>
      <c r="Y968" s="2704"/>
      <c r="Z968" s="2704"/>
      <c r="AA968" s="2704"/>
      <c r="AB968" s="2704"/>
    </row>
    <row r="969" spans="1:28" s="457" customFormat="1" ht="18" customHeight="1" x14ac:dyDescent="0.2">
      <c r="A969" s="2686" t="s">
        <v>2</v>
      </c>
      <c r="B969" s="360"/>
      <c r="C969" s="2686" t="s">
        <v>3</v>
      </c>
      <c r="D969" s="360"/>
      <c r="E969" s="360"/>
      <c r="F969" s="2693" t="s">
        <v>4</v>
      </c>
      <c r="G969" s="2693"/>
      <c r="H969" s="2693"/>
      <c r="I969" s="2694"/>
      <c r="J969" s="2694"/>
      <c r="K969" s="2695"/>
      <c r="L969" s="361"/>
      <c r="M969" s="2679" t="s">
        <v>5</v>
      </c>
      <c r="N969" s="2679"/>
      <c r="O969" s="2679"/>
      <c r="P969" s="2679"/>
      <c r="Q969" s="2696"/>
      <c r="R969" s="2696"/>
      <c r="S969" s="2696"/>
      <c r="T969" s="2696"/>
      <c r="U969" s="2696"/>
      <c r="V969" s="2697"/>
      <c r="W969" s="362" t="s">
        <v>6</v>
      </c>
      <c r="X969" s="363" t="s">
        <v>7</v>
      </c>
      <c r="Y969" s="364"/>
      <c r="Z969" s="364"/>
      <c r="AA969" s="363"/>
      <c r="AB969" s="458"/>
    </row>
    <row r="970" spans="1:28" s="457" customFormat="1" ht="18" customHeight="1" x14ac:dyDescent="0.2">
      <c r="A970" s="2687"/>
      <c r="B970" s="367"/>
      <c r="C970" s="2687"/>
      <c r="D970" s="366" t="s">
        <v>9</v>
      </c>
      <c r="E970" s="366" t="s">
        <v>10</v>
      </c>
      <c r="F970" s="2698" t="s">
        <v>11</v>
      </c>
      <c r="G970" s="2694"/>
      <c r="H970" s="2695"/>
      <c r="I970" s="360"/>
      <c r="J970" s="449" t="s">
        <v>12</v>
      </c>
      <c r="K970" s="360"/>
      <c r="L970" s="2679" t="s">
        <v>2</v>
      </c>
      <c r="M970" s="370"/>
      <c r="N970" s="370"/>
      <c r="O970" s="370"/>
      <c r="P970" s="371"/>
      <c r="Q970" s="459" t="s">
        <v>13</v>
      </c>
      <c r="R970" s="370" t="s">
        <v>12</v>
      </c>
      <c r="S970" s="370" t="s">
        <v>6</v>
      </c>
      <c r="T970" s="2682" t="s">
        <v>14</v>
      </c>
      <c r="U970" s="2683"/>
      <c r="V970" s="375" t="s">
        <v>7</v>
      </c>
      <c r="W970" s="376" t="s">
        <v>15</v>
      </c>
      <c r="X970" s="377" t="s">
        <v>16</v>
      </c>
      <c r="Y970" s="377" t="s">
        <v>17</v>
      </c>
      <c r="Z970" s="377" t="s">
        <v>18</v>
      </c>
      <c r="AA970" s="377"/>
      <c r="AB970" s="460" t="s">
        <v>19</v>
      </c>
    </row>
    <row r="971" spans="1:28" s="457" customFormat="1" ht="18" customHeight="1" x14ac:dyDescent="0.2">
      <c r="A971" s="2687"/>
      <c r="B971" s="366" t="s">
        <v>23</v>
      </c>
      <c r="C971" s="2687"/>
      <c r="D971" s="366" t="s">
        <v>24</v>
      </c>
      <c r="E971" s="366" t="s">
        <v>25</v>
      </c>
      <c r="F971" s="2699"/>
      <c r="G971" s="2700"/>
      <c r="H971" s="2701"/>
      <c r="I971" s="366" t="s">
        <v>26</v>
      </c>
      <c r="J971" s="380" t="s">
        <v>15</v>
      </c>
      <c r="K971" s="380" t="s">
        <v>6</v>
      </c>
      <c r="L971" s="2680"/>
      <c r="M971" s="381" t="s">
        <v>27</v>
      </c>
      <c r="N971" s="381" t="s">
        <v>10</v>
      </c>
      <c r="O971" s="381" t="s">
        <v>10</v>
      </c>
      <c r="P971" s="385" t="s">
        <v>28</v>
      </c>
      <c r="Q971" s="461" t="s">
        <v>29</v>
      </c>
      <c r="R971" s="385" t="s">
        <v>15</v>
      </c>
      <c r="S971" s="385" t="s">
        <v>15</v>
      </c>
      <c r="T971" s="2684"/>
      <c r="U971" s="2685"/>
      <c r="V971" s="375" t="s">
        <v>30</v>
      </c>
      <c r="W971" s="376" t="s">
        <v>31</v>
      </c>
      <c r="X971" s="377" t="s">
        <v>30</v>
      </c>
      <c r="Y971" s="377" t="s">
        <v>32</v>
      </c>
      <c r="Z971" s="377" t="s">
        <v>7</v>
      </c>
      <c r="AA971" s="377" t="s">
        <v>33</v>
      </c>
      <c r="AB971" s="460" t="s">
        <v>34</v>
      </c>
    </row>
    <row r="972" spans="1:28" s="457" customFormat="1" ht="18" customHeight="1" x14ac:dyDescent="0.2">
      <c r="A972" s="2687"/>
      <c r="B972" s="366" t="s">
        <v>39</v>
      </c>
      <c r="C972" s="2687"/>
      <c r="D972" s="366" t="s">
        <v>40</v>
      </c>
      <c r="E972" s="366" t="s">
        <v>41</v>
      </c>
      <c r="F972" s="2686" t="s">
        <v>42</v>
      </c>
      <c r="G972" s="2686" t="s">
        <v>43</v>
      </c>
      <c r="H972" s="2688" t="s">
        <v>44</v>
      </c>
      <c r="I972" s="366" t="s">
        <v>45</v>
      </c>
      <c r="J972" s="380" t="s">
        <v>46</v>
      </c>
      <c r="K972" s="380" t="s">
        <v>47</v>
      </c>
      <c r="L972" s="2680"/>
      <c r="M972" s="381" t="s">
        <v>30</v>
      </c>
      <c r="N972" s="381" t="s">
        <v>30</v>
      </c>
      <c r="O972" s="381" t="s">
        <v>25</v>
      </c>
      <c r="P972" s="385" t="s">
        <v>30</v>
      </c>
      <c r="Q972" s="461" t="s">
        <v>48</v>
      </c>
      <c r="R972" s="385" t="s">
        <v>49</v>
      </c>
      <c r="S972" s="385" t="s">
        <v>30</v>
      </c>
      <c r="T972" s="374" t="s">
        <v>50</v>
      </c>
      <c r="U972" s="374" t="s">
        <v>13</v>
      </c>
      <c r="V972" s="375" t="s">
        <v>51</v>
      </c>
      <c r="W972" s="376" t="s">
        <v>52</v>
      </c>
      <c r="X972" s="377" t="s">
        <v>53</v>
      </c>
      <c r="Y972" s="377" t="s">
        <v>54</v>
      </c>
      <c r="Z972" s="377" t="s">
        <v>55</v>
      </c>
      <c r="AA972" s="377" t="s">
        <v>56</v>
      </c>
      <c r="AB972" s="460" t="s">
        <v>57</v>
      </c>
    </row>
    <row r="973" spans="1:28" s="457" customFormat="1" ht="18" customHeight="1" x14ac:dyDescent="0.2">
      <c r="A973" s="2687"/>
      <c r="B973" s="366" t="s">
        <v>61</v>
      </c>
      <c r="C973" s="2687"/>
      <c r="D973" s="366" t="s">
        <v>62</v>
      </c>
      <c r="E973" s="366" t="s">
        <v>63</v>
      </c>
      <c r="F973" s="2687"/>
      <c r="G973" s="2687"/>
      <c r="H973" s="2689"/>
      <c r="I973" s="366" t="s">
        <v>64</v>
      </c>
      <c r="J973" s="380" t="s">
        <v>59</v>
      </c>
      <c r="K973" s="380" t="s">
        <v>59</v>
      </c>
      <c r="L973" s="2680"/>
      <c r="M973" s="381"/>
      <c r="N973" s="381"/>
      <c r="O973" s="381" t="s">
        <v>41</v>
      </c>
      <c r="P973" s="385" t="s">
        <v>65</v>
      </c>
      <c r="Q973" s="461" t="s">
        <v>66</v>
      </c>
      <c r="R973" s="385" t="s">
        <v>67</v>
      </c>
      <c r="S973" s="385" t="s">
        <v>59</v>
      </c>
      <c r="T973" s="375" t="s">
        <v>68</v>
      </c>
      <c r="U973" s="375" t="s">
        <v>14</v>
      </c>
      <c r="V973" s="375" t="s">
        <v>14</v>
      </c>
      <c r="W973" s="376" t="s">
        <v>30</v>
      </c>
      <c r="X973" s="388" t="s">
        <v>69</v>
      </c>
      <c r="Y973" s="388" t="s">
        <v>70</v>
      </c>
      <c r="Z973" s="377" t="s">
        <v>71</v>
      </c>
      <c r="AA973" s="377" t="s">
        <v>72</v>
      </c>
      <c r="AB973" s="460" t="s">
        <v>59</v>
      </c>
    </row>
    <row r="974" spans="1:28" s="457" customFormat="1" ht="18" customHeight="1" x14ac:dyDescent="0.2">
      <c r="A974" s="2692"/>
      <c r="B974" s="390"/>
      <c r="C974" s="2692"/>
      <c r="D974" s="390"/>
      <c r="E974" s="389"/>
      <c r="F974" s="390"/>
      <c r="G974" s="390"/>
      <c r="H974" s="391"/>
      <c r="I974" s="389"/>
      <c r="J974" s="393"/>
      <c r="K974" s="393"/>
      <c r="L974" s="2681"/>
      <c r="M974" s="394"/>
      <c r="N974" s="394"/>
      <c r="O974" s="394" t="s">
        <v>63</v>
      </c>
      <c r="P974" s="394"/>
      <c r="Q974" s="450" t="s">
        <v>72</v>
      </c>
      <c r="R974" s="398" t="s">
        <v>59</v>
      </c>
      <c r="S974" s="398"/>
      <c r="T974" s="398" t="s">
        <v>73</v>
      </c>
      <c r="U974" s="398" t="s">
        <v>59</v>
      </c>
      <c r="V974" s="399" t="s">
        <v>59</v>
      </c>
      <c r="W974" s="400" t="s">
        <v>59</v>
      </c>
      <c r="X974" s="401" t="s">
        <v>59</v>
      </c>
      <c r="Y974" s="401" t="s">
        <v>59</v>
      </c>
      <c r="Z974" s="401" t="s">
        <v>59</v>
      </c>
      <c r="AA974" s="402"/>
      <c r="AB974" s="462"/>
    </row>
    <row r="975" spans="1:28" s="457" customFormat="1" ht="18" customHeight="1" x14ac:dyDescent="0.2">
      <c r="A975" s="53">
        <v>1</v>
      </c>
      <c r="B975" s="95">
        <v>30434</v>
      </c>
      <c r="C975" s="82">
        <v>830</v>
      </c>
      <c r="D975" s="153" t="s">
        <v>86</v>
      </c>
      <c r="E975" s="145">
        <v>4</v>
      </c>
      <c r="F975" s="82">
        <v>0</v>
      </c>
      <c r="G975" s="82">
        <v>2</v>
      </c>
      <c r="H975" s="463">
        <v>93</v>
      </c>
      <c r="I975" s="77">
        <f>F975*400+G975*100+H975</f>
        <v>293</v>
      </c>
      <c r="J975" s="107">
        <v>1600</v>
      </c>
      <c r="K975" s="78">
        <f>SUM(I975*J975)</f>
        <v>468800</v>
      </c>
      <c r="L975" s="53"/>
      <c r="M975" s="82"/>
      <c r="N975" s="82"/>
      <c r="O975" s="53"/>
      <c r="P975" s="358"/>
      <c r="Q975" s="197"/>
      <c r="R975" s="444"/>
      <c r="S975" s="70"/>
      <c r="T975" s="82"/>
      <c r="U975" s="70"/>
      <c r="V975" s="70"/>
      <c r="W975" s="70">
        <f>K975+V975</f>
        <v>468800</v>
      </c>
      <c r="X975" s="70">
        <f>W975</f>
        <v>468800</v>
      </c>
      <c r="Y975" s="123">
        <v>0</v>
      </c>
      <c r="Z975" s="70">
        <f>+X975</f>
        <v>468800</v>
      </c>
      <c r="AA975" s="464">
        <v>0.6</v>
      </c>
      <c r="AB975" s="465">
        <f>+Z975*AA975/100</f>
        <v>2812.8</v>
      </c>
    </row>
    <row r="976" spans="1:28" s="457" customFormat="1" ht="18" customHeight="1" x14ac:dyDescent="0.2">
      <c r="A976" s="61"/>
      <c r="B976" s="145"/>
      <c r="C976" s="145"/>
      <c r="D976" s="145"/>
      <c r="E976" s="145"/>
      <c r="F976" s="145"/>
      <c r="G976" s="145"/>
      <c r="H976" s="407"/>
      <c r="I976" s="77"/>
      <c r="J976" s="107"/>
      <c r="K976" s="78"/>
      <c r="L976" s="61"/>
      <c r="M976" s="145"/>
      <c r="N976" s="145"/>
      <c r="O976" s="61"/>
      <c r="P976" s="177"/>
      <c r="Q976" s="196"/>
      <c r="R976" s="408"/>
      <c r="S976" s="77"/>
      <c r="T976" s="145"/>
      <c r="U976" s="77"/>
      <c r="V976" s="77"/>
      <c r="W976" s="77"/>
      <c r="X976" s="77"/>
      <c r="Y976" s="107"/>
      <c r="Z976" s="77"/>
      <c r="AA976" s="409"/>
      <c r="AB976" s="416"/>
    </row>
    <row r="977" spans="1:28" s="457" customFormat="1" ht="18" customHeight="1" x14ac:dyDescent="0.2">
      <c r="A977" s="242"/>
      <c r="B977" s="242"/>
      <c r="C977" s="496"/>
      <c r="D977" s="88"/>
      <c r="E977" s="85"/>
      <c r="F977" s="411"/>
      <c r="G977" s="242"/>
      <c r="H977" s="497"/>
      <c r="I977" s="74"/>
      <c r="J977" s="121"/>
      <c r="K977" s="159"/>
      <c r="L977" s="242"/>
      <c r="M977" s="242"/>
      <c r="N977" s="242"/>
      <c r="O977" s="242"/>
      <c r="P977" s="497"/>
      <c r="Q977" s="496"/>
      <c r="R977" s="503"/>
      <c r="S977" s="504"/>
      <c r="T977" s="505"/>
      <c r="U977" s="504"/>
      <c r="V977" s="504"/>
      <c r="W977" s="74"/>
      <c r="X977" s="74"/>
      <c r="Y977" s="74"/>
      <c r="Z977" s="74"/>
      <c r="AA977" s="414"/>
      <c r="AB977" s="410"/>
    </row>
    <row r="978" spans="1:28" s="457" customFormat="1" ht="18" customHeight="1" x14ac:dyDescent="0.2">
      <c r="A978" s="242"/>
      <c r="B978" s="242"/>
      <c r="C978" s="496"/>
      <c r="D978" s="88"/>
      <c r="E978" s="85"/>
      <c r="F978" s="411"/>
      <c r="G978" s="242"/>
      <c r="H978" s="497"/>
      <c r="I978" s="74"/>
      <c r="J978" s="121"/>
      <c r="K978" s="159"/>
      <c r="L978" s="242"/>
      <c r="M978" s="242"/>
      <c r="N978" s="242"/>
      <c r="O978" s="242"/>
      <c r="P978" s="497"/>
      <c r="Q978" s="496"/>
      <c r="R978" s="503"/>
      <c r="S978" s="504"/>
      <c r="T978" s="505"/>
      <c r="U978" s="504"/>
      <c r="V978" s="504"/>
      <c r="W978" s="74"/>
      <c r="X978" s="74"/>
      <c r="Y978" s="74"/>
      <c r="Z978" s="74"/>
      <c r="AA978" s="414"/>
      <c r="AB978" s="466"/>
    </row>
    <row r="979" spans="1:28" s="457" customFormat="1" ht="18" customHeight="1" x14ac:dyDescent="0.2">
      <c r="A979" s="61"/>
      <c r="B979" s="145"/>
      <c r="C979" s="145"/>
      <c r="D979" s="145"/>
      <c r="E979" s="145"/>
      <c r="F979" s="145"/>
      <c r="G979" s="145"/>
      <c r="H979" s="407"/>
      <c r="I979" s="77"/>
      <c r="J979" s="107"/>
      <c r="K979" s="78"/>
      <c r="L979" s="61"/>
      <c r="M979" s="145"/>
      <c r="N979" s="145"/>
      <c r="O979" s="61"/>
      <c r="P979" s="177"/>
      <c r="Q979" s="196"/>
      <c r="R979" s="408"/>
      <c r="S979" s="77"/>
      <c r="T979" s="145"/>
      <c r="U979" s="77"/>
      <c r="V979" s="77"/>
      <c r="W979" s="77"/>
      <c r="X979" s="77"/>
      <c r="Y979" s="107"/>
      <c r="Z979" s="107"/>
      <c r="AA979" s="409"/>
      <c r="AB979" s="466"/>
    </row>
    <row r="980" spans="1:28" s="457" customFormat="1" ht="18" customHeight="1" x14ac:dyDescent="0.2">
      <c r="A980" s="242"/>
      <c r="B980" s="242"/>
      <c r="C980" s="496"/>
      <c r="D980" s="144"/>
      <c r="E980" s="88"/>
      <c r="F980" s="411"/>
      <c r="G980" s="242"/>
      <c r="H980" s="497"/>
      <c r="I980" s="77"/>
      <c r="J980" s="107"/>
      <c r="K980" s="78"/>
      <c r="L980" s="242"/>
      <c r="M980" s="242"/>
      <c r="N980" s="242"/>
      <c r="O980" s="242"/>
      <c r="P980" s="497"/>
      <c r="Q980" s="496"/>
      <c r="R980" s="503"/>
      <c r="S980" s="504"/>
      <c r="T980" s="505"/>
      <c r="U980" s="504"/>
      <c r="V980" s="504"/>
      <c r="W980" s="77"/>
      <c r="X980" s="77"/>
      <c r="Y980" s="77"/>
      <c r="Z980" s="77"/>
      <c r="AA980" s="409"/>
      <c r="AB980" s="506"/>
    </row>
    <row r="981" spans="1:28" s="457" customFormat="1" ht="18" customHeight="1" x14ac:dyDescent="0.2">
      <c r="A981" s="242"/>
      <c r="B981" s="242"/>
      <c r="C981" s="496"/>
      <c r="D981" s="88"/>
      <c r="E981" s="231"/>
      <c r="F981" s="411"/>
      <c r="G981" s="242"/>
      <c r="H981" s="497"/>
      <c r="I981" s="77"/>
      <c r="J981" s="107"/>
      <c r="K981" s="78"/>
      <c r="L981" s="242"/>
      <c r="M981" s="242"/>
      <c r="N981" s="242"/>
      <c r="O981" s="242"/>
      <c r="P981" s="497"/>
      <c r="Q981" s="496"/>
      <c r="R981" s="503"/>
      <c r="S981" s="504"/>
      <c r="T981" s="505"/>
      <c r="U981" s="504"/>
      <c r="V981" s="504"/>
      <c r="W981" s="77"/>
      <c r="X981" s="77"/>
      <c r="Y981" s="77"/>
      <c r="Z981" s="77"/>
      <c r="AA981" s="409"/>
      <c r="AB981" s="506"/>
    </row>
    <row r="982" spans="1:28" s="457" customFormat="1" ht="18" customHeight="1" x14ac:dyDescent="0.2">
      <c r="A982" s="242"/>
      <c r="B982" s="242"/>
      <c r="C982" s="496"/>
      <c r="D982" s="231"/>
      <c r="E982" s="144"/>
      <c r="F982" s="411"/>
      <c r="G982" s="242"/>
      <c r="H982" s="497"/>
      <c r="I982" s="77"/>
      <c r="J982" s="107"/>
      <c r="K982" s="78"/>
      <c r="L982" s="242"/>
      <c r="M982" s="242"/>
      <c r="N982" s="242"/>
      <c r="O982" s="242"/>
      <c r="P982" s="497"/>
      <c r="Q982" s="496"/>
      <c r="R982" s="503"/>
      <c r="S982" s="504"/>
      <c r="T982" s="505"/>
      <c r="U982" s="504"/>
      <c r="V982" s="504"/>
      <c r="W982" s="77"/>
      <c r="X982" s="77"/>
      <c r="Y982" s="77"/>
      <c r="Z982" s="77"/>
      <c r="AA982" s="409"/>
      <c r="AB982" s="506"/>
    </row>
    <row r="983" spans="1:28" s="457" customFormat="1" ht="18" customHeight="1" x14ac:dyDescent="0.2">
      <c r="A983" s="242"/>
      <c r="B983" s="242"/>
      <c r="C983" s="496"/>
      <c r="D983" s="144"/>
      <c r="E983" s="144"/>
      <c r="F983" s="411"/>
      <c r="G983" s="242"/>
      <c r="H983" s="497"/>
      <c r="I983" s="77"/>
      <c r="J983" s="107"/>
      <c r="K983" s="78"/>
      <c r="L983" s="242"/>
      <c r="M983" s="242"/>
      <c r="N983" s="242"/>
      <c r="O983" s="242"/>
      <c r="P983" s="497"/>
      <c r="Q983" s="496"/>
      <c r="R983" s="503"/>
      <c r="S983" s="504"/>
      <c r="T983" s="505"/>
      <c r="U983" s="504"/>
      <c r="V983" s="504"/>
      <c r="W983" s="77"/>
      <c r="X983" s="77"/>
      <c r="Y983" s="77"/>
      <c r="Z983" s="77"/>
      <c r="AA983" s="409"/>
      <c r="AB983" s="506"/>
    </row>
    <row r="984" spans="1:28" s="457" customFormat="1" ht="18" customHeight="1" x14ac:dyDescent="0.2">
      <c r="A984" s="242"/>
      <c r="B984" s="242"/>
      <c r="C984" s="496"/>
      <c r="D984" s="88"/>
      <c r="E984" s="144"/>
      <c r="F984" s="411"/>
      <c r="G984" s="242"/>
      <c r="H984" s="497"/>
      <c r="I984" s="77"/>
      <c r="J984" s="107"/>
      <c r="K984" s="78"/>
      <c r="L984" s="242"/>
      <c r="M984" s="242"/>
      <c r="N984" s="242"/>
      <c r="O984" s="242"/>
      <c r="P984" s="497"/>
      <c r="Q984" s="496"/>
      <c r="R984" s="503"/>
      <c r="S984" s="504"/>
      <c r="T984" s="505"/>
      <c r="U984" s="504"/>
      <c r="V984" s="504"/>
      <c r="W984" s="77"/>
      <c r="X984" s="77"/>
      <c r="Y984" s="77"/>
      <c r="Z984" s="77"/>
      <c r="AA984" s="409"/>
      <c r="AB984" s="506"/>
    </row>
    <row r="985" spans="1:28" s="457" customFormat="1" ht="18" customHeight="1" x14ac:dyDescent="0.2">
      <c r="A985" s="242"/>
      <c r="B985" s="242"/>
      <c r="C985" s="496"/>
      <c r="D985" s="231"/>
      <c r="E985" s="88"/>
      <c r="F985" s="411"/>
      <c r="G985" s="242"/>
      <c r="H985" s="497"/>
      <c r="I985" s="77"/>
      <c r="J985" s="107"/>
      <c r="K985" s="78"/>
      <c r="L985" s="242"/>
      <c r="M985" s="242"/>
      <c r="N985" s="242"/>
      <c r="O985" s="242"/>
      <c r="P985" s="497"/>
      <c r="Q985" s="496"/>
      <c r="R985" s="503"/>
      <c r="S985" s="504"/>
      <c r="T985" s="505"/>
      <c r="U985" s="504"/>
      <c r="V985" s="504"/>
      <c r="W985" s="77"/>
      <c r="X985" s="77"/>
      <c r="Y985" s="77"/>
      <c r="Z985" s="77"/>
      <c r="AA985" s="409"/>
      <c r="AB985" s="506"/>
    </row>
    <row r="986" spans="1:28" s="457" customFormat="1" ht="18" customHeight="1" x14ac:dyDescent="0.2">
      <c r="A986" s="242"/>
      <c r="B986" s="242"/>
      <c r="C986" s="496"/>
      <c r="D986" s="88"/>
      <c r="E986" s="144"/>
      <c r="F986" s="411"/>
      <c r="G986" s="242"/>
      <c r="H986" s="497"/>
      <c r="I986" s="77"/>
      <c r="J986" s="107"/>
      <c r="K986" s="78"/>
      <c r="L986" s="242"/>
      <c r="M986" s="242"/>
      <c r="N986" s="242"/>
      <c r="O986" s="242"/>
      <c r="P986" s="497"/>
      <c r="Q986" s="496"/>
      <c r="R986" s="503"/>
      <c r="S986" s="504"/>
      <c r="T986" s="505"/>
      <c r="U986" s="504"/>
      <c r="V986" s="504"/>
      <c r="W986" s="77"/>
      <c r="X986" s="77"/>
      <c r="Y986" s="77"/>
      <c r="Z986" s="77"/>
      <c r="AA986" s="409"/>
      <c r="AB986" s="506"/>
    </row>
    <row r="987" spans="1:28" s="457" customFormat="1" ht="18" customHeight="1" x14ac:dyDescent="0.2">
      <c r="A987" s="242"/>
      <c r="B987" s="242"/>
      <c r="C987" s="496"/>
      <c r="D987" s="88"/>
      <c r="E987" s="144"/>
      <c r="F987" s="411"/>
      <c r="G987" s="242"/>
      <c r="H987" s="497"/>
      <c r="I987" s="77"/>
      <c r="J987" s="107"/>
      <c r="K987" s="78"/>
      <c r="L987" s="242"/>
      <c r="M987" s="242"/>
      <c r="N987" s="242"/>
      <c r="O987" s="242"/>
      <c r="P987" s="497"/>
      <c r="Q987" s="496"/>
      <c r="R987" s="503"/>
      <c r="S987" s="504"/>
      <c r="T987" s="505"/>
      <c r="U987" s="504"/>
      <c r="V987" s="504"/>
      <c r="W987" s="77"/>
      <c r="X987" s="77"/>
      <c r="Y987" s="77"/>
      <c r="Z987" s="77"/>
      <c r="AA987" s="409"/>
      <c r="AB987" s="506"/>
    </row>
    <row r="988" spans="1:28" s="457" customFormat="1" ht="18" customHeight="1" x14ac:dyDescent="0.2">
      <c r="A988" s="242"/>
      <c r="B988" s="242"/>
      <c r="C988" s="496"/>
      <c r="D988" s="88"/>
      <c r="E988" s="144"/>
      <c r="F988" s="411"/>
      <c r="G988" s="242"/>
      <c r="H988" s="497"/>
      <c r="I988" s="77"/>
      <c r="J988" s="107"/>
      <c r="K988" s="78"/>
      <c r="L988" s="242"/>
      <c r="M988" s="242"/>
      <c r="N988" s="242"/>
      <c r="O988" s="242"/>
      <c r="P988" s="497"/>
      <c r="Q988" s="496"/>
      <c r="R988" s="503"/>
      <c r="S988" s="504"/>
      <c r="T988" s="505"/>
      <c r="U988" s="504"/>
      <c r="V988" s="504"/>
      <c r="W988" s="77"/>
      <c r="X988" s="77"/>
      <c r="Y988" s="77"/>
      <c r="Z988" s="77"/>
      <c r="AA988" s="409"/>
      <c r="AB988" s="506"/>
    </row>
    <row r="989" spans="1:28" s="457" customFormat="1" ht="18" customHeight="1" x14ac:dyDescent="0.2">
      <c r="A989" s="242"/>
      <c r="B989" s="242"/>
      <c r="C989" s="496"/>
      <c r="D989" s="88"/>
      <c r="E989" s="88"/>
      <c r="F989" s="411"/>
      <c r="G989" s="242"/>
      <c r="H989" s="497"/>
      <c r="I989" s="77"/>
      <c r="J989" s="107"/>
      <c r="K989" s="78"/>
      <c r="L989" s="242"/>
      <c r="M989" s="242"/>
      <c r="N989" s="242"/>
      <c r="O989" s="242"/>
      <c r="P989" s="497"/>
      <c r="Q989" s="496"/>
      <c r="R989" s="503"/>
      <c r="S989" s="504"/>
      <c r="T989" s="505"/>
      <c r="U989" s="504"/>
      <c r="V989" s="504"/>
      <c r="W989" s="77"/>
      <c r="X989" s="77"/>
      <c r="Y989" s="77"/>
      <c r="Z989" s="77"/>
      <c r="AA989" s="409"/>
      <c r="AB989" s="506"/>
    </row>
    <row r="990" spans="1:28" s="457" customFormat="1" ht="18" customHeight="1" x14ac:dyDescent="0.2">
      <c r="A990" s="183"/>
      <c r="B990" s="183"/>
      <c r="C990" s="183"/>
      <c r="D990" s="183"/>
      <c r="E990" s="183"/>
      <c r="F990" s="183"/>
      <c r="G990" s="183"/>
      <c r="H990" s="184"/>
      <c r="I990" s="185"/>
      <c r="J990" s="186"/>
      <c r="K990" s="185"/>
      <c r="L990" s="185"/>
      <c r="M990" s="185"/>
      <c r="N990" s="185"/>
      <c r="O990" s="185"/>
      <c r="P990" s="185"/>
      <c r="Q990" s="185"/>
      <c r="R990" s="438"/>
      <c r="S990" s="185"/>
      <c r="T990" s="187"/>
      <c r="U990" s="186"/>
      <c r="V990" s="185"/>
      <c r="W990" s="185"/>
      <c r="X990" s="474"/>
      <c r="Y990" s="474"/>
      <c r="Z990" s="475"/>
      <c r="AA990" s="475"/>
      <c r="AB990" s="1847">
        <f>SUM(AB975:AB989)</f>
        <v>2812.8</v>
      </c>
    </row>
    <row r="991" spans="1:28" s="457" customFormat="1" ht="18" customHeight="1" x14ac:dyDescent="0.2">
      <c r="A991" s="2737" t="s">
        <v>76</v>
      </c>
      <c r="B991" s="2737"/>
      <c r="C991" s="2738" t="s">
        <v>77</v>
      </c>
      <c r="D991" s="2738"/>
      <c r="E991" s="2738"/>
      <c r="F991" s="2738"/>
      <c r="G991" s="2738"/>
      <c r="H991" s="2738"/>
      <c r="I991" s="457" t="s">
        <v>78</v>
      </c>
      <c r="AB991" s="478"/>
    </row>
    <row r="992" spans="1:28" s="457" customFormat="1" ht="18" customHeight="1" x14ac:dyDescent="0.2">
      <c r="B992" s="479"/>
      <c r="I992" s="457" t="s">
        <v>79</v>
      </c>
      <c r="AB992" s="478"/>
    </row>
    <row r="993" spans="1:28" s="457" customFormat="1" ht="18" customHeight="1" x14ac:dyDescent="0.2">
      <c r="B993" s="479"/>
      <c r="I993" s="457" t="s">
        <v>80</v>
      </c>
      <c r="AB993" s="478"/>
    </row>
    <row r="994" spans="1:28" s="457" customFormat="1" ht="18" customHeight="1" x14ac:dyDescent="0.2">
      <c r="B994" s="479"/>
      <c r="I994" s="457" t="s">
        <v>81</v>
      </c>
      <c r="AB994" s="478"/>
    </row>
    <row r="995" spans="1:28" s="457" customFormat="1" ht="18" customHeight="1" x14ac:dyDescent="0.2">
      <c r="B995" s="479"/>
      <c r="I995" s="457" t="s">
        <v>88</v>
      </c>
      <c r="AB995" s="478"/>
    </row>
    <row r="996" spans="1:28" s="457" customFormat="1" ht="18" customHeight="1" x14ac:dyDescent="0.2">
      <c r="A996" s="455"/>
      <c r="B996" s="455"/>
      <c r="C996" s="455"/>
      <c r="D996" s="455"/>
      <c r="E996" s="455"/>
      <c r="F996" s="455"/>
      <c r="G996" s="455"/>
      <c r="H996" s="455"/>
      <c r="I996" s="455"/>
      <c r="J996" s="455"/>
      <c r="K996" s="455"/>
      <c r="L996" s="455"/>
      <c r="M996" s="455"/>
      <c r="N996" s="455"/>
      <c r="O996" s="455"/>
      <c r="P996" s="455"/>
      <c r="Q996" s="455"/>
      <c r="R996" s="455"/>
      <c r="S996" s="455"/>
      <c r="T996" s="455"/>
      <c r="U996" s="455"/>
      <c r="V996" s="455"/>
      <c r="W996" s="455"/>
      <c r="X996" s="455"/>
      <c r="Y996" s="455"/>
      <c r="Z996" s="455"/>
      <c r="AA996" s="2705" t="s">
        <v>0</v>
      </c>
      <c r="AB996" s="2705"/>
    </row>
    <row r="997" spans="1:28" s="457" customFormat="1" ht="18" customHeight="1" x14ac:dyDescent="0.2">
      <c r="A997" s="2706" t="s">
        <v>1</v>
      </c>
      <c r="B997" s="2706"/>
      <c r="C997" s="2706"/>
      <c r="D997" s="2706"/>
      <c r="E997" s="2706"/>
      <c r="F997" s="2706"/>
      <c r="G997" s="2706"/>
      <c r="H997" s="2706"/>
      <c r="I997" s="2706"/>
      <c r="J997" s="2706"/>
      <c r="K997" s="2706"/>
      <c r="L997" s="2706"/>
      <c r="M997" s="2706"/>
      <c r="N997" s="2706"/>
      <c r="O997" s="2706"/>
      <c r="P997" s="2706"/>
      <c r="Q997" s="2706"/>
      <c r="R997" s="2706"/>
      <c r="S997" s="2706"/>
      <c r="T997" s="2706"/>
      <c r="U997" s="2706"/>
      <c r="V997" s="2706"/>
      <c r="W997" s="2706"/>
      <c r="X997" s="2706"/>
      <c r="Y997" s="2706"/>
      <c r="Z997" s="2706"/>
      <c r="AA997" s="2706"/>
      <c r="AB997" s="2706"/>
    </row>
    <row r="998" spans="1:28" s="457" customFormat="1" ht="18" customHeight="1" x14ac:dyDescent="0.2">
      <c r="A998" s="2704" t="s">
        <v>402</v>
      </c>
      <c r="B998" s="2704"/>
      <c r="C998" s="2704"/>
      <c r="D998" s="2704"/>
      <c r="E998" s="2704"/>
      <c r="F998" s="2704"/>
      <c r="G998" s="2704"/>
      <c r="H998" s="2704"/>
      <c r="I998" s="2704"/>
      <c r="J998" s="2704"/>
      <c r="K998" s="2704"/>
      <c r="L998" s="2704"/>
      <c r="M998" s="2704"/>
      <c r="N998" s="2704"/>
      <c r="O998" s="2704"/>
      <c r="P998" s="2704"/>
      <c r="Q998" s="2704"/>
      <c r="R998" s="2704"/>
      <c r="S998" s="2704"/>
      <c r="T998" s="2704"/>
      <c r="U998" s="2704"/>
      <c r="V998" s="2704"/>
      <c r="W998" s="2704"/>
      <c r="X998" s="2704"/>
      <c r="Y998" s="2704"/>
      <c r="Z998" s="2704"/>
      <c r="AA998" s="2704"/>
      <c r="AB998" s="2704"/>
    </row>
    <row r="999" spans="1:28" s="457" customFormat="1" ht="18" customHeight="1" x14ac:dyDescent="0.2">
      <c r="A999" s="2686" t="s">
        <v>2</v>
      </c>
      <c r="B999" s="360"/>
      <c r="C999" s="2686" t="s">
        <v>3</v>
      </c>
      <c r="D999" s="360"/>
      <c r="E999" s="360"/>
      <c r="F999" s="2693" t="s">
        <v>4</v>
      </c>
      <c r="G999" s="2693"/>
      <c r="H999" s="2693"/>
      <c r="I999" s="2694"/>
      <c r="J999" s="2694"/>
      <c r="K999" s="2695"/>
      <c r="L999" s="361"/>
      <c r="M999" s="2679" t="s">
        <v>5</v>
      </c>
      <c r="N999" s="2679"/>
      <c r="O999" s="2679"/>
      <c r="P999" s="2679"/>
      <c r="Q999" s="2696"/>
      <c r="R999" s="2696"/>
      <c r="S999" s="2696"/>
      <c r="T999" s="2696"/>
      <c r="U999" s="2696"/>
      <c r="V999" s="2697"/>
      <c r="W999" s="362" t="s">
        <v>6</v>
      </c>
      <c r="X999" s="363" t="s">
        <v>7</v>
      </c>
      <c r="Y999" s="364"/>
      <c r="Z999" s="364"/>
      <c r="AA999" s="363"/>
      <c r="AB999" s="458"/>
    </row>
    <row r="1000" spans="1:28" s="457" customFormat="1" ht="18" customHeight="1" x14ac:dyDescent="0.2">
      <c r="A1000" s="2687"/>
      <c r="B1000" s="367"/>
      <c r="C1000" s="2687"/>
      <c r="D1000" s="366" t="s">
        <v>9</v>
      </c>
      <c r="E1000" s="366" t="s">
        <v>10</v>
      </c>
      <c r="F1000" s="2698" t="s">
        <v>11</v>
      </c>
      <c r="G1000" s="2694"/>
      <c r="H1000" s="2695"/>
      <c r="I1000" s="360"/>
      <c r="J1000" s="449" t="s">
        <v>12</v>
      </c>
      <c r="K1000" s="360"/>
      <c r="L1000" s="2679" t="s">
        <v>2</v>
      </c>
      <c r="M1000" s="370"/>
      <c r="N1000" s="370"/>
      <c r="O1000" s="370"/>
      <c r="P1000" s="371"/>
      <c r="Q1000" s="459" t="s">
        <v>13</v>
      </c>
      <c r="R1000" s="370" t="s">
        <v>12</v>
      </c>
      <c r="S1000" s="370" t="s">
        <v>6</v>
      </c>
      <c r="T1000" s="2682" t="s">
        <v>14</v>
      </c>
      <c r="U1000" s="2683"/>
      <c r="V1000" s="375" t="s">
        <v>7</v>
      </c>
      <c r="W1000" s="376" t="s">
        <v>15</v>
      </c>
      <c r="X1000" s="377" t="s">
        <v>16</v>
      </c>
      <c r="Y1000" s="377" t="s">
        <v>17</v>
      </c>
      <c r="Z1000" s="377" t="s">
        <v>18</v>
      </c>
      <c r="AA1000" s="377"/>
      <c r="AB1000" s="460" t="s">
        <v>19</v>
      </c>
    </row>
    <row r="1001" spans="1:28" s="457" customFormat="1" ht="18" customHeight="1" x14ac:dyDescent="0.2">
      <c r="A1001" s="2687"/>
      <c r="B1001" s="366" t="s">
        <v>23</v>
      </c>
      <c r="C1001" s="2687"/>
      <c r="D1001" s="366" t="s">
        <v>24</v>
      </c>
      <c r="E1001" s="366" t="s">
        <v>25</v>
      </c>
      <c r="F1001" s="2699"/>
      <c r="G1001" s="2700"/>
      <c r="H1001" s="2701"/>
      <c r="I1001" s="366" t="s">
        <v>26</v>
      </c>
      <c r="J1001" s="380" t="s">
        <v>15</v>
      </c>
      <c r="K1001" s="380" t="s">
        <v>6</v>
      </c>
      <c r="L1001" s="2680"/>
      <c r="M1001" s="381" t="s">
        <v>27</v>
      </c>
      <c r="N1001" s="381" t="s">
        <v>10</v>
      </c>
      <c r="O1001" s="381" t="s">
        <v>10</v>
      </c>
      <c r="P1001" s="385" t="s">
        <v>28</v>
      </c>
      <c r="Q1001" s="461" t="s">
        <v>29</v>
      </c>
      <c r="R1001" s="385" t="s">
        <v>15</v>
      </c>
      <c r="S1001" s="385" t="s">
        <v>15</v>
      </c>
      <c r="T1001" s="2684"/>
      <c r="U1001" s="2685"/>
      <c r="V1001" s="375" t="s">
        <v>30</v>
      </c>
      <c r="W1001" s="376" t="s">
        <v>31</v>
      </c>
      <c r="X1001" s="377" t="s">
        <v>30</v>
      </c>
      <c r="Y1001" s="377" t="s">
        <v>32</v>
      </c>
      <c r="Z1001" s="377" t="s">
        <v>7</v>
      </c>
      <c r="AA1001" s="377" t="s">
        <v>33</v>
      </c>
      <c r="AB1001" s="460" t="s">
        <v>34</v>
      </c>
    </row>
    <row r="1002" spans="1:28" s="457" customFormat="1" ht="18" customHeight="1" x14ac:dyDescent="0.2">
      <c r="A1002" s="2687"/>
      <c r="B1002" s="366" t="s">
        <v>39</v>
      </c>
      <c r="C1002" s="2687"/>
      <c r="D1002" s="366" t="s">
        <v>40</v>
      </c>
      <c r="E1002" s="366" t="s">
        <v>41</v>
      </c>
      <c r="F1002" s="2686" t="s">
        <v>42</v>
      </c>
      <c r="G1002" s="2686" t="s">
        <v>43</v>
      </c>
      <c r="H1002" s="2688" t="s">
        <v>44</v>
      </c>
      <c r="I1002" s="366" t="s">
        <v>45</v>
      </c>
      <c r="J1002" s="380" t="s">
        <v>46</v>
      </c>
      <c r="K1002" s="380" t="s">
        <v>47</v>
      </c>
      <c r="L1002" s="2680"/>
      <c r="M1002" s="381" t="s">
        <v>30</v>
      </c>
      <c r="N1002" s="381" t="s">
        <v>30</v>
      </c>
      <c r="O1002" s="381" t="s">
        <v>25</v>
      </c>
      <c r="P1002" s="385" t="s">
        <v>30</v>
      </c>
      <c r="Q1002" s="461" t="s">
        <v>48</v>
      </c>
      <c r="R1002" s="385" t="s">
        <v>49</v>
      </c>
      <c r="S1002" s="385" t="s">
        <v>30</v>
      </c>
      <c r="T1002" s="374" t="s">
        <v>50</v>
      </c>
      <c r="U1002" s="374" t="s">
        <v>13</v>
      </c>
      <c r="V1002" s="375" t="s">
        <v>51</v>
      </c>
      <c r="W1002" s="376" t="s">
        <v>52</v>
      </c>
      <c r="X1002" s="377" t="s">
        <v>53</v>
      </c>
      <c r="Y1002" s="377" t="s">
        <v>54</v>
      </c>
      <c r="Z1002" s="377" t="s">
        <v>55</v>
      </c>
      <c r="AA1002" s="377" t="s">
        <v>56</v>
      </c>
      <c r="AB1002" s="460" t="s">
        <v>57</v>
      </c>
    </row>
    <row r="1003" spans="1:28" s="457" customFormat="1" ht="18" customHeight="1" x14ac:dyDescent="0.2">
      <c r="A1003" s="2687"/>
      <c r="B1003" s="366" t="s">
        <v>61</v>
      </c>
      <c r="C1003" s="2687"/>
      <c r="D1003" s="366" t="s">
        <v>62</v>
      </c>
      <c r="E1003" s="366" t="s">
        <v>63</v>
      </c>
      <c r="F1003" s="2687"/>
      <c r="G1003" s="2687"/>
      <c r="H1003" s="2689"/>
      <c r="I1003" s="366" t="s">
        <v>64</v>
      </c>
      <c r="J1003" s="380" t="s">
        <v>59</v>
      </c>
      <c r="K1003" s="380" t="s">
        <v>59</v>
      </c>
      <c r="L1003" s="2680"/>
      <c r="M1003" s="381"/>
      <c r="N1003" s="381"/>
      <c r="O1003" s="381" t="s">
        <v>41</v>
      </c>
      <c r="P1003" s="385" t="s">
        <v>65</v>
      </c>
      <c r="Q1003" s="461" t="s">
        <v>66</v>
      </c>
      <c r="R1003" s="385" t="s">
        <v>67</v>
      </c>
      <c r="S1003" s="385" t="s">
        <v>59</v>
      </c>
      <c r="T1003" s="375" t="s">
        <v>68</v>
      </c>
      <c r="U1003" s="375" t="s">
        <v>14</v>
      </c>
      <c r="V1003" s="375" t="s">
        <v>14</v>
      </c>
      <c r="W1003" s="376" t="s">
        <v>30</v>
      </c>
      <c r="X1003" s="388" t="s">
        <v>69</v>
      </c>
      <c r="Y1003" s="388" t="s">
        <v>70</v>
      </c>
      <c r="Z1003" s="377" t="s">
        <v>71</v>
      </c>
      <c r="AA1003" s="377" t="s">
        <v>72</v>
      </c>
      <c r="AB1003" s="460" t="s">
        <v>59</v>
      </c>
    </row>
    <row r="1004" spans="1:28" s="457" customFormat="1" ht="18" customHeight="1" x14ac:dyDescent="0.2">
      <c r="A1004" s="2692"/>
      <c r="B1004" s="390"/>
      <c r="C1004" s="2692"/>
      <c r="D1004" s="390"/>
      <c r="E1004" s="389"/>
      <c r="F1004" s="390"/>
      <c r="G1004" s="390"/>
      <c r="H1004" s="391"/>
      <c r="I1004" s="389"/>
      <c r="J1004" s="393"/>
      <c r="K1004" s="393"/>
      <c r="L1004" s="2681"/>
      <c r="M1004" s="394"/>
      <c r="N1004" s="394"/>
      <c r="O1004" s="394" t="s">
        <v>63</v>
      </c>
      <c r="P1004" s="394"/>
      <c r="Q1004" s="450" t="s">
        <v>72</v>
      </c>
      <c r="R1004" s="398" t="s">
        <v>59</v>
      </c>
      <c r="S1004" s="398"/>
      <c r="T1004" s="398" t="s">
        <v>73</v>
      </c>
      <c r="U1004" s="398" t="s">
        <v>59</v>
      </c>
      <c r="V1004" s="399" t="s">
        <v>59</v>
      </c>
      <c r="W1004" s="400" t="s">
        <v>59</v>
      </c>
      <c r="X1004" s="401" t="s">
        <v>59</v>
      </c>
      <c r="Y1004" s="401" t="s">
        <v>59</v>
      </c>
      <c r="Z1004" s="401" t="s">
        <v>59</v>
      </c>
      <c r="AA1004" s="402"/>
      <c r="AB1004" s="462"/>
    </row>
    <row r="1005" spans="1:28" s="457" customFormat="1" ht="18" customHeight="1" x14ac:dyDescent="0.2">
      <c r="A1005" s="53">
        <v>1</v>
      </c>
      <c r="B1005" s="95">
        <v>30435</v>
      </c>
      <c r="C1005" s="82">
        <v>831</v>
      </c>
      <c r="D1005" s="82" t="s">
        <v>86</v>
      </c>
      <c r="E1005" s="145">
        <v>4</v>
      </c>
      <c r="F1005" s="82">
        <v>0</v>
      </c>
      <c r="G1005" s="82">
        <v>0</v>
      </c>
      <c r="H1005" s="463">
        <v>98</v>
      </c>
      <c r="I1005" s="77">
        <f>F1005*400+G1005*100+H1005</f>
        <v>98</v>
      </c>
      <c r="J1005" s="107">
        <v>1600</v>
      </c>
      <c r="K1005" s="78">
        <f>SUM(I1005*J1005)</f>
        <v>156800</v>
      </c>
      <c r="L1005" s="53"/>
      <c r="M1005" s="82"/>
      <c r="N1005" s="82"/>
      <c r="O1005" s="53"/>
      <c r="P1005" s="358"/>
      <c r="Q1005" s="197"/>
      <c r="R1005" s="444"/>
      <c r="S1005" s="70"/>
      <c r="T1005" s="82"/>
      <c r="U1005" s="70"/>
      <c r="V1005" s="70"/>
      <c r="W1005" s="70">
        <f>K1005+V1005</f>
        <v>156800</v>
      </c>
      <c r="X1005" s="70">
        <f>W1005</f>
        <v>156800</v>
      </c>
      <c r="Y1005" s="123">
        <v>0</v>
      </c>
      <c r="Z1005" s="70">
        <f>+X1005</f>
        <v>156800</v>
      </c>
      <c r="AA1005" s="464">
        <v>0.6</v>
      </c>
      <c r="AB1005" s="465">
        <f>+Z1005*AA1005/100</f>
        <v>940.8</v>
      </c>
    </row>
    <row r="1006" spans="1:28" s="457" customFormat="1" ht="18" customHeight="1" x14ac:dyDescent="0.2">
      <c r="A1006" s="61"/>
      <c r="B1006" s="145"/>
      <c r="C1006" s="145"/>
      <c r="D1006" s="145"/>
      <c r="E1006" s="145"/>
      <c r="F1006" s="145"/>
      <c r="G1006" s="145"/>
      <c r="H1006" s="407"/>
      <c r="I1006" s="77"/>
      <c r="J1006" s="107"/>
      <c r="K1006" s="78"/>
      <c r="L1006" s="61"/>
      <c r="M1006" s="145"/>
      <c r="N1006" s="145"/>
      <c r="O1006" s="61"/>
      <c r="P1006" s="177"/>
      <c r="Q1006" s="196"/>
      <c r="R1006" s="408"/>
      <c r="S1006" s="77"/>
      <c r="T1006" s="145"/>
      <c r="U1006" s="77"/>
      <c r="V1006" s="77"/>
      <c r="W1006" s="77"/>
      <c r="X1006" s="77"/>
      <c r="Y1006" s="107"/>
      <c r="Z1006" s="77"/>
      <c r="AA1006" s="409"/>
      <c r="AB1006" s="416"/>
    </row>
    <row r="1007" spans="1:28" s="457" customFormat="1" ht="18" customHeight="1" x14ac:dyDescent="0.2">
      <c r="A1007" s="242"/>
      <c r="B1007" s="242"/>
      <c r="C1007" s="496"/>
      <c r="D1007" s="88"/>
      <c r="E1007" s="85"/>
      <c r="F1007" s="411"/>
      <c r="G1007" s="242"/>
      <c r="H1007" s="497"/>
      <c r="I1007" s="74"/>
      <c r="J1007" s="121"/>
      <c r="K1007" s="159"/>
      <c r="L1007" s="242"/>
      <c r="M1007" s="242"/>
      <c r="N1007" s="242"/>
      <c r="O1007" s="242"/>
      <c r="P1007" s="497"/>
      <c r="Q1007" s="496"/>
      <c r="R1007" s="503"/>
      <c r="S1007" s="504"/>
      <c r="T1007" s="505"/>
      <c r="U1007" s="504"/>
      <c r="V1007" s="504"/>
      <c r="W1007" s="74"/>
      <c r="X1007" s="74"/>
      <c r="Y1007" s="74"/>
      <c r="Z1007" s="74"/>
      <c r="AA1007" s="414"/>
      <c r="AB1007" s="410"/>
    </row>
    <row r="1008" spans="1:28" s="457" customFormat="1" ht="18" customHeight="1" x14ac:dyDescent="0.2">
      <c r="A1008" s="242"/>
      <c r="B1008" s="242"/>
      <c r="C1008" s="496"/>
      <c r="D1008" s="88"/>
      <c r="E1008" s="85"/>
      <c r="F1008" s="411"/>
      <c r="G1008" s="242"/>
      <c r="H1008" s="497"/>
      <c r="I1008" s="74"/>
      <c r="J1008" s="121"/>
      <c r="K1008" s="159"/>
      <c r="L1008" s="242"/>
      <c r="M1008" s="242"/>
      <c r="N1008" s="242"/>
      <c r="O1008" s="242"/>
      <c r="P1008" s="497"/>
      <c r="Q1008" s="496"/>
      <c r="R1008" s="503"/>
      <c r="S1008" s="504"/>
      <c r="T1008" s="505"/>
      <c r="U1008" s="504"/>
      <c r="V1008" s="504"/>
      <c r="W1008" s="74"/>
      <c r="X1008" s="74"/>
      <c r="Y1008" s="74"/>
      <c r="Z1008" s="74"/>
      <c r="AA1008" s="414"/>
      <c r="AB1008" s="466"/>
    </row>
    <row r="1009" spans="1:28" s="457" customFormat="1" ht="18" customHeight="1" x14ac:dyDescent="0.2">
      <c r="A1009" s="61"/>
      <c r="B1009" s="145"/>
      <c r="C1009" s="145"/>
      <c r="D1009" s="145"/>
      <c r="E1009" s="145"/>
      <c r="F1009" s="145"/>
      <c r="G1009" s="145"/>
      <c r="H1009" s="407"/>
      <c r="I1009" s="77"/>
      <c r="J1009" s="107"/>
      <c r="K1009" s="78"/>
      <c r="L1009" s="61"/>
      <c r="M1009" s="145"/>
      <c r="N1009" s="145"/>
      <c r="O1009" s="61"/>
      <c r="P1009" s="177"/>
      <c r="Q1009" s="196"/>
      <c r="R1009" s="408"/>
      <c r="S1009" s="77"/>
      <c r="T1009" s="145"/>
      <c r="U1009" s="77"/>
      <c r="V1009" s="77"/>
      <c r="W1009" s="77"/>
      <c r="X1009" s="77"/>
      <c r="Y1009" s="107"/>
      <c r="Z1009" s="107"/>
      <c r="AA1009" s="409"/>
      <c r="AB1009" s="466"/>
    </row>
    <row r="1010" spans="1:28" s="457" customFormat="1" ht="18" customHeight="1" x14ac:dyDescent="0.2">
      <c r="A1010" s="242"/>
      <c r="B1010" s="242"/>
      <c r="C1010" s="496"/>
      <c r="D1010" s="144"/>
      <c r="E1010" s="88"/>
      <c r="F1010" s="411"/>
      <c r="G1010" s="242"/>
      <c r="H1010" s="497"/>
      <c r="I1010" s="77"/>
      <c r="J1010" s="107"/>
      <c r="K1010" s="78"/>
      <c r="L1010" s="242"/>
      <c r="M1010" s="242"/>
      <c r="N1010" s="242"/>
      <c r="O1010" s="242"/>
      <c r="P1010" s="497"/>
      <c r="Q1010" s="496"/>
      <c r="R1010" s="503"/>
      <c r="S1010" s="504"/>
      <c r="T1010" s="505"/>
      <c r="U1010" s="504"/>
      <c r="V1010" s="504"/>
      <c r="W1010" s="77"/>
      <c r="X1010" s="77"/>
      <c r="Y1010" s="77"/>
      <c r="Z1010" s="77"/>
      <c r="AA1010" s="409"/>
      <c r="AB1010" s="506"/>
    </row>
    <row r="1011" spans="1:28" s="457" customFormat="1" ht="18" customHeight="1" x14ac:dyDescent="0.2">
      <c r="A1011" s="242"/>
      <c r="B1011" s="242"/>
      <c r="C1011" s="496"/>
      <c r="D1011" s="88"/>
      <c r="E1011" s="231"/>
      <c r="F1011" s="411"/>
      <c r="G1011" s="242"/>
      <c r="H1011" s="497"/>
      <c r="I1011" s="77"/>
      <c r="J1011" s="107"/>
      <c r="K1011" s="78"/>
      <c r="L1011" s="242"/>
      <c r="M1011" s="242"/>
      <c r="N1011" s="242"/>
      <c r="O1011" s="242"/>
      <c r="P1011" s="497"/>
      <c r="Q1011" s="496"/>
      <c r="R1011" s="503"/>
      <c r="S1011" s="504"/>
      <c r="T1011" s="505"/>
      <c r="U1011" s="504"/>
      <c r="V1011" s="504"/>
      <c r="W1011" s="77"/>
      <c r="X1011" s="77"/>
      <c r="Y1011" s="77"/>
      <c r="Z1011" s="77"/>
      <c r="AA1011" s="409"/>
      <c r="AB1011" s="506"/>
    </row>
    <row r="1012" spans="1:28" s="457" customFormat="1" ht="18" customHeight="1" x14ac:dyDescent="0.2">
      <c r="A1012" s="242"/>
      <c r="B1012" s="242"/>
      <c r="C1012" s="496"/>
      <c r="D1012" s="144"/>
      <c r="E1012" s="144"/>
      <c r="F1012" s="411"/>
      <c r="G1012" s="242"/>
      <c r="H1012" s="497"/>
      <c r="I1012" s="77"/>
      <c r="J1012" s="107"/>
      <c r="K1012" s="78"/>
      <c r="L1012" s="242"/>
      <c r="M1012" s="242"/>
      <c r="N1012" s="242"/>
      <c r="O1012" s="242"/>
      <c r="P1012" s="497"/>
      <c r="Q1012" s="496"/>
      <c r="R1012" s="503"/>
      <c r="S1012" s="504"/>
      <c r="T1012" s="505"/>
      <c r="U1012" s="504"/>
      <c r="V1012" s="504"/>
      <c r="W1012" s="77"/>
      <c r="X1012" s="77"/>
      <c r="Y1012" s="77"/>
      <c r="Z1012" s="77"/>
      <c r="AA1012" s="409"/>
      <c r="AB1012" s="506"/>
    </row>
    <row r="1013" spans="1:28" s="457" customFormat="1" ht="18" customHeight="1" x14ac:dyDescent="0.2">
      <c r="A1013" s="242"/>
      <c r="B1013" s="242"/>
      <c r="C1013" s="496"/>
      <c r="D1013" s="88"/>
      <c r="E1013" s="144"/>
      <c r="F1013" s="411"/>
      <c r="G1013" s="242"/>
      <c r="H1013" s="497"/>
      <c r="I1013" s="77"/>
      <c r="J1013" s="107"/>
      <c r="K1013" s="78"/>
      <c r="L1013" s="242"/>
      <c r="M1013" s="242"/>
      <c r="N1013" s="242"/>
      <c r="O1013" s="242"/>
      <c r="P1013" s="497"/>
      <c r="Q1013" s="496"/>
      <c r="R1013" s="503"/>
      <c r="S1013" s="504"/>
      <c r="T1013" s="505"/>
      <c r="U1013" s="504"/>
      <c r="V1013" s="504"/>
      <c r="W1013" s="77"/>
      <c r="X1013" s="77"/>
      <c r="Y1013" s="77"/>
      <c r="Z1013" s="77"/>
      <c r="AA1013" s="409"/>
      <c r="AB1013" s="506"/>
    </row>
    <row r="1014" spans="1:28" s="457" customFormat="1" ht="18" customHeight="1" x14ac:dyDescent="0.2">
      <c r="A1014" s="242"/>
      <c r="B1014" s="242"/>
      <c r="C1014" s="496"/>
      <c r="D1014" s="88"/>
      <c r="E1014" s="144"/>
      <c r="F1014" s="411"/>
      <c r="G1014" s="242"/>
      <c r="H1014" s="497"/>
      <c r="I1014" s="77"/>
      <c r="J1014" s="107"/>
      <c r="K1014" s="78"/>
      <c r="L1014" s="242"/>
      <c r="M1014" s="242"/>
      <c r="N1014" s="242"/>
      <c r="O1014" s="242"/>
      <c r="P1014" s="497"/>
      <c r="Q1014" s="496"/>
      <c r="R1014" s="503"/>
      <c r="S1014" s="504"/>
      <c r="T1014" s="505"/>
      <c r="U1014" s="504"/>
      <c r="V1014" s="504"/>
      <c r="W1014" s="77"/>
      <c r="X1014" s="77"/>
      <c r="Y1014" s="77"/>
      <c r="Z1014" s="77"/>
      <c r="AA1014" s="409"/>
      <c r="AB1014" s="506"/>
    </row>
    <row r="1015" spans="1:28" s="457" customFormat="1" ht="18" customHeight="1" x14ac:dyDescent="0.2">
      <c r="A1015" s="242"/>
      <c r="B1015" s="242"/>
      <c r="C1015" s="496"/>
      <c r="D1015" s="88"/>
      <c r="E1015" s="144"/>
      <c r="F1015" s="411"/>
      <c r="G1015" s="242"/>
      <c r="H1015" s="497"/>
      <c r="I1015" s="77"/>
      <c r="J1015" s="107"/>
      <c r="K1015" s="78"/>
      <c r="L1015" s="242"/>
      <c r="M1015" s="242"/>
      <c r="N1015" s="242"/>
      <c r="O1015" s="242"/>
      <c r="P1015" s="497"/>
      <c r="Q1015" s="496"/>
      <c r="R1015" s="503"/>
      <c r="S1015" s="504"/>
      <c r="T1015" s="505"/>
      <c r="U1015" s="504"/>
      <c r="V1015" s="504"/>
      <c r="W1015" s="77"/>
      <c r="X1015" s="77"/>
      <c r="Y1015" s="77"/>
      <c r="Z1015" s="77"/>
      <c r="AA1015" s="409"/>
      <c r="AB1015" s="506"/>
    </row>
    <row r="1016" spans="1:28" s="457" customFormat="1" ht="18" customHeight="1" x14ac:dyDescent="0.2">
      <c r="A1016" s="242"/>
      <c r="B1016" s="242"/>
      <c r="C1016" s="496"/>
      <c r="D1016" s="88"/>
      <c r="E1016" s="144"/>
      <c r="F1016" s="411"/>
      <c r="G1016" s="242"/>
      <c r="H1016" s="497"/>
      <c r="I1016" s="77"/>
      <c r="J1016" s="107"/>
      <c r="K1016" s="78"/>
      <c r="L1016" s="242"/>
      <c r="M1016" s="242"/>
      <c r="N1016" s="242"/>
      <c r="O1016" s="242"/>
      <c r="P1016" s="497"/>
      <c r="Q1016" s="496"/>
      <c r="R1016" s="503"/>
      <c r="S1016" s="504"/>
      <c r="T1016" s="505"/>
      <c r="U1016" s="504"/>
      <c r="V1016" s="504"/>
      <c r="W1016" s="77"/>
      <c r="X1016" s="77"/>
      <c r="Y1016" s="77"/>
      <c r="Z1016" s="77"/>
      <c r="AA1016" s="409"/>
      <c r="AB1016" s="506"/>
    </row>
    <row r="1017" spans="1:28" s="457" customFormat="1" ht="18" customHeight="1" x14ac:dyDescent="0.2">
      <c r="A1017" s="242"/>
      <c r="B1017" s="242"/>
      <c r="C1017" s="496"/>
      <c r="D1017" s="88"/>
      <c r="E1017" s="88"/>
      <c r="F1017" s="411"/>
      <c r="G1017" s="242"/>
      <c r="H1017" s="497"/>
      <c r="I1017" s="77"/>
      <c r="J1017" s="107"/>
      <c r="K1017" s="78"/>
      <c r="L1017" s="242"/>
      <c r="M1017" s="242"/>
      <c r="N1017" s="242"/>
      <c r="O1017" s="242"/>
      <c r="P1017" s="497"/>
      <c r="Q1017" s="496"/>
      <c r="R1017" s="503"/>
      <c r="S1017" s="504"/>
      <c r="T1017" s="505"/>
      <c r="U1017" s="504"/>
      <c r="V1017" s="504"/>
      <c r="W1017" s="77"/>
      <c r="X1017" s="77"/>
      <c r="Y1017" s="77"/>
      <c r="Z1017" s="77"/>
      <c r="AA1017" s="409"/>
      <c r="AB1017" s="506"/>
    </row>
    <row r="1018" spans="1:28" s="457" customFormat="1" ht="18" customHeight="1" x14ac:dyDescent="0.2">
      <c r="A1018" s="242"/>
      <c r="B1018" s="242"/>
      <c r="C1018" s="496"/>
      <c r="D1018" s="144"/>
      <c r="E1018" s="88"/>
      <c r="F1018" s="411"/>
      <c r="G1018" s="242"/>
      <c r="H1018" s="497"/>
      <c r="I1018" s="77"/>
      <c r="J1018" s="107"/>
      <c r="K1018" s="78"/>
      <c r="L1018" s="242"/>
      <c r="M1018" s="242"/>
      <c r="N1018" s="242"/>
      <c r="O1018" s="242"/>
      <c r="P1018" s="497"/>
      <c r="Q1018" s="496"/>
      <c r="R1018" s="503"/>
      <c r="S1018" s="504"/>
      <c r="T1018" s="505"/>
      <c r="U1018" s="504"/>
      <c r="V1018" s="504"/>
      <c r="W1018" s="77"/>
      <c r="X1018" s="77"/>
      <c r="Y1018" s="77"/>
      <c r="Z1018" s="77"/>
      <c r="AA1018" s="409"/>
      <c r="AB1018" s="506"/>
    </row>
    <row r="1019" spans="1:28" s="457" customFormat="1" ht="18" customHeight="1" x14ac:dyDescent="0.2">
      <c r="A1019" s="242"/>
      <c r="B1019" s="242"/>
      <c r="C1019" s="496"/>
      <c r="D1019" s="88"/>
      <c r="E1019" s="231"/>
      <c r="F1019" s="411"/>
      <c r="G1019" s="242"/>
      <c r="H1019" s="497"/>
      <c r="I1019" s="77"/>
      <c r="J1019" s="107"/>
      <c r="K1019" s="78"/>
      <c r="L1019" s="242"/>
      <c r="M1019" s="242"/>
      <c r="N1019" s="242"/>
      <c r="O1019" s="242"/>
      <c r="P1019" s="497"/>
      <c r="Q1019" s="496"/>
      <c r="R1019" s="503"/>
      <c r="S1019" s="504"/>
      <c r="T1019" s="505"/>
      <c r="U1019" s="504"/>
      <c r="V1019" s="504"/>
      <c r="W1019" s="77"/>
      <c r="X1019" s="77"/>
      <c r="Y1019" s="77"/>
      <c r="Z1019" s="77"/>
      <c r="AA1019" s="409"/>
      <c r="AB1019" s="506"/>
    </row>
    <row r="1020" spans="1:28" s="457" customFormat="1" ht="18" customHeight="1" x14ac:dyDescent="0.2">
      <c r="A1020" s="183"/>
      <c r="B1020" s="183"/>
      <c r="C1020" s="183"/>
      <c r="D1020" s="183"/>
      <c r="E1020" s="183"/>
      <c r="F1020" s="183"/>
      <c r="G1020" s="183"/>
      <c r="H1020" s="184"/>
      <c r="I1020" s="185"/>
      <c r="J1020" s="186"/>
      <c r="K1020" s="185"/>
      <c r="L1020" s="185"/>
      <c r="M1020" s="185"/>
      <c r="N1020" s="185"/>
      <c r="O1020" s="185"/>
      <c r="P1020" s="185"/>
      <c r="Q1020" s="185"/>
      <c r="R1020" s="438"/>
      <c r="S1020" s="185"/>
      <c r="T1020" s="187"/>
      <c r="U1020" s="186"/>
      <c r="V1020" s="185"/>
      <c r="W1020" s="185"/>
      <c r="X1020" s="474"/>
      <c r="Y1020" s="474"/>
      <c r="Z1020" s="475"/>
      <c r="AA1020" s="475"/>
      <c r="AB1020" s="1847">
        <f>SUM(AB1005:AB1019)</f>
        <v>940.8</v>
      </c>
    </row>
    <row r="1021" spans="1:28" s="457" customFormat="1" ht="18" customHeight="1" x14ac:dyDescent="0.2">
      <c r="A1021" s="2737" t="s">
        <v>76</v>
      </c>
      <c r="B1021" s="2737"/>
      <c r="C1021" s="2738" t="s">
        <v>77</v>
      </c>
      <c r="D1021" s="2738"/>
      <c r="E1021" s="2738"/>
      <c r="F1021" s="2738"/>
      <c r="G1021" s="2738"/>
      <c r="H1021" s="2738"/>
      <c r="I1021" s="457" t="s">
        <v>78</v>
      </c>
      <c r="AB1021" s="478"/>
    </row>
    <row r="1022" spans="1:28" s="457" customFormat="1" ht="18" customHeight="1" x14ac:dyDescent="0.2">
      <c r="B1022" s="479"/>
      <c r="I1022" s="457" t="s">
        <v>79</v>
      </c>
      <c r="AB1022" s="478"/>
    </row>
    <row r="1023" spans="1:28" s="457" customFormat="1" ht="18" customHeight="1" x14ac:dyDescent="0.2">
      <c r="B1023" s="479"/>
      <c r="I1023" s="457" t="s">
        <v>80</v>
      </c>
      <c r="AB1023" s="478"/>
    </row>
    <row r="1024" spans="1:28" s="457" customFormat="1" ht="18" customHeight="1" x14ac:dyDescent="0.2">
      <c r="B1024" s="479"/>
      <c r="I1024" s="457" t="s">
        <v>81</v>
      </c>
      <c r="AB1024" s="478"/>
    </row>
    <row r="1025" spans="1:28" s="457" customFormat="1" ht="18" customHeight="1" x14ac:dyDescent="0.2">
      <c r="B1025" s="479"/>
      <c r="I1025" s="457" t="s">
        <v>88</v>
      </c>
      <c r="AB1025" s="478"/>
    </row>
    <row r="1026" spans="1:28" s="457" customFormat="1" ht="18" customHeight="1" x14ac:dyDescent="0.2">
      <c r="A1026" s="455"/>
      <c r="B1026" s="455"/>
      <c r="C1026" s="455"/>
      <c r="D1026" s="455"/>
      <c r="E1026" s="455"/>
      <c r="F1026" s="455"/>
      <c r="G1026" s="455"/>
      <c r="H1026" s="455"/>
      <c r="I1026" s="455"/>
      <c r="J1026" s="455"/>
      <c r="K1026" s="455"/>
      <c r="L1026" s="455"/>
      <c r="M1026" s="455"/>
      <c r="N1026" s="455"/>
      <c r="O1026" s="455"/>
      <c r="P1026" s="455"/>
      <c r="Q1026" s="455"/>
      <c r="R1026" s="455"/>
      <c r="S1026" s="455"/>
      <c r="T1026" s="455"/>
      <c r="U1026" s="455"/>
      <c r="V1026" s="455"/>
      <c r="W1026" s="455"/>
      <c r="X1026" s="455"/>
      <c r="Y1026" s="455"/>
      <c r="Z1026" s="455"/>
      <c r="AA1026" s="2705" t="s">
        <v>0</v>
      </c>
      <c r="AB1026" s="2705"/>
    </row>
    <row r="1027" spans="1:28" s="457" customFormat="1" ht="18" customHeight="1" x14ac:dyDescent="0.2">
      <c r="A1027" s="2706" t="s">
        <v>1</v>
      </c>
      <c r="B1027" s="2706"/>
      <c r="C1027" s="2706"/>
      <c r="D1027" s="2706"/>
      <c r="E1027" s="2706"/>
      <c r="F1027" s="2706"/>
      <c r="G1027" s="2706"/>
      <c r="H1027" s="2706"/>
      <c r="I1027" s="2706"/>
      <c r="J1027" s="2706"/>
      <c r="K1027" s="2706"/>
      <c r="L1027" s="2706"/>
      <c r="M1027" s="2706"/>
      <c r="N1027" s="2706"/>
      <c r="O1027" s="2706"/>
      <c r="P1027" s="2706"/>
      <c r="Q1027" s="2706"/>
      <c r="R1027" s="2706"/>
      <c r="S1027" s="2706"/>
      <c r="T1027" s="2706"/>
      <c r="U1027" s="2706"/>
      <c r="V1027" s="2706"/>
      <c r="W1027" s="2706"/>
      <c r="X1027" s="2706"/>
      <c r="Y1027" s="2706"/>
      <c r="Z1027" s="2706"/>
      <c r="AA1027" s="2706"/>
      <c r="AB1027" s="2706"/>
    </row>
    <row r="1028" spans="1:28" s="457" customFormat="1" ht="18" customHeight="1" x14ac:dyDescent="0.2">
      <c r="A1028" s="2704" t="s">
        <v>403</v>
      </c>
      <c r="B1028" s="2704"/>
      <c r="C1028" s="2704"/>
      <c r="D1028" s="2704"/>
      <c r="E1028" s="2704"/>
      <c r="F1028" s="2704"/>
      <c r="G1028" s="2704"/>
      <c r="H1028" s="2704"/>
      <c r="I1028" s="2704"/>
      <c r="J1028" s="2704"/>
      <c r="K1028" s="2704"/>
      <c r="L1028" s="2704"/>
      <c r="M1028" s="2704"/>
      <c r="N1028" s="2704"/>
      <c r="O1028" s="2704"/>
      <c r="P1028" s="2704"/>
      <c r="Q1028" s="2704"/>
      <c r="R1028" s="2704"/>
      <c r="S1028" s="2704"/>
      <c r="T1028" s="2704"/>
      <c r="U1028" s="2704"/>
      <c r="V1028" s="2704"/>
      <c r="W1028" s="2704"/>
      <c r="X1028" s="2704"/>
      <c r="Y1028" s="2704"/>
      <c r="Z1028" s="2704"/>
      <c r="AA1028" s="2704"/>
      <c r="AB1028" s="2704"/>
    </row>
    <row r="1029" spans="1:28" s="457" customFormat="1" ht="18" customHeight="1" x14ac:dyDescent="0.2">
      <c r="A1029" s="2686" t="s">
        <v>2</v>
      </c>
      <c r="B1029" s="360"/>
      <c r="C1029" s="2686" t="s">
        <v>3</v>
      </c>
      <c r="D1029" s="360"/>
      <c r="E1029" s="360"/>
      <c r="F1029" s="2693" t="s">
        <v>4</v>
      </c>
      <c r="G1029" s="2693"/>
      <c r="H1029" s="2693"/>
      <c r="I1029" s="2694"/>
      <c r="J1029" s="2694"/>
      <c r="K1029" s="2695"/>
      <c r="L1029" s="361"/>
      <c r="M1029" s="2679" t="s">
        <v>5</v>
      </c>
      <c r="N1029" s="2679"/>
      <c r="O1029" s="2679"/>
      <c r="P1029" s="2679"/>
      <c r="Q1029" s="2696"/>
      <c r="R1029" s="2696"/>
      <c r="S1029" s="2696"/>
      <c r="T1029" s="2696"/>
      <c r="U1029" s="2696"/>
      <c r="V1029" s="2697"/>
      <c r="W1029" s="362" t="s">
        <v>6</v>
      </c>
      <c r="X1029" s="363" t="s">
        <v>7</v>
      </c>
      <c r="Y1029" s="364"/>
      <c r="Z1029" s="364"/>
      <c r="AA1029" s="363"/>
      <c r="AB1029" s="458"/>
    </row>
    <row r="1030" spans="1:28" s="457" customFormat="1" ht="18" customHeight="1" x14ac:dyDescent="0.2">
      <c r="A1030" s="2687"/>
      <c r="B1030" s="367"/>
      <c r="C1030" s="2687"/>
      <c r="D1030" s="366" t="s">
        <v>9</v>
      </c>
      <c r="E1030" s="366" t="s">
        <v>10</v>
      </c>
      <c r="F1030" s="2698" t="s">
        <v>11</v>
      </c>
      <c r="G1030" s="2694"/>
      <c r="H1030" s="2695"/>
      <c r="I1030" s="360"/>
      <c r="J1030" s="449" t="s">
        <v>12</v>
      </c>
      <c r="K1030" s="360"/>
      <c r="L1030" s="2679" t="s">
        <v>2</v>
      </c>
      <c r="M1030" s="370"/>
      <c r="N1030" s="370"/>
      <c r="O1030" s="370"/>
      <c r="P1030" s="371"/>
      <c r="Q1030" s="459" t="s">
        <v>13</v>
      </c>
      <c r="R1030" s="370" t="s">
        <v>12</v>
      </c>
      <c r="S1030" s="370" t="s">
        <v>6</v>
      </c>
      <c r="T1030" s="2682" t="s">
        <v>14</v>
      </c>
      <c r="U1030" s="2683"/>
      <c r="V1030" s="375" t="s">
        <v>7</v>
      </c>
      <c r="W1030" s="376" t="s">
        <v>15</v>
      </c>
      <c r="X1030" s="377" t="s">
        <v>16</v>
      </c>
      <c r="Y1030" s="377" t="s">
        <v>17</v>
      </c>
      <c r="Z1030" s="377" t="s">
        <v>18</v>
      </c>
      <c r="AA1030" s="377"/>
      <c r="AB1030" s="460" t="s">
        <v>19</v>
      </c>
    </row>
    <row r="1031" spans="1:28" s="457" customFormat="1" ht="18" customHeight="1" x14ac:dyDescent="0.2">
      <c r="A1031" s="2687"/>
      <c r="B1031" s="366" t="s">
        <v>23</v>
      </c>
      <c r="C1031" s="2687"/>
      <c r="D1031" s="366" t="s">
        <v>24</v>
      </c>
      <c r="E1031" s="366" t="s">
        <v>25</v>
      </c>
      <c r="F1031" s="2699"/>
      <c r="G1031" s="2700"/>
      <c r="H1031" s="2701"/>
      <c r="I1031" s="366" t="s">
        <v>26</v>
      </c>
      <c r="J1031" s="380" t="s">
        <v>15</v>
      </c>
      <c r="K1031" s="380" t="s">
        <v>6</v>
      </c>
      <c r="L1031" s="2680"/>
      <c r="M1031" s="381" t="s">
        <v>27</v>
      </c>
      <c r="N1031" s="381" t="s">
        <v>10</v>
      </c>
      <c r="O1031" s="381" t="s">
        <v>10</v>
      </c>
      <c r="P1031" s="385" t="s">
        <v>28</v>
      </c>
      <c r="Q1031" s="461" t="s">
        <v>29</v>
      </c>
      <c r="R1031" s="385" t="s">
        <v>15</v>
      </c>
      <c r="S1031" s="385" t="s">
        <v>15</v>
      </c>
      <c r="T1031" s="2684"/>
      <c r="U1031" s="2685"/>
      <c r="V1031" s="375" t="s">
        <v>30</v>
      </c>
      <c r="W1031" s="376" t="s">
        <v>31</v>
      </c>
      <c r="X1031" s="377" t="s">
        <v>30</v>
      </c>
      <c r="Y1031" s="377" t="s">
        <v>32</v>
      </c>
      <c r="Z1031" s="377" t="s">
        <v>7</v>
      </c>
      <c r="AA1031" s="377" t="s">
        <v>33</v>
      </c>
      <c r="AB1031" s="460" t="s">
        <v>34</v>
      </c>
    </row>
    <row r="1032" spans="1:28" s="457" customFormat="1" ht="18" customHeight="1" x14ac:dyDescent="0.2">
      <c r="A1032" s="2687"/>
      <c r="B1032" s="366" t="s">
        <v>39</v>
      </c>
      <c r="C1032" s="2687"/>
      <c r="D1032" s="366" t="s">
        <v>40</v>
      </c>
      <c r="E1032" s="366" t="s">
        <v>41</v>
      </c>
      <c r="F1032" s="2686" t="s">
        <v>42</v>
      </c>
      <c r="G1032" s="2686" t="s">
        <v>43</v>
      </c>
      <c r="H1032" s="2688" t="s">
        <v>44</v>
      </c>
      <c r="I1032" s="366" t="s">
        <v>45</v>
      </c>
      <c r="J1032" s="380" t="s">
        <v>46</v>
      </c>
      <c r="K1032" s="380" t="s">
        <v>47</v>
      </c>
      <c r="L1032" s="2680"/>
      <c r="M1032" s="381" t="s">
        <v>30</v>
      </c>
      <c r="N1032" s="381" t="s">
        <v>30</v>
      </c>
      <c r="O1032" s="381" t="s">
        <v>25</v>
      </c>
      <c r="P1032" s="385" t="s">
        <v>30</v>
      </c>
      <c r="Q1032" s="461" t="s">
        <v>48</v>
      </c>
      <c r="R1032" s="385" t="s">
        <v>49</v>
      </c>
      <c r="S1032" s="385" t="s">
        <v>30</v>
      </c>
      <c r="T1032" s="374" t="s">
        <v>50</v>
      </c>
      <c r="U1032" s="374" t="s">
        <v>13</v>
      </c>
      <c r="V1032" s="375" t="s">
        <v>51</v>
      </c>
      <c r="W1032" s="376" t="s">
        <v>52</v>
      </c>
      <c r="X1032" s="377" t="s">
        <v>53</v>
      </c>
      <c r="Y1032" s="377" t="s">
        <v>54</v>
      </c>
      <c r="Z1032" s="377" t="s">
        <v>55</v>
      </c>
      <c r="AA1032" s="377" t="s">
        <v>56</v>
      </c>
      <c r="AB1032" s="460" t="s">
        <v>57</v>
      </c>
    </row>
    <row r="1033" spans="1:28" s="457" customFormat="1" ht="18" customHeight="1" x14ac:dyDescent="0.2">
      <c r="A1033" s="2687"/>
      <c r="B1033" s="366" t="s">
        <v>61</v>
      </c>
      <c r="C1033" s="2687"/>
      <c r="D1033" s="366" t="s">
        <v>62</v>
      </c>
      <c r="E1033" s="366" t="s">
        <v>63</v>
      </c>
      <c r="F1033" s="2687"/>
      <c r="G1033" s="2687"/>
      <c r="H1033" s="2689"/>
      <c r="I1033" s="366" t="s">
        <v>64</v>
      </c>
      <c r="J1033" s="380" t="s">
        <v>59</v>
      </c>
      <c r="K1033" s="380" t="s">
        <v>59</v>
      </c>
      <c r="L1033" s="2680"/>
      <c r="M1033" s="381"/>
      <c r="N1033" s="381"/>
      <c r="O1033" s="381" t="s">
        <v>41</v>
      </c>
      <c r="P1033" s="385" t="s">
        <v>65</v>
      </c>
      <c r="Q1033" s="461" t="s">
        <v>66</v>
      </c>
      <c r="R1033" s="385" t="s">
        <v>67</v>
      </c>
      <c r="S1033" s="385" t="s">
        <v>59</v>
      </c>
      <c r="T1033" s="375" t="s">
        <v>68</v>
      </c>
      <c r="U1033" s="375" t="s">
        <v>14</v>
      </c>
      <c r="V1033" s="375" t="s">
        <v>14</v>
      </c>
      <c r="W1033" s="376" t="s">
        <v>30</v>
      </c>
      <c r="X1033" s="388" t="s">
        <v>69</v>
      </c>
      <c r="Y1033" s="388" t="s">
        <v>70</v>
      </c>
      <c r="Z1033" s="377" t="s">
        <v>71</v>
      </c>
      <c r="AA1033" s="377" t="s">
        <v>72</v>
      </c>
      <c r="AB1033" s="460" t="s">
        <v>59</v>
      </c>
    </row>
    <row r="1034" spans="1:28" s="457" customFormat="1" ht="18" customHeight="1" x14ac:dyDescent="0.2">
      <c r="A1034" s="2692"/>
      <c r="B1034" s="390"/>
      <c r="C1034" s="2692"/>
      <c r="D1034" s="390"/>
      <c r="E1034" s="389"/>
      <c r="F1034" s="390"/>
      <c r="G1034" s="390"/>
      <c r="H1034" s="391"/>
      <c r="I1034" s="389"/>
      <c r="J1034" s="393"/>
      <c r="K1034" s="393"/>
      <c r="L1034" s="2681"/>
      <c r="M1034" s="394"/>
      <c r="N1034" s="394"/>
      <c r="O1034" s="394" t="s">
        <v>63</v>
      </c>
      <c r="P1034" s="394"/>
      <c r="Q1034" s="450" t="s">
        <v>72</v>
      </c>
      <c r="R1034" s="398" t="s">
        <v>59</v>
      </c>
      <c r="S1034" s="398"/>
      <c r="T1034" s="398" t="s">
        <v>73</v>
      </c>
      <c r="U1034" s="398" t="s">
        <v>59</v>
      </c>
      <c r="V1034" s="399" t="s">
        <v>59</v>
      </c>
      <c r="W1034" s="400" t="s">
        <v>59</v>
      </c>
      <c r="X1034" s="401" t="s">
        <v>59</v>
      </c>
      <c r="Y1034" s="401" t="s">
        <v>59</v>
      </c>
      <c r="Z1034" s="401" t="s">
        <v>59</v>
      </c>
      <c r="AA1034" s="402"/>
      <c r="AB1034" s="462"/>
    </row>
    <row r="1035" spans="1:28" s="457" customFormat="1" ht="18" customHeight="1" x14ac:dyDescent="0.2">
      <c r="A1035" s="53">
        <v>1</v>
      </c>
      <c r="B1035" s="95">
        <v>31161</v>
      </c>
      <c r="C1035" s="82">
        <v>902</v>
      </c>
      <c r="D1035" s="153" t="s">
        <v>86</v>
      </c>
      <c r="E1035" s="145">
        <v>4</v>
      </c>
      <c r="F1035" s="82">
        <v>0</v>
      </c>
      <c r="G1035" s="82">
        <v>2</v>
      </c>
      <c r="H1035" s="463">
        <v>12</v>
      </c>
      <c r="I1035" s="77">
        <f>F1035*400+G1035*100+H1035</f>
        <v>212</v>
      </c>
      <c r="J1035" s="107">
        <v>1600</v>
      </c>
      <c r="K1035" s="78">
        <f>SUM(I1035*J1035)</f>
        <v>339200</v>
      </c>
      <c r="L1035" s="53"/>
      <c r="M1035" s="82"/>
      <c r="N1035" s="82"/>
      <c r="O1035" s="53"/>
      <c r="P1035" s="358"/>
      <c r="Q1035" s="197"/>
      <c r="R1035" s="444"/>
      <c r="S1035" s="70"/>
      <c r="T1035" s="82"/>
      <c r="U1035" s="70"/>
      <c r="V1035" s="70"/>
      <c r="W1035" s="70">
        <f>K1035+V1035</f>
        <v>339200</v>
      </c>
      <c r="X1035" s="70">
        <f>W1035</f>
        <v>339200</v>
      </c>
      <c r="Y1035" s="123">
        <v>0</v>
      </c>
      <c r="Z1035" s="70">
        <f>+X1035</f>
        <v>339200</v>
      </c>
      <c r="AA1035" s="464">
        <v>0.6</v>
      </c>
      <c r="AB1035" s="465">
        <f>+Z1035*AA1035/100</f>
        <v>2035.2</v>
      </c>
    </row>
    <row r="1036" spans="1:28" s="457" customFormat="1" ht="18" customHeight="1" x14ac:dyDescent="0.2">
      <c r="A1036" s="61"/>
      <c r="B1036" s="145"/>
      <c r="C1036" s="145"/>
      <c r="D1036" s="145"/>
      <c r="E1036" s="145"/>
      <c r="F1036" s="145"/>
      <c r="G1036" s="145"/>
      <c r="H1036" s="407"/>
      <c r="I1036" s="77"/>
      <c r="J1036" s="107"/>
      <c r="K1036" s="78"/>
      <c r="L1036" s="61"/>
      <c r="M1036" s="145"/>
      <c r="N1036" s="145"/>
      <c r="O1036" s="61"/>
      <c r="P1036" s="177"/>
      <c r="Q1036" s="196"/>
      <c r="R1036" s="408"/>
      <c r="S1036" s="77"/>
      <c r="T1036" s="145"/>
      <c r="U1036" s="77"/>
      <c r="V1036" s="77"/>
      <c r="W1036" s="77"/>
      <c r="X1036" s="77"/>
      <c r="Y1036" s="107"/>
      <c r="Z1036" s="77"/>
      <c r="AA1036" s="409"/>
      <c r="AB1036" s="416"/>
    </row>
    <row r="1037" spans="1:28" s="457" customFormat="1" ht="18" customHeight="1" x14ac:dyDescent="0.2">
      <c r="A1037" s="242"/>
      <c r="B1037" s="242"/>
      <c r="C1037" s="496"/>
      <c r="D1037" s="88"/>
      <c r="E1037" s="85"/>
      <c r="F1037" s="411"/>
      <c r="G1037" s="242"/>
      <c r="H1037" s="497"/>
      <c r="I1037" s="74"/>
      <c r="J1037" s="121"/>
      <c r="K1037" s="159"/>
      <c r="L1037" s="242"/>
      <c r="M1037" s="242"/>
      <c r="N1037" s="242"/>
      <c r="O1037" s="242"/>
      <c r="P1037" s="497"/>
      <c r="Q1037" s="496"/>
      <c r="R1037" s="503"/>
      <c r="S1037" s="504"/>
      <c r="T1037" s="505"/>
      <c r="U1037" s="504"/>
      <c r="V1037" s="504"/>
      <c r="W1037" s="74"/>
      <c r="X1037" s="74"/>
      <c r="Y1037" s="74"/>
      <c r="Z1037" s="74"/>
      <c r="AA1037" s="414"/>
      <c r="AB1037" s="410"/>
    </row>
    <row r="1038" spans="1:28" s="457" customFormat="1" ht="18" customHeight="1" x14ac:dyDescent="0.2">
      <c r="A1038" s="242"/>
      <c r="B1038" s="242"/>
      <c r="C1038" s="496"/>
      <c r="D1038" s="88"/>
      <c r="E1038" s="85"/>
      <c r="F1038" s="411"/>
      <c r="G1038" s="242"/>
      <c r="H1038" s="497"/>
      <c r="I1038" s="74"/>
      <c r="J1038" s="121"/>
      <c r="K1038" s="159"/>
      <c r="L1038" s="242"/>
      <c r="M1038" s="242"/>
      <c r="N1038" s="242"/>
      <c r="O1038" s="242"/>
      <c r="P1038" s="497"/>
      <c r="Q1038" s="496"/>
      <c r="R1038" s="503"/>
      <c r="S1038" s="504"/>
      <c r="T1038" s="505"/>
      <c r="U1038" s="504"/>
      <c r="V1038" s="504"/>
      <c r="W1038" s="74"/>
      <c r="X1038" s="74"/>
      <c r="Y1038" s="74"/>
      <c r="Z1038" s="74"/>
      <c r="AA1038" s="414"/>
      <c r="AB1038" s="466"/>
    </row>
    <row r="1039" spans="1:28" s="457" customFormat="1" ht="18" customHeight="1" x14ac:dyDescent="0.2">
      <c r="A1039" s="61"/>
      <c r="B1039" s="145"/>
      <c r="C1039" s="145"/>
      <c r="D1039" s="145"/>
      <c r="E1039" s="145"/>
      <c r="F1039" s="145"/>
      <c r="G1039" s="145"/>
      <c r="H1039" s="407"/>
      <c r="I1039" s="77"/>
      <c r="J1039" s="107"/>
      <c r="K1039" s="78"/>
      <c r="L1039" s="61"/>
      <c r="M1039" s="145"/>
      <c r="N1039" s="145"/>
      <c r="O1039" s="61"/>
      <c r="P1039" s="177"/>
      <c r="Q1039" s="196"/>
      <c r="R1039" s="408"/>
      <c r="S1039" s="77"/>
      <c r="T1039" s="145"/>
      <c r="U1039" s="77"/>
      <c r="V1039" s="77"/>
      <c r="W1039" s="77"/>
      <c r="X1039" s="77"/>
      <c r="Y1039" s="107"/>
      <c r="Z1039" s="107"/>
      <c r="AA1039" s="409"/>
      <c r="AB1039" s="466"/>
    </row>
    <row r="1040" spans="1:28" s="457" customFormat="1" ht="18" customHeight="1" x14ac:dyDescent="0.2">
      <c r="A1040" s="242"/>
      <c r="B1040" s="242"/>
      <c r="C1040" s="496"/>
      <c r="D1040" s="144"/>
      <c r="E1040" s="88"/>
      <c r="F1040" s="411"/>
      <c r="G1040" s="242"/>
      <c r="H1040" s="497"/>
      <c r="I1040" s="77"/>
      <c r="J1040" s="107"/>
      <c r="K1040" s="78"/>
      <c r="L1040" s="242"/>
      <c r="M1040" s="242"/>
      <c r="N1040" s="242"/>
      <c r="O1040" s="242"/>
      <c r="P1040" s="497"/>
      <c r="Q1040" s="496"/>
      <c r="R1040" s="503"/>
      <c r="S1040" s="504"/>
      <c r="T1040" s="505"/>
      <c r="U1040" s="504"/>
      <c r="V1040" s="504"/>
      <c r="W1040" s="77"/>
      <c r="X1040" s="77"/>
      <c r="Y1040" s="77"/>
      <c r="Z1040" s="77"/>
      <c r="AA1040" s="409"/>
      <c r="AB1040" s="506"/>
    </row>
    <row r="1041" spans="1:28" s="457" customFormat="1" ht="18" customHeight="1" x14ac:dyDescent="0.2">
      <c r="A1041" s="242"/>
      <c r="B1041" s="242"/>
      <c r="C1041" s="496"/>
      <c r="D1041" s="88"/>
      <c r="E1041" s="231"/>
      <c r="F1041" s="411"/>
      <c r="G1041" s="242"/>
      <c r="H1041" s="497"/>
      <c r="I1041" s="77"/>
      <c r="J1041" s="107"/>
      <c r="K1041" s="78"/>
      <c r="L1041" s="242"/>
      <c r="M1041" s="242"/>
      <c r="N1041" s="242"/>
      <c r="O1041" s="242"/>
      <c r="P1041" s="497"/>
      <c r="Q1041" s="496"/>
      <c r="R1041" s="503"/>
      <c r="S1041" s="504"/>
      <c r="T1041" s="505"/>
      <c r="U1041" s="504"/>
      <c r="V1041" s="504"/>
      <c r="W1041" s="77"/>
      <c r="X1041" s="77"/>
      <c r="Y1041" s="77"/>
      <c r="Z1041" s="77"/>
      <c r="AA1041" s="409"/>
      <c r="AB1041" s="506"/>
    </row>
    <row r="1042" spans="1:28" s="457" customFormat="1" ht="18" customHeight="1" x14ac:dyDescent="0.2">
      <c r="A1042" s="242"/>
      <c r="B1042" s="242"/>
      <c r="C1042" s="496"/>
      <c r="D1042" s="231"/>
      <c r="E1042" s="144"/>
      <c r="F1042" s="411"/>
      <c r="G1042" s="242"/>
      <c r="H1042" s="497"/>
      <c r="I1042" s="77"/>
      <c r="J1042" s="107"/>
      <c r="K1042" s="78"/>
      <c r="L1042" s="242"/>
      <c r="M1042" s="242"/>
      <c r="N1042" s="242"/>
      <c r="O1042" s="242"/>
      <c r="P1042" s="497"/>
      <c r="Q1042" s="496"/>
      <c r="R1042" s="503"/>
      <c r="S1042" s="504"/>
      <c r="T1042" s="505"/>
      <c r="U1042" s="504"/>
      <c r="V1042" s="504"/>
      <c r="W1042" s="77"/>
      <c r="X1042" s="77"/>
      <c r="Y1042" s="77"/>
      <c r="Z1042" s="77"/>
      <c r="AA1042" s="409"/>
      <c r="AB1042" s="506"/>
    </row>
    <row r="1043" spans="1:28" s="457" customFormat="1" ht="18" customHeight="1" x14ac:dyDescent="0.2">
      <c r="A1043" s="242"/>
      <c r="B1043" s="242"/>
      <c r="C1043" s="496"/>
      <c r="D1043" s="144"/>
      <c r="E1043" s="144"/>
      <c r="F1043" s="411"/>
      <c r="G1043" s="242"/>
      <c r="H1043" s="497"/>
      <c r="I1043" s="77"/>
      <c r="J1043" s="107"/>
      <c r="K1043" s="78"/>
      <c r="L1043" s="242"/>
      <c r="M1043" s="242"/>
      <c r="N1043" s="242"/>
      <c r="O1043" s="242"/>
      <c r="P1043" s="497"/>
      <c r="Q1043" s="496"/>
      <c r="R1043" s="503"/>
      <c r="S1043" s="504"/>
      <c r="T1043" s="505"/>
      <c r="U1043" s="504"/>
      <c r="V1043" s="504"/>
      <c r="W1043" s="77"/>
      <c r="X1043" s="77"/>
      <c r="Y1043" s="77"/>
      <c r="Z1043" s="77"/>
      <c r="AA1043" s="409"/>
      <c r="AB1043" s="506"/>
    </row>
    <row r="1044" spans="1:28" s="457" customFormat="1" ht="18" customHeight="1" x14ac:dyDescent="0.2">
      <c r="A1044" s="242"/>
      <c r="B1044" s="242"/>
      <c r="C1044" s="496"/>
      <c r="D1044" s="88"/>
      <c r="E1044" s="144"/>
      <c r="F1044" s="411"/>
      <c r="G1044" s="242"/>
      <c r="H1044" s="497"/>
      <c r="I1044" s="77"/>
      <c r="J1044" s="107"/>
      <c r="K1044" s="78"/>
      <c r="L1044" s="242"/>
      <c r="M1044" s="242"/>
      <c r="N1044" s="242"/>
      <c r="O1044" s="242"/>
      <c r="P1044" s="497"/>
      <c r="Q1044" s="496"/>
      <c r="R1044" s="503"/>
      <c r="S1044" s="504"/>
      <c r="T1044" s="505"/>
      <c r="U1044" s="504"/>
      <c r="V1044" s="504"/>
      <c r="W1044" s="77"/>
      <c r="X1044" s="77"/>
      <c r="Y1044" s="77"/>
      <c r="Z1044" s="77"/>
      <c r="AA1044" s="409"/>
      <c r="AB1044" s="506"/>
    </row>
    <row r="1045" spans="1:28" s="457" customFormat="1" ht="18" customHeight="1" x14ac:dyDescent="0.2">
      <c r="A1045" s="242"/>
      <c r="B1045" s="242"/>
      <c r="C1045" s="496"/>
      <c r="D1045" s="231"/>
      <c r="E1045" s="88"/>
      <c r="F1045" s="411"/>
      <c r="G1045" s="242"/>
      <c r="H1045" s="497"/>
      <c r="I1045" s="77"/>
      <c r="J1045" s="107"/>
      <c r="K1045" s="78"/>
      <c r="L1045" s="242"/>
      <c r="M1045" s="242"/>
      <c r="N1045" s="242"/>
      <c r="O1045" s="242"/>
      <c r="P1045" s="497"/>
      <c r="Q1045" s="496"/>
      <c r="R1045" s="503"/>
      <c r="S1045" s="504"/>
      <c r="T1045" s="505"/>
      <c r="U1045" s="504"/>
      <c r="V1045" s="504"/>
      <c r="W1045" s="77"/>
      <c r="X1045" s="77"/>
      <c r="Y1045" s="77"/>
      <c r="Z1045" s="77"/>
      <c r="AA1045" s="409"/>
      <c r="AB1045" s="506"/>
    </row>
    <row r="1046" spans="1:28" s="457" customFormat="1" ht="18" customHeight="1" x14ac:dyDescent="0.2">
      <c r="A1046" s="242"/>
      <c r="B1046" s="242"/>
      <c r="C1046" s="496"/>
      <c r="D1046" s="144"/>
      <c r="E1046" s="88"/>
      <c r="F1046" s="411"/>
      <c r="G1046" s="242"/>
      <c r="H1046" s="497"/>
      <c r="I1046" s="77"/>
      <c r="J1046" s="107"/>
      <c r="K1046" s="78"/>
      <c r="L1046" s="242"/>
      <c r="M1046" s="242"/>
      <c r="N1046" s="242"/>
      <c r="O1046" s="242"/>
      <c r="P1046" s="497"/>
      <c r="Q1046" s="496"/>
      <c r="R1046" s="503"/>
      <c r="S1046" s="504"/>
      <c r="T1046" s="505"/>
      <c r="U1046" s="504"/>
      <c r="V1046" s="504"/>
      <c r="W1046" s="77"/>
      <c r="X1046" s="77"/>
      <c r="Y1046" s="77"/>
      <c r="Z1046" s="77"/>
      <c r="AA1046" s="409"/>
      <c r="AB1046" s="506"/>
    </row>
    <row r="1047" spans="1:28" s="457" customFormat="1" ht="18" customHeight="1" x14ac:dyDescent="0.2">
      <c r="A1047" s="242"/>
      <c r="B1047" s="242"/>
      <c r="C1047" s="496"/>
      <c r="D1047" s="88"/>
      <c r="E1047" s="231"/>
      <c r="F1047" s="411"/>
      <c r="G1047" s="242"/>
      <c r="H1047" s="497"/>
      <c r="I1047" s="77"/>
      <c r="J1047" s="107"/>
      <c r="K1047" s="78"/>
      <c r="L1047" s="242"/>
      <c r="M1047" s="242"/>
      <c r="N1047" s="242"/>
      <c r="O1047" s="242"/>
      <c r="P1047" s="497"/>
      <c r="Q1047" s="496"/>
      <c r="R1047" s="503"/>
      <c r="S1047" s="504"/>
      <c r="T1047" s="505"/>
      <c r="U1047" s="504"/>
      <c r="V1047" s="504"/>
      <c r="W1047" s="77"/>
      <c r="X1047" s="77"/>
      <c r="Y1047" s="77"/>
      <c r="Z1047" s="77"/>
      <c r="AA1047" s="409"/>
      <c r="AB1047" s="506"/>
    </row>
    <row r="1048" spans="1:28" s="457" customFormat="1" ht="18" customHeight="1" x14ac:dyDescent="0.2">
      <c r="A1048" s="242"/>
      <c r="B1048" s="242"/>
      <c r="C1048" s="496"/>
      <c r="D1048" s="88"/>
      <c r="E1048" s="144"/>
      <c r="F1048" s="411"/>
      <c r="G1048" s="242"/>
      <c r="H1048" s="497"/>
      <c r="I1048" s="77"/>
      <c r="J1048" s="107"/>
      <c r="K1048" s="78"/>
      <c r="L1048" s="242"/>
      <c r="M1048" s="242"/>
      <c r="N1048" s="242"/>
      <c r="O1048" s="242"/>
      <c r="P1048" s="497"/>
      <c r="Q1048" s="496"/>
      <c r="R1048" s="503"/>
      <c r="S1048" s="504"/>
      <c r="T1048" s="505"/>
      <c r="U1048" s="504"/>
      <c r="V1048" s="504"/>
      <c r="W1048" s="77"/>
      <c r="X1048" s="77"/>
      <c r="Y1048" s="77"/>
      <c r="Z1048" s="77"/>
      <c r="AA1048" s="409"/>
      <c r="AB1048" s="506"/>
    </row>
    <row r="1049" spans="1:28" s="457" customFormat="1" ht="18" customHeight="1" x14ac:dyDescent="0.2">
      <c r="A1049" s="242"/>
      <c r="B1049" s="242"/>
      <c r="C1049" s="496"/>
      <c r="D1049" s="88"/>
      <c r="E1049" s="88"/>
      <c r="F1049" s="411"/>
      <c r="G1049" s="242"/>
      <c r="H1049" s="497"/>
      <c r="I1049" s="77"/>
      <c r="J1049" s="107"/>
      <c r="K1049" s="78"/>
      <c r="L1049" s="242"/>
      <c r="M1049" s="242"/>
      <c r="N1049" s="242"/>
      <c r="O1049" s="242"/>
      <c r="P1049" s="497"/>
      <c r="Q1049" s="496"/>
      <c r="R1049" s="503"/>
      <c r="S1049" s="504"/>
      <c r="T1049" s="505"/>
      <c r="U1049" s="504"/>
      <c r="V1049" s="504"/>
      <c r="W1049" s="77"/>
      <c r="X1049" s="77"/>
      <c r="Y1049" s="77"/>
      <c r="Z1049" s="77"/>
      <c r="AA1049" s="409"/>
      <c r="AB1049" s="506"/>
    </row>
    <row r="1050" spans="1:28" s="597" customFormat="1" ht="18" customHeight="1" x14ac:dyDescent="0.2">
      <c r="A1050" s="1850"/>
      <c r="B1050" s="1850"/>
      <c r="C1050" s="1850"/>
      <c r="D1050" s="1850"/>
      <c r="E1050" s="1850"/>
      <c r="F1050" s="1850"/>
      <c r="G1050" s="1850"/>
      <c r="H1050" s="1851"/>
      <c r="I1050" s="1852"/>
      <c r="J1050" s="1853"/>
      <c r="K1050" s="1852"/>
      <c r="L1050" s="1852"/>
      <c r="M1050" s="1852"/>
      <c r="N1050" s="1852"/>
      <c r="O1050" s="1852"/>
      <c r="P1050" s="1852"/>
      <c r="Q1050" s="1852"/>
      <c r="R1050" s="1854"/>
      <c r="S1050" s="1852"/>
      <c r="T1050" s="1855"/>
      <c r="U1050" s="1853"/>
      <c r="V1050" s="1852"/>
      <c r="W1050" s="1852"/>
      <c r="X1050" s="1856"/>
      <c r="Y1050" s="1856"/>
      <c r="Z1050" s="1857"/>
      <c r="AA1050" s="1857"/>
      <c r="AB1050" s="1847">
        <f>SUM(AB1035:AB1049)</f>
        <v>2035.2</v>
      </c>
    </row>
    <row r="1051" spans="1:28" s="457" customFormat="1" ht="18" customHeight="1" x14ac:dyDescent="0.2">
      <c r="A1051" s="2737" t="s">
        <v>76</v>
      </c>
      <c r="B1051" s="2737"/>
      <c r="C1051" s="2738" t="s">
        <v>77</v>
      </c>
      <c r="D1051" s="2738"/>
      <c r="E1051" s="2738"/>
      <c r="F1051" s="2738"/>
      <c r="G1051" s="2738"/>
      <c r="H1051" s="2738"/>
      <c r="I1051" s="457" t="s">
        <v>78</v>
      </c>
      <c r="AB1051" s="478"/>
    </row>
    <row r="1052" spans="1:28" s="457" customFormat="1" ht="18" customHeight="1" x14ac:dyDescent="0.2">
      <c r="B1052" s="479"/>
      <c r="I1052" s="457" t="s">
        <v>79</v>
      </c>
      <c r="AB1052" s="478"/>
    </row>
    <row r="1053" spans="1:28" s="457" customFormat="1" ht="18" customHeight="1" x14ac:dyDescent="0.2">
      <c r="B1053" s="479"/>
      <c r="I1053" s="457" t="s">
        <v>80</v>
      </c>
      <c r="AB1053" s="478"/>
    </row>
    <row r="1054" spans="1:28" s="457" customFormat="1" ht="18" customHeight="1" x14ac:dyDescent="0.2">
      <c r="B1054" s="479"/>
      <c r="I1054" s="457" t="s">
        <v>81</v>
      </c>
      <c r="AB1054" s="478"/>
    </row>
    <row r="1055" spans="1:28" s="457" customFormat="1" ht="18" customHeight="1" x14ac:dyDescent="0.2">
      <c r="B1055" s="479"/>
      <c r="I1055" s="457" t="s">
        <v>88</v>
      </c>
      <c r="AB1055" s="478"/>
    </row>
    <row r="1056" spans="1:28" s="457" customFormat="1" ht="18" customHeight="1" x14ac:dyDescent="0.2">
      <c r="A1056" s="455"/>
      <c r="B1056" s="455"/>
      <c r="C1056" s="455"/>
      <c r="D1056" s="455"/>
      <c r="E1056" s="455"/>
      <c r="F1056" s="455"/>
      <c r="G1056" s="455"/>
      <c r="H1056" s="455"/>
      <c r="I1056" s="455"/>
      <c r="J1056" s="455"/>
      <c r="K1056" s="455"/>
      <c r="L1056" s="455"/>
      <c r="M1056" s="455"/>
      <c r="N1056" s="455"/>
      <c r="O1056" s="455"/>
      <c r="P1056" s="455"/>
      <c r="Q1056" s="455"/>
      <c r="R1056" s="455"/>
      <c r="S1056" s="455"/>
      <c r="T1056" s="455"/>
      <c r="U1056" s="455"/>
      <c r="V1056" s="455"/>
      <c r="W1056" s="455"/>
      <c r="X1056" s="455"/>
      <c r="Y1056" s="455"/>
      <c r="Z1056" s="455"/>
      <c r="AA1056" s="2705" t="s">
        <v>0</v>
      </c>
      <c r="AB1056" s="2705"/>
    </row>
    <row r="1057" spans="1:28" s="457" customFormat="1" ht="18" customHeight="1" x14ac:dyDescent="0.2">
      <c r="A1057" s="2706" t="s">
        <v>1</v>
      </c>
      <c r="B1057" s="2706"/>
      <c r="C1057" s="2706"/>
      <c r="D1057" s="2706"/>
      <c r="E1057" s="2706"/>
      <c r="F1057" s="2706"/>
      <c r="G1057" s="2706"/>
      <c r="H1057" s="2706"/>
      <c r="I1057" s="2706"/>
      <c r="J1057" s="2706"/>
      <c r="K1057" s="2706"/>
      <c r="L1057" s="2706"/>
      <c r="M1057" s="2706"/>
      <c r="N1057" s="2706"/>
      <c r="O1057" s="2706"/>
      <c r="P1057" s="2706"/>
      <c r="Q1057" s="2706"/>
      <c r="R1057" s="2706"/>
      <c r="S1057" s="2706"/>
      <c r="T1057" s="2706"/>
      <c r="U1057" s="2706"/>
      <c r="V1057" s="2706"/>
      <c r="W1057" s="2706"/>
      <c r="X1057" s="2706"/>
      <c r="Y1057" s="2706"/>
      <c r="Z1057" s="2706"/>
      <c r="AA1057" s="2706"/>
      <c r="AB1057" s="2706"/>
    </row>
    <row r="1058" spans="1:28" s="457" customFormat="1" ht="18" customHeight="1" x14ac:dyDescent="0.2">
      <c r="A1058" s="2704" t="s">
        <v>404</v>
      </c>
      <c r="B1058" s="2704"/>
      <c r="C1058" s="2704"/>
      <c r="D1058" s="2704"/>
      <c r="E1058" s="2704"/>
      <c r="F1058" s="2704"/>
      <c r="G1058" s="2704"/>
      <c r="H1058" s="2704"/>
      <c r="I1058" s="2704"/>
      <c r="J1058" s="2704"/>
      <c r="K1058" s="2704"/>
      <c r="L1058" s="2704"/>
      <c r="M1058" s="2704"/>
      <c r="N1058" s="2704"/>
      <c r="O1058" s="2704"/>
      <c r="P1058" s="2704"/>
      <c r="Q1058" s="2704"/>
      <c r="R1058" s="2704"/>
      <c r="S1058" s="2704"/>
      <c r="T1058" s="2704"/>
      <c r="U1058" s="2704"/>
      <c r="V1058" s="2704"/>
      <c r="W1058" s="2704"/>
      <c r="X1058" s="2704"/>
      <c r="Y1058" s="2704"/>
      <c r="Z1058" s="2704"/>
      <c r="AA1058" s="2704"/>
      <c r="AB1058" s="2704"/>
    </row>
    <row r="1059" spans="1:28" s="457" customFormat="1" ht="18" customHeight="1" x14ac:dyDescent="0.2">
      <c r="A1059" s="2686" t="s">
        <v>2</v>
      </c>
      <c r="B1059" s="360"/>
      <c r="C1059" s="2686" t="s">
        <v>3</v>
      </c>
      <c r="D1059" s="360"/>
      <c r="E1059" s="360"/>
      <c r="F1059" s="2693" t="s">
        <v>4</v>
      </c>
      <c r="G1059" s="2693"/>
      <c r="H1059" s="2693"/>
      <c r="I1059" s="2694"/>
      <c r="J1059" s="2694"/>
      <c r="K1059" s="2695"/>
      <c r="L1059" s="361"/>
      <c r="M1059" s="2679" t="s">
        <v>5</v>
      </c>
      <c r="N1059" s="2679"/>
      <c r="O1059" s="2679"/>
      <c r="P1059" s="2679"/>
      <c r="Q1059" s="2696"/>
      <c r="R1059" s="2696"/>
      <c r="S1059" s="2696"/>
      <c r="T1059" s="2696"/>
      <c r="U1059" s="2696"/>
      <c r="V1059" s="2697"/>
      <c r="W1059" s="362" t="s">
        <v>6</v>
      </c>
      <c r="X1059" s="363" t="s">
        <v>7</v>
      </c>
      <c r="Y1059" s="364"/>
      <c r="Z1059" s="364"/>
      <c r="AA1059" s="363"/>
      <c r="AB1059" s="458"/>
    </row>
    <row r="1060" spans="1:28" s="457" customFormat="1" ht="18" customHeight="1" x14ac:dyDescent="0.2">
      <c r="A1060" s="2687"/>
      <c r="B1060" s="367"/>
      <c r="C1060" s="2687"/>
      <c r="D1060" s="366" t="s">
        <v>9</v>
      </c>
      <c r="E1060" s="366" t="s">
        <v>10</v>
      </c>
      <c r="F1060" s="2698" t="s">
        <v>11</v>
      </c>
      <c r="G1060" s="2694"/>
      <c r="H1060" s="2695"/>
      <c r="I1060" s="360"/>
      <c r="J1060" s="449" t="s">
        <v>12</v>
      </c>
      <c r="K1060" s="360"/>
      <c r="L1060" s="2679" t="s">
        <v>2</v>
      </c>
      <c r="M1060" s="370"/>
      <c r="N1060" s="370"/>
      <c r="O1060" s="370"/>
      <c r="P1060" s="371"/>
      <c r="Q1060" s="459" t="s">
        <v>13</v>
      </c>
      <c r="R1060" s="370" t="s">
        <v>12</v>
      </c>
      <c r="S1060" s="370" t="s">
        <v>6</v>
      </c>
      <c r="T1060" s="2682" t="s">
        <v>14</v>
      </c>
      <c r="U1060" s="2683"/>
      <c r="V1060" s="375" t="s">
        <v>7</v>
      </c>
      <c r="W1060" s="376" t="s">
        <v>15</v>
      </c>
      <c r="X1060" s="377" t="s">
        <v>16</v>
      </c>
      <c r="Y1060" s="377" t="s">
        <v>17</v>
      </c>
      <c r="Z1060" s="377" t="s">
        <v>18</v>
      </c>
      <c r="AA1060" s="377"/>
      <c r="AB1060" s="460" t="s">
        <v>19</v>
      </c>
    </row>
    <row r="1061" spans="1:28" s="457" customFormat="1" ht="18" customHeight="1" x14ac:dyDescent="0.2">
      <c r="A1061" s="2687"/>
      <c r="B1061" s="366" t="s">
        <v>23</v>
      </c>
      <c r="C1061" s="2687"/>
      <c r="D1061" s="366" t="s">
        <v>24</v>
      </c>
      <c r="E1061" s="366" t="s">
        <v>25</v>
      </c>
      <c r="F1061" s="2699"/>
      <c r="G1061" s="2700"/>
      <c r="H1061" s="2701"/>
      <c r="I1061" s="366" t="s">
        <v>26</v>
      </c>
      <c r="J1061" s="380" t="s">
        <v>15</v>
      </c>
      <c r="K1061" s="380" t="s">
        <v>6</v>
      </c>
      <c r="L1061" s="2680"/>
      <c r="M1061" s="381" t="s">
        <v>27</v>
      </c>
      <c r="N1061" s="381" t="s">
        <v>10</v>
      </c>
      <c r="O1061" s="381" t="s">
        <v>10</v>
      </c>
      <c r="P1061" s="385" t="s">
        <v>28</v>
      </c>
      <c r="Q1061" s="461" t="s">
        <v>29</v>
      </c>
      <c r="R1061" s="385" t="s">
        <v>15</v>
      </c>
      <c r="S1061" s="385" t="s">
        <v>15</v>
      </c>
      <c r="T1061" s="2684"/>
      <c r="U1061" s="2685"/>
      <c r="V1061" s="375" t="s">
        <v>30</v>
      </c>
      <c r="W1061" s="376" t="s">
        <v>31</v>
      </c>
      <c r="X1061" s="377" t="s">
        <v>30</v>
      </c>
      <c r="Y1061" s="377" t="s">
        <v>32</v>
      </c>
      <c r="Z1061" s="377" t="s">
        <v>7</v>
      </c>
      <c r="AA1061" s="377" t="s">
        <v>33</v>
      </c>
      <c r="AB1061" s="460" t="s">
        <v>34</v>
      </c>
    </row>
    <row r="1062" spans="1:28" s="457" customFormat="1" ht="18" customHeight="1" x14ac:dyDescent="0.2">
      <c r="A1062" s="2687"/>
      <c r="B1062" s="366" t="s">
        <v>39</v>
      </c>
      <c r="C1062" s="2687"/>
      <c r="D1062" s="366" t="s">
        <v>40</v>
      </c>
      <c r="E1062" s="366" t="s">
        <v>41</v>
      </c>
      <c r="F1062" s="2686" t="s">
        <v>42</v>
      </c>
      <c r="G1062" s="2686" t="s">
        <v>43</v>
      </c>
      <c r="H1062" s="2688" t="s">
        <v>44</v>
      </c>
      <c r="I1062" s="366" t="s">
        <v>45</v>
      </c>
      <c r="J1062" s="380" t="s">
        <v>46</v>
      </c>
      <c r="K1062" s="380" t="s">
        <v>47</v>
      </c>
      <c r="L1062" s="2680"/>
      <c r="M1062" s="381" t="s">
        <v>30</v>
      </c>
      <c r="N1062" s="381" t="s">
        <v>30</v>
      </c>
      <c r="O1062" s="381" t="s">
        <v>25</v>
      </c>
      <c r="P1062" s="385" t="s">
        <v>30</v>
      </c>
      <c r="Q1062" s="461" t="s">
        <v>48</v>
      </c>
      <c r="R1062" s="385" t="s">
        <v>49</v>
      </c>
      <c r="S1062" s="385" t="s">
        <v>30</v>
      </c>
      <c r="T1062" s="374" t="s">
        <v>50</v>
      </c>
      <c r="U1062" s="374" t="s">
        <v>13</v>
      </c>
      <c r="V1062" s="375" t="s">
        <v>51</v>
      </c>
      <c r="W1062" s="376" t="s">
        <v>52</v>
      </c>
      <c r="X1062" s="377" t="s">
        <v>53</v>
      </c>
      <c r="Y1062" s="377" t="s">
        <v>54</v>
      </c>
      <c r="Z1062" s="377" t="s">
        <v>55</v>
      </c>
      <c r="AA1062" s="377" t="s">
        <v>56</v>
      </c>
      <c r="AB1062" s="460" t="s">
        <v>57</v>
      </c>
    </row>
    <row r="1063" spans="1:28" s="457" customFormat="1" ht="18" customHeight="1" x14ac:dyDescent="0.2">
      <c r="A1063" s="2687"/>
      <c r="B1063" s="366" t="s">
        <v>61</v>
      </c>
      <c r="C1063" s="2687"/>
      <c r="D1063" s="366" t="s">
        <v>62</v>
      </c>
      <c r="E1063" s="366" t="s">
        <v>63</v>
      </c>
      <c r="F1063" s="2687"/>
      <c r="G1063" s="2687"/>
      <c r="H1063" s="2689"/>
      <c r="I1063" s="366" t="s">
        <v>64</v>
      </c>
      <c r="J1063" s="380" t="s">
        <v>59</v>
      </c>
      <c r="K1063" s="380" t="s">
        <v>59</v>
      </c>
      <c r="L1063" s="2680"/>
      <c r="M1063" s="381"/>
      <c r="N1063" s="381"/>
      <c r="O1063" s="381" t="s">
        <v>41</v>
      </c>
      <c r="P1063" s="385" t="s">
        <v>65</v>
      </c>
      <c r="Q1063" s="461" t="s">
        <v>66</v>
      </c>
      <c r="R1063" s="385" t="s">
        <v>67</v>
      </c>
      <c r="S1063" s="385" t="s">
        <v>59</v>
      </c>
      <c r="T1063" s="375" t="s">
        <v>68</v>
      </c>
      <c r="U1063" s="375" t="s">
        <v>14</v>
      </c>
      <c r="V1063" s="375" t="s">
        <v>14</v>
      </c>
      <c r="W1063" s="376" t="s">
        <v>30</v>
      </c>
      <c r="X1063" s="388" t="s">
        <v>69</v>
      </c>
      <c r="Y1063" s="388" t="s">
        <v>70</v>
      </c>
      <c r="Z1063" s="377" t="s">
        <v>71</v>
      </c>
      <c r="AA1063" s="377" t="s">
        <v>72</v>
      </c>
      <c r="AB1063" s="460" t="s">
        <v>59</v>
      </c>
    </row>
    <row r="1064" spans="1:28" s="457" customFormat="1" ht="18" customHeight="1" x14ac:dyDescent="0.2">
      <c r="A1064" s="2692"/>
      <c r="B1064" s="390"/>
      <c r="C1064" s="2692"/>
      <c r="D1064" s="390"/>
      <c r="E1064" s="389"/>
      <c r="F1064" s="390"/>
      <c r="G1064" s="390"/>
      <c r="H1064" s="391"/>
      <c r="I1064" s="389"/>
      <c r="J1064" s="393"/>
      <c r="K1064" s="393"/>
      <c r="L1064" s="2681"/>
      <c r="M1064" s="394"/>
      <c r="N1064" s="394"/>
      <c r="O1064" s="394" t="s">
        <v>63</v>
      </c>
      <c r="P1064" s="394"/>
      <c r="Q1064" s="450" t="s">
        <v>72</v>
      </c>
      <c r="R1064" s="398" t="s">
        <v>59</v>
      </c>
      <c r="S1064" s="398"/>
      <c r="T1064" s="398" t="s">
        <v>73</v>
      </c>
      <c r="U1064" s="398" t="s">
        <v>59</v>
      </c>
      <c r="V1064" s="399" t="s">
        <v>59</v>
      </c>
      <c r="W1064" s="400" t="s">
        <v>59</v>
      </c>
      <c r="X1064" s="401" t="s">
        <v>59</v>
      </c>
      <c r="Y1064" s="401" t="s">
        <v>59</v>
      </c>
      <c r="Z1064" s="401" t="s">
        <v>59</v>
      </c>
      <c r="AA1064" s="402"/>
      <c r="AB1064" s="462"/>
    </row>
    <row r="1065" spans="1:28" s="457" customFormat="1" ht="18" customHeight="1" x14ac:dyDescent="0.2">
      <c r="A1065" s="53">
        <v>1</v>
      </c>
      <c r="B1065" s="95">
        <v>31173</v>
      </c>
      <c r="C1065" s="82">
        <v>890</v>
      </c>
      <c r="D1065" s="153" t="s">
        <v>86</v>
      </c>
      <c r="E1065" s="145">
        <v>4</v>
      </c>
      <c r="F1065" s="82">
        <v>0</v>
      </c>
      <c r="G1065" s="82">
        <v>0</v>
      </c>
      <c r="H1065" s="463">
        <v>45</v>
      </c>
      <c r="I1065" s="77">
        <f>F1065*400+G1065*100+H1065</f>
        <v>45</v>
      </c>
      <c r="J1065" s="107">
        <v>1600</v>
      </c>
      <c r="K1065" s="78">
        <f>SUM(I1065*J1065)</f>
        <v>72000</v>
      </c>
      <c r="L1065" s="75"/>
      <c r="M1065" s="82"/>
      <c r="N1065" s="82"/>
      <c r="O1065" s="53"/>
      <c r="P1065" s="358"/>
      <c r="Q1065" s="197"/>
      <c r="R1065" s="444"/>
      <c r="S1065" s="70"/>
      <c r="T1065" s="82"/>
      <c r="U1065" s="70"/>
      <c r="V1065" s="70"/>
      <c r="W1065" s="70">
        <f>K1065+V1065</f>
        <v>72000</v>
      </c>
      <c r="X1065" s="70">
        <f>W1065</f>
        <v>72000</v>
      </c>
      <c r="Y1065" s="123">
        <v>0</v>
      </c>
      <c r="Z1065" s="70">
        <f>+X1065</f>
        <v>72000</v>
      </c>
      <c r="AA1065" s="464">
        <v>0.6</v>
      </c>
      <c r="AB1065" s="465">
        <f>+Z1065*AA1065/100</f>
        <v>432</v>
      </c>
    </row>
    <row r="1066" spans="1:28" s="457" customFormat="1" ht="18" customHeight="1" x14ac:dyDescent="0.2">
      <c r="A1066" s="242">
        <v>2</v>
      </c>
      <c r="B1066" s="242">
        <v>31181</v>
      </c>
      <c r="C1066" s="496" t="s">
        <v>204</v>
      </c>
      <c r="D1066" s="144" t="s">
        <v>86</v>
      </c>
      <c r="E1066" s="85">
        <v>4</v>
      </c>
      <c r="F1066" s="411">
        <v>0</v>
      </c>
      <c r="G1066" s="242">
        <v>0</v>
      </c>
      <c r="H1066" s="497">
        <v>54</v>
      </c>
      <c r="I1066" s="77">
        <f>F1066*400+G1066*100+H1066</f>
        <v>54</v>
      </c>
      <c r="J1066" s="107">
        <v>1600</v>
      </c>
      <c r="K1066" s="78">
        <f>SUM(I1066*J1066)</f>
        <v>86400</v>
      </c>
      <c r="L1066" s="75"/>
      <c r="M1066" s="145"/>
      <c r="N1066" s="145"/>
      <c r="O1066" s="61"/>
      <c r="P1066" s="177"/>
      <c r="Q1066" s="196"/>
      <c r="R1066" s="408"/>
      <c r="S1066" s="77"/>
      <c r="T1066" s="145"/>
      <c r="U1066" s="77"/>
      <c r="V1066" s="77"/>
      <c r="W1066" s="77">
        <f>K1066+V1066</f>
        <v>86400</v>
      </c>
      <c r="X1066" s="77">
        <f>W1066</f>
        <v>86400</v>
      </c>
      <c r="Y1066" s="77">
        <v>0</v>
      </c>
      <c r="Z1066" s="77">
        <f>+X1066</f>
        <v>86400</v>
      </c>
      <c r="AA1066" s="409">
        <v>0.6</v>
      </c>
      <c r="AB1066" s="410">
        <f>+Z1066*AA1066/100</f>
        <v>518.4</v>
      </c>
    </row>
    <row r="1067" spans="1:28" s="457" customFormat="1" ht="18" customHeight="1" x14ac:dyDescent="0.2">
      <c r="A1067" s="242">
        <v>3</v>
      </c>
      <c r="B1067" s="242">
        <v>32248</v>
      </c>
      <c r="C1067" s="496" t="s">
        <v>205</v>
      </c>
      <c r="D1067" s="144" t="s">
        <v>86</v>
      </c>
      <c r="E1067" s="85">
        <v>4</v>
      </c>
      <c r="F1067" s="411">
        <v>0</v>
      </c>
      <c r="G1067" s="242">
        <v>0</v>
      </c>
      <c r="H1067" s="497">
        <v>45</v>
      </c>
      <c r="I1067" s="77">
        <f>F1067*400+G1067*100+H1067</f>
        <v>45</v>
      </c>
      <c r="J1067" s="107">
        <v>1600</v>
      </c>
      <c r="K1067" s="78">
        <f>SUM(I1067*J1067)</f>
        <v>72000</v>
      </c>
      <c r="L1067" s="75"/>
      <c r="M1067" s="145"/>
      <c r="N1067" s="145"/>
      <c r="O1067" s="61"/>
      <c r="P1067" s="177"/>
      <c r="Q1067" s="196"/>
      <c r="R1067" s="408"/>
      <c r="S1067" s="77"/>
      <c r="T1067" s="145"/>
      <c r="U1067" s="77"/>
      <c r="V1067" s="77"/>
      <c r="W1067" s="77">
        <f>K1067+V1067</f>
        <v>72000</v>
      </c>
      <c r="X1067" s="77">
        <f>W1067</f>
        <v>72000</v>
      </c>
      <c r="Y1067" s="77">
        <v>0</v>
      </c>
      <c r="Z1067" s="77">
        <f>+X1067</f>
        <v>72000</v>
      </c>
      <c r="AA1067" s="409">
        <v>0.6</v>
      </c>
      <c r="AB1067" s="410">
        <f>+Z1067*AA1067/100</f>
        <v>432</v>
      </c>
    </row>
    <row r="1068" spans="1:28" s="457" customFormat="1" ht="18" customHeight="1" x14ac:dyDescent="0.2">
      <c r="A1068" s="242">
        <v>4</v>
      </c>
      <c r="B1068" s="242">
        <v>32249</v>
      </c>
      <c r="C1068" s="496" t="s">
        <v>206</v>
      </c>
      <c r="D1068" s="144" t="s">
        <v>86</v>
      </c>
      <c r="E1068" s="85">
        <v>4</v>
      </c>
      <c r="F1068" s="411">
        <v>0</v>
      </c>
      <c r="G1068" s="242">
        <v>0</v>
      </c>
      <c r="H1068" s="497">
        <v>97</v>
      </c>
      <c r="I1068" s="77">
        <f>F1068*400+G1068*100+H1068</f>
        <v>97</v>
      </c>
      <c r="J1068" s="107">
        <v>1600</v>
      </c>
      <c r="K1068" s="78">
        <f>SUM(I1068*J1068)</f>
        <v>155200</v>
      </c>
      <c r="L1068" s="242"/>
      <c r="M1068" s="242"/>
      <c r="N1068" s="242"/>
      <c r="O1068" s="242"/>
      <c r="P1068" s="497"/>
      <c r="Q1068" s="496"/>
      <c r="R1068" s="503"/>
      <c r="S1068" s="504"/>
      <c r="T1068" s="505"/>
      <c r="U1068" s="504"/>
      <c r="V1068" s="504"/>
      <c r="W1068" s="77">
        <f>K1068+V1068</f>
        <v>155200</v>
      </c>
      <c r="X1068" s="77">
        <f>W1068</f>
        <v>155200</v>
      </c>
      <c r="Y1068" s="77">
        <v>0</v>
      </c>
      <c r="Z1068" s="77">
        <f>+X1068</f>
        <v>155200</v>
      </c>
      <c r="AA1068" s="409">
        <v>0.6</v>
      </c>
      <c r="AB1068" s="410">
        <f>+Z1068*AA1068/100</f>
        <v>931.2</v>
      </c>
    </row>
    <row r="1069" spans="1:28" s="457" customFormat="1" ht="18" customHeight="1" x14ac:dyDescent="0.2">
      <c r="A1069" s="242">
        <v>5</v>
      </c>
      <c r="B1069" s="242">
        <v>34935</v>
      </c>
      <c r="C1069" s="496" t="s">
        <v>207</v>
      </c>
      <c r="D1069" s="88" t="s">
        <v>86</v>
      </c>
      <c r="E1069" s="85">
        <v>4</v>
      </c>
      <c r="F1069" s="411">
        <v>0</v>
      </c>
      <c r="G1069" s="242">
        <v>1</v>
      </c>
      <c r="H1069" s="497">
        <v>52</v>
      </c>
      <c r="I1069" s="77">
        <f>F1069*400+G1069*100+H1069</f>
        <v>152</v>
      </c>
      <c r="J1069" s="107">
        <v>1600</v>
      </c>
      <c r="K1069" s="78">
        <f>SUM(I1069*J1069)</f>
        <v>243200</v>
      </c>
      <c r="L1069" s="242"/>
      <c r="M1069" s="242"/>
      <c r="N1069" s="242"/>
      <c r="O1069" s="242"/>
      <c r="P1069" s="497"/>
      <c r="Q1069" s="496"/>
      <c r="R1069" s="503"/>
      <c r="S1069" s="504"/>
      <c r="T1069" s="505"/>
      <c r="U1069" s="504"/>
      <c r="V1069" s="504"/>
      <c r="W1069" s="77">
        <f>K1069+V1069</f>
        <v>243200</v>
      </c>
      <c r="X1069" s="77">
        <f>W1069</f>
        <v>243200</v>
      </c>
      <c r="Y1069" s="77">
        <v>0</v>
      </c>
      <c r="Z1069" s="77">
        <f>+X1069</f>
        <v>243200</v>
      </c>
      <c r="AA1069" s="409">
        <v>0.6</v>
      </c>
      <c r="AB1069" s="466">
        <f>+Z1069*AA1069/100</f>
        <v>1459.2</v>
      </c>
    </row>
    <row r="1070" spans="1:28" s="457" customFormat="1" ht="18" customHeight="1" x14ac:dyDescent="0.2">
      <c r="A1070" s="242"/>
      <c r="B1070" s="242"/>
      <c r="C1070" s="496"/>
      <c r="D1070" s="144"/>
      <c r="E1070" s="88"/>
      <c r="F1070" s="411"/>
      <c r="G1070" s="242"/>
      <c r="H1070" s="497"/>
      <c r="I1070" s="77"/>
      <c r="J1070" s="107"/>
      <c r="K1070" s="78"/>
      <c r="L1070" s="242"/>
      <c r="M1070" s="242"/>
      <c r="N1070" s="242"/>
      <c r="O1070" s="242"/>
      <c r="P1070" s="497"/>
      <c r="Q1070" s="496"/>
      <c r="R1070" s="503"/>
      <c r="S1070" s="504"/>
      <c r="T1070" s="505"/>
      <c r="U1070" s="504"/>
      <c r="V1070" s="504"/>
      <c r="W1070" s="77"/>
      <c r="X1070" s="77"/>
      <c r="Y1070" s="77"/>
      <c r="Z1070" s="77"/>
      <c r="AA1070" s="409"/>
      <c r="AB1070" s="506"/>
    </row>
    <row r="1071" spans="1:28" s="457" customFormat="1" ht="18" customHeight="1" x14ac:dyDescent="0.2">
      <c r="A1071" s="242"/>
      <c r="B1071" s="242"/>
      <c r="C1071" s="496"/>
      <c r="D1071" s="88"/>
      <c r="E1071" s="231"/>
      <c r="F1071" s="411"/>
      <c r="G1071" s="242"/>
      <c r="H1071" s="497"/>
      <c r="I1071" s="77"/>
      <c r="J1071" s="107"/>
      <c r="K1071" s="78"/>
      <c r="L1071" s="242"/>
      <c r="M1071" s="242"/>
      <c r="N1071" s="242"/>
      <c r="O1071" s="242"/>
      <c r="P1071" s="497"/>
      <c r="Q1071" s="496"/>
      <c r="R1071" s="503"/>
      <c r="S1071" s="504"/>
      <c r="T1071" s="505"/>
      <c r="U1071" s="504"/>
      <c r="V1071" s="504"/>
      <c r="W1071" s="77"/>
      <c r="X1071" s="77"/>
      <c r="Y1071" s="77"/>
      <c r="Z1071" s="77"/>
      <c r="AA1071" s="409"/>
      <c r="AB1071" s="506"/>
    </row>
    <row r="1072" spans="1:28" s="457" customFormat="1" ht="18" customHeight="1" x14ac:dyDescent="0.2">
      <c r="A1072" s="242"/>
      <c r="B1072" s="242"/>
      <c r="C1072" s="496"/>
      <c r="D1072" s="231"/>
      <c r="E1072" s="144"/>
      <c r="F1072" s="411"/>
      <c r="G1072" s="242"/>
      <c r="H1072" s="497"/>
      <c r="I1072" s="77"/>
      <c r="J1072" s="107"/>
      <c r="K1072" s="78"/>
      <c r="L1072" s="242"/>
      <c r="M1072" s="242"/>
      <c r="N1072" s="242"/>
      <c r="O1072" s="242"/>
      <c r="P1072" s="497"/>
      <c r="Q1072" s="496"/>
      <c r="R1072" s="503"/>
      <c r="S1072" s="504"/>
      <c r="T1072" s="505"/>
      <c r="U1072" s="504"/>
      <c r="V1072" s="504"/>
      <c r="W1072" s="77"/>
      <c r="X1072" s="77"/>
      <c r="Y1072" s="77"/>
      <c r="Z1072" s="77"/>
      <c r="AA1072" s="409"/>
      <c r="AB1072" s="506"/>
    </row>
    <row r="1073" spans="1:28" s="457" customFormat="1" ht="18" customHeight="1" x14ac:dyDescent="0.2">
      <c r="A1073" s="242"/>
      <c r="B1073" s="242"/>
      <c r="C1073" s="496"/>
      <c r="D1073" s="144"/>
      <c r="E1073" s="144"/>
      <c r="F1073" s="411"/>
      <c r="G1073" s="242"/>
      <c r="H1073" s="497"/>
      <c r="I1073" s="77"/>
      <c r="J1073" s="107"/>
      <c r="K1073" s="78"/>
      <c r="L1073" s="242"/>
      <c r="M1073" s="242"/>
      <c r="N1073" s="242"/>
      <c r="O1073" s="242"/>
      <c r="P1073" s="497"/>
      <c r="Q1073" s="496"/>
      <c r="R1073" s="503"/>
      <c r="S1073" s="504"/>
      <c r="T1073" s="505"/>
      <c r="U1073" s="504"/>
      <c r="V1073" s="504"/>
      <c r="W1073" s="77"/>
      <c r="X1073" s="77"/>
      <c r="Y1073" s="77"/>
      <c r="Z1073" s="77"/>
      <c r="AA1073" s="409"/>
      <c r="AB1073" s="506"/>
    </row>
    <row r="1074" spans="1:28" s="457" customFormat="1" ht="18" customHeight="1" x14ac:dyDescent="0.2">
      <c r="A1074" s="242"/>
      <c r="B1074" s="242"/>
      <c r="C1074" s="496"/>
      <c r="D1074" s="88"/>
      <c r="E1074" s="144"/>
      <c r="F1074" s="411"/>
      <c r="G1074" s="242"/>
      <c r="H1074" s="497"/>
      <c r="I1074" s="77"/>
      <c r="J1074" s="107"/>
      <c r="K1074" s="78"/>
      <c r="L1074" s="242"/>
      <c r="M1074" s="242"/>
      <c r="N1074" s="242"/>
      <c r="O1074" s="242"/>
      <c r="P1074" s="497"/>
      <c r="Q1074" s="496"/>
      <c r="R1074" s="503"/>
      <c r="S1074" s="504"/>
      <c r="T1074" s="505"/>
      <c r="U1074" s="504"/>
      <c r="V1074" s="504"/>
      <c r="W1074" s="77"/>
      <c r="X1074" s="77"/>
      <c r="Y1074" s="77"/>
      <c r="Z1074" s="77"/>
      <c r="AA1074" s="409"/>
      <c r="AB1074" s="506"/>
    </row>
    <row r="1075" spans="1:28" s="457" customFormat="1" ht="18" customHeight="1" x14ac:dyDescent="0.2">
      <c r="A1075" s="242"/>
      <c r="B1075" s="242"/>
      <c r="C1075" s="496"/>
      <c r="D1075" s="231"/>
      <c r="E1075" s="88"/>
      <c r="F1075" s="411"/>
      <c r="G1075" s="242"/>
      <c r="H1075" s="497"/>
      <c r="I1075" s="77"/>
      <c r="J1075" s="107"/>
      <c r="K1075" s="78"/>
      <c r="L1075" s="242"/>
      <c r="M1075" s="242"/>
      <c r="N1075" s="242"/>
      <c r="O1075" s="242"/>
      <c r="P1075" s="497"/>
      <c r="Q1075" s="496"/>
      <c r="R1075" s="503"/>
      <c r="S1075" s="504"/>
      <c r="T1075" s="505"/>
      <c r="U1075" s="504"/>
      <c r="V1075" s="504"/>
      <c r="W1075" s="77"/>
      <c r="X1075" s="77"/>
      <c r="Y1075" s="77"/>
      <c r="Z1075" s="77"/>
      <c r="AA1075" s="409"/>
      <c r="AB1075" s="506"/>
    </row>
    <row r="1076" spans="1:28" s="457" customFormat="1" ht="18" customHeight="1" x14ac:dyDescent="0.2">
      <c r="A1076" s="242"/>
      <c r="B1076" s="242"/>
      <c r="C1076" s="496"/>
      <c r="D1076" s="88"/>
      <c r="E1076" s="88"/>
      <c r="F1076" s="411"/>
      <c r="G1076" s="242"/>
      <c r="H1076" s="497"/>
      <c r="I1076" s="77"/>
      <c r="J1076" s="107"/>
      <c r="K1076" s="78"/>
      <c r="L1076" s="242"/>
      <c r="M1076" s="242"/>
      <c r="N1076" s="242"/>
      <c r="O1076" s="242"/>
      <c r="P1076" s="497"/>
      <c r="Q1076" s="496"/>
      <c r="R1076" s="503"/>
      <c r="S1076" s="504"/>
      <c r="T1076" s="505"/>
      <c r="U1076" s="504"/>
      <c r="V1076" s="504"/>
      <c r="W1076" s="77"/>
      <c r="X1076" s="77"/>
      <c r="Y1076" s="77"/>
      <c r="Z1076" s="77"/>
      <c r="AA1076" s="409"/>
      <c r="AB1076" s="506"/>
    </row>
    <row r="1077" spans="1:28" s="457" customFormat="1" ht="18" customHeight="1" x14ac:dyDescent="0.2">
      <c r="A1077" s="242"/>
      <c r="B1077" s="242"/>
      <c r="C1077" s="496"/>
      <c r="D1077" s="88"/>
      <c r="E1077" s="88"/>
      <c r="F1077" s="411"/>
      <c r="G1077" s="242"/>
      <c r="H1077" s="497"/>
      <c r="I1077" s="77"/>
      <c r="J1077" s="107"/>
      <c r="K1077" s="78"/>
      <c r="L1077" s="242"/>
      <c r="M1077" s="242"/>
      <c r="N1077" s="242"/>
      <c r="O1077" s="242"/>
      <c r="P1077" s="497"/>
      <c r="Q1077" s="496"/>
      <c r="R1077" s="503"/>
      <c r="S1077" s="504"/>
      <c r="T1077" s="505"/>
      <c r="U1077" s="504"/>
      <c r="V1077" s="504"/>
      <c r="W1077" s="77"/>
      <c r="X1077" s="77"/>
      <c r="Y1077" s="77"/>
      <c r="Z1077" s="77"/>
      <c r="AA1077" s="409"/>
      <c r="AB1077" s="506"/>
    </row>
    <row r="1078" spans="1:28" s="457" customFormat="1" ht="18" customHeight="1" x14ac:dyDescent="0.2">
      <c r="A1078" s="242"/>
      <c r="B1078" s="242"/>
      <c r="C1078" s="496"/>
      <c r="D1078" s="88"/>
      <c r="E1078" s="88"/>
      <c r="F1078" s="411"/>
      <c r="G1078" s="242"/>
      <c r="H1078" s="497"/>
      <c r="I1078" s="77"/>
      <c r="J1078" s="107"/>
      <c r="K1078" s="78"/>
      <c r="L1078" s="242"/>
      <c r="M1078" s="242"/>
      <c r="N1078" s="242"/>
      <c r="O1078" s="242"/>
      <c r="P1078" s="497"/>
      <c r="Q1078" s="496"/>
      <c r="R1078" s="503"/>
      <c r="S1078" s="504"/>
      <c r="T1078" s="505"/>
      <c r="U1078" s="504"/>
      <c r="V1078" s="504"/>
      <c r="W1078" s="77"/>
      <c r="X1078" s="77"/>
      <c r="Y1078" s="77"/>
      <c r="Z1078" s="77"/>
      <c r="AA1078" s="409"/>
      <c r="AB1078" s="506"/>
    </row>
    <row r="1079" spans="1:28" s="457" customFormat="1" ht="18" customHeight="1" x14ac:dyDescent="0.2">
      <c r="A1079" s="242"/>
      <c r="B1079" s="242"/>
      <c r="C1079" s="496"/>
      <c r="D1079" s="88"/>
      <c r="E1079" s="88"/>
      <c r="F1079" s="411"/>
      <c r="G1079" s="242"/>
      <c r="H1079" s="497"/>
      <c r="I1079" s="77"/>
      <c r="J1079" s="107"/>
      <c r="K1079" s="78"/>
      <c r="L1079" s="242"/>
      <c r="M1079" s="242"/>
      <c r="N1079" s="242"/>
      <c r="O1079" s="242"/>
      <c r="P1079" s="497"/>
      <c r="Q1079" s="496"/>
      <c r="R1079" s="503"/>
      <c r="S1079" s="504"/>
      <c r="T1079" s="505"/>
      <c r="U1079" s="504"/>
      <c r="V1079" s="504"/>
      <c r="W1079" s="77"/>
      <c r="X1079" s="77"/>
      <c r="Y1079" s="77"/>
      <c r="Z1079" s="77"/>
      <c r="AA1079" s="409"/>
      <c r="AB1079" s="506"/>
    </row>
    <row r="1080" spans="1:28" s="597" customFormat="1" ht="18" customHeight="1" x14ac:dyDescent="0.2">
      <c r="A1080" s="1850"/>
      <c r="B1080" s="1850"/>
      <c r="C1080" s="1850"/>
      <c r="D1080" s="1850"/>
      <c r="E1080" s="1850"/>
      <c r="F1080" s="1850"/>
      <c r="G1080" s="1850"/>
      <c r="H1080" s="1851"/>
      <c r="I1080" s="1852"/>
      <c r="J1080" s="1853"/>
      <c r="K1080" s="1852"/>
      <c r="L1080" s="1852"/>
      <c r="M1080" s="1852"/>
      <c r="N1080" s="1852"/>
      <c r="O1080" s="1852"/>
      <c r="P1080" s="1852"/>
      <c r="Q1080" s="1852"/>
      <c r="R1080" s="1854"/>
      <c r="S1080" s="1852"/>
      <c r="T1080" s="1855"/>
      <c r="U1080" s="1853"/>
      <c r="V1080" s="1852"/>
      <c r="W1080" s="1852"/>
      <c r="X1080" s="1856"/>
      <c r="Y1080" s="1856"/>
      <c r="Z1080" s="1857"/>
      <c r="AA1080" s="1857"/>
      <c r="AB1080" s="1847">
        <f>SUM(AB1065:AB1079)</f>
        <v>3772.8</v>
      </c>
    </row>
    <row r="1081" spans="1:28" s="457" customFormat="1" ht="18" customHeight="1" x14ac:dyDescent="0.2">
      <c r="A1081" s="2737" t="s">
        <v>76</v>
      </c>
      <c r="B1081" s="2737"/>
      <c r="C1081" s="2738" t="s">
        <v>77</v>
      </c>
      <c r="D1081" s="2738"/>
      <c r="E1081" s="2738"/>
      <c r="F1081" s="2738"/>
      <c r="G1081" s="2738"/>
      <c r="H1081" s="2738"/>
      <c r="I1081" s="457" t="s">
        <v>78</v>
      </c>
      <c r="AB1081" s="478"/>
    </row>
    <row r="1082" spans="1:28" s="457" customFormat="1" ht="18" customHeight="1" x14ac:dyDescent="0.2">
      <c r="B1082" s="479"/>
      <c r="I1082" s="457" t="s">
        <v>79</v>
      </c>
      <c r="AB1082" s="478"/>
    </row>
    <row r="1083" spans="1:28" s="457" customFormat="1" ht="18" customHeight="1" x14ac:dyDescent="0.2">
      <c r="B1083" s="479"/>
      <c r="I1083" s="457" t="s">
        <v>80</v>
      </c>
      <c r="AB1083" s="478"/>
    </row>
    <row r="1084" spans="1:28" s="457" customFormat="1" ht="18" customHeight="1" x14ac:dyDescent="0.2">
      <c r="B1084" s="479"/>
      <c r="I1084" s="457" t="s">
        <v>81</v>
      </c>
      <c r="AB1084" s="478"/>
    </row>
    <row r="1085" spans="1:28" s="457" customFormat="1" ht="18" customHeight="1" x14ac:dyDescent="0.2">
      <c r="B1085" s="479"/>
      <c r="I1085" s="457" t="s">
        <v>88</v>
      </c>
      <c r="AB1085" s="478"/>
    </row>
    <row r="1086" spans="1:28" s="457" customFormat="1" ht="18" customHeight="1" x14ac:dyDescent="0.2">
      <c r="A1086" s="455"/>
      <c r="B1086" s="455"/>
      <c r="C1086" s="455"/>
      <c r="D1086" s="455"/>
      <c r="E1086" s="455"/>
      <c r="F1086" s="455"/>
      <c r="G1086" s="455"/>
      <c r="H1086" s="455"/>
      <c r="I1086" s="455"/>
      <c r="J1086" s="455"/>
      <c r="K1086" s="455"/>
      <c r="L1086" s="455"/>
      <c r="M1086" s="455"/>
      <c r="N1086" s="455"/>
      <c r="O1086" s="455"/>
      <c r="P1086" s="455"/>
      <c r="Q1086" s="455"/>
      <c r="R1086" s="455"/>
      <c r="S1086" s="455"/>
      <c r="T1086" s="455"/>
      <c r="U1086" s="455"/>
      <c r="V1086" s="455"/>
      <c r="W1086" s="455"/>
      <c r="X1086" s="455"/>
      <c r="Y1086" s="455"/>
      <c r="Z1086" s="455"/>
      <c r="AA1086" s="2705" t="s">
        <v>0</v>
      </c>
      <c r="AB1086" s="2705"/>
    </row>
    <row r="1087" spans="1:28" s="457" customFormat="1" ht="18" customHeight="1" x14ac:dyDescent="0.2">
      <c r="A1087" s="2706" t="s">
        <v>1</v>
      </c>
      <c r="B1087" s="2706"/>
      <c r="C1087" s="2706"/>
      <c r="D1087" s="2706"/>
      <c r="E1087" s="2706"/>
      <c r="F1087" s="2706"/>
      <c r="G1087" s="2706"/>
      <c r="H1087" s="2706"/>
      <c r="I1087" s="2706"/>
      <c r="J1087" s="2706"/>
      <c r="K1087" s="2706"/>
      <c r="L1087" s="2706"/>
      <c r="M1087" s="2706"/>
      <c r="N1087" s="2706"/>
      <c r="O1087" s="2706"/>
      <c r="P1087" s="2706"/>
      <c r="Q1087" s="2706"/>
      <c r="R1087" s="2706"/>
      <c r="S1087" s="2706"/>
      <c r="T1087" s="2706"/>
      <c r="U1087" s="2706"/>
      <c r="V1087" s="2706"/>
      <c r="W1087" s="2706"/>
      <c r="X1087" s="2706"/>
      <c r="Y1087" s="2706"/>
      <c r="Z1087" s="2706"/>
      <c r="AA1087" s="2706"/>
      <c r="AB1087" s="2706"/>
    </row>
    <row r="1088" spans="1:28" s="457" customFormat="1" ht="18" customHeight="1" x14ac:dyDescent="0.2">
      <c r="A1088" s="2704" t="s">
        <v>405</v>
      </c>
      <c r="B1088" s="2704"/>
      <c r="C1088" s="2704"/>
      <c r="D1088" s="2704"/>
      <c r="E1088" s="2704"/>
      <c r="F1088" s="2704"/>
      <c r="G1088" s="2704"/>
      <c r="H1088" s="2704"/>
      <c r="I1088" s="2704"/>
      <c r="J1088" s="2704"/>
      <c r="K1088" s="2704"/>
      <c r="L1088" s="2704"/>
      <c r="M1088" s="2704"/>
      <c r="N1088" s="2704"/>
      <c r="O1088" s="2704"/>
      <c r="P1088" s="2704"/>
      <c r="Q1088" s="2704"/>
      <c r="R1088" s="2704"/>
      <c r="S1088" s="2704"/>
      <c r="T1088" s="2704"/>
      <c r="U1088" s="2704"/>
      <c r="V1088" s="2704"/>
      <c r="W1088" s="2704"/>
      <c r="X1088" s="2704"/>
      <c r="Y1088" s="2704"/>
      <c r="Z1088" s="2704"/>
      <c r="AA1088" s="2704"/>
      <c r="AB1088" s="2704"/>
    </row>
    <row r="1089" spans="1:28" s="457" customFormat="1" ht="18" customHeight="1" x14ac:dyDescent="0.2">
      <c r="A1089" s="2686" t="s">
        <v>2</v>
      </c>
      <c r="B1089" s="360"/>
      <c r="C1089" s="2686" t="s">
        <v>3</v>
      </c>
      <c r="D1089" s="360"/>
      <c r="E1089" s="360"/>
      <c r="F1089" s="2693" t="s">
        <v>4</v>
      </c>
      <c r="G1089" s="2693"/>
      <c r="H1089" s="2693"/>
      <c r="I1089" s="2694"/>
      <c r="J1089" s="2694"/>
      <c r="K1089" s="2695"/>
      <c r="L1089" s="361"/>
      <c r="M1089" s="2679" t="s">
        <v>5</v>
      </c>
      <c r="N1089" s="2679"/>
      <c r="O1089" s="2679"/>
      <c r="P1089" s="2679"/>
      <c r="Q1089" s="2696"/>
      <c r="R1089" s="2696"/>
      <c r="S1089" s="2696"/>
      <c r="T1089" s="2696"/>
      <c r="U1089" s="2696"/>
      <c r="V1089" s="2697"/>
      <c r="W1089" s="362" t="s">
        <v>6</v>
      </c>
      <c r="X1089" s="363" t="s">
        <v>7</v>
      </c>
      <c r="Y1089" s="364"/>
      <c r="Z1089" s="364"/>
      <c r="AA1089" s="363"/>
      <c r="AB1089" s="458"/>
    </row>
    <row r="1090" spans="1:28" s="457" customFormat="1" ht="18" customHeight="1" x14ac:dyDescent="0.2">
      <c r="A1090" s="2687"/>
      <c r="B1090" s="367"/>
      <c r="C1090" s="2687"/>
      <c r="D1090" s="366" t="s">
        <v>9</v>
      </c>
      <c r="E1090" s="366" t="s">
        <v>10</v>
      </c>
      <c r="F1090" s="2698" t="s">
        <v>11</v>
      </c>
      <c r="G1090" s="2694"/>
      <c r="H1090" s="2695"/>
      <c r="I1090" s="360"/>
      <c r="J1090" s="449" t="s">
        <v>12</v>
      </c>
      <c r="K1090" s="360"/>
      <c r="L1090" s="2679" t="s">
        <v>2</v>
      </c>
      <c r="M1090" s="370"/>
      <c r="N1090" s="370"/>
      <c r="O1090" s="370"/>
      <c r="P1090" s="371"/>
      <c r="Q1090" s="459" t="s">
        <v>13</v>
      </c>
      <c r="R1090" s="370" t="s">
        <v>12</v>
      </c>
      <c r="S1090" s="370" t="s">
        <v>6</v>
      </c>
      <c r="T1090" s="2682" t="s">
        <v>14</v>
      </c>
      <c r="U1090" s="2683"/>
      <c r="V1090" s="375" t="s">
        <v>7</v>
      </c>
      <c r="W1090" s="376" t="s">
        <v>15</v>
      </c>
      <c r="X1090" s="377" t="s">
        <v>16</v>
      </c>
      <c r="Y1090" s="377" t="s">
        <v>17</v>
      </c>
      <c r="Z1090" s="377" t="s">
        <v>18</v>
      </c>
      <c r="AA1090" s="377"/>
      <c r="AB1090" s="460" t="s">
        <v>19</v>
      </c>
    </row>
    <row r="1091" spans="1:28" s="457" customFormat="1" ht="18" customHeight="1" x14ac:dyDescent="0.2">
      <c r="A1091" s="2687"/>
      <c r="B1091" s="366" t="s">
        <v>23</v>
      </c>
      <c r="C1091" s="2687"/>
      <c r="D1091" s="366" t="s">
        <v>24</v>
      </c>
      <c r="E1091" s="366" t="s">
        <v>25</v>
      </c>
      <c r="F1091" s="2699"/>
      <c r="G1091" s="2700"/>
      <c r="H1091" s="2701"/>
      <c r="I1091" s="366" t="s">
        <v>26</v>
      </c>
      <c r="J1091" s="380" t="s">
        <v>15</v>
      </c>
      <c r="K1091" s="380" t="s">
        <v>6</v>
      </c>
      <c r="L1091" s="2680"/>
      <c r="M1091" s="381" t="s">
        <v>27</v>
      </c>
      <c r="N1091" s="381" t="s">
        <v>10</v>
      </c>
      <c r="O1091" s="381" t="s">
        <v>10</v>
      </c>
      <c r="P1091" s="385" t="s">
        <v>28</v>
      </c>
      <c r="Q1091" s="461" t="s">
        <v>29</v>
      </c>
      <c r="R1091" s="385" t="s">
        <v>15</v>
      </c>
      <c r="S1091" s="385" t="s">
        <v>15</v>
      </c>
      <c r="T1091" s="2684"/>
      <c r="U1091" s="2685"/>
      <c r="V1091" s="375" t="s">
        <v>30</v>
      </c>
      <c r="W1091" s="376" t="s">
        <v>31</v>
      </c>
      <c r="X1091" s="377" t="s">
        <v>30</v>
      </c>
      <c r="Y1091" s="377" t="s">
        <v>32</v>
      </c>
      <c r="Z1091" s="377" t="s">
        <v>7</v>
      </c>
      <c r="AA1091" s="377" t="s">
        <v>33</v>
      </c>
      <c r="AB1091" s="460" t="s">
        <v>34</v>
      </c>
    </row>
    <row r="1092" spans="1:28" s="457" customFormat="1" ht="18" customHeight="1" x14ac:dyDescent="0.2">
      <c r="A1092" s="2687"/>
      <c r="B1092" s="366" t="s">
        <v>39</v>
      </c>
      <c r="C1092" s="2687"/>
      <c r="D1092" s="366" t="s">
        <v>40</v>
      </c>
      <c r="E1092" s="366" t="s">
        <v>41</v>
      </c>
      <c r="F1092" s="2686" t="s">
        <v>42</v>
      </c>
      <c r="G1092" s="2686" t="s">
        <v>43</v>
      </c>
      <c r="H1092" s="2688" t="s">
        <v>44</v>
      </c>
      <c r="I1092" s="366" t="s">
        <v>45</v>
      </c>
      <c r="J1092" s="380" t="s">
        <v>46</v>
      </c>
      <c r="K1092" s="380" t="s">
        <v>47</v>
      </c>
      <c r="L1092" s="2680"/>
      <c r="M1092" s="381" t="s">
        <v>30</v>
      </c>
      <c r="N1092" s="381" t="s">
        <v>30</v>
      </c>
      <c r="O1092" s="381" t="s">
        <v>25</v>
      </c>
      <c r="P1092" s="385" t="s">
        <v>30</v>
      </c>
      <c r="Q1092" s="461" t="s">
        <v>48</v>
      </c>
      <c r="R1092" s="385" t="s">
        <v>49</v>
      </c>
      <c r="S1092" s="385" t="s">
        <v>30</v>
      </c>
      <c r="T1092" s="374" t="s">
        <v>50</v>
      </c>
      <c r="U1092" s="374" t="s">
        <v>13</v>
      </c>
      <c r="V1092" s="375" t="s">
        <v>51</v>
      </c>
      <c r="W1092" s="376" t="s">
        <v>52</v>
      </c>
      <c r="X1092" s="377" t="s">
        <v>53</v>
      </c>
      <c r="Y1092" s="377" t="s">
        <v>54</v>
      </c>
      <c r="Z1092" s="377" t="s">
        <v>55</v>
      </c>
      <c r="AA1092" s="377" t="s">
        <v>56</v>
      </c>
      <c r="AB1092" s="460" t="s">
        <v>57</v>
      </c>
    </row>
    <row r="1093" spans="1:28" s="457" customFormat="1" ht="18" customHeight="1" x14ac:dyDescent="0.2">
      <c r="A1093" s="2687"/>
      <c r="B1093" s="366" t="s">
        <v>61</v>
      </c>
      <c r="C1093" s="2687"/>
      <c r="D1093" s="366" t="s">
        <v>62</v>
      </c>
      <c r="E1093" s="366" t="s">
        <v>63</v>
      </c>
      <c r="F1093" s="2687"/>
      <c r="G1093" s="2687"/>
      <c r="H1093" s="2689"/>
      <c r="I1093" s="366" t="s">
        <v>64</v>
      </c>
      <c r="J1093" s="380" t="s">
        <v>59</v>
      </c>
      <c r="K1093" s="380" t="s">
        <v>59</v>
      </c>
      <c r="L1093" s="2680"/>
      <c r="M1093" s="381"/>
      <c r="N1093" s="381"/>
      <c r="O1093" s="381" t="s">
        <v>41</v>
      </c>
      <c r="P1093" s="385" t="s">
        <v>65</v>
      </c>
      <c r="Q1093" s="461" t="s">
        <v>66</v>
      </c>
      <c r="R1093" s="385" t="s">
        <v>67</v>
      </c>
      <c r="S1093" s="385" t="s">
        <v>59</v>
      </c>
      <c r="T1093" s="375" t="s">
        <v>68</v>
      </c>
      <c r="U1093" s="375" t="s">
        <v>14</v>
      </c>
      <c r="V1093" s="375" t="s">
        <v>14</v>
      </c>
      <c r="W1093" s="376" t="s">
        <v>30</v>
      </c>
      <c r="X1093" s="388" t="s">
        <v>69</v>
      </c>
      <c r="Y1093" s="388" t="s">
        <v>70</v>
      </c>
      <c r="Z1093" s="377" t="s">
        <v>71</v>
      </c>
      <c r="AA1093" s="377" t="s">
        <v>72</v>
      </c>
      <c r="AB1093" s="460" t="s">
        <v>59</v>
      </c>
    </row>
    <row r="1094" spans="1:28" s="457" customFormat="1" ht="18" customHeight="1" x14ac:dyDescent="0.2">
      <c r="A1094" s="2692"/>
      <c r="B1094" s="390"/>
      <c r="C1094" s="2692"/>
      <c r="D1094" s="390"/>
      <c r="E1094" s="389"/>
      <c r="F1094" s="390"/>
      <c r="G1094" s="390"/>
      <c r="H1094" s="391"/>
      <c r="I1094" s="389"/>
      <c r="J1094" s="393"/>
      <c r="K1094" s="393"/>
      <c r="L1094" s="2681"/>
      <c r="M1094" s="394"/>
      <c r="N1094" s="394"/>
      <c r="O1094" s="394" t="s">
        <v>63</v>
      </c>
      <c r="P1094" s="394"/>
      <c r="Q1094" s="450" t="s">
        <v>72</v>
      </c>
      <c r="R1094" s="398" t="s">
        <v>59</v>
      </c>
      <c r="S1094" s="398"/>
      <c r="T1094" s="398" t="s">
        <v>73</v>
      </c>
      <c r="U1094" s="398" t="s">
        <v>59</v>
      </c>
      <c r="V1094" s="399" t="s">
        <v>59</v>
      </c>
      <c r="W1094" s="400" t="s">
        <v>59</v>
      </c>
      <c r="X1094" s="401" t="s">
        <v>59</v>
      </c>
      <c r="Y1094" s="401" t="s">
        <v>59</v>
      </c>
      <c r="Z1094" s="401" t="s">
        <v>59</v>
      </c>
      <c r="AA1094" s="402"/>
      <c r="AB1094" s="462"/>
    </row>
    <row r="1095" spans="1:28" s="457" customFormat="1" ht="18" customHeight="1" x14ac:dyDescent="0.2">
      <c r="A1095" s="53">
        <v>1</v>
      </c>
      <c r="B1095" s="95">
        <v>31556</v>
      </c>
      <c r="C1095" s="82">
        <v>1221</v>
      </c>
      <c r="D1095" s="82" t="s">
        <v>86</v>
      </c>
      <c r="E1095" s="145">
        <v>4</v>
      </c>
      <c r="F1095" s="82">
        <v>0</v>
      </c>
      <c r="G1095" s="82">
        <v>0</v>
      </c>
      <c r="H1095" s="463">
        <v>56</v>
      </c>
      <c r="I1095" s="77">
        <f>F1095*400+G1095*100+H1095</f>
        <v>56</v>
      </c>
      <c r="J1095" s="107">
        <v>1100</v>
      </c>
      <c r="K1095" s="78">
        <f>SUM(I1095*J1095)</f>
        <v>61600</v>
      </c>
      <c r="L1095" s="75"/>
      <c r="M1095" s="82"/>
      <c r="N1095" s="82"/>
      <c r="O1095" s="53"/>
      <c r="P1095" s="358"/>
      <c r="Q1095" s="197"/>
      <c r="R1095" s="444"/>
      <c r="S1095" s="70"/>
      <c r="T1095" s="82"/>
      <c r="U1095" s="70"/>
      <c r="V1095" s="70"/>
      <c r="W1095" s="70">
        <f>K1095+V1095</f>
        <v>61600</v>
      </c>
      <c r="X1095" s="70">
        <f>W1095</f>
        <v>61600</v>
      </c>
      <c r="Y1095" s="123">
        <v>0</v>
      </c>
      <c r="Z1095" s="77">
        <f>+X1095</f>
        <v>61600</v>
      </c>
      <c r="AA1095" s="409">
        <v>0.6</v>
      </c>
      <c r="AB1095" s="465">
        <f>+Z1095*AA1095/100</f>
        <v>369.6</v>
      </c>
    </row>
    <row r="1096" spans="1:28" s="457" customFormat="1" ht="18" customHeight="1" x14ac:dyDescent="0.2">
      <c r="A1096" s="242"/>
      <c r="B1096" s="242"/>
      <c r="C1096" s="496"/>
      <c r="D1096" s="144"/>
      <c r="E1096" s="85"/>
      <c r="F1096" s="411"/>
      <c r="G1096" s="242"/>
      <c r="H1096" s="497"/>
      <c r="I1096" s="77"/>
      <c r="J1096" s="107"/>
      <c r="K1096" s="78"/>
      <c r="L1096" s="75"/>
      <c r="M1096" s="145"/>
      <c r="N1096" s="145"/>
      <c r="O1096" s="61"/>
      <c r="P1096" s="177"/>
      <c r="Q1096" s="196"/>
      <c r="R1096" s="408"/>
      <c r="S1096" s="77"/>
      <c r="T1096" s="145"/>
      <c r="U1096" s="77"/>
      <c r="V1096" s="77"/>
      <c r="W1096" s="77"/>
      <c r="X1096" s="77"/>
      <c r="Y1096" s="77"/>
      <c r="Z1096" s="77"/>
      <c r="AA1096" s="409"/>
      <c r="AB1096" s="410"/>
    </row>
    <row r="1097" spans="1:28" s="457" customFormat="1" ht="18" customHeight="1" x14ac:dyDescent="0.2">
      <c r="A1097" s="242"/>
      <c r="B1097" s="242"/>
      <c r="C1097" s="496"/>
      <c r="D1097" s="144"/>
      <c r="E1097" s="85"/>
      <c r="F1097" s="411"/>
      <c r="G1097" s="242"/>
      <c r="H1097" s="497"/>
      <c r="I1097" s="77"/>
      <c r="J1097" s="107"/>
      <c r="K1097" s="78"/>
      <c r="L1097" s="75"/>
      <c r="M1097" s="145"/>
      <c r="N1097" s="145"/>
      <c r="O1097" s="61"/>
      <c r="P1097" s="177"/>
      <c r="Q1097" s="196"/>
      <c r="R1097" s="408"/>
      <c r="S1097" s="77"/>
      <c r="T1097" s="145"/>
      <c r="U1097" s="77"/>
      <c r="V1097" s="77"/>
      <c r="W1097" s="77"/>
      <c r="X1097" s="77"/>
      <c r="Y1097" s="77"/>
      <c r="Z1097" s="77"/>
      <c r="AA1097" s="409"/>
      <c r="AB1097" s="410"/>
    </row>
    <row r="1098" spans="1:28" s="457" customFormat="1" ht="18" customHeight="1" x14ac:dyDescent="0.2">
      <c r="A1098" s="242"/>
      <c r="B1098" s="242"/>
      <c r="C1098" s="496"/>
      <c r="D1098" s="144"/>
      <c r="E1098" s="85"/>
      <c r="F1098" s="411"/>
      <c r="G1098" s="242"/>
      <c r="H1098" s="497"/>
      <c r="I1098" s="77"/>
      <c r="J1098" s="107"/>
      <c r="K1098" s="78"/>
      <c r="L1098" s="242"/>
      <c r="M1098" s="242"/>
      <c r="N1098" s="242"/>
      <c r="O1098" s="242"/>
      <c r="P1098" s="497"/>
      <c r="Q1098" s="496"/>
      <c r="R1098" s="503"/>
      <c r="S1098" s="504"/>
      <c r="T1098" s="505"/>
      <c r="U1098" s="504"/>
      <c r="V1098" s="504"/>
      <c r="W1098" s="77"/>
      <c r="X1098" s="77"/>
      <c r="Y1098" s="77"/>
      <c r="Z1098" s="77"/>
      <c r="AA1098" s="409"/>
      <c r="AB1098" s="410"/>
    </row>
    <row r="1099" spans="1:28" s="457" customFormat="1" ht="18" customHeight="1" x14ac:dyDescent="0.2">
      <c r="A1099" s="242"/>
      <c r="B1099" s="242"/>
      <c r="C1099" s="496"/>
      <c r="D1099" s="88"/>
      <c r="E1099" s="85"/>
      <c r="F1099" s="411"/>
      <c r="G1099" s="242"/>
      <c r="H1099" s="497"/>
      <c r="I1099" s="77"/>
      <c r="J1099" s="107"/>
      <c r="K1099" s="78"/>
      <c r="L1099" s="242"/>
      <c r="M1099" s="242"/>
      <c r="N1099" s="242"/>
      <c r="O1099" s="242"/>
      <c r="P1099" s="497"/>
      <c r="Q1099" s="496"/>
      <c r="R1099" s="503"/>
      <c r="S1099" s="504"/>
      <c r="T1099" s="505"/>
      <c r="U1099" s="504"/>
      <c r="V1099" s="504"/>
      <c r="W1099" s="77"/>
      <c r="X1099" s="77"/>
      <c r="Y1099" s="77"/>
      <c r="Z1099" s="77"/>
      <c r="AA1099" s="409"/>
      <c r="AB1099" s="466"/>
    </row>
    <row r="1100" spans="1:28" s="457" customFormat="1" ht="18" customHeight="1" x14ac:dyDescent="0.2">
      <c r="A1100" s="242"/>
      <c r="B1100" s="242"/>
      <c r="C1100" s="496"/>
      <c r="D1100" s="144"/>
      <c r="E1100" s="88"/>
      <c r="F1100" s="411"/>
      <c r="G1100" s="242"/>
      <c r="H1100" s="497"/>
      <c r="I1100" s="77"/>
      <c r="J1100" s="107"/>
      <c r="K1100" s="78"/>
      <c r="L1100" s="242"/>
      <c r="M1100" s="242"/>
      <c r="N1100" s="242"/>
      <c r="O1100" s="242"/>
      <c r="P1100" s="497"/>
      <c r="Q1100" s="496"/>
      <c r="R1100" s="503"/>
      <c r="S1100" s="504"/>
      <c r="T1100" s="505"/>
      <c r="U1100" s="504"/>
      <c r="V1100" s="504"/>
      <c r="W1100" s="77"/>
      <c r="X1100" s="77"/>
      <c r="Y1100" s="77"/>
      <c r="Z1100" s="77"/>
      <c r="AA1100" s="409"/>
      <c r="AB1100" s="506"/>
    </row>
    <row r="1101" spans="1:28" s="457" customFormat="1" ht="18" customHeight="1" x14ac:dyDescent="0.2">
      <c r="A1101" s="242"/>
      <c r="B1101" s="242"/>
      <c r="C1101" s="496"/>
      <c r="D1101" s="88"/>
      <c r="E1101" s="231"/>
      <c r="F1101" s="411"/>
      <c r="G1101" s="242"/>
      <c r="H1101" s="497"/>
      <c r="I1101" s="77"/>
      <c r="J1101" s="107"/>
      <c r="K1101" s="78"/>
      <c r="L1101" s="242"/>
      <c r="M1101" s="242"/>
      <c r="N1101" s="242"/>
      <c r="O1101" s="242"/>
      <c r="P1101" s="497"/>
      <c r="Q1101" s="496"/>
      <c r="R1101" s="503"/>
      <c r="S1101" s="504"/>
      <c r="T1101" s="505"/>
      <c r="U1101" s="504"/>
      <c r="V1101" s="504"/>
      <c r="W1101" s="77"/>
      <c r="X1101" s="77"/>
      <c r="Y1101" s="77"/>
      <c r="Z1101" s="77"/>
      <c r="AA1101" s="409"/>
      <c r="AB1101" s="506"/>
    </row>
    <row r="1102" spans="1:28" s="457" customFormat="1" ht="18" customHeight="1" x14ac:dyDescent="0.2">
      <c r="A1102" s="242"/>
      <c r="B1102" s="242"/>
      <c r="C1102" s="496"/>
      <c r="D1102" s="231"/>
      <c r="E1102" s="144"/>
      <c r="F1102" s="411"/>
      <c r="G1102" s="242"/>
      <c r="H1102" s="497"/>
      <c r="I1102" s="77"/>
      <c r="J1102" s="107"/>
      <c r="K1102" s="78"/>
      <c r="L1102" s="242"/>
      <c r="M1102" s="242"/>
      <c r="N1102" s="242"/>
      <c r="O1102" s="242"/>
      <c r="P1102" s="497"/>
      <c r="Q1102" s="496"/>
      <c r="R1102" s="503"/>
      <c r="S1102" s="504"/>
      <c r="T1102" s="505"/>
      <c r="U1102" s="504"/>
      <c r="V1102" s="504"/>
      <c r="W1102" s="77"/>
      <c r="X1102" s="77"/>
      <c r="Y1102" s="77"/>
      <c r="Z1102" s="77"/>
      <c r="AA1102" s="409"/>
      <c r="AB1102" s="506"/>
    </row>
    <row r="1103" spans="1:28" s="457" customFormat="1" ht="18" customHeight="1" x14ac:dyDescent="0.2">
      <c r="A1103" s="242"/>
      <c r="B1103" s="242"/>
      <c r="C1103" s="496"/>
      <c r="D1103" s="144"/>
      <c r="E1103" s="144"/>
      <c r="F1103" s="411"/>
      <c r="G1103" s="242"/>
      <c r="H1103" s="497"/>
      <c r="I1103" s="77"/>
      <c r="J1103" s="107"/>
      <c r="K1103" s="78"/>
      <c r="L1103" s="242"/>
      <c r="M1103" s="242"/>
      <c r="N1103" s="242"/>
      <c r="O1103" s="242"/>
      <c r="P1103" s="497"/>
      <c r="Q1103" s="496"/>
      <c r="R1103" s="503"/>
      <c r="S1103" s="504"/>
      <c r="T1103" s="505"/>
      <c r="U1103" s="504"/>
      <c r="V1103" s="504"/>
      <c r="W1103" s="77"/>
      <c r="X1103" s="77"/>
      <c r="Y1103" s="77"/>
      <c r="Z1103" s="77"/>
      <c r="AA1103" s="409"/>
      <c r="AB1103" s="506"/>
    </row>
    <row r="1104" spans="1:28" s="457" customFormat="1" ht="18" customHeight="1" x14ac:dyDescent="0.2">
      <c r="A1104" s="242"/>
      <c r="B1104" s="242"/>
      <c r="C1104" s="496"/>
      <c r="D1104" s="88"/>
      <c r="E1104" s="144"/>
      <c r="F1104" s="411"/>
      <c r="G1104" s="242"/>
      <c r="H1104" s="497"/>
      <c r="I1104" s="77"/>
      <c r="J1104" s="107"/>
      <c r="K1104" s="78"/>
      <c r="L1104" s="242"/>
      <c r="M1104" s="242"/>
      <c r="N1104" s="242"/>
      <c r="O1104" s="242"/>
      <c r="P1104" s="497"/>
      <c r="Q1104" s="496"/>
      <c r="R1104" s="503"/>
      <c r="S1104" s="504"/>
      <c r="T1104" s="505"/>
      <c r="U1104" s="504"/>
      <c r="V1104" s="504"/>
      <c r="W1104" s="77"/>
      <c r="X1104" s="77"/>
      <c r="Y1104" s="77"/>
      <c r="Z1104" s="77"/>
      <c r="AA1104" s="409"/>
      <c r="AB1104" s="506"/>
    </row>
    <row r="1105" spans="1:28" s="457" customFormat="1" ht="18" customHeight="1" x14ac:dyDescent="0.2">
      <c r="A1105" s="242"/>
      <c r="B1105" s="242"/>
      <c r="C1105" s="496"/>
      <c r="D1105" s="231"/>
      <c r="E1105" s="88"/>
      <c r="F1105" s="411"/>
      <c r="G1105" s="242"/>
      <c r="H1105" s="497"/>
      <c r="I1105" s="77"/>
      <c r="J1105" s="107"/>
      <c r="K1105" s="78"/>
      <c r="L1105" s="242"/>
      <c r="M1105" s="242"/>
      <c r="N1105" s="242"/>
      <c r="O1105" s="242"/>
      <c r="P1105" s="497"/>
      <c r="Q1105" s="496"/>
      <c r="R1105" s="503"/>
      <c r="S1105" s="504"/>
      <c r="T1105" s="505"/>
      <c r="U1105" s="504"/>
      <c r="V1105" s="504"/>
      <c r="W1105" s="77"/>
      <c r="X1105" s="77"/>
      <c r="Y1105" s="77"/>
      <c r="Z1105" s="77"/>
      <c r="AA1105" s="409"/>
      <c r="AB1105" s="506"/>
    </row>
    <row r="1106" spans="1:28" s="457" customFormat="1" ht="18" customHeight="1" x14ac:dyDescent="0.2">
      <c r="A1106" s="242"/>
      <c r="B1106" s="242"/>
      <c r="C1106" s="496"/>
      <c r="D1106" s="88"/>
      <c r="E1106" s="231"/>
      <c r="F1106" s="411"/>
      <c r="G1106" s="242"/>
      <c r="H1106" s="497"/>
      <c r="I1106" s="77"/>
      <c r="J1106" s="107"/>
      <c r="K1106" s="78"/>
      <c r="L1106" s="242"/>
      <c r="M1106" s="242"/>
      <c r="N1106" s="242"/>
      <c r="O1106" s="242"/>
      <c r="P1106" s="497"/>
      <c r="Q1106" s="496"/>
      <c r="R1106" s="503"/>
      <c r="S1106" s="504"/>
      <c r="T1106" s="505"/>
      <c r="U1106" s="504"/>
      <c r="V1106" s="504"/>
      <c r="W1106" s="77"/>
      <c r="X1106" s="77"/>
      <c r="Y1106" s="77"/>
      <c r="Z1106" s="77"/>
      <c r="AA1106" s="409"/>
      <c r="AB1106" s="506"/>
    </row>
    <row r="1107" spans="1:28" s="457" customFormat="1" ht="18" customHeight="1" x14ac:dyDescent="0.2">
      <c r="A1107" s="242"/>
      <c r="B1107" s="242"/>
      <c r="C1107" s="496"/>
      <c r="D1107" s="88"/>
      <c r="E1107" s="144"/>
      <c r="F1107" s="411"/>
      <c r="G1107" s="242"/>
      <c r="H1107" s="497"/>
      <c r="I1107" s="77"/>
      <c r="J1107" s="107"/>
      <c r="K1107" s="78"/>
      <c r="L1107" s="242"/>
      <c r="M1107" s="242"/>
      <c r="N1107" s="242"/>
      <c r="O1107" s="242"/>
      <c r="P1107" s="497"/>
      <c r="Q1107" s="496"/>
      <c r="R1107" s="503"/>
      <c r="S1107" s="504"/>
      <c r="T1107" s="505"/>
      <c r="U1107" s="504"/>
      <c r="V1107" s="504"/>
      <c r="W1107" s="77"/>
      <c r="X1107" s="77"/>
      <c r="Y1107" s="77"/>
      <c r="Z1107" s="77"/>
      <c r="AA1107" s="409"/>
      <c r="AB1107" s="506"/>
    </row>
    <row r="1108" spans="1:28" s="457" customFormat="1" ht="18" customHeight="1" x14ac:dyDescent="0.2">
      <c r="A1108" s="242"/>
      <c r="B1108" s="242"/>
      <c r="C1108" s="496"/>
      <c r="D1108" s="88"/>
      <c r="E1108" s="144"/>
      <c r="F1108" s="411"/>
      <c r="G1108" s="242"/>
      <c r="H1108" s="497"/>
      <c r="I1108" s="77"/>
      <c r="J1108" s="107"/>
      <c r="K1108" s="78"/>
      <c r="L1108" s="242"/>
      <c r="M1108" s="242"/>
      <c r="N1108" s="242"/>
      <c r="O1108" s="242"/>
      <c r="P1108" s="497"/>
      <c r="Q1108" s="496"/>
      <c r="R1108" s="503"/>
      <c r="S1108" s="504"/>
      <c r="T1108" s="505"/>
      <c r="U1108" s="504"/>
      <c r="V1108" s="504"/>
      <c r="W1108" s="77"/>
      <c r="X1108" s="77"/>
      <c r="Y1108" s="77"/>
      <c r="Z1108" s="77"/>
      <c r="AA1108" s="409"/>
      <c r="AB1108" s="506"/>
    </row>
    <row r="1109" spans="1:28" s="457" customFormat="1" ht="18" customHeight="1" x14ac:dyDescent="0.2">
      <c r="A1109" s="242"/>
      <c r="B1109" s="242"/>
      <c r="C1109" s="496"/>
      <c r="D1109" s="88"/>
      <c r="E1109" s="88"/>
      <c r="F1109" s="411"/>
      <c r="G1109" s="242"/>
      <c r="H1109" s="497"/>
      <c r="I1109" s="77"/>
      <c r="J1109" s="107"/>
      <c r="K1109" s="78"/>
      <c r="L1109" s="242"/>
      <c r="M1109" s="242"/>
      <c r="N1109" s="242"/>
      <c r="O1109" s="242"/>
      <c r="P1109" s="497"/>
      <c r="Q1109" s="496"/>
      <c r="R1109" s="503"/>
      <c r="S1109" s="504"/>
      <c r="T1109" s="505"/>
      <c r="U1109" s="504"/>
      <c r="V1109" s="504"/>
      <c r="W1109" s="77"/>
      <c r="X1109" s="77"/>
      <c r="Y1109" s="77"/>
      <c r="Z1109" s="77"/>
      <c r="AA1109" s="409"/>
      <c r="AB1109" s="506"/>
    </row>
    <row r="1110" spans="1:28" s="597" customFormat="1" ht="18" customHeight="1" x14ac:dyDescent="0.2">
      <c r="A1110" s="1850"/>
      <c r="B1110" s="1850"/>
      <c r="C1110" s="1850"/>
      <c r="D1110" s="1850"/>
      <c r="E1110" s="1850"/>
      <c r="F1110" s="1850"/>
      <c r="G1110" s="1850"/>
      <c r="H1110" s="1851"/>
      <c r="I1110" s="1852"/>
      <c r="J1110" s="1853"/>
      <c r="K1110" s="1852"/>
      <c r="L1110" s="1852"/>
      <c r="M1110" s="1852"/>
      <c r="N1110" s="1852"/>
      <c r="O1110" s="1852"/>
      <c r="P1110" s="1852"/>
      <c r="Q1110" s="1852"/>
      <c r="R1110" s="1854"/>
      <c r="S1110" s="1852"/>
      <c r="T1110" s="1855"/>
      <c r="U1110" s="1853"/>
      <c r="V1110" s="1852"/>
      <c r="W1110" s="1852"/>
      <c r="X1110" s="1856"/>
      <c r="Y1110" s="1856"/>
      <c r="Z1110" s="1857"/>
      <c r="AA1110" s="1857"/>
      <c r="AB1110" s="1847">
        <f>SUM(AB1095:AB1109)</f>
        <v>369.6</v>
      </c>
    </row>
    <row r="1111" spans="1:28" s="457" customFormat="1" ht="18" customHeight="1" x14ac:dyDescent="0.2">
      <c r="A1111" s="2737" t="s">
        <v>76</v>
      </c>
      <c r="B1111" s="2737"/>
      <c r="C1111" s="2738" t="s">
        <v>77</v>
      </c>
      <c r="D1111" s="2738"/>
      <c r="E1111" s="2738"/>
      <c r="F1111" s="2738"/>
      <c r="G1111" s="2738"/>
      <c r="H1111" s="2738"/>
      <c r="I1111" s="457" t="s">
        <v>78</v>
      </c>
      <c r="AB1111" s="478"/>
    </row>
    <row r="1112" spans="1:28" s="457" customFormat="1" ht="18" customHeight="1" x14ac:dyDescent="0.2">
      <c r="B1112" s="479"/>
      <c r="I1112" s="457" t="s">
        <v>79</v>
      </c>
      <c r="AB1112" s="478"/>
    </row>
    <row r="1113" spans="1:28" s="457" customFormat="1" ht="18" customHeight="1" x14ac:dyDescent="0.2">
      <c r="B1113" s="479"/>
      <c r="I1113" s="457" t="s">
        <v>80</v>
      </c>
      <c r="AB1113" s="478"/>
    </row>
    <row r="1114" spans="1:28" s="457" customFormat="1" ht="18" customHeight="1" x14ac:dyDescent="0.2">
      <c r="B1114" s="479"/>
      <c r="I1114" s="457" t="s">
        <v>81</v>
      </c>
      <c r="AB1114" s="478"/>
    </row>
    <row r="1115" spans="1:28" s="457" customFormat="1" ht="18" customHeight="1" x14ac:dyDescent="0.2">
      <c r="B1115" s="479"/>
      <c r="I1115" s="457" t="s">
        <v>88</v>
      </c>
      <c r="AB1115" s="478"/>
    </row>
    <row r="1116" spans="1:28" s="457" customFormat="1" ht="18" customHeight="1" x14ac:dyDescent="0.2">
      <c r="A1116" s="455"/>
      <c r="B1116" s="455"/>
      <c r="C1116" s="455"/>
      <c r="D1116" s="455"/>
      <c r="E1116" s="455"/>
      <c r="F1116" s="455"/>
      <c r="G1116" s="455"/>
      <c r="H1116" s="455"/>
      <c r="I1116" s="455"/>
      <c r="J1116" s="455"/>
      <c r="K1116" s="455"/>
      <c r="L1116" s="455"/>
      <c r="M1116" s="455"/>
      <c r="N1116" s="455"/>
      <c r="O1116" s="455"/>
      <c r="P1116" s="455"/>
      <c r="Q1116" s="455"/>
      <c r="R1116" s="455"/>
      <c r="S1116" s="455"/>
      <c r="T1116" s="455"/>
      <c r="U1116" s="455"/>
      <c r="V1116" s="455"/>
      <c r="W1116" s="455"/>
      <c r="X1116" s="455"/>
      <c r="Y1116" s="455"/>
      <c r="Z1116" s="455"/>
      <c r="AA1116" s="2705" t="s">
        <v>0</v>
      </c>
      <c r="AB1116" s="2705"/>
    </row>
    <row r="1117" spans="1:28" s="457" customFormat="1" ht="18" customHeight="1" x14ac:dyDescent="0.2">
      <c r="A1117" s="2706" t="s">
        <v>1</v>
      </c>
      <c r="B1117" s="2706"/>
      <c r="C1117" s="2706"/>
      <c r="D1117" s="2706"/>
      <c r="E1117" s="2706"/>
      <c r="F1117" s="2706"/>
      <c r="G1117" s="2706"/>
      <c r="H1117" s="2706"/>
      <c r="I1117" s="2706"/>
      <c r="J1117" s="2706"/>
      <c r="K1117" s="2706"/>
      <c r="L1117" s="2706"/>
      <c r="M1117" s="2706"/>
      <c r="N1117" s="2706"/>
      <c r="O1117" s="2706"/>
      <c r="P1117" s="2706"/>
      <c r="Q1117" s="2706"/>
      <c r="R1117" s="2706"/>
      <c r="S1117" s="2706"/>
      <c r="T1117" s="2706"/>
      <c r="U1117" s="2706"/>
      <c r="V1117" s="2706"/>
      <c r="W1117" s="2706"/>
      <c r="X1117" s="2706"/>
      <c r="Y1117" s="2706"/>
      <c r="Z1117" s="2706"/>
      <c r="AA1117" s="2706"/>
      <c r="AB1117" s="2706"/>
    </row>
    <row r="1118" spans="1:28" s="457" customFormat="1" ht="18" customHeight="1" x14ac:dyDescent="0.2">
      <c r="A1118" s="2704" t="s">
        <v>406</v>
      </c>
      <c r="B1118" s="2704"/>
      <c r="C1118" s="2704"/>
      <c r="D1118" s="2704"/>
      <c r="E1118" s="2704"/>
      <c r="F1118" s="2704"/>
      <c r="G1118" s="2704"/>
      <c r="H1118" s="2704"/>
      <c r="I1118" s="2704"/>
      <c r="J1118" s="2704"/>
      <c r="K1118" s="2704"/>
      <c r="L1118" s="2704"/>
      <c r="M1118" s="2704"/>
      <c r="N1118" s="2704"/>
      <c r="O1118" s="2704"/>
      <c r="P1118" s="2704"/>
      <c r="Q1118" s="2704"/>
      <c r="R1118" s="2704"/>
      <c r="S1118" s="2704"/>
      <c r="T1118" s="2704"/>
      <c r="U1118" s="2704"/>
      <c r="V1118" s="2704"/>
      <c r="W1118" s="2704"/>
      <c r="X1118" s="2704"/>
      <c r="Y1118" s="2704"/>
      <c r="Z1118" s="2704"/>
      <c r="AA1118" s="2704"/>
      <c r="AB1118" s="2704"/>
    </row>
    <row r="1119" spans="1:28" s="457" customFormat="1" ht="18" customHeight="1" x14ac:dyDescent="0.2">
      <c r="A1119" s="2686" t="s">
        <v>2</v>
      </c>
      <c r="B1119" s="360"/>
      <c r="C1119" s="2686" t="s">
        <v>3</v>
      </c>
      <c r="D1119" s="360"/>
      <c r="E1119" s="360"/>
      <c r="F1119" s="2693" t="s">
        <v>4</v>
      </c>
      <c r="G1119" s="2693"/>
      <c r="H1119" s="2693"/>
      <c r="I1119" s="2694"/>
      <c r="J1119" s="2694"/>
      <c r="K1119" s="2695"/>
      <c r="L1119" s="361"/>
      <c r="M1119" s="2679" t="s">
        <v>5</v>
      </c>
      <c r="N1119" s="2679"/>
      <c r="O1119" s="2679"/>
      <c r="P1119" s="2679"/>
      <c r="Q1119" s="2696"/>
      <c r="R1119" s="2696"/>
      <c r="S1119" s="2696"/>
      <c r="T1119" s="2696"/>
      <c r="U1119" s="2696"/>
      <c r="V1119" s="2697"/>
      <c r="W1119" s="362" t="s">
        <v>6</v>
      </c>
      <c r="X1119" s="363" t="s">
        <v>7</v>
      </c>
      <c r="Y1119" s="364"/>
      <c r="Z1119" s="364"/>
      <c r="AA1119" s="363"/>
      <c r="AB1119" s="458"/>
    </row>
    <row r="1120" spans="1:28" s="457" customFormat="1" ht="18" customHeight="1" x14ac:dyDescent="0.2">
      <c r="A1120" s="2687"/>
      <c r="B1120" s="367"/>
      <c r="C1120" s="2687"/>
      <c r="D1120" s="366" t="s">
        <v>9</v>
      </c>
      <c r="E1120" s="366" t="s">
        <v>10</v>
      </c>
      <c r="F1120" s="2698" t="s">
        <v>11</v>
      </c>
      <c r="G1120" s="2694"/>
      <c r="H1120" s="2695"/>
      <c r="I1120" s="360"/>
      <c r="J1120" s="449" t="s">
        <v>12</v>
      </c>
      <c r="K1120" s="360"/>
      <c r="L1120" s="2679" t="s">
        <v>2</v>
      </c>
      <c r="M1120" s="370"/>
      <c r="N1120" s="370"/>
      <c r="O1120" s="370"/>
      <c r="P1120" s="371"/>
      <c r="Q1120" s="459" t="s">
        <v>13</v>
      </c>
      <c r="R1120" s="370" t="s">
        <v>12</v>
      </c>
      <c r="S1120" s="370" t="s">
        <v>6</v>
      </c>
      <c r="T1120" s="2682" t="s">
        <v>14</v>
      </c>
      <c r="U1120" s="2683"/>
      <c r="V1120" s="375" t="s">
        <v>7</v>
      </c>
      <c r="W1120" s="376" t="s">
        <v>15</v>
      </c>
      <c r="X1120" s="377" t="s">
        <v>16</v>
      </c>
      <c r="Y1120" s="377" t="s">
        <v>17</v>
      </c>
      <c r="Z1120" s="377" t="s">
        <v>18</v>
      </c>
      <c r="AA1120" s="377"/>
      <c r="AB1120" s="460" t="s">
        <v>19</v>
      </c>
    </row>
    <row r="1121" spans="1:28" s="457" customFormat="1" ht="18" customHeight="1" x14ac:dyDescent="0.2">
      <c r="A1121" s="2687"/>
      <c r="B1121" s="366" t="s">
        <v>23</v>
      </c>
      <c r="C1121" s="2687"/>
      <c r="D1121" s="366" t="s">
        <v>24</v>
      </c>
      <c r="E1121" s="366" t="s">
        <v>25</v>
      </c>
      <c r="F1121" s="2699"/>
      <c r="G1121" s="2700"/>
      <c r="H1121" s="2701"/>
      <c r="I1121" s="366" t="s">
        <v>26</v>
      </c>
      <c r="J1121" s="380" t="s">
        <v>15</v>
      </c>
      <c r="K1121" s="380" t="s">
        <v>6</v>
      </c>
      <c r="L1121" s="2680"/>
      <c r="M1121" s="381" t="s">
        <v>27</v>
      </c>
      <c r="N1121" s="381" t="s">
        <v>10</v>
      </c>
      <c r="O1121" s="381" t="s">
        <v>10</v>
      </c>
      <c r="P1121" s="385" t="s">
        <v>28</v>
      </c>
      <c r="Q1121" s="461" t="s">
        <v>29</v>
      </c>
      <c r="R1121" s="385" t="s">
        <v>15</v>
      </c>
      <c r="S1121" s="385" t="s">
        <v>15</v>
      </c>
      <c r="T1121" s="2684"/>
      <c r="U1121" s="2685"/>
      <c r="V1121" s="375" t="s">
        <v>30</v>
      </c>
      <c r="W1121" s="376" t="s">
        <v>31</v>
      </c>
      <c r="X1121" s="377" t="s">
        <v>30</v>
      </c>
      <c r="Y1121" s="377" t="s">
        <v>32</v>
      </c>
      <c r="Z1121" s="377" t="s">
        <v>7</v>
      </c>
      <c r="AA1121" s="377" t="s">
        <v>33</v>
      </c>
      <c r="AB1121" s="460" t="s">
        <v>34</v>
      </c>
    </row>
    <row r="1122" spans="1:28" s="457" customFormat="1" ht="18" customHeight="1" x14ac:dyDescent="0.2">
      <c r="A1122" s="2687"/>
      <c r="B1122" s="366" t="s">
        <v>39</v>
      </c>
      <c r="C1122" s="2687"/>
      <c r="D1122" s="366" t="s">
        <v>40</v>
      </c>
      <c r="E1122" s="366" t="s">
        <v>41</v>
      </c>
      <c r="F1122" s="2686" t="s">
        <v>42</v>
      </c>
      <c r="G1122" s="2686" t="s">
        <v>43</v>
      </c>
      <c r="H1122" s="2688" t="s">
        <v>44</v>
      </c>
      <c r="I1122" s="366" t="s">
        <v>45</v>
      </c>
      <c r="J1122" s="380" t="s">
        <v>46</v>
      </c>
      <c r="K1122" s="380" t="s">
        <v>47</v>
      </c>
      <c r="L1122" s="2680"/>
      <c r="M1122" s="381" t="s">
        <v>30</v>
      </c>
      <c r="N1122" s="381" t="s">
        <v>30</v>
      </c>
      <c r="O1122" s="381" t="s">
        <v>25</v>
      </c>
      <c r="P1122" s="385" t="s">
        <v>30</v>
      </c>
      <c r="Q1122" s="461" t="s">
        <v>48</v>
      </c>
      <c r="R1122" s="385" t="s">
        <v>49</v>
      </c>
      <c r="S1122" s="385" t="s">
        <v>30</v>
      </c>
      <c r="T1122" s="374" t="s">
        <v>50</v>
      </c>
      <c r="U1122" s="374" t="s">
        <v>13</v>
      </c>
      <c r="V1122" s="375" t="s">
        <v>51</v>
      </c>
      <c r="W1122" s="376" t="s">
        <v>52</v>
      </c>
      <c r="X1122" s="377" t="s">
        <v>53</v>
      </c>
      <c r="Y1122" s="377" t="s">
        <v>54</v>
      </c>
      <c r="Z1122" s="377" t="s">
        <v>55</v>
      </c>
      <c r="AA1122" s="377" t="s">
        <v>56</v>
      </c>
      <c r="AB1122" s="460" t="s">
        <v>57</v>
      </c>
    </row>
    <row r="1123" spans="1:28" s="457" customFormat="1" ht="18" customHeight="1" x14ac:dyDescent="0.2">
      <c r="A1123" s="2687"/>
      <c r="B1123" s="366" t="s">
        <v>61</v>
      </c>
      <c r="C1123" s="2687"/>
      <c r="D1123" s="366" t="s">
        <v>62</v>
      </c>
      <c r="E1123" s="366" t="s">
        <v>63</v>
      </c>
      <c r="F1123" s="2687"/>
      <c r="G1123" s="2687"/>
      <c r="H1123" s="2689"/>
      <c r="I1123" s="366" t="s">
        <v>64</v>
      </c>
      <c r="J1123" s="380" t="s">
        <v>59</v>
      </c>
      <c r="K1123" s="380" t="s">
        <v>59</v>
      </c>
      <c r="L1123" s="2680"/>
      <c r="M1123" s="381"/>
      <c r="N1123" s="381"/>
      <c r="O1123" s="381" t="s">
        <v>41</v>
      </c>
      <c r="P1123" s="385" t="s">
        <v>65</v>
      </c>
      <c r="Q1123" s="461" t="s">
        <v>66</v>
      </c>
      <c r="R1123" s="385" t="s">
        <v>67</v>
      </c>
      <c r="S1123" s="385" t="s">
        <v>59</v>
      </c>
      <c r="T1123" s="375" t="s">
        <v>68</v>
      </c>
      <c r="U1123" s="375" t="s">
        <v>14</v>
      </c>
      <c r="V1123" s="375" t="s">
        <v>14</v>
      </c>
      <c r="W1123" s="376" t="s">
        <v>30</v>
      </c>
      <c r="X1123" s="388" t="s">
        <v>69</v>
      </c>
      <c r="Y1123" s="388" t="s">
        <v>70</v>
      </c>
      <c r="Z1123" s="377" t="s">
        <v>71</v>
      </c>
      <c r="AA1123" s="377" t="s">
        <v>72</v>
      </c>
      <c r="AB1123" s="460" t="s">
        <v>59</v>
      </c>
    </row>
    <row r="1124" spans="1:28" s="457" customFormat="1" ht="18" customHeight="1" x14ac:dyDescent="0.2">
      <c r="A1124" s="2692"/>
      <c r="B1124" s="390"/>
      <c r="C1124" s="2692"/>
      <c r="D1124" s="390"/>
      <c r="E1124" s="389"/>
      <c r="F1124" s="390"/>
      <c r="G1124" s="390"/>
      <c r="H1124" s="391"/>
      <c r="I1124" s="389"/>
      <c r="J1124" s="393"/>
      <c r="K1124" s="393"/>
      <c r="L1124" s="2681"/>
      <c r="M1124" s="394"/>
      <c r="N1124" s="394"/>
      <c r="O1124" s="394" t="s">
        <v>63</v>
      </c>
      <c r="P1124" s="394"/>
      <c r="Q1124" s="450" t="s">
        <v>72</v>
      </c>
      <c r="R1124" s="398" t="s">
        <v>59</v>
      </c>
      <c r="S1124" s="398"/>
      <c r="T1124" s="398" t="s">
        <v>73</v>
      </c>
      <c r="U1124" s="398" t="s">
        <v>59</v>
      </c>
      <c r="V1124" s="399" t="s">
        <v>59</v>
      </c>
      <c r="W1124" s="400" t="s">
        <v>59</v>
      </c>
      <c r="X1124" s="401" t="s">
        <v>59</v>
      </c>
      <c r="Y1124" s="401" t="s">
        <v>59</v>
      </c>
      <c r="Z1124" s="401" t="s">
        <v>59</v>
      </c>
      <c r="AA1124" s="402"/>
      <c r="AB1124" s="462"/>
    </row>
    <row r="1125" spans="1:28" s="457" customFormat="1" ht="18" customHeight="1" x14ac:dyDescent="0.2">
      <c r="A1125" s="53">
        <v>1</v>
      </c>
      <c r="B1125" s="95">
        <v>31557</v>
      </c>
      <c r="C1125" s="82">
        <v>1222</v>
      </c>
      <c r="D1125" s="82" t="s">
        <v>86</v>
      </c>
      <c r="E1125" s="145">
        <v>4</v>
      </c>
      <c r="F1125" s="82">
        <v>0</v>
      </c>
      <c r="G1125" s="82">
        <v>0</v>
      </c>
      <c r="H1125" s="463">
        <v>56</v>
      </c>
      <c r="I1125" s="77">
        <f>F1125*400+G1125*100+H1125</f>
        <v>56</v>
      </c>
      <c r="J1125" s="107">
        <v>1100</v>
      </c>
      <c r="K1125" s="78">
        <f>SUM(I1125*J1125)</f>
        <v>61600</v>
      </c>
      <c r="L1125" s="75"/>
      <c r="M1125" s="82"/>
      <c r="N1125" s="82"/>
      <c r="O1125" s="53"/>
      <c r="P1125" s="358"/>
      <c r="Q1125" s="197"/>
      <c r="R1125" s="444"/>
      <c r="S1125" s="70"/>
      <c r="T1125" s="82"/>
      <c r="U1125" s="70"/>
      <c r="V1125" s="70"/>
      <c r="W1125" s="70">
        <f>K1125+V1125</f>
        <v>61600</v>
      </c>
      <c r="X1125" s="70">
        <f>W1125</f>
        <v>61600</v>
      </c>
      <c r="Y1125" s="123">
        <v>0</v>
      </c>
      <c r="Z1125" s="123">
        <f>+X1125</f>
        <v>61600</v>
      </c>
      <c r="AA1125" s="409">
        <v>0.6</v>
      </c>
      <c r="AB1125" s="465">
        <f>+Z1125*AA1125/100</f>
        <v>369.6</v>
      </c>
    </row>
    <row r="1126" spans="1:28" s="457" customFormat="1" ht="18" customHeight="1" x14ac:dyDescent="0.2">
      <c r="A1126" s="242"/>
      <c r="B1126" s="242"/>
      <c r="C1126" s="496"/>
      <c r="D1126" s="144"/>
      <c r="E1126" s="85"/>
      <c r="F1126" s="411"/>
      <c r="G1126" s="242"/>
      <c r="H1126" s="497"/>
      <c r="I1126" s="77"/>
      <c r="J1126" s="107"/>
      <c r="K1126" s="78"/>
      <c r="L1126" s="75"/>
      <c r="M1126" s="145"/>
      <c r="N1126" s="145"/>
      <c r="O1126" s="61"/>
      <c r="P1126" s="177"/>
      <c r="Q1126" s="196"/>
      <c r="R1126" s="408"/>
      <c r="S1126" s="77"/>
      <c r="T1126" s="145"/>
      <c r="U1126" s="77"/>
      <c r="V1126" s="77"/>
      <c r="W1126" s="77"/>
      <c r="X1126" s="77"/>
      <c r="Y1126" s="77"/>
      <c r="Z1126" s="77"/>
      <c r="AA1126" s="409"/>
      <c r="AB1126" s="410"/>
    </row>
    <row r="1127" spans="1:28" s="457" customFormat="1" ht="18" customHeight="1" x14ac:dyDescent="0.2">
      <c r="A1127" s="242"/>
      <c r="B1127" s="242"/>
      <c r="C1127" s="496"/>
      <c r="D1127" s="144"/>
      <c r="E1127" s="85"/>
      <c r="F1127" s="411"/>
      <c r="G1127" s="242"/>
      <c r="H1127" s="497"/>
      <c r="I1127" s="77"/>
      <c r="J1127" s="107"/>
      <c r="K1127" s="78"/>
      <c r="L1127" s="75"/>
      <c r="M1127" s="145"/>
      <c r="N1127" s="145"/>
      <c r="O1127" s="61"/>
      <c r="P1127" s="177"/>
      <c r="Q1127" s="196"/>
      <c r="R1127" s="408"/>
      <c r="S1127" s="77"/>
      <c r="T1127" s="145"/>
      <c r="U1127" s="77"/>
      <c r="V1127" s="77"/>
      <c r="W1127" s="77"/>
      <c r="X1127" s="77"/>
      <c r="Y1127" s="77"/>
      <c r="Z1127" s="77"/>
      <c r="AA1127" s="409"/>
      <c r="AB1127" s="410"/>
    </row>
    <row r="1128" spans="1:28" s="457" customFormat="1" ht="18" customHeight="1" x14ac:dyDescent="0.2">
      <c r="A1128" s="242"/>
      <c r="B1128" s="242"/>
      <c r="C1128" s="496"/>
      <c r="D1128" s="144"/>
      <c r="E1128" s="85"/>
      <c r="F1128" s="411"/>
      <c r="G1128" s="242"/>
      <c r="H1128" s="497"/>
      <c r="I1128" s="77"/>
      <c r="J1128" s="107"/>
      <c r="K1128" s="78"/>
      <c r="L1128" s="242"/>
      <c r="M1128" s="242"/>
      <c r="N1128" s="242"/>
      <c r="O1128" s="242"/>
      <c r="P1128" s="497"/>
      <c r="Q1128" s="496"/>
      <c r="R1128" s="503"/>
      <c r="S1128" s="504"/>
      <c r="T1128" s="505"/>
      <c r="U1128" s="504"/>
      <c r="V1128" s="504"/>
      <c r="W1128" s="77"/>
      <c r="X1128" s="77"/>
      <c r="Y1128" s="77"/>
      <c r="Z1128" s="77"/>
      <c r="AA1128" s="409"/>
      <c r="AB1128" s="410"/>
    </row>
    <row r="1129" spans="1:28" s="457" customFormat="1" ht="18" customHeight="1" x14ac:dyDescent="0.2">
      <c r="A1129" s="242"/>
      <c r="B1129" s="242"/>
      <c r="C1129" s="496"/>
      <c r="D1129" s="88"/>
      <c r="E1129" s="85"/>
      <c r="F1129" s="411"/>
      <c r="G1129" s="242"/>
      <c r="H1129" s="497"/>
      <c r="I1129" s="77"/>
      <c r="J1129" s="107"/>
      <c r="K1129" s="78"/>
      <c r="L1129" s="242"/>
      <c r="M1129" s="242"/>
      <c r="N1129" s="242"/>
      <c r="O1129" s="242"/>
      <c r="P1129" s="497"/>
      <c r="Q1129" s="496"/>
      <c r="R1129" s="503"/>
      <c r="S1129" s="504"/>
      <c r="T1129" s="505"/>
      <c r="U1129" s="504"/>
      <c r="V1129" s="504"/>
      <c r="W1129" s="77"/>
      <c r="X1129" s="77"/>
      <c r="Y1129" s="77"/>
      <c r="Z1129" s="77"/>
      <c r="AA1129" s="409"/>
      <c r="AB1129" s="466"/>
    </row>
    <row r="1130" spans="1:28" s="457" customFormat="1" ht="18" customHeight="1" x14ac:dyDescent="0.2">
      <c r="A1130" s="242"/>
      <c r="B1130" s="242"/>
      <c r="C1130" s="496"/>
      <c r="D1130" s="144"/>
      <c r="E1130" s="88"/>
      <c r="F1130" s="411"/>
      <c r="G1130" s="242"/>
      <c r="H1130" s="497"/>
      <c r="I1130" s="77"/>
      <c r="J1130" s="107"/>
      <c r="K1130" s="78"/>
      <c r="L1130" s="242"/>
      <c r="M1130" s="242"/>
      <c r="N1130" s="242"/>
      <c r="O1130" s="242"/>
      <c r="P1130" s="497"/>
      <c r="Q1130" s="496"/>
      <c r="R1130" s="503"/>
      <c r="S1130" s="504"/>
      <c r="T1130" s="505"/>
      <c r="U1130" s="504"/>
      <c r="V1130" s="504"/>
      <c r="W1130" s="77"/>
      <c r="X1130" s="77"/>
      <c r="Y1130" s="77"/>
      <c r="Z1130" s="77"/>
      <c r="AA1130" s="409"/>
      <c r="AB1130" s="506"/>
    </row>
    <row r="1131" spans="1:28" s="457" customFormat="1" ht="18" customHeight="1" x14ac:dyDescent="0.2">
      <c r="A1131" s="242"/>
      <c r="B1131" s="242"/>
      <c r="C1131" s="496"/>
      <c r="D1131" s="88"/>
      <c r="E1131" s="231"/>
      <c r="F1131" s="411"/>
      <c r="G1131" s="242"/>
      <c r="H1131" s="497"/>
      <c r="I1131" s="77"/>
      <c r="J1131" s="107"/>
      <c r="K1131" s="78"/>
      <c r="L1131" s="242"/>
      <c r="M1131" s="242"/>
      <c r="N1131" s="242"/>
      <c r="O1131" s="242"/>
      <c r="P1131" s="497"/>
      <c r="Q1131" s="496"/>
      <c r="R1131" s="503"/>
      <c r="S1131" s="504"/>
      <c r="T1131" s="505"/>
      <c r="U1131" s="504"/>
      <c r="V1131" s="504"/>
      <c r="W1131" s="77"/>
      <c r="X1131" s="77"/>
      <c r="Y1131" s="77"/>
      <c r="Z1131" s="77"/>
      <c r="AA1131" s="409"/>
      <c r="AB1131" s="506"/>
    </row>
    <row r="1132" spans="1:28" s="457" customFormat="1" ht="18" customHeight="1" x14ac:dyDescent="0.2">
      <c r="A1132" s="242"/>
      <c r="B1132" s="242"/>
      <c r="C1132" s="496"/>
      <c r="D1132" s="231"/>
      <c r="E1132" s="144"/>
      <c r="F1132" s="411"/>
      <c r="G1132" s="242"/>
      <c r="H1132" s="497"/>
      <c r="I1132" s="77"/>
      <c r="J1132" s="107"/>
      <c r="K1132" s="78"/>
      <c r="L1132" s="242"/>
      <c r="M1132" s="242"/>
      <c r="N1132" s="242"/>
      <c r="O1132" s="242"/>
      <c r="P1132" s="497"/>
      <c r="Q1132" s="496"/>
      <c r="R1132" s="503"/>
      <c r="S1132" s="504"/>
      <c r="T1132" s="505"/>
      <c r="U1132" s="504"/>
      <c r="V1132" s="504"/>
      <c r="W1132" s="77"/>
      <c r="X1132" s="77"/>
      <c r="Y1132" s="77"/>
      <c r="Z1132" s="77"/>
      <c r="AA1132" s="409"/>
      <c r="AB1132" s="506"/>
    </row>
    <row r="1133" spans="1:28" s="457" customFormat="1" ht="18" customHeight="1" x14ac:dyDescent="0.2">
      <c r="A1133" s="242"/>
      <c r="B1133" s="242"/>
      <c r="C1133" s="496"/>
      <c r="D1133" s="144"/>
      <c r="E1133" s="144"/>
      <c r="F1133" s="411"/>
      <c r="G1133" s="242"/>
      <c r="H1133" s="497"/>
      <c r="I1133" s="77"/>
      <c r="J1133" s="107"/>
      <c r="K1133" s="78"/>
      <c r="L1133" s="242"/>
      <c r="M1133" s="242"/>
      <c r="N1133" s="242"/>
      <c r="O1133" s="242"/>
      <c r="P1133" s="497"/>
      <c r="Q1133" s="496"/>
      <c r="R1133" s="503"/>
      <c r="S1133" s="504"/>
      <c r="T1133" s="505"/>
      <c r="U1133" s="504"/>
      <c r="V1133" s="504"/>
      <c r="W1133" s="77"/>
      <c r="X1133" s="77"/>
      <c r="Y1133" s="77"/>
      <c r="Z1133" s="77"/>
      <c r="AA1133" s="409"/>
      <c r="AB1133" s="506"/>
    </row>
    <row r="1134" spans="1:28" s="457" customFormat="1" ht="18" customHeight="1" x14ac:dyDescent="0.2">
      <c r="A1134" s="242"/>
      <c r="B1134" s="242"/>
      <c r="C1134" s="496"/>
      <c r="D1134" s="88"/>
      <c r="E1134" s="144"/>
      <c r="F1134" s="411"/>
      <c r="G1134" s="242"/>
      <c r="H1134" s="497"/>
      <c r="I1134" s="77"/>
      <c r="J1134" s="107"/>
      <c r="K1134" s="78"/>
      <c r="L1134" s="242"/>
      <c r="M1134" s="242"/>
      <c r="N1134" s="242"/>
      <c r="O1134" s="242"/>
      <c r="P1134" s="497"/>
      <c r="Q1134" s="496"/>
      <c r="R1134" s="503"/>
      <c r="S1134" s="504"/>
      <c r="T1134" s="505"/>
      <c r="U1134" s="504"/>
      <c r="V1134" s="504"/>
      <c r="W1134" s="77"/>
      <c r="X1134" s="77"/>
      <c r="Y1134" s="77"/>
      <c r="Z1134" s="77"/>
      <c r="AA1134" s="409"/>
      <c r="AB1134" s="506"/>
    </row>
    <row r="1135" spans="1:28" s="457" customFormat="1" ht="18" customHeight="1" x14ac:dyDescent="0.2">
      <c r="A1135" s="242"/>
      <c r="B1135" s="242"/>
      <c r="C1135" s="496"/>
      <c r="D1135" s="231"/>
      <c r="E1135" s="88"/>
      <c r="F1135" s="411"/>
      <c r="G1135" s="242"/>
      <c r="H1135" s="497"/>
      <c r="I1135" s="77"/>
      <c r="J1135" s="107"/>
      <c r="K1135" s="78"/>
      <c r="L1135" s="242"/>
      <c r="M1135" s="242"/>
      <c r="N1135" s="242"/>
      <c r="O1135" s="242"/>
      <c r="P1135" s="497"/>
      <c r="Q1135" s="496"/>
      <c r="R1135" s="503"/>
      <c r="S1135" s="504"/>
      <c r="T1135" s="505"/>
      <c r="U1135" s="504"/>
      <c r="V1135" s="504"/>
      <c r="W1135" s="77"/>
      <c r="X1135" s="77"/>
      <c r="Y1135" s="77"/>
      <c r="Z1135" s="77"/>
      <c r="AA1135" s="409"/>
      <c r="AB1135" s="506"/>
    </row>
    <row r="1136" spans="1:28" s="457" customFormat="1" ht="18" customHeight="1" x14ac:dyDescent="0.2">
      <c r="A1136" s="242"/>
      <c r="B1136" s="242"/>
      <c r="C1136" s="496"/>
      <c r="D1136" s="144"/>
      <c r="E1136" s="88"/>
      <c r="F1136" s="411"/>
      <c r="G1136" s="242"/>
      <c r="H1136" s="497"/>
      <c r="I1136" s="77"/>
      <c r="J1136" s="107"/>
      <c r="K1136" s="78"/>
      <c r="L1136" s="242"/>
      <c r="M1136" s="242"/>
      <c r="N1136" s="242"/>
      <c r="O1136" s="242"/>
      <c r="P1136" s="497"/>
      <c r="Q1136" s="496"/>
      <c r="R1136" s="503"/>
      <c r="S1136" s="504"/>
      <c r="T1136" s="505"/>
      <c r="U1136" s="504"/>
      <c r="V1136" s="504"/>
      <c r="W1136" s="77"/>
      <c r="X1136" s="77"/>
      <c r="Y1136" s="77"/>
      <c r="Z1136" s="77"/>
      <c r="AA1136" s="409"/>
      <c r="AB1136" s="506"/>
    </row>
    <row r="1137" spans="1:28" s="457" customFormat="1" ht="18" customHeight="1" x14ac:dyDescent="0.2">
      <c r="A1137" s="242"/>
      <c r="B1137" s="242"/>
      <c r="C1137" s="496"/>
      <c r="D1137" s="88"/>
      <c r="E1137" s="231"/>
      <c r="F1137" s="411"/>
      <c r="G1137" s="242"/>
      <c r="H1137" s="497"/>
      <c r="I1137" s="77"/>
      <c r="J1137" s="107"/>
      <c r="K1137" s="78"/>
      <c r="L1137" s="242"/>
      <c r="M1137" s="242"/>
      <c r="N1137" s="242"/>
      <c r="O1137" s="242"/>
      <c r="P1137" s="497"/>
      <c r="Q1137" s="496"/>
      <c r="R1137" s="503"/>
      <c r="S1137" s="504"/>
      <c r="T1137" s="505"/>
      <c r="U1137" s="504"/>
      <c r="V1137" s="504"/>
      <c r="W1137" s="77"/>
      <c r="X1137" s="77"/>
      <c r="Y1137" s="77"/>
      <c r="Z1137" s="77"/>
      <c r="AA1137" s="409"/>
      <c r="AB1137" s="506"/>
    </row>
    <row r="1138" spans="1:28" s="457" customFormat="1" ht="18" customHeight="1" x14ac:dyDescent="0.2">
      <c r="A1138" s="242"/>
      <c r="B1138" s="242"/>
      <c r="C1138" s="496"/>
      <c r="D1138" s="88"/>
      <c r="E1138" s="144"/>
      <c r="F1138" s="411"/>
      <c r="G1138" s="242"/>
      <c r="H1138" s="497"/>
      <c r="I1138" s="77"/>
      <c r="J1138" s="107"/>
      <c r="K1138" s="78"/>
      <c r="L1138" s="242"/>
      <c r="M1138" s="242"/>
      <c r="N1138" s="242"/>
      <c r="O1138" s="242"/>
      <c r="P1138" s="497"/>
      <c r="Q1138" s="496"/>
      <c r="R1138" s="503"/>
      <c r="S1138" s="504"/>
      <c r="T1138" s="505"/>
      <c r="U1138" s="504"/>
      <c r="V1138" s="504"/>
      <c r="W1138" s="77"/>
      <c r="X1138" s="77"/>
      <c r="Y1138" s="77"/>
      <c r="Z1138" s="77"/>
      <c r="AA1138" s="409"/>
      <c r="AB1138" s="506"/>
    </row>
    <row r="1139" spans="1:28" s="457" customFormat="1" ht="18" customHeight="1" x14ac:dyDescent="0.2">
      <c r="A1139" s="242"/>
      <c r="B1139" s="242"/>
      <c r="C1139" s="496"/>
      <c r="D1139" s="88"/>
      <c r="E1139" s="88"/>
      <c r="F1139" s="411"/>
      <c r="G1139" s="242"/>
      <c r="H1139" s="497"/>
      <c r="I1139" s="77"/>
      <c r="J1139" s="107"/>
      <c r="K1139" s="78"/>
      <c r="L1139" s="242"/>
      <c r="M1139" s="242"/>
      <c r="N1139" s="242"/>
      <c r="O1139" s="242"/>
      <c r="P1139" s="497"/>
      <c r="Q1139" s="496"/>
      <c r="R1139" s="503"/>
      <c r="S1139" s="504"/>
      <c r="T1139" s="505"/>
      <c r="U1139" s="504"/>
      <c r="V1139" s="504"/>
      <c r="W1139" s="77"/>
      <c r="X1139" s="77"/>
      <c r="Y1139" s="77"/>
      <c r="Z1139" s="77"/>
      <c r="AA1139" s="409"/>
      <c r="AB1139" s="506"/>
    </row>
    <row r="1140" spans="1:28" s="597" customFormat="1" ht="18" customHeight="1" x14ac:dyDescent="0.2">
      <c r="A1140" s="1850"/>
      <c r="B1140" s="1850"/>
      <c r="C1140" s="1850"/>
      <c r="D1140" s="1850"/>
      <c r="E1140" s="1850"/>
      <c r="F1140" s="1850"/>
      <c r="G1140" s="1850"/>
      <c r="H1140" s="1851"/>
      <c r="I1140" s="1852"/>
      <c r="J1140" s="1853"/>
      <c r="K1140" s="1852"/>
      <c r="L1140" s="1852"/>
      <c r="M1140" s="1852"/>
      <c r="N1140" s="1852"/>
      <c r="O1140" s="1852"/>
      <c r="P1140" s="1852"/>
      <c r="Q1140" s="1852"/>
      <c r="R1140" s="1854"/>
      <c r="S1140" s="1852"/>
      <c r="T1140" s="1855"/>
      <c r="U1140" s="1853"/>
      <c r="V1140" s="1852"/>
      <c r="W1140" s="1852"/>
      <c r="X1140" s="1856"/>
      <c r="Y1140" s="1856"/>
      <c r="Z1140" s="1857"/>
      <c r="AA1140" s="1857"/>
      <c r="AB1140" s="1847">
        <f>SUM(AB1125:AB1139)</f>
        <v>369.6</v>
      </c>
    </row>
    <row r="1141" spans="1:28" s="457" customFormat="1" ht="18" customHeight="1" x14ac:dyDescent="0.2">
      <c r="A1141" s="2737" t="s">
        <v>76</v>
      </c>
      <c r="B1141" s="2737"/>
      <c r="C1141" s="2738" t="s">
        <v>77</v>
      </c>
      <c r="D1141" s="2738"/>
      <c r="E1141" s="2738"/>
      <c r="F1141" s="2738"/>
      <c r="G1141" s="2738"/>
      <c r="H1141" s="2738"/>
      <c r="I1141" s="457" t="s">
        <v>78</v>
      </c>
      <c r="AB1141" s="478"/>
    </row>
    <row r="1142" spans="1:28" s="457" customFormat="1" ht="18" customHeight="1" x14ac:dyDescent="0.2">
      <c r="B1142" s="479"/>
      <c r="I1142" s="457" t="s">
        <v>79</v>
      </c>
      <c r="AB1142" s="478"/>
    </row>
    <row r="1143" spans="1:28" s="457" customFormat="1" ht="18" customHeight="1" x14ac:dyDescent="0.2">
      <c r="B1143" s="479"/>
      <c r="I1143" s="457" t="s">
        <v>80</v>
      </c>
      <c r="AB1143" s="478"/>
    </row>
    <row r="1144" spans="1:28" s="457" customFormat="1" ht="18" customHeight="1" x14ac:dyDescent="0.2">
      <c r="B1144" s="479"/>
      <c r="I1144" s="457" t="s">
        <v>81</v>
      </c>
      <c r="AB1144" s="478"/>
    </row>
    <row r="1145" spans="1:28" s="457" customFormat="1" ht="18" customHeight="1" x14ac:dyDescent="0.2">
      <c r="B1145" s="479"/>
      <c r="I1145" s="457" t="s">
        <v>88</v>
      </c>
      <c r="AB1145" s="478"/>
    </row>
    <row r="1146" spans="1:28" s="457" customFormat="1" ht="18" customHeight="1" x14ac:dyDescent="0.2">
      <c r="A1146" s="455"/>
      <c r="B1146" s="455"/>
      <c r="C1146" s="455"/>
      <c r="D1146" s="455"/>
      <c r="E1146" s="455"/>
      <c r="F1146" s="455"/>
      <c r="G1146" s="455"/>
      <c r="H1146" s="455"/>
      <c r="I1146" s="455"/>
      <c r="J1146" s="455"/>
      <c r="K1146" s="455"/>
      <c r="L1146" s="455"/>
      <c r="M1146" s="455"/>
      <c r="N1146" s="455"/>
      <c r="O1146" s="455"/>
      <c r="P1146" s="455"/>
      <c r="Q1146" s="455"/>
      <c r="R1146" s="455"/>
      <c r="S1146" s="455"/>
      <c r="T1146" s="455"/>
      <c r="U1146" s="455"/>
      <c r="V1146" s="455"/>
      <c r="W1146" s="455"/>
      <c r="X1146" s="455"/>
      <c r="Y1146" s="455"/>
      <c r="Z1146" s="455"/>
      <c r="AA1146" s="2705" t="s">
        <v>0</v>
      </c>
      <c r="AB1146" s="2705"/>
    </row>
    <row r="1147" spans="1:28" s="457" customFormat="1" ht="18" customHeight="1" x14ac:dyDescent="0.2">
      <c r="A1147" s="2706" t="s">
        <v>1</v>
      </c>
      <c r="B1147" s="2706"/>
      <c r="C1147" s="2706"/>
      <c r="D1147" s="2706"/>
      <c r="E1147" s="2706"/>
      <c r="F1147" s="2706"/>
      <c r="G1147" s="2706"/>
      <c r="H1147" s="2706"/>
      <c r="I1147" s="2706"/>
      <c r="J1147" s="2706"/>
      <c r="K1147" s="2706"/>
      <c r="L1147" s="2706"/>
      <c r="M1147" s="2706"/>
      <c r="N1147" s="2706"/>
      <c r="O1147" s="2706"/>
      <c r="P1147" s="2706"/>
      <c r="Q1147" s="2706"/>
      <c r="R1147" s="2706"/>
      <c r="S1147" s="2706"/>
      <c r="T1147" s="2706"/>
      <c r="U1147" s="2706"/>
      <c r="V1147" s="2706"/>
      <c r="W1147" s="2706"/>
      <c r="X1147" s="2706"/>
      <c r="Y1147" s="2706"/>
      <c r="Z1147" s="2706"/>
      <c r="AA1147" s="2706"/>
      <c r="AB1147" s="2706"/>
    </row>
    <row r="1148" spans="1:28" s="457" customFormat="1" ht="18" customHeight="1" x14ac:dyDescent="0.2">
      <c r="A1148" s="2704" t="s">
        <v>407</v>
      </c>
      <c r="B1148" s="2704"/>
      <c r="C1148" s="2704"/>
      <c r="D1148" s="2704"/>
      <c r="E1148" s="2704"/>
      <c r="F1148" s="2704"/>
      <c r="G1148" s="2704"/>
      <c r="H1148" s="2704"/>
      <c r="I1148" s="2704"/>
      <c r="J1148" s="2704"/>
      <c r="K1148" s="2704"/>
      <c r="L1148" s="2704"/>
      <c r="M1148" s="2704"/>
      <c r="N1148" s="2704"/>
      <c r="O1148" s="2704"/>
      <c r="P1148" s="2704"/>
      <c r="Q1148" s="2704"/>
      <c r="R1148" s="2704"/>
      <c r="S1148" s="2704"/>
      <c r="T1148" s="2704"/>
      <c r="U1148" s="2704"/>
      <c r="V1148" s="2704"/>
      <c r="W1148" s="2704"/>
      <c r="X1148" s="2704"/>
      <c r="Y1148" s="2704"/>
      <c r="Z1148" s="2704"/>
      <c r="AA1148" s="2704"/>
      <c r="AB1148" s="2704"/>
    </row>
    <row r="1149" spans="1:28" s="457" customFormat="1" ht="18" customHeight="1" x14ac:dyDescent="0.2">
      <c r="A1149" s="2686" t="s">
        <v>2</v>
      </c>
      <c r="B1149" s="360"/>
      <c r="C1149" s="2686" t="s">
        <v>3</v>
      </c>
      <c r="D1149" s="360"/>
      <c r="E1149" s="360"/>
      <c r="F1149" s="2693" t="s">
        <v>4</v>
      </c>
      <c r="G1149" s="2693"/>
      <c r="H1149" s="2693"/>
      <c r="I1149" s="2694"/>
      <c r="J1149" s="2694"/>
      <c r="K1149" s="2695"/>
      <c r="L1149" s="361"/>
      <c r="M1149" s="2679" t="s">
        <v>5</v>
      </c>
      <c r="N1149" s="2679"/>
      <c r="O1149" s="2679"/>
      <c r="P1149" s="2679"/>
      <c r="Q1149" s="2696"/>
      <c r="R1149" s="2696"/>
      <c r="S1149" s="2696"/>
      <c r="T1149" s="2696"/>
      <c r="U1149" s="2696"/>
      <c r="V1149" s="2697"/>
      <c r="W1149" s="362" t="s">
        <v>6</v>
      </c>
      <c r="X1149" s="363" t="s">
        <v>7</v>
      </c>
      <c r="Y1149" s="364"/>
      <c r="Z1149" s="364"/>
      <c r="AA1149" s="363"/>
      <c r="AB1149" s="458"/>
    </row>
    <row r="1150" spans="1:28" s="457" customFormat="1" ht="18" customHeight="1" x14ac:dyDescent="0.2">
      <c r="A1150" s="2687"/>
      <c r="B1150" s="367"/>
      <c r="C1150" s="2687"/>
      <c r="D1150" s="366" t="s">
        <v>9</v>
      </c>
      <c r="E1150" s="366" t="s">
        <v>10</v>
      </c>
      <c r="F1150" s="2698" t="s">
        <v>11</v>
      </c>
      <c r="G1150" s="2694"/>
      <c r="H1150" s="2695"/>
      <c r="I1150" s="360"/>
      <c r="J1150" s="449" t="s">
        <v>12</v>
      </c>
      <c r="K1150" s="360"/>
      <c r="L1150" s="2679" t="s">
        <v>2</v>
      </c>
      <c r="M1150" s="370"/>
      <c r="N1150" s="370"/>
      <c r="O1150" s="370"/>
      <c r="P1150" s="371"/>
      <c r="Q1150" s="459" t="s">
        <v>13</v>
      </c>
      <c r="R1150" s="370" t="s">
        <v>12</v>
      </c>
      <c r="S1150" s="370" t="s">
        <v>6</v>
      </c>
      <c r="T1150" s="2682" t="s">
        <v>14</v>
      </c>
      <c r="U1150" s="2683"/>
      <c r="V1150" s="375" t="s">
        <v>7</v>
      </c>
      <c r="W1150" s="376" t="s">
        <v>15</v>
      </c>
      <c r="X1150" s="377" t="s">
        <v>16</v>
      </c>
      <c r="Y1150" s="377" t="s">
        <v>17</v>
      </c>
      <c r="Z1150" s="377" t="s">
        <v>18</v>
      </c>
      <c r="AA1150" s="377"/>
      <c r="AB1150" s="460" t="s">
        <v>19</v>
      </c>
    </row>
    <row r="1151" spans="1:28" s="457" customFormat="1" ht="18" customHeight="1" x14ac:dyDescent="0.2">
      <c r="A1151" s="2687"/>
      <c r="B1151" s="366" t="s">
        <v>23</v>
      </c>
      <c r="C1151" s="2687"/>
      <c r="D1151" s="366" t="s">
        <v>24</v>
      </c>
      <c r="E1151" s="366" t="s">
        <v>25</v>
      </c>
      <c r="F1151" s="2699"/>
      <c r="G1151" s="2700"/>
      <c r="H1151" s="2701"/>
      <c r="I1151" s="366" t="s">
        <v>26</v>
      </c>
      <c r="J1151" s="380" t="s">
        <v>15</v>
      </c>
      <c r="K1151" s="380" t="s">
        <v>6</v>
      </c>
      <c r="L1151" s="2680"/>
      <c r="M1151" s="381" t="s">
        <v>27</v>
      </c>
      <c r="N1151" s="381" t="s">
        <v>10</v>
      </c>
      <c r="O1151" s="381" t="s">
        <v>10</v>
      </c>
      <c r="P1151" s="385" t="s">
        <v>28</v>
      </c>
      <c r="Q1151" s="461" t="s">
        <v>29</v>
      </c>
      <c r="R1151" s="385" t="s">
        <v>15</v>
      </c>
      <c r="S1151" s="385" t="s">
        <v>15</v>
      </c>
      <c r="T1151" s="2684"/>
      <c r="U1151" s="2685"/>
      <c r="V1151" s="375" t="s">
        <v>30</v>
      </c>
      <c r="W1151" s="376" t="s">
        <v>31</v>
      </c>
      <c r="X1151" s="377" t="s">
        <v>30</v>
      </c>
      <c r="Y1151" s="377" t="s">
        <v>32</v>
      </c>
      <c r="Z1151" s="377" t="s">
        <v>7</v>
      </c>
      <c r="AA1151" s="377" t="s">
        <v>33</v>
      </c>
      <c r="AB1151" s="460" t="s">
        <v>34</v>
      </c>
    </row>
    <row r="1152" spans="1:28" s="457" customFormat="1" ht="18" customHeight="1" x14ac:dyDescent="0.2">
      <c r="A1152" s="2687"/>
      <c r="B1152" s="366" t="s">
        <v>39</v>
      </c>
      <c r="C1152" s="2687"/>
      <c r="D1152" s="366" t="s">
        <v>40</v>
      </c>
      <c r="E1152" s="366" t="s">
        <v>41</v>
      </c>
      <c r="F1152" s="2686" t="s">
        <v>42</v>
      </c>
      <c r="G1152" s="2686" t="s">
        <v>43</v>
      </c>
      <c r="H1152" s="2688" t="s">
        <v>44</v>
      </c>
      <c r="I1152" s="366" t="s">
        <v>45</v>
      </c>
      <c r="J1152" s="380" t="s">
        <v>46</v>
      </c>
      <c r="K1152" s="380" t="s">
        <v>47</v>
      </c>
      <c r="L1152" s="2680"/>
      <c r="M1152" s="381" t="s">
        <v>30</v>
      </c>
      <c r="N1152" s="381" t="s">
        <v>30</v>
      </c>
      <c r="O1152" s="381" t="s">
        <v>25</v>
      </c>
      <c r="P1152" s="385" t="s">
        <v>30</v>
      </c>
      <c r="Q1152" s="461" t="s">
        <v>48</v>
      </c>
      <c r="R1152" s="385" t="s">
        <v>49</v>
      </c>
      <c r="S1152" s="385" t="s">
        <v>30</v>
      </c>
      <c r="T1152" s="374" t="s">
        <v>50</v>
      </c>
      <c r="U1152" s="374" t="s">
        <v>13</v>
      </c>
      <c r="V1152" s="375" t="s">
        <v>51</v>
      </c>
      <c r="W1152" s="376" t="s">
        <v>52</v>
      </c>
      <c r="X1152" s="377" t="s">
        <v>53</v>
      </c>
      <c r="Y1152" s="377" t="s">
        <v>54</v>
      </c>
      <c r="Z1152" s="377" t="s">
        <v>55</v>
      </c>
      <c r="AA1152" s="377" t="s">
        <v>56</v>
      </c>
      <c r="AB1152" s="460" t="s">
        <v>57</v>
      </c>
    </row>
    <row r="1153" spans="1:28" s="457" customFormat="1" ht="18" customHeight="1" x14ac:dyDescent="0.2">
      <c r="A1153" s="2687"/>
      <c r="B1153" s="366" t="s">
        <v>61</v>
      </c>
      <c r="C1153" s="2687"/>
      <c r="D1153" s="366" t="s">
        <v>62</v>
      </c>
      <c r="E1153" s="366" t="s">
        <v>63</v>
      </c>
      <c r="F1153" s="2687"/>
      <c r="G1153" s="2687"/>
      <c r="H1153" s="2689"/>
      <c r="I1153" s="366" t="s">
        <v>64</v>
      </c>
      <c r="J1153" s="380" t="s">
        <v>59</v>
      </c>
      <c r="K1153" s="380" t="s">
        <v>59</v>
      </c>
      <c r="L1153" s="2680"/>
      <c r="M1153" s="381"/>
      <c r="N1153" s="381"/>
      <c r="O1153" s="381" t="s">
        <v>41</v>
      </c>
      <c r="P1153" s="385" t="s">
        <v>65</v>
      </c>
      <c r="Q1153" s="461" t="s">
        <v>66</v>
      </c>
      <c r="R1153" s="385" t="s">
        <v>67</v>
      </c>
      <c r="S1153" s="385" t="s">
        <v>59</v>
      </c>
      <c r="T1153" s="375" t="s">
        <v>68</v>
      </c>
      <c r="U1153" s="375" t="s">
        <v>14</v>
      </c>
      <c r="V1153" s="375" t="s">
        <v>14</v>
      </c>
      <c r="W1153" s="376" t="s">
        <v>30</v>
      </c>
      <c r="X1153" s="388" t="s">
        <v>69</v>
      </c>
      <c r="Y1153" s="388" t="s">
        <v>70</v>
      </c>
      <c r="Z1153" s="377" t="s">
        <v>71</v>
      </c>
      <c r="AA1153" s="377" t="s">
        <v>72</v>
      </c>
      <c r="AB1153" s="460" t="s">
        <v>59</v>
      </c>
    </row>
    <row r="1154" spans="1:28" s="457" customFormat="1" ht="18" customHeight="1" x14ac:dyDescent="0.2">
      <c r="A1154" s="2692"/>
      <c r="B1154" s="390"/>
      <c r="C1154" s="2692"/>
      <c r="D1154" s="390"/>
      <c r="E1154" s="389"/>
      <c r="F1154" s="390"/>
      <c r="G1154" s="390"/>
      <c r="H1154" s="391"/>
      <c r="I1154" s="389"/>
      <c r="J1154" s="393"/>
      <c r="K1154" s="393"/>
      <c r="L1154" s="2681"/>
      <c r="M1154" s="394"/>
      <c r="N1154" s="394"/>
      <c r="O1154" s="394" t="s">
        <v>63</v>
      </c>
      <c r="P1154" s="394"/>
      <c r="Q1154" s="450" t="s">
        <v>72</v>
      </c>
      <c r="R1154" s="398" t="s">
        <v>59</v>
      </c>
      <c r="S1154" s="398"/>
      <c r="T1154" s="398" t="s">
        <v>73</v>
      </c>
      <c r="U1154" s="398" t="s">
        <v>59</v>
      </c>
      <c r="V1154" s="399" t="s">
        <v>59</v>
      </c>
      <c r="W1154" s="400" t="s">
        <v>59</v>
      </c>
      <c r="X1154" s="401" t="s">
        <v>59</v>
      </c>
      <c r="Y1154" s="401" t="s">
        <v>59</v>
      </c>
      <c r="Z1154" s="401" t="s">
        <v>59</v>
      </c>
      <c r="AA1154" s="402"/>
      <c r="AB1154" s="462"/>
    </row>
    <row r="1155" spans="1:28" s="457" customFormat="1" ht="18" customHeight="1" x14ac:dyDescent="0.2">
      <c r="A1155" s="53">
        <v>1</v>
      </c>
      <c r="B1155" s="95">
        <v>32163</v>
      </c>
      <c r="C1155" s="82">
        <v>971</v>
      </c>
      <c r="D1155" s="82" t="s">
        <v>86</v>
      </c>
      <c r="E1155" s="82">
        <v>4</v>
      </c>
      <c r="F1155" s="82">
        <v>0</v>
      </c>
      <c r="G1155" s="82">
        <v>1</v>
      </c>
      <c r="H1155" s="463">
        <v>57</v>
      </c>
      <c r="I1155" s="70">
        <f>F1155*400+G1155*100+H1155</f>
        <v>157</v>
      </c>
      <c r="J1155" s="123">
        <v>1600</v>
      </c>
      <c r="K1155" s="124">
        <f>SUM(I1155*J1155)</f>
        <v>251200</v>
      </c>
      <c r="L1155" s="53"/>
      <c r="M1155" s="82"/>
      <c r="N1155" s="82"/>
      <c r="O1155" s="53"/>
      <c r="P1155" s="358"/>
      <c r="Q1155" s="197"/>
      <c r="R1155" s="444"/>
      <c r="S1155" s="70"/>
      <c r="T1155" s="82"/>
      <c r="U1155" s="70"/>
      <c r="V1155" s="70"/>
      <c r="W1155" s="70">
        <f>K1155+V1155</f>
        <v>251200</v>
      </c>
      <c r="X1155" s="70">
        <f>W1155</f>
        <v>251200</v>
      </c>
      <c r="Y1155" s="123">
        <v>0</v>
      </c>
      <c r="Z1155" s="70">
        <f>+X1155</f>
        <v>251200</v>
      </c>
      <c r="AA1155" s="464">
        <v>0.6</v>
      </c>
      <c r="AB1155" s="465">
        <f>+Z1155*AA1155/100</f>
        <v>1507.2</v>
      </c>
    </row>
    <row r="1156" spans="1:28" s="457" customFormat="1" ht="18" customHeight="1" x14ac:dyDescent="0.2">
      <c r="A1156" s="242"/>
      <c r="B1156" s="145"/>
      <c r="C1156" s="496"/>
      <c r="D1156" s="88"/>
      <c r="E1156" s="85"/>
      <c r="F1156" s="411"/>
      <c r="G1156" s="242"/>
      <c r="H1156" s="497"/>
      <c r="I1156" s="74"/>
      <c r="J1156" s="121"/>
      <c r="K1156" s="159"/>
      <c r="L1156" s="75"/>
      <c r="M1156" s="88"/>
      <c r="N1156" s="88"/>
      <c r="O1156" s="75"/>
      <c r="P1156" s="180"/>
      <c r="Q1156" s="174"/>
      <c r="R1156" s="413"/>
      <c r="S1156" s="74"/>
      <c r="T1156" s="88"/>
      <c r="U1156" s="74"/>
      <c r="V1156" s="74"/>
      <c r="W1156" s="74"/>
      <c r="X1156" s="74"/>
      <c r="Y1156" s="74"/>
      <c r="Z1156" s="74"/>
      <c r="AA1156" s="414"/>
      <c r="AB1156" s="466"/>
    </row>
    <row r="1157" spans="1:28" s="457" customFormat="1" ht="18" customHeight="1" x14ac:dyDescent="0.2">
      <c r="A1157" s="242"/>
      <c r="B1157" s="145"/>
      <c r="C1157" s="496"/>
      <c r="D1157" s="145"/>
      <c r="E1157" s="102"/>
      <c r="F1157" s="499"/>
      <c r="G1157" s="241"/>
      <c r="H1157" s="500"/>
      <c r="I1157" s="77"/>
      <c r="J1157" s="107"/>
      <c r="K1157" s="78"/>
      <c r="L1157" s="61"/>
      <c r="M1157" s="145"/>
      <c r="N1157" s="145"/>
      <c r="O1157" s="61"/>
      <c r="P1157" s="177"/>
      <c r="Q1157" s="196"/>
      <c r="R1157" s="408"/>
      <c r="S1157" s="77"/>
      <c r="T1157" s="145"/>
      <c r="U1157" s="77"/>
      <c r="V1157" s="77"/>
      <c r="W1157" s="77"/>
      <c r="X1157" s="77"/>
      <c r="Y1157" s="77"/>
      <c r="Z1157" s="77"/>
      <c r="AA1157" s="409"/>
      <c r="AB1157" s="466"/>
    </row>
    <row r="1158" spans="1:28" s="457" customFormat="1" ht="18" customHeight="1" x14ac:dyDescent="0.2">
      <c r="A1158" s="242"/>
      <c r="B1158" s="242"/>
      <c r="C1158" s="496"/>
      <c r="D1158" s="144"/>
      <c r="E1158" s="85"/>
      <c r="F1158" s="411"/>
      <c r="G1158" s="242"/>
      <c r="H1158" s="497"/>
      <c r="I1158" s="77"/>
      <c r="J1158" s="107"/>
      <c r="K1158" s="78"/>
      <c r="L1158" s="242"/>
      <c r="M1158" s="242"/>
      <c r="N1158" s="242"/>
      <c r="O1158" s="242"/>
      <c r="P1158" s="497"/>
      <c r="Q1158" s="496"/>
      <c r="R1158" s="503"/>
      <c r="S1158" s="504"/>
      <c r="T1158" s="505"/>
      <c r="U1158" s="504"/>
      <c r="V1158" s="504"/>
      <c r="W1158" s="77"/>
      <c r="X1158" s="77"/>
      <c r="Y1158" s="77"/>
      <c r="Z1158" s="77"/>
      <c r="AA1158" s="409"/>
      <c r="AB1158" s="410"/>
    </row>
    <row r="1159" spans="1:28" s="457" customFormat="1" ht="18" customHeight="1" x14ac:dyDescent="0.2">
      <c r="A1159" s="242"/>
      <c r="B1159" s="242"/>
      <c r="C1159" s="496"/>
      <c r="D1159" s="88"/>
      <c r="E1159" s="85"/>
      <c r="F1159" s="411"/>
      <c r="G1159" s="242"/>
      <c r="H1159" s="497"/>
      <c r="I1159" s="77"/>
      <c r="J1159" s="107"/>
      <c r="K1159" s="78"/>
      <c r="L1159" s="242"/>
      <c r="M1159" s="242"/>
      <c r="N1159" s="242"/>
      <c r="O1159" s="242"/>
      <c r="P1159" s="497"/>
      <c r="Q1159" s="496"/>
      <c r="R1159" s="503"/>
      <c r="S1159" s="504"/>
      <c r="T1159" s="505"/>
      <c r="U1159" s="504"/>
      <c r="V1159" s="504"/>
      <c r="W1159" s="77"/>
      <c r="X1159" s="77"/>
      <c r="Y1159" s="77"/>
      <c r="Z1159" s="77"/>
      <c r="AA1159" s="409"/>
      <c r="AB1159" s="466"/>
    </row>
    <row r="1160" spans="1:28" s="457" customFormat="1" ht="18" customHeight="1" x14ac:dyDescent="0.2">
      <c r="A1160" s="242"/>
      <c r="B1160" s="242"/>
      <c r="C1160" s="496"/>
      <c r="D1160" s="144"/>
      <c r="E1160" s="88"/>
      <c r="F1160" s="411"/>
      <c r="G1160" s="242"/>
      <c r="H1160" s="497"/>
      <c r="I1160" s="77"/>
      <c r="J1160" s="107"/>
      <c r="K1160" s="78"/>
      <c r="L1160" s="242"/>
      <c r="M1160" s="242"/>
      <c r="N1160" s="242"/>
      <c r="O1160" s="242"/>
      <c r="P1160" s="497"/>
      <c r="Q1160" s="496"/>
      <c r="R1160" s="503"/>
      <c r="S1160" s="504"/>
      <c r="T1160" s="505"/>
      <c r="U1160" s="504"/>
      <c r="V1160" s="504"/>
      <c r="W1160" s="77"/>
      <c r="X1160" s="77"/>
      <c r="Y1160" s="77"/>
      <c r="Z1160" s="77"/>
      <c r="AA1160" s="409"/>
      <c r="AB1160" s="506"/>
    </row>
    <row r="1161" spans="1:28" s="457" customFormat="1" ht="18" customHeight="1" x14ac:dyDescent="0.2">
      <c r="A1161" s="242"/>
      <c r="B1161" s="242"/>
      <c r="C1161" s="496"/>
      <c r="D1161" s="88"/>
      <c r="E1161" s="231"/>
      <c r="F1161" s="411"/>
      <c r="G1161" s="242"/>
      <c r="H1161" s="497"/>
      <c r="I1161" s="77"/>
      <c r="J1161" s="107"/>
      <c r="K1161" s="78"/>
      <c r="L1161" s="242"/>
      <c r="M1161" s="242"/>
      <c r="N1161" s="242"/>
      <c r="O1161" s="242"/>
      <c r="P1161" s="497"/>
      <c r="Q1161" s="496"/>
      <c r="R1161" s="503"/>
      <c r="S1161" s="504"/>
      <c r="T1161" s="505"/>
      <c r="U1161" s="504"/>
      <c r="V1161" s="504"/>
      <c r="W1161" s="77"/>
      <c r="X1161" s="77"/>
      <c r="Y1161" s="77"/>
      <c r="Z1161" s="77"/>
      <c r="AA1161" s="409"/>
      <c r="AB1161" s="506"/>
    </row>
    <row r="1162" spans="1:28" s="457" customFormat="1" ht="18" customHeight="1" x14ac:dyDescent="0.2">
      <c r="A1162" s="242"/>
      <c r="B1162" s="242"/>
      <c r="C1162" s="496"/>
      <c r="D1162" s="231"/>
      <c r="E1162" s="144"/>
      <c r="F1162" s="411"/>
      <c r="G1162" s="242"/>
      <c r="H1162" s="497"/>
      <c r="I1162" s="77"/>
      <c r="J1162" s="107"/>
      <c r="K1162" s="78"/>
      <c r="L1162" s="242"/>
      <c r="M1162" s="242"/>
      <c r="N1162" s="242"/>
      <c r="O1162" s="242"/>
      <c r="P1162" s="497"/>
      <c r="Q1162" s="496"/>
      <c r="R1162" s="503"/>
      <c r="S1162" s="504"/>
      <c r="T1162" s="505"/>
      <c r="U1162" s="504"/>
      <c r="V1162" s="504"/>
      <c r="W1162" s="77"/>
      <c r="X1162" s="77"/>
      <c r="Y1162" s="77"/>
      <c r="Z1162" s="77"/>
      <c r="AA1162" s="409"/>
      <c r="AB1162" s="506"/>
    </row>
    <row r="1163" spans="1:28" s="457" customFormat="1" ht="18" customHeight="1" x14ac:dyDescent="0.2">
      <c r="A1163" s="242"/>
      <c r="B1163" s="242"/>
      <c r="C1163" s="496"/>
      <c r="D1163" s="144"/>
      <c r="E1163" s="144"/>
      <c r="F1163" s="411"/>
      <c r="G1163" s="242"/>
      <c r="H1163" s="497"/>
      <c r="I1163" s="77"/>
      <c r="J1163" s="107"/>
      <c r="K1163" s="78"/>
      <c r="L1163" s="242"/>
      <c r="M1163" s="242"/>
      <c r="N1163" s="242"/>
      <c r="O1163" s="242"/>
      <c r="P1163" s="497"/>
      <c r="Q1163" s="496"/>
      <c r="R1163" s="503"/>
      <c r="S1163" s="504"/>
      <c r="T1163" s="505"/>
      <c r="U1163" s="504"/>
      <c r="V1163" s="504"/>
      <c r="W1163" s="77"/>
      <c r="X1163" s="77"/>
      <c r="Y1163" s="77"/>
      <c r="Z1163" s="77"/>
      <c r="AA1163" s="409"/>
      <c r="AB1163" s="506"/>
    </row>
    <row r="1164" spans="1:28" s="457" customFormat="1" ht="18" customHeight="1" x14ac:dyDescent="0.2">
      <c r="A1164" s="242"/>
      <c r="B1164" s="242"/>
      <c r="C1164" s="496"/>
      <c r="D1164" s="88"/>
      <c r="E1164" s="144"/>
      <c r="F1164" s="411"/>
      <c r="G1164" s="242"/>
      <c r="H1164" s="497"/>
      <c r="I1164" s="77"/>
      <c r="J1164" s="107"/>
      <c r="K1164" s="78"/>
      <c r="L1164" s="242"/>
      <c r="M1164" s="242"/>
      <c r="N1164" s="242"/>
      <c r="O1164" s="242"/>
      <c r="P1164" s="497"/>
      <c r="Q1164" s="496"/>
      <c r="R1164" s="503"/>
      <c r="S1164" s="504"/>
      <c r="T1164" s="505"/>
      <c r="U1164" s="504"/>
      <c r="V1164" s="504"/>
      <c r="W1164" s="77"/>
      <c r="X1164" s="77"/>
      <c r="Y1164" s="77"/>
      <c r="Z1164" s="77"/>
      <c r="AA1164" s="409"/>
      <c r="AB1164" s="506"/>
    </row>
    <row r="1165" spans="1:28" s="457" customFormat="1" ht="18" customHeight="1" x14ac:dyDescent="0.2">
      <c r="A1165" s="242"/>
      <c r="B1165" s="242"/>
      <c r="C1165" s="496"/>
      <c r="D1165" s="231"/>
      <c r="E1165" s="88"/>
      <c r="F1165" s="411"/>
      <c r="G1165" s="242"/>
      <c r="H1165" s="497"/>
      <c r="I1165" s="77"/>
      <c r="J1165" s="107"/>
      <c r="K1165" s="78"/>
      <c r="L1165" s="242"/>
      <c r="M1165" s="242"/>
      <c r="N1165" s="242"/>
      <c r="O1165" s="242"/>
      <c r="P1165" s="497"/>
      <c r="Q1165" s="496"/>
      <c r="R1165" s="503"/>
      <c r="S1165" s="504"/>
      <c r="T1165" s="505"/>
      <c r="U1165" s="504"/>
      <c r="V1165" s="504"/>
      <c r="W1165" s="77"/>
      <c r="X1165" s="77"/>
      <c r="Y1165" s="77"/>
      <c r="Z1165" s="77"/>
      <c r="AA1165" s="409"/>
      <c r="AB1165" s="506"/>
    </row>
    <row r="1166" spans="1:28" s="457" customFormat="1" ht="18" customHeight="1" x14ac:dyDescent="0.2">
      <c r="A1166" s="242"/>
      <c r="B1166" s="242"/>
      <c r="C1166" s="496"/>
      <c r="D1166" s="231"/>
      <c r="E1166" s="88"/>
      <c r="F1166" s="411"/>
      <c r="G1166" s="242"/>
      <c r="H1166" s="497"/>
      <c r="I1166" s="77"/>
      <c r="J1166" s="1827"/>
      <c r="K1166" s="78"/>
      <c r="L1166" s="242"/>
      <c r="M1166" s="242"/>
      <c r="N1166" s="242"/>
      <c r="O1166" s="242"/>
      <c r="P1166" s="497"/>
      <c r="Q1166" s="496"/>
      <c r="R1166" s="503"/>
      <c r="S1166" s="504"/>
      <c r="T1166" s="505"/>
      <c r="U1166" s="504"/>
      <c r="V1166" s="504"/>
      <c r="W1166" s="77"/>
      <c r="X1166" s="77"/>
      <c r="Y1166" s="77"/>
      <c r="Z1166" s="77"/>
      <c r="AA1166" s="1828"/>
      <c r="AB1166" s="506"/>
    </row>
    <row r="1167" spans="1:28" s="457" customFormat="1" ht="18" customHeight="1" x14ac:dyDescent="0.2">
      <c r="A1167" s="242"/>
      <c r="B1167" s="242"/>
      <c r="C1167" s="496"/>
      <c r="D1167" s="231"/>
      <c r="E1167" s="88"/>
      <c r="F1167" s="411"/>
      <c r="G1167" s="242"/>
      <c r="H1167" s="497"/>
      <c r="I1167" s="77"/>
      <c r="J1167" s="1827"/>
      <c r="K1167" s="78"/>
      <c r="L1167" s="242"/>
      <c r="M1167" s="242"/>
      <c r="N1167" s="242"/>
      <c r="O1167" s="242"/>
      <c r="P1167" s="497"/>
      <c r="Q1167" s="496"/>
      <c r="R1167" s="503"/>
      <c r="S1167" s="504"/>
      <c r="T1167" s="505"/>
      <c r="U1167" s="504"/>
      <c r="V1167" s="504"/>
      <c r="W1167" s="77"/>
      <c r="X1167" s="77"/>
      <c r="Y1167" s="77"/>
      <c r="Z1167" s="77"/>
      <c r="AA1167" s="1828"/>
      <c r="AB1167" s="506"/>
    </row>
    <row r="1168" spans="1:28" s="457" customFormat="1" ht="18" customHeight="1" x14ac:dyDescent="0.2">
      <c r="A1168" s="242"/>
      <c r="B1168" s="242"/>
      <c r="C1168" s="496"/>
      <c r="D1168" s="231"/>
      <c r="E1168" s="88"/>
      <c r="F1168" s="411"/>
      <c r="G1168" s="242"/>
      <c r="H1168" s="497"/>
      <c r="I1168" s="77"/>
      <c r="J1168" s="1827"/>
      <c r="K1168" s="78"/>
      <c r="L1168" s="242"/>
      <c r="M1168" s="242"/>
      <c r="N1168" s="242"/>
      <c r="O1168" s="242"/>
      <c r="P1168" s="497"/>
      <c r="Q1168" s="496"/>
      <c r="R1168" s="503"/>
      <c r="S1168" s="504"/>
      <c r="T1168" s="505"/>
      <c r="U1168" s="504"/>
      <c r="V1168" s="504"/>
      <c r="W1168" s="77"/>
      <c r="X1168" s="77"/>
      <c r="Y1168" s="77"/>
      <c r="Z1168" s="77"/>
      <c r="AA1168" s="1828"/>
      <c r="AB1168" s="506"/>
    </row>
    <row r="1169" spans="1:28" s="457" customFormat="1" ht="18" customHeight="1" x14ac:dyDescent="0.2">
      <c r="A1169" s="242"/>
      <c r="B1169" s="242"/>
      <c r="C1169" s="496"/>
      <c r="D1169" s="144"/>
      <c r="E1169" s="88"/>
      <c r="F1169" s="411"/>
      <c r="G1169" s="242"/>
      <c r="H1169" s="497"/>
      <c r="I1169" s="77"/>
      <c r="J1169" s="107"/>
      <c r="K1169" s="78"/>
      <c r="L1169" s="242"/>
      <c r="M1169" s="242"/>
      <c r="N1169" s="242"/>
      <c r="O1169" s="242"/>
      <c r="P1169" s="497"/>
      <c r="Q1169" s="496"/>
      <c r="R1169" s="503"/>
      <c r="S1169" s="504"/>
      <c r="T1169" s="505"/>
      <c r="U1169" s="504"/>
      <c r="V1169" s="504"/>
      <c r="W1169" s="77"/>
      <c r="X1169" s="77"/>
      <c r="Y1169" s="77"/>
      <c r="Z1169" s="77"/>
      <c r="AA1169" s="409"/>
      <c r="AB1169" s="506"/>
    </row>
    <row r="1170" spans="1:28" s="457" customFormat="1" ht="18" customHeight="1" x14ac:dyDescent="0.2">
      <c r="A1170" s="242"/>
      <c r="B1170" s="242"/>
      <c r="C1170" s="496"/>
      <c r="D1170" s="1825"/>
      <c r="E1170" s="231"/>
      <c r="F1170" s="411"/>
      <c r="G1170" s="242"/>
      <c r="H1170" s="497"/>
      <c r="I1170" s="77"/>
      <c r="J1170" s="1827"/>
      <c r="K1170" s="78"/>
      <c r="L1170" s="242"/>
      <c r="M1170" s="242"/>
      <c r="N1170" s="242"/>
      <c r="O1170" s="242"/>
      <c r="P1170" s="497"/>
      <c r="Q1170" s="496"/>
      <c r="R1170" s="503"/>
      <c r="S1170" s="504"/>
      <c r="T1170" s="505"/>
      <c r="U1170" s="504"/>
      <c r="V1170" s="504"/>
      <c r="W1170" s="77"/>
      <c r="X1170" s="77"/>
      <c r="Y1170" s="77"/>
      <c r="Z1170" s="77"/>
      <c r="AA1170" s="1828"/>
      <c r="AB1170" s="506"/>
    </row>
    <row r="1171" spans="1:28" s="457" customFormat="1" ht="18" customHeight="1" x14ac:dyDescent="0.2">
      <c r="A1171" s="242"/>
      <c r="B1171" s="242"/>
      <c r="C1171" s="496"/>
      <c r="D1171" s="88"/>
      <c r="E1171" s="231"/>
      <c r="F1171" s="411"/>
      <c r="G1171" s="242"/>
      <c r="H1171" s="497"/>
      <c r="I1171" s="77"/>
      <c r="J1171" s="107"/>
      <c r="K1171" s="78"/>
      <c r="L1171" s="242"/>
      <c r="M1171" s="242"/>
      <c r="N1171" s="242"/>
      <c r="O1171" s="242"/>
      <c r="P1171" s="497"/>
      <c r="Q1171" s="496"/>
      <c r="R1171" s="503"/>
      <c r="S1171" s="504"/>
      <c r="T1171" s="505"/>
      <c r="U1171" s="504"/>
      <c r="V1171" s="504"/>
      <c r="W1171" s="77"/>
      <c r="X1171" s="77"/>
      <c r="Y1171" s="77"/>
      <c r="Z1171" s="77"/>
      <c r="AA1171" s="409"/>
      <c r="AB1171" s="506"/>
    </row>
    <row r="1172" spans="1:28" s="457" customFormat="1" ht="18" customHeight="1" x14ac:dyDescent="0.2">
      <c r="A1172" s="242"/>
      <c r="B1172" s="242"/>
      <c r="C1172" s="496"/>
      <c r="D1172" s="88"/>
      <c r="E1172" s="144"/>
      <c r="F1172" s="411"/>
      <c r="G1172" s="242"/>
      <c r="H1172" s="497"/>
      <c r="I1172" s="77"/>
      <c r="J1172" s="107"/>
      <c r="K1172" s="78"/>
      <c r="L1172" s="242"/>
      <c r="M1172" s="242"/>
      <c r="N1172" s="242"/>
      <c r="O1172" s="242"/>
      <c r="P1172" s="497"/>
      <c r="Q1172" s="496"/>
      <c r="R1172" s="503"/>
      <c r="S1172" s="504"/>
      <c r="T1172" s="505"/>
      <c r="U1172" s="504"/>
      <c r="V1172" s="504"/>
      <c r="W1172" s="77"/>
      <c r="X1172" s="77"/>
      <c r="Y1172" s="77"/>
      <c r="Z1172" s="77"/>
      <c r="AA1172" s="409"/>
      <c r="AB1172" s="506"/>
    </row>
    <row r="1173" spans="1:28" s="457" customFormat="1" ht="18" customHeight="1" x14ac:dyDescent="0.2">
      <c r="A1173" s="242"/>
      <c r="B1173" s="242"/>
      <c r="C1173" s="496"/>
      <c r="D1173" s="88"/>
      <c r="E1173" s="88"/>
      <c r="F1173" s="411"/>
      <c r="G1173" s="242"/>
      <c r="H1173" s="497"/>
      <c r="I1173" s="77"/>
      <c r="J1173" s="107"/>
      <c r="K1173" s="78"/>
      <c r="L1173" s="242"/>
      <c r="M1173" s="242"/>
      <c r="N1173" s="242"/>
      <c r="O1173" s="242"/>
      <c r="P1173" s="497"/>
      <c r="Q1173" s="496"/>
      <c r="R1173" s="503"/>
      <c r="S1173" s="504"/>
      <c r="T1173" s="505"/>
      <c r="U1173" s="504"/>
      <c r="V1173" s="504"/>
      <c r="W1173" s="77"/>
      <c r="X1173" s="77"/>
      <c r="Y1173" s="77"/>
      <c r="Z1173" s="77"/>
      <c r="AA1173" s="409"/>
      <c r="AB1173" s="506"/>
    </row>
    <row r="1174" spans="1:28" s="597" customFormat="1" ht="18" customHeight="1" x14ac:dyDescent="0.2">
      <c r="A1174" s="1850"/>
      <c r="B1174" s="1850"/>
      <c r="C1174" s="1850"/>
      <c r="D1174" s="1850"/>
      <c r="E1174" s="1850"/>
      <c r="F1174" s="1850"/>
      <c r="G1174" s="1850"/>
      <c r="H1174" s="1851"/>
      <c r="I1174" s="1852"/>
      <c r="J1174" s="1853"/>
      <c r="K1174" s="1852"/>
      <c r="L1174" s="1852"/>
      <c r="M1174" s="1852"/>
      <c r="N1174" s="1852"/>
      <c r="O1174" s="1852"/>
      <c r="P1174" s="1852"/>
      <c r="Q1174" s="1852"/>
      <c r="R1174" s="1854"/>
      <c r="S1174" s="1852"/>
      <c r="T1174" s="1855"/>
      <c r="U1174" s="1853"/>
      <c r="V1174" s="1852"/>
      <c r="W1174" s="1852"/>
      <c r="X1174" s="1856"/>
      <c r="Y1174" s="1856"/>
      <c r="Z1174" s="1857"/>
      <c r="AA1174" s="1857"/>
      <c r="AB1174" s="1847">
        <f>SUM(AB1155:AB1173)</f>
        <v>1507.2</v>
      </c>
    </row>
    <row r="1175" spans="1:28" s="457" customFormat="1" ht="18" customHeight="1" x14ac:dyDescent="0.2">
      <c r="A1175" s="2737" t="s">
        <v>76</v>
      </c>
      <c r="B1175" s="2737"/>
      <c r="C1175" s="2738" t="s">
        <v>77</v>
      </c>
      <c r="D1175" s="2738"/>
      <c r="E1175" s="2738"/>
      <c r="F1175" s="2738"/>
      <c r="G1175" s="2738"/>
      <c r="H1175" s="2738"/>
      <c r="I1175" s="457" t="s">
        <v>78</v>
      </c>
      <c r="AB1175" s="478"/>
    </row>
    <row r="1176" spans="1:28" s="457" customFormat="1" ht="18" customHeight="1" x14ac:dyDescent="0.2">
      <c r="B1176" s="479"/>
      <c r="I1176" s="457" t="s">
        <v>79</v>
      </c>
      <c r="AB1176" s="478"/>
    </row>
    <row r="1177" spans="1:28" s="457" customFormat="1" ht="18" customHeight="1" x14ac:dyDescent="0.2">
      <c r="B1177" s="479"/>
      <c r="I1177" s="457" t="s">
        <v>80</v>
      </c>
      <c r="AB1177" s="478"/>
    </row>
    <row r="1178" spans="1:28" s="457" customFormat="1" ht="18" customHeight="1" x14ac:dyDescent="0.2">
      <c r="B1178" s="479"/>
      <c r="I1178" s="457" t="s">
        <v>81</v>
      </c>
      <c r="AB1178" s="478"/>
    </row>
    <row r="1179" spans="1:28" s="457" customFormat="1" ht="18" customHeight="1" x14ac:dyDescent="0.2">
      <c r="B1179" s="479"/>
      <c r="I1179" s="457" t="s">
        <v>88</v>
      </c>
      <c r="AB1179" s="478"/>
    </row>
    <row r="1180" spans="1:28" s="457" customFormat="1" ht="18" customHeight="1" x14ac:dyDescent="0.2">
      <c r="A1180" s="455"/>
      <c r="B1180" s="455"/>
      <c r="C1180" s="455"/>
      <c r="D1180" s="455"/>
      <c r="E1180" s="455"/>
      <c r="F1180" s="455"/>
      <c r="G1180" s="455"/>
      <c r="H1180" s="455"/>
      <c r="I1180" s="455"/>
      <c r="J1180" s="455"/>
      <c r="K1180" s="455"/>
      <c r="L1180" s="455"/>
      <c r="M1180" s="455"/>
      <c r="N1180" s="455"/>
      <c r="O1180" s="455"/>
      <c r="P1180" s="455"/>
      <c r="Q1180" s="455"/>
      <c r="R1180" s="455"/>
      <c r="S1180" s="455"/>
      <c r="T1180" s="455"/>
      <c r="U1180" s="455"/>
      <c r="V1180" s="455"/>
      <c r="W1180" s="455"/>
      <c r="X1180" s="455"/>
      <c r="Y1180" s="455"/>
      <c r="Z1180" s="455"/>
      <c r="AA1180" s="2705" t="s">
        <v>0</v>
      </c>
      <c r="AB1180" s="2705"/>
    </row>
    <row r="1181" spans="1:28" s="457" customFormat="1" ht="18" customHeight="1" x14ac:dyDescent="0.2">
      <c r="A1181" s="2706" t="s">
        <v>1</v>
      </c>
      <c r="B1181" s="2706"/>
      <c r="C1181" s="2706"/>
      <c r="D1181" s="2706"/>
      <c r="E1181" s="2706"/>
      <c r="F1181" s="2706"/>
      <c r="G1181" s="2706"/>
      <c r="H1181" s="2706"/>
      <c r="I1181" s="2706"/>
      <c r="J1181" s="2706"/>
      <c r="K1181" s="2706"/>
      <c r="L1181" s="2706"/>
      <c r="M1181" s="2706"/>
      <c r="N1181" s="2706"/>
      <c r="O1181" s="2706"/>
      <c r="P1181" s="2706"/>
      <c r="Q1181" s="2706"/>
      <c r="R1181" s="2706"/>
      <c r="S1181" s="2706"/>
      <c r="T1181" s="2706"/>
      <c r="U1181" s="2706"/>
      <c r="V1181" s="2706"/>
      <c r="W1181" s="2706"/>
      <c r="X1181" s="2706"/>
      <c r="Y1181" s="2706"/>
      <c r="Z1181" s="2706"/>
      <c r="AA1181" s="2706"/>
      <c r="AB1181" s="2706"/>
    </row>
    <row r="1182" spans="1:28" s="457" customFormat="1" ht="18" customHeight="1" x14ac:dyDescent="0.2">
      <c r="A1182" s="2741" t="s">
        <v>360</v>
      </c>
      <c r="B1182" s="2741"/>
      <c r="C1182" s="2741"/>
      <c r="D1182" s="2741"/>
      <c r="E1182" s="2741"/>
      <c r="F1182" s="2741"/>
      <c r="G1182" s="2741"/>
      <c r="H1182" s="2741"/>
      <c r="I1182" s="2741"/>
      <c r="J1182" s="2741"/>
      <c r="K1182" s="2741"/>
      <c r="L1182" s="2741"/>
      <c r="M1182" s="2741"/>
      <c r="N1182" s="2741"/>
      <c r="O1182" s="2741"/>
      <c r="P1182" s="2741"/>
      <c r="Q1182" s="2741"/>
      <c r="R1182" s="2741"/>
      <c r="S1182" s="2741"/>
      <c r="T1182" s="2741"/>
      <c r="U1182" s="2741"/>
      <c r="V1182" s="2741"/>
      <c r="W1182" s="2741"/>
      <c r="X1182" s="2741"/>
      <c r="Y1182" s="2741"/>
      <c r="Z1182" s="2741"/>
      <c r="AA1182" s="2741"/>
      <c r="AB1182" s="2741"/>
    </row>
    <row r="1183" spans="1:28" s="457" customFormat="1" ht="18" customHeight="1" x14ac:dyDescent="0.2">
      <c r="A1183" s="2686" t="s">
        <v>2</v>
      </c>
      <c r="B1183" s="360"/>
      <c r="C1183" s="2686" t="s">
        <v>3</v>
      </c>
      <c r="D1183" s="360"/>
      <c r="E1183" s="360"/>
      <c r="F1183" s="2693" t="s">
        <v>4</v>
      </c>
      <c r="G1183" s="2693"/>
      <c r="H1183" s="2693"/>
      <c r="I1183" s="2694"/>
      <c r="J1183" s="2694"/>
      <c r="K1183" s="2695"/>
      <c r="L1183" s="361"/>
      <c r="M1183" s="2679" t="s">
        <v>5</v>
      </c>
      <c r="N1183" s="2679"/>
      <c r="O1183" s="2679"/>
      <c r="P1183" s="2679"/>
      <c r="Q1183" s="2696"/>
      <c r="R1183" s="2696"/>
      <c r="S1183" s="2696"/>
      <c r="T1183" s="2696"/>
      <c r="U1183" s="2696"/>
      <c r="V1183" s="2697"/>
      <c r="W1183" s="362" t="s">
        <v>6</v>
      </c>
      <c r="X1183" s="363" t="s">
        <v>7</v>
      </c>
      <c r="Y1183" s="364"/>
      <c r="Z1183" s="364"/>
      <c r="AA1183" s="363"/>
      <c r="AB1183" s="458"/>
    </row>
    <row r="1184" spans="1:28" s="457" customFormat="1" ht="18" customHeight="1" x14ac:dyDescent="0.2">
      <c r="A1184" s="2687"/>
      <c r="B1184" s="367"/>
      <c r="C1184" s="2687"/>
      <c r="D1184" s="1694" t="s">
        <v>9</v>
      </c>
      <c r="E1184" s="1694" t="s">
        <v>10</v>
      </c>
      <c r="F1184" s="2698" t="s">
        <v>11</v>
      </c>
      <c r="G1184" s="2694"/>
      <c r="H1184" s="2695"/>
      <c r="I1184" s="360"/>
      <c r="J1184" s="1693" t="s">
        <v>12</v>
      </c>
      <c r="K1184" s="360"/>
      <c r="L1184" s="2679" t="s">
        <v>2</v>
      </c>
      <c r="M1184" s="1699"/>
      <c r="N1184" s="1699"/>
      <c r="O1184" s="1699"/>
      <c r="P1184" s="371"/>
      <c r="Q1184" s="459" t="s">
        <v>13</v>
      </c>
      <c r="R1184" s="1699" t="s">
        <v>12</v>
      </c>
      <c r="S1184" s="1699" t="s">
        <v>6</v>
      </c>
      <c r="T1184" s="2682" t="s">
        <v>14</v>
      </c>
      <c r="U1184" s="2683"/>
      <c r="V1184" s="375" t="s">
        <v>7</v>
      </c>
      <c r="W1184" s="376" t="s">
        <v>15</v>
      </c>
      <c r="X1184" s="377" t="s">
        <v>16</v>
      </c>
      <c r="Y1184" s="377" t="s">
        <v>17</v>
      </c>
      <c r="Z1184" s="377" t="s">
        <v>18</v>
      </c>
      <c r="AA1184" s="377"/>
      <c r="AB1184" s="460" t="s">
        <v>19</v>
      </c>
    </row>
    <row r="1185" spans="1:32" s="457" customFormat="1" ht="18" customHeight="1" x14ac:dyDescent="0.2">
      <c r="A1185" s="2687"/>
      <c r="B1185" s="1694" t="s">
        <v>23</v>
      </c>
      <c r="C1185" s="2687"/>
      <c r="D1185" s="1694" t="s">
        <v>24</v>
      </c>
      <c r="E1185" s="1694" t="s">
        <v>25</v>
      </c>
      <c r="F1185" s="2699"/>
      <c r="G1185" s="2700"/>
      <c r="H1185" s="2701"/>
      <c r="I1185" s="1694" t="s">
        <v>26</v>
      </c>
      <c r="J1185" s="1698" t="s">
        <v>15</v>
      </c>
      <c r="K1185" s="1698" t="s">
        <v>6</v>
      </c>
      <c r="L1185" s="2680"/>
      <c r="M1185" s="1700" t="s">
        <v>27</v>
      </c>
      <c r="N1185" s="1700" t="s">
        <v>10</v>
      </c>
      <c r="O1185" s="1700" t="s">
        <v>10</v>
      </c>
      <c r="P1185" s="385" t="s">
        <v>28</v>
      </c>
      <c r="Q1185" s="461" t="s">
        <v>29</v>
      </c>
      <c r="R1185" s="385" t="s">
        <v>15</v>
      </c>
      <c r="S1185" s="385" t="s">
        <v>15</v>
      </c>
      <c r="T1185" s="2684"/>
      <c r="U1185" s="2685"/>
      <c r="V1185" s="375" t="s">
        <v>30</v>
      </c>
      <c r="W1185" s="376" t="s">
        <v>31</v>
      </c>
      <c r="X1185" s="377" t="s">
        <v>30</v>
      </c>
      <c r="Y1185" s="377" t="s">
        <v>32</v>
      </c>
      <c r="Z1185" s="377" t="s">
        <v>7</v>
      </c>
      <c r="AA1185" s="377" t="s">
        <v>33</v>
      </c>
      <c r="AB1185" s="460" t="s">
        <v>34</v>
      </c>
    </row>
    <row r="1186" spans="1:32" s="457" customFormat="1" ht="18" customHeight="1" x14ac:dyDescent="0.2">
      <c r="A1186" s="2687"/>
      <c r="B1186" s="1694" t="s">
        <v>39</v>
      </c>
      <c r="C1186" s="2687"/>
      <c r="D1186" s="1694" t="s">
        <v>40</v>
      </c>
      <c r="E1186" s="1694" t="s">
        <v>41</v>
      </c>
      <c r="F1186" s="2686" t="s">
        <v>42</v>
      </c>
      <c r="G1186" s="2686" t="s">
        <v>43</v>
      </c>
      <c r="H1186" s="2688" t="s">
        <v>44</v>
      </c>
      <c r="I1186" s="1694" t="s">
        <v>45</v>
      </c>
      <c r="J1186" s="1698" t="s">
        <v>46</v>
      </c>
      <c r="K1186" s="1698" t="s">
        <v>47</v>
      </c>
      <c r="L1186" s="2680"/>
      <c r="M1186" s="1700" t="s">
        <v>30</v>
      </c>
      <c r="N1186" s="1700" t="s">
        <v>30</v>
      </c>
      <c r="O1186" s="1700" t="s">
        <v>25</v>
      </c>
      <c r="P1186" s="385" t="s">
        <v>30</v>
      </c>
      <c r="Q1186" s="461" t="s">
        <v>48</v>
      </c>
      <c r="R1186" s="385" t="s">
        <v>49</v>
      </c>
      <c r="S1186" s="385" t="s">
        <v>30</v>
      </c>
      <c r="T1186" s="1697" t="s">
        <v>50</v>
      </c>
      <c r="U1186" s="1697" t="s">
        <v>13</v>
      </c>
      <c r="V1186" s="375" t="s">
        <v>51</v>
      </c>
      <c r="W1186" s="376" t="s">
        <v>52</v>
      </c>
      <c r="X1186" s="377" t="s">
        <v>53</v>
      </c>
      <c r="Y1186" s="377" t="s">
        <v>54</v>
      </c>
      <c r="Z1186" s="377" t="s">
        <v>55</v>
      </c>
      <c r="AA1186" s="377" t="s">
        <v>56</v>
      </c>
      <c r="AB1186" s="460" t="s">
        <v>57</v>
      </c>
    </row>
    <row r="1187" spans="1:32" s="457" customFormat="1" ht="18" customHeight="1" x14ac:dyDescent="0.2">
      <c r="A1187" s="2687"/>
      <c r="B1187" s="1694" t="s">
        <v>61</v>
      </c>
      <c r="C1187" s="2687"/>
      <c r="D1187" s="1694" t="s">
        <v>62</v>
      </c>
      <c r="E1187" s="1694" t="s">
        <v>63</v>
      </c>
      <c r="F1187" s="2687"/>
      <c r="G1187" s="2687"/>
      <c r="H1187" s="2689"/>
      <c r="I1187" s="1694" t="s">
        <v>64</v>
      </c>
      <c r="J1187" s="1698" t="s">
        <v>59</v>
      </c>
      <c r="K1187" s="1698" t="s">
        <v>59</v>
      </c>
      <c r="L1187" s="2680"/>
      <c r="M1187" s="1700"/>
      <c r="N1187" s="1700"/>
      <c r="O1187" s="1700" t="s">
        <v>41</v>
      </c>
      <c r="P1187" s="385" t="s">
        <v>65</v>
      </c>
      <c r="Q1187" s="461" t="s">
        <v>66</v>
      </c>
      <c r="R1187" s="385" t="s">
        <v>67</v>
      </c>
      <c r="S1187" s="385" t="s">
        <v>59</v>
      </c>
      <c r="T1187" s="375" t="s">
        <v>68</v>
      </c>
      <c r="U1187" s="375" t="s">
        <v>14</v>
      </c>
      <c r="V1187" s="375" t="s">
        <v>14</v>
      </c>
      <c r="W1187" s="376" t="s">
        <v>30</v>
      </c>
      <c r="X1187" s="388" t="s">
        <v>69</v>
      </c>
      <c r="Y1187" s="388" t="s">
        <v>70</v>
      </c>
      <c r="Z1187" s="377" t="s">
        <v>71</v>
      </c>
      <c r="AA1187" s="377" t="s">
        <v>72</v>
      </c>
      <c r="AB1187" s="460" t="s">
        <v>59</v>
      </c>
    </row>
    <row r="1188" spans="1:32" s="457" customFormat="1" ht="18" customHeight="1" x14ac:dyDescent="0.2">
      <c r="A1188" s="2692"/>
      <c r="B1188" s="390"/>
      <c r="C1188" s="2692"/>
      <c r="D1188" s="390"/>
      <c r="E1188" s="1695"/>
      <c r="F1188" s="390"/>
      <c r="G1188" s="390"/>
      <c r="H1188" s="391"/>
      <c r="I1188" s="1695"/>
      <c r="J1188" s="393"/>
      <c r="K1188" s="393"/>
      <c r="L1188" s="2681"/>
      <c r="M1188" s="1701"/>
      <c r="N1188" s="1701"/>
      <c r="O1188" s="1701" t="s">
        <v>63</v>
      </c>
      <c r="P1188" s="1701"/>
      <c r="Q1188" s="1696" t="s">
        <v>72</v>
      </c>
      <c r="R1188" s="398" t="s">
        <v>59</v>
      </c>
      <c r="S1188" s="398"/>
      <c r="T1188" s="398" t="s">
        <v>73</v>
      </c>
      <c r="U1188" s="398" t="s">
        <v>59</v>
      </c>
      <c r="V1188" s="399" t="s">
        <v>59</v>
      </c>
      <c r="W1188" s="400" t="s">
        <v>59</v>
      </c>
      <c r="X1188" s="401" t="s">
        <v>59</v>
      </c>
      <c r="Y1188" s="401" t="s">
        <v>59</v>
      </c>
      <c r="Z1188" s="401" t="s">
        <v>59</v>
      </c>
      <c r="AA1188" s="402"/>
      <c r="AB1188" s="462"/>
    </row>
    <row r="1189" spans="1:32" s="457" customFormat="1" ht="18" customHeight="1" x14ac:dyDescent="0.2">
      <c r="A1189" s="242">
        <v>1</v>
      </c>
      <c r="B1189" s="242">
        <v>59024</v>
      </c>
      <c r="C1189" s="496" t="s">
        <v>361</v>
      </c>
      <c r="D1189" s="88" t="s">
        <v>86</v>
      </c>
      <c r="E1189" s="1703">
        <v>1</v>
      </c>
      <c r="F1189" s="1759">
        <v>1</v>
      </c>
      <c r="G1189" s="1679">
        <v>0</v>
      </c>
      <c r="H1189" s="1760">
        <v>28.4</v>
      </c>
      <c r="I1189" s="77">
        <f t="shared" ref="I1189:I1190" si="171">F1189*400+G1189*100+H1189</f>
        <v>428.4</v>
      </c>
      <c r="J1189" s="1749">
        <v>300</v>
      </c>
      <c r="K1189" s="78">
        <f t="shared" ref="K1189:K1190" si="172">SUM(I1189*J1189)</f>
        <v>128520</v>
      </c>
      <c r="L1189" s="242"/>
      <c r="M1189" s="242"/>
      <c r="N1189" s="242"/>
      <c r="O1189" s="61">
        <v>1</v>
      </c>
      <c r="P1189" s="497"/>
      <c r="Q1189" s="496"/>
      <c r="R1189" s="408"/>
      <c r="S1189" s="77"/>
      <c r="T1189" s="505"/>
      <c r="U1189" s="74"/>
      <c r="V1189" s="74"/>
      <c r="W1189" s="77">
        <f>+K1189+V1189</f>
        <v>128520</v>
      </c>
      <c r="X1189" s="74">
        <f>W1189</f>
        <v>128520</v>
      </c>
      <c r="Y1189" s="676" t="s">
        <v>87</v>
      </c>
      <c r="Z1189" s="77">
        <v>0</v>
      </c>
      <c r="AA1189" s="1706">
        <v>0.01</v>
      </c>
      <c r="AB1189" s="465">
        <f>(Z1189*AA1189/100)</f>
        <v>0</v>
      </c>
      <c r="AC1189" s="602"/>
      <c r="AD1189" s="603">
        <f>AB1189-AC1189</f>
        <v>0</v>
      </c>
      <c r="AE1189" s="603">
        <f>IF(AD1189&lt;=0,0,AD1189*25/100)</f>
        <v>0</v>
      </c>
      <c r="AF1189" s="603">
        <f>IF(AC1189+AE1189&gt;AB1189,AB1189,AC1189+AE1189)</f>
        <v>0</v>
      </c>
    </row>
    <row r="1190" spans="1:32" s="457" customFormat="1" ht="18" customHeight="1" x14ac:dyDescent="0.2">
      <c r="A1190" s="786">
        <v>2</v>
      </c>
      <c r="B1190" s="85">
        <v>43524</v>
      </c>
      <c r="C1190" s="1765" t="s">
        <v>362</v>
      </c>
      <c r="D1190" s="85" t="s">
        <v>86</v>
      </c>
      <c r="E1190" s="85">
        <v>4</v>
      </c>
      <c r="F1190" s="1762">
        <v>0</v>
      </c>
      <c r="G1190" s="1762">
        <v>3</v>
      </c>
      <c r="H1190" s="1762">
        <v>34.799999999999997</v>
      </c>
      <c r="I1190" s="504">
        <f t="shared" si="171"/>
        <v>334.8</v>
      </c>
      <c r="J1190" s="1763">
        <v>1000</v>
      </c>
      <c r="K1190" s="1761">
        <f t="shared" si="172"/>
        <v>334800</v>
      </c>
      <c r="L1190" s="85"/>
      <c r="M1190" s="85"/>
      <c r="N1190" s="85"/>
      <c r="O1190" s="85">
        <v>1</v>
      </c>
      <c r="P1190" s="412"/>
      <c r="Q1190" s="412"/>
      <c r="R1190" s="1047"/>
      <c r="S1190" s="1047"/>
      <c r="T1190" s="412"/>
      <c r="U1190" s="1047"/>
      <c r="V1190" s="1047"/>
      <c r="W1190" s="103">
        <f>+K1190+V1190</f>
        <v>334800</v>
      </c>
      <c r="X1190" s="504">
        <f>W1190</f>
        <v>334800</v>
      </c>
      <c r="Y1190" s="1766"/>
      <c r="Z1190" s="103">
        <v>0</v>
      </c>
      <c r="AA1190" s="788">
        <v>0.01</v>
      </c>
      <c r="AB1190" s="410">
        <f t="shared" ref="AB1190:AB1192" si="173">(Z1190*AA1190/100)</f>
        <v>0</v>
      </c>
      <c r="AC1190" s="602"/>
      <c r="AD1190" s="603">
        <f>AB1190-AC1190</f>
        <v>0</v>
      </c>
      <c r="AE1190" s="603">
        <f>IF(AD1190&lt;=0,0,AD1190*25/100)</f>
        <v>0</v>
      </c>
      <c r="AF1190" s="603">
        <f>IF(AC1190+AE1190&gt;AB1190,AB1190,AC1190+AE1190)</f>
        <v>0</v>
      </c>
    </row>
    <row r="1191" spans="1:32" s="457" customFormat="1" ht="18" customHeight="1" x14ac:dyDescent="0.2">
      <c r="A1191" s="61">
        <v>3</v>
      </c>
      <c r="B1191" s="102">
        <v>2358</v>
      </c>
      <c r="C1191" s="1703">
        <v>100</v>
      </c>
      <c r="D1191" s="1703" t="s">
        <v>86</v>
      </c>
      <c r="E1191" s="1703">
        <v>1</v>
      </c>
      <c r="F1191" s="1747">
        <v>1</v>
      </c>
      <c r="G1191" s="1747">
        <v>1</v>
      </c>
      <c r="H1191" s="1748">
        <v>82.4</v>
      </c>
      <c r="I1191" s="77">
        <f>F1191*400+G1191*100+H1191</f>
        <v>582.4</v>
      </c>
      <c r="J1191" s="1749">
        <v>300</v>
      </c>
      <c r="K1191" s="78">
        <f>SUM(I1191*J1191)</f>
        <v>174720</v>
      </c>
      <c r="L1191" s="75"/>
      <c r="M1191" s="61"/>
      <c r="N1191" s="61"/>
      <c r="O1191" s="61">
        <v>1</v>
      </c>
      <c r="P1191" s="173"/>
      <c r="Q1191" s="174"/>
      <c r="R1191" s="408"/>
      <c r="S1191" s="77"/>
      <c r="T1191" s="135"/>
      <c r="U1191" s="74"/>
      <c r="V1191" s="74"/>
      <c r="W1191" s="77">
        <f>+K1191+V1191</f>
        <v>174720</v>
      </c>
      <c r="X1191" s="74">
        <f>W1191</f>
        <v>174720</v>
      </c>
      <c r="Y1191" s="676"/>
      <c r="Z1191" s="77">
        <v>0</v>
      </c>
      <c r="AA1191" s="1706">
        <v>0.01</v>
      </c>
      <c r="AB1191" s="466">
        <f t="shared" si="173"/>
        <v>0</v>
      </c>
      <c r="AC1191" s="350"/>
      <c r="AD1191" s="350"/>
      <c r="AE1191" s="350"/>
      <c r="AF1191" s="350"/>
    </row>
    <row r="1192" spans="1:32" s="457" customFormat="1" ht="18" customHeight="1" x14ac:dyDescent="0.2">
      <c r="A1192" s="242">
        <v>4</v>
      </c>
      <c r="B1192" s="242">
        <v>37538</v>
      </c>
      <c r="C1192" s="496" t="s">
        <v>157</v>
      </c>
      <c r="D1192" s="88" t="s">
        <v>86</v>
      </c>
      <c r="E1192" s="85">
        <v>2</v>
      </c>
      <c r="F1192" s="1759">
        <v>1</v>
      </c>
      <c r="G1192" s="1679">
        <v>3</v>
      </c>
      <c r="H1192" s="1760">
        <v>76</v>
      </c>
      <c r="I1192" s="77">
        <f t="shared" ref="I1192" si="174">F1192*400+G1192*100+H1192</f>
        <v>776</v>
      </c>
      <c r="J1192" s="1749">
        <v>880</v>
      </c>
      <c r="K1192" s="78">
        <f t="shared" ref="K1192" si="175">SUM(I1192*J1192)</f>
        <v>682880</v>
      </c>
      <c r="L1192" s="242">
        <v>1</v>
      </c>
      <c r="M1192" s="242">
        <v>100</v>
      </c>
      <c r="N1192" s="242" t="s">
        <v>82</v>
      </c>
      <c r="O1192" s="241">
        <v>2</v>
      </c>
      <c r="P1192" s="497">
        <v>284.82</v>
      </c>
      <c r="Q1192" s="496" t="s">
        <v>75</v>
      </c>
      <c r="R1192" s="408">
        <v>6750</v>
      </c>
      <c r="S1192" s="77">
        <f>+P1192*R1192</f>
        <v>1922535</v>
      </c>
      <c r="T1192" s="1767">
        <v>19</v>
      </c>
      <c r="U1192" s="128">
        <f>+S1192*93/100</f>
        <v>1787957.55</v>
      </c>
      <c r="V1192" s="74">
        <f>+S1192-U1192</f>
        <v>134577.44999999995</v>
      </c>
      <c r="W1192" s="77">
        <f>+K1192+V1192</f>
        <v>817457.45</v>
      </c>
      <c r="X1192" s="74">
        <f>W1192</f>
        <v>817457.45</v>
      </c>
      <c r="Y1192" s="676"/>
      <c r="Z1192" s="77">
        <f>+X1192</f>
        <v>817457.45</v>
      </c>
      <c r="AA1192" s="1706">
        <v>0.02</v>
      </c>
      <c r="AB1192" s="410">
        <f t="shared" si="173"/>
        <v>163.49149</v>
      </c>
      <c r="AC1192" s="350"/>
      <c r="AD1192" s="350"/>
      <c r="AE1192" s="350"/>
      <c r="AF1192" s="350"/>
    </row>
    <row r="1193" spans="1:32" s="457" customFormat="1" ht="18" customHeight="1" x14ac:dyDescent="0.2">
      <c r="A1193" s="242">
        <v>5</v>
      </c>
      <c r="B1193" s="242">
        <v>2599</v>
      </c>
      <c r="C1193" s="496" t="s">
        <v>363</v>
      </c>
      <c r="D1193" s="1702" t="s">
        <v>86</v>
      </c>
      <c r="E1193" s="1703">
        <v>3</v>
      </c>
      <c r="F1193" s="1759">
        <v>0</v>
      </c>
      <c r="G1193" s="1679">
        <v>1</v>
      </c>
      <c r="H1193" s="1760">
        <v>79.5</v>
      </c>
      <c r="I1193" s="77">
        <f>F1193*400+G1193*100+H1193</f>
        <v>179.5</v>
      </c>
      <c r="J1193" s="1749">
        <v>2300</v>
      </c>
      <c r="K1193" s="78">
        <f>SUM(I1193*J1193)</f>
        <v>412850</v>
      </c>
      <c r="L1193" s="88"/>
      <c r="M1193" s="85">
        <v>100</v>
      </c>
      <c r="N1193" s="1764" t="s">
        <v>96</v>
      </c>
      <c r="O1193" s="85">
        <v>5</v>
      </c>
      <c r="P1193" s="913">
        <v>368.42</v>
      </c>
      <c r="Q1193" s="496" t="s">
        <v>75</v>
      </c>
      <c r="R1193" s="408">
        <v>6750</v>
      </c>
      <c r="S1193" s="77">
        <f>+P1193*R1193</f>
        <v>2486835</v>
      </c>
      <c r="T1193" s="1767">
        <v>19</v>
      </c>
      <c r="U1193" s="128">
        <f>+S1193*0.7</f>
        <v>1740784.5</v>
      </c>
      <c r="V1193" s="74">
        <f>+S1193-U1193</f>
        <v>746050.5</v>
      </c>
      <c r="W1193" s="77">
        <f>+K1193+V1193</f>
        <v>1158900.5</v>
      </c>
      <c r="X1193" s="74">
        <v>0</v>
      </c>
      <c r="Y1193" s="676"/>
      <c r="Z1193" s="77"/>
      <c r="AA1193" s="1706"/>
      <c r="AB1193" s="410"/>
      <c r="AC1193" s="350"/>
      <c r="AD1193" s="350"/>
      <c r="AE1193" s="350"/>
      <c r="AF1193" s="350"/>
    </row>
    <row r="1194" spans="1:32" s="457" customFormat="1" ht="18" customHeight="1" x14ac:dyDescent="0.2">
      <c r="A1194" s="242"/>
      <c r="B1194" s="242"/>
      <c r="C1194" s="496"/>
      <c r="D1194" s="1702"/>
      <c r="E1194" s="1703"/>
      <c r="F1194" s="411"/>
      <c r="G1194" s="242"/>
      <c r="H1194" s="497"/>
      <c r="I1194" s="77"/>
      <c r="J1194" s="1705"/>
      <c r="K1194" s="78"/>
      <c r="L1194" s="242">
        <v>2</v>
      </c>
      <c r="M1194" s="242">
        <v>100</v>
      </c>
      <c r="N1194" s="1764" t="s">
        <v>96</v>
      </c>
      <c r="O1194" s="242">
        <v>2</v>
      </c>
      <c r="P1194" s="497">
        <v>284.82</v>
      </c>
      <c r="Q1194" s="497">
        <f>P1194/P1193*100</f>
        <v>77.308506595733135</v>
      </c>
      <c r="R1194" s="408">
        <v>6750</v>
      </c>
      <c r="S1194" s="77">
        <f>+P1194*R1194</f>
        <v>1922535</v>
      </c>
      <c r="T1194" s="1767">
        <v>19</v>
      </c>
      <c r="U1194" s="128">
        <f>+S1194*70/100</f>
        <v>1345774.5</v>
      </c>
      <c r="V1194" s="74">
        <f t="shared" ref="V1194:V1195" si="176">+S1194-U1194</f>
        <v>576760.5</v>
      </c>
      <c r="W1194" s="77">
        <v>0</v>
      </c>
      <c r="X1194" s="74">
        <f>+W1193*Q1194/100</f>
        <v>895928.66948048433</v>
      </c>
      <c r="Y1194" s="676" t="s">
        <v>87</v>
      </c>
      <c r="Z1194" s="77">
        <v>0</v>
      </c>
      <c r="AA1194" s="1706">
        <v>0.02</v>
      </c>
      <c r="AB1194" s="466">
        <f>(Z1194*AA1194/100)</f>
        <v>0</v>
      </c>
      <c r="AC1194" s="350"/>
      <c r="AD1194" s="350"/>
      <c r="AE1194" s="350"/>
      <c r="AF1194" s="350"/>
    </row>
    <row r="1195" spans="1:32" s="457" customFormat="1" ht="18" customHeight="1" x14ac:dyDescent="0.2">
      <c r="A1195" s="1703"/>
      <c r="B1195" s="177"/>
      <c r="C1195" s="177"/>
      <c r="D1195" s="88"/>
      <c r="E1195" s="1703"/>
      <c r="F1195" s="1703"/>
      <c r="G1195" s="1703"/>
      <c r="H1195" s="1707"/>
      <c r="I1195" s="1705"/>
      <c r="J1195" s="178"/>
      <c r="K1195" s="1705"/>
      <c r="L1195" s="242">
        <v>3</v>
      </c>
      <c r="M1195" s="242">
        <v>100</v>
      </c>
      <c r="N1195" s="1764" t="s">
        <v>96</v>
      </c>
      <c r="O1195" s="241">
        <v>3</v>
      </c>
      <c r="P1195" s="497">
        <v>83.6</v>
      </c>
      <c r="Q1195" s="497">
        <f>P1195/P1193*100</f>
        <v>22.691493404266865</v>
      </c>
      <c r="R1195" s="408">
        <v>6750</v>
      </c>
      <c r="S1195" s="77">
        <f>+P1195*R1195</f>
        <v>564300</v>
      </c>
      <c r="T1195" s="1767">
        <v>19</v>
      </c>
      <c r="U1195" s="128">
        <f>+S1195*70/100</f>
        <v>395010</v>
      </c>
      <c r="V1195" s="74">
        <f t="shared" si="176"/>
        <v>169290</v>
      </c>
      <c r="W1195" s="77">
        <v>0</v>
      </c>
      <c r="X1195" s="74">
        <f>+W1193*Q1195/100</f>
        <v>262971.83051951573</v>
      </c>
      <c r="Y1195" s="676"/>
      <c r="Z1195" s="77">
        <f>+X1195</f>
        <v>262971.83051951573</v>
      </c>
      <c r="AA1195" s="1706">
        <v>0.3</v>
      </c>
      <c r="AB1195" s="466">
        <f>(Z1195*AA1195/100)</f>
        <v>788.91549155854727</v>
      </c>
      <c r="AC1195" s="350"/>
      <c r="AD1195" s="350"/>
      <c r="AE1195" s="350"/>
      <c r="AF1195" s="350"/>
    </row>
    <row r="1196" spans="1:32" s="457" customFormat="1" ht="18" customHeight="1" x14ac:dyDescent="0.2">
      <c r="A1196" s="242"/>
      <c r="B1196" s="242"/>
      <c r="C1196" s="496"/>
      <c r="D1196" s="1702"/>
      <c r="E1196" s="88"/>
      <c r="F1196" s="411"/>
      <c r="G1196" s="242"/>
      <c r="H1196" s="497"/>
      <c r="I1196" s="77"/>
      <c r="J1196" s="1705"/>
      <c r="K1196" s="78"/>
      <c r="L1196" s="242"/>
      <c r="M1196" s="242"/>
      <c r="N1196" s="242"/>
      <c r="O1196" s="242"/>
      <c r="P1196" s="497"/>
      <c r="Q1196" s="496"/>
      <c r="R1196" s="503"/>
      <c r="S1196" s="504"/>
      <c r="T1196" s="505"/>
      <c r="U1196" s="504"/>
      <c r="V1196" s="504"/>
      <c r="W1196" s="77"/>
      <c r="X1196" s="77"/>
      <c r="Y1196" s="77"/>
      <c r="Z1196" s="77"/>
      <c r="AA1196" s="1706"/>
      <c r="AB1196" s="506"/>
    </row>
    <row r="1197" spans="1:32" s="457" customFormat="1" ht="18" customHeight="1" x14ac:dyDescent="0.2">
      <c r="A1197" s="242"/>
      <c r="B1197" s="242"/>
      <c r="C1197" s="496"/>
      <c r="D1197" s="88"/>
      <c r="E1197" s="231"/>
      <c r="F1197" s="411"/>
      <c r="G1197" s="242"/>
      <c r="H1197" s="497"/>
      <c r="I1197" s="77"/>
      <c r="J1197" s="1705"/>
      <c r="K1197" s="78"/>
      <c r="L1197" s="242"/>
      <c r="M1197" s="242"/>
      <c r="N1197" s="242"/>
      <c r="O1197" s="242"/>
      <c r="P1197" s="497"/>
      <c r="Q1197" s="496"/>
      <c r="R1197" s="503"/>
      <c r="S1197" s="504"/>
      <c r="T1197" s="505"/>
      <c r="U1197" s="504"/>
      <c r="V1197" s="504"/>
      <c r="W1197" s="77"/>
      <c r="X1197" s="77"/>
      <c r="Y1197" s="77"/>
      <c r="Z1197" s="77"/>
      <c r="AA1197" s="1706"/>
      <c r="AB1197" s="506"/>
    </row>
    <row r="1198" spans="1:32" s="457" customFormat="1" ht="18" customHeight="1" x14ac:dyDescent="0.2">
      <c r="A1198" s="242"/>
      <c r="B1198" s="242"/>
      <c r="C1198" s="496"/>
      <c r="D1198" s="231"/>
      <c r="E1198" s="1702"/>
      <c r="F1198" s="411"/>
      <c r="G1198" s="242"/>
      <c r="H1198" s="497"/>
      <c r="I1198" s="77"/>
      <c r="J1198" s="1705"/>
      <c r="K1198" s="78"/>
      <c r="L1198" s="242"/>
      <c r="M1198" s="242"/>
      <c r="N1198" s="242"/>
      <c r="O1198" s="242"/>
      <c r="P1198" s="497"/>
      <c r="Q1198" s="496"/>
      <c r="R1198" s="503"/>
      <c r="S1198" s="504"/>
      <c r="T1198" s="505"/>
      <c r="U1198" s="504"/>
      <c r="V1198" s="504"/>
      <c r="W1198" s="77"/>
      <c r="X1198" s="77"/>
      <c r="Y1198" s="77"/>
      <c r="Z1198" s="77"/>
      <c r="AA1198" s="1706"/>
      <c r="AB1198" s="506"/>
    </row>
    <row r="1199" spans="1:32" s="457" customFormat="1" ht="18" customHeight="1" x14ac:dyDescent="0.2">
      <c r="A1199" s="242"/>
      <c r="B1199" s="242"/>
      <c r="C1199" s="496"/>
      <c r="D1199" s="1702"/>
      <c r="E1199" s="1702"/>
      <c r="F1199" s="411"/>
      <c r="G1199" s="242"/>
      <c r="H1199" s="497"/>
      <c r="I1199" s="77"/>
      <c r="J1199" s="1705"/>
      <c r="K1199" s="78"/>
      <c r="L1199" s="242"/>
      <c r="M1199" s="242"/>
      <c r="N1199" s="242"/>
      <c r="O1199" s="242"/>
      <c r="P1199" s="497"/>
      <c r="Q1199" s="496"/>
      <c r="R1199" s="503"/>
      <c r="S1199" s="504"/>
      <c r="T1199" s="505"/>
      <c r="U1199" s="504"/>
      <c r="V1199" s="504"/>
      <c r="W1199" s="77"/>
      <c r="X1199" s="77"/>
      <c r="Y1199" s="77"/>
      <c r="Z1199" s="77"/>
      <c r="AA1199" s="1706"/>
      <c r="AB1199" s="506"/>
    </row>
    <row r="1200" spans="1:32" s="457" customFormat="1" ht="18" customHeight="1" x14ac:dyDescent="0.2">
      <c r="A1200" s="242"/>
      <c r="B1200" s="242"/>
      <c r="C1200" s="496"/>
      <c r="D1200" s="88"/>
      <c r="E1200" s="1702"/>
      <c r="F1200" s="411"/>
      <c r="G1200" s="242"/>
      <c r="H1200" s="497"/>
      <c r="I1200" s="77"/>
      <c r="J1200" s="1705"/>
      <c r="K1200" s="78"/>
      <c r="L1200" s="242"/>
      <c r="M1200" s="242"/>
      <c r="N1200" s="242"/>
      <c r="O1200" s="242"/>
      <c r="P1200" s="497"/>
      <c r="Q1200" s="496"/>
      <c r="R1200" s="503"/>
      <c r="S1200" s="504"/>
      <c r="T1200" s="505"/>
      <c r="U1200" s="504"/>
      <c r="V1200" s="504"/>
      <c r="W1200" s="77"/>
      <c r="X1200" s="77"/>
      <c r="Y1200" s="77"/>
      <c r="Z1200" s="77"/>
      <c r="AA1200" s="1706"/>
      <c r="AB1200" s="506"/>
    </row>
    <row r="1201" spans="1:28" s="457" customFormat="1" ht="18" customHeight="1" x14ac:dyDescent="0.2">
      <c r="A1201" s="242"/>
      <c r="B1201" s="242"/>
      <c r="C1201" s="496"/>
      <c r="D1201" s="231"/>
      <c r="E1201" s="88"/>
      <c r="F1201" s="411"/>
      <c r="G1201" s="242"/>
      <c r="H1201" s="497"/>
      <c r="I1201" s="77"/>
      <c r="J1201" s="1705"/>
      <c r="K1201" s="78"/>
      <c r="L1201" s="242"/>
      <c r="M1201" s="242"/>
      <c r="N1201" s="242"/>
      <c r="O1201" s="242"/>
      <c r="P1201" s="497"/>
      <c r="Q1201" s="496"/>
      <c r="R1201" s="503"/>
      <c r="S1201" s="504"/>
      <c r="T1201" s="505"/>
      <c r="U1201" s="504"/>
      <c r="V1201" s="504"/>
      <c r="W1201" s="77"/>
      <c r="X1201" s="77"/>
      <c r="Y1201" s="77"/>
      <c r="Z1201" s="77"/>
      <c r="AA1201" s="1706"/>
      <c r="AB1201" s="506"/>
    </row>
    <row r="1202" spans="1:28" s="457" customFormat="1" ht="18" customHeight="1" x14ac:dyDescent="0.2">
      <c r="A1202" s="242"/>
      <c r="B1202" s="242"/>
      <c r="C1202" s="496"/>
      <c r="D1202" s="1702"/>
      <c r="E1202" s="88"/>
      <c r="F1202" s="411"/>
      <c r="G1202" s="242"/>
      <c r="H1202" s="497"/>
      <c r="I1202" s="77"/>
      <c r="J1202" s="1705"/>
      <c r="K1202" s="78"/>
      <c r="L1202" s="242"/>
      <c r="M1202" s="242"/>
      <c r="N1202" s="242"/>
      <c r="O1202" s="242"/>
      <c r="P1202" s="497"/>
      <c r="Q1202" s="496"/>
      <c r="R1202" s="503"/>
      <c r="S1202" s="504"/>
      <c r="T1202" s="505"/>
      <c r="U1202" s="504"/>
      <c r="V1202" s="504"/>
      <c r="W1202" s="77"/>
      <c r="X1202" s="77"/>
      <c r="Y1202" s="77"/>
      <c r="Z1202" s="77"/>
      <c r="AA1202" s="1706"/>
      <c r="AB1202" s="506"/>
    </row>
    <row r="1203" spans="1:28" s="457" customFormat="1" ht="18" customHeight="1" x14ac:dyDescent="0.2">
      <c r="A1203" s="242"/>
      <c r="B1203" s="242"/>
      <c r="C1203" s="496"/>
      <c r="D1203" s="88"/>
      <c r="E1203" s="231"/>
      <c r="F1203" s="411"/>
      <c r="G1203" s="242"/>
      <c r="H1203" s="497"/>
      <c r="I1203" s="77"/>
      <c r="J1203" s="1705"/>
      <c r="K1203" s="78"/>
      <c r="L1203" s="242"/>
      <c r="M1203" s="242"/>
      <c r="N1203" s="242"/>
      <c r="O1203" s="242"/>
      <c r="P1203" s="497"/>
      <c r="Q1203" s="496"/>
      <c r="R1203" s="503"/>
      <c r="S1203" s="504"/>
      <c r="T1203" s="505"/>
      <c r="U1203" s="504"/>
      <c r="V1203" s="504"/>
      <c r="W1203" s="77"/>
      <c r="X1203" s="77"/>
      <c r="Y1203" s="77"/>
      <c r="Z1203" s="77"/>
      <c r="AA1203" s="1706"/>
      <c r="AB1203" s="506"/>
    </row>
    <row r="1204" spans="1:28" s="457" customFormat="1" ht="18" customHeight="1" x14ac:dyDescent="0.2">
      <c r="A1204" s="242"/>
      <c r="B1204" s="242"/>
      <c r="C1204" s="496"/>
      <c r="D1204" s="88"/>
      <c r="E1204" s="88"/>
      <c r="F1204" s="411"/>
      <c r="G1204" s="242"/>
      <c r="H1204" s="497"/>
      <c r="I1204" s="77"/>
      <c r="J1204" s="1705"/>
      <c r="K1204" s="78"/>
      <c r="L1204" s="242"/>
      <c r="M1204" s="242"/>
      <c r="N1204" s="242"/>
      <c r="O1204" s="242"/>
      <c r="P1204" s="497"/>
      <c r="Q1204" s="496"/>
      <c r="R1204" s="503"/>
      <c r="S1204" s="504"/>
      <c r="T1204" s="505"/>
      <c r="U1204" s="504"/>
      <c r="V1204" s="504"/>
      <c r="W1204" s="77"/>
      <c r="X1204" s="77"/>
      <c r="Y1204" s="77"/>
      <c r="Z1204" s="77"/>
      <c r="AA1204" s="1706"/>
      <c r="AB1204" s="506"/>
    </row>
    <row r="1205" spans="1:28" s="457" customFormat="1" ht="18" customHeight="1" x14ac:dyDescent="0.2">
      <c r="A1205" s="88"/>
      <c r="B1205" s="180"/>
      <c r="C1205" s="180"/>
      <c r="D1205" s="88"/>
      <c r="E1205" s="88"/>
      <c r="F1205" s="88"/>
      <c r="G1205" s="88"/>
      <c r="H1205" s="120"/>
      <c r="I1205" s="121"/>
      <c r="J1205" s="181"/>
      <c r="K1205" s="121"/>
      <c r="L1205" s="88"/>
      <c r="M1205" s="88"/>
      <c r="N1205" s="88"/>
      <c r="O1205" s="88"/>
      <c r="P1205" s="88"/>
      <c r="Q1205" s="129"/>
      <c r="R1205" s="445"/>
      <c r="S1205" s="121"/>
      <c r="T1205" s="182"/>
      <c r="U1205" s="181"/>
      <c r="V1205" s="121"/>
      <c r="W1205" s="121"/>
      <c r="X1205" s="472"/>
      <c r="Y1205" s="472"/>
      <c r="Z1205" s="473"/>
      <c r="AA1205" s="473"/>
      <c r="AB1205" s="410"/>
    </row>
    <row r="1206" spans="1:28" s="597" customFormat="1" ht="18" customHeight="1" x14ac:dyDescent="0.2">
      <c r="A1206" s="1850"/>
      <c r="B1206" s="1850"/>
      <c r="C1206" s="1850"/>
      <c r="D1206" s="1850"/>
      <c r="E1206" s="1850"/>
      <c r="F1206" s="1850"/>
      <c r="G1206" s="1850"/>
      <c r="H1206" s="1851"/>
      <c r="I1206" s="1852"/>
      <c r="J1206" s="1853"/>
      <c r="K1206" s="1852"/>
      <c r="L1206" s="1852"/>
      <c r="M1206" s="1852"/>
      <c r="N1206" s="1852"/>
      <c r="O1206" s="1852"/>
      <c r="P1206" s="1852"/>
      <c r="Q1206" s="1852"/>
      <c r="R1206" s="1854"/>
      <c r="S1206" s="1852"/>
      <c r="T1206" s="1855"/>
      <c r="U1206" s="1853"/>
      <c r="V1206" s="1852"/>
      <c r="W1206" s="1852"/>
      <c r="X1206" s="1856"/>
      <c r="Y1206" s="1856"/>
      <c r="Z1206" s="1857"/>
      <c r="AA1206" s="1857"/>
      <c r="AB1206" s="1847">
        <f>SUM(AB1189:AB1205)</f>
        <v>952.40698155854727</v>
      </c>
    </row>
    <row r="1207" spans="1:28" s="457" customFormat="1" ht="18" customHeight="1" x14ac:dyDescent="0.2">
      <c r="A1207" s="2737" t="s">
        <v>76</v>
      </c>
      <c r="B1207" s="2737"/>
      <c r="C1207" s="2738" t="s">
        <v>77</v>
      </c>
      <c r="D1207" s="2738"/>
      <c r="E1207" s="2738"/>
      <c r="F1207" s="2738"/>
      <c r="G1207" s="2738"/>
      <c r="H1207" s="2738"/>
      <c r="I1207" s="457" t="s">
        <v>78</v>
      </c>
      <c r="AB1207" s="478"/>
    </row>
    <row r="1208" spans="1:28" s="457" customFormat="1" ht="18" customHeight="1" x14ac:dyDescent="0.2">
      <c r="B1208" s="479"/>
      <c r="I1208" s="457" t="s">
        <v>79</v>
      </c>
      <c r="AB1208" s="478"/>
    </row>
    <row r="1209" spans="1:28" s="457" customFormat="1" ht="18" customHeight="1" x14ac:dyDescent="0.2">
      <c r="B1209" s="479"/>
      <c r="I1209" s="457" t="s">
        <v>80</v>
      </c>
      <c r="AB1209" s="478"/>
    </row>
    <row r="1210" spans="1:28" s="457" customFormat="1" ht="18" customHeight="1" x14ac:dyDescent="0.2">
      <c r="B1210" s="479"/>
      <c r="I1210" s="457" t="s">
        <v>81</v>
      </c>
      <c r="AB1210" s="478"/>
    </row>
    <row r="1211" spans="1:28" s="457" customFormat="1" ht="18" customHeight="1" x14ac:dyDescent="0.2">
      <c r="B1211" s="479"/>
      <c r="I1211" s="457" t="s">
        <v>88</v>
      </c>
      <c r="AB1211" s="478"/>
    </row>
    <row r="1212" spans="1:28" s="457" customFormat="1" ht="18" customHeight="1" x14ac:dyDescent="0.2">
      <c r="A1212" s="455"/>
      <c r="B1212" s="455"/>
      <c r="C1212" s="455"/>
      <c r="D1212" s="455"/>
      <c r="E1212" s="455"/>
      <c r="F1212" s="455"/>
      <c r="G1212" s="455"/>
      <c r="H1212" s="455"/>
      <c r="I1212" s="455"/>
      <c r="J1212" s="455"/>
      <c r="K1212" s="455"/>
      <c r="L1212" s="455"/>
      <c r="M1212" s="455"/>
      <c r="N1212" s="455"/>
      <c r="O1212" s="455"/>
      <c r="P1212" s="455"/>
      <c r="Q1212" s="455"/>
      <c r="R1212" s="455"/>
      <c r="S1212" s="455"/>
      <c r="T1212" s="455"/>
      <c r="U1212" s="455"/>
      <c r="V1212" s="455"/>
      <c r="W1212" s="455"/>
      <c r="X1212" s="455"/>
      <c r="Y1212" s="455"/>
      <c r="Z1212" s="455"/>
      <c r="AA1212" s="2705" t="s">
        <v>0</v>
      </c>
      <c r="AB1212" s="2705"/>
    </row>
    <row r="1213" spans="1:28" s="457" customFormat="1" ht="18" customHeight="1" x14ac:dyDescent="0.2">
      <c r="A1213" s="2706" t="s">
        <v>1</v>
      </c>
      <c r="B1213" s="2706"/>
      <c r="C1213" s="2706"/>
      <c r="D1213" s="2706"/>
      <c r="E1213" s="2706"/>
      <c r="F1213" s="2706"/>
      <c r="G1213" s="2706"/>
      <c r="H1213" s="2706"/>
      <c r="I1213" s="2706"/>
      <c r="J1213" s="2706"/>
      <c r="K1213" s="2706"/>
      <c r="L1213" s="2706"/>
      <c r="M1213" s="2706"/>
      <c r="N1213" s="2706"/>
      <c r="O1213" s="2706"/>
      <c r="P1213" s="2706"/>
      <c r="Q1213" s="2706"/>
      <c r="R1213" s="2706"/>
      <c r="S1213" s="2706"/>
      <c r="T1213" s="2706"/>
      <c r="U1213" s="2706"/>
      <c r="V1213" s="2706"/>
      <c r="W1213" s="2706"/>
      <c r="X1213" s="2706"/>
      <c r="Y1213" s="2706"/>
      <c r="Z1213" s="2706"/>
      <c r="AA1213" s="2706"/>
      <c r="AB1213" s="2706"/>
    </row>
    <row r="1214" spans="1:28" s="457" customFormat="1" ht="18" customHeight="1" x14ac:dyDescent="0.2">
      <c r="A1214" s="2741" t="s">
        <v>359</v>
      </c>
      <c r="B1214" s="2741"/>
      <c r="C1214" s="2741"/>
      <c r="D1214" s="2741"/>
      <c r="E1214" s="2741"/>
      <c r="F1214" s="2741"/>
      <c r="G1214" s="2741"/>
      <c r="H1214" s="2741"/>
      <c r="I1214" s="2741"/>
      <c r="J1214" s="2741"/>
      <c r="K1214" s="2741"/>
      <c r="L1214" s="2741"/>
      <c r="M1214" s="2741"/>
      <c r="N1214" s="2741"/>
      <c r="O1214" s="2741"/>
      <c r="P1214" s="2741"/>
      <c r="Q1214" s="2741"/>
      <c r="R1214" s="2741"/>
      <c r="S1214" s="2741"/>
      <c r="T1214" s="2741"/>
      <c r="U1214" s="2741"/>
      <c r="V1214" s="2741"/>
      <c r="W1214" s="2741"/>
      <c r="X1214" s="2741"/>
      <c r="Y1214" s="2741"/>
      <c r="Z1214" s="2741"/>
      <c r="AA1214" s="2741"/>
      <c r="AB1214" s="2741"/>
    </row>
    <row r="1215" spans="1:28" s="457" customFormat="1" ht="18" customHeight="1" x14ac:dyDescent="0.2">
      <c r="A1215" s="2686" t="s">
        <v>2</v>
      </c>
      <c r="B1215" s="360"/>
      <c r="C1215" s="2686" t="s">
        <v>3</v>
      </c>
      <c r="D1215" s="360"/>
      <c r="E1215" s="360"/>
      <c r="F1215" s="2693" t="s">
        <v>4</v>
      </c>
      <c r="G1215" s="2693"/>
      <c r="H1215" s="2693"/>
      <c r="I1215" s="2694"/>
      <c r="J1215" s="2694"/>
      <c r="K1215" s="2695"/>
      <c r="L1215" s="361"/>
      <c r="M1215" s="2679" t="s">
        <v>5</v>
      </c>
      <c r="N1215" s="2679"/>
      <c r="O1215" s="2679"/>
      <c r="P1215" s="2679"/>
      <c r="Q1215" s="2696"/>
      <c r="R1215" s="2696"/>
      <c r="S1215" s="2696"/>
      <c r="T1215" s="2696"/>
      <c r="U1215" s="2696"/>
      <c r="V1215" s="2697"/>
      <c r="W1215" s="362" t="s">
        <v>6</v>
      </c>
      <c r="X1215" s="363" t="s">
        <v>7</v>
      </c>
      <c r="Y1215" s="364"/>
      <c r="Z1215" s="364"/>
      <c r="AA1215" s="363"/>
      <c r="AB1215" s="458"/>
    </row>
    <row r="1216" spans="1:28" s="457" customFormat="1" ht="18" customHeight="1" x14ac:dyDescent="0.2">
      <c r="A1216" s="2687"/>
      <c r="B1216" s="367"/>
      <c r="C1216" s="2687"/>
      <c r="D1216" s="366" t="s">
        <v>9</v>
      </c>
      <c r="E1216" s="366" t="s">
        <v>10</v>
      </c>
      <c r="F1216" s="2698" t="s">
        <v>11</v>
      </c>
      <c r="G1216" s="2694"/>
      <c r="H1216" s="2695"/>
      <c r="I1216" s="360"/>
      <c r="J1216" s="449" t="s">
        <v>12</v>
      </c>
      <c r="K1216" s="360"/>
      <c r="L1216" s="2679" t="s">
        <v>2</v>
      </c>
      <c r="M1216" s="370"/>
      <c r="N1216" s="370"/>
      <c r="O1216" s="370"/>
      <c r="P1216" s="371"/>
      <c r="Q1216" s="459" t="s">
        <v>13</v>
      </c>
      <c r="R1216" s="370" t="s">
        <v>12</v>
      </c>
      <c r="S1216" s="370" t="s">
        <v>6</v>
      </c>
      <c r="T1216" s="2682" t="s">
        <v>14</v>
      </c>
      <c r="U1216" s="2683"/>
      <c r="V1216" s="375" t="s">
        <v>7</v>
      </c>
      <c r="W1216" s="376" t="s">
        <v>15</v>
      </c>
      <c r="X1216" s="377" t="s">
        <v>16</v>
      </c>
      <c r="Y1216" s="377" t="s">
        <v>17</v>
      </c>
      <c r="Z1216" s="377" t="s">
        <v>18</v>
      </c>
      <c r="AA1216" s="377"/>
      <c r="AB1216" s="460" t="s">
        <v>19</v>
      </c>
    </row>
    <row r="1217" spans="1:28" s="457" customFormat="1" ht="18" customHeight="1" x14ac:dyDescent="0.2">
      <c r="A1217" s="2687"/>
      <c r="B1217" s="366" t="s">
        <v>23</v>
      </c>
      <c r="C1217" s="2687"/>
      <c r="D1217" s="366" t="s">
        <v>24</v>
      </c>
      <c r="E1217" s="366" t="s">
        <v>25</v>
      </c>
      <c r="F1217" s="2699"/>
      <c r="G1217" s="2700"/>
      <c r="H1217" s="2701"/>
      <c r="I1217" s="366" t="s">
        <v>26</v>
      </c>
      <c r="J1217" s="380" t="s">
        <v>15</v>
      </c>
      <c r="K1217" s="380" t="s">
        <v>6</v>
      </c>
      <c r="L1217" s="2680"/>
      <c r="M1217" s="381" t="s">
        <v>27</v>
      </c>
      <c r="N1217" s="381" t="s">
        <v>10</v>
      </c>
      <c r="O1217" s="381" t="s">
        <v>10</v>
      </c>
      <c r="P1217" s="385" t="s">
        <v>28</v>
      </c>
      <c r="Q1217" s="461" t="s">
        <v>29</v>
      </c>
      <c r="R1217" s="385" t="s">
        <v>15</v>
      </c>
      <c r="S1217" s="385" t="s">
        <v>15</v>
      </c>
      <c r="T1217" s="2684"/>
      <c r="U1217" s="2685"/>
      <c r="V1217" s="375" t="s">
        <v>30</v>
      </c>
      <c r="W1217" s="376" t="s">
        <v>31</v>
      </c>
      <c r="X1217" s="377" t="s">
        <v>30</v>
      </c>
      <c r="Y1217" s="377" t="s">
        <v>32</v>
      </c>
      <c r="Z1217" s="377" t="s">
        <v>7</v>
      </c>
      <c r="AA1217" s="377" t="s">
        <v>33</v>
      </c>
      <c r="AB1217" s="460" t="s">
        <v>34</v>
      </c>
    </row>
    <row r="1218" spans="1:28" s="457" customFormat="1" ht="18" customHeight="1" x14ac:dyDescent="0.2">
      <c r="A1218" s="2687"/>
      <c r="B1218" s="366" t="s">
        <v>39</v>
      </c>
      <c r="C1218" s="2687"/>
      <c r="D1218" s="366" t="s">
        <v>40</v>
      </c>
      <c r="E1218" s="366" t="s">
        <v>41</v>
      </c>
      <c r="F1218" s="2686" t="s">
        <v>42</v>
      </c>
      <c r="G1218" s="2686" t="s">
        <v>43</v>
      </c>
      <c r="H1218" s="2688" t="s">
        <v>44</v>
      </c>
      <c r="I1218" s="366" t="s">
        <v>45</v>
      </c>
      <c r="J1218" s="380" t="s">
        <v>46</v>
      </c>
      <c r="K1218" s="380" t="s">
        <v>47</v>
      </c>
      <c r="L1218" s="2680"/>
      <c r="M1218" s="381" t="s">
        <v>30</v>
      </c>
      <c r="N1218" s="381" t="s">
        <v>30</v>
      </c>
      <c r="O1218" s="381" t="s">
        <v>25</v>
      </c>
      <c r="P1218" s="385" t="s">
        <v>30</v>
      </c>
      <c r="Q1218" s="461" t="s">
        <v>48</v>
      </c>
      <c r="R1218" s="385" t="s">
        <v>49</v>
      </c>
      <c r="S1218" s="385" t="s">
        <v>30</v>
      </c>
      <c r="T1218" s="374" t="s">
        <v>50</v>
      </c>
      <c r="U1218" s="374" t="s">
        <v>13</v>
      </c>
      <c r="V1218" s="375" t="s">
        <v>51</v>
      </c>
      <c r="W1218" s="376" t="s">
        <v>52</v>
      </c>
      <c r="X1218" s="377" t="s">
        <v>53</v>
      </c>
      <c r="Y1218" s="377" t="s">
        <v>54</v>
      </c>
      <c r="Z1218" s="377" t="s">
        <v>55</v>
      </c>
      <c r="AA1218" s="377" t="s">
        <v>56</v>
      </c>
      <c r="AB1218" s="460" t="s">
        <v>57</v>
      </c>
    </row>
    <row r="1219" spans="1:28" s="457" customFormat="1" ht="18" customHeight="1" x14ac:dyDescent="0.2">
      <c r="A1219" s="2687"/>
      <c r="B1219" s="366" t="s">
        <v>61</v>
      </c>
      <c r="C1219" s="2687"/>
      <c r="D1219" s="366" t="s">
        <v>62</v>
      </c>
      <c r="E1219" s="366" t="s">
        <v>63</v>
      </c>
      <c r="F1219" s="2687"/>
      <c r="G1219" s="2687"/>
      <c r="H1219" s="2689"/>
      <c r="I1219" s="366" t="s">
        <v>64</v>
      </c>
      <c r="J1219" s="380" t="s">
        <v>59</v>
      </c>
      <c r="K1219" s="380" t="s">
        <v>59</v>
      </c>
      <c r="L1219" s="2680"/>
      <c r="M1219" s="381"/>
      <c r="N1219" s="381"/>
      <c r="O1219" s="381" t="s">
        <v>41</v>
      </c>
      <c r="P1219" s="385" t="s">
        <v>65</v>
      </c>
      <c r="Q1219" s="461" t="s">
        <v>66</v>
      </c>
      <c r="R1219" s="385" t="s">
        <v>67</v>
      </c>
      <c r="S1219" s="385" t="s">
        <v>59</v>
      </c>
      <c r="T1219" s="375" t="s">
        <v>68</v>
      </c>
      <c r="U1219" s="375" t="s">
        <v>14</v>
      </c>
      <c r="V1219" s="375" t="s">
        <v>14</v>
      </c>
      <c r="W1219" s="376" t="s">
        <v>30</v>
      </c>
      <c r="X1219" s="388" t="s">
        <v>69</v>
      </c>
      <c r="Y1219" s="388" t="s">
        <v>70</v>
      </c>
      <c r="Z1219" s="377" t="s">
        <v>71</v>
      </c>
      <c r="AA1219" s="377" t="s">
        <v>72</v>
      </c>
      <c r="AB1219" s="460" t="s">
        <v>59</v>
      </c>
    </row>
    <row r="1220" spans="1:28" s="457" customFormat="1" ht="18" customHeight="1" x14ac:dyDescent="0.2">
      <c r="A1220" s="2692"/>
      <c r="B1220" s="390"/>
      <c r="C1220" s="2692"/>
      <c r="D1220" s="390"/>
      <c r="E1220" s="389"/>
      <c r="F1220" s="390"/>
      <c r="G1220" s="390"/>
      <c r="H1220" s="391"/>
      <c r="I1220" s="389"/>
      <c r="J1220" s="393"/>
      <c r="K1220" s="393"/>
      <c r="L1220" s="2681"/>
      <c r="M1220" s="394"/>
      <c r="N1220" s="394"/>
      <c r="O1220" s="394" t="s">
        <v>63</v>
      </c>
      <c r="P1220" s="394"/>
      <c r="Q1220" s="450" t="s">
        <v>72</v>
      </c>
      <c r="R1220" s="398" t="s">
        <v>59</v>
      </c>
      <c r="S1220" s="398"/>
      <c r="T1220" s="398" t="s">
        <v>73</v>
      </c>
      <c r="U1220" s="398" t="s">
        <v>59</v>
      </c>
      <c r="V1220" s="399" t="s">
        <v>59</v>
      </c>
      <c r="W1220" s="400" t="s">
        <v>59</v>
      </c>
      <c r="X1220" s="401" t="s">
        <v>59</v>
      </c>
      <c r="Y1220" s="401" t="s">
        <v>59</v>
      </c>
      <c r="Z1220" s="401" t="s">
        <v>59</v>
      </c>
      <c r="AA1220" s="402"/>
      <c r="AB1220" s="462"/>
    </row>
    <row r="1221" spans="1:28" s="457" customFormat="1" ht="18" customHeight="1" x14ac:dyDescent="0.2">
      <c r="A1221" s="53">
        <v>1</v>
      </c>
      <c r="B1221" s="95">
        <v>34938</v>
      </c>
      <c r="C1221" s="82">
        <v>1078</v>
      </c>
      <c r="D1221" s="82" t="s">
        <v>86</v>
      </c>
      <c r="E1221" s="145">
        <v>4</v>
      </c>
      <c r="F1221" s="1578">
        <v>0</v>
      </c>
      <c r="G1221" s="1578">
        <v>0</v>
      </c>
      <c r="H1221" s="1579">
        <v>95</v>
      </c>
      <c r="I1221" s="77">
        <f>F1221*400+G1221*100+H1221</f>
        <v>95</v>
      </c>
      <c r="J1221" s="1749">
        <v>1600</v>
      </c>
      <c r="K1221" s="78">
        <f>SUM(I1221*J1221)</f>
        <v>152000</v>
      </c>
      <c r="L1221" s="75">
        <v>1</v>
      </c>
      <c r="M1221" s="82"/>
      <c r="N1221" s="82"/>
      <c r="O1221" s="53">
        <v>4</v>
      </c>
      <c r="P1221" s="358"/>
      <c r="Q1221" s="197"/>
      <c r="R1221" s="444"/>
      <c r="S1221" s="70"/>
      <c r="T1221" s="82"/>
      <c r="U1221" s="70"/>
      <c r="V1221" s="70"/>
      <c r="W1221" s="70">
        <f>K1221+V1221</f>
        <v>152000</v>
      </c>
      <c r="X1221" s="70">
        <f>W1221</f>
        <v>152000</v>
      </c>
      <c r="Y1221" s="123">
        <v>0</v>
      </c>
      <c r="Z1221" s="70">
        <f>+X1221</f>
        <v>152000</v>
      </c>
      <c r="AA1221" s="464">
        <v>0.3</v>
      </c>
      <c r="AB1221" s="465">
        <f>+Z1221*AA1221/100</f>
        <v>456</v>
      </c>
    </row>
    <row r="1222" spans="1:28" s="457" customFormat="1" ht="18" customHeight="1" x14ac:dyDescent="0.2">
      <c r="A1222" s="242">
        <v>2</v>
      </c>
      <c r="B1222" s="242">
        <v>34939</v>
      </c>
      <c r="C1222" s="496" t="s">
        <v>208</v>
      </c>
      <c r="D1222" s="88" t="s">
        <v>86</v>
      </c>
      <c r="E1222" s="145">
        <v>4</v>
      </c>
      <c r="F1222" s="1759">
        <v>0</v>
      </c>
      <c r="G1222" s="1679">
        <v>0</v>
      </c>
      <c r="H1222" s="1760">
        <v>96</v>
      </c>
      <c r="I1222" s="77">
        <f>F1222*400+G1222*100+H1222</f>
        <v>96</v>
      </c>
      <c r="J1222" s="1749">
        <v>1600</v>
      </c>
      <c r="K1222" s="78">
        <f>SUM(I1222*J1222)</f>
        <v>153600</v>
      </c>
      <c r="L1222" s="75">
        <v>2</v>
      </c>
      <c r="M1222" s="145"/>
      <c r="N1222" s="145"/>
      <c r="O1222" s="61">
        <v>4</v>
      </c>
      <c r="P1222" s="177"/>
      <c r="Q1222" s="196"/>
      <c r="R1222" s="408"/>
      <c r="S1222" s="77"/>
      <c r="T1222" s="145"/>
      <c r="U1222" s="77"/>
      <c r="V1222" s="77"/>
      <c r="W1222" s="77">
        <f>K1222+V1222</f>
        <v>153600</v>
      </c>
      <c r="X1222" s="77">
        <f>W1222</f>
        <v>153600</v>
      </c>
      <c r="Y1222" s="77">
        <v>0</v>
      </c>
      <c r="Z1222" s="77">
        <f>+X1222</f>
        <v>153600</v>
      </c>
      <c r="AA1222" s="409">
        <v>0.3</v>
      </c>
      <c r="AB1222" s="466">
        <f>+Z1222*AA1222/100</f>
        <v>460.8</v>
      </c>
    </row>
    <row r="1223" spans="1:28" s="457" customFormat="1" ht="18" customHeight="1" x14ac:dyDescent="0.2">
      <c r="A1223" s="242"/>
      <c r="B1223" s="145"/>
      <c r="C1223" s="496"/>
      <c r="D1223" s="145"/>
      <c r="E1223" s="102"/>
      <c r="F1223" s="499"/>
      <c r="G1223" s="241"/>
      <c r="H1223" s="500"/>
      <c r="I1223" s="77"/>
      <c r="J1223" s="107"/>
      <c r="K1223" s="78"/>
      <c r="L1223" s="61"/>
      <c r="M1223" s="145"/>
      <c r="N1223" s="145"/>
      <c r="O1223" s="61"/>
      <c r="P1223" s="177"/>
      <c r="Q1223" s="196"/>
      <c r="R1223" s="408"/>
      <c r="S1223" s="77"/>
      <c r="T1223" s="145"/>
      <c r="U1223" s="77"/>
      <c r="V1223" s="77"/>
      <c r="W1223" s="77"/>
      <c r="X1223" s="77"/>
      <c r="Y1223" s="77"/>
      <c r="Z1223" s="77"/>
      <c r="AA1223" s="409"/>
      <c r="AB1223" s="466"/>
    </row>
    <row r="1224" spans="1:28" s="457" customFormat="1" ht="18" customHeight="1" x14ac:dyDescent="0.2">
      <c r="A1224" s="242"/>
      <c r="B1224" s="242"/>
      <c r="C1224" s="496"/>
      <c r="D1224" s="144"/>
      <c r="E1224" s="85"/>
      <c r="F1224" s="411"/>
      <c r="G1224" s="242"/>
      <c r="H1224" s="497"/>
      <c r="I1224" s="77"/>
      <c r="J1224" s="107"/>
      <c r="K1224" s="78"/>
      <c r="L1224" s="242"/>
      <c r="M1224" s="242"/>
      <c r="N1224" s="242"/>
      <c r="O1224" s="242"/>
      <c r="P1224" s="497"/>
      <c r="Q1224" s="496"/>
      <c r="R1224" s="503"/>
      <c r="S1224" s="504"/>
      <c r="T1224" s="505"/>
      <c r="U1224" s="504"/>
      <c r="V1224" s="504"/>
      <c r="W1224" s="77"/>
      <c r="X1224" s="77"/>
      <c r="Y1224" s="77"/>
      <c r="Z1224" s="77"/>
      <c r="AA1224" s="409"/>
      <c r="AB1224" s="410"/>
    </row>
    <row r="1225" spans="1:28" s="457" customFormat="1" ht="18" customHeight="1" x14ac:dyDescent="0.2">
      <c r="A1225" s="242"/>
      <c r="B1225" s="242"/>
      <c r="C1225" s="496"/>
      <c r="D1225" s="88"/>
      <c r="E1225" s="85"/>
      <c r="F1225" s="411"/>
      <c r="G1225" s="242"/>
      <c r="H1225" s="497"/>
      <c r="I1225" s="77"/>
      <c r="J1225" s="107"/>
      <c r="K1225" s="78"/>
      <c r="L1225" s="242"/>
      <c r="M1225" s="242"/>
      <c r="N1225" s="242"/>
      <c r="O1225" s="242"/>
      <c r="P1225" s="497"/>
      <c r="Q1225" s="496"/>
      <c r="R1225" s="503"/>
      <c r="S1225" s="504"/>
      <c r="T1225" s="505"/>
      <c r="U1225" s="504"/>
      <c r="V1225" s="504"/>
      <c r="W1225" s="77"/>
      <c r="X1225" s="77"/>
      <c r="Y1225" s="77"/>
      <c r="Z1225" s="77"/>
      <c r="AA1225" s="409"/>
      <c r="AB1225" s="466"/>
    </row>
    <row r="1226" spans="1:28" s="457" customFormat="1" ht="18" customHeight="1" x14ac:dyDescent="0.2">
      <c r="A1226" s="242"/>
      <c r="B1226" s="242"/>
      <c r="C1226" s="496"/>
      <c r="D1226" s="144"/>
      <c r="E1226" s="88"/>
      <c r="F1226" s="411"/>
      <c r="G1226" s="242"/>
      <c r="H1226" s="497"/>
      <c r="I1226" s="127"/>
      <c r="J1226" s="107"/>
      <c r="K1226" s="78"/>
      <c r="L1226" s="242"/>
      <c r="M1226" s="242"/>
      <c r="N1226" s="242"/>
      <c r="O1226" s="242"/>
      <c r="P1226" s="497"/>
      <c r="Q1226" s="496"/>
      <c r="R1226" s="503"/>
      <c r="S1226" s="504"/>
      <c r="T1226" s="505"/>
      <c r="U1226" s="504"/>
      <c r="V1226" s="504"/>
      <c r="W1226" s="77"/>
      <c r="X1226" s="77"/>
      <c r="Y1226" s="77"/>
      <c r="Z1226" s="77"/>
      <c r="AA1226" s="409"/>
      <c r="AB1226" s="506"/>
    </row>
    <row r="1227" spans="1:28" s="457" customFormat="1" ht="18" customHeight="1" x14ac:dyDescent="0.2">
      <c r="A1227" s="242"/>
      <c r="B1227" s="242"/>
      <c r="C1227" s="496"/>
      <c r="D1227" s="88"/>
      <c r="E1227" s="231"/>
      <c r="F1227" s="411"/>
      <c r="G1227" s="242"/>
      <c r="H1227" s="497"/>
      <c r="I1227" s="77"/>
      <c r="J1227" s="107"/>
      <c r="K1227" s="78"/>
      <c r="L1227" s="242"/>
      <c r="M1227" s="242"/>
      <c r="N1227" s="242"/>
      <c r="O1227" s="242"/>
      <c r="P1227" s="497"/>
      <c r="Q1227" s="496"/>
      <c r="R1227" s="503"/>
      <c r="S1227" s="504"/>
      <c r="T1227" s="505"/>
      <c r="U1227" s="504"/>
      <c r="V1227" s="504"/>
      <c r="W1227" s="77"/>
      <c r="X1227" s="77"/>
      <c r="Y1227" s="77"/>
      <c r="Z1227" s="77"/>
      <c r="AA1227" s="409"/>
      <c r="AB1227" s="506"/>
    </row>
    <row r="1228" spans="1:28" s="457" customFormat="1" ht="18" customHeight="1" x14ac:dyDescent="0.2">
      <c r="A1228" s="242"/>
      <c r="B1228" s="242"/>
      <c r="C1228" s="496"/>
      <c r="D1228" s="231"/>
      <c r="E1228" s="144"/>
      <c r="F1228" s="411"/>
      <c r="G1228" s="242"/>
      <c r="H1228" s="497"/>
      <c r="I1228" s="77"/>
      <c r="J1228" s="107"/>
      <c r="K1228" s="78"/>
      <c r="L1228" s="242"/>
      <c r="M1228" s="242"/>
      <c r="N1228" s="242"/>
      <c r="O1228" s="242"/>
      <c r="P1228" s="497"/>
      <c r="Q1228" s="496"/>
      <c r="R1228" s="503"/>
      <c r="S1228" s="504"/>
      <c r="T1228" s="505"/>
      <c r="U1228" s="504"/>
      <c r="V1228" s="504"/>
      <c r="W1228" s="77"/>
      <c r="X1228" s="77"/>
      <c r="Y1228" s="77"/>
      <c r="Z1228" s="77"/>
      <c r="AA1228" s="409"/>
      <c r="AB1228" s="506"/>
    </row>
    <row r="1229" spans="1:28" s="457" customFormat="1" ht="18" customHeight="1" x14ac:dyDescent="0.2">
      <c r="A1229" s="242"/>
      <c r="B1229" s="242"/>
      <c r="C1229" s="496"/>
      <c r="D1229" s="144"/>
      <c r="E1229" s="144"/>
      <c r="F1229" s="411"/>
      <c r="G1229" s="242"/>
      <c r="H1229" s="497"/>
      <c r="I1229" s="77"/>
      <c r="J1229" s="107"/>
      <c r="K1229" s="78"/>
      <c r="L1229" s="242"/>
      <c r="M1229" s="242"/>
      <c r="N1229" s="242"/>
      <c r="O1229" s="242"/>
      <c r="P1229" s="497"/>
      <c r="Q1229" s="496"/>
      <c r="R1229" s="503"/>
      <c r="S1229" s="504"/>
      <c r="T1229" s="505"/>
      <c r="U1229" s="504"/>
      <c r="V1229" s="504"/>
      <c r="W1229" s="77"/>
      <c r="X1229" s="77"/>
      <c r="Y1229" s="77"/>
      <c r="Z1229" s="77"/>
      <c r="AA1229" s="409"/>
      <c r="AB1229" s="506"/>
    </row>
    <row r="1230" spans="1:28" s="457" customFormat="1" ht="18" customHeight="1" x14ac:dyDescent="0.2">
      <c r="A1230" s="242"/>
      <c r="B1230" s="242"/>
      <c r="C1230" s="496"/>
      <c r="D1230" s="88"/>
      <c r="E1230" s="144"/>
      <c r="F1230" s="411"/>
      <c r="G1230" s="242"/>
      <c r="H1230" s="497"/>
      <c r="I1230" s="1757"/>
      <c r="J1230" s="1758" t="s">
        <v>358</v>
      </c>
      <c r="K1230" s="78"/>
      <c r="L1230" s="242"/>
      <c r="M1230" s="242"/>
      <c r="N1230" s="242"/>
      <c r="O1230" s="242"/>
      <c r="P1230" s="497"/>
      <c r="Q1230" s="496"/>
      <c r="R1230" s="503"/>
      <c r="S1230" s="504"/>
      <c r="T1230" s="505"/>
      <c r="U1230" s="504"/>
      <c r="V1230" s="504"/>
      <c r="W1230" s="77"/>
      <c r="X1230" s="77"/>
      <c r="Y1230" s="77"/>
      <c r="Z1230" s="77"/>
      <c r="AA1230" s="409"/>
      <c r="AB1230" s="506"/>
    </row>
    <row r="1231" spans="1:28" s="457" customFormat="1" ht="18" customHeight="1" x14ac:dyDescent="0.2">
      <c r="A1231" s="242"/>
      <c r="B1231" s="242"/>
      <c r="C1231" s="496"/>
      <c r="D1231" s="231"/>
      <c r="E1231" s="88"/>
      <c r="F1231" s="411"/>
      <c r="G1231" s="242"/>
      <c r="H1231" s="497"/>
      <c r="I1231" s="77"/>
      <c r="J1231" s="107"/>
      <c r="K1231" s="78"/>
      <c r="L1231" s="242"/>
      <c r="M1231" s="242"/>
      <c r="N1231" s="242"/>
      <c r="O1231" s="242"/>
      <c r="P1231" s="497"/>
      <c r="Q1231" s="496"/>
      <c r="R1231" s="503"/>
      <c r="S1231" s="504"/>
      <c r="T1231" s="505"/>
      <c r="U1231" s="504"/>
      <c r="V1231" s="504"/>
      <c r="W1231" s="77"/>
      <c r="X1231" s="77"/>
      <c r="Y1231" s="77"/>
      <c r="Z1231" s="77"/>
      <c r="AA1231" s="409"/>
      <c r="AB1231" s="506"/>
    </row>
    <row r="1232" spans="1:28" s="457" customFormat="1" ht="18" customHeight="1" x14ac:dyDescent="0.2">
      <c r="A1232" s="242"/>
      <c r="B1232" s="242"/>
      <c r="C1232" s="496"/>
      <c r="D1232" s="144"/>
      <c r="E1232" s="88"/>
      <c r="F1232" s="411"/>
      <c r="G1232" s="242"/>
      <c r="H1232" s="497"/>
      <c r="I1232" s="77"/>
      <c r="J1232" s="107"/>
      <c r="K1232" s="78"/>
      <c r="L1232" s="242"/>
      <c r="M1232" s="242"/>
      <c r="N1232" s="242"/>
      <c r="O1232" s="242"/>
      <c r="P1232" s="497"/>
      <c r="Q1232" s="496"/>
      <c r="R1232" s="503"/>
      <c r="S1232" s="504"/>
      <c r="T1232" s="505"/>
      <c r="U1232" s="504"/>
      <c r="V1232" s="504"/>
      <c r="W1232" s="77"/>
      <c r="X1232" s="77"/>
      <c r="Y1232" s="77"/>
      <c r="Z1232" s="77"/>
      <c r="AA1232" s="409"/>
      <c r="AB1232" s="506"/>
    </row>
    <row r="1233" spans="1:28" s="457" customFormat="1" ht="18" customHeight="1" x14ac:dyDescent="0.2">
      <c r="A1233" s="242"/>
      <c r="B1233" s="242"/>
      <c r="C1233" s="496"/>
      <c r="D1233" s="144"/>
      <c r="E1233" s="88"/>
      <c r="F1233" s="411"/>
      <c r="G1233" s="242"/>
      <c r="H1233" s="497"/>
      <c r="I1233" s="77"/>
      <c r="J1233" s="107"/>
      <c r="K1233" s="78"/>
      <c r="L1233" s="242"/>
      <c r="M1233" s="242"/>
      <c r="N1233" s="242"/>
      <c r="O1233" s="242"/>
      <c r="P1233" s="497"/>
      <c r="Q1233" s="496"/>
      <c r="R1233" s="503"/>
      <c r="S1233" s="504"/>
      <c r="T1233" s="505"/>
      <c r="U1233" s="504"/>
      <c r="V1233" s="504"/>
      <c r="W1233" s="77"/>
      <c r="X1233" s="77"/>
      <c r="Y1233" s="77"/>
      <c r="Z1233" s="77"/>
      <c r="AA1233" s="409"/>
      <c r="AB1233" s="506"/>
    </row>
    <row r="1234" spans="1:28" s="457" customFormat="1" ht="18" customHeight="1" x14ac:dyDescent="0.2">
      <c r="A1234" s="242"/>
      <c r="B1234" s="242"/>
      <c r="C1234" s="496"/>
      <c r="D1234" s="144"/>
      <c r="E1234" s="88"/>
      <c r="F1234" s="411"/>
      <c r="G1234" s="242"/>
      <c r="H1234" s="497"/>
      <c r="I1234" s="77"/>
      <c r="J1234" s="107"/>
      <c r="K1234" s="78"/>
      <c r="L1234" s="242"/>
      <c r="M1234" s="242"/>
      <c r="N1234" s="242"/>
      <c r="O1234" s="242"/>
      <c r="P1234" s="497"/>
      <c r="Q1234" s="496"/>
      <c r="R1234" s="503"/>
      <c r="S1234" s="504"/>
      <c r="T1234" s="505"/>
      <c r="U1234" s="504"/>
      <c r="V1234" s="504"/>
      <c r="W1234" s="77"/>
      <c r="X1234" s="77"/>
      <c r="Y1234" s="77"/>
      <c r="Z1234" s="77"/>
      <c r="AA1234" s="409"/>
      <c r="AB1234" s="506"/>
    </row>
    <row r="1235" spans="1:28" s="457" customFormat="1" ht="18" customHeight="1" x14ac:dyDescent="0.2">
      <c r="A1235" s="242"/>
      <c r="B1235" s="242"/>
      <c r="C1235" s="496"/>
      <c r="D1235" s="496"/>
      <c r="E1235" s="496"/>
      <c r="F1235" s="496"/>
      <c r="G1235" s="242"/>
      <c r="H1235" s="497"/>
      <c r="I1235" s="77"/>
      <c r="J1235" s="107"/>
      <c r="K1235" s="78"/>
      <c r="L1235" s="242"/>
      <c r="M1235" s="242"/>
      <c r="N1235" s="242"/>
      <c r="O1235" s="242"/>
      <c r="P1235" s="497"/>
      <c r="Q1235" s="496"/>
      <c r="R1235" s="503"/>
      <c r="S1235" s="504"/>
      <c r="T1235" s="505"/>
      <c r="U1235" s="504"/>
      <c r="V1235" s="504"/>
      <c r="W1235" s="77"/>
      <c r="X1235" s="77"/>
      <c r="Y1235" s="77"/>
      <c r="Z1235" s="77"/>
      <c r="AA1235" s="409"/>
      <c r="AB1235" s="506"/>
    </row>
    <row r="1236" spans="1:28" s="597" customFormat="1" ht="18" customHeight="1" x14ac:dyDescent="0.2">
      <c r="A1236" s="1850"/>
      <c r="B1236" s="1850"/>
      <c r="C1236" s="1850"/>
      <c r="D1236" s="1850"/>
      <c r="E1236" s="1850"/>
      <c r="F1236" s="1850"/>
      <c r="G1236" s="1850"/>
      <c r="H1236" s="1851"/>
      <c r="I1236" s="1852"/>
      <c r="J1236" s="1853"/>
      <c r="K1236" s="1852"/>
      <c r="L1236" s="1852"/>
      <c r="M1236" s="1852"/>
      <c r="N1236" s="1852"/>
      <c r="O1236" s="1852"/>
      <c r="P1236" s="1852"/>
      <c r="Q1236" s="1852"/>
      <c r="R1236" s="1854"/>
      <c r="S1236" s="1852"/>
      <c r="T1236" s="1855"/>
      <c r="U1236" s="1853"/>
      <c r="V1236" s="1852"/>
      <c r="W1236" s="1852"/>
      <c r="X1236" s="1856"/>
      <c r="Y1236" s="1856"/>
      <c r="Z1236" s="1857"/>
      <c r="AA1236" s="1857"/>
      <c r="AB1236" s="1847">
        <f>SUM(AB1221:AB1235)</f>
        <v>916.8</v>
      </c>
    </row>
    <row r="1237" spans="1:28" s="457" customFormat="1" ht="18" customHeight="1" x14ac:dyDescent="0.2">
      <c r="A1237" s="2737" t="s">
        <v>76</v>
      </c>
      <c r="B1237" s="2737"/>
      <c r="C1237" s="2738" t="s">
        <v>77</v>
      </c>
      <c r="D1237" s="2738"/>
      <c r="E1237" s="2738"/>
      <c r="F1237" s="2738"/>
      <c r="G1237" s="2738"/>
      <c r="H1237" s="2738"/>
      <c r="I1237" s="457" t="s">
        <v>78</v>
      </c>
      <c r="AB1237" s="478"/>
    </row>
    <row r="1238" spans="1:28" s="457" customFormat="1" ht="18" customHeight="1" x14ac:dyDescent="0.2">
      <c r="B1238" s="479"/>
      <c r="I1238" s="457" t="s">
        <v>79</v>
      </c>
      <c r="AB1238" s="478"/>
    </row>
    <row r="1239" spans="1:28" s="457" customFormat="1" ht="18" customHeight="1" x14ac:dyDescent="0.2">
      <c r="B1239" s="479"/>
      <c r="I1239" s="457" t="s">
        <v>80</v>
      </c>
      <c r="AB1239" s="478"/>
    </row>
    <row r="1240" spans="1:28" s="457" customFormat="1" ht="18" customHeight="1" x14ac:dyDescent="0.2">
      <c r="B1240" s="479"/>
      <c r="I1240" s="457" t="s">
        <v>81</v>
      </c>
      <c r="AB1240" s="478"/>
    </row>
    <row r="1241" spans="1:28" s="457" customFormat="1" ht="18" customHeight="1" x14ac:dyDescent="0.2">
      <c r="B1241" s="479"/>
      <c r="I1241" s="457" t="s">
        <v>88</v>
      </c>
      <c r="AB1241" s="478"/>
    </row>
    <row r="1242" spans="1:28" s="457" customFormat="1" ht="18" customHeight="1" x14ac:dyDescent="0.2">
      <c r="A1242" s="455"/>
      <c r="B1242" s="455"/>
      <c r="C1242" s="455"/>
      <c r="D1242" s="455"/>
      <c r="E1242" s="455"/>
      <c r="F1242" s="455"/>
      <c r="G1242" s="455"/>
      <c r="H1242" s="455"/>
      <c r="I1242" s="455"/>
      <c r="J1242" s="455"/>
      <c r="K1242" s="455"/>
      <c r="L1242" s="455"/>
      <c r="M1242" s="455"/>
      <c r="N1242" s="455"/>
      <c r="O1242" s="455"/>
      <c r="P1242" s="455"/>
      <c r="Q1242" s="455"/>
      <c r="R1242" s="455"/>
      <c r="S1242" s="455"/>
      <c r="T1242" s="455"/>
      <c r="U1242" s="455"/>
      <c r="V1242" s="455"/>
      <c r="W1242" s="455"/>
      <c r="X1242" s="455"/>
      <c r="Y1242" s="455"/>
      <c r="Z1242" s="455"/>
      <c r="AA1242" s="2705" t="s">
        <v>0</v>
      </c>
      <c r="AB1242" s="2705"/>
    </row>
    <row r="1243" spans="1:28" s="457" customFormat="1" ht="18" customHeight="1" x14ac:dyDescent="0.2">
      <c r="A1243" s="2706" t="s">
        <v>1</v>
      </c>
      <c r="B1243" s="2706"/>
      <c r="C1243" s="2706"/>
      <c r="D1243" s="2706"/>
      <c r="E1243" s="2706"/>
      <c r="F1243" s="2706"/>
      <c r="G1243" s="2706"/>
      <c r="H1243" s="2706"/>
      <c r="I1243" s="2706"/>
      <c r="J1243" s="2706"/>
      <c r="K1243" s="2706"/>
      <c r="L1243" s="2706"/>
      <c r="M1243" s="2706"/>
      <c r="N1243" s="2706"/>
      <c r="O1243" s="2706"/>
      <c r="P1243" s="2706"/>
      <c r="Q1243" s="2706"/>
      <c r="R1243" s="2706"/>
      <c r="S1243" s="2706"/>
      <c r="T1243" s="2706"/>
      <c r="U1243" s="2706"/>
      <c r="V1243" s="2706"/>
      <c r="W1243" s="2706"/>
      <c r="X1243" s="2706"/>
      <c r="Y1243" s="2706"/>
      <c r="Z1243" s="2706"/>
      <c r="AA1243" s="2706"/>
      <c r="AB1243" s="2706"/>
    </row>
    <row r="1244" spans="1:28" s="457" customFormat="1" ht="18" customHeight="1" x14ac:dyDescent="0.2">
      <c r="A1244" s="2704" t="s">
        <v>408</v>
      </c>
      <c r="B1244" s="2704"/>
      <c r="C1244" s="2704"/>
      <c r="D1244" s="2704"/>
      <c r="E1244" s="2704"/>
      <c r="F1244" s="2704"/>
      <c r="G1244" s="2704"/>
      <c r="H1244" s="2704"/>
      <c r="I1244" s="2704"/>
      <c r="J1244" s="2704"/>
      <c r="K1244" s="2704"/>
      <c r="L1244" s="2704"/>
      <c r="M1244" s="2704"/>
      <c r="N1244" s="2704"/>
      <c r="O1244" s="2704"/>
      <c r="P1244" s="2704"/>
      <c r="Q1244" s="2704"/>
      <c r="R1244" s="2704"/>
      <c r="S1244" s="2704"/>
      <c r="T1244" s="2704"/>
      <c r="U1244" s="2704"/>
      <c r="V1244" s="2704"/>
      <c r="W1244" s="2704"/>
      <c r="X1244" s="2704"/>
      <c r="Y1244" s="2704"/>
      <c r="Z1244" s="2704"/>
      <c r="AA1244" s="2704"/>
      <c r="AB1244" s="2704"/>
    </row>
    <row r="1245" spans="1:28" s="457" customFormat="1" ht="18" customHeight="1" x14ac:dyDescent="0.2">
      <c r="A1245" s="2686" t="s">
        <v>2</v>
      </c>
      <c r="B1245" s="360"/>
      <c r="C1245" s="2686" t="s">
        <v>3</v>
      </c>
      <c r="D1245" s="360"/>
      <c r="E1245" s="360"/>
      <c r="F1245" s="2693" t="s">
        <v>4</v>
      </c>
      <c r="G1245" s="2693"/>
      <c r="H1245" s="2693"/>
      <c r="I1245" s="2694"/>
      <c r="J1245" s="2694"/>
      <c r="K1245" s="2695"/>
      <c r="L1245" s="361"/>
      <c r="M1245" s="2679" t="s">
        <v>5</v>
      </c>
      <c r="N1245" s="2679"/>
      <c r="O1245" s="2679"/>
      <c r="P1245" s="2679"/>
      <c r="Q1245" s="2696"/>
      <c r="R1245" s="2696"/>
      <c r="S1245" s="2696"/>
      <c r="T1245" s="2696"/>
      <c r="U1245" s="2696"/>
      <c r="V1245" s="2697"/>
      <c r="W1245" s="362" t="s">
        <v>6</v>
      </c>
      <c r="X1245" s="363" t="s">
        <v>7</v>
      </c>
      <c r="Y1245" s="364"/>
      <c r="Z1245" s="364"/>
      <c r="AA1245" s="363"/>
      <c r="AB1245" s="458"/>
    </row>
    <row r="1246" spans="1:28" s="457" customFormat="1" ht="18" customHeight="1" x14ac:dyDescent="0.2">
      <c r="A1246" s="2687"/>
      <c r="B1246" s="367"/>
      <c r="C1246" s="2687"/>
      <c r="D1246" s="366" t="s">
        <v>9</v>
      </c>
      <c r="E1246" s="366" t="s">
        <v>10</v>
      </c>
      <c r="F1246" s="2698" t="s">
        <v>11</v>
      </c>
      <c r="G1246" s="2694"/>
      <c r="H1246" s="2695"/>
      <c r="I1246" s="360"/>
      <c r="J1246" s="449" t="s">
        <v>12</v>
      </c>
      <c r="K1246" s="360"/>
      <c r="L1246" s="2679" t="s">
        <v>2</v>
      </c>
      <c r="M1246" s="370"/>
      <c r="N1246" s="370"/>
      <c r="O1246" s="370"/>
      <c r="P1246" s="371"/>
      <c r="Q1246" s="459" t="s">
        <v>13</v>
      </c>
      <c r="R1246" s="370" t="s">
        <v>12</v>
      </c>
      <c r="S1246" s="370" t="s">
        <v>6</v>
      </c>
      <c r="T1246" s="2682" t="s">
        <v>14</v>
      </c>
      <c r="U1246" s="2683"/>
      <c r="V1246" s="375" t="s">
        <v>7</v>
      </c>
      <c r="W1246" s="376" t="s">
        <v>15</v>
      </c>
      <c r="X1246" s="377" t="s">
        <v>16</v>
      </c>
      <c r="Y1246" s="377" t="s">
        <v>17</v>
      </c>
      <c r="Z1246" s="377" t="s">
        <v>18</v>
      </c>
      <c r="AA1246" s="377"/>
      <c r="AB1246" s="460" t="s">
        <v>19</v>
      </c>
    </row>
    <row r="1247" spans="1:28" s="457" customFormat="1" ht="18" customHeight="1" x14ac:dyDescent="0.2">
      <c r="A1247" s="2687"/>
      <c r="B1247" s="366" t="s">
        <v>23</v>
      </c>
      <c r="C1247" s="2687"/>
      <c r="D1247" s="366" t="s">
        <v>24</v>
      </c>
      <c r="E1247" s="366" t="s">
        <v>25</v>
      </c>
      <c r="F1247" s="2699"/>
      <c r="G1247" s="2700"/>
      <c r="H1247" s="2701"/>
      <c r="I1247" s="366" t="s">
        <v>26</v>
      </c>
      <c r="J1247" s="380" t="s">
        <v>15</v>
      </c>
      <c r="K1247" s="380" t="s">
        <v>6</v>
      </c>
      <c r="L1247" s="2680"/>
      <c r="M1247" s="381" t="s">
        <v>27</v>
      </c>
      <c r="N1247" s="381" t="s">
        <v>10</v>
      </c>
      <c r="O1247" s="381" t="s">
        <v>10</v>
      </c>
      <c r="P1247" s="385" t="s">
        <v>28</v>
      </c>
      <c r="Q1247" s="461" t="s">
        <v>29</v>
      </c>
      <c r="R1247" s="385" t="s">
        <v>15</v>
      </c>
      <c r="S1247" s="385" t="s">
        <v>15</v>
      </c>
      <c r="T1247" s="2684"/>
      <c r="U1247" s="2685"/>
      <c r="V1247" s="375" t="s">
        <v>30</v>
      </c>
      <c r="W1247" s="376" t="s">
        <v>31</v>
      </c>
      <c r="X1247" s="377" t="s">
        <v>30</v>
      </c>
      <c r="Y1247" s="377" t="s">
        <v>32</v>
      </c>
      <c r="Z1247" s="377" t="s">
        <v>7</v>
      </c>
      <c r="AA1247" s="377" t="s">
        <v>33</v>
      </c>
      <c r="AB1247" s="460" t="s">
        <v>34</v>
      </c>
    </row>
    <row r="1248" spans="1:28" s="457" customFormat="1" ht="18" customHeight="1" x14ac:dyDescent="0.2">
      <c r="A1248" s="2687"/>
      <c r="B1248" s="366" t="s">
        <v>39</v>
      </c>
      <c r="C1248" s="2687"/>
      <c r="D1248" s="366" t="s">
        <v>40</v>
      </c>
      <c r="E1248" s="366" t="s">
        <v>41</v>
      </c>
      <c r="F1248" s="2686" t="s">
        <v>42</v>
      </c>
      <c r="G1248" s="2686" t="s">
        <v>43</v>
      </c>
      <c r="H1248" s="2688" t="s">
        <v>44</v>
      </c>
      <c r="I1248" s="366" t="s">
        <v>45</v>
      </c>
      <c r="J1248" s="380" t="s">
        <v>46</v>
      </c>
      <c r="K1248" s="380" t="s">
        <v>47</v>
      </c>
      <c r="L1248" s="2680"/>
      <c r="M1248" s="381" t="s">
        <v>30</v>
      </c>
      <c r="N1248" s="381" t="s">
        <v>30</v>
      </c>
      <c r="O1248" s="381" t="s">
        <v>25</v>
      </c>
      <c r="P1248" s="385" t="s">
        <v>30</v>
      </c>
      <c r="Q1248" s="461" t="s">
        <v>48</v>
      </c>
      <c r="R1248" s="385" t="s">
        <v>49</v>
      </c>
      <c r="S1248" s="385" t="s">
        <v>30</v>
      </c>
      <c r="T1248" s="374" t="s">
        <v>50</v>
      </c>
      <c r="U1248" s="374" t="s">
        <v>13</v>
      </c>
      <c r="V1248" s="375" t="s">
        <v>51</v>
      </c>
      <c r="W1248" s="376" t="s">
        <v>52</v>
      </c>
      <c r="X1248" s="377" t="s">
        <v>53</v>
      </c>
      <c r="Y1248" s="377" t="s">
        <v>54</v>
      </c>
      <c r="Z1248" s="377" t="s">
        <v>55</v>
      </c>
      <c r="AA1248" s="377" t="s">
        <v>56</v>
      </c>
      <c r="AB1248" s="460" t="s">
        <v>57</v>
      </c>
    </row>
    <row r="1249" spans="1:28" s="457" customFormat="1" ht="18" customHeight="1" x14ac:dyDescent="0.2">
      <c r="A1249" s="2687"/>
      <c r="B1249" s="366" t="s">
        <v>61</v>
      </c>
      <c r="C1249" s="2687"/>
      <c r="D1249" s="366" t="s">
        <v>62</v>
      </c>
      <c r="E1249" s="366" t="s">
        <v>63</v>
      </c>
      <c r="F1249" s="2687"/>
      <c r="G1249" s="2687"/>
      <c r="H1249" s="2689"/>
      <c r="I1249" s="366" t="s">
        <v>64</v>
      </c>
      <c r="J1249" s="380" t="s">
        <v>59</v>
      </c>
      <c r="K1249" s="380" t="s">
        <v>59</v>
      </c>
      <c r="L1249" s="2680"/>
      <c r="M1249" s="381"/>
      <c r="N1249" s="381"/>
      <c r="O1249" s="381" t="s">
        <v>41</v>
      </c>
      <c r="P1249" s="385" t="s">
        <v>65</v>
      </c>
      <c r="Q1249" s="461" t="s">
        <v>66</v>
      </c>
      <c r="R1249" s="385" t="s">
        <v>67</v>
      </c>
      <c r="S1249" s="385" t="s">
        <v>59</v>
      </c>
      <c r="T1249" s="375" t="s">
        <v>68</v>
      </c>
      <c r="U1249" s="375" t="s">
        <v>14</v>
      </c>
      <c r="V1249" s="375" t="s">
        <v>14</v>
      </c>
      <c r="W1249" s="376" t="s">
        <v>30</v>
      </c>
      <c r="X1249" s="388" t="s">
        <v>69</v>
      </c>
      <c r="Y1249" s="388" t="s">
        <v>70</v>
      </c>
      <c r="Z1249" s="377" t="s">
        <v>71</v>
      </c>
      <c r="AA1249" s="377" t="s">
        <v>72</v>
      </c>
      <c r="AB1249" s="460" t="s">
        <v>59</v>
      </c>
    </row>
    <row r="1250" spans="1:28" s="457" customFormat="1" ht="18" customHeight="1" x14ac:dyDescent="0.2">
      <c r="A1250" s="2692"/>
      <c r="B1250" s="390"/>
      <c r="C1250" s="2692"/>
      <c r="D1250" s="390"/>
      <c r="E1250" s="389"/>
      <c r="F1250" s="390"/>
      <c r="G1250" s="390"/>
      <c r="H1250" s="391"/>
      <c r="I1250" s="389"/>
      <c r="J1250" s="393"/>
      <c r="K1250" s="393"/>
      <c r="L1250" s="2681"/>
      <c r="M1250" s="394"/>
      <c r="N1250" s="394"/>
      <c r="O1250" s="394" t="s">
        <v>63</v>
      </c>
      <c r="P1250" s="394"/>
      <c r="Q1250" s="450" t="s">
        <v>72</v>
      </c>
      <c r="R1250" s="398" t="s">
        <v>59</v>
      </c>
      <c r="S1250" s="398"/>
      <c r="T1250" s="398" t="s">
        <v>73</v>
      </c>
      <c r="U1250" s="398" t="s">
        <v>59</v>
      </c>
      <c r="V1250" s="399" t="s">
        <v>59</v>
      </c>
      <c r="W1250" s="400" t="s">
        <v>59</v>
      </c>
      <c r="X1250" s="401" t="s">
        <v>59</v>
      </c>
      <c r="Y1250" s="401" t="s">
        <v>59</v>
      </c>
      <c r="Z1250" s="401" t="s">
        <v>59</v>
      </c>
      <c r="AA1250" s="402"/>
      <c r="AB1250" s="462"/>
    </row>
    <row r="1251" spans="1:28" s="457" customFormat="1" ht="18" customHeight="1" x14ac:dyDescent="0.2">
      <c r="A1251" s="53">
        <v>1</v>
      </c>
      <c r="B1251" s="82">
        <v>35093</v>
      </c>
      <c r="C1251" s="82">
        <v>1361</v>
      </c>
      <c r="D1251" s="82" t="s">
        <v>86</v>
      </c>
      <c r="E1251" s="145">
        <v>4</v>
      </c>
      <c r="F1251" s="82">
        <v>0</v>
      </c>
      <c r="G1251" s="82">
        <v>1</v>
      </c>
      <c r="H1251" s="463">
        <v>63</v>
      </c>
      <c r="I1251" s="77">
        <f>F1251*400+G1251*100+H1251</f>
        <v>163</v>
      </c>
      <c r="J1251" s="107">
        <v>1600</v>
      </c>
      <c r="K1251" s="78">
        <f>SUM(I1251*J1251)</f>
        <v>260800</v>
      </c>
      <c r="L1251" s="75"/>
      <c r="M1251" s="82"/>
      <c r="N1251" s="82"/>
      <c r="O1251" s="53"/>
      <c r="P1251" s="358"/>
      <c r="Q1251" s="197"/>
      <c r="R1251" s="444"/>
      <c r="S1251" s="70"/>
      <c r="T1251" s="82"/>
      <c r="U1251" s="70"/>
      <c r="V1251" s="70"/>
      <c r="W1251" s="70">
        <f>K1251+V1251</f>
        <v>260800</v>
      </c>
      <c r="X1251" s="70">
        <f>W1251</f>
        <v>260800</v>
      </c>
      <c r="Y1251" s="123">
        <v>0</v>
      </c>
      <c r="Z1251" s="70">
        <f>+X1251</f>
        <v>260800</v>
      </c>
      <c r="AA1251" s="464">
        <v>0.6</v>
      </c>
      <c r="AB1251" s="465">
        <f>Z1251*AA1251/100</f>
        <v>1564.8</v>
      </c>
    </row>
    <row r="1252" spans="1:28" s="457" customFormat="1" ht="18" customHeight="1" x14ac:dyDescent="0.2">
      <c r="A1252" s="242"/>
      <c r="B1252" s="242"/>
      <c r="C1252" s="496"/>
      <c r="D1252" s="88"/>
      <c r="E1252" s="145"/>
      <c r="F1252" s="411"/>
      <c r="G1252" s="242"/>
      <c r="H1252" s="497"/>
      <c r="I1252" s="77"/>
      <c r="J1252" s="107"/>
      <c r="K1252" s="78"/>
      <c r="L1252" s="75"/>
      <c r="M1252" s="145"/>
      <c r="N1252" s="145"/>
      <c r="O1252" s="61"/>
      <c r="P1252" s="177"/>
      <c r="Q1252" s="196"/>
      <c r="R1252" s="408"/>
      <c r="S1252" s="77"/>
      <c r="T1252" s="145"/>
      <c r="U1252" s="77"/>
      <c r="V1252" s="77"/>
      <c r="W1252" s="77"/>
      <c r="X1252" s="77"/>
      <c r="Y1252" s="77"/>
      <c r="Z1252" s="77"/>
      <c r="AA1252" s="409"/>
      <c r="AB1252" s="466"/>
    </row>
    <row r="1253" spans="1:28" s="457" customFormat="1" ht="18" customHeight="1" x14ac:dyDescent="0.2">
      <c r="A1253" s="242"/>
      <c r="B1253" s="145"/>
      <c r="C1253" s="496"/>
      <c r="D1253" s="145"/>
      <c r="E1253" s="102"/>
      <c r="F1253" s="499"/>
      <c r="G1253" s="241"/>
      <c r="H1253" s="500"/>
      <c r="I1253" s="77"/>
      <c r="J1253" s="107"/>
      <c r="K1253" s="78"/>
      <c r="L1253" s="61"/>
      <c r="M1253" s="145"/>
      <c r="N1253" s="145"/>
      <c r="O1253" s="61"/>
      <c r="P1253" s="177"/>
      <c r="Q1253" s="196"/>
      <c r="R1253" s="408"/>
      <c r="S1253" s="77"/>
      <c r="T1253" s="145"/>
      <c r="U1253" s="77"/>
      <c r="V1253" s="77"/>
      <c r="W1253" s="77"/>
      <c r="X1253" s="77"/>
      <c r="Y1253" s="77"/>
      <c r="Z1253" s="77"/>
      <c r="AA1253" s="409"/>
      <c r="AB1253" s="466"/>
    </row>
    <row r="1254" spans="1:28" s="457" customFormat="1" ht="18" customHeight="1" x14ac:dyDescent="0.2">
      <c r="A1254" s="242"/>
      <c r="B1254" s="242"/>
      <c r="C1254" s="496"/>
      <c r="D1254" s="144"/>
      <c r="E1254" s="85"/>
      <c r="F1254" s="411"/>
      <c r="G1254" s="242"/>
      <c r="H1254" s="497"/>
      <c r="I1254" s="77"/>
      <c r="J1254" s="107"/>
      <c r="K1254" s="78"/>
      <c r="L1254" s="242"/>
      <c r="M1254" s="242"/>
      <c r="N1254" s="242"/>
      <c r="O1254" s="242"/>
      <c r="P1254" s="497"/>
      <c r="Q1254" s="496"/>
      <c r="R1254" s="503"/>
      <c r="S1254" s="504"/>
      <c r="T1254" s="505"/>
      <c r="U1254" s="504"/>
      <c r="V1254" s="504"/>
      <c r="W1254" s="77"/>
      <c r="X1254" s="77"/>
      <c r="Y1254" s="77"/>
      <c r="Z1254" s="77"/>
      <c r="AA1254" s="409"/>
      <c r="AB1254" s="410"/>
    </row>
    <row r="1255" spans="1:28" s="457" customFormat="1" ht="18" customHeight="1" x14ac:dyDescent="0.2">
      <c r="A1255" s="242"/>
      <c r="B1255" s="242"/>
      <c r="C1255" s="496"/>
      <c r="D1255" s="144"/>
      <c r="E1255" s="88"/>
      <c r="F1255" s="411"/>
      <c r="G1255" s="242"/>
      <c r="H1255" s="497"/>
      <c r="I1255" s="77"/>
      <c r="J1255" s="107"/>
      <c r="K1255" s="78"/>
      <c r="L1255" s="242"/>
      <c r="M1255" s="242"/>
      <c r="N1255" s="242"/>
      <c r="O1255" s="242"/>
      <c r="P1255" s="497"/>
      <c r="Q1255" s="496"/>
      <c r="R1255" s="503"/>
      <c r="S1255" s="504"/>
      <c r="T1255" s="505"/>
      <c r="U1255" s="504"/>
      <c r="V1255" s="504"/>
      <c r="W1255" s="77"/>
      <c r="X1255" s="77"/>
      <c r="Y1255" s="77"/>
      <c r="Z1255" s="77"/>
      <c r="AA1255" s="409"/>
      <c r="AB1255" s="506"/>
    </row>
    <row r="1256" spans="1:28" s="457" customFormat="1" ht="18" customHeight="1" x14ac:dyDescent="0.2">
      <c r="A1256" s="242"/>
      <c r="B1256" s="242"/>
      <c r="C1256" s="496"/>
      <c r="D1256" s="88"/>
      <c r="E1256" s="231"/>
      <c r="F1256" s="411"/>
      <c r="G1256" s="242"/>
      <c r="H1256" s="497"/>
      <c r="I1256" s="77"/>
      <c r="J1256" s="107"/>
      <c r="K1256" s="78"/>
      <c r="L1256" s="242"/>
      <c r="M1256" s="242"/>
      <c r="N1256" s="242"/>
      <c r="O1256" s="242"/>
      <c r="P1256" s="497"/>
      <c r="Q1256" s="496"/>
      <c r="R1256" s="503"/>
      <c r="S1256" s="504"/>
      <c r="T1256" s="505"/>
      <c r="U1256" s="504"/>
      <c r="V1256" s="504"/>
      <c r="W1256" s="77"/>
      <c r="X1256" s="77"/>
      <c r="Y1256" s="77"/>
      <c r="Z1256" s="77"/>
      <c r="AA1256" s="409"/>
      <c r="AB1256" s="506"/>
    </row>
    <row r="1257" spans="1:28" s="457" customFormat="1" ht="18" customHeight="1" x14ac:dyDescent="0.2">
      <c r="A1257" s="242"/>
      <c r="B1257" s="242"/>
      <c r="C1257" s="496"/>
      <c r="D1257" s="231"/>
      <c r="E1257" s="144"/>
      <c r="F1257" s="411"/>
      <c r="G1257" s="242"/>
      <c r="H1257" s="497"/>
      <c r="I1257" s="77"/>
      <c r="J1257" s="107"/>
      <c r="K1257" s="78"/>
      <c r="L1257" s="242"/>
      <c r="M1257" s="242"/>
      <c r="N1257" s="242"/>
      <c r="O1257" s="242"/>
      <c r="P1257" s="497"/>
      <c r="Q1257" s="496"/>
      <c r="R1257" s="503"/>
      <c r="S1257" s="504"/>
      <c r="T1257" s="505"/>
      <c r="U1257" s="504"/>
      <c r="V1257" s="504"/>
      <c r="W1257" s="77"/>
      <c r="X1257" s="77"/>
      <c r="Y1257" s="77"/>
      <c r="Z1257" s="77"/>
      <c r="AA1257" s="409"/>
      <c r="AB1257" s="506"/>
    </row>
    <row r="1258" spans="1:28" s="457" customFormat="1" ht="18" customHeight="1" x14ac:dyDescent="0.2">
      <c r="A1258" s="242"/>
      <c r="B1258" s="242"/>
      <c r="C1258" s="496"/>
      <c r="D1258" s="88"/>
      <c r="E1258" s="144"/>
      <c r="F1258" s="411"/>
      <c r="G1258" s="242"/>
      <c r="H1258" s="497"/>
      <c r="I1258" s="77"/>
      <c r="J1258" s="107"/>
      <c r="K1258" s="78"/>
      <c r="L1258" s="242"/>
      <c r="M1258" s="242"/>
      <c r="N1258" s="242"/>
      <c r="O1258" s="242"/>
      <c r="P1258" s="497"/>
      <c r="Q1258" s="496"/>
      <c r="R1258" s="503"/>
      <c r="S1258" s="504"/>
      <c r="T1258" s="505"/>
      <c r="U1258" s="504"/>
      <c r="V1258" s="504"/>
      <c r="W1258" s="77"/>
      <c r="X1258" s="77"/>
      <c r="Y1258" s="77"/>
      <c r="Z1258" s="77"/>
      <c r="AA1258" s="409"/>
      <c r="AB1258" s="506"/>
    </row>
    <row r="1259" spans="1:28" s="457" customFormat="1" ht="18" customHeight="1" x14ac:dyDescent="0.2">
      <c r="A1259" s="242"/>
      <c r="B1259" s="242"/>
      <c r="C1259" s="496"/>
      <c r="D1259" s="231"/>
      <c r="E1259" s="88"/>
      <c r="F1259" s="411"/>
      <c r="G1259" s="242"/>
      <c r="H1259" s="497"/>
      <c r="I1259" s="77"/>
      <c r="J1259" s="107"/>
      <c r="K1259" s="78"/>
      <c r="L1259" s="242"/>
      <c r="M1259" s="242"/>
      <c r="N1259" s="242"/>
      <c r="O1259" s="242"/>
      <c r="P1259" s="497"/>
      <c r="Q1259" s="496"/>
      <c r="R1259" s="503"/>
      <c r="S1259" s="504"/>
      <c r="T1259" s="505"/>
      <c r="U1259" s="504"/>
      <c r="V1259" s="504"/>
      <c r="W1259" s="77"/>
      <c r="X1259" s="77"/>
      <c r="Y1259" s="77"/>
      <c r="Z1259" s="77"/>
      <c r="AA1259" s="409"/>
      <c r="AB1259" s="506"/>
    </row>
    <row r="1260" spans="1:28" s="457" customFormat="1" ht="18" customHeight="1" x14ac:dyDescent="0.2">
      <c r="A1260" s="242"/>
      <c r="B1260" s="242"/>
      <c r="C1260" s="496"/>
      <c r="D1260" s="144"/>
      <c r="E1260" s="88"/>
      <c r="F1260" s="411"/>
      <c r="G1260" s="242"/>
      <c r="H1260" s="497"/>
      <c r="I1260" s="77"/>
      <c r="J1260" s="107"/>
      <c r="K1260" s="78"/>
      <c r="L1260" s="242"/>
      <c r="M1260" s="242"/>
      <c r="N1260" s="242"/>
      <c r="O1260" s="242"/>
      <c r="P1260" s="497"/>
      <c r="Q1260" s="496"/>
      <c r="R1260" s="503"/>
      <c r="S1260" s="504"/>
      <c r="T1260" s="505"/>
      <c r="U1260" s="504"/>
      <c r="V1260" s="504"/>
      <c r="W1260" s="77"/>
      <c r="X1260" s="77"/>
      <c r="Y1260" s="77"/>
      <c r="Z1260" s="77"/>
      <c r="AA1260" s="409"/>
      <c r="AB1260" s="506"/>
    </row>
    <row r="1261" spans="1:28" s="457" customFormat="1" ht="18" customHeight="1" x14ac:dyDescent="0.2">
      <c r="A1261" s="242"/>
      <c r="B1261" s="242"/>
      <c r="C1261" s="496"/>
      <c r="D1261" s="88"/>
      <c r="E1261" s="231"/>
      <c r="F1261" s="411"/>
      <c r="G1261" s="242"/>
      <c r="H1261" s="497"/>
      <c r="I1261" s="77"/>
      <c r="J1261" s="107"/>
      <c r="K1261" s="78"/>
      <c r="L1261" s="242"/>
      <c r="M1261" s="242"/>
      <c r="N1261" s="242"/>
      <c r="O1261" s="242"/>
      <c r="P1261" s="497"/>
      <c r="Q1261" s="496"/>
      <c r="R1261" s="503"/>
      <c r="S1261" s="504"/>
      <c r="T1261" s="505"/>
      <c r="U1261" s="504"/>
      <c r="V1261" s="504"/>
      <c r="W1261" s="77"/>
      <c r="X1261" s="77"/>
      <c r="Y1261" s="77"/>
      <c r="Z1261" s="77"/>
      <c r="AA1261" s="409"/>
      <c r="AB1261" s="506"/>
    </row>
    <row r="1262" spans="1:28" s="457" customFormat="1" ht="18" customHeight="1" x14ac:dyDescent="0.2">
      <c r="A1262" s="242"/>
      <c r="B1262" s="242"/>
      <c r="C1262" s="496"/>
      <c r="D1262" s="88"/>
      <c r="E1262" s="144"/>
      <c r="F1262" s="411"/>
      <c r="G1262" s="242"/>
      <c r="H1262" s="497"/>
      <c r="I1262" s="77"/>
      <c r="J1262" s="107"/>
      <c r="K1262" s="78"/>
      <c r="L1262" s="242"/>
      <c r="M1262" s="242"/>
      <c r="N1262" s="242"/>
      <c r="O1262" s="242"/>
      <c r="P1262" s="497"/>
      <c r="Q1262" s="496"/>
      <c r="R1262" s="503"/>
      <c r="S1262" s="504"/>
      <c r="T1262" s="505"/>
      <c r="U1262" s="504"/>
      <c r="V1262" s="504"/>
      <c r="W1262" s="77"/>
      <c r="X1262" s="77"/>
      <c r="Y1262" s="77"/>
      <c r="Z1262" s="77"/>
      <c r="AA1262" s="409"/>
      <c r="AB1262" s="506"/>
    </row>
    <row r="1263" spans="1:28" s="457" customFormat="1" ht="18" customHeight="1" x14ac:dyDescent="0.2">
      <c r="A1263" s="242"/>
      <c r="B1263" s="242"/>
      <c r="C1263" s="496"/>
      <c r="D1263" s="88"/>
      <c r="E1263" s="88"/>
      <c r="F1263" s="411"/>
      <c r="G1263" s="242"/>
      <c r="H1263" s="497"/>
      <c r="I1263" s="77"/>
      <c r="J1263" s="107"/>
      <c r="K1263" s="78"/>
      <c r="L1263" s="242"/>
      <c r="M1263" s="242"/>
      <c r="N1263" s="242"/>
      <c r="O1263" s="242"/>
      <c r="P1263" s="497"/>
      <c r="Q1263" s="496"/>
      <c r="R1263" s="503"/>
      <c r="S1263" s="504"/>
      <c r="T1263" s="505"/>
      <c r="U1263" s="504"/>
      <c r="V1263" s="504"/>
      <c r="W1263" s="77"/>
      <c r="X1263" s="77"/>
      <c r="Y1263" s="77"/>
      <c r="Z1263" s="77"/>
      <c r="AA1263" s="409"/>
      <c r="AB1263" s="506"/>
    </row>
    <row r="1264" spans="1:28" s="457" customFormat="1" ht="18" customHeight="1" x14ac:dyDescent="0.2">
      <c r="A1264" s="242"/>
      <c r="B1264" s="242"/>
      <c r="C1264" s="496"/>
      <c r="D1264" s="88"/>
      <c r="E1264" s="88"/>
      <c r="F1264" s="411"/>
      <c r="G1264" s="242"/>
      <c r="H1264" s="497"/>
      <c r="I1264" s="77"/>
      <c r="J1264" s="107"/>
      <c r="K1264" s="78"/>
      <c r="L1264" s="242"/>
      <c r="M1264" s="242"/>
      <c r="N1264" s="242"/>
      <c r="O1264" s="242"/>
      <c r="P1264" s="497"/>
      <c r="Q1264" s="496"/>
      <c r="R1264" s="503"/>
      <c r="S1264" s="504"/>
      <c r="T1264" s="505"/>
      <c r="U1264" s="504"/>
      <c r="V1264" s="504"/>
      <c r="W1264" s="77"/>
      <c r="X1264" s="77"/>
      <c r="Y1264" s="77"/>
      <c r="Z1264" s="77"/>
      <c r="AA1264" s="409"/>
      <c r="AB1264" s="506"/>
    </row>
    <row r="1265" spans="1:28" s="457" customFormat="1" ht="18" customHeight="1" x14ac:dyDescent="0.2">
      <c r="A1265" s="242"/>
      <c r="B1265" s="242"/>
      <c r="C1265" s="496"/>
      <c r="D1265" s="88"/>
      <c r="E1265" s="88"/>
      <c r="F1265" s="411"/>
      <c r="G1265" s="242"/>
      <c r="H1265" s="497"/>
      <c r="I1265" s="77"/>
      <c r="J1265" s="107"/>
      <c r="K1265" s="78"/>
      <c r="L1265" s="242"/>
      <c r="M1265" s="242"/>
      <c r="N1265" s="242"/>
      <c r="O1265" s="242"/>
      <c r="P1265" s="497"/>
      <c r="Q1265" s="496"/>
      <c r="R1265" s="503"/>
      <c r="S1265" s="504"/>
      <c r="T1265" s="505"/>
      <c r="U1265" s="504"/>
      <c r="V1265" s="504"/>
      <c r="W1265" s="77"/>
      <c r="X1265" s="77"/>
      <c r="Y1265" s="77"/>
      <c r="Z1265" s="77"/>
      <c r="AA1265" s="409"/>
      <c r="AB1265" s="506"/>
    </row>
    <row r="1266" spans="1:28" s="597" customFormat="1" ht="18" customHeight="1" x14ac:dyDescent="0.2">
      <c r="A1266" s="1850"/>
      <c r="B1266" s="1850"/>
      <c r="C1266" s="1850"/>
      <c r="D1266" s="1850"/>
      <c r="E1266" s="1850"/>
      <c r="F1266" s="1850"/>
      <c r="G1266" s="1850"/>
      <c r="H1266" s="1851"/>
      <c r="I1266" s="1852"/>
      <c r="J1266" s="1853"/>
      <c r="K1266" s="1852"/>
      <c r="L1266" s="1852"/>
      <c r="M1266" s="1852"/>
      <c r="N1266" s="1852"/>
      <c r="O1266" s="1852"/>
      <c r="P1266" s="1852"/>
      <c r="Q1266" s="1852"/>
      <c r="R1266" s="1854"/>
      <c r="S1266" s="1852"/>
      <c r="T1266" s="1855"/>
      <c r="U1266" s="1853"/>
      <c r="V1266" s="1852"/>
      <c r="W1266" s="1852"/>
      <c r="X1266" s="1856"/>
      <c r="Y1266" s="1856"/>
      <c r="Z1266" s="1857"/>
      <c r="AA1266" s="1857"/>
      <c r="AB1266" s="1847">
        <f>SUM(AB1251:AB1265)</f>
        <v>1564.8</v>
      </c>
    </row>
    <row r="1267" spans="1:28" s="457" customFormat="1" ht="18" customHeight="1" x14ac:dyDescent="0.2">
      <c r="A1267" s="2737" t="s">
        <v>76</v>
      </c>
      <c r="B1267" s="2737"/>
      <c r="C1267" s="2738" t="s">
        <v>77</v>
      </c>
      <c r="D1267" s="2738"/>
      <c r="E1267" s="2738"/>
      <c r="F1267" s="2738"/>
      <c r="G1267" s="2738"/>
      <c r="H1267" s="2738"/>
      <c r="I1267" s="457" t="s">
        <v>78</v>
      </c>
      <c r="AB1267" s="478"/>
    </row>
    <row r="1268" spans="1:28" s="457" customFormat="1" ht="18" customHeight="1" x14ac:dyDescent="0.2">
      <c r="B1268" s="479"/>
      <c r="I1268" s="457" t="s">
        <v>79</v>
      </c>
      <c r="AB1268" s="478"/>
    </row>
    <row r="1269" spans="1:28" s="457" customFormat="1" ht="18" customHeight="1" x14ac:dyDescent="0.2">
      <c r="B1269" s="479"/>
      <c r="I1269" s="457" t="s">
        <v>80</v>
      </c>
      <c r="AB1269" s="478"/>
    </row>
    <row r="1270" spans="1:28" s="457" customFormat="1" ht="18" customHeight="1" x14ac:dyDescent="0.2">
      <c r="B1270" s="479"/>
      <c r="I1270" s="457" t="s">
        <v>81</v>
      </c>
      <c r="AB1270" s="478"/>
    </row>
    <row r="1271" spans="1:28" s="457" customFormat="1" ht="18" customHeight="1" x14ac:dyDescent="0.2">
      <c r="B1271" s="479"/>
      <c r="I1271" s="457" t="s">
        <v>88</v>
      </c>
      <c r="AB1271" s="478"/>
    </row>
    <row r="1272" spans="1:28" s="457" customFormat="1" ht="18" customHeight="1" x14ac:dyDescent="0.2">
      <c r="A1272" s="455"/>
      <c r="B1272" s="455"/>
      <c r="C1272" s="455"/>
      <c r="D1272" s="455"/>
      <c r="E1272" s="455"/>
      <c r="F1272" s="455"/>
      <c r="G1272" s="455"/>
      <c r="H1272" s="455"/>
      <c r="I1272" s="455"/>
      <c r="J1272" s="455"/>
      <c r="K1272" s="455"/>
      <c r="L1272" s="455"/>
      <c r="M1272" s="455"/>
      <c r="N1272" s="455"/>
      <c r="O1272" s="455"/>
      <c r="P1272" s="455"/>
      <c r="Q1272" s="455"/>
      <c r="R1272" s="455"/>
      <c r="S1272" s="455"/>
      <c r="T1272" s="455"/>
      <c r="U1272" s="455"/>
      <c r="V1272" s="455"/>
      <c r="W1272" s="455"/>
      <c r="X1272" s="455"/>
      <c r="Y1272" s="455"/>
      <c r="Z1272" s="455"/>
      <c r="AA1272" s="2705" t="s">
        <v>0</v>
      </c>
      <c r="AB1272" s="2705"/>
    </row>
    <row r="1273" spans="1:28" s="457" customFormat="1" ht="18" customHeight="1" x14ac:dyDescent="0.2">
      <c r="A1273" s="2706" t="s">
        <v>1</v>
      </c>
      <c r="B1273" s="2706"/>
      <c r="C1273" s="2706"/>
      <c r="D1273" s="2706"/>
      <c r="E1273" s="2706"/>
      <c r="F1273" s="2706"/>
      <c r="G1273" s="2706"/>
      <c r="H1273" s="2706"/>
      <c r="I1273" s="2706"/>
      <c r="J1273" s="2706"/>
      <c r="K1273" s="2706"/>
      <c r="L1273" s="2706"/>
      <c r="M1273" s="2706"/>
      <c r="N1273" s="2706"/>
      <c r="O1273" s="2706"/>
      <c r="P1273" s="2706"/>
      <c r="Q1273" s="2706"/>
      <c r="R1273" s="2706"/>
      <c r="S1273" s="2706"/>
      <c r="T1273" s="2706"/>
      <c r="U1273" s="2706"/>
      <c r="V1273" s="2706"/>
      <c r="W1273" s="2706"/>
      <c r="X1273" s="2706"/>
      <c r="Y1273" s="2706"/>
      <c r="Z1273" s="2706"/>
      <c r="AA1273" s="2706"/>
      <c r="AB1273" s="2706"/>
    </row>
    <row r="1274" spans="1:28" s="457" customFormat="1" ht="18" customHeight="1" x14ac:dyDescent="0.2">
      <c r="A1274" s="2704" t="s">
        <v>409</v>
      </c>
      <c r="B1274" s="2704"/>
      <c r="C1274" s="2704"/>
      <c r="D1274" s="2704"/>
      <c r="E1274" s="2704"/>
      <c r="F1274" s="2704"/>
      <c r="G1274" s="2704"/>
      <c r="H1274" s="2704"/>
      <c r="I1274" s="2704"/>
      <c r="J1274" s="2704"/>
      <c r="K1274" s="2704"/>
      <c r="L1274" s="2704"/>
      <c r="M1274" s="2704"/>
      <c r="N1274" s="2704"/>
      <c r="O1274" s="2704"/>
      <c r="P1274" s="2704"/>
      <c r="Q1274" s="2704"/>
      <c r="R1274" s="2704"/>
      <c r="S1274" s="2704"/>
      <c r="T1274" s="2704"/>
      <c r="U1274" s="2704"/>
      <c r="V1274" s="2704"/>
      <c r="W1274" s="2704"/>
      <c r="X1274" s="2704"/>
      <c r="Y1274" s="2704"/>
      <c r="Z1274" s="2704"/>
      <c r="AA1274" s="2704"/>
      <c r="AB1274" s="2704"/>
    </row>
    <row r="1275" spans="1:28" s="457" customFormat="1" ht="18" customHeight="1" x14ac:dyDescent="0.2">
      <c r="A1275" s="2686" t="s">
        <v>2</v>
      </c>
      <c r="B1275" s="360"/>
      <c r="C1275" s="2686" t="s">
        <v>3</v>
      </c>
      <c r="D1275" s="360"/>
      <c r="E1275" s="360"/>
      <c r="F1275" s="2693" t="s">
        <v>4</v>
      </c>
      <c r="G1275" s="2693"/>
      <c r="H1275" s="2693"/>
      <c r="I1275" s="2694"/>
      <c r="J1275" s="2694"/>
      <c r="K1275" s="2695"/>
      <c r="L1275" s="361"/>
      <c r="M1275" s="2679" t="s">
        <v>5</v>
      </c>
      <c r="N1275" s="2679"/>
      <c r="O1275" s="2679"/>
      <c r="P1275" s="2679"/>
      <c r="Q1275" s="2696"/>
      <c r="R1275" s="2696"/>
      <c r="S1275" s="2696"/>
      <c r="T1275" s="2696"/>
      <c r="U1275" s="2696"/>
      <c r="V1275" s="2697"/>
      <c r="W1275" s="362" t="s">
        <v>6</v>
      </c>
      <c r="X1275" s="363" t="s">
        <v>7</v>
      </c>
      <c r="Y1275" s="364"/>
      <c r="Z1275" s="364"/>
      <c r="AA1275" s="363"/>
      <c r="AB1275" s="458"/>
    </row>
    <row r="1276" spans="1:28" s="457" customFormat="1" ht="18" customHeight="1" x14ac:dyDescent="0.2">
      <c r="A1276" s="2687"/>
      <c r="B1276" s="367"/>
      <c r="C1276" s="2687"/>
      <c r="D1276" s="366" t="s">
        <v>9</v>
      </c>
      <c r="E1276" s="366" t="s">
        <v>10</v>
      </c>
      <c r="F1276" s="2698" t="s">
        <v>11</v>
      </c>
      <c r="G1276" s="2694"/>
      <c r="H1276" s="2695"/>
      <c r="I1276" s="360"/>
      <c r="J1276" s="449" t="s">
        <v>12</v>
      </c>
      <c r="K1276" s="360"/>
      <c r="L1276" s="2679" t="s">
        <v>2</v>
      </c>
      <c r="M1276" s="370"/>
      <c r="N1276" s="370"/>
      <c r="O1276" s="370"/>
      <c r="P1276" s="371"/>
      <c r="Q1276" s="459" t="s">
        <v>13</v>
      </c>
      <c r="R1276" s="370" t="s">
        <v>12</v>
      </c>
      <c r="S1276" s="370" t="s">
        <v>6</v>
      </c>
      <c r="T1276" s="2682" t="s">
        <v>14</v>
      </c>
      <c r="U1276" s="2683"/>
      <c r="V1276" s="375" t="s">
        <v>7</v>
      </c>
      <c r="W1276" s="376" t="s">
        <v>15</v>
      </c>
      <c r="X1276" s="377" t="s">
        <v>16</v>
      </c>
      <c r="Y1276" s="377" t="s">
        <v>17</v>
      </c>
      <c r="Z1276" s="377" t="s">
        <v>18</v>
      </c>
      <c r="AA1276" s="377"/>
      <c r="AB1276" s="460" t="s">
        <v>19</v>
      </c>
    </row>
    <row r="1277" spans="1:28" s="457" customFormat="1" ht="18" customHeight="1" x14ac:dyDescent="0.2">
      <c r="A1277" s="2687"/>
      <c r="B1277" s="366" t="s">
        <v>23</v>
      </c>
      <c r="C1277" s="2687"/>
      <c r="D1277" s="366" t="s">
        <v>24</v>
      </c>
      <c r="E1277" s="366" t="s">
        <v>25</v>
      </c>
      <c r="F1277" s="2699"/>
      <c r="G1277" s="2700"/>
      <c r="H1277" s="2701"/>
      <c r="I1277" s="366" t="s">
        <v>26</v>
      </c>
      <c r="J1277" s="380" t="s">
        <v>15</v>
      </c>
      <c r="K1277" s="380" t="s">
        <v>6</v>
      </c>
      <c r="L1277" s="2680"/>
      <c r="M1277" s="381" t="s">
        <v>27</v>
      </c>
      <c r="N1277" s="381" t="s">
        <v>10</v>
      </c>
      <c r="O1277" s="381" t="s">
        <v>10</v>
      </c>
      <c r="P1277" s="385" t="s">
        <v>28</v>
      </c>
      <c r="Q1277" s="461" t="s">
        <v>29</v>
      </c>
      <c r="R1277" s="385" t="s">
        <v>15</v>
      </c>
      <c r="S1277" s="385" t="s">
        <v>15</v>
      </c>
      <c r="T1277" s="2684"/>
      <c r="U1277" s="2685"/>
      <c r="V1277" s="375" t="s">
        <v>30</v>
      </c>
      <c r="W1277" s="376" t="s">
        <v>31</v>
      </c>
      <c r="X1277" s="377" t="s">
        <v>30</v>
      </c>
      <c r="Y1277" s="377" t="s">
        <v>32</v>
      </c>
      <c r="Z1277" s="377" t="s">
        <v>7</v>
      </c>
      <c r="AA1277" s="377" t="s">
        <v>33</v>
      </c>
      <c r="AB1277" s="460" t="s">
        <v>34</v>
      </c>
    </row>
    <row r="1278" spans="1:28" s="457" customFormat="1" ht="18" customHeight="1" x14ac:dyDescent="0.2">
      <c r="A1278" s="2687"/>
      <c r="B1278" s="366" t="s">
        <v>39</v>
      </c>
      <c r="C1278" s="2687"/>
      <c r="D1278" s="366" t="s">
        <v>40</v>
      </c>
      <c r="E1278" s="366" t="s">
        <v>41</v>
      </c>
      <c r="F1278" s="2686" t="s">
        <v>42</v>
      </c>
      <c r="G1278" s="2686" t="s">
        <v>43</v>
      </c>
      <c r="H1278" s="2688" t="s">
        <v>44</v>
      </c>
      <c r="I1278" s="366" t="s">
        <v>45</v>
      </c>
      <c r="J1278" s="380" t="s">
        <v>46</v>
      </c>
      <c r="K1278" s="380" t="s">
        <v>47</v>
      </c>
      <c r="L1278" s="2680"/>
      <c r="M1278" s="381" t="s">
        <v>30</v>
      </c>
      <c r="N1278" s="381" t="s">
        <v>30</v>
      </c>
      <c r="O1278" s="381" t="s">
        <v>25</v>
      </c>
      <c r="P1278" s="385" t="s">
        <v>30</v>
      </c>
      <c r="Q1278" s="461" t="s">
        <v>48</v>
      </c>
      <c r="R1278" s="385" t="s">
        <v>49</v>
      </c>
      <c r="S1278" s="385" t="s">
        <v>30</v>
      </c>
      <c r="T1278" s="374" t="s">
        <v>50</v>
      </c>
      <c r="U1278" s="374" t="s">
        <v>13</v>
      </c>
      <c r="V1278" s="375" t="s">
        <v>51</v>
      </c>
      <c r="W1278" s="376" t="s">
        <v>52</v>
      </c>
      <c r="X1278" s="377" t="s">
        <v>53</v>
      </c>
      <c r="Y1278" s="377" t="s">
        <v>54</v>
      </c>
      <c r="Z1278" s="377" t="s">
        <v>55</v>
      </c>
      <c r="AA1278" s="377" t="s">
        <v>56</v>
      </c>
      <c r="AB1278" s="460" t="s">
        <v>57</v>
      </c>
    </row>
    <row r="1279" spans="1:28" s="457" customFormat="1" ht="18" customHeight="1" x14ac:dyDescent="0.2">
      <c r="A1279" s="2687"/>
      <c r="B1279" s="366" t="s">
        <v>61</v>
      </c>
      <c r="C1279" s="2687"/>
      <c r="D1279" s="366" t="s">
        <v>62</v>
      </c>
      <c r="E1279" s="366" t="s">
        <v>63</v>
      </c>
      <c r="F1279" s="2687"/>
      <c r="G1279" s="2687"/>
      <c r="H1279" s="2689"/>
      <c r="I1279" s="366" t="s">
        <v>64</v>
      </c>
      <c r="J1279" s="380" t="s">
        <v>59</v>
      </c>
      <c r="K1279" s="380" t="s">
        <v>59</v>
      </c>
      <c r="L1279" s="2680"/>
      <c r="M1279" s="381"/>
      <c r="N1279" s="381"/>
      <c r="O1279" s="381" t="s">
        <v>41</v>
      </c>
      <c r="P1279" s="385" t="s">
        <v>65</v>
      </c>
      <c r="Q1279" s="461" t="s">
        <v>66</v>
      </c>
      <c r="R1279" s="385" t="s">
        <v>67</v>
      </c>
      <c r="S1279" s="385" t="s">
        <v>59</v>
      </c>
      <c r="T1279" s="375" t="s">
        <v>68</v>
      </c>
      <c r="U1279" s="375" t="s">
        <v>14</v>
      </c>
      <c r="V1279" s="375" t="s">
        <v>14</v>
      </c>
      <c r="W1279" s="376" t="s">
        <v>30</v>
      </c>
      <c r="X1279" s="388" t="s">
        <v>69</v>
      </c>
      <c r="Y1279" s="388" t="s">
        <v>70</v>
      </c>
      <c r="Z1279" s="377" t="s">
        <v>71</v>
      </c>
      <c r="AA1279" s="377" t="s">
        <v>72</v>
      </c>
      <c r="AB1279" s="460" t="s">
        <v>59</v>
      </c>
    </row>
    <row r="1280" spans="1:28" s="457" customFormat="1" ht="18" customHeight="1" x14ac:dyDescent="0.2">
      <c r="A1280" s="2692"/>
      <c r="B1280" s="390"/>
      <c r="C1280" s="2692"/>
      <c r="D1280" s="390"/>
      <c r="E1280" s="389"/>
      <c r="F1280" s="390"/>
      <c r="G1280" s="390"/>
      <c r="H1280" s="391"/>
      <c r="I1280" s="389"/>
      <c r="J1280" s="393"/>
      <c r="K1280" s="393"/>
      <c r="L1280" s="2681"/>
      <c r="M1280" s="394"/>
      <c r="N1280" s="394"/>
      <c r="O1280" s="394" t="s">
        <v>63</v>
      </c>
      <c r="P1280" s="394"/>
      <c r="Q1280" s="450" t="s">
        <v>72</v>
      </c>
      <c r="R1280" s="398" t="s">
        <v>59</v>
      </c>
      <c r="S1280" s="398"/>
      <c r="T1280" s="398" t="s">
        <v>73</v>
      </c>
      <c r="U1280" s="398" t="s">
        <v>59</v>
      </c>
      <c r="V1280" s="399" t="s">
        <v>59</v>
      </c>
      <c r="W1280" s="400" t="s">
        <v>59</v>
      </c>
      <c r="X1280" s="401" t="s">
        <v>59</v>
      </c>
      <c r="Y1280" s="401" t="s">
        <v>59</v>
      </c>
      <c r="Z1280" s="401" t="s">
        <v>59</v>
      </c>
      <c r="AA1280" s="402"/>
      <c r="AB1280" s="462"/>
    </row>
    <row r="1281" spans="1:28" s="457" customFormat="1" ht="18" customHeight="1" x14ac:dyDescent="0.2">
      <c r="A1281" s="53">
        <v>1</v>
      </c>
      <c r="B1281" s="82">
        <v>36089</v>
      </c>
      <c r="C1281" s="82">
        <v>1393</v>
      </c>
      <c r="D1281" s="82" t="s">
        <v>86</v>
      </c>
      <c r="E1281" s="145">
        <v>4</v>
      </c>
      <c r="F1281" s="82">
        <v>0</v>
      </c>
      <c r="G1281" s="82">
        <v>0</v>
      </c>
      <c r="H1281" s="463">
        <v>99</v>
      </c>
      <c r="I1281" s="77">
        <f>F1281*400+G1281*100+H1281</f>
        <v>99</v>
      </c>
      <c r="J1281" s="107">
        <v>1600</v>
      </c>
      <c r="K1281" s="78">
        <f>SUM(I1281*J1281)</f>
        <v>158400</v>
      </c>
      <c r="L1281" s="75"/>
      <c r="M1281" s="82"/>
      <c r="N1281" s="82"/>
      <c r="O1281" s="53"/>
      <c r="P1281" s="358"/>
      <c r="Q1281" s="197"/>
      <c r="R1281" s="444"/>
      <c r="S1281" s="70"/>
      <c r="T1281" s="82"/>
      <c r="U1281" s="70"/>
      <c r="V1281" s="70"/>
      <c r="W1281" s="70">
        <f>K1281+V1281</f>
        <v>158400</v>
      </c>
      <c r="X1281" s="70">
        <f>W1281</f>
        <v>158400</v>
      </c>
      <c r="Y1281" s="123">
        <v>0</v>
      </c>
      <c r="Z1281" s="70">
        <f>+X1281</f>
        <v>158400</v>
      </c>
      <c r="AA1281" s="464">
        <v>0.6</v>
      </c>
      <c r="AB1281" s="465">
        <f>+Z1281*AA1281/100</f>
        <v>950.4</v>
      </c>
    </row>
    <row r="1282" spans="1:28" s="457" customFormat="1" ht="18" customHeight="1" x14ac:dyDescent="0.2">
      <c r="A1282" s="242"/>
      <c r="B1282" s="242"/>
      <c r="C1282" s="496"/>
      <c r="D1282" s="88"/>
      <c r="E1282" s="145"/>
      <c r="F1282" s="411"/>
      <c r="G1282" s="242"/>
      <c r="H1282" s="497"/>
      <c r="I1282" s="77"/>
      <c r="J1282" s="107"/>
      <c r="K1282" s="78"/>
      <c r="L1282" s="75"/>
      <c r="M1282" s="145"/>
      <c r="N1282" s="145"/>
      <c r="O1282" s="61"/>
      <c r="P1282" s="177"/>
      <c r="Q1282" s="196"/>
      <c r="R1282" s="408"/>
      <c r="S1282" s="77"/>
      <c r="T1282" s="145"/>
      <c r="U1282" s="77"/>
      <c r="V1282" s="77"/>
      <c r="W1282" s="77"/>
      <c r="X1282" s="77"/>
      <c r="Y1282" s="77"/>
      <c r="Z1282" s="77"/>
      <c r="AA1282" s="409"/>
      <c r="AB1282" s="466"/>
    </row>
    <row r="1283" spans="1:28" s="457" customFormat="1" ht="18" customHeight="1" x14ac:dyDescent="0.2">
      <c r="A1283" s="242"/>
      <c r="B1283" s="145"/>
      <c r="C1283" s="496"/>
      <c r="D1283" s="145"/>
      <c r="E1283" s="102"/>
      <c r="F1283" s="499"/>
      <c r="G1283" s="241"/>
      <c r="H1283" s="500"/>
      <c r="I1283" s="77"/>
      <c r="J1283" s="107"/>
      <c r="K1283" s="78"/>
      <c r="L1283" s="61"/>
      <c r="M1283" s="145"/>
      <c r="N1283" s="145"/>
      <c r="O1283" s="61"/>
      <c r="P1283" s="177"/>
      <c r="Q1283" s="196"/>
      <c r="R1283" s="408"/>
      <c r="S1283" s="77"/>
      <c r="T1283" s="145"/>
      <c r="U1283" s="77"/>
      <c r="V1283" s="77"/>
      <c r="W1283" s="77"/>
      <c r="X1283" s="77"/>
      <c r="Y1283" s="77"/>
      <c r="Z1283" s="77"/>
      <c r="AA1283" s="409"/>
      <c r="AB1283" s="466"/>
    </row>
    <row r="1284" spans="1:28" s="457" customFormat="1" ht="18" customHeight="1" x14ac:dyDescent="0.2">
      <c r="A1284" s="242"/>
      <c r="B1284" s="242"/>
      <c r="C1284" s="496"/>
      <c r="D1284" s="144"/>
      <c r="E1284" s="85"/>
      <c r="F1284" s="411"/>
      <c r="G1284" s="242"/>
      <c r="H1284" s="497"/>
      <c r="I1284" s="77"/>
      <c r="J1284" s="107"/>
      <c r="K1284" s="78"/>
      <c r="L1284" s="242"/>
      <c r="M1284" s="242"/>
      <c r="N1284" s="242"/>
      <c r="O1284" s="242"/>
      <c r="P1284" s="497"/>
      <c r="Q1284" s="496"/>
      <c r="R1284" s="503"/>
      <c r="S1284" s="504"/>
      <c r="T1284" s="505"/>
      <c r="U1284" s="504"/>
      <c r="V1284" s="504"/>
      <c r="W1284" s="77"/>
      <c r="X1284" s="77"/>
      <c r="Y1284" s="77"/>
      <c r="Z1284" s="77"/>
      <c r="AA1284" s="409"/>
      <c r="AB1284" s="410"/>
    </row>
    <row r="1285" spans="1:28" s="457" customFormat="1" ht="18" customHeight="1" x14ac:dyDescent="0.2">
      <c r="A1285" s="242"/>
      <c r="B1285" s="242"/>
      <c r="C1285" s="496"/>
      <c r="D1285" s="88"/>
      <c r="E1285" s="85"/>
      <c r="F1285" s="411"/>
      <c r="G1285" s="242"/>
      <c r="H1285" s="497"/>
      <c r="I1285" s="77"/>
      <c r="J1285" s="107"/>
      <c r="K1285" s="78"/>
      <c r="L1285" s="242"/>
      <c r="M1285" s="242"/>
      <c r="N1285" s="242"/>
      <c r="O1285" s="242"/>
      <c r="P1285" s="497"/>
      <c r="Q1285" s="496"/>
      <c r="R1285" s="503"/>
      <c r="S1285" s="504"/>
      <c r="T1285" s="505"/>
      <c r="U1285" s="504"/>
      <c r="V1285" s="504"/>
      <c r="W1285" s="77"/>
      <c r="X1285" s="77"/>
      <c r="Y1285" s="77"/>
      <c r="Z1285" s="77"/>
      <c r="AA1285" s="409"/>
      <c r="AB1285" s="466"/>
    </row>
    <row r="1286" spans="1:28" s="457" customFormat="1" ht="18" customHeight="1" x14ac:dyDescent="0.2">
      <c r="A1286" s="242"/>
      <c r="B1286" s="242"/>
      <c r="C1286" s="496"/>
      <c r="D1286" s="144"/>
      <c r="E1286" s="88"/>
      <c r="F1286" s="411"/>
      <c r="G1286" s="242"/>
      <c r="H1286" s="497"/>
      <c r="I1286" s="77"/>
      <c r="J1286" s="107"/>
      <c r="K1286" s="78"/>
      <c r="L1286" s="242"/>
      <c r="M1286" s="242"/>
      <c r="N1286" s="242"/>
      <c r="O1286" s="242"/>
      <c r="P1286" s="497"/>
      <c r="Q1286" s="496"/>
      <c r="R1286" s="503"/>
      <c r="S1286" s="504"/>
      <c r="T1286" s="505"/>
      <c r="U1286" s="504"/>
      <c r="V1286" s="504"/>
      <c r="W1286" s="77"/>
      <c r="X1286" s="77"/>
      <c r="Y1286" s="77"/>
      <c r="Z1286" s="77"/>
      <c r="AA1286" s="409"/>
      <c r="AB1286" s="506"/>
    </row>
    <row r="1287" spans="1:28" s="457" customFormat="1" ht="18" customHeight="1" x14ac:dyDescent="0.2">
      <c r="A1287" s="242"/>
      <c r="B1287" s="242"/>
      <c r="C1287" s="496"/>
      <c r="D1287" s="88"/>
      <c r="E1287" s="231"/>
      <c r="F1287" s="411"/>
      <c r="G1287" s="242"/>
      <c r="H1287" s="497"/>
      <c r="I1287" s="77"/>
      <c r="J1287" s="107"/>
      <c r="K1287" s="78"/>
      <c r="L1287" s="242"/>
      <c r="M1287" s="242"/>
      <c r="N1287" s="242"/>
      <c r="O1287" s="242"/>
      <c r="P1287" s="497"/>
      <c r="Q1287" s="496"/>
      <c r="R1287" s="503"/>
      <c r="S1287" s="504"/>
      <c r="T1287" s="505"/>
      <c r="U1287" s="504"/>
      <c r="V1287" s="504"/>
      <c r="W1287" s="77"/>
      <c r="X1287" s="77"/>
      <c r="Y1287" s="77"/>
      <c r="Z1287" s="77"/>
      <c r="AA1287" s="409"/>
      <c r="AB1287" s="506"/>
    </row>
    <row r="1288" spans="1:28" s="457" customFormat="1" ht="18" customHeight="1" x14ac:dyDescent="0.2">
      <c r="A1288" s="242"/>
      <c r="B1288" s="242"/>
      <c r="C1288" s="496"/>
      <c r="D1288" s="231"/>
      <c r="E1288" s="144"/>
      <c r="F1288" s="411"/>
      <c r="G1288" s="242"/>
      <c r="H1288" s="497"/>
      <c r="I1288" s="77"/>
      <c r="J1288" s="107"/>
      <c r="K1288" s="78"/>
      <c r="L1288" s="242"/>
      <c r="M1288" s="242"/>
      <c r="N1288" s="242"/>
      <c r="O1288" s="242"/>
      <c r="P1288" s="497"/>
      <c r="Q1288" s="496"/>
      <c r="R1288" s="503"/>
      <c r="S1288" s="504"/>
      <c r="T1288" s="505"/>
      <c r="U1288" s="504"/>
      <c r="V1288" s="504"/>
      <c r="W1288" s="77"/>
      <c r="X1288" s="77"/>
      <c r="Y1288" s="77"/>
      <c r="Z1288" s="77"/>
      <c r="AA1288" s="409"/>
      <c r="AB1288" s="506"/>
    </row>
    <row r="1289" spans="1:28" s="457" customFormat="1" ht="18" customHeight="1" x14ac:dyDescent="0.2">
      <c r="A1289" s="242"/>
      <c r="B1289" s="242"/>
      <c r="C1289" s="496"/>
      <c r="D1289" s="144"/>
      <c r="E1289" s="144"/>
      <c r="F1289" s="411"/>
      <c r="G1289" s="242"/>
      <c r="H1289" s="497"/>
      <c r="I1289" s="77"/>
      <c r="J1289" s="107"/>
      <c r="K1289" s="78"/>
      <c r="L1289" s="242"/>
      <c r="M1289" s="242"/>
      <c r="N1289" s="242"/>
      <c r="O1289" s="242"/>
      <c r="P1289" s="497"/>
      <c r="Q1289" s="496"/>
      <c r="R1289" s="503"/>
      <c r="S1289" s="504"/>
      <c r="T1289" s="505"/>
      <c r="U1289" s="504"/>
      <c r="V1289" s="504"/>
      <c r="W1289" s="77"/>
      <c r="X1289" s="77"/>
      <c r="Y1289" s="77"/>
      <c r="Z1289" s="77"/>
      <c r="AA1289" s="409"/>
      <c r="AB1289" s="506"/>
    </row>
    <row r="1290" spans="1:28" s="457" customFormat="1" ht="18" customHeight="1" x14ac:dyDescent="0.2">
      <c r="A1290" s="242"/>
      <c r="B1290" s="242"/>
      <c r="C1290" s="496"/>
      <c r="D1290" s="88"/>
      <c r="E1290" s="144"/>
      <c r="F1290" s="411"/>
      <c r="G1290" s="242"/>
      <c r="H1290" s="497"/>
      <c r="I1290" s="77"/>
      <c r="J1290" s="107"/>
      <c r="K1290" s="78"/>
      <c r="L1290" s="242"/>
      <c r="M1290" s="242"/>
      <c r="N1290" s="242"/>
      <c r="O1290" s="242"/>
      <c r="P1290" s="497"/>
      <c r="Q1290" s="496"/>
      <c r="R1290" s="503"/>
      <c r="S1290" s="504"/>
      <c r="T1290" s="505"/>
      <c r="U1290" s="504"/>
      <c r="V1290" s="504"/>
      <c r="W1290" s="77"/>
      <c r="X1290" s="77"/>
      <c r="Y1290" s="77"/>
      <c r="Z1290" s="77"/>
      <c r="AA1290" s="409"/>
      <c r="AB1290" s="506"/>
    </row>
    <row r="1291" spans="1:28" s="457" customFormat="1" ht="18" customHeight="1" x14ac:dyDescent="0.2">
      <c r="A1291" s="242"/>
      <c r="B1291" s="242"/>
      <c r="C1291" s="496"/>
      <c r="D1291" s="231"/>
      <c r="E1291" s="88"/>
      <c r="F1291" s="411"/>
      <c r="G1291" s="242"/>
      <c r="H1291" s="497"/>
      <c r="I1291" s="77"/>
      <c r="J1291" s="107"/>
      <c r="K1291" s="78"/>
      <c r="L1291" s="242"/>
      <c r="M1291" s="242"/>
      <c r="N1291" s="242"/>
      <c r="O1291" s="242"/>
      <c r="P1291" s="497"/>
      <c r="Q1291" s="496"/>
      <c r="R1291" s="503"/>
      <c r="S1291" s="504"/>
      <c r="T1291" s="505"/>
      <c r="U1291" s="504"/>
      <c r="V1291" s="504"/>
      <c r="W1291" s="77"/>
      <c r="X1291" s="77"/>
      <c r="Y1291" s="77"/>
      <c r="Z1291" s="77"/>
      <c r="AA1291" s="409"/>
      <c r="AB1291" s="506"/>
    </row>
    <row r="1292" spans="1:28" s="457" customFormat="1" ht="18" customHeight="1" x14ac:dyDescent="0.2">
      <c r="A1292" s="242"/>
      <c r="B1292" s="242"/>
      <c r="C1292" s="496"/>
      <c r="D1292" s="144"/>
      <c r="E1292" s="88"/>
      <c r="F1292" s="411"/>
      <c r="G1292" s="242"/>
      <c r="H1292" s="497"/>
      <c r="I1292" s="77"/>
      <c r="J1292" s="107"/>
      <c r="K1292" s="78"/>
      <c r="L1292" s="242"/>
      <c r="M1292" s="242"/>
      <c r="N1292" s="242"/>
      <c r="O1292" s="242"/>
      <c r="P1292" s="497"/>
      <c r="Q1292" s="496"/>
      <c r="R1292" s="503"/>
      <c r="S1292" s="504"/>
      <c r="T1292" s="505"/>
      <c r="U1292" s="504"/>
      <c r="V1292" s="504"/>
      <c r="W1292" s="77"/>
      <c r="X1292" s="77"/>
      <c r="Y1292" s="77"/>
      <c r="Z1292" s="77"/>
      <c r="AA1292" s="409"/>
      <c r="AB1292" s="506"/>
    </row>
    <row r="1293" spans="1:28" s="457" customFormat="1" ht="18" customHeight="1" x14ac:dyDescent="0.2">
      <c r="A1293" s="242"/>
      <c r="B1293" s="242"/>
      <c r="C1293" s="496"/>
      <c r="D1293" s="88"/>
      <c r="E1293" s="88"/>
      <c r="F1293" s="411"/>
      <c r="G1293" s="242"/>
      <c r="H1293" s="497"/>
      <c r="I1293" s="77"/>
      <c r="J1293" s="107"/>
      <c r="K1293" s="78"/>
      <c r="L1293" s="242"/>
      <c r="M1293" s="242"/>
      <c r="N1293" s="242"/>
      <c r="O1293" s="242"/>
      <c r="P1293" s="497"/>
      <c r="Q1293" s="496"/>
      <c r="R1293" s="503"/>
      <c r="S1293" s="504"/>
      <c r="T1293" s="505"/>
      <c r="U1293" s="504"/>
      <c r="V1293" s="504"/>
      <c r="W1293" s="77"/>
      <c r="X1293" s="77"/>
      <c r="Y1293" s="77"/>
      <c r="Z1293" s="77"/>
      <c r="AA1293" s="409"/>
      <c r="AB1293" s="506"/>
    </row>
    <row r="1294" spans="1:28" s="457" customFormat="1" ht="18" customHeight="1" x14ac:dyDescent="0.2">
      <c r="A1294" s="242"/>
      <c r="B1294" s="242"/>
      <c r="C1294" s="496"/>
      <c r="D1294" s="88"/>
      <c r="E1294" s="88"/>
      <c r="F1294" s="411"/>
      <c r="G1294" s="242"/>
      <c r="H1294" s="497"/>
      <c r="I1294" s="77"/>
      <c r="J1294" s="107"/>
      <c r="K1294" s="78"/>
      <c r="L1294" s="242"/>
      <c r="M1294" s="242"/>
      <c r="N1294" s="242"/>
      <c r="O1294" s="242"/>
      <c r="P1294" s="497"/>
      <c r="Q1294" s="496"/>
      <c r="R1294" s="503"/>
      <c r="S1294" s="504"/>
      <c r="T1294" s="505"/>
      <c r="U1294" s="504"/>
      <c r="V1294" s="504"/>
      <c r="W1294" s="77"/>
      <c r="X1294" s="77"/>
      <c r="Y1294" s="77"/>
      <c r="Z1294" s="77"/>
      <c r="AA1294" s="409"/>
      <c r="AB1294" s="506"/>
    </row>
    <row r="1295" spans="1:28" s="457" customFormat="1" ht="18" customHeight="1" x14ac:dyDescent="0.2">
      <c r="A1295" s="242"/>
      <c r="B1295" s="242"/>
      <c r="C1295" s="496"/>
      <c r="D1295" s="88"/>
      <c r="E1295" s="88"/>
      <c r="F1295" s="411"/>
      <c r="G1295" s="242"/>
      <c r="H1295" s="497"/>
      <c r="I1295" s="77"/>
      <c r="J1295" s="107"/>
      <c r="K1295" s="78"/>
      <c r="L1295" s="242"/>
      <c r="M1295" s="242"/>
      <c r="N1295" s="242"/>
      <c r="O1295" s="242"/>
      <c r="P1295" s="497"/>
      <c r="Q1295" s="496"/>
      <c r="R1295" s="503"/>
      <c r="S1295" s="504"/>
      <c r="T1295" s="505"/>
      <c r="U1295" s="504"/>
      <c r="V1295" s="504"/>
      <c r="W1295" s="77"/>
      <c r="X1295" s="77"/>
      <c r="Y1295" s="77"/>
      <c r="Z1295" s="77"/>
      <c r="AA1295" s="409"/>
      <c r="AB1295" s="506"/>
    </row>
    <row r="1296" spans="1:28" s="597" customFormat="1" ht="18" customHeight="1" x14ac:dyDescent="0.2">
      <c r="A1296" s="1850"/>
      <c r="B1296" s="1850"/>
      <c r="C1296" s="1850"/>
      <c r="D1296" s="1850"/>
      <c r="E1296" s="1850"/>
      <c r="F1296" s="1850"/>
      <c r="G1296" s="1850"/>
      <c r="H1296" s="1851"/>
      <c r="I1296" s="1852"/>
      <c r="J1296" s="1853"/>
      <c r="K1296" s="1852"/>
      <c r="L1296" s="1852"/>
      <c r="M1296" s="1852"/>
      <c r="N1296" s="1852"/>
      <c r="O1296" s="1852"/>
      <c r="P1296" s="1852"/>
      <c r="Q1296" s="1852"/>
      <c r="R1296" s="1854"/>
      <c r="S1296" s="1852"/>
      <c r="T1296" s="1855"/>
      <c r="U1296" s="1853"/>
      <c r="V1296" s="1852"/>
      <c r="W1296" s="1852"/>
      <c r="X1296" s="1856"/>
      <c r="Y1296" s="1856"/>
      <c r="Z1296" s="1857"/>
      <c r="AA1296" s="1857"/>
      <c r="AB1296" s="1847">
        <f>SUM(AB1281:AB1295)</f>
        <v>950.4</v>
      </c>
    </row>
    <row r="1297" spans="1:28" s="457" customFormat="1" ht="18" customHeight="1" x14ac:dyDescent="0.2">
      <c r="A1297" s="2737" t="s">
        <v>76</v>
      </c>
      <c r="B1297" s="2737"/>
      <c r="C1297" s="2738" t="s">
        <v>77</v>
      </c>
      <c r="D1297" s="2738"/>
      <c r="E1297" s="2738"/>
      <c r="F1297" s="2738"/>
      <c r="G1297" s="2738"/>
      <c r="H1297" s="2738"/>
      <c r="I1297" s="457" t="s">
        <v>78</v>
      </c>
      <c r="AB1297" s="478"/>
    </row>
    <row r="1298" spans="1:28" s="457" customFormat="1" ht="18" customHeight="1" x14ac:dyDescent="0.2">
      <c r="B1298" s="479"/>
      <c r="I1298" s="457" t="s">
        <v>79</v>
      </c>
      <c r="AB1298" s="478"/>
    </row>
    <row r="1299" spans="1:28" s="457" customFormat="1" ht="18" customHeight="1" x14ac:dyDescent="0.2">
      <c r="B1299" s="479"/>
      <c r="I1299" s="457" t="s">
        <v>80</v>
      </c>
      <c r="AB1299" s="478"/>
    </row>
    <row r="1300" spans="1:28" s="457" customFormat="1" ht="18" customHeight="1" x14ac:dyDescent="0.2">
      <c r="B1300" s="479"/>
      <c r="I1300" s="457" t="s">
        <v>81</v>
      </c>
      <c r="AB1300" s="478"/>
    </row>
    <row r="1301" spans="1:28" s="457" customFormat="1" ht="18" customHeight="1" x14ac:dyDescent="0.2">
      <c r="B1301" s="479"/>
      <c r="I1301" s="457" t="s">
        <v>88</v>
      </c>
      <c r="AB1301" s="478"/>
    </row>
    <row r="1302" spans="1:28" s="457" customFormat="1" ht="18" customHeight="1" x14ac:dyDescent="0.2">
      <c r="A1302" s="455"/>
      <c r="B1302" s="455"/>
      <c r="C1302" s="455"/>
      <c r="D1302" s="455"/>
      <c r="E1302" s="455"/>
      <c r="F1302" s="455"/>
      <c r="G1302" s="455"/>
      <c r="H1302" s="455"/>
      <c r="I1302" s="455"/>
      <c r="J1302" s="455"/>
      <c r="K1302" s="455"/>
      <c r="L1302" s="455"/>
      <c r="M1302" s="455"/>
      <c r="N1302" s="455"/>
      <c r="O1302" s="455"/>
      <c r="P1302" s="455"/>
      <c r="Q1302" s="455"/>
      <c r="R1302" s="455"/>
      <c r="S1302" s="455"/>
      <c r="T1302" s="455"/>
      <c r="U1302" s="455"/>
      <c r="V1302" s="455"/>
      <c r="W1302" s="455"/>
      <c r="X1302" s="455"/>
      <c r="Y1302" s="455"/>
      <c r="Z1302" s="455"/>
      <c r="AA1302" s="2705" t="s">
        <v>0</v>
      </c>
      <c r="AB1302" s="2705"/>
    </row>
    <row r="1303" spans="1:28" s="457" customFormat="1" ht="18" customHeight="1" x14ac:dyDescent="0.2">
      <c r="A1303" s="2706" t="s">
        <v>1</v>
      </c>
      <c r="B1303" s="2706"/>
      <c r="C1303" s="2706"/>
      <c r="D1303" s="2706"/>
      <c r="E1303" s="2706"/>
      <c r="F1303" s="2706"/>
      <c r="G1303" s="2706"/>
      <c r="H1303" s="2706"/>
      <c r="I1303" s="2706"/>
      <c r="J1303" s="2706"/>
      <c r="K1303" s="2706"/>
      <c r="L1303" s="2706"/>
      <c r="M1303" s="2706"/>
      <c r="N1303" s="2706"/>
      <c r="O1303" s="2706"/>
      <c r="P1303" s="2706"/>
      <c r="Q1303" s="2706"/>
      <c r="R1303" s="2706"/>
      <c r="S1303" s="2706"/>
      <c r="T1303" s="2706"/>
      <c r="U1303" s="2706"/>
      <c r="V1303" s="2706"/>
      <c r="W1303" s="2706"/>
      <c r="X1303" s="2706"/>
      <c r="Y1303" s="2706"/>
      <c r="Z1303" s="2706"/>
      <c r="AA1303" s="2706"/>
      <c r="AB1303" s="2706"/>
    </row>
    <row r="1304" spans="1:28" s="457" customFormat="1" ht="18" customHeight="1" x14ac:dyDescent="0.2">
      <c r="A1304" s="2704" t="s">
        <v>410</v>
      </c>
      <c r="B1304" s="2704"/>
      <c r="C1304" s="2704"/>
      <c r="D1304" s="2704"/>
      <c r="E1304" s="2704"/>
      <c r="F1304" s="2704"/>
      <c r="G1304" s="2704"/>
      <c r="H1304" s="2704"/>
      <c r="I1304" s="2704"/>
      <c r="J1304" s="2704"/>
      <c r="K1304" s="2704"/>
      <c r="L1304" s="2704"/>
      <c r="M1304" s="2704"/>
      <c r="N1304" s="2704"/>
      <c r="O1304" s="2704"/>
      <c r="P1304" s="2704"/>
      <c r="Q1304" s="2704"/>
      <c r="R1304" s="2704"/>
      <c r="S1304" s="2704"/>
      <c r="T1304" s="2704"/>
      <c r="U1304" s="2704"/>
      <c r="V1304" s="2704"/>
      <c r="W1304" s="2704"/>
      <c r="X1304" s="2704"/>
      <c r="Y1304" s="2704"/>
      <c r="Z1304" s="2704"/>
      <c r="AA1304" s="2704"/>
      <c r="AB1304" s="2704"/>
    </row>
    <row r="1305" spans="1:28" s="457" customFormat="1" ht="18" customHeight="1" x14ac:dyDescent="0.2">
      <c r="A1305" s="2686" t="s">
        <v>2</v>
      </c>
      <c r="B1305" s="360"/>
      <c r="C1305" s="2686" t="s">
        <v>3</v>
      </c>
      <c r="D1305" s="360"/>
      <c r="E1305" s="360"/>
      <c r="F1305" s="2693" t="s">
        <v>4</v>
      </c>
      <c r="G1305" s="2693"/>
      <c r="H1305" s="2693"/>
      <c r="I1305" s="2694"/>
      <c r="J1305" s="2694"/>
      <c r="K1305" s="2695"/>
      <c r="L1305" s="361"/>
      <c r="M1305" s="2679" t="s">
        <v>5</v>
      </c>
      <c r="N1305" s="2679"/>
      <c r="O1305" s="2679"/>
      <c r="P1305" s="2679"/>
      <c r="Q1305" s="2696"/>
      <c r="R1305" s="2696"/>
      <c r="S1305" s="2696"/>
      <c r="T1305" s="2696"/>
      <c r="U1305" s="2696"/>
      <c r="V1305" s="2697"/>
      <c r="W1305" s="362" t="s">
        <v>6</v>
      </c>
      <c r="X1305" s="363" t="s">
        <v>7</v>
      </c>
      <c r="Y1305" s="364"/>
      <c r="Z1305" s="364"/>
      <c r="AA1305" s="363"/>
      <c r="AB1305" s="458"/>
    </row>
    <row r="1306" spans="1:28" s="457" customFormat="1" ht="18" customHeight="1" x14ac:dyDescent="0.2">
      <c r="A1306" s="2687"/>
      <c r="B1306" s="367"/>
      <c r="C1306" s="2687"/>
      <c r="D1306" s="366" t="s">
        <v>9</v>
      </c>
      <c r="E1306" s="366" t="s">
        <v>10</v>
      </c>
      <c r="F1306" s="2698" t="s">
        <v>11</v>
      </c>
      <c r="G1306" s="2694"/>
      <c r="H1306" s="2695"/>
      <c r="I1306" s="360"/>
      <c r="J1306" s="449" t="s">
        <v>12</v>
      </c>
      <c r="K1306" s="360"/>
      <c r="L1306" s="2679" t="s">
        <v>2</v>
      </c>
      <c r="M1306" s="370"/>
      <c r="N1306" s="370"/>
      <c r="O1306" s="370"/>
      <c r="P1306" s="371"/>
      <c r="Q1306" s="459" t="s">
        <v>13</v>
      </c>
      <c r="R1306" s="370" t="s">
        <v>12</v>
      </c>
      <c r="S1306" s="370" t="s">
        <v>6</v>
      </c>
      <c r="T1306" s="2682" t="s">
        <v>14</v>
      </c>
      <c r="U1306" s="2683"/>
      <c r="V1306" s="375" t="s">
        <v>7</v>
      </c>
      <c r="W1306" s="376" t="s">
        <v>15</v>
      </c>
      <c r="X1306" s="377" t="s">
        <v>16</v>
      </c>
      <c r="Y1306" s="377" t="s">
        <v>17</v>
      </c>
      <c r="Z1306" s="377" t="s">
        <v>18</v>
      </c>
      <c r="AA1306" s="377"/>
      <c r="AB1306" s="460" t="s">
        <v>19</v>
      </c>
    </row>
    <row r="1307" spans="1:28" s="457" customFormat="1" ht="18" customHeight="1" x14ac:dyDescent="0.2">
      <c r="A1307" s="2687"/>
      <c r="B1307" s="366" t="s">
        <v>23</v>
      </c>
      <c r="C1307" s="2687"/>
      <c r="D1307" s="366" t="s">
        <v>24</v>
      </c>
      <c r="E1307" s="366" t="s">
        <v>25</v>
      </c>
      <c r="F1307" s="2699"/>
      <c r="G1307" s="2700"/>
      <c r="H1307" s="2701"/>
      <c r="I1307" s="366" t="s">
        <v>26</v>
      </c>
      <c r="J1307" s="380" t="s">
        <v>15</v>
      </c>
      <c r="K1307" s="380" t="s">
        <v>6</v>
      </c>
      <c r="L1307" s="2680"/>
      <c r="M1307" s="381" t="s">
        <v>27</v>
      </c>
      <c r="N1307" s="381" t="s">
        <v>10</v>
      </c>
      <c r="O1307" s="381" t="s">
        <v>10</v>
      </c>
      <c r="P1307" s="385" t="s">
        <v>28</v>
      </c>
      <c r="Q1307" s="461" t="s">
        <v>29</v>
      </c>
      <c r="R1307" s="385" t="s">
        <v>15</v>
      </c>
      <c r="S1307" s="385" t="s">
        <v>15</v>
      </c>
      <c r="T1307" s="2684"/>
      <c r="U1307" s="2685"/>
      <c r="V1307" s="375" t="s">
        <v>30</v>
      </c>
      <c r="W1307" s="376" t="s">
        <v>31</v>
      </c>
      <c r="X1307" s="377" t="s">
        <v>30</v>
      </c>
      <c r="Y1307" s="377" t="s">
        <v>32</v>
      </c>
      <c r="Z1307" s="377" t="s">
        <v>7</v>
      </c>
      <c r="AA1307" s="377" t="s">
        <v>33</v>
      </c>
      <c r="AB1307" s="460" t="s">
        <v>34</v>
      </c>
    </row>
    <row r="1308" spans="1:28" s="457" customFormat="1" ht="18" customHeight="1" x14ac:dyDescent="0.2">
      <c r="A1308" s="2687"/>
      <c r="B1308" s="366" t="s">
        <v>39</v>
      </c>
      <c r="C1308" s="2687"/>
      <c r="D1308" s="366" t="s">
        <v>40</v>
      </c>
      <c r="E1308" s="366" t="s">
        <v>41</v>
      </c>
      <c r="F1308" s="2686" t="s">
        <v>42</v>
      </c>
      <c r="G1308" s="2686" t="s">
        <v>43</v>
      </c>
      <c r="H1308" s="2688" t="s">
        <v>44</v>
      </c>
      <c r="I1308" s="366" t="s">
        <v>45</v>
      </c>
      <c r="J1308" s="380" t="s">
        <v>46</v>
      </c>
      <c r="K1308" s="380" t="s">
        <v>47</v>
      </c>
      <c r="L1308" s="2680"/>
      <c r="M1308" s="381" t="s">
        <v>30</v>
      </c>
      <c r="N1308" s="381" t="s">
        <v>30</v>
      </c>
      <c r="O1308" s="381" t="s">
        <v>25</v>
      </c>
      <c r="P1308" s="385" t="s">
        <v>30</v>
      </c>
      <c r="Q1308" s="461" t="s">
        <v>48</v>
      </c>
      <c r="R1308" s="385" t="s">
        <v>49</v>
      </c>
      <c r="S1308" s="385" t="s">
        <v>30</v>
      </c>
      <c r="T1308" s="374" t="s">
        <v>50</v>
      </c>
      <c r="U1308" s="374" t="s">
        <v>13</v>
      </c>
      <c r="V1308" s="375" t="s">
        <v>51</v>
      </c>
      <c r="W1308" s="376" t="s">
        <v>52</v>
      </c>
      <c r="X1308" s="377" t="s">
        <v>53</v>
      </c>
      <c r="Y1308" s="377" t="s">
        <v>54</v>
      </c>
      <c r="Z1308" s="377" t="s">
        <v>55</v>
      </c>
      <c r="AA1308" s="377" t="s">
        <v>56</v>
      </c>
      <c r="AB1308" s="460" t="s">
        <v>57</v>
      </c>
    </row>
    <row r="1309" spans="1:28" s="457" customFormat="1" ht="18" customHeight="1" x14ac:dyDescent="0.2">
      <c r="A1309" s="2687"/>
      <c r="B1309" s="366" t="s">
        <v>61</v>
      </c>
      <c r="C1309" s="2687"/>
      <c r="D1309" s="366" t="s">
        <v>62</v>
      </c>
      <c r="E1309" s="366" t="s">
        <v>63</v>
      </c>
      <c r="F1309" s="2687"/>
      <c r="G1309" s="2687"/>
      <c r="H1309" s="2689"/>
      <c r="I1309" s="366" t="s">
        <v>64</v>
      </c>
      <c r="J1309" s="380" t="s">
        <v>59</v>
      </c>
      <c r="K1309" s="380" t="s">
        <v>59</v>
      </c>
      <c r="L1309" s="2680"/>
      <c r="M1309" s="381"/>
      <c r="N1309" s="381"/>
      <c r="O1309" s="381" t="s">
        <v>41</v>
      </c>
      <c r="P1309" s="385" t="s">
        <v>65</v>
      </c>
      <c r="Q1309" s="461" t="s">
        <v>66</v>
      </c>
      <c r="R1309" s="385" t="s">
        <v>67</v>
      </c>
      <c r="S1309" s="385" t="s">
        <v>59</v>
      </c>
      <c r="T1309" s="375" t="s">
        <v>68</v>
      </c>
      <c r="U1309" s="375" t="s">
        <v>14</v>
      </c>
      <c r="V1309" s="375" t="s">
        <v>14</v>
      </c>
      <c r="W1309" s="376" t="s">
        <v>30</v>
      </c>
      <c r="X1309" s="388" t="s">
        <v>69</v>
      </c>
      <c r="Y1309" s="388" t="s">
        <v>70</v>
      </c>
      <c r="Z1309" s="377" t="s">
        <v>71</v>
      </c>
      <c r="AA1309" s="377" t="s">
        <v>72</v>
      </c>
      <c r="AB1309" s="460" t="s">
        <v>59</v>
      </c>
    </row>
    <row r="1310" spans="1:28" s="457" customFormat="1" ht="18" customHeight="1" x14ac:dyDescent="0.2">
      <c r="A1310" s="2692"/>
      <c r="B1310" s="390"/>
      <c r="C1310" s="2692"/>
      <c r="D1310" s="390"/>
      <c r="E1310" s="389"/>
      <c r="F1310" s="390"/>
      <c r="G1310" s="390"/>
      <c r="H1310" s="391"/>
      <c r="I1310" s="389"/>
      <c r="J1310" s="393"/>
      <c r="K1310" s="393"/>
      <c r="L1310" s="2681"/>
      <c r="M1310" s="394"/>
      <c r="N1310" s="394"/>
      <c r="O1310" s="394" t="s">
        <v>63</v>
      </c>
      <c r="P1310" s="394"/>
      <c r="Q1310" s="450" t="s">
        <v>72</v>
      </c>
      <c r="R1310" s="398" t="s">
        <v>59</v>
      </c>
      <c r="S1310" s="398"/>
      <c r="T1310" s="398" t="s">
        <v>73</v>
      </c>
      <c r="U1310" s="398" t="s">
        <v>59</v>
      </c>
      <c r="V1310" s="399" t="s">
        <v>59</v>
      </c>
      <c r="W1310" s="400" t="s">
        <v>59</v>
      </c>
      <c r="X1310" s="401" t="s">
        <v>59</v>
      </c>
      <c r="Y1310" s="401" t="s">
        <v>59</v>
      </c>
      <c r="Z1310" s="401" t="s">
        <v>59</v>
      </c>
      <c r="AA1310" s="402"/>
      <c r="AB1310" s="462"/>
    </row>
    <row r="1311" spans="1:28" s="457" customFormat="1" ht="18" customHeight="1" x14ac:dyDescent="0.2">
      <c r="A1311" s="53">
        <v>1</v>
      </c>
      <c r="B1311" s="95">
        <v>36091</v>
      </c>
      <c r="C1311" s="82">
        <v>1395</v>
      </c>
      <c r="D1311" s="82" t="s">
        <v>86</v>
      </c>
      <c r="E1311" s="145">
        <v>4</v>
      </c>
      <c r="F1311" s="82">
        <v>0</v>
      </c>
      <c r="G1311" s="82">
        <v>0</v>
      </c>
      <c r="H1311" s="463">
        <v>86</v>
      </c>
      <c r="I1311" s="77">
        <f>F1311*400+G1311*100+H1311</f>
        <v>86</v>
      </c>
      <c r="J1311" s="107">
        <v>1600</v>
      </c>
      <c r="K1311" s="78">
        <f>SUM(I1311*J1311)</f>
        <v>137600</v>
      </c>
      <c r="L1311" s="75"/>
      <c r="M1311" s="82"/>
      <c r="N1311" s="82"/>
      <c r="O1311" s="53"/>
      <c r="P1311" s="358"/>
      <c r="Q1311" s="197"/>
      <c r="R1311" s="444"/>
      <c r="S1311" s="70"/>
      <c r="T1311" s="82"/>
      <c r="U1311" s="70"/>
      <c r="V1311" s="70"/>
      <c r="W1311" s="70">
        <f>K1311+V1311</f>
        <v>137600</v>
      </c>
      <c r="X1311" s="70">
        <f>W1311</f>
        <v>137600</v>
      </c>
      <c r="Y1311" s="123">
        <v>0</v>
      </c>
      <c r="Z1311" s="70">
        <f>+X1311</f>
        <v>137600</v>
      </c>
      <c r="AA1311" s="464">
        <v>0.6</v>
      </c>
      <c r="AB1311" s="465">
        <f>+Z1311*AA1311/100</f>
        <v>825.6</v>
      </c>
    </row>
    <row r="1312" spans="1:28" s="457" customFormat="1" ht="18" customHeight="1" x14ac:dyDescent="0.2">
      <c r="A1312" s="242"/>
      <c r="B1312" s="242"/>
      <c r="C1312" s="496"/>
      <c r="D1312" s="88"/>
      <c r="E1312" s="145"/>
      <c r="F1312" s="411"/>
      <c r="G1312" s="242"/>
      <c r="H1312" s="497"/>
      <c r="I1312" s="77"/>
      <c r="J1312" s="107"/>
      <c r="K1312" s="78"/>
      <c r="L1312" s="75"/>
      <c r="M1312" s="145"/>
      <c r="N1312" s="145"/>
      <c r="O1312" s="61"/>
      <c r="P1312" s="177"/>
      <c r="Q1312" s="196"/>
      <c r="R1312" s="408"/>
      <c r="S1312" s="77"/>
      <c r="T1312" s="145"/>
      <c r="U1312" s="77"/>
      <c r="V1312" s="77"/>
      <c r="W1312" s="77"/>
      <c r="X1312" s="77"/>
      <c r="Y1312" s="77"/>
      <c r="Z1312" s="77"/>
      <c r="AA1312" s="409"/>
      <c r="AB1312" s="466"/>
    </row>
    <row r="1313" spans="1:28" s="457" customFormat="1" ht="18" customHeight="1" x14ac:dyDescent="0.2">
      <c r="A1313" s="242"/>
      <c r="B1313" s="145"/>
      <c r="C1313" s="496"/>
      <c r="D1313" s="145"/>
      <c r="E1313" s="102"/>
      <c r="F1313" s="499"/>
      <c r="G1313" s="241"/>
      <c r="H1313" s="500"/>
      <c r="I1313" s="77"/>
      <c r="J1313" s="107"/>
      <c r="K1313" s="78"/>
      <c r="L1313" s="61"/>
      <c r="M1313" s="145"/>
      <c r="N1313" s="145"/>
      <c r="O1313" s="61"/>
      <c r="P1313" s="177"/>
      <c r="Q1313" s="196"/>
      <c r="R1313" s="408"/>
      <c r="S1313" s="77"/>
      <c r="T1313" s="145"/>
      <c r="U1313" s="77"/>
      <c r="V1313" s="77"/>
      <c r="W1313" s="77"/>
      <c r="X1313" s="77"/>
      <c r="Y1313" s="77"/>
      <c r="Z1313" s="77"/>
      <c r="AA1313" s="409"/>
      <c r="AB1313" s="466"/>
    </row>
    <row r="1314" spans="1:28" s="457" customFormat="1" ht="18" customHeight="1" x14ac:dyDescent="0.2">
      <c r="A1314" s="242"/>
      <c r="B1314" s="242"/>
      <c r="C1314" s="496"/>
      <c r="D1314" s="144"/>
      <c r="E1314" s="85"/>
      <c r="F1314" s="411"/>
      <c r="G1314" s="242"/>
      <c r="H1314" s="497"/>
      <c r="I1314" s="77"/>
      <c r="J1314" s="107"/>
      <c r="K1314" s="78"/>
      <c r="L1314" s="242"/>
      <c r="M1314" s="242"/>
      <c r="N1314" s="242"/>
      <c r="O1314" s="242"/>
      <c r="P1314" s="497"/>
      <c r="Q1314" s="496"/>
      <c r="R1314" s="503"/>
      <c r="S1314" s="504"/>
      <c r="T1314" s="505"/>
      <c r="U1314" s="504"/>
      <c r="V1314" s="504"/>
      <c r="W1314" s="77"/>
      <c r="X1314" s="77"/>
      <c r="Y1314" s="77"/>
      <c r="Z1314" s="77"/>
      <c r="AA1314" s="409"/>
      <c r="AB1314" s="410"/>
    </row>
    <row r="1315" spans="1:28" s="457" customFormat="1" ht="18" customHeight="1" x14ac:dyDescent="0.2">
      <c r="A1315" s="242"/>
      <c r="B1315" s="242"/>
      <c r="C1315" s="496"/>
      <c r="D1315" s="88"/>
      <c r="E1315" s="85"/>
      <c r="F1315" s="411"/>
      <c r="G1315" s="242"/>
      <c r="H1315" s="497"/>
      <c r="I1315" s="77"/>
      <c r="J1315" s="107"/>
      <c r="K1315" s="78"/>
      <c r="L1315" s="242"/>
      <c r="M1315" s="242"/>
      <c r="N1315" s="242"/>
      <c r="O1315" s="242"/>
      <c r="P1315" s="497"/>
      <c r="Q1315" s="496"/>
      <c r="R1315" s="503"/>
      <c r="S1315" s="504"/>
      <c r="T1315" s="505"/>
      <c r="U1315" s="504"/>
      <c r="V1315" s="504"/>
      <c r="W1315" s="77"/>
      <c r="X1315" s="77"/>
      <c r="Y1315" s="77"/>
      <c r="Z1315" s="77"/>
      <c r="AA1315" s="409"/>
      <c r="AB1315" s="466"/>
    </row>
    <row r="1316" spans="1:28" s="457" customFormat="1" ht="18" customHeight="1" x14ac:dyDescent="0.2">
      <c r="A1316" s="242"/>
      <c r="B1316" s="242"/>
      <c r="C1316" s="496"/>
      <c r="D1316" s="144"/>
      <c r="E1316" s="88"/>
      <c r="F1316" s="411"/>
      <c r="G1316" s="242"/>
      <c r="H1316" s="497"/>
      <c r="I1316" s="77"/>
      <c r="J1316" s="107"/>
      <c r="K1316" s="78"/>
      <c r="L1316" s="242"/>
      <c r="M1316" s="242"/>
      <c r="N1316" s="242"/>
      <c r="O1316" s="242"/>
      <c r="P1316" s="497"/>
      <c r="Q1316" s="496"/>
      <c r="R1316" s="503"/>
      <c r="S1316" s="504"/>
      <c r="T1316" s="505"/>
      <c r="U1316" s="504"/>
      <c r="V1316" s="504"/>
      <c r="W1316" s="77"/>
      <c r="X1316" s="77"/>
      <c r="Y1316" s="77"/>
      <c r="Z1316" s="77"/>
      <c r="AA1316" s="409"/>
      <c r="AB1316" s="506"/>
    </row>
    <row r="1317" spans="1:28" s="457" customFormat="1" ht="18" customHeight="1" x14ac:dyDescent="0.2">
      <c r="A1317" s="242"/>
      <c r="B1317" s="242"/>
      <c r="C1317" s="496"/>
      <c r="D1317" s="88"/>
      <c r="E1317" s="231"/>
      <c r="F1317" s="411"/>
      <c r="G1317" s="242"/>
      <c r="H1317" s="497"/>
      <c r="I1317" s="77"/>
      <c r="J1317" s="107"/>
      <c r="K1317" s="78"/>
      <c r="L1317" s="242"/>
      <c r="M1317" s="242"/>
      <c r="N1317" s="242"/>
      <c r="O1317" s="242"/>
      <c r="P1317" s="497"/>
      <c r="Q1317" s="496"/>
      <c r="R1317" s="503"/>
      <c r="S1317" s="504"/>
      <c r="T1317" s="505"/>
      <c r="U1317" s="504"/>
      <c r="V1317" s="504"/>
      <c r="W1317" s="77"/>
      <c r="X1317" s="77"/>
      <c r="Y1317" s="77"/>
      <c r="Z1317" s="77"/>
      <c r="AA1317" s="409"/>
      <c r="AB1317" s="506"/>
    </row>
    <row r="1318" spans="1:28" s="457" customFormat="1" ht="18" customHeight="1" x14ac:dyDescent="0.2">
      <c r="A1318" s="242"/>
      <c r="B1318" s="242"/>
      <c r="C1318" s="496"/>
      <c r="D1318" s="231"/>
      <c r="E1318" s="144"/>
      <c r="F1318" s="411"/>
      <c r="G1318" s="242"/>
      <c r="H1318" s="497"/>
      <c r="I1318" s="77"/>
      <c r="J1318" s="107"/>
      <c r="K1318" s="78"/>
      <c r="L1318" s="242"/>
      <c r="M1318" s="242"/>
      <c r="N1318" s="242"/>
      <c r="O1318" s="242"/>
      <c r="P1318" s="497"/>
      <c r="Q1318" s="496"/>
      <c r="R1318" s="503"/>
      <c r="S1318" s="504"/>
      <c r="T1318" s="505"/>
      <c r="U1318" s="504"/>
      <c r="V1318" s="504"/>
      <c r="W1318" s="77"/>
      <c r="X1318" s="77"/>
      <c r="Y1318" s="77"/>
      <c r="Z1318" s="77"/>
      <c r="AA1318" s="409"/>
      <c r="AB1318" s="506"/>
    </row>
    <row r="1319" spans="1:28" s="457" customFormat="1" ht="18" customHeight="1" x14ac:dyDescent="0.2">
      <c r="A1319" s="242"/>
      <c r="B1319" s="242"/>
      <c r="C1319" s="496"/>
      <c r="D1319" s="144"/>
      <c r="E1319" s="144"/>
      <c r="F1319" s="411"/>
      <c r="G1319" s="242"/>
      <c r="H1319" s="497"/>
      <c r="I1319" s="77"/>
      <c r="J1319" s="107"/>
      <c r="K1319" s="78"/>
      <c r="L1319" s="242"/>
      <c r="M1319" s="242"/>
      <c r="N1319" s="242"/>
      <c r="O1319" s="242"/>
      <c r="P1319" s="497"/>
      <c r="Q1319" s="496"/>
      <c r="R1319" s="503"/>
      <c r="S1319" s="504"/>
      <c r="T1319" s="505"/>
      <c r="U1319" s="504"/>
      <c r="V1319" s="504"/>
      <c r="W1319" s="77"/>
      <c r="X1319" s="77"/>
      <c r="Y1319" s="77"/>
      <c r="Z1319" s="77"/>
      <c r="AA1319" s="409"/>
      <c r="AB1319" s="506"/>
    </row>
    <row r="1320" spans="1:28" s="457" customFormat="1" ht="18" customHeight="1" x14ac:dyDescent="0.2">
      <c r="A1320" s="242"/>
      <c r="B1320" s="242"/>
      <c r="C1320" s="496"/>
      <c r="D1320" s="88"/>
      <c r="E1320" s="144"/>
      <c r="F1320" s="411"/>
      <c r="G1320" s="242"/>
      <c r="H1320" s="497"/>
      <c r="I1320" s="77"/>
      <c r="J1320" s="107"/>
      <c r="K1320" s="78"/>
      <c r="L1320" s="242"/>
      <c r="M1320" s="242"/>
      <c r="N1320" s="242"/>
      <c r="O1320" s="242"/>
      <c r="P1320" s="497"/>
      <c r="Q1320" s="496"/>
      <c r="R1320" s="503"/>
      <c r="S1320" s="504"/>
      <c r="T1320" s="505"/>
      <c r="U1320" s="504"/>
      <c r="V1320" s="504"/>
      <c r="W1320" s="77"/>
      <c r="X1320" s="77"/>
      <c r="Y1320" s="77"/>
      <c r="Z1320" s="77"/>
      <c r="AA1320" s="409"/>
      <c r="AB1320" s="506"/>
    </row>
    <row r="1321" spans="1:28" s="457" customFormat="1" ht="18" customHeight="1" x14ac:dyDescent="0.2">
      <c r="A1321" s="242"/>
      <c r="B1321" s="242"/>
      <c r="C1321" s="496"/>
      <c r="D1321" s="231"/>
      <c r="E1321" s="88"/>
      <c r="F1321" s="411"/>
      <c r="G1321" s="242"/>
      <c r="H1321" s="497"/>
      <c r="I1321" s="77"/>
      <c r="J1321" s="107"/>
      <c r="K1321" s="78"/>
      <c r="L1321" s="242"/>
      <c r="M1321" s="242"/>
      <c r="N1321" s="242"/>
      <c r="O1321" s="242"/>
      <c r="P1321" s="497"/>
      <c r="Q1321" s="496"/>
      <c r="R1321" s="503"/>
      <c r="S1321" s="504"/>
      <c r="T1321" s="505"/>
      <c r="U1321" s="504"/>
      <c r="V1321" s="504"/>
      <c r="W1321" s="77"/>
      <c r="X1321" s="77"/>
      <c r="Y1321" s="77"/>
      <c r="Z1321" s="77"/>
      <c r="AA1321" s="409"/>
      <c r="AB1321" s="506"/>
    </row>
    <row r="1322" spans="1:28" s="457" customFormat="1" ht="18" customHeight="1" x14ac:dyDescent="0.2">
      <c r="A1322" s="242"/>
      <c r="B1322" s="242"/>
      <c r="C1322" s="496"/>
      <c r="D1322" s="144"/>
      <c r="E1322" s="88"/>
      <c r="F1322" s="411"/>
      <c r="G1322" s="242"/>
      <c r="H1322" s="497"/>
      <c r="I1322" s="77"/>
      <c r="J1322" s="107"/>
      <c r="K1322" s="78"/>
      <c r="L1322" s="242"/>
      <c r="M1322" s="242"/>
      <c r="N1322" s="242"/>
      <c r="O1322" s="242"/>
      <c r="P1322" s="497"/>
      <c r="Q1322" s="496"/>
      <c r="R1322" s="503"/>
      <c r="S1322" s="504"/>
      <c r="T1322" s="505"/>
      <c r="U1322" s="504"/>
      <c r="V1322" s="504"/>
      <c r="W1322" s="77"/>
      <c r="X1322" s="77"/>
      <c r="Y1322" s="77"/>
      <c r="Z1322" s="77"/>
      <c r="AA1322" s="409"/>
      <c r="AB1322" s="506"/>
    </row>
    <row r="1323" spans="1:28" s="457" customFormat="1" ht="18" customHeight="1" x14ac:dyDescent="0.2">
      <c r="A1323" s="242"/>
      <c r="B1323" s="242"/>
      <c r="C1323" s="496"/>
      <c r="D1323" s="88"/>
      <c r="E1323" s="231"/>
      <c r="F1323" s="411"/>
      <c r="G1323" s="242"/>
      <c r="H1323" s="497"/>
      <c r="I1323" s="77"/>
      <c r="J1323" s="107"/>
      <c r="K1323" s="78"/>
      <c r="L1323" s="242"/>
      <c r="M1323" s="242"/>
      <c r="N1323" s="242"/>
      <c r="O1323" s="242"/>
      <c r="P1323" s="497"/>
      <c r="Q1323" s="496"/>
      <c r="R1323" s="503"/>
      <c r="S1323" s="504"/>
      <c r="T1323" s="505"/>
      <c r="U1323" s="504"/>
      <c r="V1323" s="504"/>
      <c r="W1323" s="77"/>
      <c r="X1323" s="77"/>
      <c r="Y1323" s="77"/>
      <c r="Z1323" s="77"/>
      <c r="AA1323" s="409"/>
      <c r="AB1323" s="506"/>
    </row>
    <row r="1324" spans="1:28" s="457" customFormat="1" ht="18" customHeight="1" x14ac:dyDescent="0.2">
      <c r="A1324" s="242"/>
      <c r="B1324" s="242"/>
      <c r="C1324" s="496"/>
      <c r="D1324" s="88"/>
      <c r="E1324" s="144"/>
      <c r="F1324" s="411"/>
      <c r="G1324" s="242"/>
      <c r="H1324" s="497"/>
      <c r="I1324" s="77"/>
      <c r="J1324" s="107"/>
      <c r="K1324" s="78"/>
      <c r="L1324" s="242"/>
      <c r="M1324" s="242"/>
      <c r="N1324" s="242"/>
      <c r="O1324" s="242"/>
      <c r="P1324" s="497"/>
      <c r="Q1324" s="496"/>
      <c r="R1324" s="503"/>
      <c r="S1324" s="504"/>
      <c r="T1324" s="505"/>
      <c r="U1324" s="504"/>
      <c r="V1324" s="504"/>
      <c r="W1324" s="77"/>
      <c r="X1324" s="77"/>
      <c r="Y1324" s="77"/>
      <c r="Z1324" s="77"/>
      <c r="AA1324" s="409"/>
      <c r="AB1324" s="506"/>
    </row>
    <row r="1325" spans="1:28" s="457" customFormat="1" ht="18" customHeight="1" x14ac:dyDescent="0.2">
      <c r="A1325" s="242"/>
      <c r="B1325" s="242"/>
      <c r="C1325" s="496"/>
      <c r="D1325" s="88"/>
      <c r="E1325" s="88"/>
      <c r="F1325" s="88"/>
      <c r="G1325" s="242"/>
      <c r="H1325" s="497"/>
      <c r="I1325" s="77"/>
      <c r="J1325" s="107"/>
      <c r="K1325" s="78"/>
      <c r="L1325" s="242"/>
      <c r="M1325" s="242"/>
      <c r="N1325" s="242"/>
      <c r="O1325" s="242"/>
      <c r="P1325" s="497"/>
      <c r="Q1325" s="496"/>
      <c r="R1325" s="503"/>
      <c r="S1325" s="504"/>
      <c r="T1325" s="505"/>
      <c r="U1325" s="504"/>
      <c r="V1325" s="504"/>
      <c r="W1325" s="77"/>
      <c r="X1325" s="77"/>
      <c r="Y1325" s="77"/>
      <c r="Z1325" s="77"/>
      <c r="AA1325" s="409"/>
      <c r="AB1325" s="506"/>
    </row>
    <row r="1326" spans="1:28" s="597" customFormat="1" ht="18" customHeight="1" x14ac:dyDescent="0.2">
      <c r="A1326" s="1850"/>
      <c r="B1326" s="1850"/>
      <c r="C1326" s="1850"/>
      <c r="D1326" s="1850"/>
      <c r="E1326" s="1850"/>
      <c r="F1326" s="1850"/>
      <c r="G1326" s="1850"/>
      <c r="H1326" s="1851"/>
      <c r="I1326" s="1852"/>
      <c r="J1326" s="1853"/>
      <c r="K1326" s="1852"/>
      <c r="L1326" s="1852"/>
      <c r="M1326" s="1852"/>
      <c r="N1326" s="1852"/>
      <c r="O1326" s="1852"/>
      <c r="P1326" s="1852"/>
      <c r="Q1326" s="1852"/>
      <c r="R1326" s="1854"/>
      <c r="S1326" s="1852"/>
      <c r="T1326" s="1855"/>
      <c r="U1326" s="1853"/>
      <c r="V1326" s="1852"/>
      <c r="W1326" s="1852"/>
      <c r="X1326" s="1856"/>
      <c r="Y1326" s="1856"/>
      <c r="Z1326" s="1857"/>
      <c r="AA1326" s="1857"/>
      <c r="AB1326" s="1847">
        <f>SUM(AB1311:AB1325)</f>
        <v>825.6</v>
      </c>
    </row>
    <row r="1327" spans="1:28" s="457" customFormat="1" ht="18" customHeight="1" x14ac:dyDescent="0.2">
      <c r="A1327" s="2737" t="s">
        <v>76</v>
      </c>
      <c r="B1327" s="2737"/>
      <c r="C1327" s="2738" t="s">
        <v>77</v>
      </c>
      <c r="D1327" s="2738"/>
      <c r="E1327" s="2738"/>
      <c r="F1327" s="2738"/>
      <c r="G1327" s="2738"/>
      <c r="H1327" s="2738"/>
      <c r="I1327" s="457" t="s">
        <v>78</v>
      </c>
      <c r="AB1327" s="478"/>
    </row>
    <row r="1328" spans="1:28" s="457" customFormat="1" ht="18" customHeight="1" x14ac:dyDescent="0.2">
      <c r="B1328" s="479"/>
      <c r="I1328" s="457" t="s">
        <v>79</v>
      </c>
      <c r="AB1328" s="478"/>
    </row>
    <row r="1329" spans="1:28" s="457" customFormat="1" ht="18" customHeight="1" x14ac:dyDescent="0.2">
      <c r="B1329" s="479"/>
      <c r="I1329" s="457" t="s">
        <v>80</v>
      </c>
      <c r="AB1329" s="478"/>
    </row>
    <row r="1330" spans="1:28" s="457" customFormat="1" ht="18" customHeight="1" x14ac:dyDescent="0.2">
      <c r="B1330" s="479"/>
      <c r="I1330" s="457" t="s">
        <v>81</v>
      </c>
      <c r="AB1330" s="478"/>
    </row>
    <row r="1331" spans="1:28" s="457" customFormat="1" ht="18" customHeight="1" x14ac:dyDescent="0.2">
      <c r="B1331" s="479"/>
      <c r="I1331" s="457" t="s">
        <v>88</v>
      </c>
      <c r="AB1331" s="478"/>
    </row>
    <row r="1332" spans="1:28" s="457" customFormat="1" ht="18" customHeight="1" x14ac:dyDescent="0.2">
      <c r="A1332" s="455"/>
      <c r="B1332" s="455"/>
      <c r="C1332" s="455"/>
      <c r="D1332" s="455"/>
      <c r="E1332" s="455"/>
      <c r="F1332" s="455"/>
      <c r="G1332" s="455"/>
      <c r="H1332" s="455"/>
      <c r="I1332" s="455"/>
      <c r="J1332" s="455"/>
      <c r="K1332" s="455"/>
      <c r="L1332" s="455"/>
      <c r="M1332" s="455"/>
      <c r="N1332" s="455"/>
      <c r="O1332" s="455"/>
      <c r="P1332" s="455"/>
      <c r="Q1332" s="455"/>
      <c r="R1332" s="455"/>
      <c r="S1332" s="455"/>
      <c r="T1332" s="455"/>
      <c r="U1332" s="455"/>
      <c r="V1332" s="455"/>
      <c r="W1332" s="455"/>
      <c r="X1332" s="455"/>
      <c r="Y1332" s="455"/>
      <c r="Z1332" s="455"/>
      <c r="AA1332" s="2705" t="s">
        <v>0</v>
      </c>
      <c r="AB1332" s="2705"/>
    </row>
    <row r="1333" spans="1:28" s="457" customFormat="1" ht="18" customHeight="1" x14ac:dyDescent="0.2">
      <c r="A1333" s="2706" t="s">
        <v>1</v>
      </c>
      <c r="B1333" s="2706"/>
      <c r="C1333" s="2706"/>
      <c r="D1333" s="2706"/>
      <c r="E1333" s="2706"/>
      <c r="F1333" s="2706"/>
      <c r="G1333" s="2706"/>
      <c r="H1333" s="2706"/>
      <c r="I1333" s="2706"/>
      <c r="J1333" s="2706"/>
      <c r="K1333" s="2706"/>
      <c r="L1333" s="2706"/>
      <c r="M1333" s="2706"/>
      <c r="N1333" s="2706"/>
      <c r="O1333" s="2706"/>
      <c r="P1333" s="2706"/>
      <c r="Q1333" s="2706"/>
      <c r="R1333" s="2706"/>
      <c r="S1333" s="2706"/>
      <c r="T1333" s="2706"/>
      <c r="U1333" s="2706"/>
      <c r="V1333" s="2706"/>
      <c r="W1333" s="2706"/>
      <c r="X1333" s="2706"/>
      <c r="Y1333" s="2706"/>
      <c r="Z1333" s="2706"/>
      <c r="AA1333" s="2706"/>
      <c r="AB1333" s="2706"/>
    </row>
    <row r="1334" spans="1:28" s="457" customFormat="1" ht="18" customHeight="1" x14ac:dyDescent="0.2">
      <c r="A1334" s="2704" t="s">
        <v>411</v>
      </c>
      <c r="B1334" s="2704"/>
      <c r="C1334" s="2704"/>
      <c r="D1334" s="2704"/>
      <c r="E1334" s="2704"/>
      <c r="F1334" s="2704"/>
      <c r="G1334" s="2704"/>
      <c r="H1334" s="2704"/>
      <c r="I1334" s="2704"/>
      <c r="J1334" s="2704"/>
      <c r="K1334" s="2704"/>
      <c r="L1334" s="2704"/>
      <c r="M1334" s="2704"/>
      <c r="N1334" s="2704"/>
      <c r="O1334" s="2704"/>
      <c r="P1334" s="2704"/>
      <c r="Q1334" s="2704"/>
      <c r="R1334" s="2704"/>
      <c r="S1334" s="2704"/>
      <c r="T1334" s="2704"/>
      <c r="U1334" s="2704"/>
      <c r="V1334" s="2704"/>
      <c r="W1334" s="2704"/>
      <c r="X1334" s="2704"/>
      <c r="Y1334" s="2704"/>
      <c r="Z1334" s="2704"/>
      <c r="AA1334" s="2704"/>
      <c r="AB1334" s="2704"/>
    </row>
    <row r="1335" spans="1:28" s="457" customFormat="1" ht="18" customHeight="1" x14ac:dyDescent="0.2">
      <c r="A1335" s="2686" t="s">
        <v>2</v>
      </c>
      <c r="B1335" s="360"/>
      <c r="C1335" s="2686" t="s">
        <v>3</v>
      </c>
      <c r="D1335" s="360"/>
      <c r="E1335" s="360"/>
      <c r="F1335" s="2693" t="s">
        <v>4</v>
      </c>
      <c r="G1335" s="2693"/>
      <c r="H1335" s="2693"/>
      <c r="I1335" s="2694"/>
      <c r="J1335" s="2694"/>
      <c r="K1335" s="2695"/>
      <c r="L1335" s="361"/>
      <c r="M1335" s="2679" t="s">
        <v>5</v>
      </c>
      <c r="N1335" s="2679"/>
      <c r="O1335" s="2679"/>
      <c r="P1335" s="2679"/>
      <c r="Q1335" s="2696"/>
      <c r="R1335" s="2696"/>
      <c r="S1335" s="2696"/>
      <c r="T1335" s="2696"/>
      <c r="U1335" s="2696"/>
      <c r="V1335" s="2697"/>
      <c r="W1335" s="362" t="s">
        <v>6</v>
      </c>
      <c r="X1335" s="363" t="s">
        <v>7</v>
      </c>
      <c r="Y1335" s="364"/>
      <c r="Z1335" s="364"/>
      <c r="AA1335" s="363"/>
      <c r="AB1335" s="458"/>
    </row>
    <row r="1336" spans="1:28" s="457" customFormat="1" ht="18" customHeight="1" x14ac:dyDescent="0.2">
      <c r="A1336" s="2687"/>
      <c r="B1336" s="367"/>
      <c r="C1336" s="2687"/>
      <c r="D1336" s="366" t="s">
        <v>9</v>
      </c>
      <c r="E1336" s="366" t="s">
        <v>10</v>
      </c>
      <c r="F1336" s="2698" t="s">
        <v>11</v>
      </c>
      <c r="G1336" s="2694"/>
      <c r="H1336" s="2695"/>
      <c r="I1336" s="360"/>
      <c r="J1336" s="449" t="s">
        <v>12</v>
      </c>
      <c r="K1336" s="360"/>
      <c r="L1336" s="2679" t="s">
        <v>2</v>
      </c>
      <c r="M1336" s="370"/>
      <c r="N1336" s="370"/>
      <c r="O1336" s="370"/>
      <c r="P1336" s="371"/>
      <c r="Q1336" s="459" t="s">
        <v>13</v>
      </c>
      <c r="R1336" s="370" t="s">
        <v>12</v>
      </c>
      <c r="S1336" s="370" t="s">
        <v>6</v>
      </c>
      <c r="T1336" s="2682" t="s">
        <v>14</v>
      </c>
      <c r="U1336" s="2683"/>
      <c r="V1336" s="375" t="s">
        <v>7</v>
      </c>
      <c r="W1336" s="376" t="s">
        <v>15</v>
      </c>
      <c r="X1336" s="377" t="s">
        <v>16</v>
      </c>
      <c r="Y1336" s="377" t="s">
        <v>17</v>
      </c>
      <c r="Z1336" s="377" t="s">
        <v>18</v>
      </c>
      <c r="AA1336" s="377"/>
      <c r="AB1336" s="460" t="s">
        <v>19</v>
      </c>
    </row>
    <row r="1337" spans="1:28" s="457" customFormat="1" ht="18" customHeight="1" x14ac:dyDescent="0.2">
      <c r="A1337" s="2687"/>
      <c r="B1337" s="366" t="s">
        <v>23</v>
      </c>
      <c r="C1337" s="2687"/>
      <c r="D1337" s="366" t="s">
        <v>24</v>
      </c>
      <c r="E1337" s="366" t="s">
        <v>25</v>
      </c>
      <c r="F1337" s="2699"/>
      <c r="G1337" s="2700"/>
      <c r="H1337" s="2701"/>
      <c r="I1337" s="366" t="s">
        <v>26</v>
      </c>
      <c r="J1337" s="380" t="s">
        <v>15</v>
      </c>
      <c r="K1337" s="380" t="s">
        <v>6</v>
      </c>
      <c r="L1337" s="2680"/>
      <c r="M1337" s="381" t="s">
        <v>27</v>
      </c>
      <c r="N1337" s="381" t="s">
        <v>10</v>
      </c>
      <c r="O1337" s="381" t="s">
        <v>10</v>
      </c>
      <c r="P1337" s="385" t="s">
        <v>28</v>
      </c>
      <c r="Q1337" s="461" t="s">
        <v>29</v>
      </c>
      <c r="R1337" s="385" t="s">
        <v>15</v>
      </c>
      <c r="S1337" s="385" t="s">
        <v>15</v>
      </c>
      <c r="T1337" s="2684"/>
      <c r="U1337" s="2685"/>
      <c r="V1337" s="375" t="s">
        <v>30</v>
      </c>
      <c r="W1337" s="376" t="s">
        <v>31</v>
      </c>
      <c r="X1337" s="377" t="s">
        <v>30</v>
      </c>
      <c r="Y1337" s="377" t="s">
        <v>32</v>
      </c>
      <c r="Z1337" s="377" t="s">
        <v>7</v>
      </c>
      <c r="AA1337" s="377" t="s">
        <v>33</v>
      </c>
      <c r="AB1337" s="460" t="s">
        <v>34</v>
      </c>
    </row>
    <row r="1338" spans="1:28" s="457" customFormat="1" ht="18" customHeight="1" x14ac:dyDescent="0.2">
      <c r="A1338" s="2687"/>
      <c r="B1338" s="366" t="s">
        <v>39</v>
      </c>
      <c r="C1338" s="2687"/>
      <c r="D1338" s="366" t="s">
        <v>40</v>
      </c>
      <c r="E1338" s="366" t="s">
        <v>41</v>
      </c>
      <c r="F1338" s="2686" t="s">
        <v>42</v>
      </c>
      <c r="G1338" s="2686" t="s">
        <v>43</v>
      </c>
      <c r="H1338" s="2688" t="s">
        <v>44</v>
      </c>
      <c r="I1338" s="366" t="s">
        <v>45</v>
      </c>
      <c r="J1338" s="380" t="s">
        <v>46</v>
      </c>
      <c r="K1338" s="380" t="s">
        <v>47</v>
      </c>
      <c r="L1338" s="2680"/>
      <c r="M1338" s="381" t="s">
        <v>30</v>
      </c>
      <c r="N1338" s="381" t="s">
        <v>30</v>
      </c>
      <c r="O1338" s="381" t="s">
        <v>25</v>
      </c>
      <c r="P1338" s="385" t="s">
        <v>30</v>
      </c>
      <c r="Q1338" s="461" t="s">
        <v>48</v>
      </c>
      <c r="R1338" s="385" t="s">
        <v>49</v>
      </c>
      <c r="S1338" s="385" t="s">
        <v>30</v>
      </c>
      <c r="T1338" s="374" t="s">
        <v>50</v>
      </c>
      <c r="U1338" s="374" t="s">
        <v>13</v>
      </c>
      <c r="V1338" s="375" t="s">
        <v>51</v>
      </c>
      <c r="W1338" s="376" t="s">
        <v>52</v>
      </c>
      <c r="X1338" s="377" t="s">
        <v>53</v>
      </c>
      <c r="Y1338" s="377" t="s">
        <v>54</v>
      </c>
      <c r="Z1338" s="377" t="s">
        <v>55</v>
      </c>
      <c r="AA1338" s="377" t="s">
        <v>56</v>
      </c>
      <c r="AB1338" s="460" t="s">
        <v>57</v>
      </c>
    </row>
    <row r="1339" spans="1:28" s="457" customFormat="1" ht="18" customHeight="1" x14ac:dyDescent="0.2">
      <c r="A1339" s="2687"/>
      <c r="B1339" s="366" t="s">
        <v>61</v>
      </c>
      <c r="C1339" s="2687"/>
      <c r="D1339" s="366" t="s">
        <v>62</v>
      </c>
      <c r="E1339" s="366" t="s">
        <v>63</v>
      </c>
      <c r="F1339" s="2687"/>
      <c r="G1339" s="2687"/>
      <c r="H1339" s="2689"/>
      <c r="I1339" s="366" t="s">
        <v>64</v>
      </c>
      <c r="J1339" s="380" t="s">
        <v>59</v>
      </c>
      <c r="K1339" s="380" t="s">
        <v>59</v>
      </c>
      <c r="L1339" s="2680"/>
      <c r="M1339" s="381"/>
      <c r="N1339" s="381"/>
      <c r="O1339" s="381" t="s">
        <v>41</v>
      </c>
      <c r="P1339" s="385" t="s">
        <v>65</v>
      </c>
      <c r="Q1339" s="461" t="s">
        <v>66</v>
      </c>
      <c r="R1339" s="385" t="s">
        <v>67</v>
      </c>
      <c r="S1339" s="385" t="s">
        <v>59</v>
      </c>
      <c r="T1339" s="375" t="s">
        <v>68</v>
      </c>
      <c r="U1339" s="375" t="s">
        <v>14</v>
      </c>
      <c r="V1339" s="375" t="s">
        <v>14</v>
      </c>
      <c r="W1339" s="376" t="s">
        <v>30</v>
      </c>
      <c r="X1339" s="388" t="s">
        <v>69</v>
      </c>
      <c r="Y1339" s="388" t="s">
        <v>70</v>
      </c>
      <c r="Z1339" s="377" t="s">
        <v>71</v>
      </c>
      <c r="AA1339" s="377" t="s">
        <v>72</v>
      </c>
      <c r="AB1339" s="460" t="s">
        <v>59</v>
      </c>
    </row>
    <row r="1340" spans="1:28" s="457" customFormat="1" ht="18" customHeight="1" x14ac:dyDescent="0.2">
      <c r="A1340" s="2692"/>
      <c r="B1340" s="390"/>
      <c r="C1340" s="2692"/>
      <c r="D1340" s="390"/>
      <c r="E1340" s="389"/>
      <c r="F1340" s="390"/>
      <c r="G1340" s="390"/>
      <c r="H1340" s="391"/>
      <c r="I1340" s="389"/>
      <c r="J1340" s="393"/>
      <c r="K1340" s="393"/>
      <c r="L1340" s="2681"/>
      <c r="M1340" s="394"/>
      <c r="N1340" s="394"/>
      <c r="O1340" s="394" t="s">
        <v>63</v>
      </c>
      <c r="P1340" s="394"/>
      <c r="Q1340" s="450" t="s">
        <v>72</v>
      </c>
      <c r="R1340" s="398" t="s">
        <v>59</v>
      </c>
      <c r="S1340" s="398"/>
      <c r="T1340" s="398" t="s">
        <v>73</v>
      </c>
      <c r="U1340" s="398" t="s">
        <v>59</v>
      </c>
      <c r="V1340" s="399" t="s">
        <v>59</v>
      </c>
      <c r="W1340" s="400" t="s">
        <v>59</v>
      </c>
      <c r="X1340" s="401" t="s">
        <v>59</v>
      </c>
      <c r="Y1340" s="401" t="s">
        <v>59</v>
      </c>
      <c r="Z1340" s="401" t="s">
        <v>59</v>
      </c>
      <c r="AA1340" s="402"/>
      <c r="AB1340" s="462"/>
    </row>
    <row r="1341" spans="1:28" s="457" customFormat="1" ht="18" customHeight="1" x14ac:dyDescent="0.2">
      <c r="A1341" s="53">
        <v>1</v>
      </c>
      <c r="B1341" s="82">
        <v>36099</v>
      </c>
      <c r="C1341" s="82">
        <v>1101</v>
      </c>
      <c r="D1341" s="82" t="s">
        <v>86</v>
      </c>
      <c r="E1341" s="145">
        <v>4</v>
      </c>
      <c r="F1341" s="82">
        <v>0</v>
      </c>
      <c r="G1341" s="82">
        <v>0</v>
      </c>
      <c r="H1341" s="463">
        <v>99</v>
      </c>
      <c r="I1341" s="77">
        <f>F1341*400+G1341*100+H1341</f>
        <v>99</v>
      </c>
      <c r="J1341" s="107">
        <v>1600</v>
      </c>
      <c r="K1341" s="78">
        <f>SUM(I1341*J1341)</f>
        <v>158400</v>
      </c>
      <c r="L1341" s="75">
        <v>1</v>
      </c>
      <c r="M1341" s="82">
        <v>103</v>
      </c>
      <c r="N1341" s="82" t="s">
        <v>74</v>
      </c>
      <c r="O1341" s="53">
        <v>2</v>
      </c>
      <c r="P1341" s="358">
        <v>5.76</v>
      </c>
      <c r="Q1341" s="197" t="s">
        <v>75</v>
      </c>
      <c r="R1341" s="444">
        <v>9050</v>
      </c>
      <c r="S1341" s="47">
        <f t="shared" ref="S1341" si="177">+P1341*R1341</f>
        <v>52128</v>
      </c>
      <c r="T1341" s="69">
        <v>2</v>
      </c>
      <c r="U1341" s="1670">
        <f>+S1341*0.02</f>
        <v>1042.56</v>
      </c>
      <c r="V1341" s="18">
        <f t="shared" ref="V1341" si="178">+S1341-U1341</f>
        <v>51085.440000000002</v>
      </c>
      <c r="W1341" s="70">
        <f>K1341+V1341</f>
        <v>209485.44</v>
      </c>
      <c r="X1341" s="70">
        <f>W1341</f>
        <v>209485.44</v>
      </c>
      <c r="Y1341" s="123">
        <v>0</v>
      </c>
      <c r="Z1341" s="123">
        <f>+X1341</f>
        <v>209485.44</v>
      </c>
      <c r="AA1341" s="409">
        <v>0.02</v>
      </c>
      <c r="AB1341" s="465">
        <f>+Z1341*AA1341/100</f>
        <v>41.897088000000004</v>
      </c>
    </row>
    <row r="1342" spans="1:28" s="457" customFormat="1" ht="18" customHeight="1" x14ac:dyDescent="0.2">
      <c r="A1342" s="242">
        <v>2</v>
      </c>
      <c r="B1342" s="242">
        <v>30437</v>
      </c>
      <c r="C1342" s="496" t="s">
        <v>209</v>
      </c>
      <c r="D1342" s="88" t="s">
        <v>86</v>
      </c>
      <c r="E1342" s="85">
        <v>4</v>
      </c>
      <c r="F1342" s="411">
        <v>0</v>
      </c>
      <c r="G1342" s="242">
        <v>1</v>
      </c>
      <c r="H1342" s="497">
        <v>6</v>
      </c>
      <c r="I1342" s="77">
        <f>F1342*400+G1342*100+H1342</f>
        <v>106</v>
      </c>
      <c r="J1342" s="107">
        <v>1600</v>
      </c>
      <c r="K1342" s="78">
        <f>SUM(I1342*J1342)</f>
        <v>169600</v>
      </c>
      <c r="L1342" s="75"/>
      <c r="M1342" s="145"/>
      <c r="N1342" s="145"/>
      <c r="O1342" s="61"/>
      <c r="P1342" s="177"/>
      <c r="Q1342" s="196"/>
      <c r="R1342" s="408"/>
      <c r="S1342" s="77"/>
      <c r="T1342" s="145"/>
      <c r="U1342" s="77"/>
      <c r="V1342" s="77"/>
      <c r="W1342" s="77">
        <f>K1342+V1342</f>
        <v>169600</v>
      </c>
      <c r="X1342" s="77">
        <f>W1342</f>
        <v>169600</v>
      </c>
      <c r="Y1342" s="77" t="s">
        <v>87</v>
      </c>
      <c r="Z1342" s="77">
        <v>0</v>
      </c>
      <c r="AA1342" s="409">
        <v>0.01</v>
      </c>
      <c r="AB1342" s="466">
        <f>+Z1342*AA1342/100</f>
        <v>0</v>
      </c>
    </row>
    <row r="1343" spans="1:28" s="457" customFormat="1" ht="18" customHeight="1" x14ac:dyDescent="0.2">
      <c r="A1343" s="242"/>
      <c r="B1343" s="145"/>
      <c r="C1343" s="496"/>
      <c r="D1343" s="145"/>
      <c r="E1343" s="102"/>
      <c r="F1343" s="499"/>
      <c r="G1343" s="241"/>
      <c r="H1343" s="500"/>
      <c r="I1343" s="77"/>
      <c r="J1343" s="107"/>
      <c r="K1343" s="78"/>
      <c r="L1343" s="61"/>
      <c r="M1343" s="145"/>
      <c r="N1343" s="145"/>
      <c r="O1343" s="61"/>
      <c r="P1343" s="177"/>
      <c r="Q1343" s="196"/>
      <c r="R1343" s="408"/>
      <c r="S1343" s="77"/>
      <c r="T1343" s="145"/>
      <c r="U1343" s="77"/>
      <c r="V1343" s="77"/>
      <c r="W1343" s="77"/>
      <c r="X1343" s="77"/>
      <c r="Y1343" s="77"/>
      <c r="Z1343" s="77"/>
      <c r="AA1343" s="409"/>
      <c r="AB1343" s="466"/>
    </row>
    <row r="1344" spans="1:28" s="457" customFormat="1" ht="18" customHeight="1" x14ac:dyDescent="0.2">
      <c r="A1344" s="242"/>
      <c r="B1344" s="242"/>
      <c r="C1344" s="496"/>
      <c r="D1344" s="144"/>
      <c r="E1344" s="85"/>
      <c r="F1344" s="411"/>
      <c r="G1344" s="242"/>
      <c r="H1344" s="497"/>
      <c r="I1344" s="77"/>
      <c r="J1344" s="107"/>
      <c r="K1344" s="78"/>
      <c r="L1344" s="242"/>
      <c r="M1344" s="242"/>
      <c r="N1344" s="242"/>
      <c r="O1344" s="242"/>
      <c r="P1344" s="497"/>
      <c r="Q1344" s="496"/>
      <c r="R1344" s="503"/>
      <c r="S1344" s="504"/>
      <c r="T1344" s="505"/>
      <c r="U1344" s="504"/>
      <c r="V1344" s="504"/>
      <c r="W1344" s="77"/>
      <c r="X1344" s="77"/>
      <c r="Y1344" s="77"/>
      <c r="Z1344" s="77"/>
      <c r="AA1344" s="409"/>
      <c r="AB1344" s="410"/>
    </row>
    <row r="1345" spans="1:28" s="457" customFormat="1" ht="18" customHeight="1" x14ac:dyDescent="0.2">
      <c r="A1345" s="242"/>
      <c r="B1345" s="242"/>
      <c r="C1345" s="496"/>
      <c r="D1345" s="88"/>
      <c r="E1345" s="85"/>
      <c r="F1345" s="411"/>
      <c r="G1345" s="242"/>
      <c r="H1345" s="497"/>
      <c r="I1345" s="77"/>
      <c r="J1345" s="107"/>
      <c r="K1345" s="78"/>
      <c r="L1345" s="242"/>
      <c r="M1345" s="242"/>
      <c r="N1345" s="242"/>
      <c r="O1345" s="242"/>
      <c r="P1345" s="497"/>
      <c r="Q1345" s="496"/>
      <c r="R1345" s="503"/>
      <c r="S1345" s="504"/>
      <c r="T1345" s="505"/>
      <c r="U1345" s="504"/>
      <c r="V1345" s="504"/>
      <c r="W1345" s="77"/>
      <c r="X1345" s="77"/>
      <c r="Y1345" s="77"/>
      <c r="Z1345" s="77"/>
      <c r="AA1345" s="409"/>
      <c r="AB1345" s="466"/>
    </row>
    <row r="1346" spans="1:28" s="457" customFormat="1" ht="18" customHeight="1" x14ac:dyDescent="0.2">
      <c r="A1346" s="242"/>
      <c r="B1346" s="242"/>
      <c r="C1346" s="496"/>
      <c r="D1346" s="144"/>
      <c r="E1346" s="88"/>
      <c r="F1346" s="411"/>
      <c r="G1346" s="242"/>
      <c r="H1346" s="497"/>
      <c r="I1346" s="77"/>
      <c r="J1346" s="107"/>
      <c r="K1346" s="78"/>
      <c r="L1346" s="242"/>
      <c r="M1346" s="242"/>
      <c r="N1346" s="242"/>
      <c r="O1346" s="242"/>
      <c r="P1346" s="497"/>
      <c r="Q1346" s="496"/>
      <c r="R1346" s="503"/>
      <c r="S1346" s="504"/>
      <c r="T1346" s="505"/>
      <c r="U1346" s="504"/>
      <c r="V1346" s="504"/>
      <c r="W1346" s="77"/>
      <c r="X1346" s="77"/>
      <c r="Y1346" s="77"/>
      <c r="Z1346" s="77"/>
      <c r="AA1346" s="409"/>
      <c r="AB1346" s="506"/>
    </row>
    <row r="1347" spans="1:28" s="457" customFormat="1" ht="18" customHeight="1" x14ac:dyDescent="0.2">
      <c r="A1347" s="242"/>
      <c r="B1347" s="242"/>
      <c r="C1347" s="496"/>
      <c r="D1347" s="88"/>
      <c r="E1347" s="231"/>
      <c r="F1347" s="411"/>
      <c r="G1347" s="242"/>
      <c r="H1347" s="497"/>
      <c r="I1347" s="77"/>
      <c r="J1347" s="107"/>
      <c r="K1347" s="78"/>
      <c r="L1347" s="242"/>
      <c r="M1347" s="242"/>
      <c r="N1347" s="242"/>
      <c r="O1347" s="242"/>
      <c r="P1347" s="497"/>
      <c r="Q1347" s="496"/>
      <c r="R1347" s="503"/>
      <c r="S1347" s="504"/>
      <c r="T1347" s="505"/>
      <c r="U1347" s="504"/>
      <c r="V1347" s="504"/>
      <c r="W1347" s="77"/>
      <c r="X1347" s="77"/>
      <c r="Y1347" s="77"/>
      <c r="Z1347" s="77"/>
      <c r="AA1347" s="409"/>
      <c r="AB1347" s="506"/>
    </row>
    <row r="1348" spans="1:28" s="457" customFormat="1" ht="18" customHeight="1" x14ac:dyDescent="0.2">
      <c r="A1348" s="242"/>
      <c r="B1348" s="242"/>
      <c r="C1348" s="496"/>
      <c r="D1348" s="231"/>
      <c r="E1348" s="144"/>
      <c r="F1348" s="411"/>
      <c r="G1348" s="242"/>
      <c r="H1348" s="497"/>
      <c r="I1348" s="77"/>
      <c r="J1348" s="107"/>
      <c r="K1348" s="78"/>
      <c r="L1348" s="242"/>
      <c r="M1348" s="242"/>
      <c r="N1348" s="242"/>
      <c r="O1348" s="242"/>
      <c r="P1348" s="497"/>
      <c r="Q1348" s="496"/>
      <c r="R1348" s="503"/>
      <c r="S1348" s="504"/>
      <c r="T1348" s="505"/>
      <c r="U1348" s="504"/>
      <c r="V1348" s="504"/>
      <c r="W1348" s="77"/>
      <c r="X1348" s="77"/>
      <c r="Y1348" s="77"/>
      <c r="Z1348" s="77"/>
      <c r="AA1348" s="409"/>
      <c r="AB1348" s="506"/>
    </row>
    <row r="1349" spans="1:28" s="457" customFormat="1" ht="18" customHeight="1" x14ac:dyDescent="0.2">
      <c r="A1349" s="242"/>
      <c r="B1349" s="242"/>
      <c r="C1349" s="496"/>
      <c r="D1349" s="144"/>
      <c r="E1349" s="144"/>
      <c r="F1349" s="411"/>
      <c r="G1349" s="242"/>
      <c r="H1349" s="497"/>
      <c r="I1349" s="77"/>
      <c r="J1349" s="107"/>
      <c r="K1349" s="78"/>
      <c r="L1349" s="242"/>
      <c r="M1349" s="242"/>
      <c r="N1349" s="242"/>
      <c r="O1349" s="242"/>
      <c r="P1349" s="497"/>
      <c r="Q1349" s="496"/>
      <c r="R1349" s="503"/>
      <c r="S1349" s="504"/>
      <c r="T1349" s="505"/>
      <c r="U1349" s="504"/>
      <c r="V1349" s="504"/>
      <c r="W1349" s="77"/>
      <c r="X1349" s="77"/>
      <c r="Y1349" s="77"/>
      <c r="Z1349" s="77"/>
      <c r="AA1349" s="409"/>
      <c r="AB1349" s="506"/>
    </row>
    <row r="1350" spans="1:28" s="457" customFormat="1" ht="18" customHeight="1" x14ac:dyDescent="0.2">
      <c r="A1350" s="242"/>
      <c r="B1350" s="242"/>
      <c r="C1350" s="496"/>
      <c r="D1350" s="88"/>
      <c r="E1350" s="144"/>
      <c r="F1350" s="411"/>
      <c r="G1350" s="242"/>
      <c r="H1350" s="497"/>
      <c r="I1350" s="77"/>
      <c r="J1350" s="107"/>
      <c r="K1350" s="78"/>
      <c r="L1350" s="242"/>
      <c r="M1350" s="242"/>
      <c r="N1350" s="242"/>
      <c r="O1350" s="242"/>
      <c r="P1350" s="497"/>
      <c r="Q1350" s="496"/>
      <c r="R1350" s="503"/>
      <c r="S1350" s="504"/>
      <c r="T1350" s="505"/>
      <c r="U1350" s="504"/>
      <c r="V1350" s="504"/>
      <c r="W1350" s="77"/>
      <c r="X1350" s="77"/>
      <c r="Y1350" s="77"/>
      <c r="Z1350" s="77"/>
      <c r="AA1350" s="409"/>
      <c r="AB1350" s="506"/>
    </row>
    <row r="1351" spans="1:28" s="457" customFormat="1" ht="18" customHeight="1" x14ac:dyDescent="0.2">
      <c r="A1351" s="242"/>
      <c r="B1351" s="242"/>
      <c r="C1351" s="496"/>
      <c r="D1351" s="231"/>
      <c r="E1351" s="88"/>
      <c r="F1351" s="411"/>
      <c r="G1351" s="242"/>
      <c r="H1351" s="497"/>
      <c r="I1351" s="77"/>
      <c r="J1351" s="107"/>
      <c r="K1351" s="78"/>
      <c r="L1351" s="242"/>
      <c r="M1351" s="242"/>
      <c r="N1351" s="242"/>
      <c r="O1351" s="242"/>
      <c r="P1351" s="497"/>
      <c r="Q1351" s="496"/>
      <c r="R1351" s="503"/>
      <c r="S1351" s="504"/>
      <c r="T1351" s="505"/>
      <c r="U1351" s="504"/>
      <c r="V1351" s="504"/>
      <c r="W1351" s="77"/>
      <c r="X1351" s="77"/>
      <c r="Y1351" s="77"/>
      <c r="Z1351" s="77"/>
      <c r="AA1351" s="409"/>
      <c r="AB1351" s="506"/>
    </row>
    <row r="1352" spans="1:28" s="457" customFormat="1" ht="18" customHeight="1" x14ac:dyDescent="0.2">
      <c r="A1352" s="242"/>
      <c r="B1352" s="242"/>
      <c r="C1352" s="496"/>
      <c r="D1352" s="144"/>
      <c r="E1352" s="88"/>
      <c r="F1352" s="411"/>
      <c r="G1352" s="242"/>
      <c r="H1352" s="497"/>
      <c r="I1352" s="77"/>
      <c r="J1352" s="107"/>
      <c r="K1352" s="78"/>
      <c r="L1352" s="242"/>
      <c r="M1352" s="242"/>
      <c r="N1352" s="242"/>
      <c r="O1352" s="242"/>
      <c r="P1352" s="497"/>
      <c r="Q1352" s="496"/>
      <c r="R1352" s="503"/>
      <c r="S1352" s="504"/>
      <c r="T1352" s="505"/>
      <c r="U1352" s="504"/>
      <c r="V1352" s="504"/>
      <c r="W1352" s="77"/>
      <c r="X1352" s="77"/>
      <c r="Y1352" s="77"/>
      <c r="Z1352" s="77"/>
      <c r="AA1352" s="409"/>
      <c r="AB1352" s="506"/>
    </row>
    <row r="1353" spans="1:28" s="457" customFormat="1" ht="18" customHeight="1" x14ac:dyDescent="0.2">
      <c r="A1353" s="242"/>
      <c r="B1353" s="242"/>
      <c r="C1353" s="496"/>
      <c r="D1353" s="88"/>
      <c r="E1353" s="231"/>
      <c r="F1353" s="411"/>
      <c r="G1353" s="242"/>
      <c r="H1353" s="497"/>
      <c r="I1353" s="77"/>
      <c r="J1353" s="107"/>
      <c r="K1353" s="78"/>
      <c r="L1353" s="242"/>
      <c r="M1353" s="242"/>
      <c r="N1353" s="242"/>
      <c r="O1353" s="242"/>
      <c r="P1353" s="497"/>
      <c r="Q1353" s="496"/>
      <c r="R1353" s="503"/>
      <c r="S1353" s="504"/>
      <c r="T1353" s="505"/>
      <c r="U1353" s="504"/>
      <c r="V1353" s="504"/>
      <c r="W1353" s="77"/>
      <c r="X1353" s="77"/>
      <c r="Y1353" s="77"/>
      <c r="Z1353" s="77"/>
      <c r="AA1353" s="409"/>
      <c r="AB1353" s="506"/>
    </row>
    <row r="1354" spans="1:28" s="457" customFormat="1" ht="18" customHeight="1" x14ac:dyDescent="0.2">
      <c r="A1354" s="242"/>
      <c r="B1354" s="242"/>
      <c r="C1354" s="496"/>
      <c r="D1354" s="88"/>
      <c r="E1354" s="231"/>
      <c r="F1354" s="411"/>
      <c r="G1354" s="242"/>
      <c r="H1354" s="497"/>
      <c r="I1354" s="77"/>
      <c r="J1354" s="107"/>
      <c r="K1354" s="78"/>
      <c r="L1354" s="242"/>
      <c r="M1354" s="242"/>
      <c r="N1354" s="242"/>
      <c r="O1354" s="242"/>
      <c r="P1354" s="497"/>
      <c r="Q1354" s="496"/>
      <c r="R1354" s="503"/>
      <c r="S1354" s="504"/>
      <c r="T1354" s="505"/>
      <c r="U1354" s="504"/>
      <c r="V1354" s="504"/>
      <c r="W1354" s="77"/>
      <c r="X1354" s="77"/>
      <c r="Y1354" s="77"/>
      <c r="Z1354" s="77"/>
      <c r="AA1354" s="409"/>
      <c r="AB1354" s="506"/>
    </row>
    <row r="1355" spans="1:28" s="457" customFormat="1" ht="18" customHeight="1" x14ac:dyDescent="0.2">
      <c r="A1355" s="242"/>
      <c r="B1355" s="242"/>
      <c r="C1355" s="496"/>
      <c r="D1355" s="88"/>
      <c r="E1355" s="88"/>
      <c r="F1355" s="411"/>
      <c r="G1355" s="242"/>
      <c r="H1355" s="497"/>
      <c r="I1355" s="77"/>
      <c r="J1355" s="107"/>
      <c r="K1355" s="78"/>
      <c r="L1355" s="242"/>
      <c r="M1355" s="242"/>
      <c r="N1355" s="242"/>
      <c r="O1355" s="242"/>
      <c r="P1355" s="497"/>
      <c r="Q1355" s="496"/>
      <c r="R1355" s="503"/>
      <c r="S1355" s="504"/>
      <c r="T1355" s="505"/>
      <c r="U1355" s="504"/>
      <c r="V1355" s="504"/>
      <c r="W1355" s="77"/>
      <c r="X1355" s="77"/>
      <c r="Y1355" s="77"/>
      <c r="Z1355" s="77"/>
      <c r="AA1355" s="409"/>
      <c r="AB1355" s="506"/>
    </row>
    <row r="1356" spans="1:28" s="597" customFormat="1" ht="18" customHeight="1" x14ac:dyDescent="0.2">
      <c r="A1356" s="1850"/>
      <c r="B1356" s="1850"/>
      <c r="C1356" s="1850"/>
      <c r="D1356" s="1850"/>
      <c r="E1356" s="1850"/>
      <c r="F1356" s="1850"/>
      <c r="G1356" s="1850"/>
      <c r="H1356" s="1851"/>
      <c r="I1356" s="1852"/>
      <c r="J1356" s="1853"/>
      <c r="K1356" s="1852"/>
      <c r="L1356" s="1852"/>
      <c r="M1356" s="1852"/>
      <c r="N1356" s="1852"/>
      <c r="O1356" s="1852"/>
      <c r="P1356" s="1852"/>
      <c r="Q1356" s="1852"/>
      <c r="R1356" s="1854"/>
      <c r="S1356" s="1852"/>
      <c r="T1356" s="1855"/>
      <c r="U1356" s="1853"/>
      <c r="V1356" s="1852"/>
      <c r="W1356" s="1852"/>
      <c r="X1356" s="1856"/>
      <c r="Y1356" s="1856"/>
      <c r="Z1356" s="1857"/>
      <c r="AA1356" s="1857"/>
      <c r="AB1356" s="1847">
        <f>SUM(AB1341:AB1355)</f>
        <v>41.897088000000004</v>
      </c>
    </row>
    <row r="1357" spans="1:28" s="457" customFormat="1" ht="18" customHeight="1" x14ac:dyDescent="0.2">
      <c r="A1357" s="2737" t="s">
        <v>76</v>
      </c>
      <c r="B1357" s="2737"/>
      <c r="C1357" s="2738" t="s">
        <v>77</v>
      </c>
      <c r="D1357" s="2738"/>
      <c r="E1357" s="2738"/>
      <c r="F1357" s="2738"/>
      <c r="G1357" s="2738"/>
      <c r="H1357" s="2738"/>
      <c r="I1357" s="457" t="s">
        <v>78</v>
      </c>
      <c r="AB1357" s="478"/>
    </row>
    <row r="1358" spans="1:28" s="457" customFormat="1" ht="18" customHeight="1" x14ac:dyDescent="0.2">
      <c r="B1358" s="479"/>
      <c r="I1358" s="457" t="s">
        <v>79</v>
      </c>
      <c r="AB1358" s="478"/>
    </row>
    <row r="1359" spans="1:28" s="457" customFormat="1" ht="18" customHeight="1" x14ac:dyDescent="0.2">
      <c r="B1359" s="479"/>
      <c r="I1359" s="457" t="s">
        <v>80</v>
      </c>
      <c r="AB1359" s="478"/>
    </row>
    <row r="1360" spans="1:28" s="457" customFormat="1" ht="18" customHeight="1" x14ac:dyDescent="0.2">
      <c r="B1360" s="479"/>
      <c r="I1360" s="457" t="s">
        <v>81</v>
      </c>
      <c r="AB1360" s="478"/>
    </row>
    <row r="1361" spans="1:28" s="457" customFormat="1" ht="18" customHeight="1" x14ac:dyDescent="0.2">
      <c r="B1361" s="479"/>
      <c r="I1361" s="457" t="s">
        <v>88</v>
      </c>
      <c r="AB1361" s="478"/>
    </row>
    <row r="1362" spans="1:28" s="457" customFormat="1" ht="18" customHeight="1" x14ac:dyDescent="0.2">
      <c r="A1362" s="455"/>
      <c r="B1362" s="455"/>
      <c r="C1362" s="455"/>
      <c r="D1362" s="455"/>
      <c r="E1362" s="455"/>
      <c r="F1362" s="455"/>
      <c r="G1362" s="455"/>
      <c r="H1362" s="455"/>
      <c r="I1362" s="455"/>
      <c r="J1362" s="455"/>
      <c r="K1362" s="455"/>
      <c r="L1362" s="455"/>
      <c r="M1362" s="455"/>
      <c r="N1362" s="455"/>
      <c r="O1362" s="455"/>
      <c r="P1362" s="455"/>
      <c r="Q1362" s="455"/>
      <c r="R1362" s="455"/>
      <c r="S1362" s="455"/>
      <c r="T1362" s="455"/>
      <c r="U1362" s="455"/>
      <c r="V1362" s="455"/>
      <c r="W1362" s="455"/>
      <c r="X1362" s="455"/>
      <c r="Y1362" s="455"/>
      <c r="Z1362" s="455"/>
      <c r="AA1362" s="2705" t="s">
        <v>0</v>
      </c>
      <c r="AB1362" s="2705"/>
    </row>
    <row r="1363" spans="1:28" s="457" customFormat="1" ht="18" customHeight="1" x14ac:dyDescent="0.2">
      <c r="A1363" s="2706" t="s">
        <v>1</v>
      </c>
      <c r="B1363" s="2706"/>
      <c r="C1363" s="2706"/>
      <c r="D1363" s="2706"/>
      <c r="E1363" s="2706"/>
      <c r="F1363" s="2706"/>
      <c r="G1363" s="2706"/>
      <c r="H1363" s="2706"/>
      <c r="I1363" s="2706"/>
      <c r="J1363" s="2706"/>
      <c r="K1363" s="2706"/>
      <c r="L1363" s="2706"/>
      <c r="M1363" s="2706"/>
      <c r="N1363" s="2706"/>
      <c r="O1363" s="2706"/>
      <c r="P1363" s="2706"/>
      <c r="Q1363" s="2706"/>
      <c r="R1363" s="2706"/>
      <c r="S1363" s="2706"/>
      <c r="T1363" s="2706"/>
      <c r="U1363" s="2706"/>
      <c r="V1363" s="2706"/>
      <c r="W1363" s="2706"/>
      <c r="X1363" s="2706"/>
      <c r="Y1363" s="2706"/>
      <c r="Z1363" s="2706"/>
      <c r="AA1363" s="2706"/>
      <c r="AB1363" s="2706"/>
    </row>
    <row r="1364" spans="1:28" s="457" customFormat="1" ht="18" customHeight="1" x14ac:dyDescent="0.2">
      <c r="A1364" s="2704" t="s">
        <v>412</v>
      </c>
      <c r="B1364" s="2704"/>
      <c r="C1364" s="2704"/>
      <c r="D1364" s="2704"/>
      <c r="E1364" s="2704"/>
      <c r="F1364" s="2704"/>
      <c r="G1364" s="2704"/>
      <c r="H1364" s="2704"/>
      <c r="I1364" s="2704"/>
      <c r="J1364" s="2704"/>
      <c r="K1364" s="2704"/>
      <c r="L1364" s="2704"/>
      <c r="M1364" s="2704"/>
      <c r="N1364" s="2704"/>
      <c r="O1364" s="2704"/>
      <c r="P1364" s="2704"/>
      <c r="Q1364" s="2704"/>
      <c r="R1364" s="2704"/>
      <c r="S1364" s="2704"/>
      <c r="T1364" s="2704"/>
      <c r="U1364" s="2704"/>
      <c r="V1364" s="2704"/>
      <c r="W1364" s="2704"/>
      <c r="X1364" s="2704"/>
      <c r="Y1364" s="2704"/>
      <c r="Z1364" s="2704"/>
      <c r="AA1364" s="2704"/>
      <c r="AB1364" s="2704"/>
    </row>
    <row r="1365" spans="1:28" s="457" customFormat="1" ht="18" customHeight="1" x14ac:dyDescent="0.2">
      <c r="A1365" s="2686" t="s">
        <v>2</v>
      </c>
      <c r="B1365" s="360"/>
      <c r="C1365" s="2686" t="s">
        <v>3</v>
      </c>
      <c r="D1365" s="360"/>
      <c r="E1365" s="360"/>
      <c r="F1365" s="2693" t="s">
        <v>4</v>
      </c>
      <c r="G1365" s="2693"/>
      <c r="H1365" s="2693"/>
      <c r="I1365" s="2694"/>
      <c r="J1365" s="2694"/>
      <c r="K1365" s="2695"/>
      <c r="L1365" s="361"/>
      <c r="M1365" s="2679" t="s">
        <v>5</v>
      </c>
      <c r="N1365" s="2679"/>
      <c r="O1365" s="2679"/>
      <c r="P1365" s="2679"/>
      <c r="Q1365" s="2696"/>
      <c r="R1365" s="2696"/>
      <c r="S1365" s="2696"/>
      <c r="T1365" s="2696"/>
      <c r="U1365" s="2696"/>
      <c r="V1365" s="2697"/>
      <c r="W1365" s="362" t="s">
        <v>6</v>
      </c>
      <c r="X1365" s="363" t="s">
        <v>7</v>
      </c>
      <c r="Y1365" s="364"/>
      <c r="Z1365" s="364"/>
      <c r="AA1365" s="363"/>
      <c r="AB1365" s="458"/>
    </row>
    <row r="1366" spans="1:28" s="457" customFormat="1" ht="18" customHeight="1" x14ac:dyDescent="0.2">
      <c r="A1366" s="2687"/>
      <c r="B1366" s="367"/>
      <c r="C1366" s="2687"/>
      <c r="D1366" s="366" t="s">
        <v>9</v>
      </c>
      <c r="E1366" s="366" t="s">
        <v>10</v>
      </c>
      <c r="F1366" s="2698" t="s">
        <v>11</v>
      </c>
      <c r="G1366" s="2694"/>
      <c r="H1366" s="2695"/>
      <c r="I1366" s="360"/>
      <c r="J1366" s="449" t="s">
        <v>12</v>
      </c>
      <c r="K1366" s="360"/>
      <c r="L1366" s="2679" t="s">
        <v>2</v>
      </c>
      <c r="M1366" s="370"/>
      <c r="N1366" s="370"/>
      <c r="O1366" s="370"/>
      <c r="P1366" s="371"/>
      <c r="Q1366" s="459" t="s">
        <v>13</v>
      </c>
      <c r="R1366" s="370" t="s">
        <v>12</v>
      </c>
      <c r="S1366" s="370" t="s">
        <v>6</v>
      </c>
      <c r="T1366" s="2682" t="s">
        <v>14</v>
      </c>
      <c r="U1366" s="2683"/>
      <c r="V1366" s="375" t="s">
        <v>7</v>
      </c>
      <c r="W1366" s="376" t="s">
        <v>15</v>
      </c>
      <c r="X1366" s="377" t="s">
        <v>16</v>
      </c>
      <c r="Y1366" s="377" t="s">
        <v>17</v>
      </c>
      <c r="Z1366" s="377" t="s">
        <v>18</v>
      </c>
      <c r="AA1366" s="377"/>
      <c r="AB1366" s="460" t="s">
        <v>19</v>
      </c>
    </row>
    <row r="1367" spans="1:28" s="457" customFormat="1" ht="18" customHeight="1" x14ac:dyDescent="0.2">
      <c r="A1367" s="2687"/>
      <c r="B1367" s="366" t="s">
        <v>23</v>
      </c>
      <c r="C1367" s="2687"/>
      <c r="D1367" s="366" t="s">
        <v>24</v>
      </c>
      <c r="E1367" s="366" t="s">
        <v>25</v>
      </c>
      <c r="F1367" s="2699"/>
      <c r="G1367" s="2700"/>
      <c r="H1367" s="2701"/>
      <c r="I1367" s="366" t="s">
        <v>26</v>
      </c>
      <c r="J1367" s="380" t="s">
        <v>15</v>
      </c>
      <c r="K1367" s="380" t="s">
        <v>6</v>
      </c>
      <c r="L1367" s="2680"/>
      <c r="M1367" s="381" t="s">
        <v>27</v>
      </c>
      <c r="N1367" s="381" t="s">
        <v>10</v>
      </c>
      <c r="O1367" s="381" t="s">
        <v>10</v>
      </c>
      <c r="P1367" s="385" t="s">
        <v>28</v>
      </c>
      <c r="Q1367" s="461" t="s">
        <v>29</v>
      </c>
      <c r="R1367" s="385" t="s">
        <v>15</v>
      </c>
      <c r="S1367" s="385" t="s">
        <v>15</v>
      </c>
      <c r="T1367" s="2684"/>
      <c r="U1367" s="2685"/>
      <c r="V1367" s="375" t="s">
        <v>30</v>
      </c>
      <c r="W1367" s="376" t="s">
        <v>31</v>
      </c>
      <c r="X1367" s="377" t="s">
        <v>30</v>
      </c>
      <c r="Y1367" s="377" t="s">
        <v>32</v>
      </c>
      <c r="Z1367" s="377" t="s">
        <v>7</v>
      </c>
      <c r="AA1367" s="377" t="s">
        <v>33</v>
      </c>
      <c r="AB1367" s="460" t="s">
        <v>34</v>
      </c>
    </row>
    <row r="1368" spans="1:28" s="457" customFormat="1" ht="18" customHeight="1" x14ac:dyDescent="0.2">
      <c r="A1368" s="2687"/>
      <c r="B1368" s="366" t="s">
        <v>39</v>
      </c>
      <c r="C1368" s="2687"/>
      <c r="D1368" s="366" t="s">
        <v>40</v>
      </c>
      <c r="E1368" s="366" t="s">
        <v>41</v>
      </c>
      <c r="F1368" s="2686" t="s">
        <v>42</v>
      </c>
      <c r="G1368" s="2686" t="s">
        <v>43</v>
      </c>
      <c r="H1368" s="2688" t="s">
        <v>44</v>
      </c>
      <c r="I1368" s="366" t="s">
        <v>45</v>
      </c>
      <c r="J1368" s="380" t="s">
        <v>46</v>
      </c>
      <c r="K1368" s="380" t="s">
        <v>47</v>
      </c>
      <c r="L1368" s="2680"/>
      <c r="M1368" s="381" t="s">
        <v>30</v>
      </c>
      <c r="N1368" s="381" t="s">
        <v>30</v>
      </c>
      <c r="O1368" s="381" t="s">
        <v>25</v>
      </c>
      <c r="P1368" s="385" t="s">
        <v>30</v>
      </c>
      <c r="Q1368" s="461" t="s">
        <v>48</v>
      </c>
      <c r="R1368" s="385" t="s">
        <v>49</v>
      </c>
      <c r="S1368" s="385" t="s">
        <v>30</v>
      </c>
      <c r="T1368" s="374" t="s">
        <v>50</v>
      </c>
      <c r="U1368" s="374" t="s">
        <v>13</v>
      </c>
      <c r="V1368" s="375" t="s">
        <v>51</v>
      </c>
      <c r="W1368" s="376" t="s">
        <v>52</v>
      </c>
      <c r="X1368" s="377" t="s">
        <v>53</v>
      </c>
      <c r="Y1368" s="377" t="s">
        <v>54</v>
      </c>
      <c r="Z1368" s="377" t="s">
        <v>55</v>
      </c>
      <c r="AA1368" s="377" t="s">
        <v>56</v>
      </c>
      <c r="AB1368" s="460" t="s">
        <v>57</v>
      </c>
    </row>
    <row r="1369" spans="1:28" s="457" customFormat="1" ht="18" customHeight="1" x14ac:dyDescent="0.2">
      <c r="A1369" s="2687"/>
      <c r="B1369" s="366" t="s">
        <v>61</v>
      </c>
      <c r="C1369" s="2687"/>
      <c r="D1369" s="366" t="s">
        <v>62</v>
      </c>
      <c r="E1369" s="366" t="s">
        <v>63</v>
      </c>
      <c r="F1369" s="2687"/>
      <c r="G1369" s="2687"/>
      <c r="H1369" s="2689"/>
      <c r="I1369" s="366" t="s">
        <v>64</v>
      </c>
      <c r="J1369" s="380" t="s">
        <v>59</v>
      </c>
      <c r="K1369" s="380" t="s">
        <v>59</v>
      </c>
      <c r="L1369" s="2680"/>
      <c r="M1369" s="381"/>
      <c r="N1369" s="381"/>
      <c r="O1369" s="381" t="s">
        <v>41</v>
      </c>
      <c r="P1369" s="385" t="s">
        <v>65</v>
      </c>
      <c r="Q1369" s="461" t="s">
        <v>66</v>
      </c>
      <c r="R1369" s="385" t="s">
        <v>67</v>
      </c>
      <c r="S1369" s="385" t="s">
        <v>59</v>
      </c>
      <c r="T1369" s="375" t="s">
        <v>68</v>
      </c>
      <c r="U1369" s="375" t="s">
        <v>14</v>
      </c>
      <c r="V1369" s="375" t="s">
        <v>14</v>
      </c>
      <c r="W1369" s="376" t="s">
        <v>30</v>
      </c>
      <c r="X1369" s="388" t="s">
        <v>69</v>
      </c>
      <c r="Y1369" s="388" t="s">
        <v>70</v>
      </c>
      <c r="Z1369" s="377" t="s">
        <v>71</v>
      </c>
      <c r="AA1369" s="377" t="s">
        <v>72</v>
      </c>
      <c r="AB1369" s="460" t="s">
        <v>59</v>
      </c>
    </row>
    <row r="1370" spans="1:28" s="457" customFormat="1" ht="18" customHeight="1" x14ac:dyDescent="0.2">
      <c r="A1370" s="2692"/>
      <c r="B1370" s="390"/>
      <c r="C1370" s="2692"/>
      <c r="D1370" s="390"/>
      <c r="E1370" s="389"/>
      <c r="F1370" s="390"/>
      <c r="G1370" s="390"/>
      <c r="H1370" s="391"/>
      <c r="I1370" s="389"/>
      <c r="J1370" s="393"/>
      <c r="K1370" s="393"/>
      <c r="L1370" s="2681"/>
      <c r="M1370" s="394"/>
      <c r="N1370" s="394"/>
      <c r="O1370" s="394" t="s">
        <v>63</v>
      </c>
      <c r="P1370" s="394"/>
      <c r="Q1370" s="450" t="s">
        <v>72</v>
      </c>
      <c r="R1370" s="398" t="s">
        <v>59</v>
      </c>
      <c r="S1370" s="398"/>
      <c r="T1370" s="398" t="s">
        <v>73</v>
      </c>
      <c r="U1370" s="398" t="s">
        <v>59</v>
      </c>
      <c r="V1370" s="399" t="s">
        <v>59</v>
      </c>
      <c r="W1370" s="400" t="s">
        <v>59</v>
      </c>
      <c r="X1370" s="401" t="s">
        <v>59</v>
      </c>
      <c r="Y1370" s="401" t="s">
        <v>59</v>
      </c>
      <c r="Z1370" s="401" t="s">
        <v>59</v>
      </c>
      <c r="AA1370" s="402"/>
      <c r="AB1370" s="462"/>
    </row>
    <row r="1371" spans="1:28" s="597" customFormat="1" ht="18" customHeight="1" x14ac:dyDescent="0.2">
      <c r="A1371" s="53">
        <v>1</v>
      </c>
      <c r="B1371" s="95">
        <v>36105</v>
      </c>
      <c r="C1371" s="82">
        <v>1096</v>
      </c>
      <c r="D1371" s="82" t="s">
        <v>86</v>
      </c>
      <c r="E1371" s="145">
        <v>4</v>
      </c>
      <c r="F1371" s="82">
        <v>0</v>
      </c>
      <c r="G1371" s="82">
        <v>0</v>
      </c>
      <c r="H1371" s="463">
        <v>97</v>
      </c>
      <c r="I1371" s="77">
        <f>F1371*400+G1371*100+H1371</f>
        <v>97</v>
      </c>
      <c r="J1371" s="107">
        <v>275</v>
      </c>
      <c r="K1371" s="78">
        <f>SUM(I1371*J1371)</f>
        <v>26675</v>
      </c>
      <c r="L1371" s="75"/>
      <c r="M1371" s="82"/>
      <c r="N1371" s="153"/>
      <c r="O1371" s="68"/>
      <c r="P1371" s="1105"/>
      <c r="Q1371" s="1106"/>
      <c r="R1371" s="1107"/>
      <c r="S1371" s="123"/>
      <c r="T1371" s="153"/>
      <c r="U1371" s="1000"/>
      <c r="V1371" s="1000"/>
      <c r="W1371" s="123">
        <f>K1371+V1371</f>
        <v>26675</v>
      </c>
      <c r="X1371" s="1000">
        <f>W1371</f>
        <v>26675</v>
      </c>
      <c r="Y1371" s="801">
        <v>0</v>
      </c>
      <c r="Z1371" s="77">
        <f>+X1371</f>
        <v>26675</v>
      </c>
      <c r="AA1371" s="409">
        <v>0.6</v>
      </c>
      <c r="AB1371" s="465">
        <f>+Z1371*AA1371/100</f>
        <v>160.05000000000001</v>
      </c>
    </row>
    <row r="1372" spans="1:28" s="597" customFormat="1" ht="18" customHeight="1" x14ac:dyDescent="0.2">
      <c r="A1372" s="242">
        <v>2</v>
      </c>
      <c r="B1372" s="242">
        <v>36101</v>
      </c>
      <c r="C1372" s="496" t="s">
        <v>210</v>
      </c>
      <c r="D1372" s="88" t="s">
        <v>86</v>
      </c>
      <c r="E1372" s="85">
        <v>4</v>
      </c>
      <c r="F1372" s="411">
        <v>0</v>
      </c>
      <c r="G1372" s="242">
        <v>1</v>
      </c>
      <c r="H1372" s="497">
        <v>17</v>
      </c>
      <c r="I1372" s="77">
        <f>F1372*400+G1372*100+H1372</f>
        <v>117</v>
      </c>
      <c r="J1372" s="107">
        <v>275</v>
      </c>
      <c r="K1372" s="78">
        <f>SUM(I1372*J1372)</f>
        <v>32175</v>
      </c>
      <c r="L1372" s="75"/>
      <c r="M1372" s="145"/>
      <c r="N1372" s="88"/>
      <c r="O1372" s="88"/>
      <c r="P1372" s="281"/>
      <c r="Q1372" s="129"/>
      <c r="R1372" s="440"/>
      <c r="S1372" s="121"/>
      <c r="T1372" s="88"/>
      <c r="U1372" s="914"/>
      <c r="V1372" s="121"/>
      <c r="W1372" s="77">
        <f>K1372+V1372</f>
        <v>32175</v>
      </c>
      <c r="X1372" s="121">
        <f>W1372</f>
        <v>32175</v>
      </c>
      <c r="Y1372" s="121">
        <v>0</v>
      </c>
      <c r="Z1372" s="77">
        <f>+X1372</f>
        <v>32175</v>
      </c>
      <c r="AA1372" s="1828">
        <v>0.6</v>
      </c>
      <c r="AB1372" s="466">
        <f>+Z1372*AA1372/100</f>
        <v>193.05</v>
      </c>
    </row>
    <row r="1373" spans="1:28" s="457" customFormat="1" ht="18" customHeight="1" x14ac:dyDescent="0.2">
      <c r="A1373" s="242"/>
      <c r="B1373" s="145"/>
      <c r="C1373" s="496"/>
      <c r="D1373" s="145"/>
      <c r="E1373" s="102"/>
      <c r="F1373" s="499"/>
      <c r="G1373" s="241"/>
      <c r="H1373" s="500"/>
      <c r="I1373" s="77"/>
      <c r="J1373" s="107"/>
      <c r="K1373" s="78"/>
      <c r="L1373" s="61"/>
      <c r="M1373" s="145"/>
      <c r="N1373" s="145"/>
      <c r="O1373" s="61"/>
      <c r="P1373" s="177"/>
      <c r="Q1373" s="196"/>
      <c r="R1373" s="408"/>
      <c r="S1373" s="77"/>
      <c r="T1373" s="145"/>
      <c r="U1373" s="77"/>
      <c r="V1373" s="77"/>
      <c r="W1373" s="77"/>
      <c r="X1373" s="77"/>
      <c r="Y1373" s="77"/>
      <c r="Z1373" s="77"/>
      <c r="AA1373" s="409"/>
      <c r="AB1373" s="466"/>
    </row>
    <row r="1374" spans="1:28" s="457" customFormat="1" ht="18" customHeight="1" x14ac:dyDescent="0.2">
      <c r="A1374" s="242"/>
      <c r="B1374" s="242"/>
      <c r="C1374" s="496"/>
      <c r="D1374" s="144"/>
      <c r="E1374" s="85"/>
      <c r="F1374" s="411"/>
      <c r="G1374" s="242"/>
      <c r="H1374" s="497"/>
      <c r="I1374" s="77"/>
      <c r="J1374" s="107"/>
      <c r="K1374" s="78"/>
      <c r="L1374" s="242"/>
      <c r="M1374" s="242"/>
      <c r="N1374" s="242"/>
      <c r="O1374" s="242"/>
      <c r="P1374" s="497"/>
      <c r="Q1374" s="496"/>
      <c r="R1374" s="503"/>
      <c r="S1374" s="504"/>
      <c r="T1374" s="505"/>
      <c r="U1374" s="504"/>
      <c r="V1374" s="504"/>
      <c r="W1374" s="77"/>
      <c r="X1374" s="77"/>
      <c r="Y1374" s="77"/>
      <c r="Z1374" s="77"/>
      <c r="AA1374" s="409"/>
      <c r="AB1374" s="410"/>
    </row>
    <row r="1375" spans="1:28" s="457" customFormat="1" ht="18" customHeight="1" x14ac:dyDescent="0.2">
      <c r="A1375" s="242"/>
      <c r="B1375" s="242"/>
      <c r="C1375" s="496"/>
      <c r="D1375" s="88"/>
      <c r="E1375" s="85"/>
      <c r="F1375" s="411"/>
      <c r="G1375" s="242"/>
      <c r="H1375" s="497"/>
      <c r="I1375" s="77"/>
      <c r="J1375" s="107"/>
      <c r="K1375" s="78"/>
      <c r="L1375" s="242"/>
      <c r="M1375" s="242"/>
      <c r="N1375" s="242"/>
      <c r="O1375" s="242"/>
      <c r="P1375" s="497"/>
      <c r="Q1375" s="496"/>
      <c r="R1375" s="503"/>
      <c r="S1375" s="504"/>
      <c r="T1375" s="505"/>
      <c r="U1375" s="504"/>
      <c r="V1375" s="504"/>
      <c r="W1375" s="77"/>
      <c r="X1375" s="77"/>
      <c r="Y1375" s="77"/>
      <c r="Z1375" s="77"/>
      <c r="AA1375" s="409"/>
      <c r="AB1375" s="466"/>
    </row>
    <row r="1376" spans="1:28" s="457" customFormat="1" ht="18" customHeight="1" x14ac:dyDescent="0.2">
      <c r="A1376" s="242"/>
      <c r="B1376" s="242"/>
      <c r="C1376" s="496"/>
      <c r="D1376" s="144"/>
      <c r="E1376" s="88"/>
      <c r="F1376" s="411"/>
      <c r="G1376" s="242"/>
      <c r="H1376" s="497"/>
      <c r="I1376" s="77"/>
      <c r="J1376" s="107"/>
      <c r="K1376" s="78"/>
      <c r="L1376" s="242"/>
      <c r="M1376" s="242"/>
      <c r="N1376" s="242"/>
      <c r="O1376" s="242"/>
      <c r="P1376" s="497"/>
      <c r="Q1376" s="496"/>
      <c r="R1376" s="503"/>
      <c r="S1376" s="504"/>
      <c r="T1376" s="505"/>
      <c r="U1376" s="504"/>
      <c r="V1376" s="504"/>
      <c r="W1376" s="77"/>
      <c r="X1376" s="77"/>
      <c r="Y1376" s="77"/>
      <c r="Z1376" s="77"/>
      <c r="AA1376" s="409"/>
      <c r="AB1376" s="506"/>
    </row>
    <row r="1377" spans="1:28" s="457" customFormat="1" ht="18" customHeight="1" x14ac:dyDescent="0.2">
      <c r="A1377" s="242"/>
      <c r="B1377" s="242"/>
      <c r="C1377" s="496"/>
      <c r="D1377" s="88"/>
      <c r="E1377" s="231"/>
      <c r="F1377" s="411"/>
      <c r="G1377" s="242"/>
      <c r="H1377" s="497"/>
      <c r="I1377" s="77"/>
      <c r="J1377" s="107"/>
      <c r="K1377" s="78"/>
      <c r="L1377" s="242"/>
      <c r="M1377" s="242"/>
      <c r="N1377" s="242"/>
      <c r="O1377" s="242"/>
      <c r="P1377" s="497"/>
      <c r="Q1377" s="496"/>
      <c r="R1377" s="503"/>
      <c r="S1377" s="504"/>
      <c r="T1377" s="505"/>
      <c r="U1377" s="504"/>
      <c r="V1377" s="504"/>
      <c r="W1377" s="77"/>
      <c r="X1377" s="77"/>
      <c r="Y1377" s="77"/>
      <c r="Z1377" s="77"/>
      <c r="AA1377" s="409"/>
      <c r="AB1377" s="506"/>
    </row>
    <row r="1378" spans="1:28" s="457" customFormat="1" ht="18" customHeight="1" x14ac:dyDescent="0.2">
      <c r="A1378" s="242"/>
      <c r="B1378" s="242"/>
      <c r="C1378" s="496"/>
      <c r="D1378" s="231"/>
      <c r="E1378" s="144"/>
      <c r="F1378" s="411"/>
      <c r="G1378" s="242"/>
      <c r="H1378" s="497"/>
      <c r="I1378" s="77"/>
      <c r="J1378" s="107"/>
      <c r="K1378" s="78"/>
      <c r="L1378" s="242"/>
      <c r="M1378" s="242"/>
      <c r="N1378" s="242"/>
      <c r="O1378" s="242"/>
      <c r="P1378" s="497"/>
      <c r="Q1378" s="496"/>
      <c r="R1378" s="503"/>
      <c r="S1378" s="504"/>
      <c r="T1378" s="505"/>
      <c r="U1378" s="504"/>
      <c r="V1378" s="504"/>
      <c r="W1378" s="77"/>
      <c r="X1378" s="77"/>
      <c r="Y1378" s="77"/>
      <c r="Z1378" s="77"/>
      <c r="AA1378" s="409"/>
      <c r="AB1378" s="506"/>
    </row>
    <row r="1379" spans="1:28" s="457" customFormat="1" ht="18" customHeight="1" x14ac:dyDescent="0.2">
      <c r="A1379" s="242"/>
      <c r="B1379" s="242"/>
      <c r="C1379" s="496"/>
      <c r="D1379" s="144"/>
      <c r="E1379" s="144"/>
      <c r="F1379" s="411"/>
      <c r="G1379" s="242"/>
      <c r="H1379" s="497"/>
      <c r="I1379" s="77"/>
      <c r="J1379" s="107"/>
      <c r="K1379" s="78"/>
      <c r="L1379" s="242"/>
      <c r="M1379" s="242"/>
      <c r="N1379" s="242"/>
      <c r="O1379" s="242"/>
      <c r="P1379" s="497"/>
      <c r="Q1379" s="496"/>
      <c r="R1379" s="503"/>
      <c r="S1379" s="504"/>
      <c r="T1379" s="505"/>
      <c r="U1379" s="504"/>
      <c r="V1379" s="504"/>
      <c r="W1379" s="77"/>
      <c r="X1379" s="77"/>
      <c r="Y1379" s="77"/>
      <c r="Z1379" s="77"/>
      <c r="AA1379" s="409"/>
      <c r="AB1379" s="506"/>
    </row>
    <row r="1380" spans="1:28" s="457" customFormat="1" ht="18" customHeight="1" x14ac:dyDescent="0.2">
      <c r="A1380" s="242"/>
      <c r="B1380" s="242"/>
      <c r="C1380" s="496"/>
      <c r="D1380" s="88"/>
      <c r="E1380" s="144"/>
      <c r="F1380" s="411"/>
      <c r="G1380" s="242"/>
      <c r="H1380" s="497"/>
      <c r="I1380" s="77"/>
      <c r="J1380" s="107"/>
      <c r="K1380" s="78"/>
      <c r="L1380" s="242"/>
      <c r="M1380" s="242"/>
      <c r="N1380" s="242"/>
      <c r="O1380" s="242"/>
      <c r="P1380" s="497"/>
      <c r="Q1380" s="496"/>
      <c r="R1380" s="503"/>
      <c r="S1380" s="504"/>
      <c r="T1380" s="505"/>
      <c r="U1380" s="504"/>
      <c r="V1380" s="504"/>
      <c r="W1380" s="77"/>
      <c r="X1380" s="77"/>
      <c r="Y1380" s="77"/>
      <c r="Z1380" s="77"/>
      <c r="AA1380" s="409"/>
      <c r="AB1380" s="506"/>
    </row>
    <row r="1381" spans="1:28" s="457" customFormat="1" ht="18" customHeight="1" x14ac:dyDescent="0.2">
      <c r="A1381" s="242"/>
      <c r="B1381" s="242"/>
      <c r="C1381" s="496"/>
      <c r="D1381" s="231"/>
      <c r="E1381" s="88"/>
      <c r="F1381" s="411"/>
      <c r="G1381" s="242"/>
      <c r="H1381" s="497"/>
      <c r="I1381" s="77"/>
      <c r="J1381" s="107"/>
      <c r="K1381" s="78"/>
      <c r="L1381" s="242"/>
      <c r="M1381" s="242"/>
      <c r="N1381" s="242"/>
      <c r="O1381" s="242"/>
      <c r="P1381" s="497"/>
      <c r="Q1381" s="496"/>
      <c r="R1381" s="503"/>
      <c r="S1381" s="504"/>
      <c r="T1381" s="505"/>
      <c r="U1381" s="504"/>
      <c r="V1381" s="504"/>
      <c r="W1381" s="77"/>
      <c r="X1381" s="77"/>
      <c r="Y1381" s="77"/>
      <c r="Z1381" s="77"/>
      <c r="AA1381" s="409"/>
      <c r="AB1381" s="506"/>
    </row>
    <row r="1382" spans="1:28" s="457" customFormat="1" ht="18" customHeight="1" x14ac:dyDescent="0.2">
      <c r="A1382" s="242"/>
      <c r="B1382" s="242"/>
      <c r="C1382" s="496"/>
      <c r="D1382" s="144"/>
      <c r="E1382" s="88"/>
      <c r="F1382" s="411"/>
      <c r="G1382" s="242"/>
      <c r="H1382" s="497"/>
      <c r="I1382" s="77"/>
      <c r="J1382" s="107"/>
      <c r="K1382" s="78"/>
      <c r="L1382" s="242"/>
      <c r="M1382" s="242"/>
      <c r="N1382" s="242"/>
      <c r="O1382" s="242"/>
      <c r="P1382" s="497"/>
      <c r="Q1382" s="496"/>
      <c r="R1382" s="503"/>
      <c r="S1382" s="504"/>
      <c r="T1382" s="505"/>
      <c r="U1382" s="504"/>
      <c r="V1382" s="504"/>
      <c r="W1382" s="77"/>
      <c r="X1382" s="77"/>
      <c r="Y1382" s="77"/>
      <c r="Z1382" s="77"/>
      <c r="AA1382" s="409"/>
      <c r="AB1382" s="506"/>
    </row>
    <row r="1383" spans="1:28" s="457" customFormat="1" ht="18" customHeight="1" x14ac:dyDescent="0.2">
      <c r="A1383" s="242"/>
      <c r="B1383" s="242"/>
      <c r="C1383" s="496"/>
      <c r="D1383" s="88"/>
      <c r="E1383" s="231"/>
      <c r="F1383" s="411"/>
      <c r="G1383" s="242"/>
      <c r="H1383" s="497"/>
      <c r="I1383" s="77"/>
      <c r="J1383" s="107"/>
      <c r="K1383" s="78"/>
      <c r="L1383" s="242"/>
      <c r="M1383" s="242"/>
      <c r="N1383" s="242"/>
      <c r="O1383" s="242"/>
      <c r="P1383" s="497"/>
      <c r="Q1383" s="496"/>
      <c r="R1383" s="503"/>
      <c r="S1383" s="504"/>
      <c r="T1383" s="505"/>
      <c r="U1383" s="504"/>
      <c r="V1383" s="504"/>
      <c r="W1383" s="77"/>
      <c r="X1383" s="77"/>
      <c r="Y1383" s="77"/>
      <c r="Z1383" s="77"/>
      <c r="AA1383" s="409"/>
      <c r="AB1383" s="506"/>
    </row>
    <row r="1384" spans="1:28" s="457" customFormat="1" ht="18" customHeight="1" x14ac:dyDescent="0.2">
      <c r="A1384" s="242"/>
      <c r="B1384" s="242"/>
      <c r="C1384" s="496"/>
      <c r="D1384" s="88"/>
      <c r="E1384" s="144"/>
      <c r="F1384" s="411"/>
      <c r="G1384" s="242"/>
      <c r="H1384" s="497"/>
      <c r="I1384" s="77"/>
      <c r="J1384" s="107"/>
      <c r="K1384" s="78"/>
      <c r="L1384" s="242"/>
      <c r="M1384" s="242"/>
      <c r="N1384" s="242"/>
      <c r="O1384" s="242"/>
      <c r="P1384" s="497"/>
      <c r="Q1384" s="496"/>
      <c r="R1384" s="503"/>
      <c r="S1384" s="504"/>
      <c r="T1384" s="505"/>
      <c r="U1384" s="504"/>
      <c r="V1384" s="504"/>
      <c r="W1384" s="77"/>
      <c r="X1384" s="77"/>
      <c r="Y1384" s="77"/>
      <c r="Z1384" s="77"/>
      <c r="AA1384" s="409"/>
      <c r="AB1384" s="506"/>
    </row>
    <row r="1385" spans="1:28" s="457" customFormat="1" ht="18" customHeight="1" x14ac:dyDescent="0.2">
      <c r="A1385" s="242"/>
      <c r="B1385" s="242"/>
      <c r="C1385" s="496"/>
      <c r="D1385" s="88"/>
      <c r="E1385" s="88"/>
      <c r="F1385" s="411"/>
      <c r="G1385" s="242"/>
      <c r="H1385" s="497"/>
      <c r="I1385" s="77"/>
      <c r="J1385" s="107"/>
      <c r="K1385" s="78"/>
      <c r="L1385" s="242"/>
      <c r="M1385" s="242"/>
      <c r="N1385" s="242"/>
      <c r="O1385" s="242"/>
      <c r="P1385" s="497"/>
      <c r="Q1385" s="496"/>
      <c r="R1385" s="503"/>
      <c r="S1385" s="504"/>
      <c r="T1385" s="505"/>
      <c r="U1385" s="504"/>
      <c r="V1385" s="504"/>
      <c r="W1385" s="77"/>
      <c r="X1385" s="77"/>
      <c r="Y1385" s="77"/>
      <c r="Z1385" s="77"/>
      <c r="AA1385" s="409"/>
      <c r="AB1385" s="506"/>
    </row>
    <row r="1386" spans="1:28" s="597" customFormat="1" ht="18" customHeight="1" x14ac:dyDescent="0.2">
      <c r="A1386" s="1850"/>
      <c r="B1386" s="1850"/>
      <c r="C1386" s="1850"/>
      <c r="D1386" s="1850"/>
      <c r="E1386" s="1850"/>
      <c r="F1386" s="1850"/>
      <c r="G1386" s="1850"/>
      <c r="H1386" s="1851"/>
      <c r="I1386" s="1852"/>
      <c r="J1386" s="1853"/>
      <c r="K1386" s="1852"/>
      <c r="L1386" s="1852"/>
      <c r="M1386" s="1852"/>
      <c r="N1386" s="1852"/>
      <c r="O1386" s="1852"/>
      <c r="P1386" s="1852"/>
      <c r="Q1386" s="1852"/>
      <c r="R1386" s="1854"/>
      <c r="S1386" s="1852"/>
      <c r="T1386" s="1855"/>
      <c r="U1386" s="1853"/>
      <c r="V1386" s="1852"/>
      <c r="W1386" s="1852"/>
      <c r="X1386" s="1856"/>
      <c r="Y1386" s="1856"/>
      <c r="Z1386" s="1857"/>
      <c r="AA1386" s="1857"/>
      <c r="AB1386" s="1847">
        <f>SUM(AB1371:AB1385)</f>
        <v>353.1</v>
      </c>
    </row>
    <row r="1387" spans="1:28" s="457" customFormat="1" ht="18" customHeight="1" x14ac:dyDescent="0.2">
      <c r="A1387" s="2737" t="s">
        <v>76</v>
      </c>
      <c r="B1387" s="2737"/>
      <c r="C1387" s="2738" t="s">
        <v>77</v>
      </c>
      <c r="D1387" s="2738"/>
      <c r="E1387" s="2738"/>
      <c r="F1387" s="2738"/>
      <c r="G1387" s="2738"/>
      <c r="H1387" s="2738"/>
      <c r="I1387" s="457" t="s">
        <v>78</v>
      </c>
      <c r="AB1387" s="478"/>
    </row>
    <row r="1388" spans="1:28" s="457" customFormat="1" ht="18" customHeight="1" x14ac:dyDescent="0.2">
      <c r="B1388" s="479"/>
      <c r="I1388" s="457" t="s">
        <v>79</v>
      </c>
      <c r="AB1388" s="478"/>
    </row>
    <row r="1389" spans="1:28" s="457" customFormat="1" ht="18" customHeight="1" x14ac:dyDescent="0.2">
      <c r="B1389" s="479"/>
      <c r="I1389" s="457" t="s">
        <v>80</v>
      </c>
      <c r="AB1389" s="478"/>
    </row>
    <row r="1390" spans="1:28" s="457" customFormat="1" ht="18" customHeight="1" x14ac:dyDescent="0.2">
      <c r="B1390" s="479"/>
      <c r="I1390" s="457" t="s">
        <v>81</v>
      </c>
      <c r="AB1390" s="478"/>
    </row>
    <row r="1391" spans="1:28" s="457" customFormat="1" ht="18" customHeight="1" x14ac:dyDescent="0.2">
      <c r="B1391" s="479"/>
      <c r="I1391" s="457" t="s">
        <v>88</v>
      </c>
      <c r="AB1391" s="478"/>
    </row>
    <row r="1392" spans="1:28" s="457" customFormat="1" ht="18" customHeight="1" x14ac:dyDescent="0.2">
      <c r="A1392" s="455"/>
      <c r="B1392" s="455"/>
      <c r="C1392" s="455"/>
      <c r="D1392" s="455"/>
      <c r="E1392" s="455"/>
      <c r="F1392" s="455"/>
      <c r="G1392" s="455"/>
      <c r="H1392" s="455"/>
      <c r="I1392" s="455"/>
      <c r="J1392" s="455"/>
      <c r="K1392" s="455"/>
      <c r="L1392" s="455"/>
      <c r="M1392" s="455"/>
      <c r="N1392" s="455"/>
      <c r="O1392" s="455"/>
      <c r="P1392" s="455"/>
      <c r="Q1392" s="455"/>
      <c r="R1392" s="455"/>
      <c r="S1392" s="455"/>
      <c r="T1392" s="455"/>
      <c r="U1392" s="455"/>
      <c r="V1392" s="455"/>
      <c r="W1392" s="455"/>
      <c r="X1392" s="455"/>
      <c r="Y1392" s="455"/>
      <c r="Z1392" s="455"/>
      <c r="AA1392" s="2705" t="s">
        <v>0</v>
      </c>
      <c r="AB1392" s="2705"/>
    </row>
    <row r="1393" spans="1:28" s="457" customFormat="1" ht="18" customHeight="1" x14ac:dyDescent="0.2">
      <c r="A1393" s="2706" t="s">
        <v>1</v>
      </c>
      <c r="B1393" s="2706"/>
      <c r="C1393" s="2706"/>
      <c r="D1393" s="2706"/>
      <c r="E1393" s="2706"/>
      <c r="F1393" s="2706"/>
      <c r="G1393" s="2706"/>
      <c r="H1393" s="2706"/>
      <c r="I1393" s="2706"/>
      <c r="J1393" s="2706"/>
      <c r="K1393" s="2706"/>
      <c r="L1393" s="2706"/>
      <c r="M1393" s="2706"/>
      <c r="N1393" s="2706"/>
      <c r="O1393" s="2706"/>
      <c r="P1393" s="2706"/>
      <c r="Q1393" s="2706"/>
      <c r="R1393" s="2706"/>
      <c r="S1393" s="2706"/>
      <c r="T1393" s="2706"/>
      <c r="U1393" s="2706"/>
      <c r="V1393" s="2706"/>
      <c r="W1393" s="2706"/>
      <c r="X1393" s="2706"/>
      <c r="Y1393" s="2706"/>
      <c r="Z1393" s="2706"/>
      <c r="AA1393" s="2706"/>
      <c r="AB1393" s="2706"/>
    </row>
    <row r="1394" spans="1:28" s="457" customFormat="1" ht="18" customHeight="1" x14ac:dyDescent="0.2">
      <c r="A1394" s="2704" t="s">
        <v>414</v>
      </c>
      <c r="B1394" s="2704"/>
      <c r="C1394" s="2704"/>
      <c r="D1394" s="2704"/>
      <c r="E1394" s="2704"/>
      <c r="F1394" s="2704"/>
      <c r="G1394" s="2704"/>
      <c r="H1394" s="2704"/>
      <c r="I1394" s="2704"/>
      <c r="J1394" s="2704"/>
      <c r="K1394" s="2704"/>
      <c r="L1394" s="2704"/>
      <c r="M1394" s="2704"/>
      <c r="N1394" s="2704"/>
      <c r="O1394" s="2704"/>
      <c r="P1394" s="2704"/>
      <c r="Q1394" s="2704"/>
      <c r="R1394" s="2704"/>
      <c r="S1394" s="2704"/>
      <c r="T1394" s="2704"/>
      <c r="U1394" s="2704"/>
      <c r="V1394" s="2704"/>
      <c r="W1394" s="2704"/>
      <c r="X1394" s="2704"/>
      <c r="Y1394" s="2704"/>
      <c r="Z1394" s="2704"/>
      <c r="AA1394" s="2704"/>
      <c r="AB1394" s="2704"/>
    </row>
    <row r="1395" spans="1:28" s="457" customFormat="1" ht="18" customHeight="1" x14ac:dyDescent="0.2">
      <c r="A1395" s="2686" t="s">
        <v>2</v>
      </c>
      <c r="B1395" s="360"/>
      <c r="C1395" s="2686" t="s">
        <v>3</v>
      </c>
      <c r="D1395" s="360"/>
      <c r="E1395" s="360"/>
      <c r="F1395" s="2693" t="s">
        <v>4</v>
      </c>
      <c r="G1395" s="2693"/>
      <c r="H1395" s="2693"/>
      <c r="I1395" s="2694"/>
      <c r="J1395" s="2694"/>
      <c r="K1395" s="2695"/>
      <c r="L1395" s="361"/>
      <c r="M1395" s="2679" t="s">
        <v>5</v>
      </c>
      <c r="N1395" s="2679"/>
      <c r="O1395" s="2679"/>
      <c r="P1395" s="2679"/>
      <c r="Q1395" s="2696"/>
      <c r="R1395" s="2696"/>
      <c r="S1395" s="2696"/>
      <c r="T1395" s="2696"/>
      <c r="U1395" s="2696"/>
      <c r="V1395" s="2697"/>
      <c r="W1395" s="362" t="s">
        <v>6</v>
      </c>
      <c r="X1395" s="363" t="s">
        <v>7</v>
      </c>
      <c r="Y1395" s="364"/>
      <c r="Z1395" s="364"/>
      <c r="AA1395" s="363"/>
      <c r="AB1395" s="458"/>
    </row>
    <row r="1396" spans="1:28" s="457" customFormat="1" ht="18" customHeight="1" x14ac:dyDescent="0.2">
      <c r="A1396" s="2687"/>
      <c r="B1396" s="367"/>
      <c r="C1396" s="2687"/>
      <c r="D1396" s="366" t="s">
        <v>9</v>
      </c>
      <c r="E1396" s="366" t="s">
        <v>10</v>
      </c>
      <c r="F1396" s="2698" t="s">
        <v>11</v>
      </c>
      <c r="G1396" s="2694"/>
      <c r="H1396" s="2695"/>
      <c r="I1396" s="360"/>
      <c r="J1396" s="449" t="s">
        <v>12</v>
      </c>
      <c r="K1396" s="360"/>
      <c r="L1396" s="2679" t="s">
        <v>2</v>
      </c>
      <c r="M1396" s="370"/>
      <c r="N1396" s="370"/>
      <c r="O1396" s="370"/>
      <c r="P1396" s="371"/>
      <c r="Q1396" s="459" t="s">
        <v>13</v>
      </c>
      <c r="R1396" s="370" t="s">
        <v>12</v>
      </c>
      <c r="S1396" s="370" t="s">
        <v>6</v>
      </c>
      <c r="T1396" s="2682" t="s">
        <v>14</v>
      </c>
      <c r="U1396" s="2683"/>
      <c r="V1396" s="375" t="s">
        <v>7</v>
      </c>
      <c r="W1396" s="376" t="s">
        <v>15</v>
      </c>
      <c r="X1396" s="377" t="s">
        <v>16</v>
      </c>
      <c r="Y1396" s="377" t="s">
        <v>17</v>
      </c>
      <c r="Z1396" s="377" t="s">
        <v>18</v>
      </c>
      <c r="AA1396" s="377"/>
      <c r="AB1396" s="460" t="s">
        <v>19</v>
      </c>
    </row>
    <row r="1397" spans="1:28" s="457" customFormat="1" ht="18" customHeight="1" x14ac:dyDescent="0.2">
      <c r="A1397" s="2687"/>
      <c r="B1397" s="366" t="s">
        <v>23</v>
      </c>
      <c r="C1397" s="2687"/>
      <c r="D1397" s="366" t="s">
        <v>24</v>
      </c>
      <c r="E1397" s="366" t="s">
        <v>25</v>
      </c>
      <c r="F1397" s="2699"/>
      <c r="G1397" s="2700"/>
      <c r="H1397" s="2701"/>
      <c r="I1397" s="366" t="s">
        <v>26</v>
      </c>
      <c r="J1397" s="380" t="s">
        <v>15</v>
      </c>
      <c r="K1397" s="380" t="s">
        <v>6</v>
      </c>
      <c r="L1397" s="2680"/>
      <c r="M1397" s="381" t="s">
        <v>27</v>
      </c>
      <c r="N1397" s="381" t="s">
        <v>10</v>
      </c>
      <c r="O1397" s="381" t="s">
        <v>10</v>
      </c>
      <c r="P1397" s="385" t="s">
        <v>28</v>
      </c>
      <c r="Q1397" s="461" t="s">
        <v>29</v>
      </c>
      <c r="R1397" s="385" t="s">
        <v>15</v>
      </c>
      <c r="S1397" s="385" t="s">
        <v>15</v>
      </c>
      <c r="T1397" s="2684"/>
      <c r="U1397" s="2685"/>
      <c r="V1397" s="375" t="s">
        <v>30</v>
      </c>
      <c r="W1397" s="376" t="s">
        <v>31</v>
      </c>
      <c r="X1397" s="377" t="s">
        <v>30</v>
      </c>
      <c r="Y1397" s="377" t="s">
        <v>32</v>
      </c>
      <c r="Z1397" s="377" t="s">
        <v>7</v>
      </c>
      <c r="AA1397" s="377" t="s">
        <v>33</v>
      </c>
      <c r="AB1397" s="460" t="s">
        <v>34</v>
      </c>
    </row>
    <row r="1398" spans="1:28" s="457" customFormat="1" ht="18" customHeight="1" x14ac:dyDescent="0.2">
      <c r="A1398" s="2687"/>
      <c r="B1398" s="366" t="s">
        <v>39</v>
      </c>
      <c r="C1398" s="2687"/>
      <c r="D1398" s="366" t="s">
        <v>40</v>
      </c>
      <c r="E1398" s="366" t="s">
        <v>41</v>
      </c>
      <c r="F1398" s="2686" t="s">
        <v>42</v>
      </c>
      <c r="G1398" s="2686" t="s">
        <v>43</v>
      </c>
      <c r="H1398" s="2688" t="s">
        <v>44</v>
      </c>
      <c r="I1398" s="366" t="s">
        <v>45</v>
      </c>
      <c r="J1398" s="380" t="s">
        <v>46</v>
      </c>
      <c r="K1398" s="380" t="s">
        <v>47</v>
      </c>
      <c r="L1398" s="2680"/>
      <c r="M1398" s="381" t="s">
        <v>30</v>
      </c>
      <c r="N1398" s="381" t="s">
        <v>30</v>
      </c>
      <c r="O1398" s="381" t="s">
        <v>25</v>
      </c>
      <c r="P1398" s="385" t="s">
        <v>30</v>
      </c>
      <c r="Q1398" s="461" t="s">
        <v>48</v>
      </c>
      <c r="R1398" s="385" t="s">
        <v>49</v>
      </c>
      <c r="S1398" s="385" t="s">
        <v>30</v>
      </c>
      <c r="T1398" s="374" t="s">
        <v>50</v>
      </c>
      <c r="U1398" s="374" t="s">
        <v>13</v>
      </c>
      <c r="V1398" s="375" t="s">
        <v>51</v>
      </c>
      <c r="W1398" s="376" t="s">
        <v>52</v>
      </c>
      <c r="X1398" s="377" t="s">
        <v>53</v>
      </c>
      <c r="Y1398" s="377" t="s">
        <v>54</v>
      </c>
      <c r="Z1398" s="377" t="s">
        <v>55</v>
      </c>
      <c r="AA1398" s="377" t="s">
        <v>56</v>
      </c>
      <c r="AB1398" s="460" t="s">
        <v>57</v>
      </c>
    </row>
    <row r="1399" spans="1:28" s="457" customFormat="1" ht="18" customHeight="1" x14ac:dyDescent="0.2">
      <c r="A1399" s="2687"/>
      <c r="B1399" s="366" t="s">
        <v>61</v>
      </c>
      <c r="C1399" s="2687"/>
      <c r="D1399" s="366" t="s">
        <v>62</v>
      </c>
      <c r="E1399" s="366" t="s">
        <v>63</v>
      </c>
      <c r="F1399" s="2687"/>
      <c r="G1399" s="2687"/>
      <c r="H1399" s="2689"/>
      <c r="I1399" s="366" t="s">
        <v>64</v>
      </c>
      <c r="J1399" s="380" t="s">
        <v>59</v>
      </c>
      <c r="K1399" s="380" t="s">
        <v>59</v>
      </c>
      <c r="L1399" s="2680"/>
      <c r="M1399" s="381"/>
      <c r="N1399" s="381"/>
      <c r="O1399" s="381" t="s">
        <v>41</v>
      </c>
      <c r="P1399" s="385" t="s">
        <v>65</v>
      </c>
      <c r="Q1399" s="461" t="s">
        <v>66</v>
      </c>
      <c r="R1399" s="385" t="s">
        <v>67</v>
      </c>
      <c r="S1399" s="385" t="s">
        <v>59</v>
      </c>
      <c r="T1399" s="375" t="s">
        <v>68</v>
      </c>
      <c r="U1399" s="375" t="s">
        <v>14</v>
      </c>
      <c r="V1399" s="375" t="s">
        <v>14</v>
      </c>
      <c r="W1399" s="376" t="s">
        <v>30</v>
      </c>
      <c r="X1399" s="388" t="s">
        <v>69</v>
      </c>
      <c r="Y1399" s="388" t="s">
        <v>70</v>
      </c>
      <c r="Z1399" s="377" t="s">
        <v>71</v>
      </c>
      <c r="AA1399" s="377" t="s">
        <v>72</v>
      </c>
      <c r="AB1399" s="460" t="s">
        <v>59</v>
      </c>
    </row>
    <row r="1400" spans="1:28" s="457" customFormat="1" ht="18" customHeight="1" x14ac:dyDescent="0.2">
      <c r="A1400" s="2692"/>
      <c r="B1400" s="390"/>
      <c r="C1400" s="2692"/>
      <c r="D1400" s="390"/>
      <c r="E1400" s="389"/>
      <c r="F1400" s="390"/>
      <c r="G1400" s="390"/>
      <c r="H1400" s="391"/>
      <c r="I1400" s="389"/>
      <c r="J1400" s="393"/>
      <c r="K1400" s="393"/>
      <c r="L1400" s="2681"/>
      <c r="M1400" s="394"/>
      <c r="N1400" s="394"/>
      <c r="O1400" s="394" t="s">
        <v>63</v>
      </c>
      <c r="P1400" s="394"/>
      <c r="Q1400" s="450" t="s">
        <v>72</v>
      </c>
      <c r="R1400" s="398" t="s">
        <v>59</v>
      </c>
      <c r="S1400" s="398"/>
      <c r="T1400" s="398" t="s">
        <v>73</v>
      </c>
      <c r="U1400" s="398" t="s">
        <v>59</v>
      </c>
      <c r="V1400" s="399" t="s">
        <v>59</v>
      </c>
      <c r="W1400" s="400" t="s">
        <v>59</v>
      </c>
      <c r="X1400" s="401" t="s">
        <v>59</v>
      </c>
      <c r="Y1400" s="401" t="s">
        <v>59</v>
      </c>
      <c r="Z1400" s="401" t="s">
        <v>59</v>
      </c>
      <c r="AA1400" s="402"/>
      <c r="AB1400" s="462"/>
    </row>
    <row r="1401" spans="1:28" s="597" customFormat="1" ht="18" customHeight="1" x14ac:dyDescent="0.2">
      <c r="A1401" s="53">
        <v>1</v>
      </c>
      <c r="B1401" s="95">
        <v>38451</v>
      </c>
      <c r="C1401" s="82">
        <v>1144</v>
      </c>
      <c r="D1401" s="82" t="s">
        <v>86</v>
      </c>
      <c r="E1401" s="82">
        <v>4</v>
      </c>
      <c r="F1401" s="82">
        <v>0</v>
      </c>
      <c r="G1401" s="82">
        <v>0</v>
      </c>
      <c r="H1401" s="463">
        <v>48</v>
      </c>
      <c r="I1401" s="70">
        <f>F1401*400+G1401*100+H1401</f>
        <v>48</v>
      </c>
      <c r="J1401" s="123">
        <v>2300</v>
      </c>
      <c r="K1401" s="124">
        <f>SUM(I1401*J1401)</f>
        <v>110400</v>
      </c>
      <c r="L1401" s="53"/>
      <c r="M1401" s="82"/>
      <c r="N1401" s="82"/>
      <c r="O1401" s="53"/>
      <c r="P1401" s="358"/>
      <c r="Q1401" s="197"/>
      <c r="R1401" s="444"/>
      <c r="S1401" s="70"/>
      <c r="T1401" s="82"/>
      <c r="U1401" s="70"/>
      <c r="V1401" s="70"/>
      <c r="W1401" s="70">
        <f>K1401+V1401</f>
        <v>110400</v>
      </c>
      <c r="X1401" s="70">
        <f>W1401</f>
        <v>110400</v>
      </c>
      <c r="Y1401" s="123">
        <v>0</v>
      </c>
      <c r="Z1401" s="70">
        <f>+X1401</f>
        <v>110400</v>
      </c>
      <c r="AA1401" s="464">
        <v>0.6</v>
      </c>
      <c r="AB1401" s="465">
        <f>+Z1401*AA1401/100</f>
        <v>662.4</v>
      </c>
    </row>
    <row r="1402" spans="1:28" s="457" customFormat="1" ht="18" customHeight="1" x14ac:dyDescent="0.2">
      <c r="A1402" s="242"/>
      <c r="B1402" s="242"/>
      <c r="C1402" s="496"/>
      <c r="D1402" s="88"/>
      <c r="E1402" s="85"/>
      <c r="F1402" s="411"/>
      <c r="G1402" s="242"/>
      <c r="H1402" s="497"/>
      <c r="I1402" s="77"/>
      <c r="J1402" s="107"/>
      <c r="K1402" s="78"/>
      <c r="L1402" s="75"/>
      <c r="M1402" s="145"/>
      <c r="N1402" s="88"/>
      <c r="O1402" s="88"/>
      <c r="P1402" s="281"/>
      <c r="Q1402" s="129"/>
      <c r="R1402" s="440"/>
      <c r="S1402" s="121"/>
      <c r="T1402" s="88"/>
      <c r="U1402" s="914"/>
      <c r="V1402" s="121"/>
      <c r="W1402" s="77"/>
      <c r="X1402" s="121"/>
      <c r="Y1402" s="121"/>
      <c r="Z1402" s="77"/>
      <c r="AA1402" s="409"/>
      <c r="AB1402" s="915"/>
    </row>
    <row r="1403" spans="1:28" s="457" customFormat="1" ht="18" customHeight="1" x14ac:dyDescent="0.2">
      <c r="A1403" s="242"/>
      <c r="B1403" s="145"/>
      <c r="C1403" s="496"/>
      <c r="D1403" s="145"/>
      <c r="E1403" s="102"/>
      <c r="F1403" s="499"/>
      <c r="G1403" s="241"/>
      <c r="H1403" s="500"/>
      <c r="I1403" s="77"/>
      <c r="J1403" s="107"/>
      <c r="K1403" s="78"/>
      <c r="L1403" s="61"/>
      <c r="M1403" s="145"/>
      <c r="N1403" s="145"/>
      <c r="O1403" s="61"/>
      <c r="P1403" s="177"/>
      <c r="Q1403" s="196"/>
      <c r="R1403" s="408"/>
      <c r="S1403" s="77"/>
      <c r="T1403" s="145"/>
      <c r="U1403" s="77"/>
      <c r="V1403" s="77"/>
      <c r="W1403" s="77"/>
      <c r="X1403" s="77"/>
      <c r="Y1403" s="77"/>
      <c r="Z1403" s="77"/>
      <c r="AA1403" s="409"/>
      <c r="AB1403" s="466"/>
    </row>
    <row r="1404" spans="1:28" s="457" customFormat="1" ht="18" customHeight="1" x14ac:dyDescent="0.2">
      <c r="A1404" s="242"/>
      <c r="B1404" s="242"/>
      <c r="C1404" s="496"/>
      <c r="D1404" s="144"/>
      <c r="E1404" s="85"/>
      <c r="F1404" s="411"/>
      <c r="G1404" s="242"/>
      <c r="H1404" s="497"/>
      <c r="I1404" s="77"/>
      <c r="J1404" s="107"/>
      <c r="K1404" s="78"/>
      <c r="L1404" s="242"/>
      <c r="M1404" s="242"/>
      <c r="N1404" s="242"/>
      <c r="O1404" s="242"/>
      <c r="P1404" s="497"/>
      <c r="Q1404" s="496"/>
      <c r="R1404" s="503"/>
      <c r="S1404" s="504"/>
      <c r="T1404" s="505"/>
      <c r="U1404" s="504"/>
      <c r="V1404" s="504"/>
      <c r="W1404" s="77"/>
      <c r="X1404" s="77"/>
      <c r="Y1404" s="77"/>
      <c r="Z1404" s="77"/>
      <c r="AA1404" s="409"/>
      <c r="AB1404" s="410"/>
    </row>
    <row r="1405" spans="1:28" s="457" customFormat="1" ht="18" customHeight="1" x14ac:dyDescent="0.2">
      <c r="A1405" s="242"/>
      <c r="B1405" s="242"/>
      <c r="C1405" s="496"/>
      <c r="D1405" s="88"/>
      <c r="E1405" s="85"/>
      <c r="F1405" s="411"/>
      <c r="G1405" s="242"/>
      <c r="H1405" s="497"/>
      <c r="I1405" s="77"/>
      <c r="J1405" s="107"/>
      <c r="K1405" s="78"/>
      <c r="L1405" s="242"/>
      <c r="M1405" s="242"/>
      <c r="N1405" s="242"/>
      <c r="O1405" s="242"/>
      <c r="P1405" s="497"/>
      <c r="Q1405" s="496"/>
      <c r="R1405" s="503"/>
      <c r="S1405" s="504"/>
      <c r="T1405" s="505"/>
      <c r="U1405" s="504"/>
      <c r="V1405" s="504"/>
      <c r="W1405" s="77"/>
      <c r="X1405" s="77"/>
      <c r="Y1405" s="77"/>
      <c r="Z1405" s="77"/>
      <c r="AA1405" s="409"/>
      <c r="AB1405" s="466"/>
    </row>
    <row r="1406" spans="1:28" s="457" customFormat="1" ht="18" customHeight="1" x14ac:dyDescent="0.2">
      <c r="A1406" s="242"/>
      <c r="B1406" s="242"/>
      <c r="C1406" s="496"/>
      <c r="D1406" s="144"/>
      <c r="E1406" s="88"/>
      <c r="F1406" s="411"/>
      <c r="G1406" s="242"/>
      <c r="H1406" s="497"/>
      <c r="I1406" s="77"/>
      <c r="J1406" s="107"/>
      <c r="K1406" s="78"/>
      <c r="L1406" s="242"/>
      <c r="M1406" s="242"/>
      <c r="N1406" s="242"/>
      <c r="O1406" s="242"/>
      <c r="P1406" s="497"/>
      <c r="Q1406" s="496"/>
      <c r="R1406" s="503"/>
      <c r="S1406" s="504"/>
      <c r="T1406" s="505"/>
      <c r="U1406" s="504"/>
      <c r="V1406" s="504"/>
      <c r="W1406" s="77"/>
      <c r="X1406" s="77"/>
      <c r="Y1406" s="77"/>
      <c r="Z1406" s="77"/>
      <c r="AA1406" s="409"/>
      <c r="AB1406" s="506"/>
    </row>
    <row r="1407" spans="1:28" s="457" customFormat="1" ht="18" customHeight="1" x14ac:dyDescent="0.2">
      <c r="A1407" s="242"/>
      <c r="B1407" s="242"/>
      <c r="C1407" s="496"/>
      <c r="D1407" s="88"/>
      <c r="E1407" s="231"/>
      <c r="F1407" s="411"/>
      <c r="G1407" s="242"/>
      <c r="H1407" s="497"/>
      <c r="I1407" s="77"/>
      <c r="J1407" s="107"/>
      <c r="K1407" s="78"/>
      <c r="L1407" s="242"/>
      <c r="M1407" s="242"/>
      <c r="N1407" s="242"/>
      <c r="O1407" s="242"/>
      <c r="P1407" s="497"/>
      <c r="Q1407" s="496"/>
      <c r="R1407" s="503"/>
      <c r="S1407" s="504"/>
      <c r="T1407" s="505"/>
      <c r="U1407" s="504"/>
      <c r="V1407" s="504"/>
      <c r="W1407" s="77"/>
      <c r="X1407" s="77"/>
      <c r="Y1407" s="77"/>
      <c r="Z1407" s="77"/>
      <c r="AA1407" s="409"/>
      <c r="AB1407" s="506"/>
    </row>
    <row r="1408" spans="1:28" s="457" customFormat="1" ht="18" customHeight="1" x14ac:dyDescent="0.2">
      <c r="A1408" s="242"/>
      <c r="B1408" s="242"/>
      <c r="C1408" s="496"/>
      <c r="D1408" s="231"/>
      <c r="E1408" s="144"/>
      <c r="F1408" s="411"/>
      <c r="G1408" s="242"/>
      <c r="H1408" s="497"/>
      <c r="I1408" s="77"/>
      <c r="J1408" s="107"/>
      <c r="K1408" s="78"/>
      <c r="L1408" s="242"/>
      <c r="M1408" s="242"/>
      <c r="N1408" s="242"/>
      <c r="O1408" s="242"/>
      <c r="P1408" s="497"/>
      <c r="Q1408" s="496"/>
      <c r="R1408" s="503"/>
      <c r="S1408" s="504"/>
      <c r="T1408" s="505"/>
      <c r="U1408" s="504"/>
      <c r="V1408" s="504"/>
      <c r="W1408" s="77"/>
      <c r="X1408" s="77"/>
      <c r="Y1408" s="77"/>
      <c r="Z1408" s="77"/>
      <c r="AA1408" s="409"/>
      <c r="AB1408" s="506"/>
    </row>
    <row r="1409" spans="1:28" s="457" customFormat="1" ht="18" customHeight="1" x14ac:dyDescent="0.2">
      <c r="A1409" s="242"/>
      <c r="B1409" s="242"/>
      <c r="C1409" s="496"/>
      <c r="D1409" s="144"/>
      <c r="E1409" s="144"/>
      <c r="F1409" s="411"/>
      <c r="G1409" s="242"/>
      <c r="H1409" s="497"/>
      <c r="I1409" s="77"/>
      <c r="J1409" s="107"/>
      <c r="K1409" s="78"/>
      <c r="L1409" s="242"/>
      <c r="M1409" s="242"/>
      <c r="N1409" s="242"/>
      <c r="O1409" s="242"/>
      <c r="P1409" s="497"/>
      <c r="Q1409" s="496"/>
      <c r="R1409" s="503"/>
      <c r="S1409" s="504"/>
      <c r="T1409" s="505"/>
      <c r="U1409" s="504"/>
      <c r="V1409" s="504"/>
      <c r="W1409" s="77"/>
      <c r="X1409" s="77"/>
      <c r="Y1409" s="77"/>
      <c r="Z1409" s="77"/>
      <c r="AA1409" s="409"/>
      <c r="AB1409" s="506"/>
    </row>
    <row r="1410" spans="1:28" s="457" customFormat="1" ht="18" customHeight="1" x14ac:dyDescent="0.2">
      <c r="A1410" s="242"/>
      <c r="B1410" s="242"/>
      <c r="C1410" s="496"/>
      <c r="D1410" s="88"/>
      <c r="E1410" s="144"/>
      <c r="F1410" s="411"/>
      <c r="G1410" s="242"/>
      <c r="H1410" s="497"/>
      <c r="I1410" s="77"/>
      <c r="J1410" s="107"/>
      <c r="K1410" s="78"/>
      <c r="L1410" s="242"/>
      <c r="M1410" s="242"/>
      <c r="N1410" s="242"/>
      <c r="O1410" s="242"/>
      <c r="P1410" s="497"/>
      <c r="Q1410" s="496"/>
      <c r="R1410" s="503"/>
      <c r="S1410" s="504"/>
      <c r="T1410" s="505"/>
      <c r="U1410" s="504"/>
      <c r="V1410" s="504"/>
      <c r="W1410" s="77"/>
      <c r="X1410" s="77"/>
      <c r="Y1410" s="77"/>
      <c r="Z1410" s="77"/>
      <c r="AA1410" s="409"/>
      <c r="AB1410" s="506"/>
    </row>
    <row r="1411" spans="1:28" s="457" customFormat="1" ht="18" customHeight="1" x14ac:dyDescent="0.2">
      <c r="A1411" s="242"/>
      <c r="B1411" s="242"/>
      <c r="C1411" s="496"/>
      <c r="D1411" s="231"/>
      <c r="E1411" s="88"/>
      <c r="F1411" s="411"/>
      <c r="G1411" s="242"/>
      <c r="H1411" s="497"/>
      <c r="I1411" s="77"/>
      <c r="J1411" s="107"/>
      <c r="K1411" s="78"/>
      <c r="L1411" s="242"/>
      <c r="M1411" s="242"/>
      <c r="N1411" s="242"/>
      <c r="O1411" s="242"/>
      <c r="P1411" s="497"/>
      <c r="Q1411" s="496"/>
      <c r="R1411" s="503"/>
      <c r="S1411" s="504"/>
      <c r="T1411" s="505"/>
      <c r="U1411" s="504"/>
      <c r="V1411" s="504"/>
      <c r="W1411" s="77"/>
      <c r="X1411" s="77"/>
      <c r="Y1411" s="77"/>
      <c r="Z1411" s="77"/>
      <c r="AA1411" s="409"/>
      <c r="AB1411" s="506"/>
    </row>
    <row r="1412" spans="1:28" s="457" customFormat="1" ht="18" customHeight="1" x14ac:dyDescent="0.2">
      <c r="A1412" s="242"/>
      <c r="B1412" s="242"/>
      <c r="C1412" s="496"/>
      <c r="D1412" s="144"/>
      <c r="E1412" s="88"/>
      <c r="F1412" s="411"/>
      <c r="G1412" s="242"/>
      <c r="H1412" s="497"/>
      <c r="I1412" s="77"/>
      <c r="J1412" s="107"/>
      <c r="K1412" s="78"/>
      <c r="L1412" s="242"/>
      <c r="M1412" s="242"/>
      <c r="N1412" s="242"/>
      <c r="O1412" s="242"/>
      <c r="P1412" s="497"/>
      <c r="Q1412" s="496"/>
      <c r="R1412" s="503"/>
      <c r="S1412" s="504"/>
      <c r="T1412" s="505"/>
      <c r="U1412" s="504"/>
      <c r="V1412" s="504"/>
      <c r="W1412" s="77"/>
      <c r="X1412" s="77"/>
      <c r="Y1412" s="77"/>
      <c r="Z1412" s="77"/>
      <c r="AA1412" s="409"/>
      <c r="AB1412" s="506"/>
    </row>
    <row r="1413" spans="1:28" s="457" customFormat="1" ht="18" customHeight="1" x14ac:dyDescent="0.2">
      <c r="A1413" s="242"/>
      <c r="B1413" s="242"/>
      <c r="C1413" s="496"/>
      <c r="D1413" s="88"/>
      <c r="E1413" s="231"/>
      <c r="F1413" s="411"/>
      <c r="G1413" s="242"/>
      <c r="H1413" s="497"/>
      <c r="I1413" s="77"/>
      <c r="J1413" s="107"/>
      <c r="K1413" s="78"/>
      <c r="L1413" s="242"/>
      <c r="M1413" s="242"/>
      <c r="N1413" s="242"/>
      <c r="O1413" s="242"/>
      <c r="P1413" s="497"/>
      <c r="Q1413" s="496"/>
      <c r="R1413" s="503"/>
      <c r="S1413" s="504"/>
      <c r="T1413" s="505"/>
      <c r="U1413" s="504"/>
      <c r="V1413" s="504"/>
      <c r="W1413" s="77"/>
      <c r="X1413" s="77"/>
      <c r="Y1413" s="77"/>
      <c r="Z1413" s="77"/>
      <c r="AA1413" s="409"/>
      <c r="AB1413" s="506"/>
    </row>
    <row r="1414" spans="1:28" s="457" customFormat="1" ht="18" customHeight="1" x14ac:dyDescent="0.2">
      <c r="A1414" s="242"/>
      <c r="B1414" s="242"/>
      <c r="C1414" s="496"/>
      <c r="D1414" s="88"/>
      <c r="E1414" s="88"/>
      <c r="F1414" s="411"/>
      <c r="G1414" s="242"/>
      <c r="H1414" s="497"/>
      <c r="I1414" s="77"/>
      <c r="J1414" s="107"/>
      <c r="K1414" s="78"/>
      <c r="L1414" s="242"/>
      <c r="M1414" s="242"/>
      <c r="N1414" s="242"/>
      <c r="O1414" s="242"/>
      <c r="P1414" s="497"/>
      <c r="Q1414" s="496"/>
      <c r="R1414" s="503"/>
      <c r="S1414" s="504"/>
      <c r="T1414" s="505"/>
      <c r="U1414" s="504"/>
      <c r="V1414" s="504"/>
      <c r="W1414" s="77"/>
      <c r="X1414" s="77"/>
      <c r="Y1414" s="77"/>
      <c r="Z1414" s="77"/>
      <c r="AA1414" s="409"/>
      <c r="AB1414" s="506"/>
    </row>
    <row r="1415" spans="1:28" s="457" customFormat="1" ht="18" customHeight="1" x14ac:dyDescent="0.2">
      <c r="A1415" s="242"/>
      <c r="B1415" s="242"/>
      <c r="C1415" s="496"/>
      <c r="D1415" s="88"/>
      <c r="E1415" s="88"/>
      <c r="F1415" s="411"/>
      <c r="G1415" s="242"/>
      <c r="H1415" s="497"/>
      <c r="I1415" s="77"/>
      <c r="J1415" s="107"/>
      <c r="K1415" s="78"/>
      <c r="L1415" s="242"/>
      <c r="M1415" s="242"/>
      <c r="N1415" s="242"/>
      <c r="O1415" s="242"/>
      <c r="P1415" s="497"/>
      <c r="Q1415" s="496"/>
      <c r="R1415" s="503"/>
      <c r="S1415" s="504"/>
      <c r="T1415" s="505"/>
      <c r="U1415" s="504"/>
      <c r="V1415" s="504"/>
      <c r="W1415" s="77"/>
      <c r="X1415" s="77"/>
      <c r="Y1415" s="77"/>
      <c r="Z1415" s="77"/>
      <c r="AA1415" s="409"/>
      <c r="AB1415" s="506"/>
    </row>
    <row r="1416" spans="1:28" s="597" customFormat="1" ht="18" customHeight="1" x14ac:dyDescent="0.2">
      <c r="A1416" s="1850"/>
      <c r="B1416" s="1850"/>
      <c r="C1416" s="1850"/>
      <c r="D1416" s="1850"/>
      <c r="E1416" s="1850"/>
      <c r="F1416" s="1850"/>
      <c r="G1416" s="1850"/>
      <c r="H1416" s="1851"/>
      <c r="I1416" s="1852"/>
      <c r="J1416" s="1853"/>
      <c r="K1416" s="1852"/>
      <c r="L1416" s="1852"/>
      <c r="M1416" s="1852"/>
      <c r="N1416" s="1852"/>
      <c r="O1416" s="1852"/>
      <c r="P1416" s="1852"/>
      <c r="Q1416" s="1852"/>
      <c r="R1416" s="1854"/>
      <c r="S1416" s="1852"/>
      <c r="T1416" s="1855"/>
      <c r="U1416" s="1853"/>
      <c r="V1416" s="1852"/>
      <c r="W1416" s="1852"/>
      <c r="X1416" s="1856"/>
      <c r="Y1416" s="1856"/>
      <c r="Z1416" s="1857"/>
      <c r="AA1416" s="1857"/>
      <c r="AB1416" s="1847">
        <f>SUM(AB1401:AB1415)</f>
        <v>662.4</v>
      </c>
    </row>
    <row r="1417" spans="1:28" s="457" customFormat="1" ht="18" customHeight="1" x14ac:dyDescent="0.2">
      <c r="A1417" s="2737" t="s">
        <v>76</v>
      </c>
      <c r="B1417" s="2737"/>
      <c r="C1417" s="2738" t="s">
        <v>77</v>
      </c>
      <c r="D1417" s="2738"/>
      <c r="E1417" s="2738"/>
      <c r="F1417" s="2738"/>
      <c r="G1417" s="2738"/>
      <c r="H1417" s="2738"/>
      <c r="I1417" s="457" t="s">
        <v>78</v>
      </c>
      <c r="AB1417" s="478"/>
    </row>
    <row r="1418" spans="1:28" s="457" customFormat="1" ht="18" customHeight="1" x14ac:dyDescent="0.2">
      <c r="B1418" s="479"/>
      <c r="I1418" s="457" t="s">
        <v>79</v>
      </c>
      <c r="AB1418" s="478"/>
    </row>
    <row r="1419" spans="1:28" s="457" customFormat="1" ht="18" customHeight="1" x14ac:dyDescent="0.2">
      <c r="B1419" s="479"/>
      <c r="I1419" s="457" t="s">
        <v>80</v>
      </c>
      <c r="AB1419" s="478"/>
    </row>
    <row r="1420" spans="1:28" s="457" customFormat="1" ht="18" customHeight="1" x14ac:dyDescent="0.2">
      <c r="B1420" s="479"/>
      <c r="I1420" s="457" t="s">
        <v>81</v>
      </c>
      <c r="AB1420" s="478"/>
    </row>
    <row r="1421" spans="1:28" s="457" customFormat="1" ht="18" customHeight="1" x14ac:dyDescent="0.2">
      <c r="B1421" s="479"/>
      <c r="I1421" s="457" t="s">
        <v>88</v>
      </c>
      <c r="AB1421" s="478"/>
    </row>
    <row r="1422" spans="1:28" s="457" customFormat="1" ht="18" customHeight="1" x14ac:dyDescent="0.2">
      <c r="A1422" s="455"/>
      <c r="B1422" s="455"/>
      <c r="C1422" s="455"/>
      <c r="D1422" s="455"/>
      <c r="E1422" s="455"/>
      <c r="F1422" s="455"/>
      <c r="G1422" s="455"/>
      <c r="H1422" s="455"/>
      <c r="I1422" s="455"/>
      <c r="J1422" s="455"/>
      <c r="K1422" s="455"/>
      <c r="L1422" s="455"/>
      <c r="M1422" s="455"/>
      <c r="N1422" s="455"/>
      <c r="O1422" s="455"/>
      <c r="P1422" s="455"/>
      <c r="Q1422" s="455"/>
      <c r="R1422" s="455"/>
      <c r="S1422" s="455"/>
      <c r="T1422" s="455"/>
      <c r="U1422" s="455"/>
      <c r="V1422" s="455"/>
      <c r="W1422" s="455"/>
      <c r="X1422" s="455"/>
      <c r="Y1422" s="455"/>
      <c r="Z1422" s="455"/>
      <c r="AA1422" s="2705" t="s">
        <v>0</v>
      </c>
      <c r="AB1422" s="2705"/>
    </row>
    <row r="1423" spans="1:28" s="457" customFormat="1" ht="18" customHeight="1" x14ac:dyDescent="0.2">
      <c r="A1423" s="2706" t="s">
        <v>1</v>
      </c>
      <c r="B1423" s="2706"/>
      <c r="C1423" s="2706"/>
      <c r="D1423" s="2706"/>
      <c r="E1423" s="2706"/>
      <c r="F1423" s="2706"/>
      <c r="G1423" s="2706"/>
      <c r="H1423" s="2706"/>
      <c r="I1423" s="2706"/>
      <c r="J1423" s="2706"/>
      <c r="K1423" s="2706"/>
      <c r="L1423" s="2706"/>
      <c r="M1423" s="2706"/>
      <c r="N1423" s="2706"/>
      <c r="O1423" s="2706"/>
      <c r="P1423" s="2706"/>
      <c r="Q1423" s="2706"/>
      <c r="R1423" s="2706"/>
      <c r="S1423" s="2706"/>
      <c r="T1423" s="2706"/>
      <c r="U1423" s="2706"/>
      <c r="V1423" s="2706"/>
      <c r="W1423" s="2706"/>
      <c r="X1423" s="2706"/>
      <c r="Y1423" s="2706"/>
      <c r="Z1423" s="2706"/>
      <c r="AA1423" s="2706"/>
      <c r="AB1423" s="2706"/>
    </row>
    <row r="1424" spans="1:28" s="457" customFormat="1" ht="18" customHeight="1" x14ac:dyDescent="0.2">
      <c r="A1424" s="2704" t="s">
        <v>415</v>
      </c>
      <c r="B1424" s="2704"/>
      <c r="C1424" s="2704"/>
      <c r="D1424" s="2704"/>
      <c r="E1424" s="2704"/>
      <c r="F1424" s="2704"/>
      <c r="G1424" s="2704"/>
      <c r="H1424" s="2704"/>
      <c r="I1424" s="2704"/>
      <c r="J1424" s="2704"/>
      <c r="K1424" s="2704"/>
      <c r="L1424" s="2704"/>
      <c r="M1424" s="2704"/>
      <c r="N1424" s="2704"/>
      <c r="O1424" s="2704"/>
      <c r="P1424" s="2704"/>
      <c r="Q1424" s="2704"/>
      <c r="R1424" s="2704"/>
      <c r="S1424" s="2704"/>
      <c r="T1424" s="2704"/>
      <c r="U1424" s="2704"/>
      <c r="V1424" s="2704"/>
      <c r="W1424" s="2704"/>
      <c r="X1424" s="2704"/>
      <c r="Y1424" s="2704"/>
      <c r="Z1424" s="2704"/>
      <c r="AA1424" s="2704"/>
      <c r="AB1424" s="2704"/>
    </row>
    <row r="1425" spans="1:28" s="457" customFormat="1" ht="18" customHeight="1" x14ac:dyDescent="0.2">
      <c r="A1425" s="2686" t="s">
        <v>2</v>
      </c>
      <c r="B1425" s="360"/>
      <c r="C1425" s="2686" t="s">
        <v>3</v>
      </c>
      <c r="D1425" s="360"/>
      <c r="E1425" s="360"/>
      <c r="F1425" s="2693" t="s">
        <v>4</v>
      </c>
      <c r="G1425" s="2693"/>
      <c r="H1425" s="2693"/>
      <c r="I1425" s="2694"/>
      <c r="J1425" s="2694"/>
      <c r="K1425" s="2695"/>
      <c r="L1425" s="361"/>
      <c r="M1425" s="2679" t="s">
        <v>5</v>
      </c>
      <c r="N1425" s="2679"/>
      <c r="O1425" s="2679"/>
      <c r="P1425" s="2679"/>
      <c r="Q1425" s="2696"/>
      <c r="R1425" s="2696"/>
      <c r="S1425" s="2696"/>
      <c r="T1425" s="2696"/>
      <c r="U1425" s="2696"/>
      <c r="V1425" s="2697"/>
      <c r="W1425" s="362" t="s">
        <v>6</v>
      </c>
      <c r="X1425" s="363" t="s">
        <v>7</v>
      </c>
      <c r="Y1425" s="364"/>
      <c r="Z1425" s="364"/>
      <c r="AA1425" s="363"/>
      <c r="AB1425" s="458"/>
    </row>
    <row r="1426" spans="1:28" s="457" customFormat="1" ht="18" customHeight="1" x14ac:dyDescent="0.2">
      <c r="A1426" s="2687"/>
      <c r="B1426" s="367"/>
      <c r="C1426" s="2687"/>
      <c r="D1426" s="366" t="s">
        <v>9</v>
      </c>
      <c r="E1426" s="366" t="s">
        <v>10</v>
      </c>
      <c r="F1426" s="2698" t="s">
        <v>11</v>
      </c>
      <c r="G1426" s="2694"/>
      <c r="H1426" s="2695"/>
      <c r="I1426" s="360"/>
      <c r="J1426" s="449" t="s">
        <v>12</v>
      </c>
      <c r="K1426" s="360"/>
      <c r="L1426" s="2679" t="s">
        <v>2</v>
      </c>
      <c r="M1426" s="370"/>
      <c r="N1426" s="370"/>
      <c r="O1426" s="370"/>
      <c r="P1426" s="371"/>
      <c r="Q1426" s="459" t="s">
        <v>13</v>
      </c>
      <c r="R1426" s="370" t="s">
        <v>12</v>
      </c>
      <c r="S1426" s="370" t="s">
        <v>6</v>
      </c>
      <c r="T1426" s="2682" t="s">
        <v>14</v>
      </c>
      <c r="U1426" s="2683"/>
      <c r="V1426" s="375" t="s">
        <v>7</v>
      </c>
      <c r="W1426" s="376" t="s">
        <v>15</v>
      </c>
      <c r="X1426" s="377" t="s">
        <v>16</v>
      </c>
      <c r="Y1426" s="377" t="s">
        <v>17</v>
      </c>
      <c r="Z1426" s="377" t="s">
        <v>18</v>
      </c>
      <c r="AA1426" s="377"/>
      <c r="AB1426" s="460" t="s">
        <v>19</v>
      </c>
    </row>
    <row r="1427" spans="1:28" s="457" customFormat="1" ht="18" customHeight="1" x14ac:dyDescent="0.2">
      <c r="A1427" s="2687"/>
      <c r="B1427" s="366" t="s">
        <v>23</v>
      </c>
      <c r="C1427" s="2687"/>
      <c r="D1427" s="366" t="s">
        <v>24</v>
      </c>
      <c r="E1427" s="366" t="s">
        <v>25</v>
      </c>
      <c r="F1427" s="2699"/>
      <c r="G1427" s="2700"/>
      <c r="H1427" s="2701"/>
      <c r="I1427" s="366" t="s">
        <v>26</v>
      </c>
      <c r="J1427" s="380" t="s">
        <v>15</v>
      </c>
      <c r="K1427" s="380" t="s">
        <v>6</v>
      </c>
      <c r="L1427" s="2680"/>
      <c r="M1427" s="381" t="s">
        <v>27</v>
      </c>
      <c r="N1427" s="381" t="s">
        <v>10</v>
      </c>
      <c r="O1427" s="381" t="s">
        <v>10</v>
      </c>
      <c r="P1427" s="385" t="s">
        <v>28</v>
      </c>
      <c r="Q1427" s="461" t="s">
        <v>29</v>
      </c>
      <c r="R1427" s="385" t="s">
        <v>15</v>
      </c>
      <c r="S1427" s="385" t="s">
        <v>15</v>
      </c>
      <c r="T1427" s="2684"/>
      <c r="U1427" s="2685"/>
      <c r="V1427" s="375" t="s">
        <v>30</v>
      </c>
      <c r="W1427" s="376" t="s">
        <v>31</v>
      </c>
      <c r="X1427" s="377" t="s">
        <v>30</v>
      </c>
      <c r="Y1427" s="377" t="s">
        <v>32</v>
      </c>
      <c r="Z1427" s="377" t="s">
        <v>7</v>
      </c>
      <c r="AA1427" s="377" t="s">
        <v>33</v>
      </c>
      <c r="AB1427" s="460" t="s">
        <v>34</v>
      </c>
    </row>
    <row r="1428" spans="1:28" s="457" customFormat="1" ht="18" customHeight="1" x14ac:dyDescent="0.2">
      <c r="A1428" s="2687"/>
      <c r="B1428" s="366" t="s">
        <v>39</v>
      </c>
      <c r="C1428" s="2687"/>
      <c r="D1428" s="366" t="s">
        <v>40</v>
      </c>
      <c r="E1428" s="366" t="s">
        <v>41</v>
      </c>
      <c r="F1428" s="2686" t="s">
        <v>42</v>
      </c>
      <c r="G1428" s="2686" t="s">
        <v>43</v>
      </c>
      <c r="H1428" s="2688" t="s">
        <v>44</v>
      </c>
      <c r="I1428" s="366" t="s">
        <v>45</v>
      </c>
      <c r="J1428" s="380" t="s">
        <v>46</v>
      </c>
      <c r="K1428" s="380" t="s">
        <v>47</v>
      </c>
      <c r="L1428" s="2680"/>
      <c r="M1428" s="381" t="s">
        <v>30</v>
      </c>
      <c r="N1428" s="381" t="s">
        <v>30</v>
      </c>
      <c r="O1428" s="381" t="s">
        <v>25</v>
      </c>
      <c r="P1428" s="385" t="s">
        <v>30</v>
      </c>
      <c r="Q1428" s="461" t="s">
        <v>48</v>
      </c>
      <c r="R1428" s="385" t="s">
        <v>49</v>
      </c>
      <c r="S1428" s="385" t="s">
        <v>30</v>
      </c>
      <c r="T1428" s="374" t="s">
        <v>50</v>
      </c>
      <c r="U1428" s="374" t="s">
        <v>13</v>
      </c>
      <c r="V1428" s="375" t="s">
        <v>51</v>
      </c>
      <c r="W1428" s="376" t="s">
        <v>52</v>
      </c>
      <c r="X1428" s="377" t="s">
        <v>53</v>
      </c>
      <c r="Y1428" s="377" t="s">
        <v>54</v>
      </c>
      <c r="Z1428" s="377" t="s">
        <v>55</v>
      </c>
      <c r="AA1428" s="377" t="s">
        <v>56</v>
      </c>
      <c r="AB1428" s="460" t="s">
        <v>57</v>
      </c>
    </row>
    <row r="1429" spans="1:28" s="457" customFormat="1" ht="18" customHeight="1" x14ac:dyDescent="0.2">
      <c r="A1429" s="2687"/>
      <c r="B1429" s="366" t="s">
        <v>61</v>
      </c>
      <c r="C1429" s="2687"/>
      <c r="D1429" s="366" t="s">
        <v>62</v>
      </c>
      <c r="E1429" s="366" t="s">
        <v>63</v>
      </c>
      <c r="F1429" s="2687"/>
      <c r="G1429" s="2687"/>
      <c r="H1429" s="2689"/>
      <c r="I1429" s="366" t="s">
        <v>64</v>
      </c>
      <c r="J1429" s="380" t="s">
        <v>59</v>
      </c>
      <c r="K1429" s="380" t="s">
        <v>59</v>
      </c>
      <c r="L1429" s="2680"/>
      <c r="M1429" s="381"/>
      <c r="N1429" s="381"/>
      <c r="O1429" s="381" t="s">
        <v>41</v>
      </c>
      <c r="P1429" s="385" t="s">
        <v>65</v>
      </c>
      <c r="Q1429" s="461" t="s">
        <v>66</v>
      </c>
      <c r="R1429" s="385" t="s">
        <v>67</v>
      </c>
      <c r="S1429" s="385" t="s">
        <v>59</v>
      </c>
      <c r="T1429" s="375" t="s">
        <v>68</v>
      </c>
      <c r="U1429" s="375" t="s">
        <v>14</v>
      </c>
      <c r="V1429" s="375" t="s">
        <v>14</v>
      </c>
      <c r="W1429" s="376" t="s">
        <v>30</v>
      </c>
      <c r="X1429" s="388" t="s">
        <v>69</v>
      </c>
      <c r="Y1429" s="388" t="s">
        <v>70</v>
      </c>
      <c r="Z1429" s="377" t="s">
        <v>71</v>
      </c>
      <c r="AA1429" s="377" t="s">
        <v>72</v>
      </c>
      <c r="AB1429" s="460" t="s">
        <v>59</v>
      </c>
    </row>
    <row r="1430" spans="1:28" s="457" customFormat="1" ht="18" customHeight="1" x14ac:dyDescent="0.2">
      <c r="A1430" s="2692"/>
      <c r="B1430" s="390"/>
      <c r="C1430" s="2692"/>
      <c r="D1430" s="390"/>
      <c r="E1430" s="389"/>
      <c r="F1430" s="390"/>
      <c r="G1430" s="390"/>
      <c r="H1430" s="391"/>
      <c r="I1430" s="389"/>
      <c r="J1430" s="393"/>
      <c r="K1430" s="393"/>
      <c r="L1430" s="2681"/>
      <c r="M1430" s="394"/>
      <c r="N1430" s="394"/>
      <c r="O1430" s="394" t="s">
        <v>63</v>
      </c>
      <c r="P1430" s="394"/>
      <c r="Q1430" s="450" t="s">
        <v>72</v>
      </c>
      <c r="R1430" s="398" t="s">
        <v>59</v>
      </c>
      <c r="S1430" s="398"/>
      <c r="T1430" s="398" t="s">
        <v>73</v>
      </c>
      <c r="U1430" s="398" t="s">
        <v>59</v>
      </c>
      <c r="V1430" s="399" t="s">
        <v>59</v>
      </c>
      <c r="W1430" s="400" t="s">
        <v>59</v>
      </c>
      <c r="X1430" s="401" t="s">
        <v>59</v>
      </c>
      <c r="Y1430" s="401" t="s">
        <v>59</v>
      </c>
      <c r="Z1430" s="401" t="s">
        <v>59</v>
      </c>
      <c r="AA1430" s="402"/>
      <c r="AB1430" s="462"/>
    </row>
    <row r="1431" spans="1:28" s="597" customFormat="1" ht="18" customHeight="1" x14ac:dyDescent="0.2">
      <c r="A1431" s="53">
        <v>1</v>
      </c>
      <c r="B1431" s="95">
        <v>53426</v>
      </c>
      <c r="C1431" s="82">
        <v>346</v>
      </c>
      <c r="D1431" s="82" t="s">
        <v>86</v>
      </c>
      <c r="E1431" s="82">
        <v>4</v>
      </c>
      <c r="F1431" s="82">
        <v>0</v>
      </c>
      <c r="G1431" s="82">
        <v>0</v>
      </c>
      <c r="H1431" s="463">
        <v>88</v>
      </c>
      <c r="I1431" s="70">
        <f>F1431*400+G1431*100+H1431</f>
        <v>88</v>
      </c>
      <c r="J1431" s="123">
        <v>1700</v>
      </c>
      <c r="K1431" s="124">
        <f>SUM(I1431*J1431)</f>
        <v>149600</v>
      </c>
      <c r="L1431" s="53"/>
      <c r="M1431" s="82"/>
      <c r="N1431" s="82"/>
      <c r="O1431" s="53"/>
      <c r="P1431" s="358"/>
      <c r="Q1431" s="197"/>
      <c r="R1431" s="444"/>
      <c r="S1431" s="70"/>
      <c r="T1431" s="82"/>
      <c r="U1431" s="70"/>
      <c r="V1431" s="70"/>
      <c r="W1431" s="70">
        <f>K1431+V1431</f>
        <v>149600</v>
      </c>
      <c r="X1431" s="70">
        <f>W1431</f>
        <v>149600</v>
      </c>
      <c r="Y1431" s="123">
        <v>0</v>
      </c>
      <c r="Z1431" s="70">
        <f>+X1431</f>
        <v>149600</v>
      </c>
      <c r="AA1431" s="464">
        <v>0.6</v>
      </c>
      <c r="AB1431" s="465">
        <f>+Z1431*AA1431/100</f>
        <v>897.6</v>
      </c>
    </row>
    <row r="1432" spans="1:28" s="457" customFormat="1" ht="18" customHeight="1" x14ac:dyDescent="0.2">
      <c r="A1432" s="242"/>
      <c r="B1432" s="242"/>
      <c r="C1432" s="496"/>
      <c r="D1432" s="88"/>
      <c r="E1432" s="85"/>
      <c r="F1432" s="411"/>
      <c r="G1432" s="242"/>
      <c r="H1432" s="497"/>
      <c r="I1432" s="77"/>
      <c r="J1432" s="107"/>
      <c r="K1432" s="78"/>
      <c r="L1432" s="75"/>
      <c r="M1432" s="145"/>
      <c r="N1432" s="88"/>
      <c r="O1432" s="88"/>
      <c r="P1432" s="281"/>
      <c r="Q1432" s="129"/>
      <c r="R1432" s="440"/>
      <c r="S1432" s="121"/>
      <c r="T1432" s="88"/>
      <c r="U1432" s="914"/>
      <c r="V1432" s="121"/>
      <c r="W1432" s="77"/>
      <c r="X1432" s="121"/>
      <c r="Y1432" s="121"/>
      <c r="Z1432" s="77"/>
      <c r="AA1432" s="409"/>
      <c r="AB1432" s="915"/>
    </row>
    <row r="1433" spans="1:28" s="457" customFormat="1" ht="18" customHeight="1" x14ac:dyDescent="0.2">
      <c r="A1433" s="242"/>
      <c r="B1433" s="145"/>
      <c r="C1433" s="496"/>
      <c r="D1433" s="145"/>
      <c r="E1433" s="102"/>
      <c r="F1433" s="499"/>
      <c r="G1433" s="241"/>
      <c r="H1433" s="500"/>
      <c r="I1433" s="77"/>
      <c r="J1433" s="107"/>
      <c r="K1433" s="78"/>
      <c r="L1433" s="61"/>
      <c r="M1433" s="145"/>
      <c r="N1433" s="145"/>
      <c r="O1433" s="61"/>
      <c r="P1433" s="177"/>
      <c r="Q1433" s="196"/>
      <c r="R1433" s="408"/>
      <c r="S1433" s="77"/>
      <c r="T1433" s="145"/>
      <c r="U1433" s="77"/>
      <c r="V1433" s="77"/>
      <c r="W1433" s="77"/>
      <c r="X1433" s="77"/>
      <c r="Y1433" s="77"/>
      <c r="Z1433" s="77"/>
      <c r="AA1433" s="409"/>
      <c r="AB1433" s="466"/>
    </row>
    <row r="1434" spans="1:28" s="457" customFormat="1" ht="18" customHeight="1" x14ac:dyDescent="0.2">
      <c r="A1434" s="242"/>
      <c r="B1434" s="242"/>
      <c r="C1434" s="496"/>
      <c r="D1434" s="144"/>
      <c r="E1434" s="85"/>
      <c r="F1434" s="411"/>
      <c r="G1434" s="242"/>
      <c r="H1434" s="497"/>
      <c r="I1434" s="77"/>
      <c r="J1434" s="107"/>
      <c r="K1434" s="78"/>
      <c r="L1434" s="242"/>
      <c r="M1434" s="242"/>
      <c r="N1434" s="242"/>
      <c r="O1434" s="242"/>
      <c r="P1434" s="497"/>
      <c r="Q1434" s="496"/>
      <c r="R1434" s="503"/>
      <c r="S1434" s="504"/>
      <c r="T1434" s="505"/>
      <c r="U1434" s="504"/>
      <c r="V1434" s="504"/>
      <c r="W1434" s="77"/>
      <c r="X1434" s="77"/>
      <c r="Y1434" s="77"/>
      <c r="Z1434" s="77"/>
      <c r="AA1434" s="409"/>
      <c r="AB1434" s="410"/>
    </row>
    <row r="1435" spans="1:28" s="457" customFormat="1" ht="18" customHeight="1" x14ac:dyDescent="0.2">
      <c r="A1435" s="242"/>
      <c r="B1435" s="242"/>
      <c r="C1435" s="496"/>
      <c r="D1435" s="88"/>
      <c r="E1435" s="85"/>
      <c r="F1435" s="411"/>
      <c r="G1435" s="242"/>
      <c r="H1435" s="497"/>
      <c r="I1435" s="77"/>
      <c r="J1435" s="107"/>
      <c r="K1435" s="78"/>
      <c r="L1435" s="242"/>
      <c r="M1435" s="242"/>
      <c r="N1435" s="242"/>
      <c r="O1435" s="242"/>
      <c r="P1435" s="497"/>
      <c r="Q1435" s="496"/>
      <c r="R1435" s="503"/>
      <c r="S1435" s="504"/>
      <c r="T1435" s="505"/>
      <c r="U1435" s="504"/>
      <c r="V1435" s="504"/>
      <c r="W1435" s="77"/>
      <c r="X1435" s="77"/>
      <c r="Y1435" s="77"/>
      <c r="Z1435" s="77"/>
      <c r="AA1435" s="409"/>
      <c r="AB1435" s="466"/>
    </row>
    <row r="1436" spans="1:28" s="457" customFormat="1" ht="18" customHeight="1" x14ac:dyDescent="0.2">
      <c r="A1436" s="242"/>
      <c r="B1436" s="242"/>
      <c r="C1436" s="496"/>
      <c r="D1436" s="144"/>
      <c r="E1436" s="88"/>
      <c r="F1436" s="411"/>
      <c r="G1436" s="242"/>
      <c r="H1436" s="497"/>
      <c r="I1436" s="77"/>
      <c r="J1436" s="107"/>
      <c r="K1436" s="78"/>
      <c r="L1436" s="242"/>
      <c r="M1436" s="242"/>
      <c r="N1436" s="242"/>
      <c r="O1436" s="242"/>
      <c r="P1436" s="497"/>
      <c r="Q1436" s="496"/>
      <c r="R1436" s="503"/>
      <c r="S1436" s="504"/>
      <c r="T1436" s="505"/>
      <c r="U1436" s="504"/>
      <c r="V1436" s="504"/>
      <c r="W1436" s="77"/>
      <c r="X1436" s="77"/>
      <c r="Y1436" s="77"/>
      <c r="Z1436" s="77"/>
      <c r="AA1436" s="409"/>
      <c r="AB1436" s="506"/>
    </row>
    <row r="1437" spans="1:28" s="457" customFormat="1" ht="18" customHeight="1" x14ac:dyDescent="0.2">
      <c r="A1437" s="242"/>
      <c r="B1437" s="242"/>
      <c r="C1437" s="496"/>
      <c r="D1437" s="88"/>
      <c r="E1437" s="231"/>
      <c r="F1437" s="411"/>
      <c r="G1437" s="242"/>
      <c r="H1437" s="497"/>
      <c r="I1437" s="77"/>
      <c r="J1437" s="107"/>
      <c r="K1437" s="78"/>
      <c r="L1437" s="242"/>
      <c r="M1437" s="242"/>
      <c r="N1437" s="242"/>
      <c r="O1437" s="242"/>
      <c r="P1437" s="497"/>
      <c r="Q1437" s="496"/>
      <c r="R1437" s="503"/>
      <c r="S1437" s="504"/>
      <c r="T1437" s="505"/>
      <c r="U1437" s="504"/>
      <c r="V1437" s="504"/>
      <c r="W1437" s="77"/>
      <c r="X1437" s="77"/>
      <c r="Y1437" s="77"/>
      <c r="Z1437" s="77"/>
      <c r="AA1437" s="409"/>
      <c r="AB1437" s="506"/>
    </row>
    <row r="1438" spans="1:28" s="457" customFormat="1" ht="18" customHeight="1" x14ac:dyDescent="0.2">
      <c r="A1438" s="242"/>
      <c r="B1438" s="242"/>
      <c r="C1438" s="496"/>
      <c r="D1438" s="231"/>
      <c r="E1438" s="144"/>
      <c r="F1438" s="411"/>
      <c r="G1438" s="242"/>
      <c r="H1438" s="497"/>
      <c r="I1438" s="77"/>
      <c r="J1438" s="107"/>
      <c r="K1438" s="78"/>
      <c r="L1438" s="242"/>
      <c r="M1438" s="242"/>
      <c r="N1438" s="242"/>
      <c r="O1438" s="242"/>
      <c r="P1438" s="497"/>
      <c r="Q1438" s="496"/>
      <c r="R1438" s="503"/>
      <c r="S1438" s="504"/>
      <c r="T1438" s="505"/>
      <c r="U1438" s="504"/>
      <c r="V1438" s="504"/>
      <c r="W1438" s="77"/>
      <c r="X1438" s="77"/>
      <c r="Y1438" s="77"/>
      <c r="Z1438" s="77"/>
      <c r="AA1438" s="409"/>
      <c r="AB1438" s="506"/>
    </row>
    <row r="1439" spans="1:28" s="457" customFormat="1" ht="18" customHeight="1" x14ac:dyDescent="0.2">
      <c r="A1439" s="242"/>
      <c r="B1439" s="242"/>
      <c r="C1439" s="496"/>
      <c r="D1439" s="144"/>
      <c r="E1439" s="144"/>
      <c r="F1439" s="411"/>
      <c r="G1439" s="242"/>
      <c r="H1439" s="497"/>
      <c r="I1439" s="77"/>
      <c r="J1439" s="107"/>
      <c r="K1439" s="78"/>
      <c r="L1439" s="242"/>
      <c r="M1439" s="242"/>
      <c r="N1439" s="242"/>
      <c r="O1439" s="242"/>
      <c r="P1439" s="497"/>
      <c r="Q1439" s="496"/>
      <c r="R1439" s="503"/>
      <c r="S1439" s="504"/>
      <c r="T1439" s="505"/>
      <c r="U1439" s="504"/>
      <c r="V1439" s="504"/>
      <c r="W1439" s="77"/>
      <c r="X1439" s="77"/>
      <c r="Y1439" s="77"/>
      <c r="Z1439" s="77"/>
      <c r="AA1439" s="409"/>
      <c r="AB1439" s="506"/>
    </row>
    <row r="1440" spans="1:28" s="457" customFormat="1" ht="18" customHeight="1" x14ac:dyDescent="0.2">
      <c r="A1440" s="242"/>
      <c r="B1440" s="242"/>
      <c r="C1440" s="496"/>
      <c r="D1440" s="88"/>
      <c r="E1440" s="144"/>
      <c r="F1440" s="411"/>
      <c r="G1440" s="242"/>
      <c r="H1440" s="497"/>
      <c r="I1440" s="77"/>
      <c r="J1440" s="107"/>
      <c r="K1440" s="78"/>
      <c r="L1440" s="242"/>
      <c r="M1440" s="242"/>
      <c r="N1440" s="242"/>
      <c r="O1440" s="242"/>
      <c r="P1440" s="497"/>
      <c r="Q1440" s="496"/>
      <c r="R1440" s="503"/>
      <c r="S1440" s="504"/>
      <c r="T1440" s="505"/>
      <c r="U1440" s="504"/>
      <c r="V1440" s="504"/>
      <c r="W1440" s="77"/>
      <c r="X1440" s="77"/>
      <c r="Y1440" s="77"/>
      <c r="Z1440" s="77"/>
      <c r="AA1440" s="409"/>
      <c r="AB1440" s="506"/>
    </row>
    <row r="1441" spans="1:28" s="457" customFormat="1" ht="18" customHeight="1" x14ac:dyDescent="0.2">
      <c r="A1441" s="242"/>
      <c r="B1441" s="242"/>
      <c r="C1441" s="496"/>
      <c r="D1441" s="231"/>
      <c r="E1441" s="88"/>
      <c r="F1441" s="411"/>
      <c r="G1441" s="242"/>
      <c r="H1441" s="497"/>
      <c r="I1441" s="77"/>
      <c r="J1441" s="107"/>
      <c r="K1441" s="78"/>
      <c r="L1441" s="242"/>
      <c r="M1441" s="242"/>
      <c r="N1441" s="242"/>
      <c r="O1441" s="242"/>
      <c r="P1441" s="497"/>
      <c r="Q1441" s="496"/>
      <c r="R1441" s="503"/>
      <c r="S1441" s="504"/>
      <c r="T1441" s="505"/>
      <c r="U1441" s="504"/>
      <c r="V1441" s="504"/>
      <c r="W1441" s="77"/>
      <c r="X1441" s="77"/>
      <c r="Y1441" s="77"/>
      <c r="Z1441" s="77"/>
      <c r="AA1441" s="409"/>
      <c r="AB1441" s="506"/>
    </row>
    <row r="1442" spans="1:28" s="457" customFormat="1" ht="18" customHeight="1" x14ac:dyDescent="0.2">
      <c r="A1442" s="242"/>
      <c r="B1442" s="242"/>
      <c r="C1442" s="496"/>
      <c r="D1442" s="144"/>
      <c r="E1442" s="88"/>
      <c r="F1442" s="411"/>
      <c r="G1442" s="242"/>
      <c r="H1442" s="497"/>
      <c r="I1442" s="77"/>
      <c r="J1442" s="107"/>
      <c r="K1442" s="78"/>
      <c r="L1442" s="242"/>
      <c r="M1442" s="242"/>
      <c r="N1442" s="242"/>
      <c r="O1442" s="242"/>
      <c r="P1442" s="497"/>
      <c r="Q1442" s="496"/>
      <c r="R1442" s="503"/>
      <c r="S1442" s="504"/>
      <c r="T1442" s="505"/>
      <c r="U1442" s="504"/>
      <c r="V1442" s="504"/>
      <c r="W1442" s="77"/>
      <c r="X1442" s="77"/>
      <c r="Y1442" s="77"/>
      <c r="Z1442" s="77"/>
      <c r="AA1442" s="409"/>
      <c r="AB1442" s="506"/>
    </row>
    <row r="1443" spans="1:28" s="457" customFormat="1" ht="18" customHeight="1" x14ac:dyDescent="0.2">
      <c r="A1443" s="242"/>
      <c r="B1443" s="242"/>
      <c r="C1443" s="496"/>
      <c r="D1443" s="88"/>
      <c r="E1443" s="231"/>
      <c r="F1443" s="411"/>
      <c r="G1443" s="242"/>
      <c r="H1443" s="497"/>
      <c r="I1443" s="77"/>
      <c r="J1443" s="107"/>
      <c r="K1443" s="78"/>
      <c r="L1443" s="242"/>
      <c r="M1443" s="242"/>
      <c r="N1443" s="242"/>
      <c r="O1443" s="242"/>
      <c r="P1443" s="497"/>
      <c r="Q1443" s="496"/>
      <c r="R1443" s="503"/>
      <c r="S1443" s="504"/>
      <c r="T1443" s="505"/>
      <c r="U1443" s="504"/>
      <c r="V1443" s="504"/>
      <c r="W1443" s="77"/>
      <c r="X1443" s="77"/>
      <c r="Y1443" s="77"/>
      <c r="Z1443" s="77"/>
      <c r="AA1443" s="409"/>
      <c r="AB1443" s="506"/>
    </row>
    <row r="1444" spans="1:28" s="457" customFormat="1" ht="18" customHeight="1" x14ac:dyDescent="0.2">
      <c r="A1444" s="242"/>
      <c r="B1444" s="242"/>
      <c r="C1444" s="496"/>
      <c r="D1444" s="88"/>
      <c r="E1444" s="144"/>
      <c r="F1444" s="411"/>
      <c r="G1444" s="242"/>
      <c r="H1444" s="497"/>
      <c r="I1444" s="77"/>
      <c r="J1444" s="107"/>
      <c r="K1444" s="78"/>
      <c r="L1444" s="242"/>
      <c r="M1444" s="242"/>
      <c r="N1444" s="242"/>
      <c r="O1444" s="242"/>
      <c r="P1444" s="497"/>
      <c r="Q1444" s="496"/>
      <c r="R1444" s="503"/>
      <c r="S1444" s="504"/>
      <c r="T1444" s="505"/>
      <c r="U1444" s="504"/>
      <c r="V1444" s="504"/>
      <c r="W1444" s="77"/>
      <c r="X1444" s="77"/>
      <c r="Y1444" s="77"/>
      <c r="Z1444" s="77"/>
      <c r="AA1444" s="409"/>
      <c r="AB1444" s="506"/>
    </row>
    <row r="1445" spans="1:28" s="457" customFormat="1" ht="18" customHeight="1" x14ac:dyDescent="0.2">
      <c r="A1445" s="242"/>
      <c r="B1445" s="242"/>
      <c r="C1445" s="496"/>
      <c r="D1445" s="88"/>
      <c r="E1445" s="88"/>
      <c r="F1445" s="411"/>
      <c r="G1445" s="242"/>
      <c r="H1445" s="497"/>
      <c r="I1445" s="77"/>
      <c r="J1445" s="107"/>
      <c r="K1445" s="78"/>
      <c r="L1445" s="242"/>
      <c r="M1445" s="242"/>
      <c r="N1445" s="242"/>
      <c r="O1445" s="242"/>
      <c r="P1445" s="497"/>
      <c r="Q1445" s="496"/>
      <c r="R1445" s="503"/>
      <c r="S1445" s="504"/>
      <c r="T1445" s="505"/>
      <c r="U1445" s="504"/>
      <c r="V1445" s="504"/>
      <c r="W1445" s="77"/>
      <c r="X1445" s="77"/>
      <c r="Y1445" s="77"/>
      <c r="Z1445" s="77"/>
      <c r="AA1445" s="409"/>
      <c r="AB1445" s="506"/>
    </row>
    <row r="1446" spans="1:28" s="597" customFormat="1" ht="18" customHeight="1" x14ac:dyDescent="0.2">
      <c r="A1446" s="1850"/>
      <c r="B1446" s="1850"/>
      <c r="C1446" s="1850"/>
      <c r="D1446" s="1850"/>
      <c r="E1446" s="1850"/>
      <c r="F1446" s="1850"/>
      <c r="G1446" s="1850"/>
      <c r="H1446" s="1851"/>
      <c r="I1446" s="1852"/>
      <c r="J1446" s="1853"/>
      <c r="K1446" s="1852"/>
      <c r="L1446" s="1852"/>
      <c r="M1446" s="1852"/>
      <c r="N1446" s="1852"/>
      <c r="O1446" s="1852"/>
      <c r="P1446" s="1852"/>
      <c r="Q1446" s="1852"/>
      <c r="R1446" s="1854"/>
      <c r="S1446" s="1852"/>
      <c r="T1446" s="1855"/>
      <c r="U1446" s="1853"/>
      <c r="V1446" s="1852"/>
      <c r="W1446" s="1852"/>
      <c r="X1446" s="1856"/>
      <c r="Y1446" s="1856"/>
      <c r="Z1446" s="1857"/>
      <c r="AA1446" s="1857"/>
      <c r="AB1446" s="1847">
        <f>SUM(AB1431:AB1445)</f>
        <v>897.6</v>
      </c>
    </row>
    <row r="1447" spans="1:28" s="457" customFormat="1" ht="18" customHeight="1" x14ac:dyDescent="0.2">
      <c r="A1447" s="2737" t="s">
        <v>76</v>
      </c>
      <c r="B1447" s="2737"/>
      <c r="C1447" s="2738" t="s">
        <v>77</v>
      </c>
      <c r="D1447" s="2738"/>
      <c r="E1447" s="2738"/>
      <c r="F1447" s="2738"/>
      <c r="G1447" s="2738"/>
      <c r="H1447" s="2738"/>
      <c r="I1447" s="457" t="s">
        <v>78</v>
      </c>
      <c r="AB1447" s="478"/>
    </row>
    <row r="1448" spans="1:28" s="457" customFormat="1" ht="18" customHeight="1" x14ac:dyDescent="0.2">
      <c r="B1448" s="479"/>
      <c r="I1448" s="457" t="s">
        <v>79</v>
      </c>
      <c r="AB1448" s="478"/>
    </row>
    <row r="1449" spans="1:28" s="457" customFormat="1" ht="18" customHeight="1" x14ac:dyDescent="0.2">
      <c r="B1449" s="479"/>
      <c r="I1449" s="457" t="s">
        <v>80</v>
      </c>
      <c r="AB1449" s="478"/>
    </row>
    <row r="1450" spans="1:28" s="457" customFormat="1" ht="18" customHeight="1" x14ac:dyDescent="0.2">
      <c r="B1450" s="479"/>
      <c r="I1450" s="457" t="s">
        <v>81</v>
      </c>
      <c r="AB1450" s="478"/>
    </row>
    <row r="1451" spans="1:28" s="457" customFormat="1" ht="18" customHeight="1" x14ac:dyDescent="0.2">
      <c r="B1451" s="479"/>
      <c r="I1451" s="457" t="s">
        <v>88</v>
      </c>
      <c r="AB1451" s="478"/>
    </row>
    <row r="1452" spans="1:28" s="457" customFormat="1" ht="18" customHeight="1" x14ac:dyDescent="0.2">
      <c r="A1452" s="610"/>
      <c r="B1452" s="610"/>
      <c r="C1452" s="610"/>
      <c r="D1452" s="610"/>
      <c r="E1452" s="610"/>
      <c r="F1452" s="610"/>
      <c r="G1452" s="610"/>
      <c r="H1452" s="610"/>
      <c r="I1452" s="610"/>
      <c r="J1452" s="610"/>
      <c r="K1452" s="610"/>
      <c r="L1452" s="610"/>
      <c r="M1452" s="610"/>
      <c r="N1452" s="610"/>
      <c r="O1452" s="610"/>
      <c r="P1452" s="610"/>
      <c r="Q1452" s="610"/>
      <c r="R1452" s="610"/>
      <c r="S1452" s="610"/>
      <c r="T1452" s="610"/>
      <c r="U1452" s="610"/>
      <c r="V1452" s="610"/>
      <c r="W1452" s="610"/>
      <c r="X1452" s="610"/>
      <c r="Y1452" s="610"/>
      <c r="Z1452" s="610"/>
      <c r="AA1452" s="2706" t="s">
        <v>0</v>
      </c>
      <c r="AB1452" s="2706"/>
    </row>
    <row r="1453" spans="1:28" s="457" customFormat="1" ht="18" customHeight="1" x14ac:dyDescent="0.2">
      <c r="A1453" s="2706" t="s">
        <v>1</v>
      </c>
      <c r="B1453" s="2706"/>
      <c r="C1453" s="2706"/>
      <c r="D1453" s="2706"/>
      <c r="E1453" s="2706"/>
      <c r="F1453" s="2706"/>
      <c r="G1453" s="2706"/>
      <c r="H1453" s="2706"/>
      <c r="I1453" s="2706"/>
      <c r="J1453" s="2706"/>
      <c r="K1453" s="2706"/>
      <c r="L1453" s="2706"/>
      <c r="M1453" s="2706"/>
      <c r="N1453" s="2706"/>
      <c r="O1453" s="2706"/>
      <c r="P1453" s="2706"/>
      <c r="Q1453" s="2706"/>
      <c r="R1453" s="2706"/>
      <c r="S1453" s="2706"/>
      <c r="T1453" s="2706"/>
      <c r="U1453" s="2706"/>
      <c r="V1453" s="2706"/>
      <c r="W1453" s="2706"/>
      <c r="X1453" s="2706"/>
      <c r="Y1453" s="2706"/>
      <c r="Z1453" s="2706"/>
      <c r="AA1453" s="2706"/>
      <c r="AB1453" s="2706"/>
    </row>
    <row r="1454" spans="1:28" s="457" customFormat="1" ht="18" customHeight="1" x14ac:dyDescent="0.2">
      <c r="A1454" s="2704" t="s">
        <v>416</v>
      </c>
      <c r="B1454" s="2704"/>
      <c r="C1454" s="2704"/>
      <c r="D1454" s="2704"/>
      <c r="E1454" s="2704"/>
      <c r="F1454" s="2704"/>
      <c r="G1454" s="2704"/>
      <c r="H1454" s="2704"/>
      <c r="I1454" s="2704"/>
      <c r="J1454" s="2704"/>
      <c r="K1454" s="2704"/>
      <c r="L1454" s="2704"/>
      <c r="M1454" s="2704"/>
      <c r="N1454" s="2704"/>
      <c r="O1454" s="2704"/>
      <c r="P1454" s="2704"/>
      <c r="Q1454" s="2704"/>
      <c r="R1454" s="2704"/>
      <c r="S1454" s="2704"/>
      <c r="T1454" s="2704"/>
      <c r="U1454" s="2704"/>
      <c r="V1454" s="2704"/>
      <c r="W1454" s="2704"/>
      <c r="X1454" s="2704"/>
      <c r="Y1454" s="2704"/>
      <c r="Z1454" s="2704"/>
      <c r="AA1454" s="2704"/>
      <c r="AB1454" s="2704"/>
    </row>
    <row r="1455" spans="1:28" s="457" customFormat="1" ht="18" customHeight="1" x14ac:dyDescent="0.2">
      <c r="A1455" s="2686" t="s">
        <v>2</v>
      </c>
      <c r="B1455" s="360"/>
      <c r="C1455" s="2686" t="s">
        <v>3</v>
      </c>
      <c r="D1455" s="360"/>
      <c r="E1455" s="360"/>
      <c r="F1455" s="2693" t="s">
        <v>4</v>
      </c>
      <c r="G1455" s="2693"/>
      <c r="H1455" s="2693"/>
      <c r="I1455" s="2694"/>
      <c r="J1455" s="2694"/>
      <c r="K1455" s="2695"/>
      <c r="L1455" s="361"/>
      <c r="M1455" s="2679" t="s">
        <v>5</v>
      </c>
      <c r="N1455" s="2679"/>
      <c r="O1455" s="2679"/>
      <c r="P1455" s="2679"/>
      <c r="Q1455" s="2696"/>
      <c r="R1455" s="2696"/>
      <c r="S1455" s="2696"/>
      <c r="T1455" s="2696"/>
      <c r="U1455" s="2696"/>
      <c r="V1455" s="2697"/>
      <c r="W1455" s="362" t="s">
        <v>6</v>
      </c>
      <c r="X1455" s="363" t="s">
        <v>7</v>
      </c>
      <c r="Y1455" s="364"/>
      <c r="Z1455" s="364"/>
      <c r="AA1455" s="363"/>
      <c r="AB1455" s="458"/>
    </row>
    <row r="1456" spans="1:28" s="457" customFormat="1" ht="18" customHeight="1" x14ac:dyDescent="0.2">
      <c r="A1456" s="2687"/>
      <c r="B1456" s="367"/>
      <c r="C1456" s="2687"/>
      <c r="D1456" s="366" t="s">
        <v>9</v>
      </c>
      <c r="E1456" s="366" t="s">
        <v>10</v>
      </c>
      <c r="F1456" s="2698" t="s">
        <v>11</v>
      </c>
      <c r="G1456" s="2694"/>
      <c r="H1456" s="2695"/>
      <c r="I1456" s="360"/>
      <c r="J1456" s="449" t="s">
        <v>12</v>
      </c>
      <c r="K1456" s="360"/>
      <c r="L1456" s="2679" t="s">
        <v>2</v>
      </c>
      <c r="M1456" s="370"/>
      <c r="N1456" s="370"/>
      <c r="O1456" s="370"/>
      <c r="P1456" s="371"/>
      <c r="Q1456" s="459" t="s">
        <v>13</v>
      </c>
      <c r="R1456" s="370" t="s">
        <v>12</v>
      </c>
      <c r="S1456" s="370" t="s">
        <v>6</v>
      </c>
      <c r="T1456" s="2682" t="s">
        <v>14</v>
      </c>
      <c r="U1456" s="2683"/>
      <c r="V1456" s="375" t="s">
        <v>7</v>
      </c>
      <c r="W1456" s="376" t="s">
        <v>15</v>
      </c>
      <c r="X1456" s="377" t="s">
        <v>16</v>
      </c>
      <c r="Y1456" s="377" t="s">
        <v>17</v>
      </c>
      <c r="Z1456" s="377" t="s">
        <v>18</v>
      </c>
      <c r="AA1456" s="377"/>
      <c r="AB1456" s="460" t="s">
        <v>19</v>
      </c>
    </row>
    <row r="1457" spans="1:28" s="457" customFormat="1" ht="18" customHeight="1" x14ac:dyDescent="0.2">
      <c r="A1457" s="2687"/>
      <c r="B1457" s="366" t="s">
        <v>23</v>
      </c>
      <c r="C1457" s="2687"/>
      <c r="D1457" s="366" t="s">
        <v>24</v>
      </c>
      <c r="E1457" s="366" t="s">
        <v>25</v>
      </c>
      <c r="F1457" s="2699"/>
      <c r="G1457" s="2700"/>
      <c r="H1457" s="2701"/>
      <c r="I1457" s="366" t="s">
        <v>26</v>
      </c>
      <c r="J1457" s="380" t="s">
        <v>15</v>
      </c>
      <c r="K1457" s="380" t="s">
        <v>6</v>
      </c>
      <c r="L1457" s="2680"/>
      <c r="M1457" s="381" t="s">
        <v>27</v>
      </c>
      <c r="N1457" s="381" t="s">
        <v>10</v>
      </c>
      <c r="O1457" s="381" t="s">
        <v>10</v>
      </c>
      <c r="P1457" s="385" t="s">
        <v>28</v>
      </c>
      <c r="Q1457" s="461" t="s">
        <v>29</v>
      </c>
      <c r="R1457" s="385" t="s">
        <v>15</v>
      </c>
      <c r="S1457" s="385" t="s">
        <v>15</v>
      </c>
      <c r="T1457" s="2684"/>
      <c r="U1457" s="2685"/>
      <c r="V1457" s="375" t="s">
        <v>30</v>
      </c>
      <c r="W1457" s="376" t="s">
        <v>31</v>
      </c>
      <c r="X1457" s="377" t="s">
        <v>30</v>
      </c>
      <c r="Y1457" s="377" t="s">
        <v>32</v>
      </c>
      <c r="Z1457" s="377" t="s">
        <v>7</v>
      </c>
      <c r="AA1457" s="377" t="s">
        <v>33</v>
      </c>
      <c r="AB1457" s="460" t="s">
        <v>34</v>
      </c>
    </row>
    <row r="1458" spans="1:28" s="457" customFormat="1" ht="18" customHeight="1" x14ac:dyDescent="0.2">
      <c r="A1458" s="2687"/>
      <c r="B1458" s="366" t="s">
        <v>39</v>
      </c>
      <c r="C1458" s="2687"/>
      <c r="D1458" s="366" t="s">
        <v>40</v>
      </c>
      <c r="E1458" s="366" t="s">
        <v>41</v>
      </c>
      <c r="F1458" s="2686" t="s">
        <v>42</v>
      </c>
      <c r="G1458" s="2686" t="s">
        <v>43</v>
      </c>
      <c r="H1458" s="2688" t="s">
        <v>44</v>
      </c>
      <c r="I1458" s="366" t="s">
        <v>45</v>
      </c>
      <c r="J1458" s="380" t="s">
        <v>46</v>
      </c>
      <c r="K1458" s="380" t="s">
        <v>47</v>
      </c>
      <c r="L1458" s="2680"/>
      <c r="M1458" s="381" t="s">
        <v>30</v>
      </c>
      <c r="N1458" s="381" t="s">
        <v>30</v>
      </c>
      <c r="O1458" s="381" t="s">
        <v>25</v>
      </c>
      <c r="P1458" s="385" t="s">
        <v>30</v>
      </c>
      <c r="Q1458" s="461" t="s">
        <v>48</v>
      </c>
      <c r="R1458" s="385" t="s">
        <v>49</v>
      </c>
      <c r="S1458" s="385" t="s">
        <v>30</v>
      </c>
      <c r="T1458" s="374" t="s">
        <v>50</v>
      </c>
      <c r="U1458" s="374" t="s">
        <v>13</v>
      </c>
      <c r="V1458" s="375" t="s">
        <v>51</v>
      </c>
      <c r="W1458" s="376" t="s">
        <v>52</v>
      </c>
      <c r="X1458" s="377" t="s">
        <v>53</v>
      </c>
      <c r="Y1458" s="377" t="s">
        <v>54</v>
      </c>
      <c r="Z1458" s="377" t="s">
        <v>55</v>
      </c>
      <c r="AA1458" s="377" t="s">
        <v>56</v>
      </c>
      <c r="AB1458" s="460" t="s">
        <v>57</v>
      </c>
    </row>
    <row r="1459" spans="1:28" s="457" customFormat="1" ht="18" customHeight="1" x14ac:dyDescent="0.2">
      <c r="A1459" s="2687"/>
      <c r="B1459" s="366" t="s">
        <v>61</v>
      </c>
      <c r="C1459" s="2687"/>
      <c r="D1459" s="366" t="s">
        <v>62</v>
      </c>
      <c r="E1459" s="366" t="s">
        <v>63</v>
      </c>
      <c r="F1459" s="2687"/>
      <c r="G1459" s="2687"/>
      <c r="H1459" s="2689"/>
      <c r="I1459" s="366" t="s">
        <v>64</v>
      </c>
      <c r="J1459" s="380" t="s">
        <v>59</v>
      </c>
      <c r="K1459" s="380" t="s">
        <v>59</v>
      </c>
      <c r="L1459" s="2680"/>
      <c r="M1459" s="381"/>
      <c r="N1459" s="381"/>
      <c r="O1459" s="381" t="s">
        <v>41</v>
      </c>
      <c r="P1459" s="385" t="s">
        <v>65</v>
      </c>
      <c r="Q1459" s="461" t="s">
        <v>66</v>
      </c>
      <c r="R1459" s="385" t="s">
        <v>67</v>
      </c>
      <c r="S1459" s="385" t="s">
        <v>59</v>
      </c>
      <c r="T1459" s="375" t="s">
        <v>68</v>
      </c>
      <c r="U1459" s="375" t="s">
        <v>14</v>
      </c>
      <c r="V1459" s="375" t="s">
        <v>14</v>
      </c>
      <c r="W1459" s="376" t="s">
        <v>30</v>
      </c>
      <c r="X1459" s="388" t="s">
        <v>69</v>
      </c>
      <c r="Y1459" s="388" t="s">
        <v>70</v>
      </c>
      <c r="Z1459" s="377" t="s">
        <v>71</v>
      </c>
      <c r="AA1459" s="377" t="s">
        <v>72</v>
      </c>
      <c r="AB1459" s="460" t="s">
        <v>59</v>
      </c>
    </row>
    <row r="1460" spans="1:28" s="457" customFormat="1" ht="18" customHeight="1" x14ac:dyDescent="0.2">
      <c r="A1460" s="2692"/>
      <c r="B1460" s="390"/>
      <c r="C1460" s="2692"/>
      <c r="D1460" s="390"/>
      <c r="E1460" s="389"/>
      <c r="F1460" s="390"/>
      <c r="G1460" s="390"/>
      <c r="H1460" s="391"/>
      <c r="I1460" s="389"/>
      <c r="J1460" s="393"/>
      <c r="K1460" s="393"/>
      <c r="L1460" s="2681"/>
      <c r="M1460" s="394"/>
      <c r="N1460" s="394"/>
      <c r="O1460" s="394" t="s">
        <v>63</v>
      </c>
      <c r="P1460" s="394"/>
      <c r="Q1460" s="450" t="s">
        <v>72</v>
      </c>
      <c r="R1460" s="398" t="s">
        <v>59</v>
      </c>
      <c r="S1460" s="398"/>
      <c r="T1460" s="398" t="s">
        <v>73</v>
      </c>
      <c r="U1460" s="398" t="s">
        <v>59</v>
      </c>
      <c r="V1460" s="399" t="s">
        <v>59</v>
      </c>
      <c r="W1460" s="400" t="s">
        <v>59</v>
      </c>
      <c r="X1460" s="401" t="s">
        <v>59</v>
      </c>
      <c r="Y1460" s="401" t="s">
        <v>59</v>
      </c>
      <c r="Z1460" s="401" t="s">
        <v>59</v>
      </c>
      <c r="AA1460" s="402"/>
      <c r="AB1460" s="462"/>
    </row>
    <row r="1461" spans="1:28" s="597" customFormat="1" ht="18" customHeight="1" x14ac:dyDescent="0.2">
      <c r="A1461" s="53">
        <v>1</v>
      </c>
      <c r="B1461" s="95">
        <v>66806</v>
      </c>
      <c r="C1461" s="82">
        <v>3626</v>
      </c>
      <c r="D1461" s="82" t="s">
        <v>86</v>
      </c>
      <c r="E1461" s="82">
        <v>4</v>
      </c>
      <c r="F1461" s="82">
        <v>0</v>
      </c>
      <c r="G1461" s="82">
        <v>2</v>
      </c>
      <c r="H1461" s="463">
        <v>10</v>
      </c>
      <c r="I1461" s="1393">
        <f>F1461*400+G1461*100+H1461</f>
        <v>210</v>
      </c>
      <c r="J1461" s="1394">
        <v>1700</v>
      </c>
      <c r="K1461" s="1395">
        <f>SUM(I1461*J1461)</f>
        <v>357000</v>
      </c>
      <c r="L1461" s="53"/>
      <c r="M1461" s="82"/>
      <c r="N1461" s="82"/>
      <c r="O1461" s="53"/>
      <c r="P1461" s="82"/>
      <c r="Q1461" s="197"/>
      <c r="R1461" s="1396"/>
      <c r="S1461" s="1393"/>
      <c r="T1461" s="82"/>
      <c r="U1461" s="1393"/>
      <c r="V1461" s="1393"/>
      <c r="W1461" s="1393">
        <f>K1461+V1461</f>
        <v>357000</v>
      </c>
      <c r="X1461" s="1394">
        <f>W1461</f>
        <v>357000</v>
      </c>
      <c r="Y1461" s="1394" t="s">
        <v>213</v>
      </c>
      <c r="Z1461" s="1394"/>
      <c r="AA1461" s="1397">
        <v>0.1</v>
      </c>
      <c r="AB1461" s="742">
        <f>+Z1461*AA1461/100</f>
        <v>0</v>
      </c>
    </row>
    <row r="1462" spans="1:28" s="457" customFormat="1" ht="18" customHeight="1" x14ac:dyDescent="0.2">
      <c r="A1462" s="242"/>
      <c r="B1462" s="145"/>
      <c r="C1462" s="145"/>
      <c r="D1462" s="88"/>
      <c r="E1462" s="85"/>
      <c r="F1462" s="411"/>
      <c r="G1462" s="242"/>
      <c r="H1462" s="497">
        <v>20</v>
      </c>
      <c r="I1462" s="205">
        <v>20</v>
      </c>
      <c r="J1462" s="181">
        <v>1701</v>
      </c>
      <c r="K1462" s="1398">
        <f>SUM(I1462*J1462)</f>
        <v>34020</v>
      </c>
      <c r="L1462" s="75">
        <v>1</v>
      </c>
      <c r="M1462" s="88">
        <v>101</v>
      </c>
      <c r="N1462" s="88" t="s">
        <v>74</v>
      </c>
      <c r="O1462" s="75">
        <v>2</v>
      </c>
      <c r="P1462" s="88">
        <v>80</v>
      </c>
      <c r="Q1462" s="174" t="s">
        <v>75</v>
      </c>
      <c r="R1462" s="745">
        <v>9050</v>
      </c>
      <c r="S1462" s="205">
        <f>R1462*P1462</f>
        <v>724000</v>
      </c>
      <c r="T1462" s="115">
        <v>2</v>
      </c>
      <c r="U1462" s="1846">
        <f>S1462*0.02</f>
        <v>14480</v>
      </c>
      <c r="V1462" s="205">
        <f>S1462-U1462</f>
        <v>709520</v>
      </c>
      <c r="W1462" s="205">
        <f>K1462+V1462</f>
        <v>743540</v>
      </c>
      <c r="X1462" s="181">
        <f>W1462</f>
        <v>743540</v>
      </c>
      <c r="Y1462" s="181"/>
      <c r="Z1462" s="181">
        <f>+X1462</f>
        <v>743540</v>
      </c>
      <c r="AA1462" s="1320">
        <v>0.02</v>
      </c>
      <c r="AB1462" s="744">
        <f>Z1462*AA1462/100</f>
        <v>148.708</v>
      </c>
    </row>
    <row r="1463" spans="1:28" s="457" customFormat="1" ht="18" customHeight="1" x14ac:dyDescent="0.2">
      <c r="A1463" s="242"/>
      <c r="B1463" s="145"/>
      <c r="C1463" s="496"/>
      <c r="D1463" s="145"/>
      <c r="E1463" s="102"/>
      <c r="F1463" s="499"/>
      <c r="G1463" s="241"/>
      <c r="H1463" s="500"/>
      <c r="I1463" s="244"/>
      <c r="J1463" s="178"/>
      <c r="K1463" s="247"/>
      <c r="L1463" s="61"/>
      <c r="M1463" s="145"/>
      <c r="N1463" s="145"/>
      <c r="O1463" s="61"/>
      <c r="P1463" s="145"/>
      <c r="Q1463" s="196"/>
      <c r="R1463" s="1399"/>
      <c r="S1463" s="244"/>
      <c r="T1463" s="145"/>
      <c r="U1463" s="244"/>
      <c r="V1463" s="244"/>
      <c r="W1463" s="244"/>
      <c r="X1463" s="244"/>
      <c r="Y1463" s="244"/>
      <c r="Z1463" s="244"/>
      <c r="AA1463" s="747"/>
      <c r="AB1463" s="744"/>
    </row>
    <row r="1464" spans="1:28" s="457" customFormat="1" ht="18" customHeight="1" x14ac:dyDescent="0.2">
      <c r="A1464" s="242"/>
      <c r="B1464" s="242"/>
      <c r="C1464" s="496"/>
      <c r="D1464" s="144"/>
      <c r="E1464" s="85"/>
      <c r="F1464" s="411"/>
      <c r="G1464" s="242"/>
      <c r="H1464" s="497"/>
      <c r="I1464" s="244"/>
      <c r="J1464" s="178"/>
      <c r="K1464" s="247"/>
      <c r="L1464" s="242"/>
      <c r="M1464" s="242"/>
      <c r="N1464" s="242"/>
      <c r="O1464" s="242"/>
      <c r="P1464" s="497"/>
      <c r="Q1464" s="496"/>
      <c r="R1464" s="1400"/>
      <c r="S1464" s="1401"/>
      <c r="T1464" s="1402"/>
      <c r="U1464" s="1401"/>
      <c r="V1464" s="1401"/>
      <c r="W1464" s="244"/>
      <c r="X1464" s="244"/>
      <c r="Y1464" s="244"/>
      <c r="Z1464" s="244"/>
      <c r="AA1464" s="747"/>
      <c r="AB1464" s="660"/>
    </row>
    <row r="1465" spans="1:28" s="457" customFormat="1" ht="18" customHeight="1" x14ac:dyDescent="0.2">
      <c r="A1465" s="242"/>
      <c r="B1465" s="242"/>
      <c r="C1465" s="496"/>
      <c r="D1465" s="88"/>
      <c r="E1465" s="85"/>
      <c r="F1465" s="411"/>
      <c r="G1465" s="242"/>
      <c r="H1465" s="497"/>
      <c r="I1465" s="244"/>
      <c r="J1465" s="178"/>
      <c r="K1465" s="247"/>
      <c r="L1465" s="242"/>
      <c r="M1465" s="242"/>
      <c r="N1465" s="242"/>
      <c r="O1465" s="242"/>
      <c r="P1465" s="497"/>
      <c r="Q1465" s="496"/>
      <c r="R1465" s="1400"/>
      <c r="S1465" s="1401"/>
      <c r="T1465" s="1402"/>
      <c r="U1465" s="1401"/>
      <c r="V1465" s="1401"/>
      <c r="W1465" s="244"/>
      <c r="X1465" s="244"/>
      <c r="Y1465" s="244"/>
      <c r="Z1465" s="244"/>
      <c r="AA1465" s="747"/>
      <c r="AB1465" s="744"/>
    </row>
    <row r="1466" spans="1:28" s="457" customFormat="1" ht="18" customHeight="1" x14ac:dyDescent="0.2">
      <c r="A1466" s="242"/>
      <c r="B1466" s="242"/>
      <c r="C1466" s="496"/>
      <c r="D1466" s="144"/>
      <c r="E1466" s="88"/>
      <c r="F1466" s="411"/>
      <c r="G1466" s="242"/>
      <c r="H1466" s="497"/>
      <c r="I1466" s="244"/>
      <c r="J1466" s="178"/>
      <c r="K1466" s="247"/>
      <c r="L1466" s="242"/>
      <c r="M1466" s="242"/>
      <c r="N1466" s="242"/>
      <c r="O1466" s="242"/>
      <c r="P1466" s="497"/>
      <c r="Q1466" s="496"/>
      <c r="R1466" s="1400"/>
      <c r="S1466" s="1401"/>
      <c r="T1466" s="1402"/>
      <c r="U1466" s="1401"/>
      <c r="V1466" s="1401"/>
      <c r="W1466" s="244"/>
      <c r="X1466" s="244"/>
      <c r="Y1466" s="244"/>
      <c r="Z1466" s="244"/>
      <c r="AA1466" s="747"/>
      <c r="AB1466" s="1403"/>
    </row>
    <row r="1467" spans="1:28" s="457" customFormat="1" ht="18" customHeight="1" x14ac:dyDescent="0.2">
      <c r="A1467" s="242"/>
      <c r="B1467" s="242"/>
      <c r="C1467" s="496"/>
      <c r="D1467" s="88"/>
      <c r="E1467" s="231"/>
      <c r="F1467" s="411"/>
      <c r="G1467" s="242"/>
      <c r="H1467" s="497"/>
      <c r="I1467" s="244"/>
      <c r="J1467" s="178"/>
      <c r="K1467" s="247"/>
      <c r="L1467" s="242"/>
      <c r="M1467" s="242"/>
      <c r="N1467" s="242"/>
      <c r="O1467" s="242"/>
      <c r="P1467" s="497"/>
      <c r="Q1467" s="496"/>
      <c r="R1467" s="1400"/>
      <c r="S1467" s="1401"/>
      <c r="T1467" s="1402"/>
      <c r="U1467" s="1401"/>
      <c r="V1467" s="1401"/>
      <c r="W1467" s="244"/>
      <c r="X1467" s="244"/>
      <c r="Y1467" s="244"/>
      <c r="Z1467" s="244"/>
      <c r="AA1467" s="747"/>
      <c r="AB1467" s="1403"/>
    </row>
    <row r="1468" spans="1:28" s="457" customFormat="1" ht="18" customHeight="1" x14ac:dyDescent="0.2">
      <c r="A1468" s="242"/>
      <c r="B1468" s="242"/>
      <c r="C1468" s="496"/>
      <c r="D1468" s="231"/>
      <c r="E1468" s="144"/>
      <c r="F1468" s="411"/>
      <c r="G1468" s="242"/>
      <c r="H1468" s="497"/>
      <c r="I1468" s="244"/>
      <c r="J1468" s="178"/>
      <c r="K1468" s="247"/>
      <c r="L1468" s="242"/>
      <c r="M1468" s="242"/>
      <c r="N1468" s="242"/>
      <c r="O1468" s="242"/>
      <c r="P1468" s="497"/>
      <c r="Q1468" s="496"/>
      <c r="R1468" s="1400"/>
      <c r="S1468" s="1401"/>
      <c r="T1468" s="1402"/>
      <c r="U1468" s="1401"/>
      <c r="V1468" s="1401"/>
      <c r="W1468" s="244"/>
      <c r="X1468" s="244"/>
      <c r="Y1468" s="244"/>
      <c r="Z1468" s="244"/>
      <c r="AA1468" s="747"/>
      <c r="AB1468" s="1403"/>
    </row>
    <row r="1469" spans="1:28" s="457" customFormat="1" ht="18" customHeight="1" x14ac:dyDescent="0.2">
      <c r="A1469" s="242"/>
      <c r="B1469" s="242"/>
      <c r="C1469" s="496"/>
      <c r="D1469" s="144"/>
      <c r="E1469" s="144"/>
      <c r="F1469" s="411"/>
      <c r="G1469" s="242"/>
      <c r="H1469" s="497"/>
      <c r="I1469" s="244"/>
      <c r="J1469" s="178"/>
      <c r="K1469" s="247"/>
      <c r="L1469" s="242"/>
      <c r="M1469" s="242"/>
      <c r="N1469" s="242"/>
      <c r="O1469" s="242"/>
      <c r="P1469" s="497"/>
      <c r="Q1469" s="496"/>
      <c r="R1469" s="1400"/>
      <c r="S1469" s="1401"/>
      <c r="T1469" s="1402"/>
      <c r="U1469" s="1401"/>
      <c r="V1469" s="1401"/>
      <c r="W1469" s="244"/>
      <c r="X1469" s="244"/>
      <c r="Y1469" s="244"/>
      <c r="Z1469" s="244"/>
      <c r="AA1469" s="747"/>
      <c r="AB1469" s="1403"/>
    </row>
    <row r="1470" spans="1:28" s="457" customFormat="1" ht="18" customHeight="1" x14ac:dyDescent="0.2">
      <c r="A1470" s="242"/>
      <c r="B1470" s="242"/>
      <c r="C1470" s="496"/>
      <c r="D1470" s="88"/>
      <c r="E1470" s="144"/>
      <c r="F1470" s="411"/>
      <c r="G1470" s="242"/>
      <c r="H1470" s="497"/>
      <c r="I1470" s="244"/>
      <c r="J1470" s="178"/>
      <c r="K1470" s="247"/>
      <c r="L1470" s="242"/>
      <c r="M1470" s="242"/>
      <c r="N1470" s="242"/>
      <c r="O1470" s="242"/>
      <c r="P1470" s="497"/>
      <c r="Q1470" s="496"/>
      <c r="R1470" s="1400"/>
      <c r="S1470" s="1401"/>
      <c r="T1470" s="1402"/>
      <c r="U1470" s="1401"/>
      <c r="V1470" s="1401"/>
      <c r="W1470" s="244"/>
      <c r="X1470" s="244"/>
      <c r="Y1470" s="244"/>
      <c r="Z1470" s="244"/>
      <c r="AA1470" s="747"/>
      <c r="AB1470" s="1403"/>
    </row>
    <row r="1471" spans="1:28" s="457" customFormat="1" ht="18" customHeight="1" x14ac:dyDescent="0.2">
      <c r="A1471" s="242"/>
      <c r="B1471" s="242"/>
      <c r="C1471" s="496"/>
      <c r="D1471" s="231"/>
      <c r="E1471" s="88"/>
      <c r="F1471" s="411"/>
      <c r="G1471" s="242"/>
      <c r="H1471" s="497"/>
      <c r="I1471" s="244"/>
      <c r="J1471" s="178"/>
      <c r="K1471" s="247"/>
      <c r="L1471" s="242"/>
      <c r="M1471" s="242"/>
      <c r="N1471" s="242"/>
      <c r="O1471" s="242"/>
      <c r="P1471" s="497"/>
      <c r="Q1471" s="496"/>
      <c r="R1471" s="1400"/>
      <c r="S1471" s="1401"/>
      <c r="T1471" s="1402"/>
      <c r="U1471" s="1401"/>
      <c r="V1471" s="1401"/>
      <c r="W1471" s="244"/>
      <c r="X1471" s="244"/>
      <c r="Y1471" s="244"/>
      <c r="Z1471" s="244"/>
      <c r="AA1471" s="747"/>
      <c r="AB1471" s="1403"/>
    </row>
    <row r="1472" spans="1:28" s="457" customFormat="1" ht="18" customHeight="1" x14ac:dyDescent="0.2">
      <c r="A1472" s="242"/>
      <c r="B1472" s="242"/>
      <c r="C1472" s="496"/>
      <c r="D1472" s="144"/>
      <c r="E1472" s="88"/>
      <c r="F1472" s="411"/>
      <c r="G1472" s="242"/>
      <c r="H1472" s="497"/>
      <c r="I1472" s="244"/>
      <c r="J1472" s="178"/>
      <c r="K1472" s="247"/>
      <c r="L1472" s="242"/>
      <c r="M1472" s="242"/>
      <c r="N1472" s="242"/>
      <c r="O1472" s="242"/>
      <c r="P1472" s="497"/>
      <c r="Q1472" s="496"/>
      <c r="R1472" s="1400"/>
      <c r="S1472" s="1401"/>
      <c r="T1472" s="1402"/>
      <c r="U1472" s="1401"/>
      <c r="V1472" s="1401"/>
      <c r="W1472" s="244"/>
      <c r="X1472" s="244"/>
      <c r="Y1472" s="244"/>
      <c r="Z1472" s="244"/>
      <c r="AA1472" s="747"/>
      <c r="AB1472" s="1403"/>
    </row>
    <row r="1473" spans="1:28" s="457" customFormat="1" ht="18" customHeight="1" x14ac:dyDescent="0.2">
      <c r="A1473" s="242"/>
      <c r="B1473" s="242"/>
      <c r="C1473" s="496"/>
      <c r="D1473" s="88"/>
      <c r="E1473" s="231"/>
      <c r="F1473" s="411"/>
      <c r="G1473" s="242"/>
      <c r="H1473" s="497"/>
      <c r="I1473" s="244"/>
      <c r="J1473" s="178"/>
      <c r="K1473" s="247"/>
      <c r="L1473" s="242"/>
      <c r="M1473" s="242"/>
      <c r="N1473" s="242"/>
      <c r="O1473" s="242"/>
      <c r="P1473" s="497"/>
      <c r="Q1473" s="496"/>
      <c r="R1473" s="1400"/>
      <c r="S1473" s="1401"/>
      <c r="T1473" s="1402"/>
      <c r="U1473" s="1401"/>
      <c r="V1473" s="1401"/>
      <c r="W1473" s="244"/>
      <c r="X1473" s="244"/>
      <c r="Y1473" s="244"/>
      <c r="Z1473" s="244"/>
      <c r="AA1473" s="747"/>
      <c r="AB1473" s="1403"/>
    </row>
    <row r="1474" spans="1:28" s="457" customFormat="1" ht="18" customHeight="1" x14ac:dyDescent="0.2">
      <c r="A1474" s="242"/>
      <c r="B1474" s="242"/>
      <c r="C1474" s="496"/>
      <c r="D1474" s="88"/>
      <c r="E1474" s="144"/>
      <c r="F1474" s="411"/>
      <c r="G1474" s="242"/>
      <c r="H1474" s="497"/>
      <c r="I1474" s="244"/>
      <c r="J1474" s="178"/>
      <c r="K1474" s="247"/>
      <c r="L1474" s="242"/>
      <c r="M1474" s="242"/>
      <c r="N1474" s="242"/>
      <c r="O1474" s="242"/>
      <c r="P1474" s="497"/>
      <c r="Q1474" s="496"/>
      <c r="R1474" s="1400"/>
      <c r="S1474" s="1401"/>
      <c r="T1474" s="1402"/>
      <c r="U1474" s="1401"/>
      <c r="V1474" s="1401"/>
      <c r="W1474" s="244"/>
      <c r="X1474" s="244"/>
      <c r="Y1474" s="244"/>
      <c r="Z1474" s="244"/>
      <c r="AA1474" s="747"/>
      <c r="AB1474" s="1403"/>
    </row>
    <row r="1475" spans="1:28" s="457" customFormat="1" ht="18" customHeight="1" x14ac:dyDescent="0.2">
      <c r="A1475" s="88"/>
      <c r="B1475" s="88"/>
      <c r="C1475" s="88"/>
      <c r="D1475" s="88"/>
      <c r="E1475" s="88"/>
      <c r="F1475" s="88"/>
      <c r="G1475" s="88"/>
      <c r="H1475" s="120"/>
      <c r="I1475" s="181"/>
      <c r="J1475" s="181"/>
      <c r="K1475" s="181"/>
      <c r="L1475" s="88"/>
      <c r="M1475" s="88"/>
      <c r="N1475" s="88"/>
      <c r="O1475" s="88"/>
      <c r="P1475" s="88"/>
      <c r="Q1475" s="129"/>
      <c r="R1475" s="445"/>
      <c r="S1475" s="181"/>
      <c r="T1475" s="182"/>
      <c r="U1475" s="181"/>
      <c r="V1475" s="181"/>
      <c r="W1475" s="181"/>
      <c r="X1475" s="472"/>
      <c r="Y1475" s="472"/>
      <c r="Z1475" s="659"/>
      <c r="AA1475" s="659"/>
      <c r="AB1475" s="660"/>
    </row>
    <row r="1476" spans="1:28" s="597" customFormat="1" ht="18" customHeight="1" x14ac:dyDescent="0.2">
      <c r="A1476" s="1850"/>
      <c r="B1476" s="1850"/>
      <c r="C1476" s="1850"/>
      <c r="D1476" s="1850"/>
      <c r="E1476" s="1850"/>
      <c r="F1476" s="1850"/>
      <c r="G1476" s="1850"/>
      <c r="H1476" s="1851"/>
      <c r="I1476" s="1853"/>
      <c r="J1476" s="1853"/>
      <c r="K1476" s="1853"/>
      <c r="L1476" s="1853"/>
      <c r="M1476" s="1853"/>
      <c r="N1476" s="1853"/>
      <c r="O1476" s="1853"/>
      <c r="P1476" s="1853"/>
      <c r="Q1476" s="1853"/>
      <c r="R1476" s="1854"/>
      <c r="S1476" s="1853"/>
      <c r="T1476" s="1855"/>
      <c r="U1476" s="1853"/>
      <c r="V1476" s="1853"/>
      <c r="W1476" s="1853"/>
      <c r="X1476" s="1856"/>
      <c r="Y1476" s="1856"/>
      <c r="Z1476" s="1858"/>
      <c r="AA1476" s="1858"/>
      <c r="AB1476" s="1848">
        <f>SUM(AB1461:AB1475)</f>
        <v>148.708</v>
      </c>
    </row>
    <row r="1477" spans="1:28" s="457" customFormat="1" ht="18" customHeight="1" x14ac:dyDescent="0.2">
      <c r="A1477" s="2737" t="s">
        <v>76</v>
      </c>
      <c r="B1477" s="2737"/>
      <c r="C1477" s="2738" t="s">
        <v>77</v>
      </c>
      <c r="D1477" s="2738"/>
      <c r="E1477" s="2738"/>
      <c r="F1477" s="2738"/>
      <c r="G1477" s="2738"/>
      <c r="H1477" s="2738"/>
      <c r="I1477" s="457" t="s">
        <v>78</v>
      </c>
      <c r="AB1477" s="750"/>
    </row>
    <row r="1478" spans="1:28" s="457" customFormat="1" ht="18" customHeight="1" x14ac:dyDescent="0.2">
      <c r="B1478" s="479"/>
      <c r="I1478" s="457" t="s">
        <v>79</v>
      </c>
      <c r="AB1478" s="750"/>
    </row>
    <row r="1479" spans="1:28" s="457" customFormat="1" ht="18" customHeight="1" x14ac:dyDescent="0.2">
      <c r="B1479" s="479"/>
      <c r="I1479" s="457" t="s">
        <v>80</v>
      </c>
      <c r="AB1479" s="750"/>
    </row>
    <row r="1480" spans="1:28" s="457" customFormat="1" ht="18" customHeight="1" x14ac:dyDescent="0.2">
      <c r="B1480" s="479"/>
      <c r="I1480" s="457" t="s">
        <v>81</v>
      </c>
      <c r="AB1480" s="750"/>
    </row>
    <row r="1481" spans="1:28" s="457" customFormat="1" ht="18" customHeight="1" x14ac:dyDescent="0.2">
      <c r="B1481" s="479"/>
      <c r="I1481" s="457" t="s">
        <v>88</v>
      </c>
      <c r="AB1481" s="750"/>
    </row>
    <row r="1482" spans="1:28" s="457" customFormat="1" ht="18" customHeight="1" x14ac:dyDescent="0.2">
      <c r="A1482" s="455"/>
      <c r="B1482" s="455"/>
      <c r="C1482" s="455"/>
      <c r="D1482" s="455"/>
      <c r="E1482" s="455"/>
      <c r="F1482" s="455"/>
      <c r="G1482" s="455"/>
      <c r="H1482" s="455"/>
      <c r="I1482" s="455"/>
      <c r="J1482" s="455"/>
      <c r="K1482" s="455"/>
      <c r="L1482" s="455"/>
      <c r="M1482" s="455"/>
      <c r="N1482" s="455"/>
      <c r="O1482" s="455"/>
      <c r="P1482" s="455"/>
      <c r="Q1482" s="455"/>
      <c r="R1482" s="455"/>
      <c r="S1482" s="455"/>
      <c r="T1482" s="455"/>
      <c r="U1482" s="455"/>
      <c r="V1482" s="455"/>
      <c r="W1482" s="455"/>
      <c r="X1482" s="455"/>
      <c r="Y1482" s="455"/>
      <c r="Z1482" s="455"/>
      <c r="AA1482" s="2705" t="s">
        <v>0</v>
      </c>
      <c r="AB1482" s="2705"/>
    </row>
    <row r="1483" spans="1:28" s="457" customFormat="1" ht="18" customHeight="1" x14ac:dyDescent="0.2">
      <c r="A1483" s="2706" t="s">
        <v>1</v>
      </c>
      <c r="B1483" s="2706"/>
      <c r="C1483" s="2706"/>
      <c r="D1483" s="2706"/>
      <c r="E1483" s="2706"/>
      <c r="F1483" s="2706"/>
      <c r="G1483" s="2706"/>
      <c r="H1483" s="2706"/>
      <c r="I1483" s="2706"/>
      <c r="J1483" s="2706"/>
      <c r="K1483" s="2706"/>
      <c r="L1483" s="2706"/>
      <c r="M1483" s="2706"/>
      <c r="N1483" s="2706"/>
      <c r="O1483" s="2706"/>
      <c r="P1483" s="2706"/>
      <c r="Q1483" s="2706"/>
      <c r="R1483" s="2706"/>
      <c r="S1483" s="2706"/>
      <c r="T1483" s="2706"/>
      <c r="U1483" s="2706"/>
      <c r="V1483" s="2706"/>
      <c r="W1483" s="2706"/>
      <c r="X1483" s="2706"/>
      <c r="Y1483" s="2706"/>
      <c r="Z1483" s="2706"/>
      <c r="AA1483" s="2706"/>
      <c r="AB1483" s="2706"/>
    </row>
    <row r="1484" spans="1:28" s="457" customFormat="1" ht="18" customHeight="1" x14ac:dyDescent="0.2">
      <c r="A1484" s="2704" t="s">
        <v>417</v>
      </c>
      <c r="B1484" s="2704"/>
      <c r="C1484" s="2704"/>
      <c r="D1484" s="2704"/>
      <c r="E1484" s="2704"/>
      <c r="F1484" s="2704"/>
      <c r="G1484" s="2704"/>
      <c r="H1484" s="2704"/>
      <c r="I1484" s="2704"/>
      <c r="J1484" s="2704"/>
      <c r="K1484" s="2704"/>
      <c r="L1484" s="2704"/>
      <c r="M1484" s="2704"/>
      <c r="N1484" s="2704"/>
      <c r="O1484" s="2704"/>
      <c r="P1484" s="2704"/>
      <c r="Q1484" s="2704"/>
      <c r="R1484" s="2704"/>
      <c r="S1484" s="2704"/>
      <c r="T1484" s="2704"/>
      <c r="U1484" s="2704"/>
      <c r="V1484" s="2704"/>
      <c r="W1484" s="2704"/>
      <c r="X1484" s="2704"/>
      <c r="Y1484" s="2704"/>
      <c r="Z1484" s="2704"/>
      <c r="AA1484" s="2704"/>
      <c r="AB1484" s="2704"/>
    </row>
    <row r="1485" spans="1:28" s="457" customFormat="1" ht="18" customHeight="1" x14ac:dyDescent="0.2">
      <c r="A1485" s="2686" t="s">
        <v>2</v>
      </c>
      <c r="B1485" s="360"/>
      <c r="C1485" s="2686" t="s">
        <v>3</v>
      </c>
      <c r="D1485" s="360"/>
      <c r="E1485" s="360"/>
      <c r="F1485" s="2693" t="s">
        <v>4</v>
      </c>
      <c r="G1485" s="2693"/>
      <c r="H1485" s="2693"/>
      <c r="I1485" s="2694"/>
      <c r="J1485" s="2694"/>
      <c r="K1485" s="2695"/>
      <c r="L1485" s="361"/>
      <c r="M1485" s="2679" t="s">
        <v>5</v>
      </c>
      <c r="N1485" s="2679"/>
      <c r="O1485" s="2679"/>
      <c r="P1485" s="2679"/>
      <c r="Q1485" s="2696"/>
      <c r="R1485" s="2696"/>
      <c r="S1485" s="2696"/>
      <c r="T1485" s="2696"/>
      <c r="U1485" s="2696"/>
      <c r="V1485" s="2697"/>
      <c r="W1485" s="362" t="s">
        <v>6</v>
      </c>
      <c r="X1485" s="363" t="s">
        <v>7</v>
      </c>
      <c r="Y1485" s="364"/>
      <c r="Z1485" s="364"/>
      <c r="AA1485" s="363"/>
      <c r="AB1485" s="458"/>
    </row>
    <row r="1486" spans="1:28" s="457" customFormat="1" ht="18" customHeight="1" x14ac:dyDescent="0.2">
      <c r="A1486" s="2687"/>
      <c r="B1486" s="367"/>
      <c r="C1486" s="2687"/>
      <c r="D1486" s="366" t="s">
        <v>9</v>
      </c>
      <c r="E1486" s="366" t="s">
        <v>10</v>
      </c>
      <c r="F1486" s="2698" t="s">
        <v>11</v>
      </c>
      <c r="G1486" s="2694"/>
      <c r="H1486" s="2695"/>
      <c r="I1486" s="360"/>
      <c r="J1486" s="449" t="s">
        <v>12</v>
      </c>
      <c r="K1486" s="360"/>
      <c r="L1486" s="2679" t="s">
        <v>2</v>
      </c>
      <c r="M1486" s="370"/>
      <c r="N1486" s="370"/>
      <c r="O1486" s="370"/>
      <c r="P1486" s="371"/>
      <c r="Q1486" s="459" t="s">
        <v>13</v>
      </c>
      <c r="R1486" s="370" t="s">
        <v>12</v>
      </c>
      <c r="S1486" s="370" t="s">
        <v>6</v>
      </c>
      <c r="T1486" s="2682" t="s">
        <v>14</v>
      </c>
      <c r="U1486" s="2683"/>
      <c r="V1486" s="375" t="s">
        <v>7</v>
      </c>
      <c r="W1486" s="376" t="s">
        <v>15</v>
      </c>
      <c r="X1486" s="377" t="s">
        <v>16</v>
      </c>
      <c r="Y1486" s="377" t="s">
        <v>17</v>
      </c>
      <c r="Z1486" s="377" t="s">
        <v>18</v>
      </c>
      <c r="AA1486" s="377"/>
      <c r="AB1486" s="460" t="s">
        <v>19</v>
      </c>
    </row>
    <row r="1487" spans="1:28" s="457" customFormat="1" ht="18" customHeight="1" x14ac:dyDescent="0.2">
      <c r="A1487" s="2687"/>
      <c r="B1487" s="366" t="s">
        <v>23</v>
      </c>
      <c r="C1487" s="2687"/>
      <c r="D1487" s="366" t="s">
        <v>24</v>
      </c>
      <c r="E1487" s="366" t="s">
        <v>25</v>
      </c>
      <c r="F1487" s="2699"/>
      <c r="G1487" s="2700"/>
      <c r="H1487" s="2701"/>
      <c r="I1487" s="366" t="s">
        <v>26</v>
      </c>
      <c r="J1487" s="380" t="s">
        <v>15</v>
      </c>
      <c r="K1487" s="380" t="s">
        <v>6</v>
      </c>
      <c r="L1487" s="2680"/>
      <c r="M1487" s="381" t="s">
        <v>27</v>
      </c>
      <c r="N1487" s="381" t="s">
        <v>10</v>
      </c>
      <c r="O1487" s="381" t="s">
        <v>10</v>
      </c>
      <c r="P1487" s="385" t="s">
        <v>28</v>
      </c>
      <c r="Q1487" s="461" t="s">
        <v>29</v>
      </c>
      <c r="R1487" s="385" t="s">
        <v>15</v>
      </c>
      <c r="S1487" s="385" t="s">
        <v>15</v>
      </c>
      <c r="T1487" s="2684"/>
      <c r="U1487" s="2685"/>
      <c r="V1487" s="375" t="s">
        <v>30</v>
      </c>
      <c r="W1487" s="376" t="s">
        <v>31</v>
      </c>
      <c r="X1487" s="377" t="s">
        <v>30</v>
      </c>
      <c r="Y1487" s="377" t="s">
        <v>32</v>
      </c>
      <c r="Z1487" s="377" t="s">
        <v>7</v>
      </c>
      <c r="AA1487" s="377" t="s">
        <v>33</v>
      </c>
      <c r="AB1487" s="460" t="s">
        <v>34</v>
      </c>
    </row>
    <row r="1488" spans="1:28" s="457" customFormat="1" ht="18" customHeight="1" x14ac:dyDescent="0.2">
      <c r="A1488" s="2687"/>
      <c r="B1488" s="366" t="s">
        <v>39</v>
      </c>
      <c r="C1488" s="2687"/>
      <c r="D1488" s="366" t="s">
        <v>40</v>
      </c>
      <c r="E1488" s="366" t="s">
        <v>41</v>
      </c>
      <c r="F1488" s="2686" t="s">
        <v>42</v>
      </c>
      <c r="G1488" s="2686" t="s">
        <v>43</v>
      </c>
      <c r="H1488" s="2688" t="s">
        <v>44</v>
      </c>
      <c r="I1488" s="366" t="s">
        <v>45</v>
      </c>
      <c r="J1488" s="380" t="s">
        <v>46</v>
      </c>
      <c r="K1488" s="380" t="s">
        <v>47</v>
      </c>
      <c r="L1488" s="2680"/>
      <c r="M1488" s="381" t="s">
        <v>30</v>
      </c>
      <c r="N1488" s="381" t="s">
        <v>30</v>
      </c>
      <c r="O1488" s="381" t="s">
        <v>25</v>
      </c>
      <c r="P1488" s="385" t="s">
        <v>30</v>
      </c>
      <c r="Q1488" s="461" t="s">
        <v>48</v>
      </c>
      <c r="R1488" s="385" t="s">
        <v>49</v>
      </c>
      <c r="S1488" s="385" t="s">
        <v>30</v>
      </c>
      <c r="T1488" s="374" t="s">
        <v>50</v>
      </c>
      <c r="U1488" s="374" t="s">
        <v>13</v>
      </c>
      <c r="V1488" s="375" t="s">
        <v>51</v>
      </c>
      <c r="W1488" s="376" t="s">
        <v>52</v>
      </c>
      <c r="X1488" s="377" t="s">
        <v>53</v>
      </c>
      <c r="Y1488" s="377" t="s">
        <v>54</v>
      </c>
      <c r="Z1488" s="377" t="s">
        <v>55</v>
      </c>
      <c r="AA1488" s="377" t="s">
        <v>56</v>
      </c>
      <c r="AB1488" s="460" t="s">
        <v>57</v>
      </c>
    </row>
    <row r="1489" spans="1:28" s="457" customFormat="1" ht="18" customHeight="1" x14ac:dyDescent="0.2">
      <c r="A1489" s="2687"/>
      <c r="B1489" s="366" t="s">
        <v>61</v>
      </c>
      <c r="C1489" s="2687"/>
      <c r="D1489" s="366" t="s">
        <v>62</v>
      </c>
      <c r="E1489" s="366" t="s">
        <v>63</v>
      </c>
      <c r="F1489" s="2687"/>
      <c r="G1489" s="2687"/>
      <c r="H1489" s="2689"/>
      <c r="I1489" s="366" t="s">
        <v>64</v>
      </c>
      <c r="J1489" s="380" t="s">
        <v>59</v>
      </c>
      <c r="K1489" s="380" t="s">
        <v>59</v>
      </c>
      <c r="L1489" s="2680"/>
      <c r="M1489" s="381"/>
      <c r="N1489" s="381"/>
      <c r="O1489" s="381" t="s">
        <v>41</v>
      </c>
      <c r="P1489" s="385" t="s">
        <v>65</v>
      </c>
      <c r="Q1489" s="461" t="s">
        <v>66</v>
      </c>
      <c r="R1489" s="385" t="s">
        <v>67</v>
      </c>
      <c r="S1489" s="385" t="s">
        <v>59</v>
      </c>
      <c r="T1489" s="375" t="s">
        <v>68</v>
      </c>
      <c r="U1489" s="375" t="s">
        <v>14</v>
      </c>
      <c r="V1489" s="375" t="s">
        <v>14</v>
      </c>
      <c r="W1489" s="376" t="s">
        <v>30</v>
      </c>
      <c r="X1489" s="388" t="s">
        <v>69</v>
      </c>
      <c r="Y1489" s="388" t="s">
        <v>70</v>
      </c>
      <c r="Z1489" s="377" t="s">
        <v>71</v>
      </c>
      <c r="AA1489" s="377" t="s">
        <v>72</v>
      </c>
      <c r="AB1489" s="460" t="s">
        <v>59</v>
      </c>
    </row>
    <row r="1490" spans="1:28" s="457" customFormat="1" ht="18" customHeight="1" x14ac:dyDescent="0.2">
      <c r="A1490" s="2692"/>
      <c r="B1490" s="390"/>
      <c r="C1490" s="2692"/>
      <c r="D1490" s="390"/>
      <c r="E1490" s="389"/>
      <c r="F1490" s="390"/>
      <c r="G1490" s="390"/>
      <c r="H1490" s="391"/>
      <c r="I1490" s="389"/>
      <c r="J1490" s="393"/>
      <c r="K1490" s="393"/>
      <c r="L1490" s="2681"/>
      <c r="M1490" s="394"/>
      <c r="N1490" s="394"/>
      <c r="O1490" s="394" t="s">
        <v>63</v>
      </c>
      <c r="P1490" s="394"/>
      <c r="Q1490" s="450" t="s">
        <v>72</v>
      </c>
      <c r="R1490" s="398" t="s">
        <v>59</v>
      </c>
      <c r="S1490" s="398"/>
      <c r="T1490" s="398" t="s">
        <v>73</v>
      </c>
      <c r="U1490" s="398" t="s">
        <v>59</v>
      </c>
      <c r="V1490" s="399" t="s">
        <v>59</v>
      </c>
      <c r="W1490" s="400" t="s">
        <v>59</v>
      </c>
      <c r="X1490" s="401" t="s">
        <v>59</v>
      </c>
      <c r="Y1490" s="401" t="s">
        <v>59</v>
      </c>
      <c r="Z1490" s="401" t="s">
        <v>59</v>
      </c>
      <c r="AA1490" s="402"/>
      <c r="AB1490" s="462"/>
    </row>
    <row r="1491" spans="1:28" s="457" customFormat="1" ht="18" customHeight="1" x14ac:dyDescent="0.2">
      <c r="A1491" s="53">
        <v>1</v>
      </c>
      <c r="B1491" s="95">
        <v>27475</v>
      </c>
      <c r="C1491" s="82">
        <v>1000</v>
      </c>
      <c r="D1491" s="82" t="s">
        <v>86</v>
      </c>
      <c r="E1491" s="82">
        <v>3</v>
      </c>
      <c r="F1491" s="82">
        <v>0</v>
      </c>
      <c r="G1491" s="82">
        <v>1</v>
      </c>
      <c r="H1491" s="463">
        <v>13</v>
      </c>
      <c r="I1491" s="70">
        <f>F1491*400+G1491*100+H1491</f>
        <v>113</v>
      </c>
      <c r="J1491" s="123">
        <v>1100</v>
      </c>
      <c r="K1491" s="124">
        <f>SUM(I1491*J1491)</f>
        <v>124300</v>
      </c>
      <c r="L1491" s="53"/>
      <c r="M1491" s="82"/>
      <c r="N1491" s="82"/>
      <c r="O1491" s="53"/>
      <c r="P1491" s="358"/>
      <c r="Q1491" s="197"/>
      <c r="R1491" s="444"/>
      <c r="S1491" s="70"/>
      <c r="T1491" s="82"/>
      <c r="U1491" s="70"/>
      <c r="V1491" s="70"/>
      <c r="W1491" s="70">
        <f>+K1491</f>
        <v>124300</v>
      </c>
      <c r="X1491" s="70">
        <f>W1491</f>
        <v>124300</v>
      </c>
      <c r="Y1491" s="123">
        <v>0</v>
      </c>
      <c r="Z1491" s="70">
        <f>+X1491</f>
        <v>124300</v>
      </c>
      <c r="AA1491" s="464">
        <v>0.3</v>
      </c>
      <c r="AB1491" s="465">
        <f>+Z1491*AA1491/100</f>
        <v>372.9</v>
      </c>
    </row>
    <row r="1492" spans="1:28" s="457" customFormat="1" ht="18" customHeight="1" x14ac:dyDescent="0.2">
      <c r="A1492" s="241"/>
      <c r="B1492" s="242"/>
      <c r="C1492" s="496"/>
      <c r="D1492" s="88"/>
      <c r="E1492" s="85"/>
      <c r="F1492" s="411"/>
      <c r="G1492" s="242"/>
      <c r="H1492" s="497"/>
      <c r="I1492" s="205"/>
      <c r="J1492" s="181"/>
      <c r="K1492" s="1319"/>
      <c r="L1492" s="75"/>
      <c r="M1492" s="88"/>
      <c r="N1492" s="88"/>
      <c r="O1492" s="75"/>
      <c r="P1492" s="88"/>
      <c r="Q1492" s="174"/>
      <c r="R1492" s="745"/>
      <c r="S1492" s="205"/>
      <c r="T1492" s="88"/>
      <c r="U1492" s="205"/>
      <c r="V1492" s="205"/>
      <c r="W1492" s="205"/>
      <c r="X1492" s="205"/>
      <c r="Y1492" s="181"/>
      <c r="Z1492" s="205"/>
      <c r="AA1492" s="1320"/>
      <c r="AB1492" s="597"/>
    </row>
    <row r="1493" spans="1:28" s="457" customFormat="1" ht="18" customHeight="1" x14ac:dyDescent="0.2">
      <c r="A1493" s="242"/>
      <c r="B1493" s="145"/>
      <c r="C1493" s="496"/>
      <c r="D1493" s="145"/>
      <c r="E1493" s="102"/>
      <c r="F1493" s="499"/>
      <c r="G1493" s="241"/>
      <c r="H1493" s="500"/>
      <c r="I1493" s="77"/>
      <c r="J1493" s="107"/>
      <c r="K1493" s="78"/>
      <c r="L1493" s="61"/>
      <c r="M1493" s="145"/>
      <c r="N1493" s="145"/>
      <c r="O1493" s="61"/>
      <c r="P1493" s="177"/>
      <c r="Q1493" s="196"/>
      <c r="R1493" s="408"/>
      <c r="S1493" s="77"/>
      <c r="T1493" s="145"/>
      <c r="U1493" s="77"/>
      <c r="V1493" s="77"/>
      <c r="W1493" s="77"/>
      <c r="X1493" s="77"/>
      <c r="Y1493" s="77"/>
      <c r="Z1493" s="77"/>
      <c r="AA1493" s="409"/>
      <c r="AB1493" s="466"/>
    </row>
    <row r="1494" spans="1:28" s="457" customFormat="1" ht="18" customHeight="1" x14ac:dyDescent="0.2">
      <c r="A1494" s="242"/>
      <c r="B1494" s="242"/>
      <c r="C1494" s="496"/>
      <c r="D1494" s="144"/>
      <c r="E1494" s="85"/>
      <c r="F1494" s="411"/>
      <c r="G1494" s="242"/>
      <c r="H1494" s="497"/>
      <c r="I1494" s="77"/>
      <c r="J1494" s="107"/>
      <c r="K1494" s="78"/>
      <c r="L1494" s="242"/>
      <c r="M1494" s="242"/>
      <c r="N1494" s="242"/>
      <c r="O1494" s="242"/>
      <c r="P1494" s="497"/>
      <c r="Q1494" s="496"/>
      <c r="R1494" s="503"/>
      <c r="S1494" s="504"/>
      <c r="T1494" s="505"/>
      <c r="U1494" s="504"/>
      <c r="V1494" s="504"/>
      <c r="W1494" s="77"/>
      <c r="X1494" s="77"/>
      <c r="Y1494" s="77"/>
      <c r="Z1494" s="77"/>
      <c r="AA1494" s="409"/>
      <c r="AB1494" s="410"/>
    </row>
    <row r="1495" spans="1:28" s="457" customFormat="1" ht="18" customHeight="1" x14ac:dyDescent="0.2">
      <c r="A1495" s="242"/>
      <c r="B1495" s="242"/>
      <c r="C1495" s="496"/>
      <c r="D1495" s="88"/>
      <c r="E1495" s="85"/>
      <c r="F1495" s="411"/>
      <c r="G1495" s="242"/>
      <c r="H1495" s="497"/>
      <c r="I1495" s="77"/>
      <c r="J1495" s="107"/>
      <c r="K1495" s="78"/>
      <c r="L1495" s="242"/>
      <c r="M1495" s="242"/>
      <c r="N1495" s="242"/>
      <c r="O1495" s="242"/>
      <c r="P1495" s="497"/>
      <c r="Q1495" s="496"/>
      <c r="R1495" s="503"/>
      <c r="S1495" s="504"/>
      <c r="T1495" s="505"/>
      <c r="U1495" s="504"/>
      <c r="V1495" s="504"/>
      <c r="W1495" s="77"/>
      <c r="X1495" s="77"/>
      <c r="Y1495" s="77"/>
      <c r="Z1495" s="77"/>
      <c r="AA1495" s="409"/>
      <c r="AB1495" s="466"/>
    </row>
    <row r="1496" spans="1:28" s="457" customFormat="1" ht="18" customHeight="1" x14ac:dyDescent="0.2">
      <c r="A1496" s="242"/>
      <c r="B1496" s="242"/>
      <c r="C1496" s="496"/>
      <c r="D1496" s="144"/>
      <c r="E1496" s="88"/>
      <c r="F1496" s="411"/>
      <c r="G1496" s="242"/>
      <c r="H1496" s="497"/>
      <c r="I1496" s="77"/>
      <c r="J1496" s="107"/>
      <c r="K1496" s="78"/>
      <c r="L1496" s="242"/>
      <c r="M1496" s="242"/>
      <c r="N1496" s="242"/>
      <c r="O1496" s="242"/>
      <c r="P1496" s="497"/>
      <c r="Q1496" s="496"/>
      <c r="R1496" s="503"/>
      <c r="S1496" s="504"/>
      <c r="T1496" s="505"/>
      <c r="U1496" s="504"/>
      <c r="V1496" s="504"/>
      <c r="W1496" s="77"/>
      <c r="X1496" s="77"/>
      <c r="Y1496" s="77"/>
      <c r="Z1496" s="77"/>
      <c r="AA1496" s="409"/>
      <c r="AB1496" s="506"/>
    </row>
    <row r="1497" spans="1:28" s="457" customFormat="1" ht="18" customHeight="1" x14ac:dyDescent="0.2">
      <c r="A1497" s="242"/>
      <c r="B1497" s="242"/>
      <c r="C1497" s="496"/>
      <c r="D1497" s="88"/>
      <c r="E1497" s="231"/>
      <c r="F1497" s="411"/>
      <c r="G1497" s="242"/>
      <c r="H1497" s="497"/>
      <c r="I1497" s="77"/>
      <c r="J1497" s="107"/>
      <c r="K1497" s="78"/>
      <c r="L1497" s="242"/>
      <c r="M1497" s="242"/>
      <c r="N1497" s="242"/>
      <c r="O1497" s="242"/>
      <c r="P1497" s="497"/>
      <c r="Q1497" s="496"/>
      <c r="R1497" s="503"/>
      <c r="S1497" s="504"/>
      <c r="T1497" s="505"/>
      <c r="U1497" s="504"/>
      <c r="V1497" s="504"/>
      <c r="W1497" s="77"/>
      <c r="X1497" s="77"/>
      <c r="Y1497" s="77"/>
      <c r="Z1497" s="77"/>
      <c r="AA1497" s="409"/>
      <c r="AB1497" s="506"/>
    </row>
    <row r="1498" spans="1:28" s="457" customFormat="1" ht="18" customHeight="1" x14ac:dyDescent="0.2">
      <c r="A1498" s="242"/>
      <c r="B1498" s="242"/>
      <c r="C1498" s="496"/>
      <c r="D1498" s="231"/>
      <c r="E1498" s="144"/>
      <c r="F1498" s="411"/>
      <c r="G1498" s="242"/>
      <c r="H1498" s="497"/>
      <c r="I1498" s="77"/>
      <c r="J1498" s="107"/>
      <c r="K1498" s="78"/>
      <c r="L1498" s="242"/>
      <c r="M1498" s="242"/>
      <c r="N1498" s="242"/>
      <c r="O1498" s="242"/>
      <c r="P1498" s="497"/>
      <c r="Q1498" s="496"/>
      <c r="R1498" s="503"/>
      <c r="S1498" s="504"/>
      <c r="T1498" s="505"/>
      <c r="U1498" s="504"/>
      <c r="V1498" s="504"/>
      <c r="W1498" s="77"/>
      <c r="X1498" s="77"/>
      <c r="Y1498" s="77"/>
      <c r="Z1498" s="77"/>
      <c r="AA1498" s="409"/>
      <c r="AB1498" s="506"/>
    </row>
    <row r="1499" spans="1:28" s="457" customFormat="1" ht="18" customHeight="1" x14ac:dyDescent="0.2">
      <c r="A1499" s="242"/>
      <c r="B1499" s="242"/>
      <c r="C1499" s="496"/>
      <c r="D1499" s="144"/>
      <c r="E1499" s="144"/>
      <c r="F1499" s="411"/>
      <c r="G1499" s="242"/>
      <c r="H1499" s="497"/>
      <c r="I1499" s="77"/>
      <c r="J1499" s="107"/>
      <c r="K1499" s="78"/>
      <c r="L1499" s="242"/>
      <c r="M1499" s="242"/>
      <c r="N1499" s="242"/>
      <c r="O1499" s="242"/>
      <c r="P1499" s="497"/>
      <c r="Q1499" s="496"/>
      <c r="R1499" s="503"/>
      <c r="S1499" s="504"/>
      <c r="T1499" s="505"/>
      <c r="U1499" s="504"/>
      <c r="V1499" s="504"/>
      <c r="W1499" s="77"/>
      <c r="X1499" s="77"/>
      <c r="Y1499" s="77"/>
      <c r="Z1499" s="77"/>
      <c r="AA1499" s="409"/>
      <c r="AB1499" s="506"/>
    </row>
    <row r="1500" spans="1:28" s="457" customFormat="1" ht="18" customHeight="1" x14ac:dyDescent="0.2">
      <c r="A1500" s="242"/>
      <c r="B1500" s="242"/>
      <c r="C1500" s="496"/>
      <c r="D1500" s="88"/>
      <c r="E1500" s="144"/>
      <c r="F1500" s="411"/>
      <c r="G1500" s="242"/>
      <c r="H1500" s="497"/>
      <c r="I1500" s="77"/>
      <c r="J1500" s="107"/>
      <c r="K1500" s="78"/>
      <c r="L1500" s="242"/>
      <c r="M1500" s="242"/>
      <c r="N1500" s="242"/>
      <c r="O1500" s="242"/>
      <c r="P1500" s="497"/>
      <c r="Q1500" s="496"/>
      <c r="R1500" s="503"/>
      <c r="S1500" s="504"/>
      <c r="T1500" s="505"/>
      <c r="U1500" s="504"/>
      <c r="V1500" s="504"/>
      <c r="W1500" s="77"/>
      <c r="X1500" s="77"/>
      <c r="Y1500" s="77"/>
      <c r="Z1500" s="77"/>
      <c r="AA1500" s="409"/>
      <c r="AB1500" s="506"/>
    </row>
    <row r="1501" spans="1:28" s="457" customFormat="1" ht="18" customHeight="1" x14ac:dyDescent="0.2">
      <c r="A1501" s="242"/>
      <c r="B1501" s="242"/>
      <c r="C1501" s="496"/>
      <c r="D1501" s="88"/>
      <c r="E1501" s="144"/>
      <c r="F1501" s="411"/>
      <c r="G1501" s="242"/>
      <c r="H1501" s="497"/>
      <c r="I1501" s="77"/>
      <c r="J1501" s="107"/>
      <c r="K1501" s="78"/>
      <c r="L1501" s="242"/>
      <c r="M1501" s="242"/>
      <c r="N1501" s="242"/>
      <c r="O1501" s="242"/>
      <c r="P1501" s="497"/>
      <c r="Q1501" s="496"/>
      <c r="R1501" s="503"/>
      <c r="S1501" s="504"/>
      <c r="T1501" s="505"/>
      <c r="U1501" s="504"/>
      <c r="V1501" s="504"/>
      <c r="W1501" s="77"/>
      <c r="X1501" s="77"/>
      <c r="Y1501" s="77"/>
      <c r="Z1501" s="77"/>
      <c r="AA1501" s="409"/>
      <c r="AB1501" s="506"/>
    </row>
    <row r="1502" spans="1:28" s="457" customFormat="1" ht="18" customHeight="1" x14ac:dyDescent="0.2">
      <c r="A1502" s="242"/>
      <c r="B1502" s="242"/>
      <c r="C1502" s="496"/>
      <c r="D1502" s="88"/>
      <c r="E1502" s="144"/>
      <c r="F1502" s="411"/>
      <c r="G1502" s="242"/>
      <c r="H1502" s="497"/>
      <c r="I1502" s="77"/>
      <c r="J1502" s="107"/>
      <c r="K1502" s="78"/>
      <c r="L1502" s="242"/>
      <c r="M1502" s="242"/>
      <c r="N1502" s="242"/>
      <c r="O1502" s="242"/>
      <c r="P1502" s="497"/>
      <c r="Q1502" s="496"/>
      <c r="R1502" s="503"/>
      <c r="S1502" s="504"/>
      <c r="T1502" s="505"/>
      <c r="U1502" s="504"/>
      <c r="V1502" s="504"/>
      <c r="W1502" s="77"/>
      <c r="X1502" s="77"/>
      <c r="Y1502" s="77"/>
      <c r="Z1502" s="77"/>
      <c r="AA1502" s="409"/>
      <c r="AB1502" s="506"/>
    </row>
    <row r="1503" spans="1:28" s="457" customFormat="1" ht="18" customHeight="1" x14ac:dyDescent="0.2">
      <c r="A1503" s="242"/>
      <c r="B1503" s="242"/>
      <c r="C1503" s="496"/>
      <c r="D1503" s="88"/>
      <c r="E1503" s="144"/>
      <c r="F1503" s="411"/>
      <c r="G1503" s="242"/>
      <c r="H1503" s="497"/>
      <c r="I1503" s="77"/>
      <c r="J1503" s="107"/>
      <c r="K1503" s="78"/>
      <c r="L1503" s="242"/>
      <c r="M1503" s="242"/>
      <c r="N1503" s="242"/>
      <c r="O1503" s="242"/>
      <c r="P1503" s="497"/>
      <c r="Q1503" s="496"/>
      <c r="R1503" s="503"/>
      <c r="S1503" s="504"/>
      <c r="T1503" s="505"/>
      <c r="U1503" s="504"/>
      <c r="V1503" s="504"/>
      <c r="W1503" s="77"/>
      <c r="X1503" s="77"/>
      <c r="Y1503" s="77"/>
      <c r="Z1503" s="77"/>
      <c r="AA1503" s="409"/>
      <c r="AB1503" s="506"/>
    </row>
    <row r="1504" spans="1:28" s="457" customFormat="1" ht="18" customHeight="1" x14ac:dyDescent="0.2">
      <c r="A1504" s="242"/>
      <c r="B1504" s="242"/>
      <c r="C1504" s="496"/>
      <c r="D1504" s="88"/>
      <c r="E1504" s="88"/>
      <c r="F1504" s="411"/>
      <c r="G1504" s="242"/>
      <c r="H1504" s="497"/>
      <c r="I1504" s="77"/>
      <c r="J1504" s="107"/>
      <c r="K1504" s="78"/>
      <c r="L1504" s="242"/>
      <c r="M1504" s="242"/>
      <c r="N1504" s="242"/>
      <c r="O1504" s="242"/>
      <c r="P1504" s="497"/>
      <c r="Q1504" s="496"/>
      <c r="R1504" s="503"/>
      <c r="S1504" s="504"/>
      <c r="T1504" s="505"/>
      <c r="U1504" s="504"/>
      <c r="V1504" s="504"/>
      <c r="W1504" s="77"/>
      <c r="X1504" s="77"/>
      <c r="Y1504" s="77"/>
      <c r="Z1504" s="77"/>
      <c r="AA1504" s="409"/>
      <c r="AB1504" s="506"/>
    </row>
    <row r="1505" spans="1:28" s="457" customFormat="1" ht="18" customHeight="1" x14ac:dyDescent="0.2">
      <c r="A1505" s="88"/>
      <c r="B1505" s="180"/>
      <c r="C1505" s="180"/>
      <c r="D1505" s="88"/>
      <c r="E1505" s="88"/>
      <c r="F1505" s="88"/>
      <c r="G1505" s="88"/>
      <c r="H1505" s="120"/>
      <c r="I1505" s="121"/>
      <c r="J1505" s="181"/>
      <c r="K1505" s="121"/>
      <c r="L1505" s="88"/>
      <c r="M1505" s="88"/>
      <c r="N1505" s="88"/>
      <c r="O1505" s="88"/>
      <c r="P1505" s="88"/>
      <c r="Q1505" s="129"/>
      <c r="R1505" s="445"/>
      <c r="S1505" s="121"/>
      <c r="T1505" s="182"/>
      <c r="U1505" s="181"/>
      <c r="V1505" s="121"/>
      <c r="W1505" s="121"/>
      <c r="X1505" s="472"/>
      <c r="Y1505" s="472"/>
      <c r="Z1505" s="473"/>
      <c r="AA1505" s="473"/>
      <c r="AB1505" s="410"/>
    </row>
    <row r="1506" spans="1:28" s="597" customFormat="1" ht="18" customHeight="1" x14ac:dyDescent="0.2">
      <c r="A1506" s="1850"/>
      <c r="B1506" s="1850"/>
      <c r="C1506" s="1850"/>
      <c r="D1506" s="1850"/>
      <c r="E1506" s="1850"/>
      <c r="F1506" s="1850"/>
      <c r="G1506" s="1850"/>
      <c r="H1506" s="1851"/>
      <c r="I1506" s="1852"/>
      <c r="J1506" s="1853"/>
      <c r="K1506" s="1852"/>
      <c r="L1506" s="1852"/>
      <c r="M1506" s="1852"/>
      <c r="N1506" s="1852"/>
      <c r="O1506" s="1852"/>
      <c r="P1506" s="1852"/>
      <c r="Q1506" s="1852"/>
      <c r="R1506" s="1854"/>
      <c r="S1506" s="1852"/>
      <c r="T1506" s="1855"/>
      <c r="U1506" s="1853"/>
      <c r="V1506" s="1852"/>
      <c r="W1506" s="1852"/>
      <c r="X1506" s="1856"/>
      <c r="Y1506" s="1856"/>
      <c r="Z1506" s="1857"/>
      <c r="AA1506" s="1857"/>
      <c r="AB1506" s="1847">
        <f>SUM(AB1491:AB1505)</f>
        <v>372.9</v>
      </c>
    </row>
    <row r="1507" spans="1:28" s="457" customFormat="1" ht="18" customHeight="1" x14ac:dyDescent="0.2">
      <c r="A1507" s="2737" t="s">
        <v>76</v>
      </c>
      <c r="B1507" s="2737"/>
      <c r="C1507" s="2738" t="s">
        <v>77</v>
      </c>
      <c r="D1507" s="2738"/>
      <c r="E1507" s="2738"/>
      <c r="F1507" s="2738"/>
      <c r="G1507" s="2738"/>
      <c r="H1507" s="2738"/>
      <c r="I1507" s="457" t="s">
        <v>78</v>
      </c>
      <c r="AB1507" s="478"/>
    </row>
    <row r="1508" spans="1:28" s="457" customFormat="1" ht="18" customHeight="1" x14ac:dyDescent="0.2">
      <c r="B1508" s="479"/>
      <c r="I1508" s="457" t="s">
        <v>79</v>
      </c>
      <c r="AB1508" s="478"/>
    </row>
    <row r="1509" spans="1:28" s="457" customFormat="1" ht="18" customHeight="1" x14ac:dyDescent="0.2">
      <c r="B1509" s="479"/>
      <c r="I1509" s="457" t="s">
        <v>80</v>
      </c>
      <c r="AB1509" s="478"/>
    </row>
    <row r="1510" spans="1:28" s="457" customFormat="1" ht="18" customHeight="1" x14ac:dyDescent="0.2">
      <c r="B1510" s="479"/>
      <c r="I1510" s="457" t="s">
        <v>81</v>
      </c>
      <c r="AB1510" s="478"/>
    </row>
    <row r="1511" spans="1:28" s="457" customFormat="1" ht="18" customHeight="1" x14ac:dyDescent="0.2">
      <c r="B1511" s="479"/>
      <c r="I1511" s="457" t="s">
        <v>88</v>
      </c>
      <c r="AB1511" s="478"/>
    </row>
    <row r="1512" spans="1:28" s="457" customFormat="1" ht="18" customHeight="1" x14ac:dyDescent="0.2">
      <c r="A1512" s="455"/>
      <c r="B1512" s="455"/>
      <c r="C1512" s="455"/>
      <c r="D1512" s="455"/>
      <c r="E1512" s="455"/>
      <c r="F1512" s="455"/>
      <c r="G1512" s="455"/>
      <c r="H1512" s="455"/>
      <c r="I1512" s="455"/>
      <c r="J1512" s="455"/>
      <c r="K1512" s="455"/>
      <c r="L1512" s="455"/>
      <c r="M1512" s="455"/>
      <c r="N1512" s="455"/>
      <c r="O1512" s="455"/>
      <c r="P1512" s="455"/>
      <c r="Q1512" s="455"/>
      <c r="R1512" s="455"/>
      <c r="S1512" s="455"/>
      <c r="T1512" s="455"/>
      <c r="U1512" s="455"/>
      <c r="V1512" s="455"/>
      <c r="W1512" s="455"/>
      <c r="X1512" s="455"/>
      <c r="Y1512" s="455"/>
      <c r="Z1512" s="455"/>
      <c r="AA1512" s="2705" t="s">
        <v>0</v>
      </c>
      <c r="AB1512" s="2705"/>
    </row>
    <row r="1513" spans="1:28" s="457" customFormat="1" ht="18" customHeight="1" x14ac:dyDescent="0.2">
      <c r="A1513" s="2706" t="s">
        <v>1</v>
      </c>
      <c r="B1513" s="2706"/>
      <c r="C1513" s="2706"/>
      <c r="D1513" s="2706"/>
      <c r="E1513" s="2706"/>
      <c r="F1513" s="2706"/>
      <c r="G1513" s="2706"/>
      <c r="H1513" s="2706"/>
      <c r="I1513" s="2706"/>
      <c r="J1513" s="2706"/>
      <c r="K1513" s="2706"/>
      <c r="L1513" s="2706"/>
      <c r="M1513" s="2706"/>
      <c r="N1513" s="2706"/>
      <c r="O1513" s="2706"/>
      <c r="P1513" s="2706"/>
      <c r="Q1513" s="2706"/>
      <c r="R1513" s="2706"/>
      <c r="S1513" s="2706"/>
      <c r="T1513" s="2706"/>
      <c r="U1513" s="2706"/>
      <c r="V1513" s="2706"/>
      <c r="W1513" s="2706"/>
      <c r="X1513" s="2706"/>
      <c r="Y1513" s="2706"/>
      <c r="Z1513" s="2706"/>
      <c r="AA1513" s="2706"/>
      <c r="AB1513" s="2706"/>
    </row>
    <row r="1514" spans="1:28" s="457" customFormat="1" ht="18" customHeight="1" x14ac:dyDescent="0.2">
      <c r="A1514" s="2704" t="s">
        <v>418</v>
      </c>
      <c r="B1514" s="2704"/>
      <c r="C1514" s="2704"/>
      <c r="D1514" s="2704"/>
      <c r="E1514" s="2704"/>
      <c r="F1514" s="2704"/>
      <c r="G1514" s="2704"/>
      <c r="H1514" s="2704"/>
      <c r="I1514" s="2704"/>
      <c r="J1514" s="2704"/>
      <c r="K1514" s="2704"/>
      <c r="L1514" s="2704"/>
      <c r="M1514" s="2704"/>
      <c r="N1514" s="2704"/>
      <c r="O1514" s="2704"/>
      <c r="P1514" s="2704"/>
      <c r="Q1514" s="2704"/>
      <c r="R1514" s="2704"/>
      <c r="S1514" s="2704"/>
      <c r="T1514" s="2704"/>
      <c r="U1514" s="2704"/>
      <c r="V1514" s="2704"/>
      <c r="W1514" s="2704"/>
      <c r="X1514" s="2704"/>
      <c r="Y1514" s="2704"/>
      <c r="Z1514" s="2704"/>
      <c r="AA1514" s="2704"/>
      <c r="AB1514" s="2704"/>
    </row>
    <row r="1515" spans="1:28" s="457" customFormat="1" ht="18" customHeight="1" x14ac:dyDescent="0.2">
      <c r="A1515" s="2686" t="s">
        <v>2</v>
      </c>
      <c r="B1515" s="360"/>
      <c r="C1515" s="2686" t="s">
        <v>3</v>
      </c>
      <c r="D1515" s="360"/>
      <c r="E1515" s="360"/>
      <c r="F1515" s="2693" t="s">
        <v>4</v>
      </c>
      <c r="G1515" s="2693"/>
      <c r="H1515" s="2693"/>
      <c r="I1515" s="2694"/>
      <c r="J1515" s="2694"/>
      <c r="K1515" s="2695"/>
      <c r="L1515" s="361"/>
      <c r="M1515" s="2679" t="s">
        <v>5</v>
      </c>
      <c r="N1515" s="2679"/>
      <c r="O1515" s="2679"/>
      <c r="P1515" s="2679"/>
      <c r="Q1515" s="2696"/>
      <c r="R1515" s="2696"/>
      <c r="S1515" s="2696"/>
      <c r="T1515" s="2696"/>
      <c r="U1515" s="2696"/>
      <c r="V1515" s="2697"/>
      <c r="W1515" s="362" t="s">
        <v>6</v>
      </c>
      <c r="X1515" s="363" t="s">
        <v>7</v>
      </c>
      <c r="Y1515" s="364"/>
      <c r="Z1515" s="364"/>
      <c r="AA1515" s="363"/>
      <c r="AB1515" s="458"/>
    </row>
    <row r="1516" spans="1:28" s="457" customFormat="1" ht="18" customHeight="1" x14ac:dyDescent="0.2">
      <c r="A1516" s="2687"/>
      <c r="B1516" s="367"/>
      <c r="C1516" s="2687"/>
      <c r="D1516" s="366" t="s">
        <v>9</v>
      </c>
      <c r="E1516" s="366" t="s">
        <v>10</v>
      </c>
      <c r="F1516" s="2698" t="s">
        <v>11</v>
      </c>
      <c r="G1516" s="2694"/>
      <c r="H1516" s="2695"/>
      <c r="I1516" s="360"/>
      <c r="J1516" s="449" t="s">
        <v>12</v>
      </c>
      <c r="K1516" s="360"/>
      <c r="L1516" s="2679" t="s">
        <v>2</v>
      </c>
      <c r="M1516" s="370"/>
      <c r="N1516" s="370"/>
      <c r="O1516" s="370"/>
      <c r="P1516" s="371"/>
      <c r="Q1516" s="459" t="s">
        <v>13</v>
      </c>
      <c r="R1516" s="370" t="s">
        <v>12</v>
      </c>
      <c r="S1516" s="370" t="s">
        <v>6</v>
      </c>
      <c r="T1516" s="2682" t="s">
        <v>14</v>
      </c>
      <c r="U1516" s="2683"/>
      <c r="V1516" s="375" t="s">
        <v>7</v>
      </c>
      <c r="W1516" s="376" t="s">
        <v>15</v>
      </c>
      <c r="X1516" s="377" t="s">
        <v>16</v>
      </c>
      <c r="Y1516" s="377" t="s">
        <v>17</v>
      </c>
      <c r="Z1516" s="377" t="s">
        <v>18</v>
      </c>
      <c r="AA1516" s="377"/>
      <c r="AB1516" s="460" t="s">
        <v>19</v>
      </c>
    </row>
    <row r="1517" spans="1:28" s="457" customFormat="1" ht="18" customHeight="1" x14ac:dyDescent="0.2">
      <c r="A1517" s="2687"/>
      <c r="B1517" s="366" t="s">
        <v>23</v>
      </c>
      <c r="C1517" s="2687"/>
      <c r="D1517" s="366" t="s">
        <v>24</v>
      </c>
      <c r="E1517" s="366" t="s">
        <v>25</v>
      </c>
      <c r="F1517" s="2699"/>
      <c r="G1517" s="2700"/>
      <c r="H1517" s="2701"/>
      <c r="I1517" s="366" t="s">
        <v>26</v>
      </c>
      <c r="J1517" s="380" t="s">
        <v>15</v>
      </c>
      <c r="K1517" s="380" t="s">
        <v>6</v>
      </c>
      <c r="L1517" s="2680"/>
      <c r="M1517" s="381" t="s">
        <v>27</v>
      </c>
      <c r="N1517" s="381" t="s">
        <v>10</v>
      </c>
      <c r="O1517" s="381" t="s">
        <v>10</v>
      </c>
      <c r="P1517" s="385" t="s">
        <v>28</v>
      </c>
      <c r="Q1517" s="461" t="s">
        <v>29</v>
      </c>
      <c r="R1517" s="385" t="s">
        <v>15</v>
      </c>
      <c r="S1517" s="385" t="s">
        <v>15</v>
      </c>
      <c r="T1517" s="2684"/>
      <c r="U1517" s="2685"/>
      <c r="V1517" s="375" t="s">
        <v>30</v>
      </c>
      <c r="W1517" s="376" t="s">
        <v>31</v>
      </c>
      <c r="X1517" s="377" t="s">
        <v>30</v>
      </c>
      <c r="Y1517" s="377" t="s">
        <v>32</v>
      </c>
      <c r="Z1517" s="377" t="s">
        <v>7</v>
      </c>
      <c r="AA1517" s="377" t="s">
        <v>33</v>
      </c>
      <c r="AB1517" s="460" t="s">
        <v>34</v>
      </c>
    </row>
    <row r="1518" spans="1:28" s="457" customFormat="1" ht="18" customHeight="1" x14ac:dyDescent="0.2">
      <c r="A1518" s="2687"/>
      <c r="B1518" s="366" t="s">
        <v>39</v>
      </c>
      <c r="C1518" s="2687"/>
      <c r="D1518" s="366" t="s">
        <v>40</v>
      </c>
      <c r="E1518" s="366" t="s">
        <v>41</v>
      </c>
      <c r="F1518" s="2686" t="s">
        <v>42</v>
      </c>
      <c r="G1518" s="2686" t="s">
        <v>43</v>
      </c>
      <c r="H1518" s="2688" t="s">
        <v>44</v>
      </c>
      <c r="I1518" s="366" t="s">
        <v>45</v>
      </c>
      <c r="J1518" s="380" t="s">
        <v>46</v>
      </c>
      <c r="K1518" s="380" t="s">
        <v>47</v>
      </c>
      <c r="L1518" s="2680"/>
      <c r="M1518" s="381" t="s">
        <v>30</v>
      </c>
      <c r="N1518" s="381" t="s">
        <v>30</v>
      </c>
      <c r="O1518" s="381" t="s">
        <v>25</v>
      </c>
      <c r="P1518" s="385" t="s">
        <v>30</v>
      </c>
      <c r="Q1518" s="461" t="s">
        <v>48</v>
      </c>
      <c r="R1518" s="385" t="s">
        <v>49</v>
      </c>
      <c r="S1518" s="385" t="s">
        <v>30</v>
      </c>
      <c r="T1518" s="374" t="s">
        <v>50</v>
      </c>
      <c r="U1518" s="374" t="s">
        <v>13</v>
      </c>
      <c r="V1518" s="375" t="s">
        <v>51</v>
      </c>
      <c r="W1518" s="376" t="s">
        <v>52</v>
      </c>
      <c r="X1518" s="377" t="s">
        <v>53</v>
      </c>
      <c r="Y1518" s="377" t="s">
        <v>54</v>
      </c>
      <c r="Z1518" s="377" t="s">
        <v>55</v>
      </c>
      <c r="AA1518" s="377" t="s">
        <v>56</v>
      </c>
      <c r="AB1518" s="460" t="s">
        <v>57</v>
      </c>
    </row>
    <row r="1519" spans="1:28" s="457" customFormat="1" ht="18" customHeight="1" x14ac:dyDescent="0.2">
      <c r="A1519" s="2687"/>
      <c r="B1519" s="366" t="s">
        <v>61</v>
      </c>
      <c r="C1519" s="2687"/>
      <c r="D1519" s="366" t="s">
        <v>62</v>
      </c>
      <c r="E1519" s="366" t="s">
        <v>63</v>
      </c>
      <c r="F1519" s="2687"/>
      <c r="G1519" s="2687"/>
      <c r="H1519" s="2689"/>
      <c r="I1519" s="366" t="s">
        <v>64</v>
      </c>
      <c r="J1519" s="380" t="s">
        <v>59</v>
      </c>
      <c r="K1519" s="380" t="s">
        <v>59</v>
      </c>
      <c r="L1519" s="2680"/>
      <c r="M1519" s="381"/>
      <c r="N1519" s="381"/>
      <c r="O1519" s="381" t="s">
        <v>41</v>
      </c>
      <c r="P1519" s="385" t="s">
        <v>65</v>
      </c>
      <c r="Q1519" s="461" t="s">
        <v>66</v>
      </c>
      <c r="R1519" s="385" t="s">
        <v>67</v>
      </c>
      <c r="S1519" s="385" t="s">
        <v>59</v>
      </c>
      <c r="T1519" s="375" t="s">
        <v>68</v>
      </c>
      <c r="U1519" s="375" t="s">
        <v>14</v>
      </c>
      <c r="V1519" s="375" t="s">
        <v>14</v>
      </c>
      <c r="W1519" s="376" t="s">
        <v>30</v>
      </c>
      <c r="X1519" s="388" t="s">
        <v>69</v>
      </c>
      <c r="Y1519" s="388" t="s">
        <v>70</v>
      </c>
      <c r="Z1519" s="377" t="s">
        <v>71</v>
      </c>
      <c r="AA1519" s="377" t="s">
        <v>72</v>
      </c>
      <c r="AB1519" s="460" t="s">
        <v>59</v>
      </c>
    </row>
    <row r="1520" spans="1:28" s="457" customFormat="1" ht="18" customHeight="1" x14ac:dyDescent="0.2">
      <c r="A1520" s="2692"/>
      <c r="B1520" s="390"/>
      <c r="C1520" s="2692"/>
      <c r="D1520" s="390"/>
      <c r="E1520" s="389"/>
      <c r="F1520" s="390"/>
      <c r="G1520" s="390"/>
      <c r="H1520" s="391"/>
      <c r="I1520" s="389"/>
      <c r="J1520" s="393"/>
      <c r="K1520" s="393"/>
      <c r="L1520" s="2681"/>
      <c r="M1520" s="394"/>
      <c r="N1520" s="394"/>
      <c r="O1520" s="394" t="s">
        <v>63</v>
      </c>
      <c r="P1520" s="394"/>
      <c r="Q1520" s="450" t="s">
        <v>72</v>
      </c>
      <c r="R1520" s="398" t="s">
        <v>59</v>
      </c>
      <c r="S1520" s="398"/>
      <c r="T1520" s="398" t="s">
        <v>73</v>
      </c>
      <c r="U1520" s="398" t="s">
        <v>59</v>
      </c>
      <c r="V1520" s="399" t="s">
        <v>59</v>
      </c>
      <c r="W1520" s="400" t="s">
        <v>59</v>
      </c>
      <c r="X1520" s="401" t="s">
        <v>59</v>
      </c>
      <c r="Y1520" s="401" t="s">
        <v>59</v>
      </c>
      <c r="Z1520" s="401" t="s">
        <v>59</v>
      </c>
      <c r="AA1520" s="402"/>
      <c r="AB1520" s="462"/>
    </row>
    <row r="1521" spans="1:28" s="457" customFormat="1" ht="18" customHeight="1" x14ac:dyDescent="0.2">
      <c r="A1521" s="53">
        <v>1</v>
      </c>
      <c r="B1521" s="95">
        <v>32172</v>
      </c>
      <c r="C1521" s="82">
        <v>980</v>
      </c>
      <c r="D1521" s="82" t="s">
        <v>86</v>
      </c>
      <c r="E1521" s="82">
        <v>4</v>
      </c>
      <c r="F1521" s="82">
        <v>0</v>
      </c>
      <c r="G1521" s="82">
        <v>0</v>
      </c>
      <c r="H1521" s="463">
        <v>98</v>
      </c>
      <c r="I1521" s="70">
        <f>F1521*400+G1521*100+H1521</f>
        <v>98</v>
      </c>
      <c r="J1521" s="123">
        <v>1600</v>
      </c>
      <c r="K1521" s="124">
        <f>SUM(I1521*J1521)</f>
        <v>156800</v>
      </c>
      <c r="L1521" s="53"/>
      <c r="M1521" s="82"/>
      <c r="N1521" s="82"/>
      <c r="O1521" s="53"/>
      <c r="P1521" s="358"/>
      <c r="Q1521" s="197"/>
      <c r="R1521" s="444"/>
      <c r="S1521" s="70"/>
      <c r="T1521" s="82"/>
      <c r="U1521" s="70"/>
      <c r="V1521" s="70"/>
      <c r="W1521" s="70">
        <f>K1521+V1521</f>
        <v>156800</v>
      </c>
      <c r="X1521" s="70">
        <f>W1521</f>
        <v>156800</v>
      </c>
      <c r="Y1521" s="123"/>
      <c r="Z1521" s="70">
        <f>+X1521</f>
        <v>156800</v>
      </c>
      <c r="AA1521" s="464">
        <v>0.3</v>
      </c>
      <c r="AB1521" s="465">
        <f>+Z1521*AA1521/100</f>
        <v>470.4</v>
      </c>
    </row>
    <row r="1522" spans="1:28" s="457" customFormat="1" ht="18" customHeight="1" x14ac:dyDescent="0.2">
      <c r="A1522" s="242"/>
      <c r="B1522" s="242"/>
      <c r="C1522" s="496"/>
      <c r="D1522" s="88"/>
      <c r="E1522" s="88"/>
      <c r="F1522" s="411"/>
      <c r="G1522" s="242"/>
      <c r="H1522" s="412"/>
      <c r="I1522" s="74"/>
      <c r="J1522" s="121"/>
      <c r="K1522" s="190"/>
      <c r="L1522" s="61"/>
      <c r="M1522" s="145"/>
      <c r="N1522" s="145"/>
      <c r="O1522" s="61"/>
      <c r="P1522" s="177"/>
      <c r="Q1522" s="196"/>
      <c r="R1522" s="408"/>
      <c r="S1522" s="77"/>
      <c r="T1522" s="145"/>
      <c r="U1522" s="107"/>
      <c r="V1522" s="77"/>
      <c r="W1522" s="77"/>
      <c r="X1522" s="77"/>
      <c r="Y1522" s="107"/>
      <c r="Z1522" s="77"/>
      <c r="AA1522" s="409"/>
      <c r="AB1522" s="466"/>
    </row>
    <row r="1523" spans="1:28" s="457" customFormat="1" ht="18" customHeight="1" x14ac:dyDescent="0.2">
      <c r="A1523" s="242"/>
      <c r="B1523" s="242"/>
      <c r="C1523" s="496"/>
      <c r="D1523" s="88"/>
      <c r="E1523" s="88"/>
      <c r="F1523" s="411"/>
      <c r="G1523" s="242"/>
      <c r="H1523" s="497"/>
      <c r="I1523" s="77"/>
      <c r="J1523" s="107"/>
      <c r="K1523" s="78"/>
      <c r="L1523" s="75"/>
      <c r="M1523" s="88"/>
      <c r="N1523" s="88"/>
      <c r="O1523" s="75"/>
      <c r="P1523" s="180"/>
      <c r="Q1523" s="174"/>
      <c r="R1523" s="413"/>
      <c r="S1523" s="74"/>
      <c r="T1523" s="88"/>
      <c r="U1523" s="121"/>
      <c r="V1523" s="74"/>
      <c r="W1523" s="77"/>
      <c r="X1523" s="77"/>
      <c r="Y1523" s="74"/>
      <c r="Z1523" s="74"/>
      <c r="AA1523" s="414"/>
      <c r="AB1523" s="466"/>
    </row>
    <row r="1524" spans="1:28" s="457" customFormat="1" ht="18" customHeight="1" x14ac:dyDescent="0.2">
      <c r="A1524" s="241"/>
      <c r="B1524" s="241"/>
      <c r="C1524" s="498"/>
      <c r="D1524" s="145"/>
      <c r="E1524" s="145"/>
      <c r="F1524" s="499"/>
      <c r="G1524" s="241"/>
      <c r="H1524" s="500"/>
      <c r="I1524" s="77"/>
      <c r="J1524" s="107"/>
      <c r="K1524" s="78"/>
      <c r="L1524" s="241"/>
      <c r="M1524" s="241"/>
      <c r="N1524" s="241"/>
      <c r="O1524" s="241"/>
      <c r="P1524" s="500"/>
      <c r="Q1524" s="498"/>
      <c r="R1524" s="501"/>
      <c r="S1524" s="103"/>
      <c r="T1524" s="502"/>
      <c r="U1524" s="103"/>
      <c r="V1524" s="103"/>
      <c r="W1524" s="77"/>
      <c r="X1524" s="77"/>
      <c r="Y1524" s="103"/>
      <c r="Z1524" s="103"/>
      <c r="AA1524" s="414"/>
      <c r="AB1524" s="410"/>
    </row>
    <row r="1525" spans="1:28" s="457" customFormat="1" ht="18" customHeight="1" x14ac:dyDescent="0.2">
      <c r="A1525" s="242"/>
      <c r="B1525" s="242"/>
      <c r="C1525" s="496"/>
      <c r="D1525" s="88"/>
      <c r="E1525" s="88"/>
      <c r="F1525" s="411"/>
      <c r="G1525" s="242"/>
      <c r="H1525" s="497"/>
      <c r="I1525" s="74"/>
      <c r="J1525" s="121"/>
      <c r="K1525" s="159"/>
      <c r="L1525" s="75"/>
      <c r="M1525" s="75"/>
      <c r="N1525" s="75"/>
      <c r="O1525" s="75"/>
      <c r="P1525" s="177"/>
      <c r="Q1525" s="196"/>
      <c r="R1525" s="408"/>
      <c r="S1525" s="77"/>
      <c r="T1525" s="145"/>
      <c r="U1525" s="77"/>
      <c r="V1525" s="74"/>
      <c r="W1525" s="74"/>
      <c r="X1525" s="74"/>
      <c r="Y1525" s="74"/>
      <c r="Z1525" s="74"/>
      <c r="AA1525" s="414"/>
      <c r="AB1525" s="466"/>
    </row>
    <row r="1526" spans="1:28" s="457" customFormat="1" ht="18" customHeight="1" x14ac:dyDescent="0.2">
      <c r="A1526" s="242"/>
      <c r="B1526" s="242"/>
      <c r="C1526" s="496"/>
      <c r="D1526" s="144"/>
      <c r="E1526" s="88"/>
      <c r="F1526" s="411"/>
      <c r="G1526" s="242"/>
      <c r="H1526" s="497"/>
      <c r="I1526" s="77"/>
      <c r="J1526" s="107"/>
      <c r="K1526" s="78"/>
      <c r="L1526" s="242"/>
      <c r="M1526" s="242"/>
      <c r="N1526" s="242"/>
      <c r="O1526" s="242"/>
      <c r="P1526" s="497"/>
      <c r="Q1526" s="496"/>
      <c r="R1526" s="503"/>
      <c r="S1526" s="504"/>
      <c r="T1526" s="505"/>
      <c r="U1526" s="504"/>
      <c r="V1526" s="504"/>
      <c r="W1526" s="77"/>
      <c r="X1526" s="77"/>
      <c r="Y1526" s="77"/>
      <c r="Z1526" s="77"/>
      <c r="AA1526" s="409"/>
      <c r="AB1526" s="506"/>
    </row>
    <row r="1527" spans="1:28" s="457" customFormat="1" ht="18" customHeight="1" x14ac:dyDescent="0.2">
      <c r="A1527" s="242"/>
      <c r="B1527" s="242"/>
      <c r="C1527" s="496"/>
      <c r="D1527" s="88"/>
      <c r="E1527" s="231"/>
      <c r="F1527" s="411"/>
      <c r="G1527" s="242"/>
      <c r="H1527" s="497"/>
      <c r="I1527" s="77"/>
      <c r="J1527" s="107"/>
      <c r="K1527" s="78"/>
      <c r="L1527" s="242"/>
      <c r="M1527" s="242"/>
      <c r="N1527" s="242"/>
      <c r="O1527" s="242"/>
      <c r="P1527" s="497"/>
      <c r="Q1527" s="496"/>
      <c r="R1527" s="503"/>
      <c r="S1527" s="504"/>
      <c r="T1527" s="505"/>
      <c r="U1527" s="504"/>
      <c r="V1527" s="504"/>
      <c r="W1527" s="77"/>
      <c r="X1527" s="77"/>
      <c r="Y1527" s="77"/>
      <c r="Z1527" s="77"/>
      <c r="AA1527" s="409"/>
      <c r="AB1527" s="506"/>
    </row>
    <row r="1528" spans="1:28" s="457" customFormat="1" ht="18" customHeight="1" x14ac:dyDescent="0.2">
      <c r="A1528" s="242"/>
      <c r="B1528" s="242"/>
      <c r="C1528" s="496"/>
      <c r="D1528" s="231"/>
      <c r="E1528" s="144"/>
      <c r="F1528" s="411"/>
      <c r="G1528" s="242"/>
      <c r="H1528" s="497"/>
      <c r="I1528" s="77"/>
      <c r="J1528" s="107"/>
      <c r="K1528" s="78"/>
      <c r="L1528" s="242"/>
      <c r="M1528" s="242"/>
      <c r="N1528" s="242"/>
      <c r="O1528" s="242"/>
      <c r="P1528" s="497"/>
      <c r="Q1528" s="496"/>
      <c r="R1528" s="503"/>
      <c r="S1528" s="504"/>
      <c r="T1528" s="505"/>
      <c r="U1528" s="504"/>
      <c r="V1528" s="504"/>
      <c r="W1528" s="77"/>
      <c r="X1528" s="77"/>
      <c r="Y1528" s="77"/>
      <c r="Z1528" s="77"/>
      <c r="AA1528" s="409"/>
      <c r="AB1528" s="506"/>
    </row>
    <row r="1529" spans="1:28" s="457" customFormat="1" ht="18" customHeight="1" x14ac:dyDescent="0.2">
      <c r="A1529" s="242"/>
      <c r="B1529" s="242"/>
      <c r="C1529" s="496"/>
      <c r="D1529" s="144"/>
      <c r="E1529" s="144"/>
      <c r="F1529" s="411"/>
      <c r="G1529" s="242"/>
      <c r="H1529" s="497"/>
      <c r="I1529" s="77"/>
      <c r="J1529" s="107"/>
      <c r="K1529" s="78"/>
      <c r="L1529" s="242"/>
      <c r="M1529" s="242"/>
      <c r="N1529" s="242"/>
      <c r="O1529" s="242"/>
      <c r="P1529" s="497"/>
      <c r="Q1529" s="496"/>
      <c r="R1529" s="503"/>
      <c r="S1529" s="504"/>
      <c r="T1529" s="505"/>
      <c r="U1529" s="504"/>
      <c r="V1529" s="504"/>
      <c r="W1529" s="77"/>
      <c r="X1529" s="77"/>
      <c r="Y1529" s="77"/>
      <c r="Z1529" s="77"/>
      <c r="AA1529" s="409"/>
      <c r="AB1529" s="506"/>
    </row>
    <row r="1530" spans="1:28" s="457" customFormat="1" ht="18" customHeight="1" x14ac:dyDescent="0.2">
      <c r="A1530" s="242"/>
      <c r="B1530" s="242"/>
      <c r="C1530" s="496"/>
      <c r="D1530" s="88"/>
      <c r="E1530" s="144"/>
      <c r="F1530" s="411"/>
      <c r="G1530" s="242"/>
      <c r="H1530" s="497"/>
      <c r="I1530" s="77"/>
      <c r="J1530" s="107"/>
      <c r="K1530" s="78"/>
      <c r="L1530" s="242"/>
      <c r="M1530" s="242"/>
      <c r="N1530" s="242"/>
      <c r="O1530" s="242"/>
      <c r="P1530" s="497"/>
      <c r="Q1530" s="496"/>
      <c r="R1530" s="503"/>
      <c r="S1530" s="504"/>
      <c r="T1530" s="505"/>
      <c r="U1530" s="504"/>
      <c r="V1530" s="504"/>
      <c r="W1530" s="77"/>
      <c r="X1530" s="77"/>
      <c r="Y1530" s="77"/>
      <c r="Z1530" s="77"/>
      <c r="AA1530" s="409"/>
      <c r="AB1530" s="506"/>
    </row>
    <row r="1531" spans="1:28" s="457" customFormat="1" ht="18" customHeight="1" x14ac:dyDescent="0.2">
      <c r="A1531" s="242"/>
      <c r="B1531" s="242"/>
      <c r="C1531" s="496"/>
      <c r="D1531" s="231"/>
      <c r="E1531" s="88"/>
      <c r="F1531" s="411"/>
      <c r="G1531" s="242"/>
      <c r="H1531" s="497"/>
      <c r="I1531" s="77"/>
      <c r="J1531" s="107"/>
      <c r="K1531" s="78"/>
      <c r="L1531" s="242"/>
      <c r="M1531" s="242"/>
      <c r="N1531" s="242"/>
      <c r="O1531" s="242"/>
      <c r="P1531" s="497"/>
      <c r="Q1531" s="496"/>
      <c r="R1531" s="503"/>
      <c r="S1531" s="504"/>
      <c r="T1531" s="505"/>
      <c r="U1531" s="504"/>
      <c r="V1531" s="504"/>
      <c r="W1531" s="77"/>
      <c r="X1531" s="77"/>
      <c r="Y1531" s="77"/>
      <c r="Z1531" s="77"/>
      <c r="AA1531" s="409"/>
      <c r="AB1531" s="506"/>
    </row>
    <row r="1532" spans="1:28" s="457" customFormat="1" ht="18" customHeight="1" x14ac:dyDescent="0.2">
      <c r="A1532" s="242"/>
      <c r="B1532" s="242"/>
      <c r="C1532" s="496"/>
      <c r="D1532" s="144"/>
      <c r="E1532" s="88"/>
      <c r="F1532" s="411"/>
      <c r="G1532" s="242"/>
      <c r="H1532" s="497"/>
      <c r="I1532" s="77"/>
      <c r="J1532" s="107"/>
      <c r="K1532" s="78"/>
      <c r="L1532" s="242"/>
      <c r="M1532" s="242"/>
      <c r="N1532" s="242"/>
      <c r="O1532" s="242"/>
      <c r="P1532" s="497"/>
      <c r="Q1532" s="496"/>
      <c r="R1532" s="503"/>
      <c r="S1532" s="504"/>
      <c r="T1532" s="505"/>
      <c r="U1532" s="504"/>
      <c r="V1532" s="504"/>
      <c r="W1532" s="77"/>
      <c r="X1532" s="77"/>
      <c r="Y1532" s="77"/>
      <c r="Z1532" s="77"/>
      <c r="AA1532" s="409"/>
      <c r="AB1532" s="506"/>
    </row>
    <row r="1533" spans="1:28" s="457" customFormat="1" ht="18" customHeight="1" x14ac:dyDescent="0.2">
      <c r="A1533" s="242"/>
      <c r="B1533" s="242"/>
      <c r="C1533" s="496"/>
      <c r="D1533" s="144"/>
      <c r="E1533" s="88"/>
      <c r="F1533" s="411"/>
      <c r="G1533" s="242"/>
      <c r="H1533" s="497"/>
      <c r="I1533" s="77"/>
      <c r="J1533" s="107"/>
      <c r="K1533" s="78"/>
      <c r="L1533" s="242"/>
      <c r="M1533" s="242"/>
      <c r="N1533" s="242"/>
      <c r="O1533" s="242"/>
      <c r="P1533" s="497"/>
      <c r="Q1533" s="496"/>
      <c r="R1533" s="503"/>
      <c r="S1533" s="504"/>
      <c r="T1533" s="505"/>
      <c r="U1533" s="504"/>
      <c r="V1533" s="504"/>
      <c r="W1533" s="77"/>
      <c r="X1533" s="77"/>
      <c r="Y1533" s="77"/>
      <c r="Z1533" s="77"/>
      <c r="AA1533" s="409"/>
      <c r="AB1533" s="506"/>
    </row>
    <row r="1534" spans="1:28" s="457" customFormat="1" ht="18" customHeight="1" x14ac:dyDescent="0.2">
      <c r="A1534" s="145"/>
      <c r="B1534" s="177"/>
      <c r="C1534" s="177"/>
      <c r="D1534" s="145"/>
      <c r="E1534" s="145"/>
      <c r="F1534" s="145"/>
      <c r="G1534" s="145"/>
      <c r="H1534" s="147"/>
      <c r="I1534" s="107"/>
      <c r="J1534" s="178"/>
      <c r="K1534" s="107"/>
      <c r="L1534" s="145"/>
      <c r="M1534" s="145"/>
      <c r="N1534" s="145"/>
      <c r="O1534" s="145"/>
      <c r="P1534" s="147"/>
      <c r="Q1534" s="148"/>
      <c r="R1534" s="437"/>
      <c r="S1534" s="107"/>
      <c r="T1534" s="179"/>
      <c r="U1534" s="178"/>
      <c r="V1534" s="107"/>
      <c r="W1534" s="107"/>
      <c r="X1534" s="470"/>
      <c r="Y1534" s="470"/>
      <c r="Z1534" s="471"/>
      <c r="AA1534" s="471"/>
      <c r="AB1534" s="466"/>
    </row>
    <row r="1535" spans="1:28" s="457" customFormat="1" ht="18" customHeight="1" x14ac:dyDescent="0.2">
      <c r="A1535" s="88"/>
      <c r="B1535" s="180"/>
      <c r="C1535" s="180"/>
      <c r="D1535" s="88"/>
      <c r="E1535" s="88"/>
      <c r="F1535" s="88"/>
      <c r="G1535" s="88"/>
      <c r="H1535" s="120"/>
      <c r="I1535" s="121"/>
      <c r="J1535" s="181"/>
      <c r="K1535" s="121"/>
      <c r="L1535" s="88"/>
      <c r="M1535" s="88"/>
      <c r="N1535" s="88"/>
      <c r="O1535" s="88"/>
      <c r="P1535" s="88"/>
      <c r="Q1535" s="129"/>
      <c r="R1535" s="445"/>
      <c r="S1535" s="121"/>
      <c r="T1535" s="182"/>
      <c r="U1535" s="181"/>
      <c r="V1535" s="121"/>
      <c r="W1535" s="121"/>
      <c r="X1535" s="472"/>
      <c r="Y1535" s="472"/>
      <c r="Z1535" s="473"/>
      <c r="AA1535" s="473"/>
      <c r="AB1535" s="410"/>
    </row>
    <row r="1536" spans="1:28" s="597" customFormat="1" ht="18" customHeight="1" x14ac:dyDescent="0.2">
      <c r="A1536" s="1850"/>
      <c r="B1536" s="1850"/>
      <c r="C1536" s="1850"/>
      <c r="D1536" s="1850"/>
      <c r="E1536" s="1850"/>
      <c r="F1536" s="1850"/>
      <c r="G1536" s="1850"/>
      <c r="H1536" s="1851"/>
      <c r="I1536" s="1852"/>
      <c r="J1536" s="1853"/>
      <c r="K1536" s="1852"/>
      <c r="L1536" s="1852"/>
      <c r="M1536" s="1852"/>
      <c r="N1536" s="1852"/>
      <c r="O1536" s="1852"/>
      <c r="P1536" s="1852"/>
      <c r="Q1536" s="1852"/>
      <c r="R1536" s="1854"/>
      <c r="S1536" s="1852"/>
      <c r="T1536" s="1855"/>
      <c r="U1536" s="1853"/>
      <c r="V1536" s="1852"/>
      <c r="W1536" s="1852"/>
      <c r="X1536" s="1856"/>
      <c r="Y1536" s="1856"/>
      <c r="Z1536" s="1857"/>
      <c r="AA1536" s="1857"/>
      <c r="AB1536" s="1847">
        <f>SUM(AB1521:AB1535)</f>
        <v>470.4</v>
      </c>
    </row>
    <row r="1537" spans="1:28" s="457" customFormat="1" ht="18" customHeight="1" x14ac:dyDescent="0.2">
      <c r="A1537" s="2737" t="s">
        <v>76</v>
      </c>
      <c r="B1537" s="2737"/>
      <c r="C1537" s="2738" t="s">
        <v>77</v>
      </c>
      <c r="D1537" s="2738"/>
      <c r="E1537" s="2738"/>
      <c r="F1537" s="2738"/>
      <c r="G1537" s="2738"/>
      <c r="H1537" s="2738"/>
      <c r="I1537" s="457" t="s">
        <v>78</v>
      </c>
      <c r="V1537" s="457" t="s">
        <v>251</v>
      </c>
      <c r="AB1537" s="478"/>
    </row>
    <row r="1538" spans="1:28" s="457" customFormat="1" ht="18" customHeight="1" x14ac:dyDescent="0.2">
      <c r="B1538" s="479"/>
      <c r="I1538" s="457" t="s">
        <v>79</v>
      </c>
      <c r="AB1538" s="478"/>
    </row>
    <row r="1539" spans="1:28" s="457" customFormat="1" ht="18" customHeight="1" x14ac:dyDescent="0.2">
      <c r="B1539" s="479"/>
      <c r="I1539" s="457" t="s">
        <v>80</v>
      </c>
      <c r="AB1539" s="478"/>
    </row>
    <row r="1540" spans="1:28" s="457" customFormat="1" ht="18" customHeight="1" x14ac:dyDescent="0.2">
      <c r="B1540" s="479"/>
      <c r="I1540" s="457" t="s">
        <v>81</v>
      </c>
      <c r="AB1540" s="478"/>
    </row>
    <row r="1541" spans="1:28" s="457" customFormat="1" ht="18" customHeight="1" x14ac:dyDescent="0.2">
      <c r="B1541" s="479"/>
      <c r="I1541" s="457" t="s">
        <v>88</v>
      </c>
      <c r="AB1541" s="478"/>
    </row>
    <row r="1542" spans="1:28" s="457" customFormat="1" ht="18" customHeight="1" x14ac:dyDescent="0.2">
      <c r="A1542" s="455"/>
      <c r="B1542" s="455"/>
      <c r="C1542" s="455"/>
      <c r="D1542" s="455"/>
      <c r="E1542" s="455"/>
      <c r="F1542" s="455"/>
      <c r="G1542" s="455"/>
      <c r="H1542" s="455"/>
      <c r="I1542" s="455"/>
      <c r="J1542" s="455"/>
      <c r="K1542" s="455"/>
      <c r="L1542" s="455"/>
      <c r="M1542" s="455"/>
      <c r="N1542" s="455"/>
      <c r="O1542" s="455"/>
      <c r="P1542" s="455"/>
      <c r="Q1542" s="455"/>
      <c r="R1542" s="455"/>
      <c r="S1542" s="455"/>
      <c r="T1542" s="455"/>
      <c r="U1542" s="455"/>
      <c r="V1542" s="455"/>
      <c r="W1542" s="455"/>
      <c r="X1542" s="455"/>
      <c r="Y1542" s="455"/>
      <c r="Z1542" s="455"/>
      <c r="AA1542" s="2705" t="s">
        <v>0</v>
      </c>
      <c r="AB1542" s="2705"/>
    </row>
    <row r="1543" spans="1:28" s="457" customFormat="1" ht="18" customHeight="1" x14ac:dyDescent="0.2">
      <c r="A1543" s="2706" t="s">
        <v>1</v>
      </c>
      <c r="B1543" s="2706"/>
      <c r="C1543" s="2706"/>
      <c r="D1543" s="2706"/>
      <c r="E1543" s="2706"/>
      <c r="F1543" s="2706"/>
      <c r="G1543" s="2706"/>
      <c r="H1543" s="2706"/>
      <c r="I1543" s="2706"/>
      <c r="J1543" s="2706"/>
      <c r="K1543" s="2706"/>
      <c r="L1543" s="2706"/>
      <c r="M1543" s="2706"/>
      <c r="N1543" s="2706"/>
      <c r="O1543" s="2706"/>
      <c r="P1543" s="2706"/>
      <c r="Q1543" s="2706"/>
      <c r="R1543" s="2706"/>
      <c r="S1543" s="2706"/>
      <c r="T1543" s="2706"/>
      <c r="U1543" s="2706"/>
      <c r="V1543" s="2706"/>
      <c r="W1543" s="2706"/>
      <c r="X1543" s="2706"/>
      <c r="Y1543" s="2706"/>
      <c r="Z1543" s="2706"/>
      <c r="AA1543" s="2706"/>
      <c r="AB1543" s="2706"/>
    </row>
    <row r="1544" spans="1:28" s="457" customFormat="1" ht="18" customHeight="1" x14ac:dyDescent="0.2">
      <c r="A1544" s="2704" t="s">
        <v>419</v>
      </c>
      <c r="B1544" s="2704"/>
      <c r="C1544" s="2704"/>
      <c r="D1544" s="2704"/>
      <c r="E1544" s="2704"/>
      <c r="F1544" s="2704"/>
      <c r="G1544" s="2704"/>
      <c r="H1544" s="2704"/>
      <c r="I1544" s="2704"/>
      <c r="J1544" s="2704"/>
      <c r="K1544" s="2704"/>
      <c r="L1544" s="2704"/>
      <c r="M1544" s="2704"/>
      <c r="N1544" s="2704"/>
      <c r="O1544" s="2704"/>
      <c r="P1544" s="2704"/>
      <c r="Q1544" s="2704"/>
      <c r="R1544" s="2704"/>
      <c r="S1544" s="2704"/>
      <c r="T1544" s="2704"/>
      <c r="U1544" s="2704"/>
      <c r="V1544" s="2704"/>
      <c r="W1544" s="2704"/>
      <c r="X1544" s="2704"/>
      <c r="Y1544" s="2704"/>
      <c r="Z1544" s="2704"/>
      <c r="AA1544" s="2704"/>
      <c r="AB1544" s="2704"/>
    </row>
    <row r="1545" spans="1:28" s="457" customFormat="1" ht="18" customHeight="1" x14ac:dyDescent="0.2">
      <c r="A1545" s="2686" t="s">
        <v>2</v>
      </c>
      <c r="B1545" s="360"/>
      <c r="C1545" s="2686" t="s">
        <v>3</v>
      </c>
      <c r="D1545" s="360"/>
      <c r="E1545" s="360"/>
      <c r="F1545" s="2693" t="s">
        <v>4</v>
      </c>
      <c r="G1545" s="2693"/>
      <c r="H1545" s="2693"/>
      <c r="I1545" s="2694"/>
      <c r="J1545" s="2694"/>
      <c r="K1545" s="2695"/>
      <c r="L1545" s="361"/>
      <c r="M1545" s="2679" t="s">
        <v>5</v>
      </c>
      <c r="N1545" s="2679"/>
      <c r="O1545" s="2679"/>
      <c r="P1545" s="2679"/>
      <c r="Q1545" s="2696"/>
      <c r="R1545" s="2696"/>
      <c r="S1545" s="2696"/>
      <c r="T1545" s="2696"/>
      <c r="U1545" s="2696"/>
      <c r="V1545" s="2697"/>
      <c r="W1545" s="362" t="s">
        <v>6</v>
      </c>
      <c r="X1545" s="363" t="s">
        <v>7</v>
      </c>
      <c r="Y1545" s="364"/>
      <c r="Z1545" s="364"/>
      <c r="AA1545" s="363"/>
      <c r="AB1545" s="458"/>
    </row>
    <row r="1546" spans="1:28" s="457" customFormat="1" ht="18" customHeight="1" x14ac:dyDescent="0.2">
      <c r="A1546" s="2687"/>
      <c r="B1546" s="367"/>
      <c r="C1546" s="2687"/>
      <c r="D1546" s="366" t="s">
        <v>9</v>
      </c>
      <c r="E1546" s="366" t="s">
        <v>10</v>
      </c>
      <c r="F1546" s="2698" t="s">
        <v>11</v>
      </c>
      <c r="G1546" s="2694"/>
      <c r="H1546" s="2695"/>
      <c r="I1546" s="360"/>
      <c r="J1546" s="449" t="s">
        <v>12</v>
      </c>
      <c r="K1546" s="360"/>
      <c r="L1546" s="2679" t="s">
        <v>2</v>
      </c>
      <c r="M1546" s="370"/>
      <c r="N1546" s="370"/>
      <c r="O1546" s="370"/>
      <c r="P1546" s="371"/>
      <c r="Q1546" s="459" t="s">
        <v>13</v>
      </c>
      <c r="R1546" s="370" t="s">
        <v>12</v>
      </c>
      <c r="S1546" s="370" t="s">
        <v>6</v>
      </c>
      <c r="T1546" s="2682" t="s">
        <v>14</v>
      </c>
      <c r="U1546" s="2683"/>
      <c r="V1546" s="375" t="s">
        <v>7</v>
      </c>
      <c r="W1546" s="376" t="s">
        <v>15</v>
      </c>
      <c r="X1546" s="377" t="s">
        <v>16</v>
      </c>
      <c r="Y1546" s="377" t="s">
        <v>17</v>
      </c>
      <c r="Z1546" s="377" t="s">
        <v>18</v>
      </c>
      <c r="AA1546" s="377"/>
      <c r="AB1546" s="460" t="s">
        <v>19</v>
      </c>
    </row>
    <row r="1547" spans="1:28" s="457" customFormat="1" ht="18" customHeight="1" x14ac:dyDescent="0.2">
      <c r="A1547" s="2687"/>
      <c r="B1547" s="366" t="s">
        <v>23</v>
      </c>
      <c r="C1547" s="2687"/>
      <c r="D1547" s="366" t="s">
        <v>24</v>
      </c>
      <c r="E1547" s="366" t="s">
        <v>25</v>
      </c>
      <c r="F1547" s="2699"/>
      <c r="G1547" s="2700"/>
      <c r="H1547" s="2701"/>
      <c r="I1547" s="366" t="s">
        <v>26</v>
      </c>
      <c r="J1547" s="380" t="s">
        <v>15</v>
      </c>
      <c r="K1547" s="380" t="s">
        <v>6</v>
      </c>
      <c r="L1547" s="2680"/>
      <c r="M1547" s="381" t="s">
        <v>27</v>
      </c>
      <c r="N1547" s="381" t="s">
        <v>10</v>
      </c>
      <c r="O1547" s="381" t="s">
        <v>10</v>
      </c>
      <c r="P1547" s="385" t="s">
        <v>28</v>
      </c>
      <c r="Q1547" s="461" t="s">
        <v>29</v>
      </c>
      <c r="R1547" s="385" t="s">
        <v>15</v>
      </c>
      <c r="S1547" s="385" t="s">
        <v>15</v>
      </c>
      <c r="T1547" s="2684"/>
      <c r="U1547" s="2685"/>
      <c r="V1547" s="375" t="s">
        <v>30</v>
      </c>
      <c r="W1547" s="376" t="s">
        <v>31</v>
      </c>
      <c r="X1547" s="377" t="s">
        <v>30</v>
      </c>
      <c r="Y1547" s="377" t="s">
        <v>32</v>
      </c>
      <c r="Z1547" s="377" t="s">
        <v>7</v>
      </c>
      <c r="AA1547" s="377" t="s">
        <v>33</v>
      </c>
      <c r="AB1547" s="460" t="s">
        <v>34</v>
      </c>
    </row>
    <row r="1548" spans="1:28" s="457" customFormat="1" ht="18" customHeight="1" x14ac:dyDescent="0.2">
      <c r="A1548" s="2687"/>
      <c r="B1548" s="366" t="s">
        <v>39</v>
      </c>
      <c r="C1548" s="2687"/>
      <c r="D1548" s="366" t="s">
        <v>40</v>
      </c>
      <c r="E1548" s="366" t="s">
        <v>41</v>
      </c>
      <c r="F1548" s="2686" t="s">
        <v>42</v>
      </c>
      <c r="G1548" s="2686" t="s">
        <v>43</v>
      </c>
      <c r="H1548" s="2688" t="s">
        <v>44</v>
      </c>
      <c r="I1548" s="366" t="s">
        <v>45</v>
      </c>
      <c r="J1548" s="380" t="s">
        <v>46</v>
      </c>
      <c r="K1548" s="380" t="s">
        <v>47</v>
      </c>
      <c r="L1548" s="2680"/>
      <c r="M1548" s="381" t="s">
        <v>30</v>
      </c>
      <c r="N1548" s="381" t="s">
        <v>30</v>
      </c>
      <c r="O1548" s="381" t="s">
        <v>25</v>
      </c>
      <c r="P1548" s="385" t="s">
        <v>30</v>
      </c>
      <c r="Q1548" s="461" t="s">
        <v>48</v>
      </c>
      <c r="R1548" s="385" t="s">
        <v>49</v>
      </c>
      <c r="S1548" s="385" t="s">
        <v>30</v>
      </c>
      <c r="T1548" s="374" t="s">
        <v>50</v>
      </c>
      <c r="U1548" s="374" t="s">
        <v>13</v>
      </c>
      <c r="V1548" s="375" t="s">
        <v>51</v>
      </c>
      <c r="W1548" s="376" t="s">
        <v>52</v>
      </c>
      <c r="X1548" s="377" t="s">
        <v>53</v>
      </c>
      <c r="Y1548" s="377" t="s">
        <v>54</v>
      </c>
      <c r="Z1548" s="377" t="s">
        <v>55</v>
      </c>
      <c r="AA1548" s="377" t="s">
        <v>56</v>
      </c>
      <c r="AB1548" s="460" t="s">
        <v>57</v>
      </c>
    </row>
    <row r="1549" spans="1:28" s="457" customFormat="1" ht="18" customHeight="1" x14ac:dyDescent="0.2">
      <c r="A1549" s="2687"/>
      <c r="B1549" s="366" t="s">
        <v>61</v>
      </c>
      <c r="C1549" s="2687"/>
      <c r="D1549" s="366" t="s">
        <v>62</v>
      </c>
      <c r="E1549" s="366" t="s">
        <v>63</v>
      </c>
      <c r="F1549" s="2687"/>
      <c r="G1549" s="2687"/>
      <c r="H1549" s="2689"/>
      <c r="I1549" s="366" t="s">
        <v>64</v>
      </c>
      <c r="J1549" s="380" t="s">
        <v>59</v>
      </c>
      <c r="K1549" s="380" t="s">
        <v>59</v>
      </c>
      <c r="L1549" s="2680"/>
      <c r="M1549" s="381"/>
      <c r="N1549" s="381"/>
      <c r="O1549" s="381" t="s">
        <v>41</v>
      </c>
      <c r="P1549" s="385" t="s">
        <v>65</v>
      </c>
      <c r="Q1549" s="461" t="s">
        <v>66</v>
      </c>
      <c r="R1549" s="385" t="s">
        <v>67</v>
      </c>
      <c r="S1549" s="385" t="s">
        <v>59</v>
      </c>
      <c r="T1549" s="375" t="s">
        <v>68</v>
      </c>
      <c r="U1549" s="375" t="s">
        <v>14</v>
      </c>
      <c r="V1549" s="375" t="s">
        <v>14</v>
      </c>
      <c r="W1549" s="376" t="s">
        <v>30</v>
      </c>
      <c r="X1549" s="388" t="s">
        <v>69</v>
      </c>
      <c r="Y1549" s="388" t="s">
        <v>70</v>
      </c>
      <c r="Z1549" s="377" t="s">
        <v>71</v>
      </c>
      <c r="AA1549" s="377" t="s">
        <v>72</v>
      </c>
      <c r="AB1549" s="460" t="s">
        <v>59</v>
      </c>
    </row>
    <row r="1550" spans="1:28" s="457" customFormat="1" ht="18" customHeight="1" x14ac:dyDescent="0.2">
      <c r="A1550" s="2692"/>
      <c r="B1550" s="390"/>
      <c r="C1550" s="2692"/>
      <c r="D1550" s="390"/>
      <c r="E1550" s="389"/>
      <c r="F1550" s="390"/>
      <c r="G1550" s="390"/>
      <c r="H1550" s="391"/>
      <c r="I1550" s="389"/>
      <c r="J1550" s="393"/>
      <c r="K1550" s="393"/>
      <c r="L1550" s="2681"/>
      <c r="M1550" s="394"/>
      <c r="N1550" s="394"/>
      <c r="O1550" s="394" t="s">
        <v>63</v>
      </c>
      <c r="P1550" s="394"/>
      <c r="Q1550" s="450" t="s">
        <v>72</v>
      </c>
      <c r="R1550" s="398" t="s">
        <v>59</v>
      </c>
      <c r="S1550" s="398"/>
      <c r="T1550" s="398" t="s">
        <v>73</v>
      </c>
      <c r="U1550" s="398" t="s">
        <v>59</v>
      </c>
      <c r="V1550" s="399" t="s">
        <v>59</v>
      </c>
      <c r="W1550" s="400" t="s">
        <v>59</v>
      </c>
      <c r="X1550" s="401" t="s">
        <v>59</v>
      </c>
      <c r="Y1550" s="401" t="s">
        <v>59</v>
      </c>
      <c r="Z1550" s="401" t="s">
        <v>59</v>
      </c>
      <c r="AA1550" s="402"/>
      <c r="AB1550" s="462"/>
    </row>
    <row r="1551" spans="1:28" s="457" customFormat="1" ht="18" customHeight="1" x14ac:dyDescent="0.2">
      <c r="A1551" s="53">
        <v>1</v>
      </c>
      <c r="B1551" s="95">
        <v>32171</v>
      </c>
      <c r="C1551" s="82">
        <v>979</v>
      </c>
      <c r="D1551" s="82" t="s">
        <v>86</v>
      </c>
      <c r="E1551" s="82">
        <v>4</v>
      </c>
      <c r="F1551" s="82">
        <v>0</v>
      </c>
      <c r="G1551" s="82">
        <v>0</v>
      </c>
      <c r="H1551" s="463">
        <v>99</v>
      </c>
      <c r="I1551" s="70">
        <f>F1551*400+G1551*100+H1551</f>
        <v>99</v>
      </c>
      <c r="J1551" s="123">
        <v>1600</v>
      </c>
      <c r="K1551" s="124">
        <f>SUM(I1551*J1551)</f>
        <v>158400</v>
      </c>
      <c r="L1551" s="53"/>
      <c r="M1551" s="82"/>
      <c r="N1551" s="82"/>
      <c r="O1551" s="53"/>
      <c r="P1551" s="358"/>
      <c r="Q1551" s="197"/>
      <c r="R1551" s="444"/>
      <c r="S1551" s="70"/>
      <c r="T1551" s="82"/>
      <c r="U1551" s="70"/>
      <c r="V1551" s="70"/>
      <c r="W1551" s="70">
        <f>K1551+V1551</f>
        <v>158400</v>
      </c>
      <c r="X1551" s="70">
        <f>W1551</f>
        <v>158400</v>
      </c>
      <c r="Y1551" s="123"/>
      <c r="Z1551" s="70">
        <f>+X1551</f>
        <v>158400</v>
      </c>
      <c r="AA1551" s="464">
        <v>0.3</v>
      </c>
      <c r="AB1551" s="465">
        <f>+Z1551*AA1551/100</f>
        <v>475.2</v>
      </c>
    </row>
    <row r="1552" spans="1:28" s="457" customFormat="1" ht="18" customHeight="1" x14ac:dyDescent="0.2">
      <c r="A1552" s="242"/>
      <c r="B1552" s="242"/>
      <c r="C1552" s="496"/>
      <c r="D1552" s="88"/>
      <c r="E1552" s="88"/>
      <c r="F1552" s="411"/>
      <c r="G1552" s="242"/>
      <c r="H1552" s="412"/>
      <c r="I1552" s="74"/>
      <c r="J1552" s="121"/>
      <c r="K1552" s="190"/>
      <c r="L1552" s="61"/>
      <c r="M1552" s="145"/>
      <c r="N1552" s="145"/>
      <c r="O1552" s="61"/>
      <c r="P1552" s="177"/>
      <c r="Q1552" s="196"/>
      <c r="R1552" s="408"/>
      <c r="S1552" s="77"/>
      <c r="T1552" s="145"/>
      <c r="U1552" s="107"/>
      <c r="V1552" s="77"/>
      <c r="W1552" s="77"/>
      <c r="X1552" s="77"/>
      <c r="Y1552" s="107"/>
      <c r="Z1552" s="77"/>
      <c r="AA1552" s="409"/>
      <c r="AB1552" s="466"/>
    </row>
    <row r="1553" spans="1:28" s="457" customFormat="1" ht="18" customHeight="1" x14ac:dyDescent="0.2">
      <c r="A1553" s="242"/>
      <c r="B1553" s="242"/>
      <c r="C1553" s="496"/>
      <c r="D1553" s="88"/>
      <c r="E1553" s="88"/>
      <c r="F1553" s="411"/>
      <c r="G1553" s="242"/>
      <c r="H1553" s="497"/>
      <c r="I1553" s="77"/>
      <c r="J1553" s="107"/>
      <c r="K1553" s="78"/>
      <c r="L1553" s="75"/>
      <c r="M1553" s="88"/>
      <c r="N1553" s="88"/>
      <c r="O1553" s="75"/>
      <c r="P1553" s="180"/>
      <c r="Q1553" s="174"/>
      <c r="R1553" s="413"/>
      <c r="S1553" s="74"/>
      <c r="T1553" s="88"/>
      <c r="U1553" s="121"/>
      <c r="V1553" s="74"/>
      <c r="W1553" s="77"/>
      <c r="X1553" s="77"/>
      <c r="Y1553" s="74"/>
      <c r="Z1553" s="74"/>
      <c r="AA1553" s="414"/>
      <c r="AB1553" s="466"/>
    </row>
    <row r="1554" spans="1:28" s="457" customFormat="1" ht="18" customHeight="1" x14ac:dyDescent="0.2">
      <c r="A1554" s="241"/>
      <c r="B1554" s="241"/>
      <c r="C1554" s="498"/>
      <c r="D1554" s="145"/>
      <c r="E1554" s="145"/>
      <c r="F1554" s="499"/>
      <c r="G1554" s="241"/>
      <c r="H1554" s="500"/>
      <c r="I1554" s="77"/>
      <c r="J1554" s="107"/>
      <c r="K1554" s="78"/>
      <c r="L1554" s="241"/>
      <c r="M1554" s="241"/>
      <c r="N1554" s="241"/>
      <c r="O1554" s="241"/>
      <c r="P1554" s="500"/>
      <c r="Q1554" s="498"/>
      <c r="R1554" s="501"/>
      <c r="S1554" s="103"/>
      <c r="T1554" s="502"/>
      <c r="U1554" s="103"/>
      <c r="V1554" s="103"/>
      <c r="W1554" s="77"/>
      <c r="X1554" s="77"/>
      <c r="Y1554" s="103"/>
      <c r="Z1554" s="103"/>
      <c r="AA1554" s="414"/>
      <c r="AB1554" s="410"/>
    </row>
    <row r="1555" spans="1:28" s="457" customFormat="1" ht="18" customHeight="1" x14ac:dyDescent="0.2">
      <c r="A1555" s="242"/>
      <c r="B1555" s="242"/>
      <c r="C1555" s="496"/>
      <c r="D1555" s="88"/>
      <c r="E1555" s="88"/>
      <c r="F1555" s="411"/>
      <c r="G1555" s="242"/>
      <c r="H1555" s="497"/>
      <c r="I1555" s="74"/>
      <c r="J1555" s="121"/>
      <c r="K1555" s="159"/>
      <c r="L1555" s="75"/>
      <c r="M1555" s="75"/>
      <c r="N1555" s="75"/>
      <c r="O1555" s="75"/>
      <c r="P1555" s="177"/>
      <c r="Q1555" s="196"/>
      <c r="R1555" s="408"/>
      <c r="S1555" s="77"/>
      <c r="T1555" s="145"/>
      <c r="U1555" s="77"/>
      <c r="V1555" s="74"/>
      <c r="W1555" s="74"/>
      <c r="X1555" s="74"/>
      <c r="Y1555" s="74"/>
      <c r="Z1555" s="74"/>
      <c r="AA1555" s="414"/>
      <c r="AB1555" s="466"/>
    </row>
    <row r="1556" spans="1:28" s="457" customFormat="1" ht="18" customHeight="1" x14ac:dyDescent="0.2">
      <c r="A1556" s="242"/>
      <c r="B1556" s="242"/>
      <c r="C1556" s="496"/>
      <c r="D1556" s="144"/>
      <c r="E1556" s="88"/>
      <c r="F1556" s="411"/>
      <c r="G1556" s="242"/>
      <c r="H1556" s="497"/>
      <c r="I1556" s="77"/>
      <c r="J1556" s="107"/>
      <c r="K1556" s="78"/>
      <c r="L1556" s="242"/>
      <c r="M1556" s="242"/>
      <c r="N1556" s="242"/>
      <c r="O1556" s="242"/>
      <c r="P1556" s="497"/>
      <c r="Q1556" s="496"/>
      <c r="R1556" s="503"/>
      <c r="S1556" s="504"/>
      <c r="T1556" s="505"/>
      <c r="U1556" s="504"/>
      <c r="V1556" s="504"/>
      <c r="W1556" s="77"/>
      <c r="X1556" s="77"/>
      <c r="Y1556" s="77"/>
      <c r="Z1556" s="77"/>
      <c r="AA1556" s="409"/>
      <c r="AB1556" s="506"/>
    </row>
    <row r="1557" spans="1:28" s="457" customFormat="1" ht="18" customHeight="1" x14ac:dyDescent="0.2">
      <c r="A1557" s="242"/>
      <c r="B1557" s="242"/>
      <c r="C1557" s="496"/>
      <c r="D1557" s="88"/>
      <c r="E1557" s="231"/>
      <c r="F1557" s="411"/>
      <c r="G1557" s="242"/>
      <c r="H1557" s="497"/>
      <c r="I1557" s="77"/>
      <c r="J1557" s="107"/>
      <c r="K1557" s="78"/>
      <c r="L1557" s="242"/>
      <c r="M1557" s="242"/>
      <c r="N1557" s="242"/>
      <c r="O1557" s="242"/>
      <c r="P1557" s="497"/>
      <c r="Q1557" s="496"/>
      <c r="R1557" s="503"/>
      <c r="S1557" s="504"/>
      <c r="T1557" s="505"/>
      <c r="U1557" s="504"/>
      <c r="V1557" s="504"/>
      <c r="W1557" s="77"/>
      <c r="X1557" s="77"/>
      <c r="Y1557" s="77"/>
      <c r="Z1557" s="77"/>
      <c r="AA1557" s="409"/>
      <c r="AB1557" s="506"/>
    </row>
    <row r="1558" spans="1:28" s="457" customFormat="1" ht="18" customHeight="1" x14ac:dyDescent="0.2">
      <c r="A1558" s="242"/>
      <c r="B1558" s="242"/>
      <c r="C1558" s="496"/>
      <c r="D1558" s="231"/>
      <c r="E1558" s="144"/>
      <c r="F1558" s="411"/>
      <c r="G1558" s="242"/>
      <c r="H1558" s="497"/>
      <c r="I1558" s="77"/>
      <c r="J1558" s="107"/>
      <c r="K1558" s="78"/>
      <c r="L1558" s="242"/>
      <c r="M1558" s="242"/>
      <c r="N1558" s="242"/>
      <c r="O1558" s="242"/>
      <c r="P1558" s="497"/>
      <c r="Q1558" s="496"/>
      <c r="R1558" s="503"/>
      <c r="S1558" s="504"/>
      <c r="T1558" s="505"/>
      <c r="U1558" s="504"/>
      <c r="V1558" s="504"/>
      <c r="W1558" s="77"/>
      <c r="X1558" s="77"/>
      <c r="Y1558" s="77"/>
      <c r="Z1558" s="77"/>
      <c r="AA1558" s="409"/>
      <c r="AB1558" s="506"/>
    </row>
    <row r="1559" spans="1:28" s="457" customFormat="1" ht="18" customHeight="1" x14ac:dyDescent="0.2">
      <c r="A1559" s="242"/>
      <c r="B1559" s="242"/>
      <c r="C1559" s="496"/>
      <c r="D1559" s="144"/>
      <c r="E1559" s="144"/>
      <c r="F1559" s="411"/>
      <c r="G1559" s="242"/>
      <c r="H1559" s="497"/>
      <c r="I1559" s="77"/>
      <c r="J1559" s="107"/>
      <c r="K1559" s="78"/>
      <c r="L1559" s="242"/>
      <c r="M1559" s="242"/>
      <c r="N1559" s="242"/>
      <c r="O1559" s="242"/>
      <c r="P1559" s="497"/>
      <c r="Q1559" s="496"/>
      <c r="R1559" s="503"/>
      <c r="S1559" s="504"/>
      <c r="T1559" s="505"/>
      <c r="U1559" s="504"/>
      <c r="V1559" s="504"/>
      <c r="W1559" s="77"/>
      <c r="X1559" s="77"/>
      <c r="Y1559" s="77"/>
      <c r="Z1559" s="77"/>
      <c r="AA1559" s="409"/>
      <c r="AB1559" s="506"/>
    </row>
    <row r="1560" spans="1:28" s="457" customFormat="1" ht="18" customHeight="1" x14ac:dyDescent="0.2">
      <c r="A1560" s="242"/>
      <c r="B1560" s="242"/>
      <c r="C1560" s="496"/>
      <c r="D1560" s="88"/>
      <c r="E1560" s="144"/>
      <c r="F1560" s="411"/>
      <c r="G1560" s="242"/>
      <c r="H1560" s="497"/>
      <c r="I1560" s="77"/>
      <c r="J1560" s="107"/>
      <c r="K1560" s="78"/>
      <c r="L1560" s="242"/>
      <c r="M1560" s="242"/>
      <c r="N1560" s="242"/>
      <c r="O1560" s="242"/>
      <c r="P1560" s="497"/>
      <c r="Q1560" s="496"/>
      <c r="R1560" s="503"/>
      <c r="S1560" s="504"/>
      <c r="T1560" s="505"/>
      <c r="U1560" s="504"/>
      <c r="V1560" s="504"/>
      <c r="W1560" s="77"/>
      <c r="X1560" s="77"/>
      <c r="Y1560" s="77"/>
      <c r="Z1560" s="77"/>
      <c r="AA1560" s="409"/>
      <c r="AB1560" s="506"/>
    </row>
    <row r="1561" spans="1:28" s="457" customFormat="1" ht="18" customHeight="1" x14ac:dyDescent="0.2">
      <c r="A1561" s="242"/>
      <c r="B1561" s="242"/>
      <c r="C1561" s="496"/>
      <c r="D1561" s="231"/>
      <c r="E1561" s="88"/>
      <c r="F1561" s="411"/>
      <c r="G1561" s="242"/>
      <c r="H1561" s="497"/>
      <c r="I1561" s="77"/>
      <c r="J1561" s="107"/>
      <c r="K1561" s="78"/>
      <c r="L1561" s="242"/>
      <c r="M1561" s="242"/>
      <c r="N1561" s="242"/>
      <c r="O1561" s="242"/>
      <c r="P1561" s="497"/>
      <c r="Q1561" s="496"/>
      <c r="R1561" s="503"/>
      <c r="S1561" s="504"/>
      <c r="T1561" s="505"/>
      <c r="U1561" s="504"/>
      <c r="V1561" s="504"/>
      <c r="W1561" s="77"/>
      <c r="X1561" s="77"/>
      <c r="Y1561" s="77"/>
      <c r="Z1561" s="77"/>
      <c r="AA1561" s="409"/>
      <c r="AB1561" s="506"/>
    </row>
    <row r="1562" spans="1:28" s="457" customFormat="1" ht="18" customHeight="1" x14ac:dyDescent="0.2">
      <c r="A1562" s="242"/>
      <c r="B1562" s="242"/>
      <c r="C1562" s="496"/>
      <c r="D1562" s="496"/>
      <c r="E1562" s="88"/>
      <c r="F1562" s="411"/>
      <c r="G1562" s="242"/>
      <c r="H1562" s="497"/>
      <c r="I1562" s="77"/>
      <c r="J1562" s="107"/>
      <c r="K1562" s="78"/>
      <c r="L1562" s="242"/>
      <c r="M1562" s="242"/>
      <c r="N1562" s="242"/>
      <c r="O1562" s="242"/>
      <c r="P1562" s="497"/>
      <c r="Q1562" s="496"/>
      <c r="R1562" s="503"/>
      <c r="S1562" s="504"/>
      <c r="T1562" s="505"/>
      <c r="U1562" s="504"/>
      <c r="V1562" s="504"/>
      <c r="W1562" s="77"/>
      <c r="X1562" s="77"/>
      <c r="Y1562" s="77"/>
      <c r="Z1562" s="77"/>
      <c r="AA1562" s="409"/>
      <c r="AB1562" s="506"/>
    </row>
    <row r="1563" spans="1:28" s="457" customFormat="1" ht="18" customHeight="1" x14ac:dyDescent="0.2">
      <c r="A1563" s="145"/>
      <c r="B1563" s="177"/>
      <c r="C1563" s="177"/>
      <c r="D1563" s="145"/>
      <c r="E1563" s="145"/>
      <c r="F1563" s="145"/>
      <c r="G1563" s="145"/>
      <c r="H1563" s="147"/>
      <c r="I1563" s="107"/>
      <c r="J1563" s="178"/>
      <c r="K1563" s="107"/>
      <c r="L1563" s="145"/>
      <c r="M1563" s="145"/>
      <c r="N1563" s="145"/>
      <c r="O1563" s="145"/>
      <c r="P1563" s="147"/>
      <c r="Q1563" s="148"/>
      <c r="R1563" s="437"/>
      <c r="S1563" s="107"/>
      <c r="T1563" s="179"/>
      <c r="U1563" s="178"/>
      <c r="V1563" s="107"/>
      <c r="W1563" s="107"/>
      <c r="X1563" s="470"/>
      <c r="Y1563" s="470"/>
      <c r="Z1563" s="471"/>
      <c r="AA1563" s="471"/>
      <c r="AB1563" s="466"/>
    </row>
    <row r="1564" spans="1:28" s="457" customFormat="1" ht="18" customHeight="1" x14ac:dyDescent="0.2">
      <c r="A1564" s="145"/>
      <c r="B1564" s="177"/>
      <c r="C1564" s="177"/>
      <c r="D1564" s="145"/>
      <c r="E1564" s="145"/>
      <c r="F1564" s="145"/>
      <c r="G1564" s="145"/>
      <c r="H1564" s="147"/>
      <c r="I1564" s="107"/>
      <c r="J1564" s="178"/>
      <c r="K1564" s="107"/>
      <c r="L1564" s="145"/>
      <c r="M1564" s="145"/>
      <c r="N1564" s="145"/>
      <c r="O1564" s="145"/>
      <c r="P1564" s="147"/>
      <c r="Q1564" s="148"/>
      <c r="R1564" s="437"/>
      <c r="S1564" s="107"/>
      <c r="T1564" s="179"/>
      <c r="U1564" s="178"/>
      <c r="V1564" s="107"/>
      <c r="W1564" s="107"/>
      <c r="X1564" s="470"/>
      <c r="Y1564" s="470"/>
      <c r="Z1564" s="471"/>
      <c r="AA1564" s="471"/>
      <c r="AB1564" s="466"/>
    </row>
    <row r="1565" spans="1:28" s="457" customFormat="1" ht="18" customHeight="1" x14ac:dyDescent="0.2">
      <c r="A1565" s="88"/>
      <c r="B1565" s="180"/>
      <c r="C1565" s="180"/>
      <c r="D1565" s="88"/>
      <c r="E1565" s="88"/>
      <c r="F1565" s="88"/>
      <c r="G1565" s="88"/>
      <c r="H1565" s="120"/>
      <c r="I1565" s="121"/>
      <c r="J1565" s="181"/>
      <c r="K1565" s="121"/>
      <c r="L1565" s="88"/>
      <c r="M1565" s="88"/>
      <c r="N1565" s="88"/>
      <c r="O1565" s="88"/>
      <c r="P1565" s="88"/>
      <c r="Q1565" s="129"/>
      <c r="R1565" s="445"/>
      <c r="S1565" s="121"/>
      <c r="T1565" s="182"/>
      <c r="U1565" s="181"/>
      <c r="V1565" s="121"/>
      <c r="W1565" s="121"/>
      <c r="X1565" s="472"/>
      <c r="Y1565" s="472"/>
      <c r="Z1565" s="473"/>
      <c r="AA1565" s="473"/>
      <c r="AB1565" s="410"/>
    </row>
    <row r="1566" spans="1:28" s="597" customFormat="1" ht="18" customHeight="1" x14ac:dyDescent="0.2">
      <c r="A1566" s="1850"/>
      <c r="B1566" s="1850"/>
      <c r="C1566" s="1850"/>
      <c r="D1566" s="1850"/>
      <c r="E1566" s="1850"/>
      <c r="F1566" s="1850"/>
      <c r="G1566" s="1850"/>
      <c r="H1566" s="1851"/>
      <c r="I1566" s="1852"/>
      <c r="J1566" s="1853"/>
      <c r="K1566" s="1852"/>
      <c r="L1566" s="1852"/>
      <c r="M1566" s="1852"/>
      <c r="N1566" s="1852"/>
      <c r="O1566" s="1852"/>
      <c r="P1566" s="1852"/>
      <c r="Q1566" s="1852"/>
      <c r="R1566" s="1854"/>
      <c r="S1566" s="1852"/>
      <c r="T1566" s="1855"/>
      <c r="U1566" s="1853"/>
      <c r="V1566" s="1852"/>
      <c r="W1566" s="1852"/>
      <c r="X1566" s="1856"/>
      <c r="Y1566" s="1856"/>
      <c r="Z1566" s="1857"/>
      <c r="AA1566" s="1857"/>
      <c r="AB1566" s="1847">
        <f>SUM(AB1551:AB1565)</f>
        <v>475.2</v>
      </c>
    </row>
    <row r="1567" spans="1:28" s="457" customFormat="1" ht="18" customHeight="1" x14ac:dyDescent="0.2">
      <c r="A1567" s="2737" t="s">
        <v>76</v>
      </c>
      <c r="B1567" s="2737"/>
      <c r="C1567" s="2738" t="s">
        <v>77</v>
      </c>
      <c r="D1567" s="2738"/>
      <c r="E1567" s="2738"/>
      <c r="F1567" s="2738"/>
      <c r="G1567" s="2738"/>
      <c r="H1567" s="2738"/>
      <c r="I1567" s="457" t="s">
        <v>78</v>
      </c>
      <c r="W1567" s="457" t="s">
        <v>252</v>
      </c>
      <c r="AB1567" s="478"/>
    </row>
    <row r="1568" spans="1:28" s="457" customFormat="1" ht="18" customHeight="1" x14ac:dyDescent="0.2">
      <c r="B1568" s="479"/>
      <c r="I1568" s="457" t="s">
        <v>79</v>
      </c>
      <c r="AB1568" s="478"/>
    </row>
    <row r="1569" spans="1:28" s="457" customFormat="1" ht="18" customHeight="1" x14ac:dyDescent="0.2">
      <c r="B1569" s="479"/>
      <c r="I1569" s="457" t="s">
        <v>80</v>
      </c>
      <c r="AB1569" s="478"/>
    </row>
    <row r="1570" spans="1:28" s="457" customFormat="1" ht="18" customHeight="1" x14ac:dyDescent="0.2">
      <c r="B1570" s="479"/>
      <c r="I1570" s="457" t="s">
        <v>81</v>
      </c>
      <c r="AB1570" s="478"/>
    </row>
    <row r="1571" spans="1:28" s="457" customFormat="1" ht="18" customHeight="1" x14ac:dyDescent="0.2">
      <c r="B1571" s="479"/>
      <c r="I1571" s="457" t="s">
        <v>88</v>
      </c>
      <c r="AB1571" s="478"/>
    </row>
    <row r="1572" spans="1:28" s="457" customFormat="1" ht="18" customHeight="1" x14ac:dyDescent="0.2">
      <c r="A1572" s="455"/>
      <c r="B1572" s="455"/>
      <c r="C1572" s="455"/>
      <c r="D1572" s="455"/>
      <c r="E1572" s="455"/>
      <c r="F1572" s="455"/>
      <c r="G1572" s="455"/>
      <c r="H1572" s="455"/>
      <c r="I1572" s="455"/>
      <c r="J1572" s="455"/>
      <c r="K1572" s="455"/>
      <c r="L1572" s="455"/>
      <c r="M1572" s="455"/>
      <c r="N1572" s="455"/>
      <c r="O1572" s="455"/>
      <c r="P1572" s="455"/>
      <c r="Q1572" s="455"/>
      <c r="R1572" s="455"/>
      <c r="S1572" s="455"/>
      <c r="T1572" s="455"/>
      <c r="U1572" s="455"/>
      <c r="V1572" s="455"/>
      <c r="W1572" s="455"/>
      <c r="X1572" s="455"/>
      <c r="Y1572" s="455"/>
      <c r="Z1572" s="455"/>
      <c r="AA1572" s="2705" t="s">
        <v>0</v>
      </c>
      <c r="AB1572" s="2705"/>
    </row>
    <row r="1573" spans="1:28" s="457" customFormat="1" ht="18" customHeight="1" x14ac:dyDescent="0.2">
      <c r="A1573" s="2706" t="s">
        <v>1</v>
      </c>
      <c r="B1573" s="2706"/>
      <c r="C1573" s="2706"/>
      <c r="D1573" s="2706"/>
      <c r="E1573" s="2706"/>
      <c r="F1573" s="2706"/>
      <c r="G1573" s="2706"/>
      <c r="H1573" s="2706"/>
      <c r="I1573" s="2706"/>
      <c r="J1573" s="2706"/>
      <c r="K1573" s="2706"/>
      <c r="L1573" s="2706"/>
      <c r="M1573" s="2706"/>
      <c r="N1573" s="2706"/>
      <c r="O1573" s="2706"/>
      <c r="P1573" s="2706"/>
      <c r="Q1573" s="2706"/>
      <c r="R1573" s="2706"/>
      <c r="S1573" s="2706"/>
      <c r="T1573" s="2706"/>
      <c r="U1573" s="2706"/>
      <c r="V1573" s="2706"/>
      <c r="W1573" s="2706"/>
      <c r="X1573" s="2706"/>
      <c r="Y1573" s="2706"/>
      <c r="Z1573" s="2706"/>
      <c r="AA1573" s="2706"/>
      <c r="AB1573" s="2706"/>
    </row>
    <row r="1574" spans="1:28" s="457" customFormat="1" ht="18" customHeight="1" x14ac:dyDescent="0.2">
      <c r="A1574" s="2704" t="s">
        <v>420</v>
      </c>
      <c r="B1574" s="2704"/>
      <c r="C1574" s="2704"/>
      <c r="D1574" s="2704"/>
      <c r="E1574" s="2704"/>
      <c r="F1574" s="2704"/>
      <c r="G1574" s="2704"/>
      <c r="H1574" s="2704"/>
      <c r="I1574" s="2704"/>
      <c r="J1574" s="2704"/>
      <c r="K1574" s="2704"/>
      <c r="L1574" s="2704"/>
      <c r="M1574" s="2704"/>
      <c r="N1574" s="2704"/>
      <c r="O1574" s="2704"/>
      <c r="P1574" s="2704"/>
      <c r="Q1574" s="2704"/>
      <c r="R1574" s="2704"/>
      <c r="S1574" s="2704"/>
      <c r="T1574" s="2704"/>
      <c r="U1574" s="2704"/>
      <c r="V1574" s="2704"/>
      <c r="W1574" s="2704"/>
      <c r="X1574" s="2704"/>
      <c r="Y1574" s="2704"/>
      <c r="Z1574" s="2704"/>
      <c r="AA1574" s="2704"/>
      <c r="AB1574" s="2704"/>
    </row>
    <row r="1575" spans="1:28" s="457" customFormat="1" ht="18" customHeight="1" x14ac:dyDescent="0.2">
      <c r="A1575" s="2686" t="s">
        <v>2</v>
      </c>
      <c r="B1575" s="360"/>
      <c r="C1575" s="2686" t="s">
        <v>3</v>
      </c>
      <c r="D1575" s="360"/>
      <c r="E1575" s="360"/>
      <c r="F1575" s="2693" t="s">
        <v>4</v>
      </c>
      <c r="G1575" s="2693"/>
      <c r="H1575" s="2693"/>
      <c r="I1575" s="2694"/>
      <c r="J1575" s="2694"/>
      <c r="K1575" s="2695"/>
      <c r="L1575" s="361"/>
      <c r="M1575" s="2679" t="s">
        <v>5</v>
      </c>
      <c r="N1575" s="2679"/>
      <c r="O1575" s="2679"/>
      <c r="P1575" s="2679"/>
      <c r="Q1575" s="2696"/>
      <c r="R1575" s="2696"/>
      <c r="S1575" s="2696"/>
      <c r="T1575" s="2696"/>
      <c r="U1575" s="2696"/>
      <c r="V1575" s="2697"/>
      <c r="W1575" s="362" t="s">
        <v>6</v>
      </c>
      <c r="X1575" s="363" t="s">
        <v>7</v>
      </c>
      <c r="Y1575" s="364"/>
      <c r="Z1575" s="364"/>
      <c r="AA1575" s="363"/>
      <c r="AB1575" s="458"/>
    </row>
    <row r="1576" spans="1:28" s="457" customFormat="1" ht="18" customHeight="1" x14ac:dyDescent="0.2">
      <c r="A1576" s="2687"/>
      <c r="B1576" s="367"/>
      <c r="C1576" s="2687"/>
      <c r="D1576" s="366" t="s">
        <v>9</v>
      </c>
      <c r="E1576" s="366" t="s">
        <v>10</v>
      </c>
      <c r="F1576" s="2698" t="s">
        <v>11</v>
      </c>
      <c r="G1576" s="2694"/>
      <c r="H1576" s="2695"/>
      <c r="I1576" s="360"/>
      <c r="J1576" s="449" t="s">
        <v>12</v>
      </c>
      <c r="K1576" s="360"/>
      <c r="L1576" s="2679" t="s">
        <v>2</v>
      </c>
      <c r="M1576" s="370"/>
      <c r="N1576" s="370"/>
      <c r="O1576" s="370"/>
      <c r="P1576" s="371"/>
      <c r="Q1576" s="459" t="s">
        <v>13</v>
      </c>
      <c r="R1576" s="370" t="s">
        <v>12</v>
      </c>
      <c r="S1576" s="370" t="s">
        <v>6</v>
      </c>
      <c r="T1576" s="2682" t="s">
        <v>14</v>
      </c>
      <c r="U1576" s="2683"/>
      <c r="V1576" s="375" t="s">
        <v>7</v>
      </c>
      <c r="W1576" s="376" t="s">
        <v>15</v>
      </c>
      <c r="X1576" s="377" t="s">
        <v>16</v>
      </c>
      <c r="Y1576" s="377" t="s">
        <v>17</v>
      </c>
      <c r="Z1576" s="377" t="s">
        <v>18</v>
      </c>
      <c r="AA1576" s="377"/>
      <c r="AB1576" s="460" t="s">
        <v>19</v>
      </c>
    </row>
    <row r="1577" spans="1:28" s="457" customFormat="1" ht="18" customHeight="1" x14ac:dyDescent="0.2">
      <c r="A1577" s="2687"/>
      <c r="B1577" s="366" t="s">
        <v>23</v>
      </c>
      <c r="C1577" s="2687"/>
      <c r="D1577" s="366" t="s">
        <v>24</v>
      </c>
      <c r="E1577" s="366" t="s">
        <v>25</v>
      </c>
      <c r="F1577" s="2699"/>
      <c r="G1577" s="2700"/>
      <c r="H1577" s="2701"/>
      <c r="I1577" s="366" t="s">
        <v>26</v>
      </c>
      <c r="J1577" s="380" t="s">
        <v>15</v>
      </c>
      <c r="K1577" s="380" t="s">
        <v>6</v>
      </c>
      <c r="L1577" s="2680"/>
      <c r="M1577" s="381" t="s">
        <v>27</v>
      </c>
      <c r="N1577" s="381" t="s">
        <v>10</v>
      </c>
      <c r="O1577" s="381" t="s">
        <v>10</v>
      </c>
      <c r="P1577" s="385" t="s">
        <v>28</v>
      </c>
      <c r="Q1577" s="461" t="s">
        <v>29</v>
      </c>
      <c r="R1577" s="385" t="s">
        <v>15</v>
      </c>
      <c r="S1577" s="385" t="s">
        <v>15</v>
      </c>
      <c r="T1577" s="2684"/>
      <c r="U1577" s="2685"/>
      <c r="V1577" s="375" t="s">
        <v>30</v>
      </c>
      <c r="W1577" s="376" t="s">
        <v>31</v>
      </c>
      <c r="X1577" s="377" t="s">
        <v>30</v>
      </c>
      <c r="Y1577" s="377" t="s">
        <v>32</v>
      </c>
      <c r="Z1577" s="377" t="s">
        <v>7</v>
      </c>
      <c r="AA1577" s="377" t="s">
        <v>33</v>
      </c>
      <c r="AB1577" s="460" t="s">
        <v>34</v>
      </c>
    </row>
    <row r="1578" spans="1:28" s="457" customFormat="1" ht="18" customHeight="1" x14ac:dyDescent="0.2">
      <c r="A1578" s="2687"/>
      <c r="B1578" s="366" t="s">
        <v>39</v>
      </c>
      <c r="C1578" s="2687"/>
      <c r="D1578" s="366" t="s">
        <v>40</v>
      </c>
      <c r="E1578" s="366" t="s">
        <v>41</v>
      </c>
      <c r="F1578" s="2686" t="s">
        <v>42</v>
      </c>
      <c r="G1578" s="2686" t="s">
        <v>43</v>
      </c>
      <c r="H1578" s="2688" t="s">
        <v>44</v>
      </c>
      <c r="I1578" s="366" t="s">
        <v>45</v>
      </c>
      <c r="J1578" s="380" t="s">
        <v>46</v>
      </c>
      <c r="K1578" s="380" t="s">
        <v>47</v>
      </c>
      <c r="L1578" s="2680"/>
      <c r="M1578" s="381" t="s">
        <v>30</v>
      </c>
      <c r="N1578" s="381" t="s">
        <v>30</v>
      </c>
      <c r="O1578" s="381" t="s">
        <v>25</v>
      </c>
      <c r="P1578" s="385" t="s">
        <v>30</v>
      </c>
      <c r="Q1578" s="461" t="s">
        <v>48</v>
      </c>
      <c r="R1578" s="385" t="s">
        <v>49</v>
      </c>
      <c r="S1578" s="385" t="s">
        <v>30</v>
      </c>
      <c r="T1578" s="374" t="s">
        <v>50</v>
      </c>
      <c r="U1578" s="374" t="s">
        <v>13</v>
      </c>
      <c r="V1578" s="375" t="s">
        <v>51</v>
      </c>
      <c r="W1578" s="376" t="s">
        <v>52</v>
      </c>
      <c r="X1578" s="377" t="s">
        <v>53</v>
      </c>
      <c r="Y1578" s="377" t="s">
        <v>54</v>
      </c>
      <c r="Z1578" s="377" t="s">
        <v>55</v>
      </c>
      <c r="AA1578" s="377" t="s">
        <v>56</v>
      </c>
      <c r="AB1578" s="460" t="s">
        <v>57</v>
      </c>
    </row>
    <row r="1579" spans="1:28" s="457" customFormat="1" ht="18" customHeight="1" x14ac:dyDescent="0.2">
      <c r="A1579" s="2687"/>
      <c r="B1579" s="366" t="s">
        <v>61</v>
      </c>
      <c r="C1579" s="2687"/>
      <c r="D1579" s="366" t="s">
        <v>62</v>
      </c>
      <c r="E1579" s="366" t="s">
        <v>63</v>
      </c>
      <c r="F1579" s="2687"/>
      <c r="G1579" s="2687"/>
      <c r="H1579" s="2689"/>
      <c r="I1579" s="366" t="s">
        <v>64</v>
      </c>
      <c r="J1579" s="380" t="s">
        <v>59</v>
      </c>
      <c r="K1579" s="380" t="s">
        <v>59</v>
      </c>
      <c r="L1579" s="2680"/>
      <c r="M1579" s="381"/>
      <c r="N1579" s="381"/>
      <c r="O1579" s="381" t="s">
        <v>41</v>
      </c>
      <c r="P1579" s="385" t="s">
        <v>65</v>
      </c>
      <c r="Q1579" s="461" t="s">
        <v>66</v>
      </c>
      <c r="R1579" s="385" t="s">
        <v>67</v>
      </c>
      <c r="S1579" s="385" t="s">
        <v>59</v>
      </c>
      <c r="T1579" s="375" t="s">
        <v>68</v>
      </c>
      <c r="U1579" s="375" t="s">
        <v>14</v>
      </c>
      <c r="V1579" s="375" t="s">
        <v>14</v>
      </c>
      <c r="W1579" s="376" t="s">
        <v>30</v>
      </c>
      <c r="X1579" s="388" t="s">
        <v>69</v>
      </c>
      <c r="Y1579" s="388" t="s">
        <v>70</v>
      </c>
      <c r="Z1579" s="377" t="s">
        <v>71</v>
      </c>
      <c r="AA1579" s="377" t="s">
        <v>72</v>
      </c>
      <c r="AB1579" s="460" t="s">
        <v>59</v>
      </c>
    </row>
    <row r="1580" spans="1:28" s="457" customFormat="1" ht="18" customHeight="1" x14ac:dyDescent="0.2">
      <c r="A1580" s="2692"/>
      <c r="B1580" s="390"/>
      <c r="C1580" s="2692"/>
      <c r="D1580" s="390"/>
      <c r="E1580" s="389"/>
      <c r="F1580" s="390"/>
      <c r="G1580" s="390"/>
      <c r="H1580" s="391"/>
      <c r="I1580" s="389"/>
      <c r="J1580" s="393"/>
      <c r="K1580" s="393"/>
      <c r="L1580" s="2681"/>
      <c r="M1580" s="394"/>
      <c r="N1580" s="394"/>
      <c r="O1580" s="394" t="s">
        <v>63</v>
      </c>
      <c r="P1580" s="394"/>
      <c r="Q1580" s="450" t="s">
        <v>72</v>
      </c>
      <c r="R1580" s="398" t="s">
        <v>59</v>
      </c>
      <c r="S1580" s="398"/>
      <c r="T1580" s="398" t="s">
        <v>73</v>
      </c>
      <c r="U1580" s="398" t="s">
        <v>59</v>
      </c>
      <c r="V1580" s="399" t="s">
        <v>59</v>
      </c>
      <c r="W1580" s="400" t="s">
        <v>59</v>
      </c>
      <c r="X1580" s="401" t="s">
        <v>59</v>
      </c>
      <c r="Y1580" s="401" t="s">
        <v>59</v>
      </c>
      <c r="Z1580" s="401" t="s">
        <v>59</v>
      </c>
      <c r="AA1580" s="402"/>
      <c r="AB1580" s="462"/>
    </row>
    <row r="1581" spans="1:28" s="457" customFormat="1" ht="18" customHeight="1" x14ac:dyDescent="0.2">
      <c r="A1581" s="53">
        <v>1</v>
      </c>
      <c r="B1581" s="95">
        <v>31558</v>
      </c>
      <c r="C1581" s="82">
        <v>1223</v>
      </c>
      <c r="D1581" s="69" t="s">
        <v>84</v>
      </c>
      <c r="E1581" s="82">
        <v>4</v>
      </c>
      <c r="F1581" s="82">
        <v>0</v>
      </c>
      <c r="G1581" s="82">
        <v>0</v>
      </c>
      <c r="H1581" s="463">
        <v>56</v>
      </c>
      <c r="I1581" s="70">
        <f>F1581*400+G1581*100+H1581</f>
        <v>56</v>
      </c>
      <c r="J1581" s="123">
        <v>1100</v>
      </c>
      <c r="K1581" s="124">
        <f>SUM(I1581*J1581)</f>
        <v>61600</v>
      </c>
      <c r="L1581" s="53"/>
      <c r="M1581" s="82"/>
      <c r="N1581" s="82"/>
      <c r="O1581" s="53"/>
      <c r="P1581" s="358"/>
      <c r="Q1581" s="197"/>
      <c r="R1581" s="444"/>
      <c r="S1581" s="70"/>
      <c r="T1581" s="82"/>
      <c r="U1581" s="70"/>
      <c r="V1581" s="70"/>
      <c r="W1581" s="70">
        <f>K1581+V1581</f>
        <v>61600</v>
      </c>
      <c r="X1581" s="70">
        <f>W1581</f>
        <v>61600</v>
      </c>
      <c r="Y1581" s="123"/>
      <c r="Z1581" s="70">
        <f>+X1581</f>
        <v>61600</v>
      </c>
      <c r="AA1581" s="464">
        <v>0.3</v>
      </c>
      <c r="AB1581" s="465">
        <f>+Z1581*AA1581/100</f>
        <v>184.8</v>
      </c>
    </row>
    <row r="1582" spans="1:28" s="457" customFormat="1" ht="18" customHeight="1" x14ac:dyDescent="0.2">
      <c r="A1582" s="242"/>
      <c r="B1582" s="242"/>
      <c r="C1582" s="496"/>
      <c r="D1582" s="88"/>
      <c r="E1582" s="88"/>
      <c r="F1582" s="411"/>
      <c r="G1582" s="242"/>
      <c r="H1582" s="412"/>
      <c r="I1582" s="74"/>
      <c r="J1582" s="121"/>
      <c r="K1582" s="190"/>
      <c r="L1582" s="61"/>
      <c r="M1582" s="145"/>
      <c r="N1582" s="145"/>
      <c r="O1582" s="61"/>
      <c r="P1582" s="177"/>
      <c r="Q1582" s="196"/>
      <c r="R1582" s="408"/>
      <c r="S1582" s="77"/>
      <c r="T1582" s="145"/>
      <c r="U1582" s="107"/>
      <c r="V1582" s="77"/>
      <c r="W1582" s="77"/>
      <c r="X1582" s="77"/>
      <c r="Y1582" s="107"/>
      <c r="Z1582" s="77"/>
      <c r="AA1582" s="409"/>
      <c r="AB1582" s="466"/>
    </row>
    <row r="1583" spans="1:28" s="457" customFormat="1" ht="18" customHeight="1" x14ac:dyDescent="0.2">
      <c r="A1583" s="242"/>
      <c r="B1583" s="242"/>
      <c r="C1583" s="496"/>
      <c r="D1583" s="88"/>
      <c r="E1583" s="88"/>
      <c r="F1583" s="411"/>
      <c r="G1583" s="242"/>
      <c r="H1583" s="497"/>
      <c r="I1583" s="77"/>
      <c r="J1583" s="107"/>
      <c r="K1583" s="78"/>
      <c r="L1583" s="75"/>
      <c r="M1583" s="88"/>
      <c r="N1583" s="88"/>
      <c r="O1583" s="75"/>
      <c r="P1583" s="180"/>
      <c r="Q1583" s="174"/>
      <c r="R1583" s="413"/>
      <c r="S1583" s="74"/>
      <c r="T1583" s="88"/>
      <c r="U1583" s="121"/>
      <c r="V1583" s="74"/>
      <c r="W1583" s="77"/>
      <c r="X1583" s="77"/>
      <c r="Y1583" s="74"/>
      <c r="Z1583" s="74"/>
      <c r="AA1583" s="414"/>
      <c r="AB1583" s="466"/>
    </row>
    <row r="1584" spans="1:28" s="457" customFormat="1" ht="18" customHeight="1" x14ac:dyDescent="0.2">
      <c r="A1584" s="241"/>
      <c r="B1584" s="241"/>
      <c r="C1584" s="498"/>
      <c r="D1584" s="145"/>
      <c r="E1584" s="145"/>
      <c r="F1584" s="499"/>
      <c r="G1584" s="241"/>
      <c r="H1584" s="500"/>
      <c r="I1584" s="77"/>
      <c r="J1584" s="107"/>
      <c r="K1584" s="78"/>
      <c r="L1584" s="241"/>
      <c r="M1584" s="241"/>
      <c r="N1584" s="241"/>
      <c r="O1584" s="241"/>
      <c r="P1584" s="500"/>
      <c r="Q1584" s="498"/>
      <c r="R1584" s="501"/>
      <c r="S1584" s="103"/>
      <c r="T1584" s="502"/>
      <c r="U1584" s="103"/>
      <c r="V1584" s="103"/>
      <c r="W1584" s="77"/>
      <c r="X1584" s="77"/>
      <c r="Y1584" s="103"/>
      <c r="Z1584" s="103"/>
      <c r="AA1584" s="414"/>
      <c r="AB1584" s="410"/>
    </row>
    <row r="1585" spans="1:28" s="457" customFormat="1" ht="18" customHeight="1" x14ac:dyDescent="0.2">
      <c r="A1585" s="242"/>
      <c r="B1585" s="242"/>
      <c r="C1585" s="496"/>
      <c r="D1585" s="88"/>
      <c r="E1585" s="88"/>
      <c r="F1585" s="411"/>
      <c r="G1585" s="242"/>
      <c r="H1585" s="497"/>
      <c r="I1585" s="74"/>
      <c r="J1585" s="121"/>
      <c r="K1585" s="159"/>
      <c r="L1585" s="75"/>
      <c r="M1585" s="75"/>
      <c r="N1585" s="75"/>
      <c r="O1585" s="75"/>
      <c r="P1585" s="177"/>
      <c r="Q1585" s="196"/>
      <c r="R1585" s="408"/>
      <c r="S1585" s="77"/>
      <c r="T1585" s="145"/>
      <c r="U1585" s="77"/>
      <c r="V1585" s="74"/>
      <c r="W1585" s="74"/>
      <c r="X1585" s="74"/>
      <c r="Y1585" s="74"/>
      <c r="Z1585" s="74"/>
      <c r="AA1585" s="414"/>
      <c r="AB1585" s="466"/>
    </row>
    <row r="1586" spans="1:28" s="457" customFormat="1" ht="18" customHeight="1" x14ac:dyDescent="0.2">
      <c r="A1586" s="242"/>
      <c r="B1586" s="242"/>
      <c r="C1586" s="496"/>
      <c r="D1586" s="144"/>
      <c r="E1586" s="88"/>
      <c r="F1586" s="411"/>
      <c r="G1586" s="242"/>
      <c r="H1586" s="497"/>
      <c r="I1586" s="77"/>
      <c r="J1586" s="107"/>
      <c r="K1586" s="78"/>
      <c r="L1586" s="242"/>
      <c r="M1586" s="242"/>
      <c r="N1586" s="242"/>
      <c r="O1586" s="242"/>
      <c r="P1586" s="497"/>
      <c r="Q1586" s="496"/>
      <c r="R1586" s="503"/>
      <c r="S1586" s="504"/>
      <c r="T1586" s="505"/>
      <c r="U1586" s="504"/>
      <c r="V1586" s="504"/>
      <c r="W1586" s="77"/>
      <c r="X1586" s="77"/>
      <c r="Y1586" s="77"/>
      <c r="Z1586" s="77"/>
      <c r="AA1586" s="409"/>
      <c r="AB1586" s="506"/>
    </row>
    <row r="1587" spans="1:28" s="457" customFormat="1" ht="18" customHeight="1" x14ac:dyDescent="0.2">
      <c r="A1587" s="242"/>
      <c r="B1587" s="242"/>
      <c r="C1587" s="496"/>
      <c r="D1587" s="88"/>
      <c r="E1587" s="231"/>
      <c r="F1587" s="411"/>
      <c r="G1587" s="242"/>
      <c r="H1587" s="497"/>
      <c r="I1587" s="77"/>
      <c r="J1587" s="107"/>
      <c r="K1587" s="78"/>
      <c r="L1587" s="242"/>
      <c r="M1587" s="242"/>
      <c r="N1587" s="242"/>
      <c r="O1587" s="242"/>
      <c r="P1587" s="497"/>
      <c r="Q1587" s="496"/>
      <c r="R1587" s="503"/>
      <c r="S1587" s="504"/>
      <c r="T1587" s="505"/>
      <c r="U1587" s="504"/>
      <c r="V1587" s="504"/>
      <c r="W1587" s="77"/>
      <c r="X1587" s="77"/>
      <c r="Y1587" s="77"/>
      <c r="Z1587" s="77"/>
      <c r="AA1587" s="409"/>
      <c r="AB1587" s="506"/>
    </row>
    <row r="1588" spans="1:28" s="457" customFormat="1" ht="18" customHeight="1" x14ac:dyDescent="0.2">
      <c r="A1588" s="242"/>
      <c r="B1588" s="242"/>
      <c r="C1588" s="496"/>
      <c r="D1588" s="231"/>
      <c r="E1588" s="144"/>
      <c r="F1588" s="411"/>
      <c r="G1588" s="242"/>
      <c r="H1588" s="497"/>
      <c r="I1588" s="77"/>
      <c r="J1588" s="107"/>
      <c r="K1588" s="78"/>
      <c r="L1588" s="242"/>
      <c r="M1588" s="242"/>
      <c r="N1588" s="242"/>
      <c r="O1588" s="242"/>
      <c r="P1588" s="497"/>
      <c r="Q1588" s="496"/>
      <c r="R1588" s="503"/>
      <c r="S1588" s="504"/>
      <c r="T1588" s="505"/>
      <c r="U1588" s="504"/>
      <c r="V1588" s="504"/>
      <c r="W1588" s="77"/>
      <c r="X1588" s="77"/>
      <c r="Y1588" s="77"/>
      <c r="Z1588" s="77"/>
      <c r="AA1588" s="409"/>
      <c r="AB1588" s="506"/>
    </row>
    <row r="1589" spans="1:28" s="457" customFormat="1" ht="18" customHeight="1" x14ac:dyDescent="0.2">
      <c r="A1589" s="242"/>
      <c r="B1589" s="242"/>
      <c r="C1589" s="496"/>
      <c r="D1589" s="144"/>
      <c r="E1589" s="144"/>
      <c r="F1589" s="411"/>
      <c r="G1589" s="242"/>
      <c r="H1589" s="497"/>
      <c r="I1589" s="77"/>
      <c r="J1589" s="107"/>
      <c r="K1589" s="78"/>
      <c r="L1589" s="242"/>
      <c r="M1589" s="242"/>
      <c r="N1589" s="242"/>
      <c r="O1589" s="242"/>
      <c r="P1589" s="497"/>
      <c r="Q1589" s="496"/>
      <c r="R1589" s="503"/>
      <c r="S1589" s="504"/>
      <c r="T1589" s="505"/>
      <c r="U1589" s="504"/>
      <c r="V1589" s="504"/>
      <c r="W1589" s="77"/>
      <c r="X1589" s="77"/>
      <c r="Y1589" s="77"/>
      <c r="Z1589" s="77"/>
      <c r="AA1589" s="409"/>
      <c r="AB1589" s="506"/>
    </row>
    <row r="1590" spans="1:28" s="457" customFormat="1" ht="18" customHeight="1" x14ac:dyDescent="0.2">
      <c r="A1590" s="242"/>
      <c r="B1590" s="242"/>
      <c r="C1590" s="496"/>
      <c r="D1590" s="88"/>
      <c r="E1590" s="144"/>
      <c r="F1590" s="411"/>
      <c r="G1590" s="242"/>
      <c r="H1590" s="497"/>
      <c r="I1590" s="77"/>
      <c r="J1590" s="107"/>
      <c r="K1590" s="78"/>
      <c r="L1590" s="242"/>
      <c r="M1590" s="242"/>
      <c r="N1590" s="242"/>
      <c r="O1590" s="242"/>
      <c r="P1590" s="497"/>
      <c r="Q1590" s="496"/>
      <c r="R1590" s="503"/>
      <c r="S1590" s="504"/>
      <c r="T1590" s="505"/>
      <c r="U1590" s="504"/>
      <c r="V1590" s="504"/>
      <c r="W1590" s="77"/>
      <c r="X1590" s="77"/>
      <c r="Y1590" s="77"/>
      <c r="Z1590" s="77"/>
      <c r="AA1590" s="409"/>
      <c r="AB1590" s="506"/>
    </row>
    <row r="1591" spans="1:28" s="457" customFormat="1" ht="18" customHeight="1" x14ac:dyDescent="0.2">
      <c r="A1591" s="242"/>
      <c r="B1591" s="242"/>
      <c r="C1591" s="496"/>
      <c r="D1591" s="231"/>
      <c r="E1591" s="88"/>
      <c r="F1591" s="411"/>
      <c r="G1591" s="242"/>
      <c r="H1591" s="497"/>
      <c r="I1591" s="77"/>
      <c r="J1591" s="107"/>
      <c r="K1591" s="78"/>
      <c r="L1591" s="242"/>
      <c r="M1591" s="242"/>
      <c r="N1591" s="242"/>
      <c r="O1591" s="242"/>
      <c r="P1591" s="497"/>
      <c r="Q1591" s="496"/>
      <c r="R1591" s="503"/>
      <c r="S1591" s="504"/>
      <c r="T1591" s="505"/>
      <c r="U1591" s="504"/>
      <c r="V1591" s="504"/>
      <c r="W1591" s="77"/>
      <c r="X1591" s="77"/>
      <c r="Y1591" s="77"/>
      <c r="Z1591" s="77"/>
      <c r="AA1591" s="409"/>
      <c r="AB1591" s="506"/>
    </row>
    <row r="1592" spans="1:28" s="457" customFormat="1" ht="18" customHeight="1" x14ac:dyDescent="0.2">
      <c r="A1592" s="242"/>
      <c r="B1592" s="242"/>
      <c r="C1592" s="496"/>
      <c r="D1592" s="496"/>
      <c r="E1592" s="88"/>
      <c r="F1592" s="411"/>
      <c r="G1592" s="242"/>
      <c r="H1592" s="497"/>
      <c r="I1592" s="77"/>
      <c r="J1592" s="107"/>
      <c r="K1592" s="78"/>
      <c r="L1592" s="242"/>
      <c r="M1592" s="242"/>
      <c r="N1592" s="242"/>
      <c r="O1592" s="242"/>
      <c r="P1592" s="497"/>
      <c r="Q1592" s="496"/>
      <c r="R1592" s="503"/>
      <c r="S1592" s="504"/>
      <c r="T1592" s="505"/>
      <c r="U1592" s="504"/>
      <c r="V1592" s="504"/>
      <c r="W1592" s="77"/>
      <c r="X1592" s="77"/>
      <c r="Y1592" s="77"/>
      <c r="Z1592" s="77"/>
      <c r="AA1592" s="409"/>
      <c r="AB1592" s="506"/>
    </row>
    <row r="1593" spans="1:28" s="457" customFormat="1" ht="18" customHeight="1" x14ac:dyDescent="0.2">
      <c r="A1593" s="145"/>
      <c r="B1593" s="177"/>
      <c r="C1593" s="177"/>
      <c r="D1593" s="145"/>
      <c r="E1593" s="145"/>
      <c r="F1593" s="145"/>
      <c r="G1593" s="145"/>
      <c r="H1593" s="147"/>
      <c r="I1593" s="107"/>
      <c r="J1593" s="178"/>
      <c r="K1593" s="107"/>
      <c r="L1593" s="145"/>
      <c r="M1593" s="145"/>
      <c r="N1593" s="145"/>
      <c r="O1593" s="145"/>
      <c r="P1593" s="147"/>
      <c r="Q1593" s="148"/>
      <c r="R1593" s="437"/>
      <c r="S1593" s="107"/>
      <c r="T1593" s="179"/>
      <c r="U1593" s="178"/>
      <c r="V1593" s="107"/>
      <c r="W1593" s="107"/>
      <c r="X1593" s="470"/>
      <c r="Y1593" s="470"/>
      <c r="Z1593" s="471"/>
      <c r="AA1593" s="471"/>
      <c r="AB1593" s="466"/>
    </row>
    <row r="1594" spans="1:28" s="457" customFormat="1" ht="18" customHeight="1" x14ac:dyDescent="0.2">
      <c r="A1594" s="145"/>
      <c r="B1594" s="177"/>
      <c r="C1594" s="177"/>
      <c r="D1594" s="145"/>
      <c r="E1594" s="145"/>
      <c r="F1594" s="145"/>
      <c r="G1594" s="145"/>
      <c r="H1594" s="147"/>
      <c r="I1594" s="107"/>
      <c r="J1594" s="178"/>
      <c r="K1594" s="107"/>
      <c r="L1594" s="145"/>
      <c r="M1594" s="145"/>
      <c r="N1594" s="145"/>
      <c r="O1594" s="145"/>
      <c r="P1594" s="147"/>
      <c r="Q1594" s="148"/>
      <c r="R1594" s="437"/>
      <c r="S1594" s="107"/>
      <c r="T1594" s="179"/>
      <c r="U1594" s="178"/>
      <c r="V1594" s="107"/>
      <c r="W1594" s="107"/>
      <c r="X1594" s="470"/>
      <c r="Y1594" s="470"/>
      <c r="Z1594" s="471"/>
      <c r="AA1594" s="471"/>
      <c r="AB1594" s="466"/>
    </row>
    <row r="1595" spans="1:28" s="457" customFormat="1" ht="18" customHeight="1" x14ac:dyDescent="0.2">
      <c r="A1595" s="88"/>
      <c r="B1595" s="180"/>
      <c r="C1595" s="180"/>
      <c r="D1595" s="88"/>
      <c r="E1595" s="88"/>
      <c r="F1595" s="88"/>
      <c r="G1595" s="88"/>
      <c r="H1595" s="120"/>
      <c r="I1595" s="121"/>
      <c r="J1595" s="181"/>
      <c r="K1595" s="121"/>
      <c r="L1595" s="88"/>
      <c r="M1595" s="88"/>
      <c r="N1595" s="88"/>
      <c r="O1595" s="88"/>
      <c r="P1595" s="88"/>
      <c r="Q1595" s="129"/>
      <c r="R1595" s="445"/>
      <c r="S1595" s="121"/>
      <c r="T1595" s="182"/>
      <c r="U1595" s="181"/>
      <c r="V1595" s="121"/>
      <c r="W1595" s="121"/>
      <c r="X1595" s="472"/>
      <c r="Y1595" s="472"/>
      <c r="Z1595" s="473"/>
      <c r="AA1595" s="473"/>
      <c r="AB1595" s="410"/>
    </row>
    <row r="1596" spans="1:28" s="597" customFormat="1" ht="18" customHeight="1" x14ac:dyDescent="0.2">
      <c r="A1596" s="1850"/>
      <c r="B1596" s="1850"/>
      <c r="C1596" s="1850"/>
      <c r="D1596" s="1850"/>
      <c r="E1596" s="1850"/>
      <c r="F1596" s="1850"/>
      <c r="G1596" s="1850"/>
      <c r="H1596" s="1851"/>
      <c r="I1596" s="1852"/>
      <c r="J1596" s="1853"/>
      <c r="K1596" s="1852"/>
      <c r="L1596" s="1852"/>
      <c r="M1596" s="1852"/>
      <c r="N1596" s="1852"/>
      <c r="O1596" s="1852"/>
      <c r="P1596" s="1852"/>
      <c r="Q1596" s="1852"/>
      <c r="R1596" s="1854"/>
      <c r="S1596" s="1852"/>
      <c r="T1596" s="1855"/>
      <c r="U1596" s="1853"/>
      <c r="V1596" s="1852"/>
      <c r="W1596" s="1852"/>
      <c r="X1596" s="1856"/>
      <c r="Y1596" s="1856"/>
      <c r="Z1596" s="1857"/>
      <c r="AA1596" s="1857"/>
      <c r="AB1596" s="1847">
        <f>SUM(AB1581:AB1595)</f>
        <v>184.8</v>
      </c>
    </row>
    <row r="1597" spans="1:28" s="457" customFormat="1" ht="18" customHeight="1" x14ac:dyDescent="0.2">
      <c r="A1597" s="2737" t="s">
        <v>76</v>
      </c>
      <c r="B1597" s="2737"/>
      <c r="C1597" s="2738" t="s">
        <v>77</v>
      </c>
      <c r="D1597" s="2738"/>
      <c r="E1597" s="2738"/>
      <c r="F1597" s="2738"/>
      <c r="G1597" s="2738"/>
      <c r="H1597" s="2738"/>
      <c r="I1597" s="457" t="s">
        <v>78</v>
      </c>
      <c r="W1597" s="457" t="s">
        <v>253</v>
      </c>
      <c r="AB1597" s="478"/>
    </row>
    <row r="1598" spans="1:28" s="457" customFormat="1" ht="18" customHeight="1" x14ac:dyDescent="0.2">
      <c r="B1598" s="479"/>
      <c r="I1598" s="457" t="s">
        <v>79</v>
      </c>
      <c r="AB1598" s="478"/>
    </row>
    <row r="1599" spans="1:28" s="457" customFormat="1" ht="18" customHeight="1" x14ac:dyDescent="0.2">
      <c r="B1599" s="479"/>
      <c r="I1599" s="457" t="s">
        <v>80</v>
      </c>
      <c r="AB1599" s="478"/>
    </row>
    <row r="1600" spans="1:28" s="457" customFormat="1" ht="18" customHeight="1" x14ac:dyDescent="0.2">
      <c r="B1600" s="479"/>
      <c r="I1600" s="457" t="s">
        <v>81</v>
      </c>
      <c r="AB1600" s="478"/>
    </row>
    <row r="1601" spans="1:28" s="457" customFormat="1" ht="18" customHeight="1" x14ac:dyDescent="0.2">
      <c r="B1601" s="479"/>
      <c r="I1601" s="457" t="s">
        <v>88</v>
      </c>
      <c r="AB1601" s="478"/>
    </row>
    <row r="1602" spans="1:28" s="457" customFormat="1" ht="18" customHeight="1" x14ac:dyDescent="0.2">
      <c r="A1602" s="455"/>
      <c r="B1602" s="455"/>
      <c r="C1602" s="455"/>
      <c r="D1602" s="455"/>
      <c r="E1602" s="455"/>
      <c r="F1602" s="455"/>
      <c r="G1602" s="455"/>
      <c r="H1602" s="455"/>
      <c r="I1602" s="455"/>
      <c r="J1602" s="455"/>
      <c r="K1602" s="455"/>
      <c r="L1602" s="455"/>
      <c r="M1602" s="455"/>
      <c r="N1602" s="455"/>
      <c r="O1602" s="455"/>
      <c r="P1602" s="455"/>
      <c r="Q1602" s="455"/>
      <c r="R1602" s="455"/>
      <c r="S1602" s="455"/>
      <c r="T1602" s="455"/>
      <c r="U1602" s="455"/>
      <c r="V1602" s="455"/>
      <c r="W1602" s="455"/>
      <c r="X1602" s="455"/>
      <c r="Y1602" s="455"/>
      <c r="Z1602" s="455"/>
      <c r="AA1602" s="2705" t="s">
        <v>0</v>
      </c>
      <c r="AB1602" s="2705"/>
    </row>
    <row r="1603" spans="1:28" s="457" customFormat="1" ht="18" customHeight="1" x14ac:dyDescent="0.2">
      <c r="A1603" s="2706" t="s">
        <v>1</v>
      </c>
      <c r="B1603" s="2706"/>
      <c r="C1603" s="2706"/>
      <c r="D1603" s="2706"/>
      <c r="E1603" s="2706"/>
      <c r="F1603" s="2706"/>
      <c r="G1603" s="2706"/>
      <c r="H1603" s="2706"/>
      <c r="I1603" s="2706"/>
      <c r="J1603" s="2706"/>
      <c r="K1603" s="2706"/>
      <c r="L1603" s="2706"/>
      <c r="M1603" s="2706"/>
      <c r="N1603" s="2706"/>
      <c r="O1603" s="2706"/>
      <c r="P1603" s="2706"/>
      <c r="Q1603" s="2706"/>
      <c r="R1603" s="2706"/>
      <c r="S1603" s="2706"/>
      <c r="T1603" s="2706"/>
      <c r="U1603" s="2706"/>
      <c r="V1603" s="2706"/>
      <c r="W1603" s="2706"/>
      <c r="X1603" s="2706"/>
      <c r="Y1603" s="2706"/>
      <c r="Z1603" s="2706"/>
      <c r="AA1603" s="2706"/>
      <c r="AB1603" s="2706"/>
    </row>
    <row r="1604" spans="1:28" s="457" customFormat="1" ht="18" customHeight="1" x14ac:dyDescent="0.2">
      <c r="A1604" s="2704" t="s">
        <v>421</v>
      </c>
      <c r="B1604" s="2704"/>
      <c r="C1604" s="2704"/>
      <c r="D1604" s="2704"/>
      <c r="E1604" s="2704"/>
      <c r="F1604" s="2704"/>
      <c r="G1604" s="2704"/>
      <c r="H1604" s="2704"/>
      <c r="I1604" s="2704"/>
      <c r="J1604" s="2704"/>
      <c r="K1604" s="2704"/>
      <c r="L1604" s="2704"/>
      <c r="M1604" s="2704"/>
      <c r="N1604" s="2704"/>
      <c r="O1604" s="2704"/>
      <c r="P1604" s="2704"/>
      <c r="Q1604" s="2704"/>
      <c r="R1604" s="2704"/>
      <c r="S1604" s="2704"/>
      <c r="T1604" s="2704"/>
      <c r="U1604" s="2704"/>
      <c r="V1604" s="2704"/>
      <c r="W1604" s="2704"/>
      <c r="X1604" s="2704"/>
      <c r="Y1604" s="2704"/>
      <c r="Z1604" s="2704"/>
      <c r="AA1604" s="2704"/>
      <c r="AB1604" s="2704"/>
    </row>
    <row r="1605" spans="1:28" s="457" customFormat="1" ht="18" customHeight="1" x14ac:dyDescent="0.2">
      <c r="A1605" s="2686" t="s">
        <v>2</v>
      </c>
      <c r="B1605" s="360"/>
      <c r="C1605" s="2686" t="s">
        <v>3</v>
      </c>
      <c r="D1605" s="360"/>
      <c r="E1605" s="360"/>
      <c r="F1605" s="2693" t="s">
        <v>4</v>
      </c>
      <c r="G1605" s="2693"/>
      <c r="H1605" s="2693"/>
      <c r="I1605" s="2694"/>
      <c r="J1605" s="2694"/>
      <c r="K1605" s="2695"/>
      <c r="L1605" s="361"/>
      <c r="M1605" s="2679" t="s">
        <v>5</v>
      </c>
      <c r="N1605" s="2679"/>
      <c r="O1605" s="2679"/>
      <c r="P1605" s="2679"/>
      <c r="Q1605" s="2696"/>
      <c r="R1605" s="2696"/>
      <c r="S1605" s="2696"/>
      <c r="T1605" s="2696"/>
      <c r="U1605" s="2696"/>
      <c r="V1605" s="2697"/>
      <c r="W1605" s="362" t="s">
        <v>6</v>
      </c>
      <c r="X1605" s="363" t="s">
        <v>7</v>
      </c>
      <c r="Y1605" s="364"/>
      <c r="Z1605" s="364"/>
      <c r="AA1605" s="363"/>
      <c r="AB1605" s="458"/>
    </row>
    <row r="1606" spans="1:28" s="457" customFormat="1" ht="18" customHeight="1" x14ac:dyDescent="0.2">
      <c r="A1606" s="2687"/>
      <c r="B1606" s="367"/>
      <c r="C1606" s="2687"/>
      <c r="D1606" s="366" t="s">
        <v>9</v>
      </c>
      <c r="E1606" s="366" t="s">
        <v>10</v>
      </c>
      <c r="F1606" s="2698" t="s">
        <v>11</v>
      </c>
      <c r="G1606" s="2694"/>
      <c r="H1606" s="2695"/>
      <c r="I1606" s="360"/>
      <c r="J1606" s="449" t="s">
        <v>12</v>
      </c>
      <c r="K1606" s="360"/>
      <c r="L1606" s="2679" t="s">
        <v>2</v>
      </c>
      <c r="M1606" s="370"/>
      <c r="N1606" s="370"/>
      <c r="O1606" s="370"/>
      <c r="P1606" s="371"/>
      <c r="Q1606" s="459" t="s">
        <v>13</v>
      </c>
      <c r="R1606" s="370" t="s">
        <v>12</v>
      </c>
      <c r="S1606" s="370" t="s">
        <v>6</v>
      </c>
      <c r="T1606" s="2682" t="s">
        <v>14</v>
      </c>
      <c r="U1606" s="2683"/>
      <c r="V1606" s="375" t="s">
        <v>7</v>
      </c>
      <c r="W1606" s="376" t="s">
        <v>15</v>
      </c>
      <c r="X1606" s="377" t="s">
        <v>16</v>
      </c>
      <c r="Y1606" s="377" t="s">
        <v>17</v>
      </c>
      <c r="Z1606" s="377" t="s">
        <v>18</v>
      </c>
      <c r="AA1606" s="377"/>
      <c r="AB1606" s="460" t="s">
        <v>19</v>
      </c>
    </row>
    <row r="1607" spans="1:28" s="457" customFormat="1" ht="18" customHeight="1" x14ac:dyDescent="0.2">
      <c r="A1607" s="2687"/>
      <c r="B1607" s="366" t="s">
        <v>23</v>
      </c>
      <c r="C1607" s="2687"/>
      <c r="D1607" s="366" t="s">
        <v>24</v>
      </c>
      <c r="E1607" s="366" t="s">
        <v>25</v>
      </c>
      <c r="F1607" s="2699"/>
      <c r="G1607" s="2700"/>
      <c r="H1607" s="2701"/>
      <c r="I1607" s="366" t="s">
        <v>26</v>
      </c>
      <c r="J1607" s="380" t="s">
        <v>15</v>
      </c>
      <c r="K1607" s="380" t="s">
        <v>6</v>
      </c>
      <c r="L1607" s="2680"/>
      <c r="M1607" s="381" t="s">
        <v>27</v>
      </c>
      <c r="N1607" s="381" t="s">
        <v>10</v>
      </c>
      <c r="O1607" s="381" t="s">
        <v>10</v>
      </c>
      <c r="P1607" s="385" t="s">
        <v>28</v>
      </c>
      <c r="Q1607" s="461" t="s">
        <v>29</v>
      </c>
      <c r="R1607" s="385" t="s">
        <v>15</v>
      </c>
      <c r="S1607" s="385" t="s">
        <v>15</v>
      </c>
      <c r="T1607" s="2684"/>
      <c r="U1607" s="2685"/>
      <c r="V1607" s="375" t="s">
        <v>30</v>
      </c>
      <c r="W1607" s="376" t="s">
        <v>31</v>
      </c>
      <c r="X1607" s="377" t="s">
        <v>30</v>
      </c>
      <c r="Y1607" s="377" t="s">
        <v>32</v>
      </c>
      <c r="Z1607" s="377" t="s">
        <v>7</v>
      </c>
      <c r="AA1607" s="377" t="s">
        <v>33</v>
      </c>
      <c r="AB1607" s="460" t="s">
        <v>34</v>
      </c>
    </row>
    <row r="1608" spans="1:28" s="457" customFormat="1" ht="18" customHeight="1" x14ac:dyDescent="0.2">
      <c r="A1608" s="2687"/>
      <c r="B1608" s="366" t="s">
        <v>39</v>
      </c>
      <c r="C1608" s="2687"/>
      <c r="D1608" s="366" t="s">
        <v>40</v>
      </c>
      <c r="E1608" s="366" t="s">
        <v>41</v>
      </c>
      <c r="F1608" s="2686" t="s">
        <v>42</v>
      </c>
      <c r="G1608" s="2686" t="s">
        <v>43</v>
      </c>
      <c r="H1608" s="2688" t="s">
        <v>44</v>
      </c>
      <c r="I1608" s="366" t="s">
        <v>45</v>
      </c>
      <c r="J1608" s="380" t="s">
        <v>46</v>
      </c>
      <c r="K1608" s="380" t="s">
        <v>47</v>
      </c>
      <c r="L1608" s="2680"/>
      <c r="M1608" s="381" t="s">
        <v>30</v>
      </c>
      <c r="N1608" s="381" t="s">
        <v>30</v>
      </c>
      <c r="O1608" s="381" t="s">
        <v>25</v>
      </c>
      <c r="P1608" s="385" t="s">
        <v>30</v>
      </c>
      <c r="Q1608" s="461" t="s">
        <v>48</v>
      </c>
      <c r="R1608" s="385" t="s">
        <v>49</v>
      </c>
      <c r="S1608" s="385" t="s">
        <v>30</v>
      </c>
      <c r="T1608" s="374" t="s">
        <v>50</v>
      </c>
      <c r="U1608" s="374" t="s">
        <v>13</v>
      </c>
      <c r="V1608" s="375" t="s">
        <v>51</v>
      </c>
      <c r="W1608" s="376" t="s">
        <v>52</v>
      </c>
      <c r="X1608" s="377" t="s">
        <v>53</v>
      </c>
      <c r="Y1608" s="377" t="s">
        <v>54</v>
      </c>
      <c r="Z1608" s="377" t="s">
        <v>55</v>
      </c>
      <c r="AA1608" s="377" t="s">
        <v>56</v>
      </c>
      <c r="AB1608" s="460" t="s">
        <v>57</v>
      </c>
    </row>
    <row r="1609" spans="1:28" s="457" customFormat="1" ht="18" customHeight="1" x14ac:dyDescent="0.2">
      <c r="A1609" s="2687"/>
      <c r="B1609" s="366" t="s">
        <v>61</v>
      </c>
      <c r="C1609" s="2687"/>
      <c r="D1609" s="366" t="s">
        <v>62</v>
      </c>
      <c r="E1609" s="366" t="s">
        <v>63</v>
      </c>
      <c r="F1609" s="2687"/>
      <c r="G1609" s="2687"/>
      <c r="H1609" s="2689"/>
      <c r="I1609" s="366" t="s">
        <v>64</v>
      </c>
      <c r="J1609" s="380" t="s">
        <v>59</v>
      </c>
      <c r="K1609" s="380" t="s">
        <v>59</v>
      </c>
      <c r="L1609" s="2680"/>
      <c r="M1609" s="381"/>
      <c r="N1609" s="381"/>
      <c r="O1609" s="381" t="s">
        <v>41</v>
      </c>
      <c r="P1609" s="385" t="s">
        <v>65</v>
      </c>
      <c r="Q1609" s="461" t="s">
        <v>66</v>
      </c>
      <c r="R1609" s="385" t="s">
        <v>67</v>
      </c>
      <c r="S1609" s="385" t="s">
        <v>59</v>
      </c>
      <c r="T1609" s="375" t="s">
        <v>68</v>
      </c>
      <c r="U1609" s="375" t="s">
        <v>14</v>
      </c>
      <c r="V1609" s="375" t="s">
        <v>14</v>
      </c>
      <c r="W1609" s="376" t="s">
        <v>30</v>
      </c>
      <c r="X1609" s="388" t="s">
        <v>69</v>
      </c>
      <c r="Y1609" s="388" t="s">
        <v>70</v>
      </c>
      <c r="Z1609" s="377" t="s">
        <v>71</v>
      </c>
      <c r="AA1609" s="377" t="s">
        <v>72</v>
      </c>
      <c r="AB1609" s="460" t="s">
        <v>59</v>
      </c>
    </row>
    <row r="1610" spans="1:28" s="457" customFormat="1" ht="18" customHeight="1" x14ac:dyDescent="0.2">
      <c r="A1610" s="2692"/>
      <c r="B1610" s="390"/>
      <c r="C1610" s="2692"/>
      <c r="D1610" s="390"/>
      <c r="E1610" s="389"/>
      <c r="F1610" s="390"/>
      <c r="G1610" s="390"/>
      <c r="H1610" s="391"/>
      <c r="I1610" s="389"/>
      <c r="J1610" s="393"/>
      <c r="K1610" s="393"/>
      <c r="L1610" s="2681"/>
      <c r="M1610" s="394"/>
      <c r="N1610" s="394"/>
      <c r="O1610" s="394" t="s">
        <v>63</v>
      </c>
      <c r="P1610" s="394"/>
      <c r="Q1610" s="450" t="s">
        <v>72</v>
      </c>
      <c r="R1610" s="398" t="s">
        <v>59</v>
      </c>
      <c r="S1610" s="398"/>
      <c r="T1610" s="398" t="s">
        <v>73</v>
      </c>
      <c r="U1610" s="398" t="s">
        <v>59</v>
      </c>
      <c r="V1610" s="399" t="s">
        <v>59</v>
      </c>
      <c r="W1610" s="400" t="s">
        <v>59</v>
      </c>
      <c r="X1610" s="401" t="s">
        <v>59</v>
      </c>
      <c r="Y1610" s="401" t="s">
        <v>59</v>
      </c>
      <c r="Z1610" s="401" t="s">
        <v>59</v>
      </c>
      <c r="AA1610" s="402"/>
      <c r="AB1610" s="462"/>
    </row>
    <row r="1611" spans="1:28" s="457" customFormat="1" ht="18" customHeight="1" x14ac:dyDescent="0.2">
      <c r="A1611" s="53">
        <v>1</v>
      </c>
      <c r="B1611" s="95">
        <v>31559</v>
      </c>
      <c r="C1611" s="82">
        <v>1224</v>
      </c>
      <c r="D1611" s="69" t="s">
        <v>84</v>
      </c>
      <c r="E1611" s="82">
        <v>4</v>
      </c>
      <c r="F1611" s="82">
        <v>0</v>
      </c>
      <c r="G1611" s="82">
        <v>0</v>
      </c>
      <c r="H1611" s="463">
        <v>76</v>
      </c>
      <c r="I1611" s="70">
        <f>F1611*400+G1611*100+H1611</f>
        <v>76</v>
      </c>
      <c r="J1611" s="123">
        <v>1100</v>
      </c>
      <c r="K1611" s="124">
        <f>SUM(I1611*J1611)</f>
        <v>83600</v>
      </c>
      <c r="L1611" s="53"/>
      <c r="M1611" s="82"/>
      <c r="N1611" s="82"/>
      <c r="O1611" s="53"/>
      <c r="P1611" s="358"/>
      <c r="Q1611" s="197"/>
      <c r="R1611" s="444"/>
      <c r="S1611" s="70"/>
      <c r="T1611" s="82"/>
      <c r="U1611" s="70"/>
      <c r="V1611" s="70"/>
      <c r="W1611" s="70">
        <f>K1611+V1611</f>
        <v>83600</v>
      </c>
      <c r="X1611" s="70">
        <f>W1611</f>
        <v>83600</v>
      </c>
      <c r="Y1611" s="123"/>
      <c r="Z1611" s="70">
        <f>+X1611</f>
        <v>83600</v>
      </c>
      <c r="AA1611" s="464">
        <v>0.3</v>
      </c>
      <c r="AB1611" s="465">
        <f>+Z1611*AA1611/100</f>
        <v>250.8</v>
      </c>
    </row>
    <row r="1612" spans="1:28" s="457" customFormat="1" ht="18" customHeight="1" x14ac:dyDescent="0.2">
      <c r="A1612" s="242"/>
      <c r="B1612" s="242"/>
      <c r="C1612" s="496"/>
      <c r="D1612" s="88"/>
      <c r="E1612" s="88"/>
      <c r="F1612" s="411"/>
      <c r="G1612" s="242"/>
      <c r="H1612" s="412"/>
      <c r="I1612" s="74"/>
      <c r="J1612" s="121"/>
      <c r="K1612" s="190"/>
      <c r="L1612" s="61"/>
      <c r="M1612" s="145"/>
      <c r="N1612" s="145"/>
      <c r="O1612" s="61"/>
      <c r="P1612" s="177"/>
      <c r="Q1612" s="196"/>
      <c r="R1612" s="408"/>
      <c r="S1612" s="77"/>
      <c r="T1612" s="145"/>
      <c r="U1612" s="107"/>
      <c r="V1612" s="77"/>
      <c r="W1612" s="77"/>
      <c r="X1612" s="77"/>
      <c r="Y1612" s="107"/>
      <c r="Z1612" s="77"/>
      <c r="AA1612" s="409"/>
      <c r="AB1612" s="466"/>
    </row>
    <row r="1613" spans="1:28" s="457" customFormat="1" ht="18" customHeight="1" x14ac:dyDescent="0.2">
      <c r="A1613" s="242"/>
      <c r="B1613" s="242"/>
      <c r="C1613" s="496"/>
      <c r="D1613" s="88"/>
      <c r="E1613" s="88"/>
      <c r="F1613" s="411"/>
      <c r="G1613" s="242"/>
      <c r="H1613" s="497"/>
      <c r="I1613" s="77"/>
      <c r="J1613" s="107"/>
      <c r="K1613" s="78"/>
      <c r="L1613" s="75"/>
      <c r="M1613" s="88"/>
      <c r="N1613" s="88"/>
      <c r="O1613" s="75"/>
      <c r="P1613" s="180"/>
      <c r="Q1613" s="174"/>
      <c r="R1613" s="413"/>
      <c r="S1613" s="74"/>
      <c r="T1613" s="88"/>
      <c r="U1613" s="121"/>
      <c r="V1613" s="74"/>
      <c r="W1613" s="77"/>
      <c r="X1613" s="77"/>
      <c r="Y1613" s="74"/>
      <c r="Z1613" s="74"/>
      <c r="AA1613" s="414"/>
      <c r="AB1613" s="466"/>
    </row>
    <row r="1614" spans="1:28" s="457" customFormat="1" ht="18" customHeight="1" x14ac:dyDescent="0.2">
      <c r="A1614" s="241"/>
      <c r="B1614" s="241"/>
      <c r="C1614" s="498"/>
      <c r="D1614" s="145"/>
      <c r="E1614" s="145"/>
      <c r="F1614" s="499"/>
      <c r="G1614" s="241"/>
      <c r="H1614" s="500"/>
      <c r="I1614" s="77"/>
      <c r="J1614" s="107"/>
      <c r="K1614" s="78"/>
      <c r="L1614" s="241"/>
      <c r="M1614" s="241"/>
      <c r="N1614" s="241"/>
      <c r="O1614" s="241"/>
      <c r="P1614" s="500"/>
      <c r="Q1614" s="498"/>
      <c r="R1614" s="501"/>
      <c r="S1614" s="103"/>
      <c r="T1614" s="502"/>
      <c r="U1614" s="103"/>
      <c r="V1614" s="103"/>
      <c r="W1614" s="77"/>
      <c r="X1614" s="77"/>
      <c r="Y1614" s="103"/>
      <c r="Z1614" s="103"/>
      <c r="AA1614" s="414"/>
      <c r="AB1614" s="410"/>
    </row>
    <row r="1615" spans="1:28" s="457" customFormat="1" ht="18" customHeight="1" x14ac:dyDescent="0.2">
      <c r="A1615" s="242"/>
      <c r="B1615" s="242"/>
      <c r="C1615" s="496"/>
      <c r="D1615" s="88"/>
      <c r="E1615" s="88"/>
      <c r="F1615" s="411"/>
      <c r="G1615" s="242"/>
      <c r="H1615" s="497"/>
      <c r="I1615" s="74"/>
      <c r="J1615" s="121"/>
      <c r="K1615" s="159"/>
      <c r="L1615" s="75"/>
      <c r="M1615" s="75"/>
      <c r="N1615" s="75"/>
      <c r="O1615" s="75"/>
      <c r="P1615" s="177"/>
      <c r="Q1615" s="196"/>
      <c r="R1615" s="408"/>
      <c r="S1615" s="77"/>
      <c r="T1615" s="145"/>
      <c r="U1615" s="77"/>
      <c r="V1615" s="74"/>
      <c r="W1615" s="74"/>
      <c r="X1615" s="74"/>
      <c r="Y1615" s="74"/>
      <c r="Z1615" s="74"/>
      <c r="AA1615" s="414"/>
      <c r="AB1615" s="466"/>
    </row>
    <row r="1616" spans="1:28" s="457" customFormat="1" ht="18" customHeight="1" x14ac:dyDescent="0.2">
      <c r="A1616" s="242"/>
      <c r="B1616" s="242"/>
      <c r="C1616" s="496"/>
      <c r="D1616" s="144"/>
      <c r="E1616" s="88"/>
      <c r="F1616" s="411"/>
      <c r="G1616" s="242"/>
      <c r="H1616" s="497"/>
      <c r="I1616" s="77"/>
      <c r="J1616" s="107"/>
      <c r="K1616" s="78"/>
      <c r="L1616" s="242"/>
      <c r="M1616" s="242"/>
      <c r="N1616" s="242"/>
      <c r="O1616" s="242"/>
      <c r="P1616" s="497"/>
      <c r="Q1616" s="496"/>
      <c r="R1616" s="503"/>
      <c r="S1616" s="504"/>
      <c r="T1616" s="505"/>
      <c r="U1616" s="504"/>
      <c r="V1616" s="504"/>
      <c r="W1616" s="77"/>
      <c r="X1616" s="77"/>
      <c r="Y1616" s="77"/>
      <c r="Z1616" s="77"/>
      <c r="AA1616" s="409"/>
      <c r="AB1616" s="506"/>
    </row>
    <row r="1617" spans="1:28" s="457" customFormat="1" ht="18" customHeight="1" x14ac:dyDescent="0.2">
      <c r="A1617" s="242"/>
      <c r="B1617" s="242"/>
      <c r="C1617" s="496"/>
      <c r="D1617" s="88"/>
      <c r="E1617" s="231"/>
      <c r="F1617" s="411"/>
      <c r="G1617" s="242"/>
      <c r="H1617" s="497"/>
      <c r="I1617" s="77"/>
      <c r="J1617" s="107"/>
      <c r="K1617" s="78"/>
      <c r="L1617" s="242"/>
      <c r="M1617" s="242"/>
      <c r="N1617" s="242"/>
      <c r="O1617" s="242"/>
      <c r="P1617" s="497"/>
      <c r="Q1617" s="496"/>
      <c r="R1617" s="503"/>
      <c r="S1617" s="504"/>
      <c r="T1617" s="505"/>
      <c r="U1617" s="504"/>
      <c r="V1617" s="504"/>
      <c r="W1617" s="77"/>
      <c r="X1617" s="77"/>
      <c r="Y1617" s="77"/>
      <c r="Z1617" s="77"/>
      <c r="AA1617" s="409"/>
      <c r="AB1617" s="506"/>
    </row>
    <row r="1618" spans="1:28" s="457" customFormat="1" ht="18" customHeight="1" x14ac:dyDescent="0.2">
      <c r="A1618" s="242"/>
      <c r="B1618" s="242"/>
      <c r="C1618" s="496"/>
      <c r="D1618" s="231"/>
      <c r="E1618" s="144"/>
      <c r="F1618" s="411"/>
      <c r="G1618" s="242"/>
      <c r="H1618" s="497"/>
      <c r="I1618" s="77"/>
      <c r="J1618" s="107"/>
      <c r="K1618" s="78"/>
      <c r="L1618" s="242"/>
      <c r="M1618" s="242"/>
      <c r="N1618" s="242"/>
      <c r="O1618" s="242"/>
      <c r="P1618" s="497"/>
      <c r="Q1618" s="496"/>
      <c r="R1618" s="503"/>
      <c r="S1618" s="504"/>
      <c r="T1618" s="505"/>
      <c r="U1618" s="504"/>
      <c r="V1618" s="504"/>
      <c r="W1618" s="77"/>
      <c r="X1618" s="77"/>
      <c r="Y1618" s="77"/>
      <c r="Z1618" s="77"/>
      <c r="AA1618" s="409"/>
      <c r="AB1618" s="506"/>
    </row>
    <row r="1619" spans="1:28" s="457" customFormat="1" ht="18" customHeight="1" x14ac:dyDescent="0.2">
      <c r="A1619" s="242"/>
      <c r="B1619" s="242"/>
      <c r="C1619" s="496"/>
      <c r="D1619" s="144"/>
      <c r="E1619" s="144"/>
      <c r="F1619" s="411"/>
      <c r="G1619" s="242"/>
      <c r="H1619" s="497"/>
      <c r="I1619" s="77"/>
      <c r="J1619" s="107"/>
      <c r="K1619" s="78"/>
      <c r="L1619" s="242"/>
      <c r="M1619" s="242"/>
      <c r="N1619" s="242"/>
      <c r="O1619" s="242"/>
      <c r="P1619" s="497"/>
      <c r="Q1619" s="496"/>
      <c r="R1619" s="503"/>
      <c r="S1619" s="504"/>
      <c r="T1619" s="505"/>
      <c r="U1619" s="504"/>
      <c r="V1619" s="504"/>
      <c r="W1619" s="77"/>
      <c r="X1619" s="77"/>
      <c r="Y1619" s="77"/>
      <c r="Z1619" s="77"/>
      <c r="AA1619" s="409"/>
      <c r="AB1619" s="506"/>
    </row>
    <row r="1620" spans="1:28" s="457" customFormat="1" ht="18" customHeight="1" x14ac:dyDescent="0.2">
      <c r="A1620" s="242"/>
      <c r="B1620" s="242"/>
      <c r="C1620" s="496"/>
      <c r="D1620" s="88"/>
      <c r="E1620" s="144"/>
      <c r="F1620" s="411"/>
      <c r="G1620" s="242"/>
      <c r="H1620" s="497"/>
      <c r="I1620" s="77"/>
      <c r="J1620" s="107"/>
      <c r="K1620" s="78"/>
      <c r="L1620" s="242"/>
      <c r="M1620" s="242"/>
      <c r="N1620" s="242"/>
      <c r="O1620" s="242"/>
      <c r="P1620" s="497"/>
      <c r="Q1620" s="496"/>
      <c r="R1620" s="503"/>
      <c r="S1620" s="504"/>
      <c r="T1620" s="505"/>
      <c r="U1620" s="504"/>
      <c r="V1620" s="504"/>
      <c r="W1620" s="77"/>
      <c r="X1620" s="77"/>
      <c r="Y1620" s="77"/>
      <c r="Z1620" s="77"/>
      <c r="AA1620" s="409"/>
      <c r="AB1620" s="506"/>
    </row>
    <row r="1621" spans="1:28" s="457" customFormat="1" ht="18" customHeight="1" x14ac:dyDescent="0.2">
      <c r="A1621" s="242"/>
      <c r="B1621" s="242"/>
      <c r="C1621" s="496"/>
      <c r="D1621" s="231"/>
      <c r="E1621" s="88"/>
      <c r="F1621" s="411"/>
      <c r="G1621" s="242"/>
      <c r="H1621" s="497"/>
      <c r="I1621" s="77"/>
      <c r="J1621" s="107"/>
      <c r="K1621" s="78"/>
      <c r="L1621" s="242"/>
      <c r="M1621" s="242"/>
      <c r="N1621" s="242"/>
      <c r="O1621" s="242"/>
      <c r="P1621" s="497"/>
      <c r="Q1621" s="496"/>
      <c r="R1621" s="503"/>
      <c r="S1621" s="504"/>
      <c r="T1621" s="505"/>
      <c r="U1621" s="504"/>
      <c r="V1621" s="504"/>
      <c r="W1621" s="77"/>
      <c r="X1621" s="77"/>
      <c r="Y1621" s="77"/>
      <c r="Z1621" s="77"/>
      <c r="AA1621" s="409"/>
      <c r="AB1621" s="506"/>
    </row>
    <row r="1622" spans="1:28" s="457" customFormat="1" ht="18" customHeight="1" x14ac:dyDescent="0.2">
      <c r="A1622" s="242"/>
      <c r="B1622" s="242"/>
      <c r="C1622" s="496"/>
      <c r="D1622" s="496"/>
      <c r="E1622" s="88"/>
      <c r="F1622" s="411"/>
      <c r="G1622" s="242"/>
      <c r="H1622" s="497"/>
      <c r="I1622" s="77"/>
      <c r="J1622" s="107"/>
      <c r="K1622" s="78"/>
      <c r="L1622" s="242"/>
      <c r="M1622" s="242"/>
      <c r="N1622" s="242"/>
      <c r="O1622" s="242"/>
      <c r="P1622" s="497"/>
      <c r="Q1622" s="496"/>
      <c r="R1622" s="503"/>
      <c r="S1622" s="504"/>
      <c r="T1622" s="505"/>
      <c r="U1622" s="504"/>
      <c r="V1622" s="504"/>
      <c r="W1622" s="77"/>
      <c r="X1622" s="77"/>
      <c r="Y1622" s="77"/>
      <c r="Z1622" s="77"/>
      <c r="AA1622" s="409"/>
      <c r="AB1622" s="506"/>
    </row>
    <row r="1623" spans="1:28" s="457" customFormat="1" ht="18" customHeight="1" x14ac:dyDescent="0.2">
      <c r="A1623" s="145"/>
      <c r="B1623" s="177"/>
      <c r="C1623" s="177"/>
      <c r="D1623" s="145"/>
      <c r="E1623" s="145"/>
      <c r="F1623" s="145"/>
      <c r="G1623" s="145"/>
      <c r="H1623" s="147"/>
      <c r="I1623" s="107"/>
      <c r="J1623" s="178"/>
      <c r="K1623" s="107"/>
      <c r="L1623" s="145"/>
      <c r="M1623" s="145"/>
      <c r="N1623" s="145"/>
      <c r="O1623" s="145"/>
      <c r="P1623" s="147"/>
      <c r="Q1623" s="148"/>
      <c r="R1623" s="437"/>
      <c r="S1623" s="107"/>
      <c r="T1623" s="179"/>
      <c r="U1623" s="178"/>
      <c r="V1623" s="107"/>
      <c r="W1623" s="107"/>
      <c r="X1623" s="470"/>
      <c r="Y1623" s="470"/>
      <c r="Z1623" s="471"/>
      <c r="AA1623" s="471"/>
      <c r="AB1623" s="466"/>
    </row>
    <row r="1624" spans="1:28" s="457" customFormat="1" ht="18" customHeight="1" x14ac:dyDescent="0.2">
      <c r="A1624" s="145"/>
      <c r="B1624" s="177"/>
      <c r="C1624" s="177"/>
      <c r="D1624" s="145"/>
      <c r="E1624" s="145"/>
      <c r="F1624" s="145"/>
      <c r="G1624" s="145"/>
      <c r="H1624" s="147"/>
      <c r="I1624" s="107"/>
      <c r="J1624" s="178"/>
      <c r="K1624" s="107"/>
      <c r="L1624" s="145"/>
      <c r="M1624" s="145"/>
      <c r="N1624" s="145"/>
      <c r="O1624" s="145"/>
      <c r="P1624" s="147"/>
      <c r="Q1624" s="148"/>
      <c r="R1624" s="437"/>
      <c r="S1624" s="107"/>
      <c r="T1624" s="179"/>
      <c r="U1624" s="178"/>
      <c r="V1624" s="107"/>
      <c r="W1624" s="107"/>
      <c r="X1624" s="470"/>
      <c r="Y1624" s="470"/>
      <c r="Z1624" s="471"/>
      <c r="AA1624" s="471"/>
      <c r="AB1624" s="466"/>
    </row>
    <row r="1625" spans="1:28" s="457" customFormat="1" ht="18" customHeight="1" x14ac:dyDescent="0.2">
      <c r="A1625" s="88"/>
      <c r="B1625" s="180"/>
      <c r="C1625" s="180"/>
      <c r="D1625" s="88"/>
      <c r="E1625" s="88"/>
      <c r="F1625" s="88"/>
      <c r="G1625" s="88"/>
      <c r="H1625" s="120"/>
      <c r="I1625" s="121"/>
      <c r="J1625" s="181"/>
      <c r="K1625" s="121"/>
      <c r="L1625" s="88"/>
      <c r="M1625" s="88"/>
      <c r="N1625" s="88"/>
      <c r="O1625" s="88"/>
      <c r="P1625" s="88"/>
      <c r="Q1625" s="129"/>
      <c r="R1625" s="445"/>
      <c r="S1625" s="121"/>
      <c r="T1625" s="182"/>
      <c r="U1625" s="181"/>
      <c r="V1625" s="121"/>
      <c r="W1625" s="121"/>
      <c r="X1625" s="472"/>
      <c r="Y1625" s="472"/>
      <c r="Z1625" s="473"/>
      <c r="AA1625" s="473"/>
      <c r="AB1625" s="410"/>
    </row>
    <row r="1626" spans="1:28" s="597" customFormat="1" ht="18" customHeight="1" x14ac:dyDescent="0.2">
      <c r="A1626" s="1850"/>
      <c r="B1626" s="1850"/>
      <c r="C1626" s="1850"/>
      <c r="D1626" s="1850"/>
      <c r="E1626" s="1850"/>
      <c r="F1626" s="1850"/>
      <c r="G1626" s="1850"/>
      <c r="H1626" s="1851"/>
      <c r="I1626" s="1852"/>
      <c r="J1626" s="1853"/>
      <c r="K1626" s="1852"/>
      <c r="L1626" s="1852"/>
      <c r="M1626" s="1852"/>
      <c r="N1626" s="1852"/>
      <c r="O1626" s="1852"/>
      <c r="P1626" s="1852"/>
      <c r="Q1626" s="1852"/>
      <c r="R1626" s="1854"/>
      <c r="S1626" s="1852"/>
      <c r="T1626" s="1855"/>
      <c r="U1626" s="1853"/>
      <c r="V1626" s="1852"/>
      <c r="W1626" s="1852"/>
      <c r="X1626" s="1856"/>
      <c r="Y1626" s="1856"/>
      <c r="Z1626" s="1857"/>
      <c r="AA1626" s="1857"/>
      <c r="AB1626" s="1847">
        <f>SUM(AB1611:AB1625)</f>
        <v>250.8</v>
      </c>
    </row>
    <row r="1627" spans="1:28" s="457" customFormat="1" ht="18" customHeight="1" x14ac:dyDescent="0.2">
      <c r="A1627" s="2737" t="s">
        <v>76</v>
      </c>
      <c r="B1627" s="2737"/>
      <c r="C1627" s="2738" t="s">
        <v>77</v>
      </c>
      <c r="D1627" s="2738"/>
      <c r="E1627" s="2738"/>
      <c r="F1627" s="2738"/>
      <c r="G1627" s="2738"/>
      <c r="H1627" s="2738"/>
      <c r="I1627" s="457" t="s">
        <v>78</v>
      </c>
      <c r="V1627" s="457" t="s">
        <v>254</v>
      </c>
      <c r="AB1627" s="478"/>
    </row>
    <row r="1628" spans="1:28" s="457" customFormat="1" ht="18" customHeight="1" x14ac:dyDescent="0.2">
      <c r="B1628" s="479"/>
      <c r="I1628" s="457" t="s">
        <v>79</v>
      </c>
      <c r="AB1628" s="478"/>
    </row>
    <row r="1629" spans="1:28" s="457" customFormat="1" ht="18" customHeight="1" x14ac:dyDescent="0.2">
      <c r="B1629" s="479"/>
      <c r="I1629" s="457" t="s">
        <v>80</v>
      </c>
      <c r="AB1629" s="478"/>
    </row>
    <row r="1630" spans="1:28" s="457" customFormat="1" ht="18" customHeight="1" x14ac:dyDescent="0.2">
      <c r="B1630" s="479"/>
      <c r="I1630" s="457" t="s">
        <v>81</v>
      </c>
      <c r="AB1630" s="478"/>
    </row>
    <row r="1631" spans="1:28" s="457" customFormat="1" ht="18" customHeight="1" x14ac:dyDescent="0.2">
      <c r="B1631" s="479"/>
      <c r="I1631" s="457" t="s">
        <v>88</v>
      </c>
      <c r="AB1631" s="478"/>
    </row>
    <row r="1632" spans="1:28" s="457" customFormat="1" ht="18" customHeight="1" x14ac:dyDescent="0.2">
      <c r="A1632" s="455"/>
      <c r="B1632" s="455"/>
      <c r="C1632" s="455"/>
      <c r="D1632" s="455"/>
      <c r="E1632" s="455"/>
      <c r="F1632" s="455"/>
      <c r="G1632" s="455"/>
      <c r="H1632" s="455"/>
      <c r="I1632" s="455"/>
      <c r="J1632" s="455"/>
      <c r="K1632" s="455"/>
      <c r="L1632" s="455"/>
      <c r="M1632" s="455"/>
      <c r="N1632" s="455"/>
      <c r="O1632" s="455"/>
      <c r="P1632" s="455"/>
      <c r="Q1632" s="455"/>
      <c r="R1632" s="455"/>
      <c r="S1632" s="455"/>
      <c r="T1632" s="455"/>
      <c r="U1632" s="455"/>
      <c r="V1632" s="455"/>
      <c r="W1632" s="455"/>
      <c r="X1632" s="455"/>
      <c r="Y1632" s="455"/>
      <c r="Z1632" s="455"/>
      <c r="AA1632" s="2705" t="s">
        <v>0</v>
      </c>
      <c r="AB1632" s="2705"/>
    </row>
    <row r="1633" spans="1:28" s="457" customFormat="1" ht="18" customHeight="1" x14ac:dyDescent="0.2">
      <c r="A1633" s="2706" t="s">
        <v>1</v>
      </c>
      <c r="B1633" s="2706"/>
      <c r="C1633" s="2706"/>
      <c r="D1633" s="2706"/>
      <c r="E1633" s="2706"/>
      <c r="F1633" s="2706"/>
      <c r="G1633" s="2706"/>
      <c r="H1633" s="2706"/>
      <c r="I1633" s="2706"/>
      <c r="J1633" s="2706"/>
      <c r="K1633" s="2706"/>
      <c r="L1633" s="2706"/>
      <c r="M1633" s="2706"/>
      <c r="N1633" s="2706"/>
      <c r="O1633" s="2706"/>
      <c r="P1633" s="2706"/>
      <c r="Q1633" s="2706"/>
      <c r="R1633" s="2706"/>
      <c r="S1633" s="2706"/>
      <c r="T1633" s="2706"/>
      <c r="U1633" s="2706"/>
      <c r="V1633" s="2706"/>
      <c r="W1633" s="2706"/>
      <c r="X1633" s="2706"/>
      <c r="Y1633" s="2706"/>
      <c r="Z1633" s="2706"/>
      <c r="AA1633" s="2706"/>
      <c r="AB1633" s="2706"/>
    </row>
    <row r="1634" spans="1:28" s="457" customFormat="1" ht="18" customHeight="1" x14ac:dyDescent="0.2">
      <c r="A1634" s="2704" t="s">
        <v>422</v>
      </c>
      <c r="B1634" s="2704"/>
      <c r="C1634" s="2704"/>
      <c r="D1634" s="2704"/>
      <c r="E1634" s="2704"/>
      <c r="F1634" s="2704"/>
      <c r="G1634" s="2704"/>
      <c r="H1634" s="2704"/>
      <c r="I1634" s="2704"/>
      <c r="J1634" s="2704"/>
      <c r="K1634" s="2704"/>
      <c r="L1634" s="2704"/>
      <c r="M1634" s="2704"/>
      <c r="N1634" s="2704"/>
      <c r="O1634" s="2704"/>
      <c r="P1634" s="2704"/>
      <c r="Q1634" s="2704"/>
      <c r="R1634" s="2704"/>
      <c r="S1634" s="2704"/>
      <c r="T1634" s="2704"/>
      <c r="U1634" s="2704"/>
      <c r="V1634" s="2704"/>
      <c r="W1634" s="2704"/>
      <c r="X1634" s="2704"/>
      <c r="Y1634" s="2704"/>
      <c r="Z1634" s="2704"/>
      <c r="AA1634" s="2704"/>
      <c r="AB1634" s="2704"/>
    </row>
    <row r="1635" spans="1:28" s="457" customFormat="1" ht="18" customHeight="1" x14ac:dyDescent="0.2">
      <c r="A1635" s="2686" t="s">
        <v>2</v>
      </c>
      <c r="B1635" s="360"/>
      <c r="C1635" s="2686" t="s">
        <v>3</v>
      </c>
      <c r="D1635" s="360"/>
      <c r="E1635" s="360"/>
      <c r="F1635" s="2693" t="s">
        <v>4</v>
      </c>
      <c r="G1635" s="2693"/>
      <c r="H1635" s="2693"/>
      <c r="I1635" s="2694"/>
      <c r="J1635" s="2694"/>
      <c r="K1635" s="2695"/>
      <c r="L1635" s="361"/>
      <c r="M1635" s="2679" t="s">
        <v>5</v>
      </c>
      <c r="N1635" s="2679"/>
      <c r="O1635" s="2679"/>
      <c r="P1635" s="2679"/>
      <c r="Q1635" s="2696"/>
      <c r="R1635" s="2696"/>
      <c r="S1635" s="2696"/>
      <c r="T1635" s="2696"/>
      <c r="U1635" s="2696"/>
      <c r="V1635" s="2697"/>
      <c r="W1635" s="362" t="s">
        <v>6</v>
      </c>
      <c r="X1635" s="363" t="s">
        <v>7</v>
      </c>
      <c r="Y1635" s="364"/>
      <c r="Z1635" s="364"/>
      <c r="AA1635" s="363"/>
      <c r="AB1635" s="458"/>
    </row>
    <row r="1636" spans="1:28" s="457" customFormat="1" ht="18" customHeight="1" x14ac:dyDescent="0.2">
      <c r="A1636" s="2687"/>
      <c r="B1636" s="367"/>
      <c r="C1636" s="2687"/>
      <c r="D1636" s="366" t="s">
        <v>9</v>
      </c>
      <c r="E1636" s="366" t="s">
        <v>10</v>
      </c>
      <c r="F1636" s="2698" t="s">
        <v>11</v>
      </c>
      <c r="G1636" s="2694"/>
      <c r="H1636" s="2695"/>
      <c r="I1636" s="360"/>
      <c r="J1636" s="449" t="s">
        <v>12</v>
      </c>
      <c r="K1636" s="360"/>
      <c r="L1636" s="2679" t="s">
        <v>2</v>
      </c>
      <c r="M1636" s="370"/>
      <c r="N1636" s="370"/>
      <c r="O1636" s="370"/>
      <c r="P1636" s="371"/>
      <c r="Q1636" s="459" t="s">
        <v>13</v>
      </c>
      <c r="R1636" s="370" t="s">
        <v>12</v>
      </c>
      <c r="S1636" s="370" t="s">
        <v>6</v>
      </c>
      <c r="T1636" s="2682" t="s">
        <v>14</v>
      </c>
      <c r="U1636" s="2683"/>
      <c r="V1636" s="375" t="s">
        <v>7</v>
      </c>
      <c r="W1636" s="376" t="s">
        <v>15</v>
      </c>
      <c r="X1636" s="377" t="s">
        <v>16</v>
      </c>
      <c r="Y1636" s="377" t="s">
        <v>17</v>
      </c>
      <c r="Z1636" s="377" t="s">
        <v>18</v>
      </c>
      <c r="AA1636" s="377"/>
      <c r="AB1636" s="460" t="s">
        <v>19</v>
      </c>
    </row>
    <row r="1637" spans="1:28" s="457" customFormat="1" ht="18" customHeight="1" x14ac:dyDescent="0.2">
      <c r="A1637" s="2687"/>
      <c r="B1637" s="366" t="s">
        <v>23</v>
      </c>
      <c r="C1637" s="2687"/>
      <c r="D1637" s="366" t="s">
        <v>24</v>
      </c>
      <c r="E1637" s="366" t="s">
        <v>25</v>
      </c>
      <c r="F1637" s="2699"/>
      <c r="G1637" s="2700"/>
      <c r="H1637" s="2701"/>
      <c r="I1637" s="366" t="s">
        <v>26</v>
      </c>
      <c r="J1637" s="380" t="s">
        <v>15</v>
      </c>
      <c r="K1637" s="380" t="s">
        <v>6</v>
      </c>
      <c r="L1637" s="2680"/>
      <c r="M1637" s="381" t="s">
        <v>27</v>
      </c>
      <c r="N1637" s="381" t="s">
        <v>10</v>
      </c>
      <c r="O1637" s="381" t="s">
        <v>10</v>
      </c>
      <c r="P1637" s="385" t="s">
        <v>28</v>
      </c>
      <c r="Q1637" s="461" t="s">
        <v>29</v>
      </c>
      <c r="R1637" s="385" t="s">
        <v>15</v>
      </c>
      <c r="S1637" s="385" t="s">
        <v>15</v>
      </c>
      <c r="T1637" s="2684"/>
      <c r="U1637" s="2685"/>
      <c r="V1637" s="375" t="s">
        <v>30</v>
      </c>
      <c r="W1637" s="376" t="s">
        <v>31</v>
      </c>
      <c r="X1637" s="377" t="s">
        <v>30</v>
      </c>
      <c r="Y1637" s="377" t="s">
        <v>32</v>
      </c>
      <c r="Z1637" s="377" t="s">
        <v>7</v>
      </c>
      <c r="AA1637" s="377" t="s">
        <v>33</v>
      </c>
      <c r="AB1637" s="460" t="s">
        <v>34</v>
      </c>
    </row>
    <row r="1638" spans="1:28" s="457" customFormat="1" ht="18" customHeight="1" x14ac:dyDescent="0.2">
      <c r="A1638" s="2687"/>
      <c r="B1638" s="366" t="s">
        <v>39</v>
      </c>
      <c r="C1638" s="2687"/>
      <c r="D1638" s="366" t="s">
        <v>40</v>
      </c>
      <c r="E1638" s="366" t="s">
        <v>41</v>
      </c>
      <c r="F1638" s="2686" t="s">
        <v>42</v>
      </c>
      <c r="G1638" s="2686" t="s">
        <v>43</v>
      </c>
      <c r="H1638" s="2688" t="s">
        <v>44</v>
      </c>
      <c r="I1638" s="366" t="s">
        <v>45</v>
      </c>
      <c r="J1638" s="380" t="s">
        <v>46</v>
      </c>
      <c r="K1638" s="380" t="s">
        <v>47</v>
      </c>
      <c r="L1638" s="2680"/>
      <c r="M1638" s="381" t="s">
        <v>30</v>
      </c>
      <c r="N1638" s="381" t="s">
        <v>30</v>
      </c>
      <c r="O1638" s="381" t="s">
        <v>25</v>
      </c>
      <c r="P1638" s="385" t="s">
        <v>30</v>
      </c>
      <c r="Q1638" s="461" t="s">
        <v>48</v>
      </c>
      <c r="R1638" s="385" t="s">
        <v>49</v>
      </c>
      <c r="S1638" s="385" t="s">
        <v>30</v>
      </c>
      <c r="T1638" s="374" t="s">
        <v>50</v>
      </c>
      <c r="U1638" s="374" t="s">
        <v>13</v>
      </c>
      <c r="V1638" s="375" t="s">
        <v>51</v>
      </c>
      <c r="W1638" s="376" t="s">
        <v>52</v>
      </c>
      <c r="X1638" s="377" t="s">
        <v>53</v>
      </c>
      <c r="Y1638" s="377" t="s">
        <v>54</v>
      </c>
      <c r="Z1638" s="377" t="s">
        <v>55</v>
      </c>
      <c r="AA1638" s="377" t="s">
        <v>56</v>
      </c>
      <c r="AB1638" s="460" t="s">
        <v>57</v>
      </c>
    </row>
    <row r="1639" spans="1:28" s="457" customFormat="1" ht="18" customHeight="1" x14ac:dyDescent="0.2">
      <c r="A1639" s="2687"/>
      <c r="B1639" s="366" t="s">
        <v>61</v>
      </c>
      <c r="C1639" s="2687"/>
      <c r="D1639" s="366" t="s">
        <v>62</v>
      </c>
      <c r="E1639" s="366" t="s">
        <v>63</v>
      </c>
      <c r="F1639" s="2687"/>
      <c r="G1639" s="2687"/>
      <c r="H1639" s="2689"/>
      <c r="I1639" s="366" t="s">
        <v>64</v>
      </c>
      <c r="J1639" s="380" t="s">
        <v>59</v>
      </c>
      <c r="K1639" s="380" t="s">
        <v>59</v>
      </c>
      <c r="L1639" s="2680"/>
      <c r="M1639" s="381"/>
      <c r="N1639" s="381"/>
      <c r="O1639" s="381" t="s">
        <v>41</v>
      </c>
      <c r="P1639" s="385" t="s">
        <v>65</v>
      </c>
      <c r="Q1639" s="461" t="s">
        <v>66</v>
      </c>
      <c r="R1639" s="385" t="s">
        <v>67</v>
      </c>
      <c r="S1639" s="385" t="s">
        <v>59</v>
      </c>
      <c r="T1639" s="375" t="s">
        <v>68</v>
      </c>
      <c r="U1639" s="375" t="s">
        <v>14</v>
      </c>
      <c r="V1639" s="375" t="s">
        <v>14</v>
      </c>
      <c r="W1639" s="376" t="s">
        <v>30</v>
      </c>
      <c r="X1639" s="388" t="s">
        <v>69</v>
      </c>
      <c r="Y1639" s="388" t="s">
        <v>70</v>
      </c>
      <c r="Z1639" s="377" t="s">
        <v>71</v>
      </c>
      <c r="AA1639" s="377" t="s">
        <v>72</v>
      </c>
      <c r="AB1639" s="460" t="s">
        <v>59</v>
      </c>
    </row>
    <row r="1640" spans="1:28" s="457" customFormat="1" ht="18" customHeight="1" x14ac:dyDescent="0.2">
      <c r="A1640" s="2692"/>
      <c r="B1640" s="390"/>
      <c r="C1640" s="2692"/>
      <c r="D1640" s="390"/>
      <c r="E1640" s="389"/>
      <c r="F1640" s="390"/>
      <c r="G1640" s="390"/>
      <c r="H1640" s="391"/>
      <c r="I1640" s="389"/>
      <c r="J1640" s="393"/>
      <c r="K1640" s="393"/>
      <c r="L1640" s="2681"/>
      <c r="M1640" s="394"/>
      <c r="N1640" s="394"/>
      <c r="O1640" s="394" t="s">
        <v>63</v>
      </c>
      <c r="P1640" s="394"/>
      <c r="Q1640" s="450" t="s">
        <v>72</v>
      </c>
      <c r="R1640" s="398" t="s">
        <v>59</v>
      </c>
      <c r="S1640" s="398"/>
      <c r="T1640" s="398" t="s">
        <v>73</v>
      </c>
      <c r="U1640" s="398" t="s">
        <v>59</v>
      </c>
      <c r="V1640" s="399" t="s">
        <v>59</v>
      </c>
      <c r="W1640" s="400" t="s">
        <v>59</v>
      </c>
      <c r="X1640" s="401" t="s">
        <v>59</v>
      </c>
      <c r="Y1640" s="401" t="s">
        <v>59</v>
      </c>
      <c r="Z1640" s="401" t="s">
        <v>59</v>
      </c>
      <c r="AA1640" s="402"/>
      <c r="AB1640" s="462"/>
    </row>
    <row r="1641" spans="1:28" s="457" customFormat="1" ht="18" customHeight="1" x14ac:dyDescent="0.2">
      <c r="A1641" s="53">
        <v>1</v>
      </c>
      <c r="B1641" s="242">
        <v>36097</v>
      </c>
      <c r="C1641" s="82">
        <v>1099</v>
      </c>
      <c r="D1641" s="82" t="s">
        <v>86</v>
      </c>
      <c r="E1641" s="82">
        <v>4</v>
      </c>
      <c r="F1641" s="82">
        <v>0</v>
      </c>
      <c r="G1641" s="82">
        <v>0</v>
      </c>
      <c r="H1641" s="463">
        <v>88</v>
      </c>
      <c r="I1641" s="70">
        <f>F1641*400+G1641*100+H1641</f>
        <v>88</v>
      </c>
      <c r="J1641" s="123">
        <v>1600</v>
      </c>
      <c r="K1641" s="124">
        <f>SUM(I1641*J1641)</f>
        <v>140800</v>
      </c>
      <c r="L1641" s="53"/>
      <c r="M1641" s="82"/>
      <c r="N1641" s="82"/>
      <c r="O1641" s="53"/>
      <c r="P1641" s="358"/>
      <c r="Q1641" s="197"/>
      <c r="R1641" s="444"/>
      <c r="S1641" s="70"/>
      <c r="T1641" s="82"/>
      <c r="U1641" s="70"/>
      <c r="V1641" s="70"/>
      <c r="W1641" s="70">
        <f>K1641+V1641</f>
        <v>140800</v>
      </c>
      <c r="X1641" s="70">
        <f>W1641</f>
        <v>140800</v>
      </c>
      <c r="Y1641" s="123"/>
      <c r="Z1641" s="70">
        <f>+X1641</f>
        <v>140800</v>
      </c>
      <c r="AA1641" s="84">
        <v>0.3</v>
      </c>
      <c r="AB1641" s="465">
        <f>+Z1641*AA1641/100</f>
        <v>422.4</v>
      </c>
    </row>
    <row r="1642" spans="1:28" s="457" customFormat="1" ht="18" customHeight="1" x14ac:dyDescent="0.2">
      <c r="A1642" s="242">
        <v>2</v>
      </c>
      <c r="B1642" s="242">
        <v>36098</v>
      </c>
      <c r="C1642" s="496" t="s">
        <v>255</v>
      </c>
      <c r="D1642" s="145" t="s">
        <v>215</v>
      </c>
      <c r="E1642" s="145">
        <v>4</v>
      </c>
      <c r="F1642" s="145">
        <v>0</v>
      </c>
      <c r="G1642" s="145">
        <v>0</v>
      </c>
      <c r="H1642" s="407">
        <v>95</v>
      </c>
      <c r="I1642" s="77">
        <f>F1642*400+G1642*100+H1642</f>
        <v>95</v>
      </c>
      <c r="J1642" s="107">
        <v>1600</v>
      </c>
      <c r="K1642" s="78">
        <f>SUM(I1642*J1642)</f>
        <v>152000</v>
      </c>
      <c r="L1642" s="61"/>
      <c r="M1642" s="145"/>
      <c r="N1642" s="145"/>
      <c r="O1642" s="61"/>
      <c r="P1642" s="177"/>
      <c r="Q1642" s="196"/>
      <c r="R1642" s="408"/>
      <c r="S1642" s="77"/>
      <c r="T1642" s="145"/>
      <c r="U1642" s="77"/>
      <c r="V1642" s="77"/>
      <c r="W1642" s="77">
        <f>K1642+V1642</f>
        <v>152000</v>
      </c>
      <c r="X1642" s="77">
        <f>W1642</f>
        <v>152000</v>
      </c>
      <c r="Y1642" s="107"/>
      <c r="Z1642" s="77">
        <f>+X1642</f>
        <v>152000</v>
      </c>
      <c r="AA1642" s="149">
        <v>0.3</v>
      </c>
      <c r="AB1642" s="466">
        <f>+Z1642*AA1642/100</f>
        <v>456</v>
      </c>
    </row>
    <row r="1643" spans="1:28" s="457" customFormat="1" ht="18" customHeight="1" x14ac:dyDescent="0.2">
      <c r="A1643" s="242"/>
      <c r="B1643" s="242"/>
      <c r="C1643" s="496"/>
      <c r="D1643" s="88"/>
      <c r="E1643" s="88"/>
      <c r="F1643" s="411"/>
      <c r="G1643" s="242"/>
      <c r="H1643" s="497"/>
      <c r="I1643" s="77"/>
      <c r="J1643" s="107"/>
      <c r="K1643" s="78"/>
      <c r="L1643" s="75"/>
      <c r="M1643" s="88"/>
      <c r="N1643" s="88"/>
      <c r="O1643" s="75"/>
      <c r="P1643" s="180"/>
      <c r="Q1643" s="174"/>
      <c r="R1643" s="413"/>
      <c r="S1643" s="74"/>
      <c r="T1643" s="88"/>
      <c r="U1643" s="121"/>
      <c r="V1643" s="74"/>
      <c r="W1643" s="77"/>
      <c r="X1643" s="77"/>
      <c r="Y1643" s="74"/>
      <c r="Z1643" s="74"/>
      <c r="AA1643" s="414"/>
      <c r="AB1643" s="466"/>
    </row>
    <row r="1644" spans="1:28" s="457" customFormat="1" ht="18" customHeight="1" x14ac:dyDescent="0.2">
      <c r="A1644" s="241"/>
      <c r="B1644" s="241"/>
      <c r="C1644" s="498"/>
      <c r="D1644" s="145"/>
      <c r="E1644" s="145"/>
      <c r="F1644" s="499"/>
      <c r="G1644" s="241"/>
      <c r="H1644" s="500"/>
      <c r="I1644" s="77"/>
      <c r="J1644" s="107"/>
      <c r="K1644" s="78"/>
      <c r="L1644" s="241"/>
      <c r="M1644" s="241"/>
      <c r="N1644" s="241"/>
      <c r="O1644" s="241"/>
      <c r="P1644" s="500"/>
      <c r="Q1644" s="498"/>
      <c r="R1644" s="501"/>
      <c r="S1644" s="103"/>
      <c r="T1644" s="502"/>
      <c r="U1644" s="103"/>
      <c r="V1644" s="103"/>
      <c r="W1644" s="77"/>
      <c r="X1644" s="77"/>
      <c r="Y1644" s="103"/>
      <c r="Z1644" s="103"/>
      <c r="AA1644" s="414"/>
      <c r="AB1644" s="410"/>
    </row>
    <row r="1645" spans="1:28" s="457" customFormat="1" ht="18" customHeight="1" x14ac:dyDescent="0.2">
      <c r="A1645" s="242"/>
      <c r="B1645" s="242"/>
      <c r="C1645" s="496"/>
      <c r="D1645" s="88"/>
      <c r="E1645" s="88"/>
      <c r="F1645" s="411"/>
      <c r="G1645" s="242"/>
      <c r="H1645" s="497"/>
      <c r="I1645" s="74"/>
      <c r="J1645" s="121"/>
      <c r="K1645" s="159"/>
      <c r="L1645" s="75"/>
      <c r="M1645" s="75"/>
      <c r="N1645" s="75"/>
      <c r="O1645" s="75"/>
      <c r="P1645" s="177"/>
      <c r="Q1645" s="196"/>
      <c r="R1645" s="408"/>
      <c r="S1645" s="77"/>
      <c r="T1645" s="145"/>
      <c r="U1645" s="77"/>
      <c r="V1645" s="74"/>
      <c r="W1645" s="74"/>
      <c r="X1645" s="74"/>
      <c r="Y1645" s="74"/>
      <c r="Z1645" s="74"/>
      <c r="AA1645" s="414"/>
      <c r="AB1645" s="466"/>
    </row>
    <row r="1646" spans="1:28" s="457" customFormat="1" ht="18" customHeight="1" x14ac:dyDescent="0.2">
      <c r="A1646" s="242"/>
      <c r="B1646" s="242"/>
      <c r="C1646" s="496"/>
      <c r="D1646" s="144"/>
      <c r="E1646" s="88"/>
      <c r="F1646" s="411"/>
      <c r="G1646" s="242"/>
      <c r="H1646" s="497"/>
      <c r="I1646" s="77"/>
      <c r="J1646" s="107"/>
      <c r="K1646" s="78"/>
      <c r="L1646" s="242"/>
      <c r="M1646" s="242"/>
      <c r="N1646" s="242"/>
      <c r="O1646" s="242"/>
      <c r="P1646" s="497"/>
      <c r="Q1646" s="496"/>
      <c r="R1646" s="503"/>
      <c r="S1646" s="504"/>
      <c r="T1646" s="505"/>
      <c r="U1646" s="504"/>
      <c r="V1646" s="504"/>
      <c r="W1646" s="77"/>
      <c r="X1646" s="77"/>
      <c r="Y1646" s="77"/>
      <c r="Z1646" s="77"/>
      <c r="AA1646" s="409"/>
      <c r="AB1646" s="506"/>
    </row>
    <row r="1647" spans="1:28" s="457" customFormat="1" ht="18" customHeight="1" x14ac:dyDescent="0.2">
      <c r="A1647" s="242"/>
      <c r="B1647" s="242"/>
      <c r="C1647" s="496"/>
      <c r="D1647" s="88"/>
      <c r="E1647" s="231"/>
      <c r="F1647" s="411"/>
      <c r="G1647" s="242"/>
      <c r="H1647" s="497"/>
      <c r="I1647" s="77"/>
      <c r="J1647" s="107"/>
      <c r="K1647" s="78"/>
      <c r="L1647" s="242"/>
      <c r="M1647" s="242"/>
      <c r="N1647" s="242"/>
      <c r="O1647" s="242"/>
      <c r="P1647" s="497"/>
      <c r="Q1647" s="496"/>
      <c r="R1647" s="503"/>
      <c r="S1647" s="504"/>
      <c r="T1647" s="505"/>
      <c r="U1647" s="504"/>
      <c r="V1647" s="504"/>
      <c r="W1647" s="77"/>
      <c r="X1647" s="77"/>
      <c r="Y1647" s="77"/>
      <c r="Z1647" s="77"/>
      <c r="AA1647" s="409"/>
      <c r="AB1647" s="506"/>
    </row>
    <row r="1648" spans="1:28" s="457" customFormat="1" ht="18" customHeight="1" x14ac:dyDescent="0.2">
      <c r="A1648" s="242"/>
      <c r="B1648" s="242"/>
      <c r="C1648" s="496"/>
      <c r="D1648" s="231"/>
      <c r="E1648" s="144"/>
      <c r="F1648" s="411"/>
      <c r="G1648" s="242"/>
      <c r="H1648" s="497"/>
      <c r="I1648" s="77"/>
      <c r="J1648" s="107"/>
      <c r="K1648" s="78"/>
      <c r="L1648" s="242"/>
      <c r="M1648" s="242"/>
      <c r="N1648" s="242"/>
      <c r="O1648" s="242"/>
      <c r="P1648" s="497"/>
      <c r="Q1648" s="496"/>
      <c r="R1648" s="503"/>
      <c r="S1648" s="504"/>
      <c r="T1648" s="505"/>
      <c r="U1648" s="504"/>
      <c r="V1648" s="504"/>
      <c r="W1648" s="77"/>
      <c r="X1648" s="77"/>
      <c r="Y1648" s="77"/>
      <c r="Z1648" s="77"/>
      <c r="AA1648" s="409"/>
      <c r="AB1648" s="506"/>
    </row>
    <row r="1649" spans="1:28" s="457" customFormat="1" ht="18" customHeight="1" x14ac:dyDescent="0.2">
      <c r="A1649" s="242"/>
      <c r="B1649" s="242"/>
      <c r="C1649" s="496"/>
      <c r="D1649" s="144"/>
      <c r="E1649" s="144"/>
      <c r="F1649" s="411"/>
      <c r="G1649" s="242"/>
      <c r="H1649" s="497"/>
      <c r="I1649" s="77"/>
      <c r="J1649" s="107"/>
      <c r="K1649" s="78"/>
      <c r="L1649" s="242"/>
      <c r="M1649" s="242"/>
      <c r="N1649" s="242"/>
      <c r="O1649" s="242"/>
      <c r="P1649" s="497"/>
      <c r="Q1649" s="496"/>
      <c r="R1649" s="503"/>
      <c r="S1649" s="504"/>
      <c r="T1649" s="505"/>
      <c r="U1649" s="504"/>
      <c r="V1649" s="504"/>
      <c r="W1649" s="77"/>
      <c r="X1649" s="77"/>
      <c r="Y1649" s="77"/>
      <c r="Z1649" s="77"/>
      <c r="AA1649" s="409"/>
      <c r="AB1649" s="506"/>
    </row>
    <row r="1650" spans="1:28" s="457" customFormat="1" ht="18" customHeight="1" x14ac:dyDescent="0.2">
      <c r="A1650" s="242"/>
      <c r="B1650" s="242"/>
      <c r="C1650" s="496"/>
      <c r="D1650" s="88"/>
      <c r="E1650" s="144"/>
      <c r="F1650" s="411"/>
      <c r="G1650" s="242"/>
      <c r="H1650" s="497"/>
      <c r="I1650" s="77"/>
      <c r="J1650" s="107"/>
      <c r="K1650" s="78"/>
      <c r="L1650" s="242"/>
      <c r="M1650" s="242"/>
      <c r="N1650" s="242"/>
      <c r="O1650" s="242"/>
      <c r="P1650" s="497"/>
      <c r="Q1650" s="496"/>
      <c r="R1650" s="503"/>
      <c r="S1650" s="504"/>
      <c r="T1650" s="505"/>
      <c r="U1650" s="504"/>
      <c r="V1650" s="504"/>
      <c r="W1650" s="77"/>
      <c r="X1650" s="77"/>
      <c r="Y1650" s="77"/>
      <c r="Z1650" s="77"/>
      <c r="AA1650" s="409"/>
      <c r="AB1650" s="506"/>
    </row>
    <row r="1651" spans="1:28" s="457" customFormat="1" ht="18" customHeight="1" x14ac:dyDescent="0.2">
      <c r="A1651" s="242"/>
      <c r="B1651" s="242"/>
      <c r="C1651" s="496"/>
      <c r="D1651" s="231"/>
      <c r="E1651" s="88"/>
      <c r="F1651" s="411"/>
      <c r="G1651" s="242"/>
      <c r="H1651" s="497"/>
      <c r="I1651" s="77"/>
      <c r="J1651" s="107"/>
      <c r="K1651" s="78"/>
      <c r="L1651" s="242"/>
      <c r="M1651" s="242"/>
      <c r="N1651" s="242"/>
      <c r="O1651" s="242"/>
      <c r="P1651" s="497"/>
      <c r="Q1651" s="496"/>
      <c r="R1651" s="503"/>
      <c r="S1651" s="504"/>
      <c r="T1651" s="505"/>
      <c r="U1651" s="504"/>
      <c r="V1651" s="504"/>
      <c r="W1651" s="77"/>
      <c r="X1651" s="77"/>
      <c r="Y1651" s="77"/>
      <c r="Z1651" s="77"/>
      <c r="AA1651" s="409"/>
      <c r="AB1651" s="506"/>
    </row>
    <row r="1652" spans="1:28" s="457" customFormat="1" ht="18" customHeight="1" x14ac:dyDescent="0.2">
      <c r="A1652" s="242"/>
      <c r="B1652" s="242"/>
      <c r="C1652" s="496"/>
      <c r="D1652" s="496"/>
      <c r="E1652" s="88"/>
      <c r="F1652" s="411"/>
      <c r="G1652" s="242"/>
      <c r="H1652" s="497"/>
      <c r="I1652" s="77"/>
      <c r="J1652" s="107"/>
      <c r="K1652" s="78"/>
      <c r="L1652" s="242"/>
      <c r="M1652" s="242"/>
      <c r="N1652" s="242"/>
      <c r="O1652" s="242"/>
      <c r="P1652" s="497"/>
      <c r="Q1652" s="496"/>
      <c r="R1652" s="503"/>
      <c r="S1652" s="504"/>
      <c r="T1652" s="505"/>
      <c r="U1652" s="504"/>
      <c r="V1652" s="504"/>
      <c r="W1652" s="77"/>
      <c r="X1652" s="77"/>
      <c r="Y1652" s="77"/>
      <c r="Z1652" s="77"/>
      <c r="AA1652" s="409"/>
      <c r="AB1652" s="506"/>
    </row>
    <row r="1653" spans="1:28" s="457" customFormat="1" ht="18" customHeight="1" x14ac:dyDescent="0.2">
      <c r="A1653" s="145"/>
      <c r="B1653" s="177"/>
      <c r="C1653" s="177"/>
      <c r="D1653" s="145"/>
      <c r="E1653" s="145"/>
      <c r="F1653" s="145"/>
      <c r="G1653" s="145"/>
      <c r="H1653" s="147"/>
      <c r="I1653" s="107"/>
      <c r="J1653" s="178"/>
      <c r="K1653" s="107"/>
      <c r="L1653" s="145"/>
      <c r="M1653" s="145"/>
      <c r="N1653" s="145"/>
      <c r="O1653" s="145"/>
      <c r="P1653" s="147"/>
      <c r="Q1653" s="148"/>
      <c r="R1653" s="437"/>
      <c r="S1653" s="107"/>
      <c r="T1653" s="179"/>
      <c r="U1653" s="178"/>
      <c r="V1653" s="107"/>
      <c r="W1653" s="107"/>
      <c r="X1653" s="470"/>
      <c r="Y1653" s="470"/>
      <c r="Z1653" s="471"/>
      <c r="AA1653" s="471"/>
      <c r="AB1653" s="466"/>
    </row>
    <row r="1654" spans="1:28" s="457" customFormat="1" ht="18" customHeight="1" x14ac:dyDescent="0.2">
      <c r="A1654" s="145"/>
      <c r="B1654" s="177"/>
      <c r="C1654" s="177"/>
      <c r="D1654" s="145"/>
      <c r="E1654" s="145"/>
      <c r="F1654" s="145"/>
      <c r="G1654" s="145"/>
      <c r="H1654" s="147"/>
      <c r="I1654" s="107"/>
      <c r="J1654" s="178"/>
      <c r="K1654" s="107"/>
      <c r="L1654" s="145"/>
      <c r="M1654" s="145"/>
      <c r="N1654" s="145"/>
      <c r="O1654" s="145"/>
      <c r="P1654" s="147"/>
      <c r="Q1654" s="148"/>
      <c r="R1654" s="437"/>
      <c r="S1654" s="107"/>
      <c r="T1654" s="179"/>
      <c r="U1654" s="178"/>
      <c r="V1654" s="107"/>
      <c r="W1654" s="107"/>
      <c r="X1654" s="470"/>
      <c r="Y1654" s="470"/>
      <c r="Z1654" s="471"/>
      <c r="AA1654" s="471"/>
      <c r="AB1654" s="466"/>
    </row>
    <row r="1655" spans="1:28" s="457" customFormat="1" ht="18" customHeight="1" x14ac:dyDescent="0.2">
      <c r="A1655" s="88"/>
      <c r="B1655" s="180"/>
      <c r="C1655" s="180"/>
      <c r="D1655" s="88"/>
      <c r="E1655" s="88"/>
      <c r="F1655" s="88"/>
      <c r="G1655" s="88"/>
      <c r="H1655" s="120"/>
      <c r="I1655" s="121"/>
      <c r="J1655" s="181"/>
      <c r="K1655" s="121"/>
      <c r="L1655" s="88"/>
      <c r="M1655" s="88"/>
      <c r="N1655" s="88"/>
      <c r="O1655" s="88"/>
      <c r="P1655" s="88"/>
      <c r="Q1655" s="129"/>
      <c r="R1655" s="445"/>
      <c r="S1655" s="121"/>
      <c r="T1655" s="182"/>
      <c r="U1655" s="181"/>
      <c r="V1655" s="121"/>
      <c r="W1655" s="121"/>
      <c r="X1655" s="472"/>
      <c r="Y1655" s="472"/>
      <c r="Z1655" s="473"/>
      <c r="AA1655" s="473"/>
      <c r="AB1655" s="410"/>
    </row>
    <row r="1656" spans="1:28" s="597" customFormat="1" ht="18" customHeight="1" x14ac:dyDescent="0.2">
      <c r="A1656" s="1850"/>
      <c r="B1656" s="1850"/>
      <c r="C1656" s="1850"/>
      <c r="D1656" s="1850"/>
      <c r="E1656" s="1850"/>
      <c r="F1656" s="1850"/>
      <c r="G1656" s="1850"/>
      <c r="H1656" s="1851"/>
      <c r="I1656" s="1852"/>
      <c r="J1656" s="1853"/>
      <c r="K1656" s="1852"/>
      <c r="L1656" s="1852"/>
      <c r="M1656" s="1852"/>
      <c r="N1656" s="1852"/>
      <c r="O1656" s="1852"/>
      <c r="P1656" s="1852"/>
      <c r="Q1656" s="1852"/>
      <c r="R1656" s="1854"/>
      <c r="S1656" s="1852"/>
      <c r="T1656" s="1855"/>
      <c r="U1656" s="1853"/>
      <c r="V1656" s="1852"/>
      <c r="W1656" s="1852"/>
      <c r="X1656" s="1856"/>
      <c r="Y1656" s="1856"/>
      <c r="Z1656" s="1857"/>
      <c r="AA1656" s="1857"/>
      <c r="AB1656" s="1847">
        <f>SUM(AB1641:AB1655)</f>
        <v>878.4</v>
      </c>
    </row>
    <row r="1657" spans="1:28" s="457" customFormat="1" ht="18" customHeight="1" x14ac:dyDescent="0.2">
      <c r="A1657" s="2737" t="s">
        <v>76</v>
      </c>
      <c r="B1657" s="2737"/>
      <c r="C1657" s="2738" t="s">
        <v>77</v>
      </c>
      <c r="D1657" s="2738"/>
      <c r="E1657" s="2738"/>
      <c r="F1657" s="2738"/>
      <c r="G1657" s="2738"/>
      <c r="H1657" s="2738"/>
      <c r="I1657" s="457" t="s">
        <v>78</v>
      </c>
      <c r="V1657" s="457" t="s">
        <v>256</v>
      </c>
      <c r="AB1657" s="478"/>
    </row>
    <row r="1658" spans="1:28" s="457" customFormat="1" ht="18" customHeight="1" x14ac:dyDescent="0.2">
      <c r="B1658" s="479"/>
      <c r="I1658" s="457" t="s">
        <v>79</v>
      </c>
      <c r="AB1658" s="478"/>
    </row>
    <row r="1659" spans="1:28" s="457" customFormat="1" ht="18" customHeight="1" x14ac:dyDescent="0.2">
      <c r="B1659" s="479"/>
      <c r="I1659" s="457" t="s">
        <v>80</v>
      </c>
      <c r="AB1659" s="478"/>
    </row>
    <row r="1660" spans="1:28" s="457" customFormat="1" ht="18" customHeight="1" x14ac:dyDescent="0.2">
      <c r="B1660" s="479"/>
      <c r="I1660" s="457" t="s">
        <v>81</v>
      </c>
      <c r="AB1660" s="478"/>
    </row>
    <row r="1661" spans="1:28" s="457" customFormat="1" ht="18" customHeight="1" x14ac:dyDescent="0.2">
      <c r="B1661" s="479"/>
      <c r="I1661" s="457" t="s">
        <v>88</v>
      </c>
      <c r="AB1661" s="478"/>
    </row>
    <row r="1662" spans="1:28" s="457" customFormat="1" ht="18" customHeight="1" x14ac:dyDescent="0.2">
      <c r="A1662" s="455"/>
      <c r="B1662" s="455"/>
      <c r="C1662" s="455"/>
      <c r="D1662" s="455"/>
      <c r="E1662" s="455"/>
      <c r="F1662" s="455"/>
      <c r="G1662" s="455"/>
      <c r="H1662" s="455"/>
      <c r="I1662" s="455"/>
      <c r="J1662" s="455"/>
      <c r="K1662" s="455"/>
      <c r="L1662" s="455"/>
      <c r="M1662" s="455"/>
      <c r="N1662" s="455"/>
      <c r="O1662" s="455"/>
      <c r="P1662" s="455"/>
      <c r="Q1662" s="455"/>
      <c r="R1662" s="455"/>
      <c r="S1662" s="455"/>
      <c r="T1662" s="455"/>
      <c r="U1662" s="455"/>
      <c r="V1662" s="455"/>
      <c r="W1662" s="455"/>
      <c r="X1662" s="455"/>
      <c r="Y1662" s="455"/>
      <c r="Z1662" s="455"/>
      <c r="AA1662" s="2705" t="s">
        <v>0</v>
      </c>
      <c r="AB1662" s="2705"/>
    </row>
    <row r="1663" spans="1:28" s="457" customFormat="1" ht="18" customHeight="1" x14ac:dyDescent="0.2">
      <c r="A1663" s="2706" t="s">
        <v>1</v>
      </c>
      <c r="B1663" s="2706"/>
      <c r="C1663" s="2706"/>
      <c r="D1663" s="2706"/>
      <c r="E1663" s="2706"/>
      <c r="F1663" s="2706"/>
      <c r="G1663" s="2706"/>
      <c r="H1663" s="2706"/>
      <c r="I1663" s="2706"/>
      <c r="J1663" s="2706"/>
      <c r="K1663" s="2706"/>
      <c r="L1663" s="2706"/>
      <c r="M1663" s="2706"/>
      <c r="N1663" s="2706"/>
      <c r="O1663" s="2706"/>
      <c r="P1663" s="2706"/>
      <c r="Q1663" s="2706"/>
      <c r="R1663" s="2706"/>
      <c r="S1663" s="2706"/>
      <c r="T1663" s="2706"/>
      <c r="U1663" s="2706"/>
      <c r="V1663" s="2706"/>
      <c r="W1663" s="2706"/>
      <c r="X1663" s="2706"/>
      <c r="Y1663" s="2706"/>
      <c r="Z1663" s="2706"/>
      <c r="AA1663" s="2706"/>
      <c r="AB1663" s="2706"/>
    </row>
    <row r="1664" spans="1:28" s="457" customFormat="1" ht="18" customHeight="1" x14ac:dyDescent="0.2">
      <c r="A1664" s="2704" t="s">
        <v>423</v>
      </c>
      <c r="B1664" s="2704"/>
      <c r="C1664" s="2704"/>
      <c r="D1664" s="2704"/>
      <c r="E1664" s="2704"/>
      <c r="F1664" s="2704"/>
      <c r="G1664" s="2704"/>
      <c r="H1664" s="2704"/>
      <c r="I1664" s="2704"/>
      <c r="J1664" s="2704"/>
      <c r="K1664" s="2704"/>
      <c r="L1664" s="2704"/>
      <c r="M1664" s="2704"/>
      <c r="N1664" s="2704"/>
      <c r="O1664" s="2704"/>
      <c r="P1664" s="2704"/>
      <c r="Q1664" s="2704"/>
      <c r="R1664" s="2704"/>
      <c r="S1664" s="2704"/>
      <c r="T1664" s="2704"/>
      <c r="U1664" s="2704"/>
      <c r="V1664" s="2704"/>
      <c r="W1664" s="2704"/>
      <c r="X1664" s="2704"/>
      <c r="Y1664" s="2704"/>
      <c r="Z1664" s="2704"/>
      <c r="AA1664" s="2704"/>
      <c r="AB1664" s="2704"/>
    </row>
    <row r="1665" spans="1:32" s="457" customFormat="1" ht="18" customHeight="1" x14ac:dyDescent="0.2">
      <c r="A1665" s="2686" t="s">
        <v>2</v>
      </c>
      <c r="B1665" s="360"/>
      <c r="C1665" s="2686" t="s">
        <v>3</v>
      </c>
      <c r="D1665" s="360"/>
      <c r="E1665" s="360"/>
      <c r="F1665" s="2693" t="s">
        <v>4</v>
      </c>
      <c r="G1665" s="2693"/>
      <c r="H1665" s="2693"/>
      <c r="I1665" s="2694"/>
      <c r="J1665" s="2694"/>
      <c r="K1665" s="2695"/>
      <c r="L1665" s="361"/>
      <c r="M1665" s="2679" t="s">
        <v>5</v>
      </c>
      <c r="N1665" s="2679"/>
      <c r="O1665" s="2679"/>
      <c r="P1665" s="2679"/>
      <c r="Q1665" s="2696"/>
      <c r="R1665" s="2696"/>
      <c r="S1665" s="2696"/>
      <c r="T1665" s="2696"/>
      <c r="U1665" s="2696"/>
      <c r="V1665" s="2697"/>
      <c r="W1665" s="362" t="s">
        <v>6</v>
      </c>
      <c r="X1665" s="363" t="s">
        <v>7</v>
      </c>
      <c r="Y1665" s="364"/>
      <c r="Z1665" s="364"/>
      <c r="AA1665" s="363"/>
      <c r="AB1665" s="458"/>
    </row>
    <row r="1666" spans="1:32" s="457" customFormat="1" ht="18" customHeight="1" x14ac:dyDescent="0.2">
      <c r="A1666" s="2687"/>
      <c r="B1666" s="367"/>
      <c r="C1666" s="2687"/>
      <c r="D1666" s="366" t="s">
        <v>9</v>
      </c>
      <c r="E1666" s="366" t="s">
        <v>10</v>
      </c>
      <c r="F1666" s="2698" t="s">
        <v>11</v>
      </c>
      <c r="G1666" s="2694"/>
      <c r="H1666" s="2695"/>
      <c r="I1666" s="360"/>
      <c r="J1666" s="449" t="s">
        <v>12</v>
      </c>
      <c r="K1666" s="360"/>
      <c r="L1666" s="2679" t="s">
        <v>2</v>
      </c>
      <c r="M1666" s="370"/>
      <c r="N1666" s="370"/>
      <c r="O1666" s="370"/>
      <c r="P1666" s="371"/>
      <c r="Q1666" s="459" t="s">
        <v>13</v>
      </c>
      <c r="R1666" s="370" t="s">
        <v>12</v>
      </c>
      <c r="S1666" s="370" t="s">
        <v>6</v>
      </c>
      <c r="T1666" s="2682" t="s">
        <v>14</v>
      </c>
      <c r="U1666" s="2683"/>
      <c r="V1666" s="375" t="s">
        <v>7</v>
      </c>
      <c r="W1666" s="376" t="s">
        <v>15</v>
      </c>
      <c r="X1666" s="377" t="s">
        <v>16</v>
      </c>
      <c r="Y1666" s="377" t="s">
        <v>17</v>
      </c>
      <c r="Z1666" s="377" t="s">
        <v>18</v>
      </c>
      <c r="AA1666" s="377"/>
      <c r="AB1666" s="460" t="s">
        <v>19</v>
      </c>
    </row>
    <row r="1667" spans="1:32" s="457" customFormat="1" ht="18" customHeight="1" x14ac:dyDescent="0.2">
      <c r="A1667" s="2687"/>
      <c r="B1667" s="366" t="s">
        <v>23</v>
      </c>
      <c r="C1667" s="2687"/>
      <c r="D1667" s="366" t="s">
        <v>24</v>
      </c>
      <c r="E1667" s="366" t="s">
        <v>25</v>
      </c>
      <c r="F1667" s="2699"/>
      <c r="G1667" s="2700"/>
      <c r="H1667" s="2701"/>
      <c r="I1667" s="366" t="s">
        <v>26</v>
      </c>
      <c r="J1667" s="380" t="s">
        <v>15</v>
      </c>
      <c r="K1667" s="380" t="s">
        <v>6</v>
      </c>
      <c r="L1667" s="2680"/>
      <c r="M1667" s="381" t="s">
        <v>27</v>
      </c>
      <c r="N1667" s="381" t="s">
        <v>10</v>
      </c>
      <c r="O1667" s="381" t="s">
        <v>10</v>
      </c>
      <c r="P1667" s="385" t="s">
        <v>28</v>
      </c>
      <c r="Q1667" s="461" t="s">
        <v>29</v>
      </c>
      <c r="R1667" s="385" t="s">
        <v>15</v>
      </c>
      <c r="S1667" s="385" t="s">
        <v>15</v>
      </c>
      <c r="T1667" s="2684"/>
      <c r="U1667" s="2685"/>
      <c r="V1667" s="375" t="s">
        <v>30</v>
      </c>
      <c r="W1667" s="376" t="s">
        <v>31</v>
      </c>
      <c r="X1667" s="377" t="s">
        <v>30</v>
      </c>
      <c r="Y1667" s="377" t="s">
        <v>32</v>
      </c>
      <c r="Z1667" s="377" t="s">
        <v>7</v>
      </c>
      <c r="AA1667" s="377" t="s">
        <v>33</v>
      </c>
      <c r="AB1667" s="460" t="s">
        <v>34</v>
      </c>
    </row>
    <row r="1668" spans="1:32" s="457" customFormat="1" ht="18" customHeight="1" x14ac:dyDescent="0.2">
      <c r="A1668" s="2687"/>
      <c r="B1668" s="366" t="s">
        <v>39</v>
      </c>
      <c r="C1668" s="2687"/>
      <c r="D1668" s="366" t="s">
        <v>40</v>
      </c>
      <c r="E1668" s="366" t="s">
        <v>41</v>
      </c>
      <c r="F1668" s="2686" t="s">
        <v>42</v>
      </c>
      <c r="G1668" s="2686" t="s">
        <v>43</v>
      </c>
      <c r="H1668" s="2688" t="s">
        <v>44</v>
      </c>
      <c r="I1668" s="366" t="s">
        <v>45</v>
      </c>
      <c r="J1668" s="380" t="s">
        <v>46</v>
      </c>
      <c r="K1668" s="380" t="s">
        <v>47</v>
      </c>
      <c r="L1668" s="2680"/>
      <c r="M1668" s="381" t="s">
        <v>30</v>
      </c>
      <c r="N1668" s="381" t="s">
        <v>30</v>
      </c>
      <c r="O1668" s="381" t="s">
        <v>25</v>
      </c>
      <c r="P1668" s="385" t="s">
        <v>30</v>
      </c>
      <c r="Q1668" s="461" t="s">
        <v>48</v>
      </c>
      <c r="R1668" s="385" t="s">
        <v>49</v>
      </c>
      <c r="S1668" s="385" t="s">
        <v>30</v>
      </c>
      <c r="T1668" s="374" t="s">
        <v>50</v>
      </c>
      <c r="U1668" s="374" t="s">
        <v>13</v>
      </c>
      <c r="V1668" s="375" t="s">
        <v>51</v>
      </c>
      <c r="W1668" s="376" t="s">
        <v>52</v>
      </c>
      <c r="X1668" s="377" t="s">
        <v>53</v>
      </c>
      <c r="Y1668" s="377" t="s">
        <v>54</v>
      </c>
      <c r="Z1668" s="377" t="s">
        <v>55</v>
      </c>
      <c r="AA1668" s="377" t="s">
        <v>56</v>
      </c>
      <c r="AB1668" s="460" t="s">
        <v>57</v>
      </c>
    </row>
    <row r="1669" spans="1:32" s="457" customFormat="1" ht="18" customHeight="1" x14ac:dyDescent="0.2">
      <c r="A1669" s="2687"/>
      <c r="B1669" s="366" t="s">
        <v>61</v>
      </c>
      <c r="C1669" s="2687"/>
      <c r="D1669" s="366" t="s">
        <v>62</v>
      </c>
      <c r="E1669" s="366" t="s">
        <v>63</v>
      </c>
      <c r="F1669" s="2687"/>
      <c r="G1669" s="2687"/>
      <c r="H1669" s="2689"/>
      <c r="I1669" s="366" t="s">
        <v>64</v>
      </c>
      <c r="J1669" s="380" t="s">
        <v>59</v>
      </c>
      <c r="K1669" s="380" t="s">
        <v>59</v>
      </c>
      <c r="L1669" s="2680"/>
      <c r="M1669" s="381"/>
      <c r="N1669" s="381"/>
      <c r="O1669" s="381" t="s">
        <v>41</v>
      </c>
      <c r="P1669" s="385" t="s">
        <v>65</v>
      </c>
      <c r="Q1669" s="461" t="s">
        <v>66</v>
      </c>
      <c r="R1669" s="385" t="s">
        <v>67</v>
      </c>
      <c r="S1669" s="385" t="s">
        <v>59</v>
      </c>
      <c r="T1669" s="375" t="s">
        <v>68</v>
      </c>
      <c r="U1669" s="375" t="s">
        <v>14</v>
      </c>
      <c r="V1669" s="375" t="s">
        <v>14</v>
      </c>
      <c r="W1669" s="376" t="s">
        <v>30</v>
      </c>
      <c r="X1669" s="388" t="s">
        <v>69</v>
      </c>
      <c r="Y1669" s="388" t="s">
        <v>70</v>
      </c>
      <c r="Z1669" s="377" t="s">
        <v>71</v>
      </c>
      <c r="AA1669" s="377" t="s">
        <v>72</v>
      </c>
      <c r="AB1669" s="460" t="s">
        <v>59</v>
      </c>
    </row>
    <row r="1670" spans="1:32" s="457" customFormat="1" ht="18" customHeight="1" x14ac:dyDescent="0.2">
      <c r="A1670" s="2692"/>
      <c r="B1670" s="390"/>
      <c r="C1670" s="2692"/>
      <c r="D1670" s="390"/>
      <c r="E1670" s="389"/>
      <c r="F1670" s="390"/>
      <c r="G1670" s="390"/>
      <c r="H1670" s="391"/>
      <c r="I1670" s="389"/>
      <c r="J1670" s="393"/>
      <c r="K1670" s="393"/>
      <c r="L1670" s="2681"/>
      <c r="M1670" s="394"/>
      <c r="N1670" s="394"/>
      <c r="O1670" s="394" t="s">
        <v>63</v>
      </c>
      <c r="P1670" s="394"/>
      <c r="Q1670" s="450" t="s">
        <v>72</v>
      </c>
      <c r="R1670" s="398" t="s">
        <v>59</v>
      </c>
      <c r="S1670" s="398"/>
      <c r="T1670" s="398" t="s">
        <v>73</v>
      </c>
      <c r="U1670" s="398" t="s">
        <v>59</v>
      </c>
      <c r="V1670" s="399" t="s">
        <v>59</v>
      </c>
      <c r="W1670" s="400" t="s">
        <v>59</v>
      </c>
      <c r="X1670" s="401" t="s">
        <v>59</v>
      </c>
      <c r="Y1670" s="401" t="s">
        <v>59</v>
      </c>
      <c r="Z1670" s="401" t="s">
        <v>59</v>
      </c>
      <c r="AA1670" s="402"/>
      <c r="AB1670" s="462"/>
    </row>
    <row r="1671" spans="1:32" s="457" customFormat="1" ht="18" customHeight="1" x14ac:dyDescent="0.2">
      <c r="A1671" s="53">
        <v>1</v>
      </c>
      <c r="B1671" s="242">
        <v>63337</v>
      </c>
      <c r="C1671" s="82">
        <v>1841</v>
      </c>
      <c r="D1671" s="82" t="s">
        <v>86</v>
      </c>
      <c r="E1671" s="82">
        <v>4</v>
      </c>
      <c r="F1671" s="82">
        <v>0</v>
      </c>
      <c r="G1671" s="82">
        <v>1</v>
      </c>
      <c r="H1671" s="463">
        <v>50</v>
      </c>
      <c r="I1671" s="70">
        <v>150</v>
      </c>
      <c r="J1671" s="123">
        <v>280</v>
      </c>
      <c r="K1671" s="123">
        <f>J1671*I1671</f>
        <v>42000</v>
      </c>
      <c r="L1671" s="53"/>
      <c r="M1671" s="82"/>
      <c r="N1671" s="82"/>
      <c r="O1671" s="53"/>
      <c r="P1671" s="358"/>
      <c r="Q1671" s="197"/>
      <c r="R1671" s="444"/>
      <c r="S1671" s="70"/>
      <c r="T1671" s="82"/>
      <c r="U1671" s="70"/>
      <c r="V1671" s="70"/>
      <c r="W1671" s="70">
        <f>K1671+V1671</f>
        <v>42000</v>
      </c>
      <c r="X1671" s="70">
        <f>W1671</f>
        <v>42000</v>
      </c>
      <c r="Y1671" s="123"/>
      <c r="Z1671" s="70">
        <f>+X1671</f>
        <v>42000</v>
      </c>
      <c r="AA1671" s="464">
        <v>0.3</v>
      </c>
      <c r="AB1671" s="465">
        <f>+Z1671*AA1671/100</f>
        <v>126</v>
      </c>
      <c r="AC1671" s="850"/>
      <c r="AD1671" s="850"/>
      <c r="AE1671" s="850"/>
      <c r="AF1671" s="850"/>
    </row>
    <row r="1672" spans="1:32" s="457" customFormat="1" ht="18" customHeight="1" x14ac:dyDescent="0.2">
      <c r="A1672" s="242">
        <v>2</v>
      </c>
      <c r="B1672" s="242">
        <v>63338</v>
      </c>
      <c r="C1672" s="496" t="s">
        <v>296</v>
      </c>
      <c r="D1672" s="145"/>
      <c r="E1672" s="145"/>
      <c r="F1672" s="145">
        <v>0</v>
      </c>
      <c r="G1672" s="145"/>
      <c r="H1672" s="407">
        <v>89</v>
      </c>
      <c r="I1672" s="77">
        <v>89</v>
      </c>
      <c r="J1672" s="107">
        <v>280</v>
      </c>
      <c r="K1672" s="121">
        <f>J1672*I1672</f>
        <v>24920</v>
      </c>
      <c r="L1672" s="61"/>
      <c r="M1672" s="145"/>
      <c r="N1672" s="145"/>
      <c r="O1672" s="61"/>
      <c r="P1672" s="177"/>
      <c r="Q1672" s="196"/>
      <c r="R1672" s="408"/>
      <c r="S1672" s="77"/>
      <c r="T1672" s="145"/>
      <c r="U1672" s="77"/>
      <c r="V1672" s="77"/>
      <c r="W1672" s="74">
        <f>K1672+V1672</f>
        <v>24920</v>
      </c>
      <c r="X1672" s="74">
        <f>W1672</f>
        <v>24920</v>
      </c>
      <c r="Y1672" s="121"/>
      <c r="Z1672" s="74">
        <f>+X1672</f>
        <v>24920</v>
      </c>
      <c r="AA1672" s="414">
        <v>0.3</v>
      </c>
      <c r="AB1672" s="410">
        <f>+Z1672*AA1672/100</f>
        <v>74.760000000000005</v>
      </c>
      <c r="AC1672" s="851"/>
      <c r="AD1672" s="851"/>
      <c r="AE1672" s="851"/>
      <c r="AF1672" s="851"/>
    </row>
    <row r="1673" spans="1:32" s="457" customFormat="1" ht="18" customHeight="1" x14ac:dyDescent="0.2">
      <c r="A1673" s="242"/>
      <c r="B1673" s="242"/>
      <c r="C1673" s="496"/>
      <c r="D1673" s="88"/>
      <c r="E1673" s="88"/>
      <c r="F1673" s="411"/>
      <c r="G1673" s="242"/>
      <c r="H1673" s="497"/>
      <c r="I1673" s="77"/>
      <c r="J1673" s="107"/>
      <c r="K1673" s="78"/>
      <c r="L1673" s="75"/>
      <c r="M1673" s="88"/>
      <c r="N1673" s="88"/>
      <c r="O1673" s="75"/>
      <c r="P1673" s="180"/>
      <c r="Q1673" s="174"/>
      <c r="R1673" s="413"/>
      <c r="S1673" s="74"/>
      <c r="T1673" s="88"/>
      <c r="U1673" s="121"/>
      <c r="V1673" s="74"/>
      <c r="W1673" s="77"/>
      <c r="X1673" s="77"/>
      <c r="Y1673" s="74"/>
      <c r="Z1673" s="74"/>
      <c r="AA1673" s="414"/>
      <c r="AB1673" s="466"/>
    </row>
    <row r="1674" spans="1:32" s="457" customFormat="1" ht="18" customHeight="1" x14ac:dyDescent="0.2">
      <c r="A1674" s="241"/>
      <c r="B1674" s="241"/>
      <c r="C1674" s="498"/>
      <c r="D1674" s="145"/>
      <c r="E1674" s="145"/>
      <c r="F1674" s="499"/>
      <c r="G1674" s="241"/>
      <c r="H1674" s="500"/>
      <c r="I1674" s="77"/>
      <c r="J1674" s="107"/>
      <c r="K1674" s="78"/>
      <c r="L1674" s="241"/>
      <c r="M1674" s="241"/>
      <c r="N1674" s="241"/>
      <c r="O1674" s="241"/>
      <c r="P1674" s="500"/>
      <c r="Q1674" s="498"/>
      <c r="R1674" s="501"/>
      <c r="S1674" s="103"/>
      <c r="T1674" s="502"/>
      <c r="U1674" s="103"/>
      <c r="V1674" s="103"/>
      <c r="W1674" s="77"/>
      <c r="X1674" s="77"/>
      <c r="Y1674" s="103"/>
      <c r="Z1674" s="103"/>
      <c r="AA1674" s="414"/>
      <c r="AB1674" s="410"/>
    </row>
    <row r="1675" spans="1:32" s="457" customFormat="1" ht="18" customHeight="1" x14ac:dyDescent="0.2">
      <c r="A1675" s="242"/>
      <c r="B1675" s="242"/>
      <c r="C1675" s="496"/>
      <c r="D1675" s="88"/>
      <c r="E1675" s="88"/>
      <c r="F1675" s="411"/>
      <c r="G1675" s="242"/>
      <c r="H1675" s="497"/>
      <c r="I1675" s="74"/>
      <c r="J1675" s="121"/>
      <c r="K1675" s="159"/>
      <c r="L1675" s="75"/>
      <c r="M1675" s="75"/>
      <c r="N1675" s="75"/>
      <c r="O1675" s="75"/>
      <c r="P1675" s="177"/>
      <c r="Q1675" s="196"/>
      <c r="R1675" s="408"/>
      <c r="S1675" s="77"/>
      <c r="T1675" s="145"/>
      <c r="U1675" s="77"/>
      <c r="V1675" s="74"/>
      <c r="W1675" s="74"/>
      <c r="X1675" s="74"/>
      <c r="Y1675" s="74"/>
      <c r="Z1675" s="74"/>
      <c r="AA1675" s="414"/>
      <c r="AB1675" s="466"/>
    </row>
    <row r="1676" spans="1:32" s="457" customFormat="1" ht="18" customHeight="1" x14ac:dyDescent="0.2">
      <c r="A1676" s="242"/>
      <c r="B1676" s="242"/>
      <c r="C1676" s="496"/>
      <c r="D1676" s="144"/>
      <c r="E1676" s="88"/>
      <c r="F1676" s="411"/>
      <c r="G1676" s="242"/>
      <c r="H1676" s="497"/>
      <c r="I1676" s="77"/>
      <c r="J1676" s="107"/>
      <c r="K1676" s="78"/>
      <c r="L1676" s="242"/>
      <c r="M1676" s="242"/>
      <c r="N1676" s="242"/>
      <c r="O1676" s="242"/>
      <c r="P1676" s="497"/>
      <c r="Q1676" s="496"/>
      <c r="R1676" s="503"/>
      <c r="S1676" s="504"/>
      <c r="T1676" s="505"/>
      <c r="U1676" s="504"/>
      <c r="V1676" s="504"/>
      <c r="W1676" s="77"/>
      <c r="X1676" s="77"/>
      <c r="Y1676" s="77"/>
      <c r="Z1676" s="77"/>
      <c r="AA1676" s="409"/>
      <c r="AB1676" s="506"/>
    </row>
    <row r="1677" spans="1:32" s="457" customFormat="1" ht="18" customHeight="1" x14ac:dyDescent="0.2">
      <c r="A1677" s="242"/>
      <c r="B1677" s="242"/>
      <c r="C1677" s="496"/>
      <c r="D1677" s="88"/>
      <c r="E1677" s="231"/>
      <c r="F1677" s="411"/>
      <c r="G1677" s="242"/>
      <c r="H1677" s="497"/>
      <c r="I1677" s="77"/>
      <c r="J1677" s="107"/>
      <c r="K1677" s="78"/>
      <c r="L1677" s="242"/>
      <c r="M1677" s="242"/>
      <c r="N1677" s="242"/>
      <c r="O1677" s="242"/>
      <c r="P1677" s="497"/>
      <c r="Q1677" s="496"/>
      <c r="R1677" s="503"/>
      <c r="S1677" s="504"/>
      <c r="T1677" s="505"/>
      <c r="U1677" s="504"/>
      <c r="V1677" s="504"/>
      <c r="W1677" s="77"/>
      <c r="X1677" s="77"/>
      <c r="Y1677" s="77"/>
      <c r="Z1677" s="77"/>
      <c r="AA1677" s="409"/>
      <c r="AB1677" s="506"/>
    </row>
    <row r="1678" spans="1:32" s="457" customFormat="1" ht="18" customHeight="1" x14ac:dyDescent="0.2">
      <c r="A1678" s="242"/>
      <c r="B1678" s="242"/>
      <c r="C1678" s="496"/>
      <c r="D1678" s="231"/>
      <c r="E1678" s="144"/>
      <c r="F1678" s="411"/>
      <c r="G1678" s="242"/>
      <c r="H1678" s="497"/>
      <c r="I1678" s="77"/>
      <c r="J1678" s="107"/>
      <c r="K1678" s="78"/>
      <c r="L1678" s="242"/>
      <c r="M1678" s="242"/>
      <c r="N1678" s="242"/>
      <c r="O1678" s="242"/>
      <c r="P1678" s="497"/>
      <c r="Q1678" s="496"/>
      <c r="R1678" s="503"/>
      <c r="S1678" s="504"/>
      <c r="T1678" s="505"/>
      <c r="U1678" s="504"/>
      <c r="V1678" s="504"/>
      <c r="W1678" s="77"/>
      <c r="X1678" s="77"/>
      <c r="Y1678" s="77"/>
      <c r="Z1678" s="77"/>
      <c r="AA1678" s="409"/>
      <c r="AB1678" s="506"/>
    </row>
    <row r="1679" spans="1:32" s="457" customFormat="1" ht="18" customHeight="1" x14ac:dyDescent="0.2">
      <c r="A1679" s="242"/>
      <c r="B1679" s="242"/>
      <c r="C1679" s="496"/>
      <c r="D1679" s="144"/>
      <c r="E1679" s="144"/>
      <c r="F1679" s="411"/>
      <c r="G1679" s="242"/>
      <c r="H1679" s="497"/>
      <c r="I1679" s="77"/>
      <c r="J1679" s="107"/>
      <c r="K1679" s="78"/>
      <c r="L1679" s="242"/>
      <c r="M1679" s="242"/>
      <c r="N1679" s="242"/>
      <c r="O1679" s="242"/>
      <c r="P1679" s="497"/>
      <c r="Q1679" s="496"/>
      <c r="R1679" s="503"/>
      <c r="S1679" s="504"/>
      <c r="T1679" s="505"/>
      <c r="U1679" s="504"/>
      <c r="V1679" s="504"/>
      <c r="W1679" s="77"/>
      <c r="X1679" s="77"/>
      <c r="Y1679" s="77"/>
      <c r="Z1679" s="77"/>
      <c r="AA1679" s="409"/>
      <c r="AB1679" s="506"/>
    </row>
    <row r="1680" spans="1:32" s="457" customFormat="1" ht="18" customHeight="1" x14ac:dyDescent="0.2">
      <c r="A1680" s="242"/>
      <c r="B1680" s="242"/>
      <c r="C1680" s="496"/>
      <c r="D1680" s="88"/>
      <c r="E1680" s="144"/>
      <c r="F1680" s="411"/>
      <c r="G1680" s="242"/>
      <c r="H1680" s="497"/>
      <c r="I1680" s="77"/>
      <c r="J1680" s="107"/>
      <c r="K1680" s="78"/>
      <c r="L1680" s="242"/>
      <c r="M1680" s="242"/>
      <c r="N1680" s="242"/>
      <c r="O1680" s="242"/>
      <c r="P1680" s="497"/>
      <c r="Q1680" s="496"/>
      <c r="R1680" s="503"/>
      <c r="S1680" s="504"/>
      <c r="T1680" s="505"/>
      <c r="U1680" s="504"/>
      <c r="V1680" s="504"/>
      <c r="W1680" s="77"/>
      <c r="X1680" s="77"/>
      <c r="Y1680" s="77"/>
      <c r="Z1680" s="77"/>
      <c r="AA1680" s="409"/>
      <c r="AB1680" s="506"/>
    </row>
    <row r="1681" spans="1:28" s="457" customFormat="1" ht="18" customHeight="1" x14ac:dyDescent="0.2">
      <c r="A1681" s="242"/>
      <c r="B1681" s="242"/>
      <c r="C1681" s="496"/>
      <c r="D1681" s="231"/>
      <c r="E1681" s="88"/>
      <c r="F1681" s="411"/>
      <c r="G1681" s="242"/>
      <c r="H1681" s="497"/>
      <c r="I1681" s="77"/>
      <c r="J1681" s="107"/>
      <c r="K1681" s="78"/>
      <c r="L1681" s="242"/>
      <c r="M1681" s="242"/>
      <c r="N1681" s="242"/>
      <c r="O1681" s="242"/>
      <c r="P1681" s="497"/>
      <c r="Q1681" s="496"/>
      <c r="R1681" s="503"/>
      <c r="S1681" s="504"/>
      <c r="T1681" s="505"/>
      <c r="U1681" s="504"/>
      <c r="V1681" s="504"/>
      <c r="W1681" s="77"/>
      <c r="X1681" s="77"/>
      <c r="Y1681" s="77"/>
      <c r="Z1681" s="77"/>
      <c r="AA1681" s="409"/>
      <c r="AB1681" s="506"/>
    </row>
    <row r="1682" spans="1:28" s="457" customFormat="1" ht="18" customHeight="1" x14ac:dyDescent="0.2">
      <c r="A1682" s="242"/>
      <c r="B1682" s="242"/>
      <c r="C1682" s="496"/>
      <c r="D1682" s="496"/>
      <c r="E1682" s="88"/>
      <c r="F1682" s="411"/>
      <c r="G1682" s="242"/>
      <c r="H1682" s="497"/>
      <c r="I1682" s="77"/>
      <c r="J1682" s="107"/>
      <c r="K1682" s="78"/>
      <c r="L1682" s="242"/>
      <c r="M1682" s="242"/>
      <c r="N1682" s="242"/>
      <c r="O1682" s="242"/>
      <c r="P1682" s="497"/>
      <c r="Q1682" s="496"/>
      <c r="R1682" s="503"/>
      <c r="S1682" s="504"/>
      <c r="T1682" s="505"/>
      <c r="U1682" s="504"/>
      <c r="V1682" s="504"/>
      <c r="W1682" s="77"/>
      <c r="X1682" s="77"/>
      <c r="Y1682" s="77"/>
      <c r="Z1682" s="77"/>
      <c r="AA1682" s="409"/>
      <c r="AB1682" s="506"/>
    </row>
    <row r="1683" spans="1:28" s="457" customFormat="1" ht="18" customHeight="1" x14ac:dyDescent="0.2">
      <c r="A1683" s="145"/>
      <c r="B1683" s="177"/>
      <c r="C1683" s="177"/>
      <c r="D1683" s="145"/>
      <c r="E1683" s="145"/>
      <c r="F1683" s="145"/>
      <c r="G1683" s="145"/>
      <c r="H1683" s="147"/>
      <c r="I1683" s="107"/>
      <c r="J1683" s="178"/>
      <c r="K1683" s="107"/>
      <c r="L1683" s="145"/>
      <c r="M1683" s="145"/>
      <c r="N1683" s="145"/>
      <c r="O1683" s="145"/>
      <c r="P1683" s="147"/>
      <c r="Q1683" s="148"/>
      <c r="R1683" s="437"/>
      <c r="S1683" s="107"/>
      <c r="T1683" s="179"/>
      <c r="U1683" s="178"/>
      <c r="V1683" s="107"/>
      <c r="W1683" s="107"/>
      <c r="X1683" s="470"/>
      <c r="Y1683" s="470"/>
      <c r="Z1683" s="471"/>
      <c r="AA1683" s="471"/>
      <c r="AB1683" s="466"/>
    </row>
    <row r="1684" spans="1:28" s="457" customFormat="1" ht="18" customHeight="1" x14ac:dyDescent="0.2">
      <c r="A1684" s="145"/>
      <c r="B1684" s="177"/>
      <c r="C1684" s="177"/>
      <c r="D1684" s="145"/>
      <c r="E1684" s="145"/>
      <c r="F1684" s="145"/>
      <c r="G1684" s="145"/>
      <c r="H1684" s="147"/>
      <c r="I1684" s="107"/>
      <c r="J1684" s="178"/>
      <c r="K1684" s="107"/>
      <c r="L1684" s="145"/>
      <c r="M1684" s="145"/>
      <c r="N1684" s="145"/>
      <c r="O1684" s="145"/>
      <c r="P1684" s="147"/>
      <c r="Q1684" s="148"/>
      <c r="R1684" s="437"/>
      <c r="S1684" s="107"/>
      <c r="T1684" s="179"/>
      <c r="U1684" s="178"/>
      <c r="V1684" s="107"/>
      <c r="W1684" s="107"/>
      <c r="X1684" s="470"/>
      <c r="Y1684" s="470"/>
      <c r="Z1684" s="471"/>
      <c r="AA1684" s="471"/>
      <c r="AB1684" s="466"/>
    </row>
    <row r="1685" spans="1:28" s="457" customFormat="1" ht="18" customHeight="1" x14ac:dyDescent="0.2">
      <c r="A1685" s="88"/>
      <c r="B1685" s="180"/>
      <c r="C1685" s="180"/>
      <c r="D1685" s="88"/>
      <c r="E1685" s="88"/>
      <c r="F1685" s="88"/>
      <c r="G1685" s="88"/>
      <c r="H1685" s="120"/>
      <c r="I1685" s="121"/>
      <c r="J1685" s="181"/>
      <c r="K1685" s="121"/>
      <c r="L1685" s="88"/>
      <c r="M1685" s="88"/>
      <c r="N1685" s="88"/>
      <c r="O1685" s="88"/>
      <c r="P1685" s="88"/>
      <c r="Q1685" s="129"/>
      <c r="R1685" s="445"/>
      <c r="S1685" s="121"/>
      <c r="T1685" s="182"/>
      <c r="U1685" s="181"/>
      <c r="V1685" s="121"/>
      <c r="W1685" s="121"/>
      <c r="X1685" s="472"/>
      <c r="Y1685" s="472"/>
      <c r="Z1685" s="473"/>
      <c r="AA1685" s="473"/>
      <c r="AB1685" s="410"/>
    </row>
    <row r="1686" spans="1:28" s="597" customFormat="1" ht="18" customHeight="1" x14ac:dyDescent="0.2">
      <c r="A1686" s="1850"/>
      <c r="B1686" s="1850"/>
      <c r="C1686" s="1850"/>
      <c r="D1686" s="1850"/>
      <c r="E1686" s="1850"/>
      <c r="F1686" s="1850"/>
      <c r="G1686" s="1850"/>
      <c r="H1686" s="1851"/>
      <c r="I1686" s="1852"/>
      <c r="J1686" s="1853"/>
      <c r="K1686" s="1852"/>
      <c r="L1686" s="1852"/>
      <c r="M1686" s="1852"/>
      <c r="N1686" s="1852"/>
      <c r="O1686" s="1852"/>
      <c r="P1686" s="1852"/>
      <c r="Q1686" s="1852"/>
      <c r="R1686" s="1854"/>
      <c r="S1686" s="1852"/>
      <c r="T1686" s="1855"/>
      <c r="U1686" s="1853"/>
      <c r="V1686" s="1852"/>
      <c r="W1686" s="1852"/>
      <c r="X1686" s="1856"/>
      <c r="Y1686" s="1856"/>
      <c r="Z1686" s="1857"/>
      <c r="AA1686" s="1857"/>
      <c r="AB1686" s="1847">
        <f>SUM(AB1671:AB1685)</f>
        <v>200.76</v>
      </c>
    </row>
    <row r="1687" spans="1:28" s="457" customFormat="1" ht="18" customHeight="1" x14ac:dyDescent="0.2">
      <c r="A1687" s="2737" t="s">
        <v>76</v>
      </c>
      <c r="B1687" s="2737"/>
      <c r="C1687" s="2738" t="s">
        <v>77</v>
      </c>
      <c r="D1687" s="2738"/>
      <c r="E1687" s="2738"/>
      <c r="F1687" s="2738"/>
      <c r="G1687" s="2738"/>
      <c r="H1687" s="2738"/>
      <c r="I1687" s="457" t="s">
        <v>78</v>
      </c>
      <c r="AB1687" s="478"/>
    </row>
    <row r="1688" spans="1:28" s="457" customFormat="1" ht="18" customHeight="1" x14ac:dyDescent="0.2">
      <c r="B1688" s="479"/>
      <c r="I1688" s="457" t="s">
        <v>79</v>
      </c>
      <c r="AB1688" s="478"/>
    </row>
    <row r="1689" spans="1:28" s="457" customFormat="1" ht="18" customHeight="1" x14ac:dyDescent="0.2">
      <c r="B1689" s="479"/>
      <c r="I1689" s="457" t="s">
        <v>80</v>
      </c>
      <c r="AB1689" s="478"/>
    </row>
    <row r="1690" spans="1:28" s="457" customFormat="1" ht="18" customHeight="1" x14ac:dyDescent="0.2">
      <c r="B1690" s="479"/>
      <c r="I1690" s="457" t="s">
        <v>81</v>
      </c>
      <c r="AB1690" s="478"/>
    </row>
    <row r="1691" spans="1:28" s="457" customFormat="1" ht="18" customHeight="1" x14ac:dyDescent="0.2">
      <c r="B1691" s="479"/>
      <c r="I1691" s="457" t="s">
        <v>88</v>
      </c>
      <c r="AB1691" s="478"/>
    </row>
    <row r="1692" spans="1:28" s="457" customFormat="1" ht="18" customHeight="1" x14ac:dyDescent="0.2">
      <c r="A1692" s="455"/>
      <c r="B1692" s="455"/>
      <c r="C1692" s="455"/>
      <c r="D1692" s="455"/>
      <c r="E1692" s="455"/>
      <c r="F1692" s="455"/>
      <c r="G1692" s="455"/>
      <c r="H1692" s="455"/>
      <c r="I1692" s="455"/>
      <c r="J1692" s="455"/>
      <c r="K1692" s="455"/>
      <c r="L1692" s="455"/>
      <c r="M1692" s="455"/>
      <c r="N1692" s="455"/>
      <c r="O1692" s="455"/>
      <c r="P1692" s="455"/>
      <c r="Q1692" s="455"/>
      <c r="R1692" s="455"/>
      <c r="S1692" s="455"/>
      <c r="T1692" s="455"/>
      <c r="U1692" s="455"/>
      <c r="V1692" s="455"/>
      <c r="W1692" s="455"/>
      <c r="X1692" s="455"/>
      <c r="Y1692" s="455"/>
      <c r="Z1692" s="455"/>
      <c r="AA1692" s="2705" t="s">
        <v>0</v>
      </c>
      <c r="AB1692" s="2705"/>
    </row>
    <row r="1693" spans="1:28" s="457" customFormat="1" ht="18" customHeight="1" x14ac:dyDescent="0.2">
      <c r="A1693" s="2706" t="s">
        <v>1</v>
      </c>
      <c r="B1693" s="2706"/>
      <c r="C1693" s="2706"/>
      <c r="D1693" s="2706"/>
      <c r="E1693" s="2706"/>
      <c r="F1693" s="2706"/>
      <c r="G1693" s="2706"/>
      <c r="H1693" s="2706"/>
      <c r="I1693" s="2706"/>
      <c r="J1693" s="2706"/>
      <c r="K1693" s="2706"/>
      <c r="L1693" s="2706"/>
      <c r="M1693" s="2706"/>
      <c r="N1693" s="2706"/>
      <c r="O1693" s="2706"/>
      <c r="P1693" s="2706"/>
      <c r="Q1693" s="2706"/>
      <c r="R1693" s="2706"/>
      <c r="S1693" s="2706"/>
      <c r="T1693" s="2706"/>
      <c r="U1693" s="2706"/>
      <c r="V1693" s="2706"/>
      <c r="W1693" s="2706"/>
      <c r="X1693" s="2706"/>
      <c r="Y1693" s="2706"/>
      <c r="Z1693" s="2706"/>
      <c r="AA1693" s="2706"/>
      <c r="AB1693" s="2706"/>
    </row>
    <row r="1694" spans="1:28" s="457" customFormat="1" ht="18" customHeight="1" x14ac:dyDescent="0.2">
      <c r="A1694" s="2743" t="s">
        <v>341</v>
      </c>
      <c r="B1694" s="2743"/>
      <c r="C1694" s="2743"/>
      <c r="D1694" s="2743"/>
      <c r="E1694" s="2743"/>
      <c r="F1694" s="2743"/>
      <c r="G1694" s="2743"/>
      <c r="H1694" s="2743"/>
      <c r="I1694" s="2743"/>
      <c r="J1694" s="2743"/>
      <c r="K1694" s="2743"/>
      <c r="L1694" s="2743"/>
      <c r="M1694" s="2743"/>
      <c r="N1694" s="2743"/>
      <c r="O1694" s="2743"/>
      <c r="P1694" s="2743"/>
      <c r="Q1694" s="2743"/>
      <c r="R1694" s="2743"/>
      <c r="S1694" s="2743"/>
      <c r="T1694" s="2743"/>
      <c r="U1694" s="2743"/>
      <c r="V1694" s="2743"/>
      <c r="W1694" s="2743"/>
      <c r="X1694" s="2743"/>
      <c r="Y1694" s="2743"/>
      <c r="Z1694" s="2743"/>
      <c r="AA1694" s="2743"/>
      <c r="AB1694" s="2743"/>
    </row>
    <row r="1695" spans="1:28" s="457" customFormat="1" ht="18" customHeight="1" x14ac:dyDescent="0.2">
      <c r="A1695" s="2686" t="s">
        <v>2</v>
      </c>
      <c r="B1695" s="360"/>
      <c r="C1695" s="2686" t="s">
        <v>3</v>
      </c>
      <c r="D1695" s="360"/>
      <c r="E1695" s="360"/>
      <c r="F1695" s="2693" t="s">
        <v>4</v>
      </c>
      <c r="G1695" s="2693"/>
      <c r="H1695" s="2693"/>
      <c r="I1695" s="2694"/>
      <c r="J1695" s="2694"/>
      <c r="K1695" s="2695"/>
      <c r="L1695" s="361"/>
      <c r="M1695" s="2679" t="s">
        <v>5</v>
      </c>
      <c r="N1695" s="2679"/>
      <c r="O1695" s="2679"/>
      <c r="P1695" s="2679"/>
      <c r="Q1695" s="2696"/>
      <c r="R1695" s="2696"/>
      <c r="S1695" s="2696"/>
      <c r="T1695" s="2696"/>
      <c r="U1695" s="2696"/>
      <c r="V1695" s="2697"/>
      <c r="W1695" s="362" t="s">
        <v>6</v>
      </c>
      <c r="X1695" s="363" t="s">
        <v>7</v>
      </c>
      <c r="Y1695" s="364"/>
      <c r="Z1695" s="364"/>
      <c r="AA1695" s="363"/>
      <c r="AB1695" s="458"/>
    </row>
    <row r="1696" spans="1:28" s="457" customFormat="1" ht="18" customHeight="1" x14ac:dyDescent="0.2">
      <c r="A1696" s="2687"/>
      <c r="B1696" s="367"/>
      <c r="C1696" s="2687"/>
      <c r="D1696" s="366" t="s">
        <v>9</v>
      </c>
      <c r="E1696" s="366" t="s">
        <v>10</v>
      </c>
      <c r="F1696" s="2698" t="s">
        <v>11</v>
      </c>
      <c r="G1696" s="2694"/>
      <c r="H1696" s="2695"/>
      <c r="I1696" s="360"/>
      <c r="J1696" s="449" t="s">
        <v>12</v>
      </c>
      <c r="K1696" s="360"/>
      <c r="L1696" s="2679" t="s">
        <v>2</v>
      </c>
      <c r="M1696" s="370"/>
      <c r="N1696" s="370"/>
      <c r="O1696" s="370"/>
      <c r="P1696" s="371"/>
      <c r="Q1696" s="459" t="s">
        <v>13</v>
      </c>
      <c r="R1696" s="370" t="s">
        <v>12</v>
      </c>
      <c r="S1696" s="370" t="s">
        <v>6</v>
      </c>
      <c r="T1696" s="2682" t="s">
        <v>14</v>
      </c>
      <c r="U1696" s="2683"/>
      <c r="V1696" s="375" t="s">
        <v>7</v>
      </c>
      <c r="W1696" s="376" t="s">
        <v>15</v>
      </c>
      <c r="X1696" s="377" t="s">
        <v>16</v>
      </c>
      <c r="Y1696" s="377" t="s">
        <v>17</v>
      </c>
      <c r="Z1696" s="377" t="s">
        <v>18</v>
      </c>
      <c r="AA1696" s="377"/>
      <c r="AB1696" s="460" t="s">
        <v>19</v>
      </c>
    </row>
    <row r="1697" spans="1:32" s="457" customFormat="1" ht="18" customHeight="1" x14ac:dyDescent="0.2">
      <c r="A1697" s="2687"/>
      <c r="B1697" s="366" t="s">
        <v>23</v>
      </c>
      <c r="C1697" s="2687"/>
      <c r="D1697" s="366" t="s">
        <v>24</v>
      </c>
      <c r="E1697" s="366" t="s">
        <v>25</v>
      </c>
      <c r="F1697" s="2699"/>
      <c r="G1697" s="2700"/>
      <c r="H1697" s="2701"/>
      <c r="I1697" s="366" t="s">
        <v>26</v>
      </c>
      <c r="J1697" s="380" t="s">
        <v>15</v>
      </c>
      <c r="K1697" s="380" t="s">
        <v>6</v>
      </c>
      <c r="L1697" s="2680"/>
      <c r="M1697" s="381" t="s">
        <v>27</v>
      </c>
      <c r="N1697" s="381" t="s">
        <v>10</v>
      </c>
      <c r="O1697" s="381" t="s">
        <v>10</v>
      </c>
      <c r="P1697" s="385" t="s">
        <v>28</v>
      </c>
      <c r="Q1697" s="461" t="s">
        <v>29</v>
      </c>
      <c r="R1697" s="385" t="s">
        <v>15</v>
      </c>
      <c r="S1697" s="385" t="s">
        <v>15</v>
      </c>
      <c r="T1697" s="2684"/>
      <c r="U1697" s="2685"/>
      <c r="V1697" s="375" t="s">
        <v>30</v>
      </c>
      <c r="W1697" s="376" t="s">
        <v>31</v>
      </c>
      <c r="X1697" s="377" t="s">
        <v>30</v>
      </c>
      <c r="Y1697" s="377" t="s">
        <v>32</v>
      </c>
      <c r="Z1697" s="377" t="s">
        <v>7</v>
      </c>
      <c r="AA1697" s="377" t="s">
        <v>33</v>
      </c>
      <c r="AB1697" s="460" t="s">
        <v>34</v>
      </c>
    </row>
    <row r="1698" spans="1:32" s="457" customFormat="1" ht="18" customHeight="1" x14ac:dyDescent="0.2">
      <c r="A1698" s="2687"/>
      <c r="B1698" s="366" t="s">
        <v>39</v>
      </c>
      <c r="C1698" s="2687"/>
      <c r="D1698" s="366" t="s">
        <v>40</v>
      </c>
      <c r="E1698" s="366" t="s">
        <v>41</v>
      </c>
      <c r="F1698" s="2686" t="s">
        <v>42</v>
      </c>
      <c r="G1698" s="2686" t="s">
        <v>43</v>
      </c>
      <c r="H1698" s="2688" t="s">
        <v>44</v>
      </c>
      <c r="I1698" s="366" t="s">
        <v>45</v>
      </c>
      <c r="J1698" s="380" t="s">
        <v>46</v>
      </c>
      <c r="K1698" s="380" t="s">
        <v>47</v>
      </c>
      <c r="L1698" s="2680"/>
      <c r="M1698" s="381" t="s">
        <v>30</v>
      </c>
      <c r="N1698" s="381" t="s">
        <v>30</v>
      </c>
      <c r="O1698" s="381" t="s">
        <v>25</v>
      </c>
      <c r="P1698" s="385" t="s">
        <v>30</v>
      </c>
      <c r="Q1698" s="461" t="s">
        <v>48</v>
      </c>
      <c r="R1698" s="385" t="s">
        <v>49</v>
      </c>
      <c r="S1698" s="385" t="s">
        <v>30</v>
      </c>
      <c r="T1698" s="374" t="s">
        <v>50</v>
      </c>
      <c r="U1698" s="374" t="s">
        <v>13</v>
      </c>
      <c r="V1698" s="375" t="s">
        <v>51</v>
      </c>
      <c r="W1698" s="376" t="s">
        <v>52</v>
      </c>
      <c r="X1698" s="377" t="s">
        <v>53</v>
      </c>
      <c r="Y1698" s="377" t="s">
        <v>54</v>
      </c>
      <c r="Z1698" s="377" t="s">
        <v>55</v>
      </c>
      <c r="AA1698" s="377" t="s">
        <v>56</v>
      </c>
      <c r="AB1698" s="460" t="s">
        <v>57</v>
      </c>
    </row>
    <row r="1699" spans="1:32" s="457" customFormat="1" ht="18" customHeight="1" x14ac:dyDescent="0.2">
      <c r="A1699" s="2687"/>
      <c r="B1699" s="366" t="s">
        <v>61</v>
      </c>
      <c r="C1699" s="2687"/>
      <c r="D1699" s="366" t="s">
        <v>62</v>
      </c>
      <c r="E1699" s="366" t="s">
        <v>63</v>
      </c>
      <c r="F1699" s="2687"/>
      <c r="G1699" s="2687"/>
      <c r="H1699" s="2689"/>
      <c r="I1699" s="366" t="s">
        <v>64</v>
      </c>
      <c r="J1699" s="380" t="s">
        <v>59</v>
      </c>
      <c r="K1699" s="380" t="s">
        <v>59</v>
      </c>
      <c r="L1699" s="2680"/>
      <c r="M1699" s="381"/>
      <c r="N1699" s="381"/>
      <c r="O1699" s="381" t="s">
        <v>41</v>
      </c>
      <c r="P1699" s="385" t="s">
        <v>65</v>
      </c>
      <c r="Q1699" s="461" t="s">
        <v>66</v>
      </c>
      <c r="R1699" s="385" t="s">
        <v>67</v>
      </c>
      <c r="S1699" s="385" t="s">
        <v>59</v>
      </c>
      <c r="T1699" s="375" t="s">
        <v>68</v>
      </c>
      <c r="U1699" s="375" t="s">
        <v>14</v>
      </c>
      <c r="V1699" s="375" t="s">
        <v>14</v>
      </c>
      <c r="W1699" s="376" t="s">
        <v>30</v>
      </c>
      <c r="X1699" s="388" t="s">
        <v>69</v>
      </c>
      <c r="Y1699" s="388" t="s">
        <v>70</v>
      </c>
      <c r="Z1699" s="377" t="s">
        <v>71</v>
      </c>
      <c r="AA1699" s="377" t="s">
        <v>72</v>
      </c>
      <c r="AB1699" s="460" t="s">
        <v>59</v>
      </c>
    </row>
    <row r="1700" spans="1:32" s="457" customFormat="1" ht="18" customHeight="1" x14ac:dyDescent="0.2">
      <c r="A1700" s="2692"/>
      <c r="B1700" s="390"/>
      <c r="C1700" s="2692"/>
      <c r="D1700" s="390"/>
      <c r="E1700" s="389"/>
      <c r="F1700" s="390"/>
      <c r="G1700" s="390"/>
      <c r="H1700" s="391"/>
      <c r="I1700" s="389"/>
      <c r="J1700" s="393"/>
      <c r="K1700" s="393"/>
      <c r="L1700" s="2681"/>
      <c r="M1700" s="394"/>
      <c r="N1700" s="394"/>
      <c r="O1700" s="394" t="s">
        <v>63</v>
      </c>
      <c r="P1700" s="394"/>
      <c r="Q1700" s="450" t="s">
        <v>72</v>
      </c>
      <c r="R1700" s="398" t="s">
        <v>59</v>
      </c>
      <c r="S1700" s="398"/>
      <c r="T1700" s="398" t="s">
        <v>73</v>
      </c>
      <c r="U1700" s="398" t="s">
        <v>59</v>
      </c>
      <c r="V1700" s="399" t="s">
        <v>59</v>
      </c>
      <c r="W1700" s="400" t="s">
        <v>59</v>
      </c>
      <c r="X1700" s="401" t="s">
        <v>59</v>
      </c>
      <c r="Y1700" s="401" t="s">
        <v>59</v>
      </c>
      <c r="Z1700" s="401" t="s">
        <v>59</v>
      </c>
      <c r="AA1700" s="402"/>
      <c r="AB1700" s="462"/>
    </row>
    <row r="1701" spans="1:32" s="457" customFormat="1" ht="18" customHeight="1" x14ac:dyDescent="0.2">
      <c r="A1701" s="53">
        <v>1</v>
      </c>
      <c r="B1701" s="1679">
        <v>1983</v>
      </c>
      <c r="C1701" s="82">
        <v>395</v>
      </c>
      <c r="D1701" s="82" t="s">
        <v>86</v>
      </c>
      <c r="E1701" s="82">
        <v>4</v>
      </c>
      <c r="F1701" s="1578">
        <v>0</v>
      </c>
      <c r="G1701" s="1578">
        <v>2</v>
      </c>
      <c r="H1701" s="1601">
        <v>18.2</v>
      </c>
      <c r="I1701" s="70">
        <f>G1701*100+H1701</f>
        <v>218.2</v>
      </c>
      <c r="J1701" s="1580">
        <v>1600</v>
      </c>
      <c r="K1701" s="123">
        <f>J1701*I1701</f>
        <v>349120</v>
      </c>
      <c r="L1701" s="53"/>
      <c r="M1701" s="82"/>
      <c r="N1701" s="82"/>
      <c r="O1701" s="53"/>
      <c r="P1701" s="358"/>
      <c r="Q1701" s="197"/>
      <c r="R1701" s="444"/>
      <c r="S1701" s="70"/>
      <c r="T1701" s="82"/>
      <c r="U1701" s="70"/>
      <c r="V1701" s="70"/>
      <c r="W1701" s="70">
        <f>K1701+V1701</f>
        <v>349120</v>
      </c>
      <c r="X1701" s="70">
        <f>W1701</f>
        <v>349120</v>
      </c>
      <c r="Y1701" s="123"/>
      <c r="Z1701" s="70">
        <f>+X1701</f>
        <v>349120</v>
      </c>
      <c r="AA1701" s="464">
        <v>0.3</v>
      </c>
      <c r="AB1701" s="465">
        <f>+Z1701*AA1701/100</f>
        <v>1047.3599999999999</v>
      </c>
      <c r="AC1701" s="850"/>
      <c r="AD1701" s="850"/>
      <c r="AE1701" s="850"/>
      <c r="AF1701" s="850"/>
    </row>
    <row r="1702" spans="1:32" s="457" customFormat="1" ht="18" customHeight="1" x14ac:dyDescent="0.2">
      <c r="A1702" s="242"/>
      <c r="B1702" s="242"/>
      <c r="C1702" s="496"/>
      <c r="D1702" s="145"/>
      <c r="E1702" s="145"/>
      <c r="F1702" s="145"/>
      <c r="G1702" s="145"/>
      <c r="H1702" s="407"/>
      <c r="I1702" s="77"/>
      <c r="J1702" s="107"/>
      <c r="K1702" s="121"/>
      <c r="L1702" s="61"/>
      <c r="M1702" s="145"/>
      <c r="N1702" s="145"/>
      <c r="O1702" s="61"/>
      <c r="P1702" s="177"/>
      <c r="Q1702" s="196"/>
      <c r="R1702" s="408"/>
      <c r="S1702" s="77"/>
      <c r="T1702" s="145"/>
      <c r="U1702" s="77"/>
      <c r="V1702" s="77"/>
      <c r="W1702" s="74"/>
      <c r="X1702" s="74"/>
      <c r="Y1702" s="121"/>
      <c r="Z1702" s="74"/>
      <c r="AA1702" s="414"/>
      <c r="AB1702" s="410"/>
      <c r="AC1702" s="851"/>
      <c r="AD1702" s="851"/>
      <c r="AE1702" s="851"/>
      <c r="AF1702" s="851"/>
    </row>
    <row r="1703" spans="1:32" s="457" customFormat="1" ht="18" customHeight="1" x14ac:dyDescent="0.2">
      <c r="A1703" s="242"/>
      <c r="B1703" s="242"/>
      <c r="C1703" s="496"/>
      <c r="D1703" s="88"/>
      <c r="E1703" s="88"/>
      <c r="F1703" s="411"/>
      <c r="G1703" s="242"/>
      <c r="H1703" s="497"/>
      <c r="I1703" s="77"/>
      <c r="J1703" s="107"/>
      <c r="K1703" s="78"/>
      <c r="L1703" s="75"/>
      <c r="M1703" s="88"/>
      <c r="N1703" s="88"/>
      <c r="O1703" s="75"/>
      <c r="P1703" s="180"/>
      <c r="Q1703" s="174"/>
      <c r="R1703" s="413"/>
      <c r="S1703" s="74"/>
      <c r="T1703" s="88"/>
      <c r="U1703" s="121"/>
      <c r="V1703" s="74"/>
      <c r="W1703" s="77"/>
      <c r="X1703" s="77"/>
      <c r="Y1703" s="74"/>
      <c r="Z1703" s="74"/>
      <c r="AA1703" s="414"/>
      <c r="AB1703" s="466"/>
    </row>
    <row r="1704" spans="1:32" s="457" customFormat="1" ht="18" customHeight="1" x14ac:dyDescent="0.2">
      <c r="A1704" s="241"/>
      <c r="B1704" s="241"/>
      <c r="C1704" s="498"/>
      <c r="D1704" s="145"/>
      <c r="E1704" s="145"/>
      <c r="F1704" s="499"/>
      <c r="G1704" s="241"/>
      <c r="H1704" s="500"/>
      <c r="I1704" s="77"/>
      <c r="J1704" s="107"/>
      <c r="K1704" s="78"/>
      <c r="L1704" s="241"/>
      <c r="M1704" s="241"/>
      <c r="N1704" s="241"/>
      <c r="O1704" s="241"/>
      <c r="P1704" s="500"/>
      <c r="Q1704" s="498"/>
      <c r="R1704" s="501"/>
      <c r="S1704" s="103"/>
      <c r="T1704" s="502"/>
      <c r="U1704" s="103"/>
      <c r="V1704" s="103"/>
      <c r="W1704" s="77"/>
      <c r="X1704" s="77"/>
      <c r="Y1704" s="103"/>
      <c r="Z1704" s="103"/>
      <c r="AA1704" s="414"/>
      <c r="AB1704" s="410"/>
    </row>
    <row r="1705" spans="1:32" s="457" customFormat="1" ht="18" customHeight="1" x14ac:dyDescent="0.2">
      <c r="A1705" s="242"/>
      <c r="B1705" s="242"/>
      <c r="C1705" s="496"/>
      <c r="D1705" s="88"/>
      <c r="E1705" s="88"/>
      <c r="F1705" s="411"/>
      <c r="G1705" s="242"/>
      <c r="H1705" s="497"/>
      <c r="I1705" s="74"/>
      <c r="J1705" s="121"/>
      <c r="K1705" s="159"/>
      <c r="L1705" s="75"/>
      <c r="M1705" s="75"/>
      <c r="N1705" s="75"/>
      <c r="O1705" s="75"/>
      <c r="P1705" s="177"/>
      <c r="Q1705" s="196"/>
      <c r="R1705" s="408"/>
      <c r="S1705" s="77"/>
      <c r="T1705" s="145"/>
      <c r="U1705" s="77"/>
      <c r="V1705" s="74"/>
      <c r="W1705" s="74"/>
      <c r="X1705" s="74"/>
      <c r="Y1705" s="74"/>
      <c r="Z1705" s="74"/>
      <c r="AA1705" s="414"/>
      <c r="AB1705" s="466"/>
    </row>
    <row r="1706" spans="1:32" s="457" customFormat="1" ht="18" customHeight="1" x14ac:dyDescent="0.2">
      <c r="A1706" s="242"/>
      <c r="B1706" s="242"/>
      <c r="C1706" s="496"/>
      <c r="D1706" s="144"/>
      <c r="E1706" s="88"/>
      <c r="F1706" s="411"/>
      <c r="G1706" s="242"/>
      <c r="H1706" s="497"/>
      <c r="I1706" s="77"/>
      <c r="J1706" s="107"/>
      <c r="K1706" s="78"/>
      <c r="L1706" s="242"/>
      <c r="M1706" s="242"/>
      <c r="N1706" s="242"/>
      <c r="O1706" s="242"/>
      <c r="P1706" s="497"/>
      <c r="Q1706" s="496"/>
      <c r="R1706" s="503"/>
      <c r="S1706" s="504"/>
      <c r="T1706" s="505"/>
      <c r="U1706" s="504"/>
      <c r="V1706" s="504"/>
      <c r="W1706" s="77"/>
      <c r="X1706" s="77"/>
      <c r="Y1706" s="77"/>
      <c r="Z1706" s="77"/>
      <c r="AA1706" s="409"/>
      <c r="AB1706" s="506"/>
    </row>
    <row r="1707" spans="1:32" s="457" customFormat="1" ht="18" customHeight="1" x14ac:dyDescent="0.2">
      <c r="A1707" s="242"/>
      <c r="B1707" s="242"/>
      <c r="C1707" s="496"/>
      <c r="D1707" s="88"/>
      <c r="E1707" s="231"/>
      <c r="F1707" s="411"/>
      <c r="G1707" s="242"/>
      <c r="H1707" s="497"/>
      <c r="I1707" s="77"/>
      <c r="J1707" s="107"/>
      <c r="K1707" s="78"/>
      <c r="L1707" s="242"/>
      <c r="M1707" s="242"/>
      <c r="N1707" s="242"/>
      <c r="O1707" s="242"/>
      <c r="P1707" s="497"/>
      <c r="Q1707" s="496"/>
      <c r="R1707" s="503"/>
      <c r="S1707" s="504"/>
      <c r="T1707" s="505"/>
      <c r="U1707" s="504"/>
      <c r="V1707" s="504"/>
      <c r="W1707" s="77"/>
      <c r="X1707" s="77"/>
      <c r="Y1707" s="77"/>
      <c r="Z1707" s="77"/>
      <c r="AA1707" s="409"/>
      <c r="AB1707" s="506"/>
    </row>
    <row r="1708" spans="1:32" s="457" customFormat="1" ht="18" customHeight="1" x14ac:dyDescent="0.2">
      <c r="A1708" s="242"/>
      <c r="B1708" s="242"/>
      <c r="C1708" s="496"/>
      <c r="D1708" s="231"/>
      <c r="E1708" s="144"/>
      <c r="F1708" s="411"/>
      <c r="G1708" s="242"/>
      <c r="H1708" s="497"/>
      <c r="I1708" s="77"/>
      <c r="J1708" s="107"/>
      <c r="K1708" s="78"/>
      <c r="L1708" s="242"/>
      <c r="M1708" s="242"/>
      <c r="N1708" s="242"/>
      <c r="O1708" s="242"/>
      <c r="P1708" s="497"/>
      <c r="Q1708" s="496"/>
      <c r="R1708" s="503"/>
      <c r="S1708" s="504"/>
      <c r="T1708" s="505"/>
      <c r="U1708" s="504"/>
      <c r="V1708" s="504"/>
      <c r="W1708" s="77"/>
      <c r="X1708" s="77"/>
      <c r="Y1708" s="77"/>
      <c r="Z1708" s="77"/>
      <c r="AA1708" s="409"/>
      <c r="AB1708" s="506"/>
    </row>
    <row r="1709" spans="1:32" s="457" customFormat="1" ht="18" customHeight="1" x14ac:dyDescent="0.2">
      <c r="A1709" s="242"/>
      <c r="B1709" s="242"/>
      <c r="C1709" s="496"/>
      <c r="D1709" s="144"/>
      <c r="E1709" s="144"/>
      <c r="F1709" s="411"/>
      <c r="G1709" s="242"/>
      <c r="H1709" s="497"/>
      <c r="I1709" s="77"/>
      <c r="J1709" s="107"/>
      <c r="K1709" s="78"/>
      <c r="L1709" s="242"/>
      <c r="M1709" s="242"/>
      <c r="N1709" s="242"/>
      <c r="O1709" s="242"/>
      <c r="P1709" s="497"/>
      <c r="Q1709" s="496"/>
      <c r="R1709" s="503"/>
      <c r="S1709" s="504"/>
      <c r="T1709" s="505"/>
      <c r="U1709" s="504"/>
      <c r="V1709" s="504"/>
      <c r="W1709" s="77"/>
      <c r="X1709" s="77"/>
      <c r="Y1709" s="77"/>
      <c r="Z1709" s="77"/>
      <c r="AA1709" s="409"/>
      <c r="AB1709" s="506"/>
    </row>
    <row r="1710" spans="1:32" s="457" customFormat="1" ht="18" customHeight="1" x14ac:dyDescent="0.2">
      <c r="A1710" s="242"/>
      <c r="B1710" s="242"/>
      <c r="C1710" s="496"/>
      <c r="D1710" s="88"/>
      <c r="E1710" s="144"/>
      <c r="F1710" s="411"/>
      <c r="G1710" s="242"/>
      <c r="H1710" s="497"/>
      <c r="I1710" s="77"/>
      <c r="J1710" s="107"/>
      <c r="K1710" s="78"/>
      <c r="L1710" s="242"/>
      <c r="M1710" s="242"/>
      <c r="N1710" s="242"/>
      <c r="O1710" s="242"/>
      <c r="P1710" s="497"/>
      <c r="Q1710" s="496"/>
      <c r="R1710" s="503"/>
      <c r="S1710" s="504"/>
      <c r="T1710" s="505"/>
      <c r="U1710" s="504"/>
      <c r="V1710" s="504"/>
      <c r="W1710" s="77"/>
      <c r="X1710" s="77"/>
      <c r="Y1710" s="77"/>
      <c r="Z1710" s="77"/>
      <c r="AA1710" s="409"/>
      <c r="AB1710" s="506"/>
    </row>
    <row r="1711" spans="1:32" s="457" customFormat="1" ht="18" customHeight="1" x14ac:dyDescent="0.2">
      <c r="A1711" s="242"/>
      <c r="B1711" s="242"/>
      <c r="C1711" s="496"/>
      <c r="D1711" s="231"/>
      <c r="E1711" s="88"/>
      <c r="F1711" s="411"/>
      <c r="G1711" s="242"/>
      <c r="H1711" s="497"/>
      <c r="I1711" s="77"/>
      <c r="J1711" s="107"/>
      <c r="K1711" s="78"/>
      <c r="L1711" s="242"/>
      <c r="M1711" s="242"/>
      <c r="N1711" s="242"/>
      <c r="O1711" s="242"/>
      <c r="P1711" s="497"/>
      <c r="Q1711" s="496"/>
      <c r="R1711" s="503"/>
      <c r="S1711" s="504"/>
      <c r="T1711" s="505"/>
      <c r="U1711" s="504"/>
      <c r="V1711" s="504"/>
      <c r="W1711" s="77"/>
      <c r="X1711" s="77"/>
      <c r="Y1711" s="77"/>
      <c r="Z1711" s="77"/>
      <c r="AA1711" s="409"/>
      <c r="AB1711" s="506"/>
    </row>
    <row r="1712" spans="1:32" s="457" customFormat="1" ht="18" customHeight="1" x14ac:dyDescent="0.2">
      <c r="A1712" s="242"/>
      <c r="B1712" s="242"/>
      <c r="C1712" s="496"/>
      <c r="D1712" s="65"/>
      <c r="E1712" s="88"/>
      <c r="F1712" s="411"/>
      <c r="G1712" s="242"/>
      <c r="H1712" s="497"/>
      <c r="I1712" s="77"/>
      <c r="J1712" s="1705"/>
      <c r="K1712" s="78"/>
      <c r="L1712" s="242"/>
      <c r="M1712" s="242"/>
      <c r="N1712" s="242"/>
      <c r="O1712" s="242"/>
      <c r="P1712" s="497"/>
      <c r="Q1712" s="496"/>
      <c r="R1712" s="503"/>
      <c r="S1712" s="504"/>
      <c r="T1712" s="505"/>
      <c r="U1712" s="504"/>
      <c r="V1712" s="504"/>
      <c r="W1712" s="77"/>
      <c r="X1712" s="77"/>
      <c r="Y1712" s="77"/>
      <c r="Z1712" s="77"/>
      <c r="AA1712" s="1706"/>
      <c r="AB1712" s="506"/>
    </row>
    <row r="1713" spans="1:28" s="457" customFormat="1" ht="18" customHeight="1" x14ac:dyDescent="0.2">
      <c r="A1713" s="242"/>
      <c r="B1713" s="242"/>
      <c r="C1713" s="496"/>
      <c r="D1713" s="65"/>
      <c r="E1713" s="88"/>
      <c r="F1713" s="411"/>
      <c r="G1713" s="242"/>
      <c r="H1713" s="497"/>
      <c r="I1713" s="77"/>
      <c r="J1713" s="1705"/>
      <c r="K1713" s="78"/>
      <c r="L1713" s="242"/>
      <c r="M1713" s="242"/>
      <c r="N1713" s="242"/>
      <c r="O1713" s="242"/>
      <c r="P1713" s="497"/>
      <c r="Q1713" s="496"/>
      <c r="R1713" s="503"/>
      <c r="S1713" s="504"/>
      <c r="T1713" s="505"/>
      <c r="U1713" s="504"/>
      <c r="V1713" s="504"/>
      <c r="W1713" s="77"/>
      <c r="X1713" s="77"/>
      <c r="Y1713" s="77"/>
      <c r="Z1713" s="77"/>
      <c r="AA1713" s="1706"/>
      <c r="AB1713" s="506"/>
    </row>
    <row r="1714" spans="1:28" s="457" customFormat="1" ht="18" customHeight="1" x14ac:dyDescent="0.2">
      <c r="A1714" s="242"/>
      <c r="B1714" s="242"/>
      <c r="C1714" s="496"/>
      <c r="D1714" s="496"/>
      <c r="E1714" s="88"/>
      <c r="F1714" s="411"/>
      <c r="G1714" s="242"/>
      <c r="H1714" s="497"/>
      <c r="I1714" s="77"/>
      <c r="J1714" s="107"/>
      <c r="K1714" s="78"/>
      <c r="L1714" s="242"/>
      <c r="M1714" s="242"/>
      <c r="N1714" s="242"/>
      <c r="O1714" s="242"/>
      <c r="P1714" s="497"/>
      <c r="Q1714" s="496"/>
      <c r="R1714" s="503"/>
      <c r="S1714" s="504"/>
      <c r="T1714" s="505"/>
      <c r="U1714" s="504"/>
      <c r="V1714" s="504"/>
      <c r="W1714" s="77"/>
      <c r="X1714" s="77"/>
      <c r="Y1714" s="77"/>
      <c r="Z1714" s="77"/>
      <c r="AA1714" s="409"/>
      <c r="AB1714" s="506"/>
    </row>
    <row r="1715" spans="1:28" s="457" customFormat="1" ht="18" customHeight="1" x14ac:dyDescent="0.2">
      <c r="A1715" s="241"/>
      <c r="B1715" s="241"/>
      <c r="C1715" s="498"/>
      <c r="D1715" s="498"/>
      <c r="E1715" s="1703"/>
      <c r="F1715" s="499"/>
      <c r="G1715" s="241"/>
      <c r="H1715" s="500"/>
      <c r="I1715" s="77"/>
      <c r="J1715" s="1705"/>
      <c r="K1715" s="78"/>
      <c r="L1715" s="241"/>
      <c r="M1715" s="241"/>
      <c r="N1715" s="241"/>
      <c r="O1715" s="241"/>
      <c r="P1715" s="500"/>
      <c r="Q1715" s="498"/>
      <c r="R1715" s="501"/>
      <c r="S1715" s="103"/>
      <c r="T1715" s="502"/>
      <c r="U1715" s="103"/>
      <c r="V1715" s="103"/>
      <c r="W1715" s="77"/>
      <c r="X1715" s="77"/>
      <c r="Y1715" s="77"/>
      <c r="Z1715" s="77"/>
      <c r="AA1715" s="1706"/>
      <c r="AB1715" s="506"/>
    </row>
    <row r="1716" spans="1:28" s="457" customFormat="1" ht="18" customHeight="1" x14ac:dyDescent="0.2">
      <c r="A1716" s="241"/>
      <c r="B1716" s="241"/>
      <c r="C1716" s="498"/>
      <c r="D1716" s="498"/>
      <c r="E1716" s="1703"/>
      <c r="F1716" s="499"/>
      <c r="G1716" s="241"/>
      <c r="H1716" s="500"/>
      <c r="I1716" s="77"/>
      <c r="J1716" s="1705"/>
      <c r="K1716" s="78"/>
      <c r="L1716" s="241"/>
      <c r="M1716" s="241"/>
      <c r="N1716" s="241"/>
      <c r="O1716" s="241"/>
      <c r="P1716" s="500"/>
      <c r="Q1716" s="498"/>
      <c r="R1716" s="501"/>
      <c r="S1716" s="103"/>
      <c r="T1716" s="502"/>
      <c r="U1716" s="103"/>
      <c r="V1716" s="103"/>
      <c r="W1716" s="77"/>
      <c r="X1716" s="77"/>
      <c r="Y1716" s="77"/>
      <c r="Z1716" s="77"/>
      <c r="AA1716" s="1706"/>
      <c r="AB1716" s="506"/>
    </row>
    <row r="1717" spans="1:28" s="457" customFormat="1" ht="18" customHeight="1" x14ac:dyDescent="0.2">
      <c r="A1717" s="145"/>
      <c r="B1717" s="177"/>
      <c r="C1717" s="177"/>
      <c r="D1717" s="145"/>
      <c r="E1717" s="145"/>
      <c r="F1717" s="145"/>
      <c r="G1717" s="145"/>
      <c r="H1717" s="147"/>
      <c r="I1717" s="107"/>
      <c r="J1717" s="178"/>
      <c r="K1717" s="107"/>
      <c r="L1717" s="145"/>
      <c r="M1717" s="145"/>
      <c r="N1717" s="145"/>
      <c r="O1717" s="145"/>
      <c r="P1717" s="147"/>
      <c r="Q1717" s="148"/>
      <c r="R1717" s="437"/>
      <c r="S1717" s="107"/>
      <c r="T1717" s="179"/>
      <c r="U1717" s="178"/>
      <c r="V1717" s="107"/>
      <c r="W1717" s="107"/>
      <c r="X1717" s="470"/>
      <c r="Y1717" s="470"/>
      <c r="Z1717" s="471"/>
      <c r="AA1717" s="471"/>
      <c r="AB1717" s="466"/>
    </row>
    <row r="1718" spans="1:28" s="457" customFormat="1" ht="18" customHeight="1" x14ac:dyDescent="0.2">
      <c r="A1718" s="88"/>
      <c r="B1718" s="180"/>
      <c r="C1718" s="180"/>
      <c r="D1718" s="88"/>
      <c r="E1718" s="88"/>
      <c r="F1718" s="88"/>
      <c r="G1718" s="88"/>
      <c r="H1718" s="120"/>
      <c r="I1718" s="121"/>
      <c r="J1718" s="181"/>
      <c r="K1718" s="121"/>
      <c r="L1718" s="88"/>
      <c r="M1718" s="88"/>
      <c r="N1718" s="88"/>
      <c r="O1718" s="88"/>
      <c r="P1718" s="88"/>
      <c r="Q1718" s="129"/>
      <c r="R1718" s="445"/>
      <c r="S1718" s="121"/>
      <c r="T1718" s="182"/>
      <c r="U1718" s="181"/>
      <c r="V1718" s="121"/>
      <c r="W1718" s="121"/>
      <c r="X1718" s="472"/>
      <c r="Y1718" s="472"/>
      <c r="Z1718" s="473"/>
      <c r="AA1718" s="473"/>
      <c r="AB1718" s="410"/>
    </row>
    <row r="1719" spans="1:28" s="597" customFormat="1" ht="18" customHeight="1" x14ac:dyDescent="0.2">
      <c r="A1719" s="1850"/>
      <c r="B1719" s="1850"/>
      <c r="C1719" s="1850"/>
      <c r="D1719" s="1850"/>
      <c r="E1719" s="1850"/>
      <c r="F1719" s="1850"/>
      <c r="G1719" s="1850"/>
      <c r="H1719" s="1851"/>
      <c r="I1719" s="1852"/>
      <c r="J1719" s="1853"/>
      <c r="K1719" s="1852"/>
      <c r="L1719" s="1852"/>
      <c r="M1719" s="1852"/>
      <c r="N1719" s="1852"/>
      <c r="O1719" s="1852"/>
      <c r="P1719" s="1852"/>
      <c r="Q1719" s="1852"/>
      <c r="R1719" s="1854"/>
      <c r="S1719" s="1852"/>
      <c r="T1719" s="1855"/>
      <c r="U1719" s="1853"/>
      <c r="V1719" s="1852"/>
      <c r="W1719" s="1852"/>
      <c r="X1719" s="1856"/>
      <c r="Y1719" s="1856"/>
      <c r="Z1719" s="1857"/>
      <c r="AA1719" s="1857"/>
      <c r="AB1719" s="1847">
        <f>SUM(AB1701:AB1718)</f>
        <v>1047.3599999999999</v>
      </c>
    </row>
    <row r="1720" spans="1:28" s="457" customFormat="1" ht="18" customHeight="1" x14ac:dyDescent="0.2">
      <c r="A1720" s="2737" t="s">
        <v>76</v>
      </c>
      <c r="B1720" s="2737"/>
      <c r="C1720" s="2738" t="s">
        <v>77</v>
      </c>
      <c r="D1720" s="2738"/>
      <c r="E1720" s="2738"/>
      <c r="F1720" s="2738"/>
      <c r="G1720" s="2738"/>
      <c r="H1720" s="2738"/>
      <c r="I1720" s="457" t="s">
        <v>78</v>
      </c>
      <c r="AB1720" s="478"/>
    </row>
    <row r="1721" spans="1:28" s="457" customFormat="1" ht="18" customHeight="1" x14ac:dyDescent="0.2">
      <c r="B1721" s="479"/>
      <c r="I1721" s="457" t="s">
        <v>79</v>
      </c>
      <c r="AB1721" s="478"/>
    </row>
    <row r="1722" spans="1:28" s="457" customFormat="1" ht="18" customHeight="1" x14ac:dyDescent="0.2">
      <c r="B1722" s="479"/>
      <c r="I1722" s="457" t="s">
        <v>80</v>
      </c>
      <c r="AB1722" s="478"/>
    </row>
    <row r="1723" spans="1:28" s="457" customFormat="1" ht="18" customHeight="1" x14ac:dyDescent="0.2">
      <c r="B1723" s="479"/>
      <c r="I1723" s="457" t="s">
        <v>81</v>
      </c>
      <c r="AB1723" s="478"/>
    </row>
    <row r="1724" spans="1:28" s="457" customFormat="1" ht="18" customHeight="1" x14ac:dyDescent="0.2">
      <c r="B1724" s="479"/>
      <c r="I1724" s="457" t="s">
        <v>88</v>
      </c>
      <c r="AB1724" s="478"/>
    </row>
    <row r="1726" spans="1:28" s="457" customFormat="1" ht="18" customHeight="1" x14ac:dyDescent="0.2">
      <c r="A1726" s="455"/>
      <c r="B1726" s="455"/>
      <c r="C1726" s="455"/>
      <c r="D1726" s="455"/>
      <c r="E1726" s="455"/>
      <c r="F1726" s="455"/>
      <c r="G1726" s="455"/>
      <c r="H1726" s="455"/>
      <c r="I1726" s="455"/>
      <c r="J1726" s="455"/>
      <c r="K1726" s="455"/>
      <c r="L1726" s="455"/>
      <c r="M1726" s="455"/>
      <c r="N1726" s="455"/>
      <c r="O1726" s="455"/>
      <c r="P1726" s="455"/>
      <c r="Q1726" s="455"/>
      <c r="R1726" s="455"/>
      <c r="S1726" s="455"/>
      <c r="T1726" s="455"/>
      <c r="U1726" s="455"/>
      <c r="V1726" s="455"/>
      <c r="W1726" s="455"/>
      <c r="X1726" s="455"/>
      <c r="Y1726" s="455"/>
      <c r="Z1726" s="455"/>
      <c r="AA1726" s="2705" t="s">
        <v>0</v>
      </c>
      <c r="AB1726" s="2705"/>
    </row>
    <row r="1727" spans="1:28" s="457" customFormat="1" ht="18" customHeight="1" x14ac:dyDescent="0.2">
      <c r="A1727" s="2706" t="s">
        <v>1</v>
      </c>
      <c r="B1727" s="2706"/>
      <c r="C1727" s="2706"/>
      <c r="D1727" s="2706"/>
      <c r="E1727" s="2706"/>
      <c r="F1727" s="2706"/>
      <c r="G1727" s="2706"/>
      <c r="H1727" s="2706"/>
      <c r="I1727" s="2706"/>
      <c r="J1727" s="2706"/>
      <c r="K1727" s="2706"/>
      <c r="L1727" s="2706"/>
      <c r="M1727" s="2706"/>
      <c r="N1727" s="2706"/>
      <c r="O1727" s="2706"/>
      <c r="P1727" s="2706"/>
      <c r="Q1727" s="2706"/>
      <c r="R1727" s="2706"/>
      <c r="S1727" s="2706"/>
      <c r="T1727" s="2706"/>
      <c r="U1727" s="2706"/>
      <c r="V1727" s="2706"/>
      <c r="W1727" s="2706"/>
      <c r="X1727" s="2706"/>
      <c r="Y1727" s="2706"/>
      <c r="Z1727" s="2706"/>
      <c r="AA1727" s="2706"/>
      <c r="AB1727" s="2706"/>
    </row>
    <row r="1728" spans="1:28" s="457" customFormat="1" ht="18" customHeight="1" x14ac:dyDescent="0.2">
      <c r="A1728" s="2741" t="s">
        <v>365</v>
      </c>
      <c r="B1728" s="2741"/>
      <c r="C1728" s="2741"/>
      <c r="D1728" s="2741"/>
      <c r="E1728" s="2741"/>
      <c r="F1728" s="2741"/>
      <c r="G1728" s="2741"/>
      <c r="H1728" s="2741"/>
      <c r="I1728" s="2741"/>
      <c r="J1728" s="2741"/>
      <c r="K1728" s="2741"/>
      <c r="L1728" s="2741"/>
      <c r="M1728" s="2741"/>
      <c r="N1728" s="2741"/>
      <c r="O1728" s="2741"/>
      <c r="P1728" s="2741"/>
      <c r="Q1728" s="2741"/>
      <c r="R1728" s="2741"/>
      <c r="S1728" s="2741"/>
      <c r="T1728" s="2741"/>
      <c r="U1728" s="2741"/>
      <c r="V1728" s="2741"/>
      <c r="W1728" s="2741"/>
      <c r="X1728" s="2741"/>
      <c r="Y1728" s="2741"/>
      <c r="Z1728" s="2741"/>
      <c r="AA1728" s="2741"/>
      <c r="AB1728" s="2741"/>
    </row>
    <row r="1729" spans="1:32" s="457" customFormat="1" ht="18" customHeight="1" x14ac:dyDescent="0.2">
      <c r="A1729" s="2686" t="s">
        <v>2</v>
      </c>
      <c r="B1729" s="360"/>
      <c r="C1729" s="2686" t="s">
        <v>3</v>
      </c>
      <c r="D1729" s="360"/>
      <c r="E1729" s="360"/>
      <c r="F1729" s="2693" t="s">
        <v>4</v>
      </c>
      <c r="G1729" s="2693"/>
      <c r="H1729" s="2693"/>
      <c r="I1729" s="2694"/>
      <c r="J1729" s="2694"/>
      <c r="K1729" s="2695"/>
      <c r="L1729" s="361"/>
      <c r="M1729" s="2679" t="s">
        <v>5</v>
      </c>
      <c r="N1729" s="2679"/>
      <c r="O1729" s="2679"/>
      <c r="P1729" s="2679"/>
      <c r="Q1729" s="2696"/>
      <c r="R1729" s="2696"/>
      <c r="S1729" s="2696"/>
      <c r="T1729" s="2696"/>
      <c r="U1729" s="2696"/>
      <c r="V1729" s="2697"/>
      <c r="W1729" s="362" t="s">
        <v>6</v>
      </c>
      <c r="X1729" s="363" t="s">
        <v>7</v>
      </c>
      <c r="Y1729" s="364"/>
      <c r="Z1729" s="364"/>
      <c r="AA1729" s="363"/>
      <c r="AB1729" s="458"/>
    </row>
    <row r="1730" spans="1:32" s="457" customFormat="1" ht="18" customHeight="1" x14ac:dyDescent="0.2">
      <c r="A1730" s="2687"/>
      <c r="B1730" s="367"/>
      <c r="C1730" s="2687"/>
      <c r="D1730" s="1694" t="s">
        <v>9</v>
      </c>
      <c r="E1730" s="1694" t="s">
        <v>10</v>
      </c>
      <c r="F1730" s="2698" t="s">
        <v>11</v>
      </c>
      <c r="G1730" s="2694"/>
      <c r="H1730" s="2695"/>
      <c r="I1730" s="360"/>
      <c r="J1730" s="1693" t="s">
        <v>12</v>
      </c>
      <c r="K1730" s="360"/>
      <c r="L1730" s="2679" t="s">
        <v>2</v>
      </c>
      <c r="M1730" s="1699"/>
      <c r="N1730" s="1699"/>
      <c r="O1730" s="1699"/>
      <c r="P1730" s="371"/>
      <c r="Q1730" s="459" t="s">
        <v>13</v>
      </c>
      <c r="R1730" s="1699" t="s">
        <v>12</v>
      </c>
      <c r="S1730" s="1699" t="s">
        <v>6</v>
      </c>
      <c r="T1730" s="2682" t="s">
        <v>14</v>
      </c>
      <c r="U1730" s="2683"/>
      <c r="V1730" s="375" t="s">
        <v>7</v>
      </c>
      <c r="W1730" s="376" t="s">
        <v>15</v>
      </c>
      <c r="X1730" s="377" t="s">
        <v>16</v>
      </c>
      <c r="Y1730" s="377" t="s">
        <v>17</v>
      </c>
      <c r="Z1730" s="377" t="s">
        <v>18</v>
      </c>
      <c r="AA1730" s="377"/>
      <c r="AB1730" s="460" t="s">
        <v>19</v>
      </c>
    </row>
    <row r="1731" spans="1:32" s="457" customFormat="1" ht="18" customHeight="1" x14ac:dyDescent="0.2">
      <c r="A1731" s="2687"/>
      <c r="B1731" s="1694" t="s">
        <v>23</v>
      </c>
      <c r="C1731" s="2687"/>
      <c r="D1731" s="1694" t="s">
        <v>24</v>
      </c>
      <c r="E1731" s="1694" t="s">
        <v>25</v>
      </c>
      <c r="F1731" s="2699"/>
      <c r="G1731" s="2700"/>
      <c r="H1731" s="2701"/>
      <c r="I1731" s="1694" t="s">
        <v>26</v>
      </c>
      <c r="J1731" s="1698" t="s">
        <v>15</v>
      </c>
      <c r="K1731" s="1698" t="s">
        <v>6</v>
      </c>
      <c r="L1731" s="2680"/>
      <c r="M1731" s="1700" t="s">
        <v>27</v>
      </c>
      <c r="N1731" s="1700" t="s">
        <v>10</v>
      </c>
      <c r="O1731" s="1700" t="s">
        <v>10</v>
      </c>
      <c r="P1731" s="385" t="s">
        <v>28</v>
      </c>
      <c r="Q1731" s="461" t="s">
        <v>29</v>
      </c>
      <c r="R1731" s="385" t="s">
        <v>15</v>
      </c>
      <c r="S1731" s="385" t="s">
        <v>15</v>
      </c>
      <c r="T1731" s="2684"/>
      <c r="U1731" s="2685"/>
      <c r="V1731" s="375" t="s">
        <v>30</v>
      </c>
      <c r="W1731" s="376" t="s">
        <v>31</v>
      </c>
      <c r="X1731" s="377" t="s">
        <v>30</v>
      </c>
      <c r="Y1731" s="377" t="s">
        <v>32</v>
      </c>
      <c r="Z1731" s="377" t="s">
        <v>7</v>
      </c>
      <c r="AA1731" s="377" t="s">
        <v>33</v>
      </c>
      <c r="AB1731" s="460" t="s">
        <v>34</v>
      </c>
    </row>
    <row r="1732" spans="1:32" s="457" customFormat="1" ht="18" customHeight="1" x14ac:dyDescent="0.2">
      <c r="A1732" s="2687"/>
      <c r="B1732" s="1694" t="s">
        <v>39</v>
      </c>
      <c r="C1732" s="2687"/>
      <c r="D1732" s="1694" t="s">
        <v>40</v>
      </c>
      <c r="E1732" s="1694" t="s">
        <v>41</v>
      </c>
      <c r="F1732" s="2686" t="s">
        <v>42</v>
      </c>
      <c r="G1732" s="2686" t="s">
        <v>43</v>
      </c>
      <c r="H1732" s="2688" t="s">
        <v>44</v>
      </c>
      <c r="I1732" s="1694" t="s">
        <v>45</v>
      </c>
      <c r="J1732" s="1698" t="s">
        <v>46</v>
      </c>
      <c r="K1732" s="1698" t="s">
        <v>47</v>
      </c>
      <c r="L1732" s="2680"/>
      <c r="M1732" s="1700" t="s">
        <v>30</v>
      </c>
      <c r="N1732" s="1700" t="s">
        <v>30</v>
      </c>
      <c r="O1732" s="1700" t="s">
        <v>25</v>
      </c>
      <c r="P1732" s="385" t="s">
        <v>30</v>
      </c>
      <c r="Q1732" s="461" t="s">
        <v>48</v>
      </c>
      <c r="R1732" s="385" t="s">
        <v>49</v>
      </c>
      <c r="S1732" s="385" t="s">
        <v>30</v>
      </c>
      <c r="T1732" s="1697" t="s">
        <v>50</v>
      </c>
      <c r="U1732" s="1697" t="s">
        <v>13</v>
      </c>
      <c r="V1732" s="375" t="s">
        <v>51</v>
      </c>
      <c r="W1732" s="376" t="s">
        <v>52</v>
      </c>
      <c r="X1732" s="377" t="s">
        <v>53</v>
      </c>
      <c r="Y1732" s="377" t="s">
        <v>54</v>
      </c>
      <c r="Z1732" s="377" t="s">
        <v>55</v>
      </c>
      <c r="AA1732" s="377" t="s">
        <v>56</v>
      </c>
      <c r="AB1732" s="460" t="s">
        <v>57</v>
      </c>
    </row>
    <row r="1733" spans="1:32" s="457" customFormat="1" ht="18" customHeight="1" x14ac:dyDescent="0.2">
      <c r="A1733" s="2687"/>
      <c r="B1733" s="1694" t="s">
        <v>61</v>
      </c>
      <c r="C1733" s="2687"/>
      <c r="D1733" s="1694" t="s">
        <v>62</v>
      </c>
      <c r="E1733" s="1694" t="s">
        <v>63</v>
      </c>
      <c r="F1733" s="2687"/>
      <c r="G1733" s="2687"/>
      <c r="H1733" s="2689"/>
      <c r="I1733" s="1694" t="s">
        <v>64</v>
      </c>
      <c r="J1733" s="1698" t="s">
        <v>59</v>
      </c>
      <c r="K1733" s="1698" t="s">
        <v>59</v>
      </c>
      <c r="L1733" s="2680"/>
      <c r="M1733" s="1700"/>
      <c r="N1733" s="1700"/>
      <c r="O1733" s="1700" t="s">
        <v>41</v>
      </c>
      <c r="P1733" s="385" t="s">
        <v>65</v>
      </c>
      <c r="Q1733" s="461" t="s">
        <v>66</v>
      </c>
      <c r="R1733" s="385" t="s">
        <v>67</v>
      </c>
      <c r="S1733" s="385" t="s">
        <v>59</v>
      </c>
      <c r="T1733" s="375" t="s">
        <v>68</v>
      </c>
      <c r="U1733" s="375" t="s">
        <v>14</v>
      </c>
      <c r="V1733" s="375" t="s">
        <v>14</v>
      </c>
      <c r="W1733" s="376" t="s">
        <v>30</v>
      </c>
      <c r="X1733" s="388" t="s">
        <v>69</v>
      </c>
      <c r="Y1733" s="388" t="s">
        <v>70</v>
      </c>
      <c r="Z1733" s="377" t="s">
        <v>71</v>
      </c>
      <c r="AA1733" s="377" t="s">
        <v>72</v>
      </c>
      <c r="AB1733" s="460" t="s">
        <v>59</v>
      </c>
    </row>
    <row r="1734" spans="1:32" s="457" customFormat="1" ht="18" customHeight="1" x14ac:dyDescent="0.2">
      <c r="A1734" s="2692"/>
      <c r="B1734" s="390"/>
      <c r="C1734" s="2692"/>
      <c r="D1734" s="390"/>
      <c r="E1734" s="1695"/>
      <c r="F1734" s="390"/>
      <c r="G1734" s="390"/>
      <c r="H1734" s="391"/>
      <c r="I1734" s="1695"/>
      <c r="J1734" s="393"/>
      <c r="K1734" s="393"/>
      <c r="L1734" s="2681"/>
      <c r="M1734" s="1701"/>
      <c r="N1734" s="1701"/>
      <c r="O1734" s="1701" t="s">
        <v>63</v>
      </c>
      <c r="P1734" s="1701"/>
      <c r="Q1734" s="1696" t="s">
        <v>72</v>
      </c>
      <c r="R1734" s="398" t="s">
        <v>59</v>
      </c>
      <c r="S1734" s="398"/>
      <c r="T1734" s="398" t="s">
        <v>73</v>
      </c>
      <c r="U1734" s="398" t="s">
        <v>59</v>
      </c>
      <c r="V1734" s="399" t="s">
        <v>59</v>
      </c>
      <c r="W1734" s="400" t="s">
        <v>59</v>
      </c>
      <c r="X1734" s="401" t="s">
        <v>59</v>
      </c>
      <c r="Y1734" s="401" t="s">
        <v>59</v>
      </c>
      <c r="Z1734" s="401" t="s">
        <v>59</v>
      </c>
      <c r="AA1734" s="402"/>
      <c r="AB1734" s="462"/>
    </row>
    <row r="1735" spans="1:32" s="1756" customFormat="1" ht="18" customHeight="1" x14ac:dyDescent="0.2">
      <c r="A1735" s="1752">
        <v>1</v>
      </c>
      <c r="B1735" s="1753">
        <v>63499</v>
      </c>
      <c r="C1735" s="1754">
        <v>3458</v>
      </c>
      <c r="D1735" s="1754" t="s">
        <v>86</v>
      </c>
      <c r="E1735" s="1754">
        <v>2</v>
      </c>
      <c r="F1735" s="1578">
        <v>0</v>
      </c>
      <c r="G1735" s="1578">
        <v>0</v>
      </c>
      <c r="H1735" s="1579">
        <v>80</v>
      </c>
      <c r="I1735" s="1393">
        <f>G1735*100+H1735</f>
        <v>80</v>
      </c>
      <c r="J1735" s="1604">
        <v>690</v>
      </c>
      <c r="K1735" s="1394">
        <f>J1735*I1735</f>
        <v>55200</v>
      </c>
      <c r="L1735" s="1752">
        <v>1</v>
      </c>
      <c r="M1735" s="1754">
        <v>103</v>
      </c>
      <c r="N1735" s="1754" t="s">
        <v>74</v>
      </c>
      <c r="O1735" s="1752">
        <v>2</v>
      </c>
      <c r="P1735" s="1754">
        <v>102</v>
      </c>
      <c r="Q1735" s="1755" t="s">
        <v>75</v>
      </c>
      <c r="R1735" s="1396">
        <v>9050</v>
      </c>
      <c r="S1735" s="47">
        <f t="shared" ref="S1735" si="179">+P1735*R1735</f>
        <v>923100</v>
      </c>
      <c r="T1735" s="1754">
        <v>3</v>
      </c>
      <c r="U1735" s="1670">
        <f>+S1735*0.3</f>
        <v>276930</v>
      </c>
      <c r="V1735" s="18">
        <f t="shared" ref="V1735" si="180">+S1735-U1735</f>
        <v>646170</v>
      </c>
      <c r="W1735" s="18">
        <f t="shared" ref="W1735" si="181">K1735+V1735</f>
        <v>701370</v>
      </c>
      <c r="X1735" s="47">
        <f t="shared" ref="X1735" si="182">W1735</f>
        <v>701370</v>
      </c>
      <c r="Y1735" s="18"/>
      <c r="Z1735" s="18">
        <f>+X1735</f>
        <v>701370</v>
      </c>
      <c r="AA1735" s="264">
        <v>0.02</v>
      </c>
      <c r="AB1735" s="465">
        <f t="shared" ref="AB1735" si="183">+Z1735*AA1735/100</f>
        <v>140.274</v>
      </c>
      <c r="AC1735" s="602"/>
      <c r="AD1735" s="603"/>
      <c r="AE1735" s="603"/>
      <c r="AF1735" s="603"/>
    </row>
    <row r="1736" spans="1:32" s="457" customFormat="1" ht="18" customHeight="1" x14ac:dyDescent="0.2">
      <c r="A1736" s="242"/>
      <c r="B1736" s="242"/>
      <c r="C1736" s="496"/>
      <c r="D1736" s="1703"/>
      <c r="E1736" s="1703"/>
      <c r="F1736" s="1703"/>
      <c r="G1736" s="1703"/>
      <c r="H1736" s="407"/>
      <c r="I1736" s="77"/>
      <c r="J1736" s="1705"/>
      <c r="K1736" s="121"/>
      <c r="L1736" s="61"/>
      <c r="M1736" s="1703"/>
      <c r="N1736" s="1703"/>
      <c r="O1736" s="61"/>
      <c r="P1736" s="177"/>
      <c r="Q1736" s="196"/>
      <c r="R1736" s="408"/>
      <c r="S1736" s="77"/>
      <c r="T1736" s="1703"/>
      <c r="U1736" s="77"/>
      <c r="V1736" s="77"/>
      <c r="W1736" s="74"/>
      <c r="X1736" s="74"/>
      <c r="Y1736" s="121"/>
      <c r="Z1736" s="74"/>
      <c r="AA1736" s="414"/>
      <c r="AB1736" s="410"/>
      <c r="AC1736" s="851"/>
      <c r="AD1736" s="851"/>
      <c r="AE1736" s="851"/>
      <c r="AF1736" s="851"/>
    </row>
    <row r="1737" spans="1:32" s="457" customFormat="1" ht="18" customHeight="1" x14ac:dyDescent="0.2">
      <c r="A1737" s="242"/>
      <c r="B1737" s="242"/>
      <c r="C1737" s="496"/>
      <c r="D1737" s="88"/>
      <c r="E1737" s="88"/>
      <c r="F1737" s="411"/>
      <c r="G1737" s="242"/>
      <c r="H1737" s="497"/>
      <c r="I1737" s="77"/>
      <c r="J1737" s="1705"/>
      <c r="K1737" s="78"/>
      <c r="L1737" s="75"/>
      <c r="M1737" s="88"/>
      <c r="N1737" s="88"/>
      <c r="O1737" s="75"/>
      <c r="P1737" s="180"/>
      <c r="Q1737" s="174"/>
      <c r="R1737" s="413"/>
      <c r="S1737" s="74"/>
      <c r="T1737" s="88"/>
      <c r="U1737" s="121"/>
      <c r="V1737" s="74"/>
      <c r="W1737" s="77"/>
      <c r="X1737" s="77"/>
      <c r="Y1737" s="74"/>
      <c r="Z1737" s="74"/>
      <c r="AA1737" s="414"/>
      <c r="AB1737" s="466"/>
    </row>
    <row r="1738" spans="1:32" s="457" customFormat="1" ht="18" customHeight="1" x14ac:dyDescent="0.2">
      <c r="A1738" s="241"/>
      <c r="B1738" s="241"/>
      <c r="C1738" s="498"/>
      <c r="D1738" s="1703"/>
      <c r="E1738" s="1703"/>
      <c r="F1738" s="499"/>
      <c r="G1738" s="241"/>
      <c r="H1738" s="500"/>
      <c r="I1738" s="77"/>
      <c r="J1738" s="1705"/>
      <c r="K1738" s="78"/>
      <c r="L1738" s="241"/>
      <c r="M1738" s="241"/>
      <c r="N1738" s="241"/>
      <c r="O1738" s="241"/>
      <c r="P1738" s="500"/>
      <c r="Q1738" s="498"/>
      <c r="R1738" s="501"/>
      <c r="S1738" s="103"/>
      <c r="T1738" s="502"/>
      <c r="U1738" s="103"/>
      <c r="V1738" s="103"/>
      <c r="W1738" s="77"/>
      <c r="X1738" s="77"/>
      <c r="Y1738" s="103"/>
      <c r="Z1738" s="103"/>
      <c r="AA1738" s="414"/>
      <c r="AB1738" s="410"/>
    </row>
    <row r="1739" spans="1:32" s="457" customFormat="1" ht="18" customHeight="1" x14ac:dyDescent="0.2">
      <c r="A1739" s="242"/>
      <c r="B1739" s="242"/>
      <c r="C1739" s="496"/>
      <c r="D1739" s="88"/>
      <c r="E1739" s="88"/>
      <c r="F1739" s="411"/>
      <c r="G1739" s="242"/>
      <c r="H1739" s="497"/>
      <c r="I1739" s="74"/>
      <c r="J1739" s="121"/>
      <c r="K1739" s="159"/>
      <c r="L1739" s="75"/>
      <c r="M1739" s="75"/>
      <c r="N1739" s="75"/>
      <c r="O1739" s="75"/>
      <c r="P1739" s="177"/>
      <c r="Q1739" s="196"/>
      <c r="R1739" s="408"/>
      <c r="S1739" s="77"/>
      <c r="T1739" s="1703"/>
      <c r="U1739" s="77"/>
      <c r="V1739" s="74"/>
      <c r="W1739" s="74"/>
      <c r="X1739" s="74"/>
      <c r="Y1739" s="74"/>
      <c r="Z1739" s="74"/>
      <c r="AA1739" s="414"/>
      <c r="AB1739" s="466"/>
    </row>
    <row r="1740" spans="1:32" s="457" customFormat="1" ht="18" customHeight="1" x14ac:dyDescent="0.2">
      <c r="A1740" s="242"/>
      <c r="B1740" s="242"/>
      <c r="C1740" s="496"/>
      <c r="D1740" s="1702"/>
      <c r="E1740" s="88"/>
      <c r="F1740" s="411"/>
      <c r="G1740" s="242"/>
      <c r="H1740" s="497"/>
      <c r="I1740" s="77"/>
      <c r="J1740" s="1705"/>
      <c r="K1740" s="78"/>
      <c r="L1740" s="242"/>
      <c r="M1740" s="242"/>
      <c r="N1740" s="242"/>
      <c r="O1740" s="242"/>
      <c r="P1740" s="497"/>
      <c r="Q1740" s="496"/>
      <c r="R1740" s="503"/>
      <c r="S1740" s="504"/>
      <c r="T1740" s="505"/>
      <c r="U1740" s="504"/>
      <c r="V1740" s="504"/>
      <c r="W1740" s="77"/>
      <c r="X1740" s="77"/>
      <c r="Y1740" s="77"/>
      <c r="Z1740" s="77"/>
      <c r="AA1740" s="1706"/>
      <c r="AB1740" s="506"/>
    </row>
    <row r="1741" spans="1:32" s="457" customFormat="1" ht="18" customHeight="1" x14ac:dyDescent="0.2">
      <c r="A1741" s="242"/>
      <c r="B1741" s="242"/>
      <c r="C1741" s="496"/>
      <c r="D1741" s="88"/>
      <c r="E1741" s="231"/>
      <c r="F1741" s="411"/>
      <c r="G1741" s="242"/>
      <c r="H1741" s="497"/>
      <c r="I1741" s="77"/>
      <c r="J1741" s="1705"/>
      <c r="K1741" s="78"/>
      <c r="L1741" s="242"/>
      <c r="M1741" s="242"/>
      <c r="N1741" s="242"/>
      <c r="O1741" s="242"/>
      <c r="P1741" s="497"/>
      <c r="Q1741" s="496"/>
      <c r="R1741" s="503"/>
      <c r="S1741" s="504"/>
      <c r="T1741" s="505"/>
      <c r="U1741" s="504"/>
      <c r="V1741" s="504"/>
      <c r="W1741" s="77"/>
      <c r="X1741" s="77"/>
      <c r="Y1741" s="77"/>
      <c r="Z1741" s="77"/>
      <c r="AA1741" s="1706"/>
      <c r="AB1741" s="506"/>
    </row>
    <row r="1742" spans="1:32" s="457" customFormat="1" ht="18" customHeight="1" x14ac:dyDescent="0.2">
      <c r="A1742" s="242"/>
      <c r="B1742" s="242"/>
      <c r="C1742" s="496"/>
      <c r="D1742" s="231"/>
      <c r="E1742" s="1702"/>
      <c r="F1742" s="411"/>
      <c r="G1742" s="242"/>
      <c r="H1742" s="497"/>
      <c r="I1742" s="77"/>
      <c r="J1742" s="1705"/>
      <c r="K1742" s="78"/>
      <c r="L1742" s="242"/>
      <c r="M1742" s="242"/>
      <c r="N1742" s="242"/>
      <c r="O1742" s="242"/>
      <c r="P1742" s="497"/>
      <c r="Q1742" s="496"/>
      <c r="R1742" s="503"/>
      <c r="S1742" s="504"/>
      <c r="T1742" s="505"/>
      <c r="U1742" s="504"/>
      <c r="V1742" s="504"/>
      <c r="W1742" s="77"/>
      <c r="X1742" s="77"/>
      <c r="Y1742" s="77"/>
      <c r="Z1742" s="77"/>
      <c r="AA1742" s="1706"/>
      <c r="AB1742" s="506"/>
    </row>
    <row r="1743" spans="1:32" s="457" customFormat="1" ht="18" customHeight="1" x14ac:dyDescent="0.2">
      <c r="A1743" s="242"/>
      <c r="B1743" s="242"/>
      <c r="C1743" s="496"/>
      <c r="D1743" s="1702"/>
      <c r="E1743" s="1702"/>
      <c r="F1743" s="411"/>
      <c r="G1743" s="242"/>
      <c r="H1743" s="497"/>
      <c r="I1743" s="77"/>
      <c r="J1743" s="1705"/>
      <c r="K1743" s="78"/>
      <c r="L1743" s="242"/>
      <c r="M1743" s="242"/>
      <c r="N1743" s="242"/>
      <c r="O1743" s="242"/>
      <c r="P1743" s="497"/>
      <c r="Q1743" s="496"/>
      <c r="R1743" s="503"/>
      <c r="S1743" s="504"/>
      <c r="T1743" s="505"/>
      <c r="U1743" s="504"/>
      <c r="V1743" s="504"/>
      <c r="W1743" s="77"/>
      <c r="X1743" s="77"/>
      <c r="Y1743" s="77"/>
      <c r="Z1743" s="77"/>
      <c r="AA1743" s="1706"/>
      <c r="AB1743" s="506"/>
    </row>
    <row r="1744" spans="1:32" s="457" customFormat="1" ht="18" customHeight="1" x14ac:dyDescent="0.2">
      <c r="A1744" s="242"/>
      <c r="B1744" s="242"/>
      <c r="C1744" s="496"/>
      <c r="D1744" s="88"/>
      <c r="E1744" s="1702"/>
      <c r="F1744" s="411"/>
      <c r="G1744" s="242"/>
      <c r="H1744" s="497"/>
      <c r="I1744" s="77"/>
      <c r="J1744" s="1705"/>
      <c r="K1744" s="78"/>
      <c r="L1744" s="242"/>
      <c r="M1744" s="242"/>
      <c r="N1744" s="242"/>
      <c r="O1744" s="242"/>
      <c r="P1744" s="497"/>
      <c r="Q1744" s="496"/>
      <c r="R1744" s="503"/>
      <c r="S1744" s="504"/>
      <c r="T1744" s="505"/>
      <c r="U1744" s="504"/>
      <c r="V1744" s="504"/>
      <c r="W1744" s="77"/>
      <c r="X1744" s="77"/>
      <c r="Y1744" s="77"/>
      <c r="Z1744" s="77"/>
      <c r="AA1744" s="1706"/>
      <c r="AB1744" s="506"/>
    </row>
    <row r="1745" spans="1:28" s="457" customFormat="1" ht="18" customHeight="1" x14ac:dyDescent="0.2">
      <c r="A1745" s="242"/>
      <c r="B1745" s="242"/>
      <c r="C1745" s="496"/>
      <c r="D1745" s="231"/>
      <c r="E1745" s="88"/>
      <c r="F1745" s="411"/>
      <c r="G1745" s="242"/>
      <c r="H1745" s="497"/>
      <c r="I1745" s="77"/>
      <c r="J1745" s="1705"/>
      <c r="K1745" s="78"/>
      <c r="L1745" s="242"/>
      <c r="M1745" s="242"/>
      <c r="N1745" s="242"/>
      <c r="O1745" s="242"/>
      <c r="P1745" s="497"/>
      <c r="Q1745" s="496"/>
      <c r="R1745" s="503"/>
      <c r="S1745" s="504"/>
      <c r="T1745" s="505"/>
      <c r="U1745" s="504"/>
      <c r="V1745" s="504"/>
      <c r="W1745" s="77"/>
      <c r="X1745" s="77"/>
      <c r="Y1745" s="77"/>
      <c r="Z1745" s="77"/>
      <c r="AA1745" s="1706"/>
      <c r="AB1745" s="506"/>
    </row>
    <row r="1746" spans="1:28" s="457" customFormat="1" ht="18" customHeight="1" x14ac:dyDescent="0.2">
      <c r="A1746" s="242"/>
      <c r="B1746" s="242"/>
      <c r="C1746" s="496"/>
      <c r="D1746" s="496"/>
      <c r="E1746" s="88"/>
      <c r="F1746" s="411"/>
      <c r="G1746" s="242"/>
      <c r="H1746" s="497"/>
      <c r="I1746" s="77"/>
      <c r="J1746" s="1705"/>
      <c r="K1746" s="78"/>
      <c r="L1746" s="242"/>
      <c r="M1746" s="242"/>
      <c r="N1746" s="242"/>
      <c r="O1746" s="242"/>
      <c r="P1746" s="497"/>
      <c r="Q1746" s="496"/>
      <c r="R1746" s="503"/>
      <c r="S1746" s="504"/>
      <c r="T1746" s="505"/>
      <c r="U1746" s="504"/>
      <c r="V1746" s="504"/>
      <c r="W1746" s="77"/>
      <c r="X1746" s="77"/>
      <c r="Y1746" s="77"/>
      <c r="Z1746" s="77"/>
      <c r="AA1746" s="1706"/>
      <c r="AB1746" s="506"/>
    </row>
    <row r="1747" spans="1:28" s="457" customFormat="1" ht="18" customHeight="1" x14ac:dyDescent="0.2">
      <c r="A1747" s="1703"/>
      <c r="B1747" s="177"/>
      <c r="C1747" s="177"/>
      <c r="D1747" s="1703"/>
      <c r="E1747" s="1703"/>
      <c r="F1747" s="1703"/>
      <c r="G1747" s="1703"/>
      <c r="H1747" s="1707"/>
      <c r="I1747" s="1705"/>
      <c r="J1747" s="178"/>
      <c r="K1747" s="1705"/>
      <c r="L1747" s="1703"/>
      <c r="M1747" s="1703"/>
      <c r="N1747" s="1703"/>
      <c r="O1747" s="1703"/>
      <c r="P1747" s="1707"/>
      <c r="Q1747" s="1704"/>
      <c r="R1747" s="437"/>
      <c r="S1747" s="1705"/>
      <c r="T1747" s="179"/>
      <c r="U1747" s="178"/>
      <c r="V1747" s="1705"/>
      <c r="W1747" s="1705"/>
      <c r="X1747" s="470"/>
      <c r="Y1747" s="470"/>
      <c r="Z1747" s="471"/>
      <c r="AA1747" s="471"/>
      <c r="AB1747" s="466"/>
    </row>
    <row r="1748" spans="1:28" s="457" customFormat="1" ht="18" customHeight="1" x14ac:dyDescent="0.2">
      <c r="A1748" s="1703"/>
      <c r="B1748" s="177"/>
      <c r="C1748" s="177"/>
      <c r="D1748" s="1703"/>
      <c r="E1748" s="1703"/>
      <c r="F1748" s="1703"/>
      <c r="G1748" s="1703"/>
      <c r="H1748" s="1707"/>
      <c r="I1748" s="1705"/>
      <c r="J1748" s="178"/>
      <c r="K1748" s="1705"/>
      <c r="L1748" s="1703"/>
      <c r="M1748" s="1703"/>
      <c r="N1748" s="1703"/>
      <c r="O1748" s="1703"/>
      <c r="P1748" s="1707"/>
      <c r="Q1748" s="1704"/>
      <c r="R1748" s="437"/>
      <c r="S1748" s="1705"/>
      <c r="T1748" s="179"/>
      <c r="U1748" s="178"/>
      <c r="V1748" s="1705"/>
      <c r="W1748" s="1705"/>
      <c r="X1748" s="470"/>
      <c r="Y1748" s="470"/>
      <c r="Z1748" s="471"/>
      <c r="AA1748" s="471"/>
      <c r="AB1748" s="466"/>
    </row>
    <row r="1749" spans="1:28" s="457" customFormat="1" ht="18" customHeight="1" x14ac:dyDescent="0.2">
      <c r="A1749" s="88"/>
      <c r="B1749" s="180"/>
      <c r="C1749" s="180"/>
      <c r="D1749" s="88"/>
      <c r="E1749" s="88"/>
      <c r="F1749" s="88"/>
      <c r="G1749" s="88"/>
      <c r="H1749" s="120"/>
      <c r="I1749" s="121"/>
      <c r="J1749" s="181"/>
      <c r="K1749" s="121"/>
      <c r="L1749" s="88"/>
      <c r="M1749" s="88"/>
      <c r="N1749" s="88"/>
      <c r="O1749" s="88"/>
      <c r="P1749" s="88"/>
      <c r="Q1749" s="129"/>
      <c r="R1749" s="445"/>
      <c r="S1749" s="121"/>
      <c r="T1749" s="182"/>
      <c r="U1749" s="181"/>
      <c r="V1749" s="121"/>
      <c r="W1749" s="121"/>
      <c r="X1749" s="472"/>
      <c r="Y1749" s="472"/>
      <c r="Z1749" s="473"/>
      <c r="AA1749" s="473"/>
      <c r="AB1749" s="410"/>
    </row>
    <row r="1750" spans="1:28" s="597" customFormat="1" ht="18" customHeight="1" x14ac:dyDescent="0.2">
      <c r="A1750" s="1850"/>
      <c r="B1750" s="1850"/>
      <c r="C1750" s="1850"/>
      <c r="D1750" s="1850"/>
      <c r="E1750" s="1850"/>
      <c r="F1750" s="1850"/>
      <c r="G1750" s="1850"/>
      <c r="H1750" s="1851"/>
      <c r="I1750" s="1852"/>
      <c r="J1750" s="1853"/>
      <c r="K1750" s="1852"/>
      <c r="L1750" s="1852"/>
      <c r="M1750" s="1852"/>
      <c r="N1750" s="1852"/>
      <c r="O1750" s="1852"/>
      <c r="P1750" s="1852"/>
      <c r="Q1750" s="1852"/>
      <c r="R1750" s="1854"/>
      <c r="S1750" s="1852"/>
      <c r="T1750" s="1855"/>
      <c r="U1750" s="1853"/>
      <c r="V1750" s="1852"/>
      <c r="W1750" s="1852"/>
      <c r="X1750" s="1856"/>
      <c r="Y1750" s="1856"/>
      <c r="Z1750" s="1857"/>
      <c r="AA1750" s="1857"/>
      <c r="AB1750" s="1847">
        <f>SUM(AB1735:AB1749)</f>
        <v>140.274</v>
      </c>
    </row>
    <row r="1751" spans="1:28" s="457" customFormat="1" ht="18" customHeight="1" x14ac:dyDescent="0.2">
      <c r="A1751" s="2737" t="s">
        <v>76</v>
      </c>
      <c r="B1751" s="2737"/>
      <c r="C1751" s="2738" t="s">
        <v>77</v>
      </c>
      <c r="D1751" s="2738"/>
      <c r="E1751" s="2738"/>
      <c r="F1751" s="2738"/>
      <c r="G1751" s="2738"/>
      <c r="H1751" s="2738"/>
      <c r="I1751" s="457" t="s">
        <v>78</v>
      </c>
      <c r="AB1751" s="478"/>
    </row>
    <row r="1752" spans="1:28" s="457" customFormat="1" ht="18" customHeight="1" x14ac:dyDescent="0.2">
      <c r="B1752" s="479"/>
      <c r="I1752" s="457" t="s">
        <v>79</v>
      </c>
      <c r="AB1752" s="478"/>
    </row>
    <row r="1753" spans="1:28" s="457" customFormat="1" ht="18" customHeight="1" x14ac:dyDescent="0.2">
      <c r="B1753" s="479"/>
      <c r="I1753" s="457" t="s">
        <v>80</v>
      </c>
      <c r="AB1753" s="478"/>
    </row>
    <row r="1754" spans="1:28" s="457" customFormat="1" ht="18" customHeight="1" x14ac:dyDescent="0.2">
      <c r="B1754" s="479"/>
      <c r="I1754" s="457" t="s">
        <v>81</v>
      </c>
      <c r="AB1754" s="478"/>
    </row>
    <row r="1755" spans="1:28" s="457" customFormat="1" ht="18" customHeight="1" x14ac:dyDescent="0.2">
      <c r="B1755" s="479"/>
      <c r="I1755" s="457" t="s">
        <v>88</v>
      </c>
      <c r="AB1755" s="478"/>
    </row>
    <row r="1760" spans="1:28" s="457" customFormat="1" ht="18" customHeight="1" x14ac:dyDescent="0.2">
      <c r="A1760" s="455"/>
      <c r="B1760" s="455"/>
      <c r="C1760" s="455"/>
      <c r="D1760" s="455"/>
      <c r="E1760" s="455"/>
      <c r="F1760" s="455"/>
      <c r="G1760" s="455"/>
      <c r="H1760" s="455"/>
      <c r="I1760" s="455"/>
      <c r="J1760" s="455"/>
      <c r="K1760" s="455"/>
      <c r="L1760" s="455"/>
      <c r="M1760" s="455"/>
      <c r="N1760" s="455"/>
      <c r="O1760" s="455"/>
      <c r="P1760" s="455"/>
      <c r="Q1760" s="455"/>
      <c r="R1760" s="455"/>
      <c r="S1760" s="455"/>
      <c r="T1760" s="455"/>
      <c r="U1760" s="455"/>
      <c r="V1760" s="455"/>
      <c r="W1760" s="455"/>
      <c r="X1760" s="455"/>
      <c r="Y1760" s="455"/>
      <c r="Z1760" s="455"/>
      <c r="AA1760" s="2705" t="s">
        <v>0</v>
      </c>
      <c r="AB1760" s="2705"/>
    </row>
    <row r="1761" spans="1:28" s="457" customFormat="1" ht="18" customHeight="1" x14ac:dyDescent="0.2">
      <c r="A1761" s="2706" t="s">
        <v>1</v>
      </c>
      <c r="B1761" s="2706"/>
      <c r="C1761" s="2706"/>
      <c r="D1761" s="2706"/>
      <c r="E1761" s="2706"/>
      <c r="F1761" s="2706"/>
      <c r="G1761" s="2706"/>
      <c r="H1761" s="2706"/>
      <c r="I1761" s="2706"/>
      <c r="J1761" s="2706"/>
      <c r="K1761" s="2706"/>
      <c r="L1761" s="2706"/>
      <c r="M1761" s="2706"/>
      <c r="N1761" s="2706"/>
      <c r="O1761" s="2706"/>
      <c r="P1761" s="2706"/>
      <c r="Q1761" s="2706"/>
      <c r="R1761" s="2706"/>
      <c r="S1761" s="2706"/>
      <c r="T1761" s="2706"/>
      <c r="U1761" s="2706"/>
      <c r="V1761" s="2706"/>
      <c r="W1761" s="2706"/>
      <c r="X1761" s="2706"/>
      <c r="Y1761" s="2706"/>
      <c r="Z1761" s="2706"/>
      <c r="AA1761" s="2706"/>
      <c r="AB1761" s="2706"/>
    </row>
    <row r="1762" spans="1:28" s="457" customFormat="1" ht="18" customHeight="1" x14ac:dyDescent="0.2">
      <c r="A1762" s="2741" t="s">
        <v>366</v>
      </c>
      <c r="B1762" s="2741"/>
      <c r="C1762" s="2741"/>
      <c r="D1762" s="2741"/>
      <c r="E1762" s="2741"/>
      <c r="F1762" s="2741"/>
      <c r="G1762" s="2741"/>
      <c r="H1762" s="2741"/>
      <c r="I1762" s="2741"/>
      <c r="J1762" s="2741"/>
      <c r="K1762" s="2741"/>
      <c r="L1762" s="2741"/>
      <c r="M1762" s="2741"/>
      <c r="N1762" s="2741"/>
      <c r="O1762" s="2741"/>
      <c r="P1762" s="2741"/>
      <c r="Q1762" s="2741"/>
      <c r="R1762" s="2741"/>
      <c r="S1762" s="2741"/>
      <c r="T1762" s="2741"/>
      <c r="U1762" s="2741"/>
      <c r="V1762" s="2741"/>
      <c r="W1762" s="2741"/>
      <c r="X1762" s="2741"/>
      <c r="Y1762" s="2741"/>
      <c r="Z1762" s="2741"/>
      <c r="AA1762" s="2741"/>
      <c r="AB1762" s="2741"/>
    </row>
    <row r="1763" spans="1:28" s="457" customFormat="1" ht="18" customHeight="1" x14ac:dyDescent="0.2">
      <c r="A1763" s="2686" t="s">
        <v>2</v>
      </c>
      <c r="B1763" s="360"/>
      <c r="C1763" s="2686" t="s">
        <v>3</v>
      </c>
      <c r="D1763" s="360"/>
      <c r="E1763" s="360"/>
      <c r="F1763" s="2693" t="s">
        <v>4</v>
      </c>
      <c r="G1763" s="2693"/>
      <c r="H1763" s="2693"/>
      <c r="I1763" s="2694"/>
      <c r="J1763" s="2694"/>
      <c r="K1763" s="2695"/>
      <c r="L1763" s="361"/>
      <c r="M1763" s="2679" t="s">
        <v>5</v>
      </c>
      <c r="N1763" s="2679"/>
      <c r="O1763" s="2679"/>
      <c r="P1763" s="2679"/>
      <c r="Q1763" s="2696"/>
      <c r="R1763" s="2696"/>
      <c r="S1763" s="2696"/>
      <c r="T1763" s="2696"/>
      <c r="U1763" s="2696"/>
      <c r="V1763" s="2697"/>
      <c r="W1763" s="362" t="s">
        <v>6</v>
      </c>
      <c r="X1763" s="363" t="s">
        <v>7</v>
      </c>
      <c r="Y1763" s="364"/>
      <c r="Z1763" s="364"/>
      <c r="AA1763" s="363"/>
      <c r="AB1763" s="458"/>
    </row>
    <row r="1764" spans="1:28" s="457" customFormat="1" ht="18" customHeight="1" x14ac:dyDescent="0.2">
      <c r="A1764" s="2687"/>
      <c r="B1764" s="367"/>
      <c r="C1764" s="2687"/>
      <c r="D1764" s="1731" t="s">
        <v>9</v>
      </c>
      <c r="E1764" s="1731" t="s">
        <v>10</v>
      </c>
      <c r="F1764" s="2698" t="s">
        <v>11</v>
      </c>
      <c r="G1764" s="2694"/>
      <c r="H1764" s="2695"/>
      <c r="I1764" s="360"/>
      <c r="J1764" s="1730" t="s">
        <v>12</v>
      </c>
      <c r="K1764" s="360"/>
      <c r="L1764" s="2679" t="s">
        <v>2</v>
      </c>
      <c r="M1764" s="1736"/>
      <c r="N1764" s="1736"/>
      <c r="O1764" s="1736"/>
      <c r="P1764" s="371"/>
      <c r="Q1764" s="459" t="s">
        <v>13</v>
      </c>
      <c r="R1764" s="1736" t="s">
        <v>12</v>
      </c>
      <c r="S1764" s="1736" t="s">
        <v>6</v>
      </c>
      <c r="T1764" s="2682" t="s">
        <v>14</v>
      </c>
      <c r="U1764" s="2683"/>
      <c r="V1764" s="375" t="s">
        <v>7</v>
      </c>
      <c r="W1764" s="376" t="s">
        <v>15</v>
      </c>
      <c r="X1764" s="377" t="s">
        <v>16</v>
      </c>
      <c r="Y1764" s="377" t="s">
        <v>17</v>
      </c>
      <c r="Z1764" s="377" t="s">
        <v>18</v>
      </c>
      <c r="AA1764" s="377"/>
      <c r="AB1764" s="460" t="s">
        <v>19</v>
      </c>
    </row>
    <row r="1765" spans="1:28" s="457" customFormat="1" ht="18" customHeight="1" x14ac:dyDescent="0.2">
      <c r="A1765" s="2687"/>
      <c r="B1765" s="1731" t="s">
        <v>23</v>
      </c>
      <c r="C1765" s="2687"/>
      <c r="D1765" s="1731" t="s">
        <v>24</v>
      </c>
      <c r="E1765" s="1731" t="s">
        <v>25</v>
      </c>
      <c r="F1765" s="2699"/>
      <c r="G1765" s="2700"/>
      <c r="H1765" s="2701"/>
      <c r="I1765" s="1731" t="s">
        <v>26</v>
      </c>
      <c r="J1765" s="1735" t="s">
        <v>15</v>
      </c>
      <c r="K1765" s="1735" t="s">
        <v>6</v>
      </c>
      <c r="L1765" s="2680"/>
      <c r="M1765" s="1737" t="s">
        <v>27</v>
      </c>
      <c r="N1765" s="1737" t="s">
        <v>10</v>
      </c>
      <c r="O1765" s="1737" t="s">
        <v>10</v>
      </c>
      <c r="P1765" s="385" t="s">
        <v>28</v>
      </c>
      <c r="Q1765" s="461" t="s">
        <v>29</v>
      </c>
      <c r="R1765" s="385" t="s">
        <v>15</v>
      </c>
      <c r="S1765" s="385" t="s">
        <v>15</v>
      </c>
      <c r="T1765" s="2684"/>
      <c r="U1765" s="2685"/>
      <c r="V1765" s="375" t="s">
        <v>30</v>
      </c>
      <c r="W1765" s="376" t="s">
        <v>31</v>
      </c>
      <c r="X1765" s="377" t="s">
        <v>30</v>
      </c>
      <c r="Y1765" s="377" t="s">
        <v>32</v>
      </c>
      <c r="Z1765" s="377" t="s">
        <v>7</v>
      </c>
      <c r="AA1765" s="377" t="s">
        <v>33</v>
      </c>
      <c r="AB1765" s="460" t="s">
        <v>34</v>
      </c>
    </row>
    <row r="1766" spans="1:28" s="457" customFormat="1" ht="18" customHeight="1" x14ac:dyDescent="0.2">
      <c r="A1766" s="2687"/>
      <c r="B1766" s="1731" t="s">
        <v>39</v>
      </c>
      <c r="C1766" s="2687"/>
      <c r="D1766" s="1731" t="s">
        <v>40</v>
      </c>
      <c r="E1766" s="1731" t="s">
        <v>41</v>
      </c>
      <c r="F1766" s="2686" t="s">
        <v>42</v>
      </c>
      <c r="G1766" s="2686" t="s">
        <v>43</v>
      </c>
      <c r="H1766" s="2688" t="s">
        <v>44</v>
      </c>
      <c r="I1766" s="1731" t="s">
        <v>45</v>
      </c>
      <c r="J1766" s="1735" t="s">
        <v>46</v>
      </c>
      <c r="K1766" s="1735" t="s">
        <v>47</v>
      </c>
      <c r="L1766" s="2680"/>
      <c r="M1766" s="1737" t="s">
        <v>30</v>
      </c>
      <c r="N1766" s="1737" t="s">
        <v>30</v>
      </c>
      <c r="O1766" s="1737" t="s">
        <v>25</v>
      </c>
      <c r="P1766" s="385" t="s">
        <v>30</v>
      </c>
      <c r="Q1766" s="461" t="s">
        <v>48</v>
      </c>
      <c r="R1766" s="385" t="s">
        <v>49</v>
      </c>
      <c r="S1766" s="385" t="s">
        <v>30</v>
      </c>
      <c r="T1766" s="1734" t="s">
        <v>50</v>
      </c>
      <c r="U1766" s="1734" t="s">
        <v>13</v>
      </c>
      <c r="V1766" s="375" t="s">
        <v>51</v>
      </c>
      <c r="W1766" s="376" t="s">
        <v>52</v>
      </c>
      <c r="X1766" s="377" t="s">
        <v>53</v>
      </c>
      <c r="Y1766" s="377" t="s">
        <v>54</v>
      </c>
      <c r="Z1766" s="377" t="s">
        <v>55</v>
      </c>
      <c r="AA1766" s="377" t="s">
        <v>56</v>
      </c>
      <c r="AB1766" s="460" t="s">
        <v>57</v>
      </c>
    </row>
    <row r="1767" spans="1:28" s="457" customFormat="1" ht="18" customHeight="1" x14ac:dyDescent="0.2">
      <c r="A1767" s="2687"/>
      <c r="B1767" s="1731" t="s">
        <v>61</v>
      </c>
      <c r="C1767" s="2687"/>
      <c r="D1767" s="1731" t="s">
        <v>62</v>
      </c>
      <c r="E1767" s="1731" t="s">
        <v>63</v>
      </c>
      <c r="F1767" s="2687"/>
      <c r="G1767" s="2687"/>
      <c r="H1767" s="2689"/>
      <c r="I1767" s="1731" t="s">
        <v>64</v>
      </c>
      <c r="J1767" s="1735" t="s">
        <v>59</v>
      </c>
      <c r="K1767" s="1735" t="s">
        <v>59</v>
      </c>
      <c r="L1767" s="2680"/>
      <c r="M1767" s="1737"/>
      <c r="N1767" s="1737"/>
      <c r="O1767" s="1737" t="s">
        <v>41</v>
      </c>
      <c r="P1767" s="385" t="s">
        <v>65</v>
      </c>
      <c r="Q1767" s="461" t="s">
        <v>66</v>
      </c>
      <c r="R1767" s="385" t="s">
        <v>67</v>
      </c>
      <c r="S1767" s="385" t="s">
        <v>59</v>
      </c>
      <c r="T1767" s="375" t="s">
        <v>68</v>
      </c>
      <c r="U1767" s="375" t="s">
        <v>14</v>
      </c>
      <c r="V1767" s="375" t="s">
        <v>14</v>
      </c>
      <c r="W1767" s="376" t="s">
        <v>30</v>
      </c>
      <c r="X1767" s="388" t="s">
        <v>69</v>
      </c>
      <c r="Y1767" s="388" t="s">
        <v>70</v>
      </c>
      <c r="Z1767" s="377" t="s">
        <v>71</v>
      </c>
      <c r="AA1767" s="377" t="s">
        <v>72</v>
      </c>
      <c r="AB1767" s="460" t="s">
        <v>59</v>
      </c>
    </row>
    <row r="1768" spans="1:28" s="457" customFormat="1" ht="18" customHeight="1" x14ac:dyDescent="0.2">
      <c r="A1768" s="2692"/>
      <c r="B1768" s="390"/>
      <c r="C1768" s="2692"/>
      <c r="D1768" s="390"/>
      <c r="E1768" s="1732"/>
      <c r="F1768" s="390"/>
      <c r="G1768" s="390"/>
      <c r="H1768" s="391"/>
      <c r="I1768" s="1732"/>
      <c r="J1768" s="393"/>
      <c r="K1768" s="393"/>
      <c r="L1768" s="2681"/>
      <c r="M1768" s="1738"/>
      <c r="N1768" s="1738"/>
      <c r="O1768" s="1738" t="s">
        <v>63</v>
      </c>
      <c r="P1768" s="1738"/>
      <c r="Q1768" s="1733" t="s">
        <v>72</v>
      </c>
      <c r="R1768" s="398" t="s">
        <v>59</v>
      </c>
      <c r="S1768" s="398"/>
      <c r="T1768" s="398" t="s">
        <v>73</v>
      </c>
      <c r="U1768" s="398" t="s">
        <v>59</v>
      </c>
      <c r="V1768" s="399" t="s">
        <v>59</v>
      </c>
      <c r="W1768" s="400" t="s">
        <v>59</v>
      </c>
      <c r="X1768" s="401" t="s">
        <v>59</v>
      </c>
      <c r="Y1768" s="401" t="s">
        <v>59</v>
      </c>
      <c r="Z1768" s="401" t="s">
        <v>59</v>
      </c>
      <c r="AA1768" s="402"/>
      <c r="AB1768" s="462"/>
    </row>
    <row r="1769" spans="1:28" s="457" customFormat="1" ht="18" customHeight="1" x14ac:dyDescent="0.2">
      <c r="A1769" s="53">
        <v>1</v>
      </c>
      <c r="B1769" s="95">
        <v>2740</v>
      </c>
      <c r="C1769" s="82">
        <v>129</v>
      </c>
      <c r="D1769" s="82" t="s">
        <v>86</v>
      </c>
      <c r="E1769" s="82">
        <v>3</v>
      </c>
      <c r="F1769" s="1578">
        <v>2</v>
      </c>
      <c r="G1769" s="1578">
        <v>3</v>
      </c>
      <c r="H1769" s="1579">
        <v>54</v>
      </c>
      <c r="I1769" s="70">
        <f>F1769*400+G1769*100+H1769</f>
        <v>1154</v>
      </c>
      <c r="J1769" s="1580">
        <v>1100</v>
      </c>
      <c r="K1769" s="124">
        <f>SUM(I1769*J1769)</f>
        <v>1269400</v>
      </c>
      <c r="L1769" s="53"/>
      <c r="M1769" s="82"/>
      <c r="N1769" s="82"/>
      <c r="O1769" s="53"/>
      <c r="P1769" s="358"/>
      <c r="Q1769" s="197"/>
      <c r="R1769" s="444"/>
      <c r="S1769" s="70"/>
      <c r="T1769" s="82"/>
      <c r="U1769" s="70"/>
      <c r="V1769" s="70"/>
      <c r="W1769" s="70">
        <f>K1769+V1769</f>
        <v>1269400</v>
      </c>
      <c r="X1769" s="70">
        <f>W1769</f>
        <v>1269400</v>
      </c>
      <c r="Y1769" s="82"/>
      <c r="Z1769" s="123">
        <f>X1769</f>
        <v>1269400</v>
      </c>
      <c r="AA1769" s="464">
        <v>0.3</v>
      </c>
      <c r="AB1769" s="465">
        <f>+Z1769*AA1769/100</f>
        <v>3808.2</v>
      </c>
    </row>
    <row r="1770" spans="1:28" s="457" customFormat="1" ht="18" customHeight="1" x14ac:dyDescent="0.2">
      <c r="A1770" s="75"/>
      <c r="B1770" s="88"/>
      <c r="C1770" s="88"/>
      <c r="D1770" s="88"/>
      <c r="E1770" s="88"/>
      <c r="F1770" s="88"/>
      <c r="G1770" s="88"/>
      <c r="H1770" s="495"/>
      <c r="I1770" s="74"/>
      <c r="J1770" s="121"/>
      <c r="K1770" s="159"/>
      <c r="L1770" s="53">
        <v>1</v>
      </c>
      <c r="M1770" s="82">
        <v>513</v>
      </c>
      <c r="N1770" s="82" t="s">
        <v>74</v>
      </c>
      <c r="O1770" s="53">
        <v>3</v>
      </c>
      <c r="P1770" s="358">
        <v>785</v>
      </c>
      <c r="Q1770" s="197" t="s">
        <v>75</v>
      </c>
      <c r="R1770" s="444">
        <v>6250</v>
      </c>
      <c r="S1770" s="70">
        <f>P1770*R1770</f>
        <v>4906250</v>
      </c>
      <c r="T1770" s="82"/>
      <c r="U1770" s="70"/>
      <c r="V1770" s="70">
        <f>S1770-U1770</f>
        <v>4906250</v>
      </c>
      <c r="W1770" s="74"/>
      <c r="X1770" s="74"/>
      <c r="Y1770" s="88"/>
      <c r="Z1770" s="121"/>
      <c r="AA1770" s="414"/>
      <c r="AB1770" s="410"/>
    </row>
    <row r="1771" spans="1:28" s="457" customFormat="1" ht="18" customHeight="1" x14ac:dyDescent="0.2">
      <c r="A1771" s="61"/>
      <c r="B1771" s="1739"/>
      <c r="C1771" s="1739"/>
      <c r="D1771" s="1739"/>
      <c r="E1771" s="1739"/>
      <c r="F1771" s="1739"/>
      <c r="G1771" s="1739"/>
      <c r="H1771" s="407"/>
      <c r="I1771" s="77"/>
      <c r="J1771" s="1742"/>
      <c r="K1771" s="78"/>
      <c r="L1771" s="61"/>
      <c r="M1771" s="1739"/>
      <c r="N1771" s="1739"/>
      <c r="O1771" s="61"/>
      <c r="P1771" s="177"/>
      <c r="Q1771" s="196"/>
      <c r="R1771" s="408"/>
      <c r="S1771" s="77"/>
      <c r="T1771" s="1739"/>
      <c r="U1771" s="77"/>
      <c r="V1771" s="77"/>
      <c r="W1771" s="77"/>
      <c r="X1771" s="77"/>
      <c r="Y1771" s="1739"/>
      <c r="Z1771" s="1742"/>
      <c r="AA1771" s="1743"/>
      <c r="AB1771" s="466"/>
    </row>
    <row r="1772" spans="1:28" s="457" customFormat="1" ht="18" customHeight="1" x14ac:dyDescent="0.2">
      <c r="A1772" s="61"/>
      <c r="B1772" s="1739"/>
      <c r="C1772" s="1739"/>
      <c r="D1772" s="1739"/>
      <c r="E1772" s="1739"/>
      <c r="F1772" s="1739"/>
      <c r="G1772" s="1739"/>
      <c r="H1772" s="407"/>
      <c r="I1772" s="77"/>
      <c r="J1772" s="1742"/>
      <c r="K1772" s="78"/>
      <c r="L1772" s="61"/>
      <c r="M1772" s="1739"/>
      <c r="N1772" s="1739"/>
      <c r="O1772" s="61"/>
      <c r="P1772" s="177"/>
      <c r="Q1772" s="196"/>
      <c r="R1772" s="440"/>
      <c r="S1772" s="78"/>
      <c r="T1772" s="1739"/>
      <c r="U1772" s="77"/>
      <c r="V1772" s="77"/>
      <c r="W1772" s="77"/>
      <c r="X1772" s="77"/>
      <c r="Y1772" s="1739"/>
      <c r="Z1772" s="1742"/>
      <c r="AA1772" s="1743"/>
      <c r="AB1772" s="466"/>
    </row>
    <row r="1773" spans="1:28" s="457" customFormat="1" ht="18" customHeight="1" x14ac:dyDescent="0.2">
      <c r="A1773" s="75"/>
      <c r="B1773" s="61"/>
      <c r="C1773" s="196"/>
      <c r="D1773" s="88"/>
      <c r="E1773" s="88"/>
      <c r="F1773" s="467"/>
      <c r="G1773" s="61"/>
      <c r="H1773" s="173"/>
      <c r="I1773" s="77"/>
      <c r="J1773" s="1742"/>
      <c r="K1773" s="78"/>
      <c r="L1773" s="61"/>
      <c r="M1773" s="1739"/>
      <c r="N1773" s="1739"/>
      <c r="O1773" s="61"/>
      <c r="P1773" s="177"/>
      <c r="Q1773" s="196"/>
      <c r="R1773" s="1744"/>
      <c r="S1773" s="78"/>
      <c r="T1773" s="88"/>
      <c r="U1773" s="77"/>
      <c r="V1773" s="74"/>
      <c r="W1773" s="74"/>
      <c r="X1773" s="74"/>
      <c r="Y1773" s="121"/>
      <c r="Z1773" s="121"/>
      <c r="AA1773" s="469"/>
      <c r="AB1773" s="466"/>
    </row>
    <row r="1774" spans="1:28" s="457" customFormat="1" ht="18" customHeight="1" x14ac:dyDescent="0.2">
      <c r="A1774" s="1739"/>
      <c r="B1774" s="177"/>
      <c r="C1774" s="177"/>
      <c r="D1774" s="1739"/>
      <c r="E1774" s="1739"/>
      <c r="F1774" s="1739"/>
      <c r="G1774" s="1739"/>
      <c r="H1774" s="1741"/>
      <c r="I1774" s="1742"/>
      <c r="J1774" s="178"/>
      <c r="K1774" s="1742"/>
      <c r="L1774" s="1739"/>
      <c r="M1774" s="1739"/>
      <c r="N1774" s="1739"/>
      <c r="O1774" s="1739"/>
      <c r="P1774" s="1741"/>
      <c r="Q1774" s="1740"/>
      <c r="R1774" s="437"/>
      <c r="S1774" s="199"/>
      <c r="T1774" s="179"/>
      <c r="U1774" s="178"/>
      <c r="V1774" s="1742"/>
      <c r="W1774" s="1742"/>
      <c r="X1774" s="470"/>
      <c r="Y1774" s="470"/>
      <c r="Z1774" s="471"/>
      <c r="AA1774" s="471"/>
      <c r="AB1774" s="466"/>
    </row>
    <row r="1775" spans="1:28" s="457" customFormat="1" ht="18" customHeight="1" x14ac:dyDescent="0.2">
      <c r="A1775" s="1739"/>
      <c r="B1775" s="177"/>
      <c r="C1775" s="177"/>
      <c r="D1775" s="1739"/>
      <c r="E1775" s="1739"/>
      <c r="F1775" s="1739"/>
      <c r="G1775" s="1739"/>
      <c r="H1775" s="1741"/>
      <c r="I1775" s="1742"/>
      <c r="J1775" s="178"/>
      <c r="K1775" s="1742"/>
      <c r="L1775" s="1739"/>
      <c r="M1775" s="1739"/>
      <c r="N1775" s="1739"/>
      <c r="O1775" s="1739"/>
      <c r="P1775" s="1741"/>
      <c r="Q1775" s="1740"/>
      <c r="R1775" s="437"/>
      <c r="S1775" s="199"/>
      <c r="T1775" s="179"/>
      <c r="U1775" s="178"/>
      <c r="V1775" s="1742"/>
      <c r="W1775" s="1742"/>
      <c r="X1775" s="470"/>
      <c r="Y1775" s="470"/>
      <c r="Z1775" s="471"/>
      <c r="AA1775" s="471"/>
      <c r="AB1775" s="466"/>
    </row>
    <row r="1776" spans="1:28" s="457" customFormat="1" ht="18" customHeight="1" x14ac:dyDescent="0.2">
      <c r="A1776" s="1739"/>
      <c r="B1776" s="177"/>
      <c r="C1776" s="177"/>
      <c r="D1776" s="1739"/>
      <c r="E1776" s="1739"/>
      <c r="F1776" s="1739"/>
      <c r="G1776" s="1739"/>
      <c r="H1776" s="1741"/>
      <c r="I1776" s="1742"/>
      <c r="J1776" s="178"/>
      <c r="K1776" s="1742"/>
      <c r="L1776" s="1739"/>
      <c r="M1776" s="1739"/>
      <c r="N1776" s="1739"/>
      <c r="O1776" s="1739"/>
      <c r="P1776" s="1741"/>
      <c r="Q1776" s="1740"/>
      <c r="R1776" s="437"/>
      <c r="S1776" s="1742"/>
      <c r="T1776" s="179"/>
      <c r="U1776" s="178"/>
      <c r="V1776" s="1742"/>
      <c r="W1776" s="1742"/>
      <c r="X1776" s="470"/>
      <c r="Y1776" s="470"/>
      <c r="Z1776" s="471"/>
      <c r="AA1776" s="471"/>
      <c r="AB1776" s="466"/>
    </row>
    <row r="1777" spans="1:28" s="457" customFormat="1" ht="18" customHeight="1" x14ac:dyDescent="0.2">
      <c r="A1777" s="1739"/>
      <c r="B1777" s="177"/>
      <c r="C1777" s="177"/>
      <c r="D1777" s="1739"/>
      <c r="E1777" s="1739"/>
      <c r="F1777" s="1739"/>
      <c r="G1777" s="1739"/>
      <c r="H1777" s="1741"/>
      <c r="I1777" s="1742"/>
      <c r="J1777" s="178"/>
      <c r="K1777" s="1742"/>
      <c r="L1777" s="1739"/>
      <c r="M1777" s="1739"/>
      <c r="N1777" s="1739"/>
      <c r="O1777" s="1739"/>
      <c r="P1777" s="1741"/>
      <c r="Q1777" s="1740"/>
      <c r="R1777" s="437"/>
      <c r="S1777" s="1742"/>
      <c r="T1777" s="179"/>
      <c r="U1777" s="178"/>
      <c r="V1777" s="1742"/>
      <c r="W1777" s="1742"/>
      <c r="X1777" s="470"/>
      <c r="Y1777" s="470"/>
      <c r="Z1777" s="471"/>
      <c r="AA1777" s="471"/>
      <c r="AB1777" s="466"/>
    </row>
    <row r="1778" spans="1:28" s="457" customFormat="1" ht="18" customHeight="1" x14ac:dyDescent="0.2">
      <c r="A1778" s="1739"/>
      <c r="B1778" s="177"/>
      <c r="C1778" s="177"/>
      <c r="D1778" s="1739"/>
      <c r="E1778" s="1739"/>
      <c r="F1778" s="1739"/>
      <c r="G1778" s="1739"/>
      <c r="H1778" s="1741"/>
      <c r="I1778" s="1742"/>
      <c r="J1778" s="178"/>
      <c r="K1778" s="1742"/>
      <c r="L1778" s="1739"/>
      <c r="M1778" s="1739"/>
      <c r="N1778" s="1739"/>
      <c r="O1778" s="1739"/>
      <c r="P1778" s="1741"/>
      <c r="Q1778" s="1740"/>
      <c r="R1778" s="437"/>
      <c r="S1778" s="1742"/>
      <c r="T1778" s="179"/>
      <c r="U1778" s="178"/>
      <c r="V1778" s="1742"/>
      <c r="W1778" s="1742"/>
      <c r="X1778" s="470"/>
      <c r="Y1778" s="470"/>
      <c r="Z1778" s="471"/>
      <c r="AA1778" s="471"/>
      <c r="AB1778" s="466"/>
    </row>
    <row r="1779" spans="1:28" s="457" customFormat="1" ht="18" customHeight="1" x14ac:dyDescent="0.2">
      <c r="A1779" s="1739"/>
      <c r="B1779" s="177"/>
      <c r="C1779" s="177"/>
      <c r="D1779" s="1739"/>
      <c r="E1779" s="1739"/>
      <c r="F1779" s="1739"/>
      <c r="G1779" s="1739"/>
      <c r="H1779" s="1741"/>
      <c r="I1779" s="1742"/>
      <c r="J1779" s="178"/>
      <c r="K1779" s="1742"/>
      <c r="L1779" s="1739"/>
      <c r="M1779" s="1739"/>
      <c r="N1779" s="1739"/>
      <c r="O1779" s="1739"/>
      <c r="P1779" s="1741"/>
      <c r="Q1779" s="1740"/>
      <c r="R1779" s="437"/>
      <c r="S1779" s="1742"/>
      <c r="T1779" s="179"/>
      <c r="U1779" s="178"/>
      <c r="V1779" s="1742"/>
      <c r="W1779" s="1742"/>
      <c r="X1779" s="470"/>
      <c r="Y1779" s="470"/>
      <c r="Z1779" s="471"/>
      <c r="AA1779" s="471"/>
      <c r="AB1779" s="466"/>
    </row>
    <row r="1780" spans="1:28" s="457" customFormat="1" ht="18" customHeight="1" x14ac:dyDescent="0.2">
      <c r="A1780" s="1739"/>
      <c r="B1780" s="177"/>
      <c r="C1780" s="177"/>
      <c r="D1780" s="1739"/>
      <c r="E1780" s="1739"/>
      <c r="F1780" s="1739"/>
      <c r="G1780" s="1739"/>
      <c r="H1780" s="1741"/>
      <c r="I1780" s="1742"/>
      <c r="J1780" s="178"/>
      <c r="K1780" s="1742"/>
      <c r="L1780" s="1739"/>
      <c r="M1780" s="1739"/>
      <c r="N1780" s="1739"/>
      <c r="O1780" s="1739"/>
      <c r="P1780" s="1741"/>
      <c r="Q1780" s="1740"/>
      <c r="R1780" s="437"/>
      <c r="S1780" s="1742"/>
      <c r="T1780" s="179"/>
      <c r="U1780" s="178"/>
      <c r="V1780" s="1742"/>
      <c r="W1780" s="1742"/>
      <c r="X1780" s="470"/>
      <c r="Y1780" s="470"/>
      <c r="Z1780" s="471"/>
      <c r="AA1780" s="471"/>
      <c r="AB1780" s="466"/>
    </row>
    <row r="1781" spans="1:28" s="457" customFormat="1" ht="18" customHeight="1" x14ac:dyDescent="0.2">
      <c r="A1781" s="1739"/>
      <c r="B1781" s="177"/>
      <c r="C1781" s="177"/>
      <c r="D1781" s="1739"/>
      <c r="E1781" s="1739"/>
      <c r="F1781" s="1739"/>
      <c r="G1781" s="1739"/>
      <c r="H1781" s="1741"/>
      <c r="I1781" s="1742"/>
      <c r="J1781" s="178"/>
      <c r="K1781" s="1742"/>
      <c r="L1781" s="1739"/>
      <c r="M1781" s="1739"/>
      <c r="N1781" s="1739"/>
      <c r="O1781" s="1739"/>
      <c r="P1781" s="1741"/>
      <c r="Q1781" s="1740"/>
      <c r="R1781" s="437"/>
      <c r="S1781" s="1742"/>
      <c r="T1781" s="179"/>
      <c r="U1781" s="178"/>
      <c r="V1781" s="1742"/>
      <c r="W1781" s="1742"/>
      <c r="X1781" s="470"/>
      <c r="Y1781" s="470"/>
      <c r="Z1781" s="471"/>
      <c r="AA1781" s="471"/>
      <c r="AB1781" s="466"/>
    </row>
    <row r="1782" spans="1:28" s="457" customFormat="1" ht="18" customHeight="1" x14ac:dyDescent="0.2">
      <c r="A1782" s="1739"/>
      <c r="B1782" s="177"/>
      <c r="C1782" s="177"/>
      <c r="D1782" s="1739"/>
      <c r="E1782" s="1739"/>
      <c r="F1782" s="1739"/>
      <c r="G1782" s="1739"/>
      <c r="H1782" s="1741"/>
      <c r="I1782" s="1742"/>
      <c r="J1782" s="178"/>
      <c r="K1782" s="1742"/>
      <c r="L1782" s="1739"/>
      <c r="M1782" s="1739"/>
      <c r="N1782" s="1739"/>
      <c r="O1782" s="1739"/>
      <c r="P1782" s="1741"/>
      <c r="Q1782" s="1740"/>
      <c r="R1782" s="437"/>
      <c r="S1782" s="1742"/>
      <c r="T1782" s="179"/>
      <c r="U1782" s="178"/>
      <c r="V1782" s="1742"/>
      <c r="W1782" s="1742"/>
      <c r="X1782" s="470"/>
      <c r="Y1782" s="470"/>
      <c r="Z1782" s="471"/>
      <c r="AA1782" s="471"/>
      <c r="AB1782" s="466"/>
    </row>
    <row r="1783" spans="1:28" s="457" customFormat="1" ht="18" customHeight="1" x14ac:dyDescent="0.2">
      <c r="A1783" s="88"/>
      <c r="B1783" s="180"/>
      <c r="C1783" s="180"/>
      <c r="D1783" s="88"/>
      <c r="E1783" s="88"/>
      <c r="F1783" s="88"/>
      <c r="G1783" s="88"/>
      <c r="H1783" s="120"/>
      <c r="I1783" s="121"/>
      <c r="J1783" s="181"/>
      <c r="K1783" s="121"/>
      <c r="L1783" s="88"/>
      <c r="M1783" s="88"/>
      <c r="N1783" s="88"/>
      <c r="O1783" s="88"/>
      <c r="P1783" s="88"/>
      <c r="Q1783" s="129"/>
      <c r="R1783" s="445"/>
      <c r="S1783" s="121"/>
      <c r="T1783" s="182"/>
      <c r="U1783" s="181"/>
      <c r="V1783" s="121"/>
      <c r="W1783" s="121"/>
      <c r="X1783" s="472"/>
      <c r="Y1783" s="472"/>
      <c r="Z1783" s="473"/>
      <c r="AA1783" s="473"/>
      <c r="AB1783" s="410"/>
    </row>
    <row r="1784" spans="1:28" s="597" customFormat="1" ht="18" customHeight="1" x14ac:dyDescent="0.2">
      <c r="A1784" s="1850"/>
      <c r="B1784" s="1850"/>
      <c r="C1784" s="1850"/>
      <c r="D1784" s="1850"/>
      <c r="E1784" s="1850"/>
      <c r="F1784" s="1850"/>
      <c r="G1784" s="1850"/>
      <c r="H1784" s="1851"/>
      <c r="I1784" s="1852"/>
      <c r="J1784" s="1853"/>
      <c r="K1784" s="1852"/>
      <c r="L1784" s="1852"/>
      <c r="M1784" s="1852"/>
      <c r="N1784" s="1852"/>
      <c r="O1784" s="1852"/>
      <c r="P1784" s="1852"/>
      <c r="Q1784" s="1852"/>
      <c r="R1784" s="1854"/>
      <c r="S1784" s="1852"/>
      <c r="T1784" s="1855"/>
      <c r="U1784" s="1853"/>
      <c r="V1784" s="1852"/>
      <c r="W1784" s="1852"/>
      <c r="X1784" s="1856"/>
      <c r="Y1784" s="1856"/>
      <c r="Z1784" s="1857"/>
      <c r="AA1784" s="1857"/>
      <c r="AB1784" s="1847">
        <f>SUM(AB1769:AB1783)</f>
        <v>3808.2</v>
      </c>
    </row>
    <row r="1785" spans="1:28" s="457" customFormat="1" ht="18" customHeight="1" x14ac:dyDescent="0.2">
      <c r="A1785" s="2737" t="s">
        <v>76</v>
      </c>
      <c r="B1785" s="2737"/>
      <c r="C1785" s="2738" t="s">
        <v>77</v>
      </c>
      <c r="D1785" s="2738"/>
      <c r="E1785" s="2738"/>
      <c r="F1785" s="2738"/>
      <c r="G1785" s="2738"/>
      <c r="H1785" s="2738"/>
      <c r="I1785" s="457" t="s">
        <v>78</v>
      </c>
      <c r="AB1785" s="478"/>
    </row>
    <row r="1786" spans="1:28" s="457" customFormat="1" ht="18" customHeight="1" x14ac:dyDescent="0.2">
      <c r="B1786" s="479"/>
      <c r="I1786" s="457" t="s">
        <v>79</v>
      </c>
      <c r="AB1786" s="478"/>
    </row>
    <row r="1787" spans="1:28" s="457" customFormat="1" ht="18" customHeight="1" x14ac:dyDescent="0.2">
      <c r="B1787" s="479"/>
      <c r="I1787" s="457" t="s">
        <v>80</v>
      </c>
      <c r="AB1787" s="478"/>
    </row>
    <row r="1788" spans="1:28" s="457" customFormat="1" ht="18" customHeight="1" x14ac:dyDescent="0.2">
      <c r="B1788" s="479"/>
      <c r="I1788" s="457" t="s">
        <v>81</v>
      </c>
      <c r="AB1788" s="478"/>
    </row>
    <row r="1789" spans="1:28" s="457" customFormat="1" ht="18" customHeight="1" x14ac:dyDescent="0.2">
      <c r="B1789" s="479"/>
      <c r="I1789" s="457" t="s">
        <v>88</v>
      </c>
      <c r="AB1789" s="478"/>
    </row>
  </sheetData>
  <mergeCells count="885">
    <mergeCell ref="A1633:AB1633"/>
    <mergeCell ref="C1751:H1751"/>
    <mergeCell ref="AA1180:AB1180"/>
    <mergeCell ref="A1181:AB1181"/>
    <mergeCell ref="A1182:AB1182"/>
    <mergeCell ref="A1183:A1188"/>
    <mergeCell ref="C1183:C1188"/>
    <mergeCell ref="F1183:K1183"/>
    <mergeCell ref="M1183:V1183"/>
    <mergeCell ref="F1184:H1185"/>
    <mergeCell ref="L1184:L1188"/>
    <mergeCell ref="T1184:U1185"/>
    <mergeCell ref="F1186:F1187"/>
    <mergeCell ref="G1186:G1187"/>
    <mergeCell ref="H1186:H1187"/>
    <mergeCell ref="A1207:B1207"/>
    <mergeCell ref="C1207:H1207"/>
    <mergeCell ref="AA1726:AB1726"/>
    <mergeCell ref="A1727:AB1727"/>
    <mergeCell ref="A1728:AB1728"/>
    <mergeCell ref="A1729:A1734"/>
    <mergeCell ref="C1729:C1734"/>
    <mergeCell ref="F1729:K1729"/>
    <mergeCell ref="M1729:V1729"/>
    <mergeCell ref="F1730:H1731"/>
    <mergeCell ref="L1730:L1734"/>
    <mergeCell ref="T1730:U1731"/>
    <mergeCell ref="F1732:F1733"/>
    <mergeCell ref="G1732:G1733"/>
    <mergeCell ref="H1732:H1733"/>
    <mergeCell ref="A1720:B1720"/>
    <mergeCell ref="C1720:H1720"/>
    <mergeCell ref="A1664:AB1664"/>
    <mergeCell ref="A1665:A1670"/>
    <mergeCell ref="C1665:C1670"/>
    <mergeCell ref="F1665:K1665"/>
    <mergeCell ref="M1665:V1665"/>
    <mergeCell ref="F1666:H1667"/>
    <mergeCell ref="L1666:L1670"/>
    <mergeCell ref="T1666:U1667"/>
    <mergeCell ref="F1668:F1669"/>
    <mergeCell ref="G1668:G1669"/>
    <mergeCell ref="H1668:H1669"/>
    <mergeCell ref="A1687:B1687"/>
    <mergeCell ref="C1687:H1687"/>
    <mergeCell ref="A1695:A1700"/>
    <mergeCell ref="AA1542:AB1542"/>
    <mergeCell ref="A1543:AB1543"/>
    <mergeCell ref="AA1572:AB1572"/>
    <mergeCell ref="A1573:AB1573"/>
    <mergeCell ref="A1544:AB1544"/>
    <mergeCell ref="A1545:A1550"/>
    <mergeCell ref="C1545:C1550"/>
    <mergeCell ref="F1545:K1545"/>
    <mergeCell ref="M1545:V1545"/>
    <mergeCell ref="F1546:H1547"/>
    <mergeCell ref="L1546:L1550"/>
    <mergeCell ref="M1515:V1515"/>
    <mergeCell ref="F1516:H1517"/>
    <mergeCell ref="L1516:L1520"/>
    <mergeCell ref="T1516:U1517"/>
    <mergeCell ref="F1518:F1519"/>
    <mergeCell ref="G1518:G1519"/>
    <mergeCell ref="H1518:H1519"/>
    <mergeCell ref="M1695:V1695"/>
    <mergeCell ref="F1696:H1697"/>
    <mergeCell ref="L1696:L1700"/>
    <mergeCell ref="T1696:U1697"/>
    <mergeCell ref="F1698:F1699"/>
    <mergeCell ref="G1698:G1699"/>
    <mergeCell ref="H1698:H1699"/>
    <mergeCell ref="T1606:U1607"/>
    <mergeCell ref="F1608:F1609"/>
    <mergeCell ref="G1608:G1609"/>
    <mergeCell ref="H1608:H1609"/>
    <mergeCell ref="F1695:K1695"/>
    <mergeCell ref="A1574:AB1574"/>
    <mergeCell ref="A1575:A1580"/>
    <mergeCell ref="C1575:C1580"/>
    <mergeCell ref="F1575:K1575"/>
    <mergeCell ref="M1575:V1575"/>
    <mergeCell ref="AA1:AB1"/>
    <mergeCell ref="A34:A39"/>
    <mergeCell ref="C34:C39"/>
    <mergeCell ref="F34:K34"/>
    <mergeCell ref="M34:V34"/>
    <mergeCell ref="F35:H36"/>
    <mergeCell ref="L35:L39"/>
    <mergeCell ref="T35:U36"/>
    <mergeCell ref="F37:F38"/>
    <mergeCell ref="G37:G38"/>
    <mergeCell ref="H37:H38"/>
    <mergeCell ref="AA31:AB31"/>
    <mergeCell ref="A32:AB32"/>
    <mergeCell ref="A33:AB33"/>
    <mergeCell ref="G7:G8"/>
    <mergeCell ref="H7:H8"/>
    <mergeCell ref="A26:B26"/>
    <mergeCell ref="C26:H26"/>
    <mergeCell ref="A2:AB2"/>
    <mergeCell ref="A3:AB3"/>
    <mergeCell ref="A4:A9"/>
    <mergeCell ref="C4:C9"/>
    <mergeCell ref="F4:K4"/>
    <mergeCell ref="M4:V4"/>
    <mergeCell ref="F5:H6"/>
    <mergeCell ref="L5:L9"/>
    <mergeCell ref="T5:U6"/>
    <mergeCell ref="F7:F8"/>
    <mergeCell ref="AA91:AB91"/>
    <mergeCell ref="L65:L69"/>
    <mergeCell ref="T65:U66"/>
    <mergeCell ref="F67:F68"/>
    <mergeCell ref="G67:G68"/>
    <mergeCell ref="H67:H68"/>
    <mergeCell ref="A86:B86"/>
    <mergeCell ref="C86:H86"/>
    <mergeCell ref="A56:B56"/>
    <mergeCell ref="C56:H56"/>
    <mergeCell ref="AA61:AB61"/>
    <mergeCell ref="A62:AB62"/>
    <mergeCell ref="A63:AB63"/>
    <mergeCell ref="A64:A69"/>
    <mergeCell ref="C64:C69"/>
    <mergeCell ref="F64:K64"/>
    <mergeCell ref="M64:V64"/>
    <mergeCell ref="F65:H66"/>
    <mergeCell ref="G97:G98"/>
    <mergeCell ref="H97:H98"/>
    <mergeCell ref="A118:B118"/>
    <mergeCell ref="C118:H118"/>
    <mergeCell ref="AA123:AB123"/>
    <mergeCell ref="A124:AB124"/>
    <mergeCell ref="A92:AB92"/>
    <mergeCell ref="A93:AB93"/>
    <mergeCell ref="A94:A99"/>
    <mergeCell ref="C94:C99"/>
    <mergeCell ref="F94:K94"/>
    <mergeCell ref="M94:V94"/>
    <mergeCell ref="F95:H96"/>
    <mergeCell ref="L95:L99"/>
    <mergeCell ref="T95:U96"/>
    <mergeCell ref="F97:F98"/>
    <mergeCell ref="L157:L161"/>
    <mergeCell ref="T157:U158"/>
    <mergeCell ref="F159:F160"/>
    <mergeCell ref="G159:G160"/>
    <mergeCell ref="H159:H160"/>
    <mergeCell ref="A178:B178"/>
    <mergeCell ref="C178:H178"/>
    <mergeCell ref="AA153:AB153"/>
    <mergeCell ref="A154:AB154"/>
    <mergeCell ref="A155:AB155"/>
    <mergeCell ref="A156:A161"/>
    <mergeCell ref="C156:C161"/>
    <mergeCell ref="F156:K156"/>
    <mergeCell ref="M156:V156"/>
    <mergeCell ref="F157:H158"/>
    <mergeCell ref="H129:H130"/>
    <mergeCell ref="A148:B148"/>
    <mergeCell ref="C148:H148"/>
    <mergeCell ref="A125:AB125"/>
    <mergeCell ref="A126:A131"/>
    <mergeCell ref="C126:C131"/>
    <mergeCell ref="F126:K126"/>
    <mergeCell ref="M126:V126"/>
    <mergeCell ref="F127:H128"/>
    <mergeCell ref="L127:L131"/>
    <mergeCell ref="T127:U128"/>
    <mergeCell ref="F129:F130"/>
    <mergeCell ref="G129:G130"/>
    <mergeCell ref="AA183:AB183"/>
    <mergeCell ref="A184:AB184"/>
    <mergeCell ref="A185:AB185"/>
    <mergeCell ref="A208:B208"/>
    <mergeCell ref="C208:H208"/>
    <mergeCell ref="A186:A191"/>
    <mergeCell ref="C186:C191"/>
    <mergeCell ref="F186:K186"/>
    <mergeCell ref="M186:V186"/>
    <mergeCell ref="F187:H188"/>
    <mergeCell ref="L187:L191"/>
    <mergeCell ref="T187:U188"/>
    <mergeCell ref="F189:F190"/>
    <mergeCell ref="G189:G190"/>
    <mergeCell ref="H189:H190"/>
    <mergeCell ref="AA243:AB243"/>
    <mergeCell ref="A244:AB244"/>
    <mergeCell ref="F219:F220"/>
    <mergeCell ref="G219:G220"/>
    <mergeCell ref="H219:H220"/>
    <mergeCell ref="A238:B238"/>
    <mergeCell ref="C238:H238"/>
    <mergeCell ref="AA213:AB213"/>
    <mergeCell ref="A214:AB214"/>
    <mergeCell ref="A215:AB215"/>
    <mergeCell ref="A216:A221"/>
    <mergeCell ref="C216:C221"/>
    <mergeCell ref="F216:K216"/>
    <mergeCell ref="M216:V216"/>
    <mergeCell ref="F217:H218"/>
    <mergeCell ref="L217:L221"/>
    <mergeCell ref="T217:U218"/>
    <mergeCell ref="H249:H250"/>
    <mergeCell ref="A268:B268"/>
    <mergeCell ref="C268:H268"/>
    <mergeCell ref="A245:AB245"/>
    <mergeCell ref="A246:A251"/>
    <mergeCell ref="C246:C251"/>
    <mergeCell ref="F246:K246"/>
    <mergeCell ref="M246:V246"/>
    <mergeCell ref="F247:H248"/>
    <mergeCell ref="L247:L251"/>
    <mergeCell ref="T247:U248"/>
    <mergeCell ref="F249:F250"/>
    <mergeCell ref="G249:G250"/>
    <mergeCell ref="F279:F280"/>
    <mergeCell ref="G279:G280"/>
    <mergeCell ref="H279:H280"/>
    <mergeCell ref="A298:B298"/>
    <mergeCell ref="C298:H298"/>
    <mergeCell ref="AA303:AB303"/>
    <mergeCell ref="AA273:AB273"/>
    <mergeCell ref="A274:AB274"/>
    <mergeCell ref="A275:AB275"/>
    <mergeCell ref="A276:A281"/>
    <mergeCell ref="C276:C281"/>
    <mergeCell ref="F276:K276"/>
    <mergeCell ref="M276:V276"/>
    <mergeCell ref="F277:H278"/>
    <mergeCell ref="L277:L281"/>
    <mergeCell ref="T277:U278"/>
    <mergeCell ref="G309:G310"/>
    <mergeCell ref="H309:H310"/>
    <mergeCell ref="A328:B328"/>
    <mergeCell ref="C328:H328"/>
    <mergeCell ref="AA333:AB333"/>
    <mergeCell ref="A334:AB334"/>
    <mergeCell ref="A304:AB304"/>
    <mergeCell ref="A305:AB305"/>
    <mergeCell ref="A306:A311"/>
    <mergeCell ref="C306:C311"/>
    <mergeCell ref="F306:K306"/>
    <mergeCell ref="M306:V306"/>
    <mergeCell ref="F307:H308"/>
    <mergeCell ref="L307:L311"/>
    <mergeCell ref="T307:U308"/>
    <mergeCell ref="F309:F310"/>
    <mergeCell ref="H339:H340"/>
    <mergeCell ref="A358:B358"/>
    <mergeCell ref="C358:H358"/>
    <mergeCell ref="A335:AB335"/>
    <mergeCell ref="A336:A341"/>
    <mergeCell ref="C336:C341"/>
    <mergeCell ref="F336:K336"/>
    <mergeCell ref="M336:V336"/>
    <mergeCell ref="F337:H338"/>
    <mergeCell ref="L337:L341"/>
    <mergeCell ref="T337:U338"/>
    <mergeCell ref="F339:F340"/>
    <mergeCell ref="G339:G340"/>
    <mergeCell ref="L367:L371"/>
    <mergeCell ref="T367:U368"/>
    <mergeCell ref="F369:F370"/>
    <mergeCell ref="G369:G370"/>
    <mergeCell ref="H369:H370"/>
    <mergeCell ref="A388:B388"/>
    <mergeCell ref="C388:H388"/>
    <mergeCell ref="AA363:AB363"/>
    <mergeCell ref="A364:AB364"/>
    <mergeCell ref="A365:AB365"/>
    <mergeCell ref="A366:A371"/>
    <mergeCell ref="C366:C371"/>
    <mergeCell ref="F366:K366"/>
    <mergeCell ref="M366:V366"/>
    <mergeCell ref="F367:H368"/>
    <mergeCell ref="F399:F400"/>
    <mergeCell ref="G399:G400"/>
    <mergeCell ref="H399:H400"/>
    <mergeCell ref="A418:B418"/>
    <mergeCell ref="C418:H418"/>
    <mergeCell ref="AA423:AB423"/>
    <mergeCell ref="AA393:AB393"/>
    <mergeCell ref="A394:AB394"/>
    <mergeCell ref="A395:AB395"/>
    <mergeCell ref="A396:A401"/>
    <mergeCell ref="C396:C401"/>
    <mergeCell ref="F396:K396"/>
    <mergeCell ref="M396:V396"/>
    <mergeCell ref="F397:H398"/>
    <mergeCell ref="L397:L401"/>
    <mergeCell ref="T397:U398"/>
    <mergeCell ref="G429:G430"/>
    <mergeCell ref="H429:H430"/>
    <mergeCell ref="A448:B448"/>
    <mergeCell ref="C448:H448"/>
    <mergeCell ref="A424:AB424"/>
    <mergeCell ref="A425:AB425"/>
    <mergeCell ref="A426:A431"/>
    <mergeCell ref="C426:C431"/>
    <mergeCell ref="F426:K426"/>
    <mergeCell ref="M426:V426"/>
    <mergeCell ref="F427:H428"/>
    <mergeCell ref="L427:L431"/>
    <mergeCell ref="T427:U428"/>
    <mergeCell ref="F429:F430"/>
    <mergeCell ref="AA483:AB483"/>
    <mergeCell ref="A484:AB484"/>
    <mergeCell ref="A485:AB485"/>
    <mergeCell ref="AA453:AB453"/>
    <mergeCell ref="A454:AB454"/>
    <mergeCell ref="A455:AB455"/>
    <mergeCell ref="A456:A461"/>
    <mergeCell ref="C456:C461"/>
    <mergeCell ref="F456:K456"/>
    <mergeCell ref="M456:V456"/>
    <mergeCell ref="F457:H458"/>
    <mergeCell ref="L457:L461"/>
    <mergeCell ref="T457:U458"/>
    <mergeCell ref="F459:F460"/>
    <mergeCell ref="G459:G460"/>
    <mergeCell ref="H459:H460"/>
    <mergeCell ref="A478:B478"/>
    <mergeCell ref="C478:H478"/>
    <mergeCell ref="A486:A491"/>
    <mergeCell ref="C486:C491"/>
    <mergeCell ref="F486:K486"/>
    <mergeCell ref="M486:V486"/>
    <mergeCell ref="F487:H488"/>
    <mergeCell ref="L487:L491"/>
    <mergeCell ref="T487:U488"/>
    <mergeCell ref="F489:F490"/>
    <mergeCell ref="G489:G490"/>
    <mergeCell ref="H489:H490"/>
    <mergeCell ref="AA543:AB543"/>
    <mergeCell ref="L517:L521"/>
    <mergeCell ref="T517:U518"/>
    <mergeCell ref="F519:F520"/>
    <mergeCell ref="G519:G520"/>
    <mergeCell ref="H519:H520"/>
    <mergeCell ref="A538:B538"/>
    <mergeCell ref="C538:H538"/>
    <mergeCell ref="A508:B508"/>
    <mergeCell ref="C508:H508"/>
    <mergeCell ref="AA513:AB513"/>
    <mergeCell ref="A514:AB514"/>
    <mergeCell ref="A515:AB515"/>
    <mergeCell ref="A516:A521"/>
    <mergeCell ref="C516:C521"/>
    <mergeCell ref="F516:K516"/>
    <mergeCell ref="M516:V516"/>
    <mergeCell ref="F517:H518"/>
    <mergeCell ref="A544:AB544"/>
    <mergeCell ref="A545:AB545"/>
    <mergeCell ref="A546:A551"/>
    <mergeCell ref="C546:C551"/>
    <mergeCell ref="F546:K546"/>
    <mergeCell ref="M546:V546"/>
    <mergeCell ref="F547:H548"/>
    <mergeCell ref="L547:L551"/>
    <mergeCell ref="T547:U548"/>
    <mergeCell ref="F549:F550"/>
    <mergeCell ref="A598:B598"/>
    <mergeCell ref="C598:H598"/>
    <mergeCell ref="A574:AB574"/>
    <mergeCell ref="A575:AB575"/>
    <mergeCell ref="A576:A581"/>
    <mergeCell ref="C576:C581"/>
    <mergeCell ref="F576:K576"/>
    <mergeCell ref="M576:V576"/>
    <mergeCell ref="F577:H578"/>
    <mergeCell ref="L577:L581"/>
    <mergeCell ref="T577:U578"/>
    <mergeCell ref="F579:F580"/>
    <mergeCell ref="AA633:AB633"/>
    <mergeCell ref="A634:AB634"/>
    <mergeCell ref="G609:G610"/>
    <mergeCell ref="H609:H610"/>
    <mergeCell ref="A628:B628"/>
    <mergeCell ref="C628:H628"/>
    <mergeCell ref="AA573:AB573"/>
    <mergeCell ref="G549:G550"/>
    <mergeCell ref="H549:H550"/>
    <mergeCell ref="A568:B568"/>
    <mergeCell ref="C568:H568"/>
    <mergeCell ref="A604:AB604"/>
    <mergeCell ref="A605:AB605"/>
    <mergeCell ref="A606:A611"/>
    <mergeCell ref="C606:C611"/>
    <mergeCell ref="F606:K606"/>
    <mergeCell ref="M606:V606"/>
    <mergeCell ref="F607:H608"/>
    <mergeCell ref="L607:L611"/>
    <mergeCell ref="T607:U608"/>
    <mergeCell ref="F609:F610"/>
    <mergeCell ref="AA603:AB603"/>
    <mergeCell ref="G579:G580"/>
    <mergeCell ref="H579:H580"/>
    <mergeCell ref="H639:H640"/>
    <mergeCell ref="A658:B658"/>
    <mergeCell ref="C658:H658"/>
    <mergeCell ref="A635:AB635"/>
    <mergeCell ref="A636:A641"/>
    <mergeCell ref="C636:C641"/>
    <mergeCell ref="F636:K636"/>
    <mergeCell ref="M636:V636"/>
    <mergeCell ref="F637:H638"/>
    <mergeCell ref="L637:L641"/>
    <mergeCell ref="T637:U638"/>
    <mergeCell ref="F639:F640"/>
    <mergeCell ref="G639:G640"/>
    <mergeCell ref="AA693:AB693"/>
    <mergeCell ref="A694:AB694"/>
    <mergeCell ref="F669:F670"/>
    <mergeCell ref="G669:G670"/>
    <mergeCell ref="H669:H670"/>
    <mergeCell ref="A688:B688"/>
    <mergeCell ref="C688:H688"/>
    <mergeCell ref="AA663:AB663"/>
    <mergeCell ref="A664:AB664"/>
    <mergeCell ref="A665:AB665"/>
    <mergeCell ref="A666:A671"/>
    <mergeCell ref="C666:C671"/>
    <mergeCell ref="F666:K666"/>
    <mergeCell ref="M666:V666"/>
    <mergeCell ref="F667:H668"/>
    <mergeCell ref="L667:L671"/>
    <mergeCell ref="T667:U668"/>
    <mergeCell ref="A695:AB695"/>
    <mergeCell ref="A696:A701"/>
    <mergeCell ref="C696:C701"/>
    <mergeCell ref="F696:K696"/>
    <mergeCell ref="M696:V696"/>
    <mergeCell ref="F697:H698"/>
    <mergeCell ref="L697:L701"/>
    <mergeCell ref="T697:U698"/>
    <mergeCell ref="F699:F700"/>
    <mergeCell ref="G699:G700"/>
    <mergeCell ref="F729:F730"/>
    <mergeCell ref="G729:G730"/>
    <mergeCell ref="H729:H730"/>
    <mergeCell ref="A748:B748"/>
    <mergeCell ref="C748:H748"/>
    <mergeCell ref="AA753:AB753"/>
    <mergeCell ref="H699:H700"/>
    <mergeCell ref="A718:B718"/>
    <mergeCell ref="C718:H718"/>
    <mergeCell ref="AA723:AB723"/>
    <mergeCell ref="A724:AB724"/>
    <mergeCell ref="A725:AB725"/>
    <mergeCell ref="A726:A731"/>
    <mergeCell ref="C726:C731"/>
    <mergeCell ref="F726:K726"/>
    <mergeCell ref="M726:V726"/>
    <mergeCell ref="F727:H728"/>
    <mergeCell ref="L727:L731"/>
    <mergeCell ref="T727:U728"/>
    <mergeCell ref="G759:G760"/>
    <mergeCell ref="H759:H760"/>
    <mergeCell ref="A778:B778"/>
    <mergeCell ref="C778:H778"/>
    <mergeCell ref="AA783:AB783"/>
    <mergeCell ref="A784:AB784"/>
    <mergeCell ref="A754:AB754"/>
    <mergeCell ref="A755:AB755"/>
    <mergeCell ref="A756:A761"/>
    <mergeCell ref="C756:C761"/>
    <mergeCell ref="F756:K756"/>
    <mergeCell ref="M756:V756"/>
    <mergeCell ref="F757:H758"/>
    <mergeCell ref="L757:L761"/>
    <mergeCell ref="T757:U758"/>
    <mergeCell ref="F759:F760"/>
    <mergeCell ref="H789:H790"/>
    <mergeCell ref="A808:B808"/>
    <mergeCell ref="C808:H808"/>
    <mergeCell ref="AA813:AB813"/>
    <mergeCell ref="A814:AB814"/>
    <mergeCell ref="A815:AB815"/>
    <mergeCell ref="A785:AB785"/>
    <mergeCell ref="A786:A791"/>
    <mergeCell ref="C786:C791"/>
    <mergeCell ref="F786:K786"/>
    <mergeCell ref="M786:V786"/>
    <mergeCell ref="F787:H788"/>
    <mergeCell ref="L787:L791"/>
    <mergeCell ref="T787:U788"/>
    <mergeCell ref="F789:F790"/>
    <mergeCell ref="G789:G790"/>
    <mergeCell ref="A816:A821"/>
    <mergeCell ref="C816:C821"/>
    <mergeCell ref="F816:K816"/>
    <mergeCell ref="M816:V816"/>
    <mergeCell ref="F817:H818"/>
    <mergeCell ref="L817:L821"/>
    <mergeCell ref="T817:U818"/>
    <mergeCell ref="F819:F820"/>
    <mergeCell ref="G819:G820"/>
    <mergeCell ref="H819:H820"/>
    <mergeCell ref="A871:B871"/>
    <mergeCell ref="C871:H871"/>
    <mergeCell ref="A841:B841"/>
    <mergeCell ref="C841:H841"/>
    <mergeCell ref="AA876:AB876"/>
    <mergeCell ref="A877:AB877"/>
    <mergeCell ref="AA846:AB846"/>
    <mergeCell ref="A847:AB847"/>
    <mergeCell ref="A848:AB848"/>
    <mergeCell ref="A849:A854"/>
    <mergeCell ref="C849:C854"/>
    <mergeCell ref="F849:K849"/>
    <mergeCell ref="M849:V849"/>
    <mergeCell ref="F850:H851"/>
    <mergeCell ref="L850:L854"/>
    <mergeCell ref="T850:U851"/>
    <mergeCell ref="F852:F853"/>
    <mergeCell ref="G852:G853"/>
    <mergeCell ref="H852:H853"/>
    <mergeCell ref="H882:H883"/>
    <mergeCell ref="A901:B901"/>
    <mergeCell ref="C901:H901"/>
    <mergeCell ref="AA906:AB906"/>
    <mergeCell ref="A907:AB907"/>
    <mergeCell ref="A908:AB908"/>
    <mergeCell ref="A878:AB878"/>
    <mergeCell ref="A879:A884"/>
    <mergeCell ref="C879:C884"/>
    <mergeCell ref="F879:K879"/>
    <mergeCell ref="M879:V879"/>
    <mergeCell ref="F880:H881"/>
    <mergeCell ref="L880:L884"/>
    <mergeCell ref="T880:U881"/>
    <mergeCell ref="F882:F883"/>
    <mergeCell ref="G882:G883"/>
    <mergeCell ref="A931:B931"/>
    <mergeCell ref="C931:H931"/>
    <mergeCell ref="A909:A914"/>
    <mergeCell ref="C909:C914"/>
    <mergeCell ref="F909:K909"/>
    <mergeCell ref="M909:V909"/>
    <mergeCell ref="F910:H911"/>
    <mergeCell ref="L910:L914"/>
    <mergeCell ref="T910:U911"/>
    <mergeCell ref="F912:F913"/>
    <mergeCell ref="G912:G913"/>
    <mergeCell ref="H912:H913"/>
    <mergeCell ref="F942:F943"/>
    <mergeCell ref="G942:G943"/>
    <mergeCell ref="H942:H943"/>
    <mergeCell ref="A961:B961"/>
    <mergeCell ref="C961:H961"/>
    <mergeCell ref="AA966:AB966"/>
    <mergeCell ref="AA936:AB936"/>
    <mergeCell ref="A937:AB937"/>
    <mergeCell ref="A938:AB938"/>
    <mergeCell ref="A939:A944"/>
    <mergeCell ref="C939:C944"/>
    <mergeCell ref="F939:K939"/>
    <mergeCell ref="M939:V939"/>
    <mergeCell ref="F940:H941"/>
    <mergeCell ref="L940:L944"/>
    <mergeCell ref="T940:U941"/>
    <mergeCell ref="G972:G973"/>
    <mergeCell ref="H972:H973"/>
    <mergeCell ref="A991:B991"/>
    <mergeCell ref="C991:H991"/>
    <mergeCell ref="AA996:AB996"/>
    <mergeCell ref="A997:AB997"/>
    <mergeCell ref="A967:AB967"/>
    <mergeCell ref="A968:AB968"/>
    <mergeCell ref="A969:A974"/>
    <mergeCell ref="C969:C974"/>
    <mergeCell ref="F969:K969"/>
    <mergeCell ref="M969:V969"/>
    <mergeCell ref="F970:H971"/>
    <mergeCell ref="L970:L974"/>
    <mergeCell ref="T970:U971"/>
    <mergeCell ref="F972:F973"/>
    <mergeCell ref="H1002:H1003"/>
    <mergeCell ref="A1021:B1021"/>
    <mergeCell ref="C1021:H1021"/>
    <mergeCell ref="A998:AB998"/>
    <mergeCell ref="A999:A1004"/>
    <mergeCell ref="C999:C1004"/>
    <mergeCell ref="F999:K999"/>
    <mergeCell ref="M999:V999"/>
    <mergeCell ref="F1000:H1001"/>
    <mergeCell ref="L1000:L1004"/>
    <mergeCell ref="T1000:U1001"/>
    <mergeCell ref="F1002:F1003"/>
    <mergeCell ref="G1002:G1003"/>
    <mergeCell ref="L1030:L1034"/>
    <mergeCell ref="T1030:U1031"/>
    <mergeCell ref="F1032:F1033"/>
    <mergeCell ref="G1032:G1033"/>
    <mergeCell ref="H1032:H1033"/>
    <mergeCell ref="A1051:B1051"/>
    <mergeCell ref="C1051:H1051"/>
    <mergeCell ref="AA1026:AB1026"/>
    <mergeCell ref="A1027:AB1027"/>
    <mergeCell ref="A1028:AB1028"/>
    <mergeCell ref="A1029:A1034"/>
    <mergeCell ref="C1029:C1034"/>
    <mergeCell ref="F1029:K1029"/>
    <mergeCell ref="M1029:V1029"/>
    <mergeCell ref="F1030:H1031"/>
    <mergeCell ref="AA1086:AB1086"/>
    <mergeCell ref="A1087:AB1087"/>
    <mergeCell ref="F1062:F1063"/>
    <mergeCell ref="G1062:G1063"/>
    <mergeCell ref="H1062:H1063"/>
    <mergeCell ref="A1081:B1081"/>
    <mergeCell ref="C1081:H1081"/>
    <mergeCell ref="AA1056:AB1056"/>
    <mergeCell ref="A1057:AB1057"/>
    <mergeCell ref="A1058:AB1058"/>
    <mergeCell ref="A1059:A1064"/>
    <mergeCell ref="C1059:C1064"/>
    <mergeCell ref="F1059:K1059"/>
    <mergeCell ref="M1059:V1059"/>
    <mergeCell ref="F1060:H1061"/>
    <mergeCell ref="L1060:L1064"/>
    <mergeCell ref="T1060:U1061"/>
    <mergeCell ref="H1092:H1093"/>
    <mergeCell ref="A1111:B1111"/>
    <mergeCell ref="C1111:H1111"/>
    <mergeCell ref="AA1116:AB1116"/>
    <mergeCell ref="A1117:AB1117"/>
    <mergeCell ref="A1118:AB1118"/>
    <mergeCell ref="A1088:AB1088"/>
    <mergeCell ref="A1089:A1094"/>
    <mergeCell ref="C1089:C1094"/>
    <mergeCell ref="F1089:K1089"/>
    <mergeCell ref="M1089:V1089"/>
    <mergeCell ref="F1090:H1091"/>
    <mergeCell ref="L1090:L1094"/>
    <mergeCell ref="T1090:U1091"/>
    <mergeCell ref="F1092:F1093"/>
    <mergeCell ref="G1092:G1093"/>
    <mergeCell ref="A1141:B1141"/>
    <mergeCell ref="C1141:H1141"/>
    <mergeCell ref="A1119:A1124"/>
    <mergeCell ref="C1119:C1124"/>
    <mergeCell ref="F1119:K1119"/>
    <mergeCell ref="M1119:V1119"/>
    <mergeCell ref="F1120:H1121"/>
    <mergeCell ref="L1120:L1124"/>
    <mergeCell ref="T1120:U1121"/>
    <mergeCell ref="F1122:F1123"/>
    <mergeCell ref="G1122:G1123"/>
    <mergeCell ref="H1122:H1123"/>
    <mergeCell ref="F1152:F1153"/>
    <mergeCell ref="G1152:G1153"/>
    <mergeCell ref="H1152:H1153"/>
    <mergeCell ref="A1175:B1175"/>
    <mergeCell ref="C1175:H1175"/>
    <mergeCell ref="AA1146:AB1146"/>
    <mergeCell ref="A1147:AB1147"/>
    <mergeCell ref="A1148:AB1148"/>
    <mergeCell ref="A1149:A1154"/>
    <mergeCell ref="C1149:C1154"/>
    <mergeCell ref="F1149:K1149"/>
    <mergeCell ref="M1149:V1149"/>
    <mergeCell ref="F1150:H1151"/>
    <mergeCell ref="L1150:L1154"/>
    <mergeCell ref="T1150:U1151"/>
    <mergeCell ref="AA1212:AB1212"/>
    <mergeCell ref="A1213:AB1213"/>
    <mergeCell ref="A1214:AB1214"/>
    <mergeCell ref="AA1242:AB1242"/>
    <mergeCell ref="A1243:AB1243"/>
    <mergeCell ref="A1244:AB1244"/>
    <mergeCell ref="A1245:A1250"/>
    <mergeCell ref="C1245:C1250"/>
    <mergeCell ref="F1245:K1245"/>
    <mergeCell ref="M1245:V1245"/>
    <mergeCell ref="F1246:H1247"/>
    <mergeCell ref="A1215:A1220"/>
    <mergeCell ref="C1215:C1220"/>
    <mergeCell ref="F1215:K1215"/>
    <mergeCell ref="M1215:V1215"/>
    <mergeCell ref="F1216:H1217"/>
    <mergeCell ref="L1216:L1220"/>
    <mergeCell ref="T1216:U1217"/>
    <mergeCell ref="F1218:F1219"/>
    <mergeCell ref="G1218:G1219"/>
    <mergeCell ref="H1218:H1219"/>
    <mergeCell ref="L1246:L1250"/>
    <mergeCell ref="T1246:U1247"/>
    <mergeCell ref="F1248:F1249"/>
    <mergeCell ref="G1248:G1249"/>
    <mergeCell ref="H1248:H1249"/>
    <mergeCell ref="A1267:B1267"/>
    <mergeCell ref="C1267:H1267"/>
    <mergeCell ref="A1237:B1237"/>
    <mergeCell ref="C1237:H1237"/>
    <mergeCell ref="F1278:F1279"/>
    <mergeCell ref="G1278:G1279"/>
    <mergeCell ref="H1278:H1279"/>
    <mergeCell ref="A1297:B1297"/>
    <mergeCell ref="C1297:H1297"/>
    <mergeCell ref="AA1302:AB1302"/>
    <mergeCell ref="AA1272:AB1272"/>
    <mergeCell ref="A1273:AB1273"/>
    <mergeCell ref="A1274:AB1274"/>
    <mergeCell ref="A1275:A1280"/>
    <mergeCell ref="C1275:C1280"/>
    <mergeCell ref="F1275:K1275"/>
    <mergeCell ref="M1275:V1275"/>
    <mergeCell ref="F1276:H1277"/>
    <mergeCell ref="L1276:L1280"/>
    <mergeCell ref="T1276:U1277"/>
    <mergeCell ref="G1308:G1309"/>
    <mergeCell ref="H1308:H1309"/>
    <mergeCell ref="A1327:B1327"/>
    <mergeCell ref="C1327:H1327"/>
    <mergeCell ref="AA1332:AB1332"/>
    <mergeCell ref="A1333:AB1333"/>
    <mergeCell ref="A1303:AB1303"/>
    <mergeCell ref="A1304:AB1304"/>
    <mergeCell ref="A1305:A1310"/>
    <mergeCell ref="C1305:C1310"/>
    <mergeCell ref="F1305:K1305"/>
    <mergeCell ref="M1305:V1305"/>
    <mergeCell ref="F1306:H1307"/>
    <mergeCell ref="L1306:L1310"/>
    <mergeCell ref="T1306:U1307"/>
    <mergeCell ref="F1308:F1309"/>
    <mergeCell ref="F1368:F1369"/>
    <mergeCell ref="G1368:G1369"/>
    <mergeCell ref="H1368:H1369"/>
    <mergeCell ref="A1387:B1387"/>
    <mergeCell ref="C1387:H1387"/>
    <mergeCell ref="AA1362:AB1362"/>
    <mergeCell ref="A1363:AB1363"/>
    <mergeCell ref="A1364:AB1364"/>
    <mergeCell ref="A1365:A1370"/>
    <mergeCell ref="C1365:C1370"/>
    <mergeCell ref="F1365:K1365"/>
    <mergeCell ref="M1365:V1365"/>
    <mergeCell ref="F1366:H1367"/>
    <mergeCell ref="L1366:L1370"/>
    <mergeCell ref="T1366:U1367"/>
    <mergeCell ref="H1338:H1339"/>
    <mergeCell ref="A1357:B1357"/>
    <mergeCell ref="C1357:H1357"/>
    <mergeCell ref="A1334:AB1334"/>
    <mergeCell ref="A1335:A1340"/>
    <mergeCell ref="C1335:C1340"/>
    <mergeCell ref="F1335:K1335"/>
    <mergeCell ref="M1335:V1335"/>
    <mergeCell ref="F1336:H1337"/>
    <mergeCell ref="L1336:L1340"/>
    <mergeCell ref="T1336:U1337"/>
    <mergeCell ref="F1338:F1339"/>
    <mergeCell ref="G1338:G1339"/>
    <mergeCell ref="AA1392:AB1392"/>
    <mergeCell ref="A1393:AB1393"/>
    <mergeCell ref="A1447:B1447"/>
    <mergeCell ref="C1447:H1447"/>
    <mergeCell ref="A1425:A1430"/>
    <mergeCell ref="C1425:C1430"/>
    <mergeCell ref="F1425:K1425"/>
    <mergeCell ref="M1425:V1425"/>
    <mergeCell ref="F1426:H1427"/>
    <mergeCell ref="L1426:L1430"/>
    <mergeCell ref="T1426:U1427"/>
    <mergeCell ref="F1428:F1429"/>
    <mergeCell ref="G1428:G1429"/>
    <mergeCell ref="H1428:H1429"/>
    <mergeCell ref="H1398:H1399"/>
    <mergeCell ref="A1417:B1417"/>
    <mergeCell ref="C1417:H1417"/>
    <mergeCell ref="AA1422:AB1422"/>
    <mergeCell ref="A1423:AB1423"/>
    <mergeCell ref="A1424:AB1424"/>
    <mergeCell ref="A1394:AB1394"/>
    <mergeCell ref="A1395:A1400"/>
    <mergeCell ref="C1395:C1400"/>
    <mergeCell ref="F1395:K1395"/>
    <mergeCell ref="M1395:V1395"/>
    <mergeCell ref="F1396:H1397"/>
    <mergeCell ref="L1396:L1400"/>
    <mergeCell ref="T1396:U1397"/>
    <mergeCell ref="F1398:F1399"/>
    <mergeCell ref="G1398:G1399"/>
    <mergeCell ref="F1485:K1485"/>
    <mergeCell ref="M1485:V1485"/>
    <mergeCell ref="F1486:H1487"/>
    <mergeCell ref="L1486:L1490"/>
    <mergeCell ref="T1486:U1487"/>
    <mergeCell ref="F1488:F1489"/>
    <mergeCell ref="G1488:G1489"/>
    <mergeCell ref="AA1452:AB1452"/>
    <mergeCell ref="A1453:AB1453"/>
    <mergeCell ref="A1454:AB1454"/>
    <mergeCell ref="A1455:A1460"/>
    <mergeCell ref="C1455:C1460"/>
    <mergeCell ref="F1455:K1455"/>
    <mergeCell ref="M1455:V1455"/>
    <mergeCell ref="F1456:H1457"/>
    <mergeCell ref="L1456:L1460"/>
    <mergeCell ref="T1456:U1457"/>
    <mergeCell ref="F1458:F1459"/>
    <mergeCell ref="G1458:G1459"/>
    <mergeCell ref="H1458:H1459"/>
    <mergeCell ref="A1477:B1477"/>
    <mergeCell ref="C1477:H1477"/>
    <mergeCell ref="H1488:H1489"/>
    <mergeCell ref="H1548:H1549"/>
    <mergeCell ref="A1567:B1567"/>
    <mergeCell ref="C1567:H1567"/>
    <mergeCell ref="A1537:B1537"/>
    <mergeCell ref="C1537:H1537"/>
    <mergeCell ref="T1546:U1547"/>
    <mergeCell ref="F1548:F1549"/>
    <mergeCell ref="G1548:G1549"/>
    <mergeCell ref="A1507:B1507"/>
    <mergeCell ref="C1507:H1507"/>
    <mergeCell ref="A1484:AB1484"/>
    <mergeCell ref="A1485:A1490"/>
    <mergeCell ref="C1485:C1490"/>
    <mergeCell ref="AA1482:AB1482"/>
    <mergeCell ref="A1483:AB1483"/>
    <mergeCell ref="AA1512:AB1512"/>
    <mergeCell ref="A1513:AB1513"/>
    <mergeCell ref="A1514:AB1514"/>
    <mergeCell ref="A1515:A1520"/>
    <mergeCell ref="C1515:C1520"/>
    <mergeCell ref="F1515:K1515"/>
    <mergeCell ref="F1576:H1577"/>
    <mergeCell ref="L1576:L1580"/>
    <mergeCell ref="T1576:U1577"/>
    <mergeCell ref="F1578:F1579"/>
    <mergeCell ref="G1578:G1579"/>
    <mergeCell ref="H1578:H1579"/>
    <mergeCell ref="A1597:B1597"/>
    <mergeCell ref="C1597:H1597"/>
    <mergeCell ref="AA1602:AB1602"/>
    <mergeCell ref="A1603:AB1603"/>
    <mergeCell ref="A1604:AB1604"/>
    <mergeCell ref="A1605:A1610"/>
    <mergeCell ref="C1605:C1610"/>
    <mergeCell ref="F1605:K1605"/>
    <mergeCell ref="M1605:V1605"/>
    <mergeCell ref="F1606:H1607"/>
    <mergeCell ref="L1606:L1610"/>
    <mergeCell ref="AA1632:AB1632"/>
    <mergeCell ref="C1627:H1627"/>
    <mergeCell ref="A1627:B1627"/>
    <mergeCell ref="A1634:AB1634"/>
    <mergeCell ref="A1635:A1640"/>
    <mergeCell ref="C1635:C1640"/>
    <mergeCell ref="F1635:K1635"/>
    <mergeCell ref="M1635:V1635"/>
    <mergeCell ref="F1636:H1637"/>
    <mergeCell ref="L1636:L1640"/>
    <mergeCell ref="T1636:U1637"/>
    <mergeCell ref="F1638:F1639"/>
    <mergeCell ref="G1638:G1639"/>
    <mergeCell ref="H1638:H1639"/>
    <mergeCell ref="A1657:B1657"/>
    <mergeCell ref="C1657:H1657"/>
    <mergeCell ref="AA1662:AB1662"/>
    <mergeCell ref="A1663:AB1663"/>
    <mergeCell ref="AA1692:AB1692"/>
    <mergeCell ref="A1693:AB1693"/>
    <mergeCell ref="A1694:AB1694"/>
    <mergeCell ref="A1785:B1785"/>
    <mergeCell ref="C1785:H1785"/>
    <mergeCell ref="AA1760:AB1760"/>
    <mergeCell ref="A1761:AB1761"/>
    <mergeCell ref="A1762:AB1762"/>
    <mergeCell ref="A1763:A1768"/>
    <mergeCell ref="C1763:C1768"/>
    <mergeCell ref="F1763:K1763"/>
    <mergeCell ref="M1763:V1763"/>
    <mergeCell ref="F1764:H1765"/>
    <mergeCell ref="L1764:L1768"/>
    <mergeCell ref="T1764:U1765"/>
    <mergeCell ref="F1766:F1767"/>
    <mergeCell ref="G1766:G1767"/>
    <mergeCell ref="H1766:H1767"/>
    <mergeCell ref="C1695:C1700"/>
    <mergeCell ref="A1751:B1751"/>
  </mergeCells>
  <phoneticPr fontId="14" type="noConversion"/>
  <pageMargins left="0.23622047244094491" right="0.19685039370078741" top="0.31496062992125984" bottom="0.27559055118110237" header="0.31496062992125984" footer="0.31496062992125984"/>
  <pageSetup paperSize="9" scale="90" orientation="landscape" r:id="rId1"/>
  <rowBreaks count="55" manualBreakCount="55">
    <brk id="30" max="32" man="1"/>
    <brk id="60" max="32" man="1"/>
    <brk id="90" max="32" man="1"/>
    <brk id="122" max="32" man="1"/>
    <brk id="152" max="32" man="1"/>
    <brk id="182" max="32" man="1"/>
    <brk id="212" max="32" man="1"/>
    <brk id="242" max="32" man="1"/>
    <brk id="272" max="32" man="1"/>
    <brk id="302" max="32" man="1"/>
    <brk id="332" max="32" man="1"/>
    <brk id="362" max="32" man="1"/>
    <brk id="392" max="32" man="1"/>
    <brk id="422" max="32" man="1"/>
    <brk id="452" max="32" man="1"/>
    <brk id="482" max="32" man="1"/>
    <brk id="512" max="32" man="1"/>
    <brk id="542" max="32" man="1"/>
    <brk id="572" max="32" man="1"/>
    <brk id="602" max="32" man="1"/>
    <brk id="632" max="32" man="1"/>
    <brk id="662" max="32" man="1"/>
    <brk id="692" max="32" man="1"/>
    <brk id="722" max="32" man="1"/>
    <brk id="752" max="32" man="1"/>
    <brk id="782" max="32" man="1"/>
    <brk id="812" max="32" man="1"/>
    <brk id="845" max="32" man="1"/>
    <brk id="875" max="32" man="1"/>
    <brk id="905" max="32" man="1"/>
    <brk id="935" max="32" man="1"/>
    <brk id="965" max="32" man="1"/>
    <brk id="995" max="32" man="1"/>
    <brk id="1025" max="32" man="1"/>
    <brk id="1055" max="32" man="1"/>
    <brk id="1085" max="32" man="1"/>
    <brk id="1115" max="32" man="1"/>
    <brk id="1145" max="32" man="1"/>
    <brk id="1211" max="32" man="1"/>
    <brk id="1241" max="32" man="1"/>
    <brk id="1271" max="32" man="1"/>
    <brk id="1301" max="32" man="1"/>
    <brk id="1331" max="32" man="1"/>
    <brk id="1361" max="32" man="1"/>
    <brk id="1391" max="32" man="1"/>
    <brk id="1421" max="32" man="1"/>
    <brk id="1451" max="32" man="1"/>
    <brk id="1481" max="32" man="1"/>
    <brk id="1511" max="32" man="1"/>
    <brk id="1541" max="32" man="1"/>
    <brk id="1571" max="32" man="1"/>
    <brk id="1601" max="32" man="1"/>
    <brk id="1631" max="32" man="1"/>
    <brk id="1661" max="32" man="1"/>
    <brk id="1691" max="3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F1069"/>
  <sheetViews>
    <sheetView view="pageBreakPreview" topLeftCell="J1" zoomScaleNormal="90" zoomScaleSheetLayoutView="100" workbookViewId="0">
      <selection activeCell="AG1" sqref="AG1:AK1048576"/>
    </sheetView>
  </sheetViews>
  <sheetFormatPr defaultColWidth="9" defaultRowHeight="18" customHeight="1" x14ac:dyDescent="0.2"/>
  <cols>
    <col min="1" max="1" width="2.25" style="433" customWidth="1"/>
    <col min="2" max="2" width="4" style="433" customWidth="1"/>
    <col min="3" max="3" width="3.25" style="433" customWidth="1"/>
    <col min="4" max="4" width="3.125" style="433" customWidth="1"/>
    <col min="5" max="7" width="2.75" style="433" customWidth="1"/>
    <col min="8" max="8" width="2.875" style="433" customWidth="1"/>
    <col min="9" max="9" width="6.25" style="433" customWidth="1"/>
    <col min="10" max="10" width="7.75" style="433" customWidth="1"/>
    <col min="11" max="11" width="8.375" style="433" bestFit="1" customWidth="1"/>
    <col min="12" max="12" width="2.625" style="433" customWidth="1"/>
    <col min="13" max="13" width="3.625" style="433" customWidth="1"/>
    <col min="14" max="14" width="5.375" style="433" customWidth="1"/>
    <col min="15" max="15" width="2.625" style="433" customWidth="1"/>
    <col min="16" max="16" width="4.75" style="433" customWidth="1"/>
    <col min="17" max="17" width="3.625" style="433" customWidth="1"/>
    <col min="18" max="18" width="6" style="433" bestFit="1" customWidth="1"/>
    <col min="19" max="19" width="8.375" style="433" bestFit="1" customWidth="1"/>
    <col min="20" max="20" width="2.25" style="433" customWidth="1"/>
    <col min="21" max="21" width="7.375" style="433" customWidth="1"/>
    <col min="22" max="22" width="7.625" style="433" customWidth="1"/>
    <col min="23" max="24" width="8.375" style="433" bestFit="1" customWidth="1"/>
    <col min="25" max="25" width="4.75" style="433" customWidth="1"/>
    <col min="26" max="26" width="8.25" style="433" customWidth="1"/>
    <col min="27" max="27" width="3.375" style="433" customWidth="1"/>
    <col min="28" max="28" width="7.25" style="434" customWidth="1"/>
    <col min="29" max="30" width="4.25" style="433" hidden="1" customWidth="1"/>
    <col min="31" max="31" width="5" style="433" hidden="1" customWidth="1"/>
    <col min="32" max="32" width="0.375" style="433" hidden="1" customWidth="1"/>
    <col min="33" max="16384" width="9" style="433"/>
  </cols>
  <sheetData>
    <row r="1" spans="1:32" s="457" customFormat="1" ht="18" customHeight="1" x14ac:dyDescent="0.2">
      <c r="A1" s="455"/>
      <c r="B1" s="455"/>
      <c r="C1" s="455"/>
      <c r="D1" s="455"/>
      <c r="E1" s="455"/>
      <c r="F1" s="455"/>
      <c r="G1" s="455"/>
      <c r="H1" s="455"/>
      <c r="I1" s="455"/>
      <c r="J1" s="455"/>
      <c r="K1" s="455"/>
      <c r="L1" s="455"/>
      <c r="M1" s="455"/>
      <c r="N1" s="455"/>
      <c r="O1" s="455"/>
      <c r="P1" s="455"/>
      <c r="Q1" s="455"/>
      <c r="R1" s="455"/>
      <c r="S1" s="455"/>
      <c r="T1" s="455"/>
      <c r="U1" s="455"/>
      <c r="V1" s="455"/>
      <c r="W1" s="455"/>
      <c r="X1" s="455"/>
      <c r="Y1" s="455"/>
      <c r="Z1" s="455"/>
      <c r="AA1" s="2705" t="s">
        <v>0</v>
      </c>
      <c r="AB1" s="2705"/>
      <c r="AC1" s="455"/>
      <c r="AD1" s="455"/>
      <c r="AE1" s="455"/>
      <c r="AF1" s="455"/>
    </row>
    <row r="2" spans="1:32" s="457" customFormat="1" ht="18" customHeight="1" x14ac:dyDescent="0.2">
      <c r="A2" s="2706" t="s">
        <v>1</v>
      </c>
      <c r="B2" s="2706"/>
      <c r="C2" s="2706"/>
      <c r="D2" s="2706"/>
      <c r="E2" s="2706"/>
      <c r="F2" s="2706"/>
      <c r="G2" s="2706"/>
      <c r="H2" s="2706"/>
      <c r="I2" s="2706"/>
      <c r="J2" s="2706"/>
      <c r="K2" s="2706"/>
      <c r="L2" s="2706"/>
      <c r="M2" s="2706"/>
      <c r="N2" s="2706"/>
      <c r="O2" s="2706"/>
      <c r="P2" s="2706"/>
      <c r="Q2" s="2706"/>
      <c r="R2" s="2706"/>
      <c r="S2" s="2706"/>
      <c r="T2" s="2706"/>
      <c r="U2" s="2706"/>
      <c r="V2" s="2706"/>
      <c r="W2" s="2706"/>
      <c r="X2" s="2706"/>
      <c r="Y2" s="2706"/>
      <c r="Z2" s="2706"/>
      <c r="AA2" s="2706"/>
      <c r="AB2" s="2706"/>
      <c r="AC2" s="610"/>
      <c r="AD2" s="610"/>
      <c r="AE2" s="610"/>
      <c r="AF2" s="610"/>
    </row>
    <row r="3" spans="1:32" s="457" customFormat="1" ht="18" customHeight="1" x14ac:dyDescent="0.2">
      <c r="A3" s="2704" t="s">
        <v>320</v>
      </c>
      <c r="B3" s="2704"/>
      <c r="C3" s="2704"/>
      <c r="D3" s="2704"/>
      <c r="E3" s="2704"/>
      <c r="F3" s="2704"/>
      <c r="G3" s="2704"/>
      <c r="H3" s="2704"/>
      <c r="I3" s="2704"/>
      <c r="J3" s="2704"/>
      <c r="K3" s="2704"/>
      <c r="L3" s="2704"/>
      <c r="M3" s="2704"/>
      <c r="N3" s="2704"/>
      <c r="O3" s="2704"/>
      <c r="P3" s="2704"/>
      <c r="Q3" s="2704"/>
      <c r="R3" s="2704"/>
      <c r="S3" s="2704"/>
      <c r="T3" s="2704"/>
      <c r="U3" s="2704"/>
      <c r="V3" s="2704"/>
      <c r="W3" s="2704"/>
      <c r="X3" s="2704"/>
      <c r="Y3" s="2704"/>
      <c r="Z3" s="2704"/>
      <c r="AA3" s="2704"/>
      <c r="AB3" s="2704"/>
      <c r="AC3" s="611"/>
      <c r="AD3" s="611"/>
      <c r="AE3" s="611"/>
      <c r="AF3" s="611"/>
    </row>
    <row r="4" spans="1:32" s="457" customFormat="1" ht="18" customHeight="1" x14ac:dyDescent="0.2">
      <c r="A4" s="2686" t="s">
        <v>2</v>
      </c>
      <c r="B4" s="360"/>
      <c r="C4" s="2686" t="s">
        <v>3</v>
      </c>
      <c r="D4" s="360"/>
      <c r="E4" s="360"/>
      <c r="F4" s="2693" t="s">
        <v>4</v>
      </c>
      <c r="G4" s="2693"/>
      <c r="H4" s="2693"/>
      <c r="I4" s="2694"/>
      <c r="J4" s="2694"/>
      <c r="K4" s="2695"/>
      <c r="L4" s="361"/>
      <c r="M4" s="2679" t="s">
        <v>5</v>
      </c>
      <c r="N4" s="2679"/>
      <c r="O4" s="2679"/>
      <c r="P4" s="2679"/>
      <c r="Q4" s="2696"/>
      <c r="R4" s="2696"/>
      <c r="S4" s="2696"/>
      <c r="T4" s="2696"/>
      <c r="U4" s="2696"/>
      <c r="V4" s="2697"/>
      <c r="W4" s="362" t="s">
        <v>6</v>
      </c>
      <c r="X4" s="363" t="s">
        <v>7</v>
      </c>
      <c r="Y4" s="364"/>
      <c r="Z4" s="364"/>
      <c r="AA4" s="363"/>
      <c r="AB4" s="458"/>
      <c r="AC4" s="612" t="s">
        <v>8</v>
      </c>
      <c r="AD4" s="613"/>
      <c r="AE4" s="613"/>
      <c r="AF4" s="614"/>
    </row>
    <row r="5" spans="1:32" s="457" customFormat="1" ht="18" customHeight="1" x14ac:dyDescent="0.2">
      <c r="A5" s="2687"/>
      <c r="B5" s="367"/>
      <c r="C5" s="2687"/>
      <c r="D5" s="366" t="s">
        <v>9</v>
      </c>
      <c r="E5" s="366" t="s">
        <v>10</v>
      </c>
      <c r="F5" s="2698" t="s">
        <v>11</v>
      </c>
      <c r="G5" s="2694"/>
      <c r="H5" s="2695"/>
      <c r="I5" s="360"/>
      <c r="J5" s="449" t="s">
        <v>12</v>
      </c>
      <c r="K5" s="360"/>
      <c r="L5" s="2679" t="s">
        <v>2</v>
      </c>
      <c r="M5" s="370"/>
      <c r="N5" s="370"/>
      <c r="O5" s="370"/>
      <c r="P5" s="371"/>
      <c r="Q5" s="459" t="s">
        <v>13</v>
      </c>
      <c r="R5" s="370" t="s">
        <v>12</v>
      </c>
      <c r="S5" s="370" t="s">
        <v>6</v>
      </c>
      <c r="T5" s="2682" t="s">
        <v>14</v>
      </c>
      <c r="U5" s="2683"/>
      <c r="V5" s="375" t="s">
        <v>7</v>
      </c>
      <c r="W5" s="376" t="s">
        <v>15</v>
      </c>
      <c r="X5" s="377" t="s">
        <v>16</v>
      </c>
      <c r="Y5" s="377" t="s">
        <v>17</v>
      </c>
      <c r="Z5" s="377" t="s">
        <v>18</v>
      </c>
      <c r="AA5" s="377"/>
      <c r="AB5" s="460" t="s">
        <v>19</v>
      </c>
      <c r="AC5" s="615" t="s">
        <v>20</v>
      </c>
      <c r="AD5" s="616"/>
      <c r="AE5" s="617" t="s">
        <v>21</v>
      </c>
      <c r="AF5" s="618" t="s">
        <v>22</v>
      </c>
    </row>
    <row r="6" spans="1:32" s="457" customFormat="1" ht="18" customHeight="1" x14ac:dyDescent="0.2">
      <c r="A6" s="2687"/>
      <c r="B6" s="366" t="s">
        <v>23</v>
      </c>
      <c r="C6" s="2687"/>
      <c r="D6" s="366" t="s">
        <v>24</v>
      </c>
      <c r="E6" s="366" t="s">
        <v>25</v>
      </c>
      <c r="F6" s="2699"/>
      <c r="G6" s="2700"/>
      <c r="H6" s="2701"/>
      <c r="I6" s="366" t="s">
        <v>26</v>
      </c>
      <c r="J6" s="380" t="s">
        <v>15</v>
      </c>
      <c r="K6" s="380" t="s">
        <v>6</v>
      </c>
      <c r="L6" s="2680"/>
      <c r="M6" s="381" t="s">
        <v>27</v>
      </c>
      <c r="N6" s="381" t="s">
        <v>10</v>
      </c>
      <c r="O6" s="381" t="s">
        <v>10</v>
      </c>
      <c r="P6" s="385" t="s">
        <v>28</v>
      </c>
      <c r="Q6" s="461" t="s">
        <v>29</v>
      </c>
      <c r="R6" s="385" t="s">
        <v>15</v>
      </c>
      <c r="S6" s="385" t="s">
        <v>15</v>
      </c>
      <c r="T6" s="2684"/>
      <c r="U6" s="2685"/>
      <c r="V6" s="375" t="s">
        <v>30</v>
      </c>
      <c r="W6" s="376" t="s">
        <v>31</v>
      </c>
      <c r="X6" s="377" t="s">
        <v>30</v>
      </c>
      <c r="Y6" s="377" t="s">
        <v>32</v>
      </c>
      <c r="Z6" s="377" t="s">
        <v>7</v>
      </c>
      <c r="AA6" s="377" t="s">
        <v>33</v>
      </c>
      <c r="AB6" s="460" t="s">
        <v>34</v>
      </c>
      <c r="AC6" s="615" t="s">
        <v>35</v>
      </c>
      <c r="AD6" s="617" t="s">
        <v>36</v>
      </c>
      <c r="AE6" s="617" t="s">
        <v>37</v>
      </c>
      <c r="AF6" s="618" t="s">
        <v>38</v>
      </c>
    </row>
    <row r="7" spans="1:32" s="457" customFormat="1" ht="18" customHeight="1" x14ac:dyDescent="0.2">
      <c r="A7" s="2687"/>
      <c r="B7" s="366" t="s">
        <v>39</v>
      </c>
      <c r="C7" s="2687"/>
      <c r="D7" s="366" t="s">
        <v>40</v>
      </c>
      <c r="E7" s="366" t="s">
        <v>41</v>
      </c>
      <c r="F7" s="2686" t="s">
        <v>42</v>
      </c>
      <c r="G7" s="2686" t="s">
        <v>43</v>
      </c>
      <c r="H7" s="2688" t="s">
        <v>44</v>
      </c>
      <c r="I7" s="366" t="s">
        <v>45</v>
      </c>
      <c r="J7" s="380" t="s">
        <v>46</v>
      </c>
      <c r="K7" s="380" t="s">
        <v>47</v>
      </c>
      <c r="L7" s="2680"/>
      <c r="M7" s="381" t="s">
        <v>30</v>
      </c>
      <c r="N7" s="381" t="s">
        <v>30</v>
      </c>
      <c r="O7" s="381" t="s">
        <v>25</v>
      </c>
      <c r="P7" s="385" t="s">
        <v>30</v>
      </c>
      <c r="Q7" s="461" t="s">
        <v>48</v>
      </c>
      <c r="R7" s="385" t="s">
        <v>49</v>
      </c>
      <c r="S7" s="385" t="s">
        <v>30</v>
      </c>
      <c r="T7" s="374" t="s">
        <v>50</v>
      </c>
      <c r="U7" s="374" t="s">
        <v>13</v>
      </c>
      <c r="V7" s="375" t="s">
        <v>51</v>
      </c>
      <c r="W7" s="376" t="s">
        <v>52</v>
      </c>
      <c r="X7" s="377" t="s">
        <v>53</v>
      </c>
      <c r="Y7" s="377" t="s">
        <v>54</v>
      </c>
      <c r="Z7" s="377" t="s">
        <v>55</v>
      </c>
      <c r="AA7" s="377" t="s">
        <v>56</v>
      </c>
      <c r="AB7" s="460" t="s">
        <v>57</v>
      </c>
      <c r="AC7" s="617" t="s">
        <v>58</v>
      </c>
      <c r="AD7" s="617" t="s">
        <v>59</v>
      </c>
      <c r="AE7" s="617" t="s">
        <v>59</v>
      </c>
      <c r="AF7" s="618" t="s">
        <v>60</v>
      </c>
    </row>
    <row r="8" spans="1:32" s="457" customFormat="1" ht="18" customHeight="1" x14ac:dyDescent="0.2">
      <c r="A8" s="2687"/>
      <c r="B8" s="366" t="s">
        <v>61</v>
      </c>
      <c r="C8" s="2687"/>
      <c r="D8" s="366" t="s">
        <v>62</v>
      </c>
      <c r="E8" s="366" t="s">
        <v>63</v>
      </c>
      <c r="F8" s="2687"/>
      <c r="G8" s="2687"/>
      <c r="H8" s="2689"/>
      <c r="I8" s="366" t="s">
        <v>64</v>
      </c>
      <c r="J8" s="380" t="s">
        <v>59</v>
      </c>
      <c r="K8" s="380" t="s">
        <v>59</v>
      </c>
      <c r="L8" s="2680"/>
      <c r="M8" s="381"/>
      <c r="N8" s="381"/>
      <c r="O8" s="381" t="s">
        <v>41</v>
      </c>
      <c r="P8" s="385" t="s">
        <v>65</v>
      </c>
      <c r="Q8" s="461" t="s">
        <v>66</v>
      </c>
      <c r="R8" s="385" t="s">
        <v>67</v>
      </c>
      <c r="S8" s="385" t="s">
        <v>59</v>
      </c>
      <c r="T8" s="375" t="s">
        <v>68</v>
      </c>
      <c r="U8" s="375" t="s">
        <v>14</v>
      </c>
      <c r="V8" s="375" t="s">
        <v>14</v>
      </c>
      <c r="W8" s="376" t="s">
        <v>30</v>
      </c>
      <c r="X8" s="388" t="s">
        <v>69</v>
      </c>
      <c r="Y8" s="388" t="s">
        <v>70</v>
      </c>
      <c r="Z8" s="377" t="s">
        <v>71</v>
      </c>
      <c r="AA8" s="377" t="s">
        <v>72</v>
      </c>
      <c r="AB8" s="460" t="s">
        <v>59</v>
      </c>
      <c r="AC8" s="617" t="s">
        <v>59</v>
      </c>
      <c r="AD8" s="617"/>
      <c r="AE8" s="617"/>
      <c r="AF8" s="618" t="s">
        <v>59</v>
      </c>
    </row>
    <row r="9" spans="1:32" s="457" customFormat="1" ht="18" customHeight="1" x14ac:dyDescent="0.2">
      <c r="A9" s="2692"/>
      <c r="B9" s="390"/>
      <c r="C9" s="2692"/>
      <c r="D9" s="390"/>
      <c r="E9" s="389"/>
      <c r="F9" s="390"/>
      <c r="G9" s="390"/>
      <c r="H9" s="391"/>
      <c r="I9" s="389"/>
      <c r="J9" s="393"/>
      <c r="K9" s="393"/>
      <c r="L9" s="2681"/>
      <c r="M9" s="394"/>
      <c r="N9" s="394"/>
      <c r="O9" s="394" t="s">
        <v>63</v>
      </c>
      <c r="P9" s="394"/>
      <c r="Q9" s="450" t="s">
        <v>72</v>
      </c>
      <c r="R9" s="398" t="s">
        <v>59</v>
      </c>
      <c r="S9" s="398"/>
      <c r="T9" s="398" t="s">
        <v>73</v>
      </c>
      <c r="U9" s="398" t="s">
        <v>59</v>
      </c>
      <c r="V9" s="399" t="s">
        <v>59</v>
      </c>
      <c r="W9" s="400" t="s">
        <v>59</v>
      </c>
      <c r="X9" s="401" t="s">
        <v>59</v>
      </c>
      <c r="Y9" s="401" t="s">
        <v>59</v>
      </c>
      <c r="Z9" s="401" t="s">
        <v>59</v>
      </c>
      <c r="AA9" s="402"/>
      <c r="AB9" s="462"/>
      <c r="AC9" s="625"/>
      <c r="AD9" s="625"/>
      <c r="AE9" s="625"/>
      <c r="AF9" s="626"/>
    </row>
    <row r="10" spans="1:32" s="457" customFormat="1" ht="18" customHeight="1" x14ac:dyDescent="0.25">
      <c r="A10" s="82">
        <v>1</v>
      </c>
      <c r="B10" s="254">
        <v>1883</v>
      </c>
      <c r="C10" s="14" t="s">
        <v>211</v>
      </c>
      <c r="D10" s="41" t="s">
        <v>212</v>
      </c>
      <c r="E10" s="41">
        <v>1</v>
      </c>
      <c r="F10" s="1532">
        <v>7</v>
      </c>
      <c r="G10" s="1533">
        <v>0</v>
      </c>
      <c r="H10" s="1534">
        <v>84</v>
      </c>
      <c r="I10" s="77">
        <f t="shared" ref="I10:I19" si="0">F10*400+G10*100+H10</f>
        <v>2884</v>
      </c>
      <c r="J10" s="1584">
        <v>280</v>
      </c>
      <c r="K10" s="297">
        <f>I10*J10</f>
        <v>807520</v>
      </c>
      <c r="L10" s="16"/>
      <c r="M10" s="53"/>
      <c r="N10" s="16"/>
      <c r="O10" s="16"/>
      <c r="P10" s="17"/>
      <c r="Q10" s="14"/>
      <c r="R10" s="741"/>
      <c r="S10" s="302"/>
      <c r="T10" s="309"/>
      <c r="U10" s="1670">
        <f t="shared" ref="U10:U12" si="1">+S10*0.15</f>
        <v>0</v>
      </c>
      <c r="V10" s="18">
        <f t="shared" ref="V10:V17" si="2">+S10-U10</f>
        <v>0</v>
      </c>
      <c r="W10" s="18">
        <f t="shared" ref="W10:W17" si="3">K10+V10</f>
        <v>807520</v>
      </c>
      <c r="X10" s="47">
        <f>W10*Q10/100</f>
        <v>0</v>
      </c>
      <c r="Y10" s="302" t="s">
        <v>213</v>
      </c>
      <c r="Z10" s="18">
        <f t="shared" ref="Z10:Z18" si="4">+X10</f>
        <v>0</v>
      </c>
      <c r="AA10" s="405">
        <v>0.01</v>
      </c>
      <c r="AB10" s="465">
        <f t="shared" ref="AB10:AB18" si="5">+Z10*AA10/100</f>
        <v>0</v>
      </c>
      <c r="AC10" s="1098"/>
      <c r="AD10" s="353">
        <f>AB10-AC10</f>
        <v>0</v>
      </c>
      <c r="AE10" s="353">
        <f>IF(AD10&lt;=0,0,AD10*25/100)</f>
        <v>0</v>
      </c>
      <c r="AF10" s="353">
        <f>IF(AC10+AE10&gt;AB10,AB10,AC10+AE10)</f>
        <v>0</v>
      </c>
    </row>
    <row r="11" spans="1:32" s="457" customFormat="1" ht="18" customHeight="1" x14ac:dyDescent="0.25">
      <c r="A11" s="75">
        <v>2</v>
      </c>
      <c r="B11" s="269">
        <v>55421</v>
      </c>
      <c r="C11" s="62" t="s">
        <v>214</v>
      </c>
      <c r="D11" s="27" t="s">
        <v>212</v>
      </c>
      <c r="E11" s="27">
        <v>1</v>
      </c>
      <c r="F11" s="1535">
        <v>1</v>
      </c>
      <c r="G11" s="1536">
        <v>0</v>
      </c>
      <c r="H11" s="1537">
        <v>24.6</v>
      </c>
      <c r="I11" s="77">
        <f t="shared" si="0"/>
        <v>424.6</v>
      </c>
      <c r="J11" s="1585">
        <v>1100</v>
      </c>
      <c r="K11" s="297">
        <f t="shared" ref="K11:K18" si="6">I11*J11</f>
        <v>467060</v>
      </c>
      <c r="L11" s="45"/>
      <c r="M11" s="75"/>
      <c r="N11" s="45"/>
      <c r="O11" s="45"/>
      <c r="P11" s="257"/>
      <c r="Q11" s="62"/>
      <c r="R11" s="743"/>
      <c r="S11" s="299"/>
      <c r="T11" s="298"/>
      <c r="U11" s="1670">
        <f t="shared" si="1"/>
        <v>0</v>
      </c>
      <c r="V11" s="18">
        <f t="shared" si="2"/>
        <v>0</v>
      </c>
      <c r="W11" s="18">
        <f t="shared" si="3"/>
        <v>467060</v>
      </c>
      <c r="X11" s="47">
        <f t="shared" ref="X11:X18" si="7">W11*Q11/100</f>
        <v>0</v>
      </c>
      <c r="Y11" s="299"/>
      <c r="Z11" s="18">
        <f t="shared" si="4"/>
        <v>0</v>
      </c>
      <c r="AA11" s="494">
        <v>0.01</v>
      </c>
      <c r="AB11" s="410">
        <f t="shared" si="5"/>
        <v>0</v>
      </c>
      <c r="AC11" s="350"/>
      <c r="AD11" s="350"/>
      <c r="AE11" s="350"/>
      <c r="AF11" s="350"/>
    </row>
    <row r="12" spans="1:32" s="457" customFormat="1" ht="18" customHeight="1" x14ac:dyDescent="0.25">
      <c r="A12" s="82">
        <v>3</v>
      </c>
      <c r="B12" s="269">
        <v>17321</v>
      </c>
      <c r="C12" s="62" t="s">
        <v>217</v>
      </c>
      <c r="D12" s="27" t="s">
        <v>212</v>
      </c>
      <c r="E12" s="27">
        <v>1</v>
      </c>
      <c r="F12" s="1535">
        <v>3</v>
      </c>
      <c r="G12" s="1536">
        <v>0</v>
      </c>
      <c r="H12" s="1537">
        <v>85</v>
      </c>
      <c r="I12" s="77">
        <f t="shared" si="0"/>
        <v>1285</v>
      </c>
      <c r="J12" s="1581">
        <v>1250</v>
      </c>
      <c r="K12" s="297">
        <f t="shared" si="6"/>
        <v>1606250</v>
      </c>
      <c r="L12" s="45"/>
      <c r="M12" s="75"/>
      <c r="N12" s="45"/>
      <c r="O12" s="45"/>
      <c r="P12" s="257"/>
      <c r="Q12" s="62"/>
      <c r="R12" s="743"/>
      <c r="S12" s="299"/>
      <c r="T12" s="298"/>
      <c r="U12" s="1670">
        <f t="shared" si="1"/>
        <v>0</v>
      </c>
      <c r="V12" s="18">
        <f t="shared" si="2"/>
        <v>0</v>
      </c>
      <c r="W12" s="18">
        <f t="shared" si="3"/>
        <v>1606250</v>
      </c>
      <c r="X12" s="47">
        <f t="shared" si="7"/>
        <v>0</v>
      </c>
      <c r="Y12" s="296"/>
      <c r="Z12" s="18">
        <f t="shared" si="4"/>
        <v>0</v>
      </c>
      <c r="AA12" s="494">
        <v>0.01</v>
      </c>
      <c r="AB12" s="410">
        <f t="shared" si="5"/>
        <v>0</v>
      </c>
      <c r="AC12" s="350"/>
      <c r="AD12" s="350"/>
      <c r="AE12" s="350"/>
      <c r="AF12" s="350"/>
    </row>
    <row r="13" spans="1:32" s="2369" customFormat="1" ht="18" customHeight="1" x14ac:dyDescent="0.25">
      <c r="A13" s="2387">
        <v>4</v>
      </c>
      <c r="B13" s="2300">
        <v>1964</v>
      </c>
      <c r="C13" s="2289" t="s">
        <v>218</v>
      </c>
      <c r="D13" s="2312" t="s">
        <v>212</v>
      </c>
      <c r="E13" s="2281">
        <v>2</v>
      </c>
      <c r="F13" s="2388">
        <v>0</v>
      </c>
      <c r="G13" s="2279">
        <v>1</v>
      </c>
      <c r="H13" s="2389">
        <v>40</v>
      </c>
      <c r="I13" s="2360">
        <f t="shared" si="0"/>
        <v>140</v>
      </c>
      <c r="J13" s="2322">
        <v>700</v>
      </c>
      <c r="K13" s="2362">
        <f t="shared" si="6"/>
        <v>98000</v>
      </c>
      <c r="L13" s="2279">
        <v>4</v>
      </c>
      <c r="M13" s="2387">
        <v>103</v>
      </c>
      <c r="N13" s="2279" t="s">
        <v>74</v>
      </c>
      <c r="O13" s="2279">
        <v>2</v>
      </c>
      <c r="P13" s="2389">
        <v>66.305000000000007</v>
      </c>
      <c r="Q13" s="2289" t="s">
        <v>75</v>
      </c>
      <c r="R13" s="2390">
        <v>9050</v>
      </c>
      <c r="S13" s="2293">
        <f t="shared" ref="S13:S18" si="8">+P13*R13</f>
        <v>600060.25000000012</v>
      </c>
      <c r="T13" s="2391">
        <v>12</v>
      </c>
      <c r="U13" s="2366">
        <f>+S13*0.14</f>
        <v>84008.435000000027</v>
      </c>
      <c r="V13" s="2283">
        <f t="shared" si="2"/>
        <v>516051.81500000006</v>
      </c>
      <c r="W13" s="2283">
        <f t="shared" si="3"/>
        <v>614051.81500000006</v>
      </c>
      <c r="X13" s="2293">
        <f t="shared" si="7"/>
        <v>614051.81500000006</v>
      </c>
      <c r="Y13" s="2320">
        <v>0</v>
      </c>
      <c r="Z13" s="2283">
        <f t="shared" si="4"/>
        <v>614051.81500000006</v>
      </c>
      <c r="AA13" s="2323">
        <v>0.02</v>
      </c>
      <c r="AB13" s="2303">
        <f t="shared" si="5"/>
        <v>122.81036300000001</v>
      </c>
      <c r="AC13" s="2297"/>
      <c r="AD13" s="2297"/>
      <c r="AE13" s="2297"/>
      <c r="AF13" s="2297"/>
    </row>
    <row r="14" spans="1:32" s="2369" customFormat="1" ht="18" customHeight="1" x14ac:dyDescent="0.2">
      <c r="A14" s="2392"/>
      <c r="B14" s="2279"/>
      <c r="C14" s="2289"/>
      <c r="D14" s="2281"/>
      <c r="E14" s="2281"/>
      <c r="F14" s="2388"/>
      <c r="G14" s="2279"/>
      <c r="H14" s="2389"/>
      <c r="I14" s="2360">
        <f t="shared" si="0"/>
        <v>0</v>
      </c>
      <c r="J14" s="2322"/>
      <c r="K14" s="2362">
        <f t="shared" si="6"/>
        <v>0</v>
      </c>
      <c r="L14" s="2279">
        <v>5</v>
      </c>
      <c r="M14" s="2387">
        <v>103</v>
      </c>
      <c r="N14" s="2279" t="s">
        <v>74</v>
      </c>
      <c r="O14" s="2279">
        <v>2</v>
      </c>
      <c r="P14" s="2389">
        <v>66.305000000000007</v>
      </c>
      <c r="Q14" s="2289" t="s">
        <v>75</v>
      </c>
      <c r="R14" s="2390">
        <v>9050</v>
      </c>
      <c r="S14" s="2293">
        <f t="shared" si="8"/>
        <v>600060.25000000012</v>
      </c>
      <c r="T14" s="2391">
        <v>12</v>
      </c>
      <c r="U14" s="2366">
        <f t="shared" ref="U14:U15" si="9">+S14*0.14</f>
        <v>84008.435000000027</v>
      </c>
      <c r="V14" s="2283">
        <f t="shared" si="2"/>
        <v>516051.81500000006</v>
      </c>
      <c r="W14" s="2283">
        <f t="shared" si="3"/>
        <v>516051.81500000006</v>
      </c>
      <c r="X14" s="2293">
        <f t="shared" si="7"/>
        <v>516051.81500000006</v>
      </c>
      <c r="Y14" s="2320"/>
      <c r="Z14" s="2283">
        <f t="shared" si="4"/>
        <v>516051.81500000006</v>
      </c>
      <c r="AA14" s="2323">
        <v>0.02</v>
      </c>
      <c r="AB14" s="2303">
        <f t="shared" si="5"/>
        <v>103.21036300000002</v>
      </c>
      <c r="AC14" s="2297"/>
      <c r="AD14" s="2297"/>
      <c r="AE14" s="2297"/>
      <c r="AF14" s="2297"/>
    </row>
    <row r="15" spans="1:32" s="2369" customFormat="1" ht="18" customHeight="1" x14ac:dyDescent="0.2">
      <c r="A15" s="2286"/>
      <c r="B15" s="2279"/>
      <c r="C15" s="2289"/>
      <c r="D15" s="2281"/>
      <c r="E15" s="2281"/>
      <c r="F15" s="2388"/>
      <c r="G15" s="2279"/>
      <c r="H15" s="2389"/>
      <c r="I15" s="2360">
        <f t="shared" si="0"/>
        <v>0</v>
      </c>
      <c r="J15" s="2322"/>
      <c r="K15" s="2362">
        <f t="shared" si="6"/>
        <v>0</v>
      </c>
      <c r="L15" s="2279">
        <v>6</v>
      </c>
      <c r="M15" s="2387">
        <v>103</v>
      </c>
      <c r="N15" s="2279" t="s">
        <v>74</v>
      </c>
      <c r="O15" s="2279">
        <v>2</v>
      </c>
      <c r="P15" s="2389">
        <v>66.305000000000007</v>
      </c>
      <c r="Q15" s="2289" t="s">
        <v>75</v>
      </c>
      <c r="R15" s="2390">
        <v>9050</v>
      </c>
      <c r="S15" s="2293">
        <f t="shared" si="8"/>
        <v>600060.25000000012</v>
      </c>
      <c r="T15" s="2391">
        <v>12</v>
      </c>
      <c r="U15" s="2366">
        <f t="shared" si="9"/>
        <v>84008.435000000027</v>
      </c>
      <c r="V15" s="2283">
        <f t="shared" si="2"/>
        <v>516051.81500000006</v>
      </c>
      <c r="W15" s="2283">
        <f t="shared" si="3"/>
        <v>516051.81500000006</v>
      </c>
      <c r="X15" s="2293">
        <f t="shared" si="7"/>
        <v>516051.81500000006</v>
      </c>
      <c r="Y15" s="2320"/>
      <c r="Z15" s="2283">
        <f t="shared" si="4"/>
        <v>516051.81500000006</v>
      </c>
      <c r="AA15" s="2323">
        <v>0.02</v>
      </c>
      <c r="AB15" s="2303">
        <f t="shared" si="5"/>
        <v>103.21036300000002</v>
      </c>
      <c r="AC15" s="2297"/>
      <c r="AD15" s="2297"/>
      <c r="AE15" s="2297"/>
      <c r="AF15" s="2297"/>
    </row>
    <row r="16" spans="1:32" s="2369" customFormat="1" ht="18" customHeight="1" x14ac:dyDescent="0.2">
      <c r="A16" s="2387"/>
      <c r="B16" s="2279"/>
      <c r="C16" s="2289"/>
      <c r="D16" s="2281"/>
      <c r="E16" s="2281"/>
      <c r="F16" s="2388"/>
      <c r="G16" s="2279"/>
      <c r="H16" s="2389"/>
      <c r="I16" s="2360">
        <f t="shared" si="0"/>
        <v>0</v>
      </c>
      <c r="J16" s="2322"/>
      <c r="K16" s="2362">
        <f t="shared" si="6"/>
        <v>0</v>
      </c>
      <c r="L16" s="2279">
        <v>7</v>
      </c>
      <c r="M16" s="2387">
        <v>101</v>
      </c>
      <c r="N16" s="2279" t="s">
        <v>82</v>
      </c>
      <c r="O16" s="2279">
        <v>2</v>
      </c>
      <c r="P16" s="2389">
        <v>84.53</v>
      </c>
      <c r="Q16" s="2289" t="s">
        <v>75</v>
      </c>
      <c r="R16" s="2390">
        <v>7700</v>
      </c>
      <c r="S16" s="2293">
        <f t="shared" si="8"/>
        <v>650881</v>
      </c>
      <c r="T16" s="2391">
        <v>12</v>
      </c>
      <c r="U16" s="2366">
        <f>+S16*0.5</f>
        <v>325440.5</v>
      </c>
      <c r="V16" s="2283">
        <f t="shared" si="2"/>
        <v>325440.5</v>
      </c>
      <c r="W16" s="2283">
        <f t="shared" si="3"/>
        <v>325440.5</v>
      </c>
      <c r="X16" s="2293">
        <f t="shared" si="7"/>
        <v>325440.5</v>
      </c>
      <c r="Y16" s="2320"/>
      <c r="Z16" s="2283">
        <f t="shared" si="4"/>
        <v>325440.5</v>
      </c>
      <c r="AA16" s="2323">
        <v>0.02</v>
      </c>
      <c r="AB16" s="2303">
        <f t="shared" si="5"/>
        <v>65.088099999999997</v>
      </c>
      <c r="AC16" s="2297"/>
      <c r="AD16" s="2297"/>
      <c r="AE16" s="2297"/>
      <c r="AF16" s="2297"/>
    </row>
    <row r="17" spans="1:32" s="457" customFormat="1" ht="18" customHeight="1" x14ac:dyDescent="0.2">
      <c r="A17" s="75">
        <v>5</v>
      </c>
      <c r="B17" s="45">
        <v>1963</v>
      </c>
      <c r="C17" s="32" t="s">
        <v>219</v>
      </c>
      <c r="D17" s="27" t="s">
        <v>215</v>
      </c>
      <c r="E17" s="804">
        <v>3</v>
      </c>
      <c r="F17" s="1535">
        <v>0</v>
      </c>
      <c r="G17" s="1536">
        <v>2</v>
      </c>
      <c r="H17" s="1538">
        <v>44.3</v>
      </c>
      <c r="I17" s="77">
        <f t="shared" si="0"/>
        <v>244.3</v>
      </c>
      <c r="J17" s="1099">
        <v>700</v>
      </c>
      <c r="K17" s="297">
        <f t="shared" si="6"/>
        <v>171010</v>
      </c>
      <c r="L17" s="45">
        <v>1</v>
      </c>
      <c r="M17" s="75">
        <v>106</v>
      </c>
      <c r="N17" s="27" t="s">
        <v>96</v>
      </c>
      <c r="O17" s="50">
        <v>2</v>
      </c>
      <c r="P17" s="19">
        <v>134.5</v>
      </c>
      <c r="Q17" s="76" t="s">
        <v>75</v>
      </c>
      <c r="R17" s="672">
        <v>7950</v>
      </c>
      <c r="S17" s="47">
        <f t="shared" si="8"/>
        <v>1069275</v>
      </c>
      <c r="T17" s="1515">
        <v>13</v>
      </c>
      <c r="U17" s="1670">
        <f>+S17*0.42</f>
        <v>449095.5</v>
      </c>
      <c r="V17" s="18">
        <f t="shared" si="2"/>
        <v>620179.5</v>
      </c>
      <c r="W17" s="18">
        <f t="shared" si="3"/>
        <v>791189.5</v>
      </c>
      <c r="X17" s="47">
        <f t="shared" si="7"/>
        <v>791189.5</v>
      </c>
      <c r="Y17" s="296" t="s">
        <v>87</v>
      </c>
      <c r="Z17" s="18">
        <v>0</v>
      </c>
      <c r="AA17" s="494">
        <v>0.02</v>
      </c>
      <c r="AB17" s="410">
        <f t="shared" si="5"/>
        <v>0</v>
      </c>
      <c r="AC17" s="350"/>
      <c r="AD17" s="350"/>
      <c r="AE17" s="350"/>
      <c r="AF17" s="350"/>
    </row>
    <row r="18" spans="1:32" s="457" customFormat="1" ht="18" customHeight="1" x14ac:dyDescent="0.2">
      <c r="A18" s="75"/>
      <c r="B18" s="1100"/>
      <c r="C18" s="1101"/>
      <c r="D18" s="1102"/>
      <c r="E18" s="1100"/>
      <c r="F18" s="27"/>
      <c r="G18" s="27"/>
      <c r="H18" s="1102"/>
      <c r="I18" s="77">
        <f t="shared" si="0"/>
        <v>0</v>
      </c>
      <c r="J18" s="1100"/>
      <c r="K18" s="297">
        <f t="shared" si="6"/>
        <v>0</v>
      </c>
      <c r="L18" s="45">
        <v>2</v>
      </c>
      <c r="M18" s="75">
        <v>504</v>
      </c>
      <c r="N18" s="45" t="s">
        <v>74</v>
      </c>
      <c r="O18" s="45">
        <v>3</v>
      </c>
      <c r="P18" s="257">
        <v>163.82999999999998</v>
      </c>
      <c r="Q18" s="62" t="s">
        <v>75</v>
      </c>
      <c r="R18" s="298">
        <v>3100</v>
      </c>
      <c r="S18" s="47">
        <f t="shared" si="8"/>
        <v>507872.99999999994</v>
      </c>
      <c r="T18" s="1501">
        <v>13</v>
      </c>
      <c r="U18" s="1670">
        <f>+S18*0.16</f>
        <v>81259.679999999993</v>
      </c>
      <c r="V18" s="18">
        <f t="shared" ref="V18" si="10">+S18-U18</f>
        <v>426613.31999999995</v>
      </c>
      <c r="W18" s="18">
        <f t="shared" ref="W18" si="11">K18+V18</f>
        <v>426613.31999999995</v>
      </c>
      <c r="X18" s="47">
        <f t="shared" si="7"/>
        <v>426613.31999999995</v>
      </c>
      <c r="Y18" s="299">
        <v>0</v>
      </c>
      <c r="Z18" s="18">
        <f t="shared" si="4"/>
        <v>426613.31999999995</v>
      </c>
      <c r="AA18" s="670">
        <v>0.3</v>
      </c>
      <c r="AB18" s="410">
        <f t="shared" si="5"/>
        <v>1279.8399599999998</v>
      </c>
      <c r="AC18" s="350"/>
      <c r="AD18" s="350"/>
      <c r="AE18" s="350"/>
      <c r="AF18" s="350"/>
    </row>
    <row r="19" spans="1:32" s="457" customFormat="1" ht="18" customHeight="1" x14ac:dyDescent="0.2">
      <c r="A19" s="75"/>
      <c r="B19" s="15"/>
      <c r="C19" s="25"/>
      <c r="D19" s="15"/>
      <c r="E19" s="807"/>
      <c r="F19" s="15"/>
      <c r="G19" s="294"/>
      <c r="H19" s="19"/>
      <c r="I19" s="77">
        <f t="shared" si="0"/>
        <v>0</v>
      </c>
      <c r="J19" s="759"/>
      <c r="K19" s="297"/>
      <c r="L19" s="50"/>
      <c r="M19" s="61"/>
      <c r="N19" s="50"/>
      <c r="O19" s="50"/>
      <c r="P19" s="19"/>
      <c r="Q19" s="76"/>
      <c r="R19" s="672"/>
      <c r="S19" s="296"/>
      <c r="T19" s="300"/>
      <c r="U19" s="296"/>
      <c r="V19" s="296"/>
      <c r="W19" s="305"/>
      <c r="X19" s="296"/>
      <c r="Y19" s="296"/>
      <c r="Z19" s="299"/>
      <c r="AA19" s="494"/>
      <c r="AB19" s="410"/>
      <c r="AC19" s="350"/>
      <c r="AD19" s="350"/>
      <c r="AE19" s="350"/>
      <c r="AF19" s="350"/>
    </row>
    <row r="20" spans="1:32" s="457" customFormat="1" ht="18" customHeight="1" x14ac:dyDescent="0.2">
      <c r="A20" s="65"/>
      <c r="B20" s="1518" t="s">
        <v>313</v>
      </c>
      <c r="C20" s="129"/>
      <c r="D20" s="88"/>
      <c r="E20" s="239"/>
      <c r="F20" s="418"/>
      <c r="G20" s="75"/>
      <c r="H20" s="120"/>
      <c r="I20" s="121"/>
      <c r="J20" s="1103"/>
      <c r="K20" s="159"/>
      <c r="L20" s="75"/>
      <c r="M20" s="75"/>
      <c r="N20" s="88"/>
      <c r="O20" s="61"/>
      <c r="P20" s="173"/>
      <c r="Q20" s="196"/>
      <c r="R20" s="408"/>
      <c r="S20" s="77"/>
      <c r="T20" s="803"/>
      <c r="U20" s="77"/>
      <c r="V20" s="77"/>
      <c r="W20" s="121"/>
      <c r="X20" s="77"/>
      <c r="Y20" s="77"/>
      <c r="Z20" s="107"/>
      <c r="AA20" s="409"/>
      <c r="AB20" s="410"/>
      <c r="AC20" s="350"/>
      <c r="AD20" s="350"/>
      <c r="AE20" s="350"/>
      <c r="AF20" s="350"/>
    </row>
    <row r="21" spans="1:32" ht="18" customHeight="1" x14ac:dyDescent="0.25">
      <c r="A21" s="119">
        <v>1</v>
      </c>
      <c r="B21" s="1582">
        <v>1953</v>
      </c>
      <c r="C21" s="1492">
        <v>100</v>
      </c>
      <c r="D21" s="1492" t="s">
        <v>215</v>
      </c>
      <c r="E21" s="1492">
        <v>1</v>
      </c>
      <c r="F21" s="1492">
        <v>0</v>
      </c>
      <c r="G21" s="1492">
        <v>2</v>
      </c>
      <c r="H21" s="1493">
        <v>60</v>
      </c>
      <c r="I21" s="1494">
        <v>260</v>
      </c>
      <c r="J21" s="1495">
        <v>700</v>
      </c>
      <c r="K21" s="1496">
        <v>182000</v>
      </c>
      <c r="L21" s="1497" t="s">
        <v>311</v>
      </c>
      <c r="M21" s="119"/>
      <c r="N21" s="1497"/>
      <c r="O21" s="1497"/>
      <c r="P21" s="1498"/>
      <c r="Q21" s="1499"/>
      <c r="R21" s="1500"/>
      <c r="S21" s="1494"/>
      <c r="T21" s="1501"/>
      <c r="U21" s="1494"/>
      <c r="V21" s="1494"/>
      <c r="W21" s="1502"/>
      <c r="X21" s="1494"/>
      <c r="Y21" s="1494"/>
      <c r="Z21" s="1503"/>
      <c r="AA21" s="1504"/>
      <c r="AB21" s="1505"/>
      <c r="AC21" s="452"/>
      <c r="AD21" s="452"/>
      <c r="AE21" s="452"/>
      <c r="AF21" s="452"/>
    </row>
    <row r="22" spans="1:32" ht="18" customHeight="1" x14ac:dyDescent="0.25">
      <c r="A22" s="119">
        <v>2</v>
      </c>
      <c r="B22" s="1583">
        <v>51488</v>
      </c>
      <c r="C22" s="1507" t="s">
        <v>216</v>
      </c>
      <c r="D22" s="1508" t="s">
        <v>212</v>
      </c>
      <c r="E22" s="1508">
        <v>1</v>
      </c>
      <c r="F22" s="1509">
        <v>2</v>
      </c>
      <c r="G22" s="1506">
        <v>0</v>
      </c>
      <c r="H22" s="1510">
        <v>0</v>
      </c>
      <c r="I22" s="1511">
        <v>800</v>
      </c>
      <c r="J22" s="1512">
        <v>280</v>
      </c>
      <c r="K22" s="1513">
        <v>224000</v>
      </c>
      <c r="L22" s="1506" t="s">
        <v>312</v>
      </c>
      <c r="M22" s="113"/>
      <c r="N22" s="1506"/>
      <c r="O22" s="1506"/>
      <c r="P22" s="1510"/>
      <c r="Q22" s="1507"/>
      <c r="R22" s="1514"/>
      <c r="S22" s="1511"/>
      <c r="T22" s="1515"/>
      <c r="U22" s="1511"/>
      <c r="V22" s="1511"/>
      <c r="W22" s="1516"/>
      <c r="X22" s="1511"/>
      <c r="Y22" s="1511"/>
      <c r="Z22" s="1511"/>
      <c r="AA22" s="1517"/>
      <c r="AB22" s="1505"/>
      <c r="AC22" s="452"/>
      <c r="AD22" s="452"/>
      <c r="AE22" s="452"/>
      <c r="AF22" s="452"/>
    </row>
    <row r="23" spans="1:32" s="457" customFormat="1" ht="18" customHeight="1" x14ac:dyDescent="0.2">
      <c r="A23" s="88"/>
      <c r="B23" s="72"/>
      <c r="C23" s="675"/>
      <c r="D23" s="130"/>
      <c r="E23" s="72"/>
      <c r="F23" s="88"/>
      <c r="G23" s="88"/>
      <c r="H23" s="130"/>
      <c r="I23" s="122"/>
      <c r="J23" s="72"/>
      <c r="K23" s="1104"/>
      <c r="L23" s="75"/>
      <c r="M23" s="75"/>
      <c r="N23" s="75"/>
      <c r="O23" s="75"/>
      <c r="P23" s="188"/>
      <c r="Q23" s="174"/>
      <c r="R23" s="413"/>
      <c r="S23" s="74"/>
      <c r="T23" s="135"/>
      <c r="U23" s="74"/>
      <c r="V23" s="74"/>
      <c r="W23" s="195"/>
      <c r="X23" s="74"/>
      <c r="Y23" s="74"/>
      <c r="Z23" s="74"/>
      <c r="AA23" s="414"/>
      <c r="AB23" s="410"/>
      <c r="AC23" s="350"/>
      <c r="AD23" s="350"/>
      <c r="AE23" s="350"/>
      <c r="AF23" s="350"/>
    </row>
    <row r="24" spans="1:32" s="457" customFormat="1" ht="18" customHeight="1" x14ac:dyDescent="0.2">
      <c r="A24" s="61"/>
      <c r="B24" s="145"/>
      <c r="C24" s="148"/>
      <c r="D24" s="145"/>
      <c r="E24" s="238"/>
      <c r="F24" s="145"/>
      <c r="G24" s="467"/>
      <c r="H24" s="173"/>
      <c r="I24" s="77"/>
      <c r="J24" s="275"/>
      <c r="K24" s="78"/>
      <c r="L24" s="61"/>
      <c r="M24" s="61"/>
      <c r="N24" s="61"/>
      <c r="O24" s="61"/>
      <c r="P24" s="173"/>
      <c r="Q24" s="196"/>
      <c r="R24" s="408"/>
      <c r="S24" s="77"/>
      <c r="T24" s="803"/>
      <c r="U24" s="77"/>
      <c r="V24" s="77"/>
      <c r="W24" s="121"/>
      <c r="X24" s="77"/>
      <c r="Y24" s="77"/>
      <c r="Z24" s="74"/>
      <c r="AA24" s="409"/>
      <c r="AB24" s="410"/>
      <c r="AC24" s="350"/>
      <c r="AD24" s="350"/>
      <c r="AE24" s="350"/>
      <c r="AF24" s="350"/>
    </row>
    <row r="25" spans="1:32" s="597" customFormat="1" ht="18" customHeight="1" x14ac:dyDescent="0.2">
      <c r="A25" s="1147"/>
      <c r="B25" s="1867"/>
      <c r="C25" s="1867"/>
      <c r="D25" s="1147"/>
      <c r="E25" s="1147"/>
      <c r="F25" s="1147"/>
      <c r="G25" s="1147"/>
      <c r="H25" s="1151"/>
      <c r="I25" s="1868"/>
      <c r="J25" s="1869"/>
      <c r="K25" s="1868"/>
      <c r="L25" s="1147"/>
      <c r="M25" s="1147"/>
      <c r="N25" s="1147"/>
      <c r="O25" s="1147"/>
      <c r="P25" s="1151"/>
      <c r="Q25" s="1871"/>
      <c r="R25" s="1872"/>
      <c r="S25" s="1868"/>
      <c r="T25" s="1987"/>
      <c r="U25" s="1869"/>
      <c r="V25" s="1868"/>
      <c r="W25" s="1868"/>
      <c r="X25" s="1873"/>
      <c r="Y25" s="1873"/>
      <c r="Z25" s="1874"/>
      <c r="AA25" s="1874"/>
      <c r="AB25" s="1849">
        <f>SUM(AB10:AB24)</f>
        <v>1674.1591489999998</v>
      </c>
      <c r="AC25" s="1875"/>
      <c r="AD25" s="1875"/>
      <c r="AE25" s="1875"/>
      <c r="AF25" s="1875"/>
    </row>
    <row r="26" spans="1:32" s="457" customFormat="1" ht="18" customHeight="1" x14ac:dyDescent="0.2">
      <c r="A26" s="2737" t="s">
        <v>76</v>
      </c>
      <c r="B26" s="2737"/>
      <c r="C26" s="2738" t="s">
        <v>77</v>
      </c>
      <c r="D26" s="2738"/>
      <c r="E26" s="2738"/>
      <c r="F26" s="2738"/>
      <c r="G26" s="2738"/>
      <c r="H26" s="2738"/>
      <c r="I26" s="457" t="s">
        <v>78</v>
      </c>
      <c r="AB26" s="478"/>
    </row>
    <row r="27" spans="1:32" s="457" customFormat="1" ht="18" customHeight="1" x14ac:dyDescent="0.2">
      <c r="B27" s="479"/>
      <c r="I27" s="457" t="s">
        <v>79</v>
      </c>
      <c r="AB27" s="478"/>
    </row>
    <row r="28" spans="1:32" s="457" customFormat="1" ht="18" customHeight="1" x14ac:dyDescent="0.2">
      <c r="B28" s="479"/>
      <c r="I28" s="457" t="s">
        <v>80</v>
      </c>
      <c r="AB28" s="478"/>
    </row>
    <row r="29" spans="1:32" s="457" customFormat="1" ht="18" customHeight="1" x14ac:dyDescent="0.2">
      <c r="B29" s="479"/>
      <c r="I29" s="457" t="s">
        <v>81</v>
      </c>
      <c r="AB29" s="478"/>
    </row>
    <row r="30" spans="1:32" s="457" customFormat="1" ht="18" customHeight="1" x14ac:dyDescent="0.2">
      <c r="B30" s="479"/>
      <c r="I30" s="457" t="s">
        <v>88</v>
      </c>
      <c r="AB30" s="478"/>
    </row>
    <row r="31" spans="1:32" s="457" customFormat="1" ht="18" customHeight="1" x14ac:dyDescent="0.2">
      <c r="A31" s="455"/>
      <c r="B31" s="455"/>
      <c r="C31" s="455"/>
      <c r="D31" s="455"/>
      <c r="E31" s="455"/>
      <c r="F31" s="455"/>
      <c r="G31" s="455"/>
      <c r="H31" s="455"/>
      <c r="I31" s="455"/>
      <c r="J31" s="455"/>
      <c r="K31" s="455"/>
      <c r="L31" s="455"/>
      <c r="M31" s="455"/>
      <c r="N31" s="455"/>
      <c r="O31" s="455"/>
      <c r="P31" s="455"/>
      <c r="Q31" s="455"/>
      <c r="R31" s="455"/>
      <c r="S31" s="455"/>
      <c r="T31" s="455"/>
      <c r="U31" s="455"/>
      <c r="V31" s="455"/>
      <c r="W31" s="455"/>
      <c r="X31" s="455"/>
      <c r="Y31" s="455"/>
      <c r="Z31" s="455"/>
      <c r="AA31" s="2705" t="s">
        <v>0</v>
      </c>
      <c r="AB31" s="2705"/>
    </row>
    <row r="32" spans="1:32" s="457" customFormat="1" ht="18" customHeight="1" x14ac:dyDescent="0.2">
      <c r="A32" s="2706" t="s">
        <v>1</v>
      </c>
      <c r="B32" s="2706"/>
      <c r="C32" s="2706"/>
      <c r="D32" s="2706"/>
      <c r="E32" s="2706"/>
      <c r="F32" s="2706"/>
      <c r="G32" s="2706"/>
      <c r="H32" s="2706"/>
      <c r="I32" s="2706"/>
      <c r="J32" s="2706"/>
      <c r="K32" s="2706"/>
      <c r="L32" s="2706"/>
      <c r="M32" s="2706"/>
      <c r="N32" s="2706"/>
      <c r="O32" s="2706"/>
      <c r="P32" s="2706"/>
      <c r="Q32" s="2706"/>
      <c r="R32" s="2706"/>
      <c r="S32" s="2706"/>
      <c r="T32" s="2706"/>
      <c r="U32" s="2706"/>
      <c r="V32" s="2706"/>
      <c r="W32" s="2706"/>
      <c r="X32" s="2706"/>
      <c r="Y32" s="2706"/>
      <c r="Z32" s="2706"/>
      <c r="AA32" s="2706"/>
      <c r="AB32" s="2706"/>
    </row>
    <row r="33" spans="1:28" s="457" customFormat="1" ht="18" customHeight="1" x14ac:dyDescent="0.2">
      <c r="A33" s="2704" t="s">
        <v>331</v>
      </c>
      <c r="B33" s="2704"/>
      <c r="C33" s="2704"/>
      <c r="D33" s="2704"/>
      <c r="E33" s="2704"/>
      <c r="F33" s="2704"/>
      <c r="G33" s="2704"/>
      <c r="H33" s="2704"/>
      <c r="I33" s="2704"/>
      <c r="J33" s="2704"/>
      <c r="K33" s="2704"/>
      <c r="L33" s="2704"/>
      <c r="M33" s="2704"/>
      <c r="N33" s="2704"/>
      <c r="O33" s="2704"/>
      <c r="P33" s="2704"/>
      <c r="Q33" s="2704"/>
      <c r="R33" s="2704"/>
      <c r="S33" s="2704"/>
      <c r="T33" s="2704"/>
      <c r="U33" s="2704"/>
      <c r="V33" s="2704"/>
      <c r="W33" s="2704"/>
      <c r="X33" s="2704"/>
      <c r="Y33" s="2704"/>
      <c r="Z33" s="2704"/>
      <c r="AA33" s="2704"/>
      <c r="AB33" s="2704"/>
    </row>
    <row r="34" spans="1:28" s="457" customFormat="1" ht="18" customHeight="1" x14ac:dyDescent="0.2">
      <c r="A34" s="2686" t="s">
        <v>2</v>
      </c>
      <c r="B34" s="360"/>
      <c r="C34" s="2686" t="s">
        <v>3</v>
      </c>
      <c r="D34" s="360"/>
      <c r="E34" s="360"/>
      <c r="F34" s="2693" t="s">
        <v>4</v>
      </c>
      <c r="G34" s="2693"/>
      <c r="H34" s="2693"/>
      <c r="I34" s="2694"/>
      <c r="J34" s="2694"/>
      <c r="K34" s="2695"/>
      <c r="L34" s="361"/>
      <c r="M34" s="2679" t="s">
        <v>5</v>
      </c>
      <c r="N34" s="2679"/>
      <c r="O34" s="2679"/>
      <c r="P34" s="2679"/>
      <c r="Q34" s="2696"/>
      <c r="R34" s="2696"/>
      <c r="S34" s="2696"/>
      <c r="T34" s="2696"/>
      <c r="U34" s="2696"/>
      <c r="V34" s="2697"/>
      <c r="W34" s="362" t="s">
        <v>6</v>
      </c>
      <c r="X34" s="363" t="s">
        <v>7</v>
      </c>
      <c r="Y34" s="364"/>
      <c r="Z34" s="364"/>
      <c r="AA34" s="363"/>
      <c r="AB34" s="458"/>
    </row>
    <row r="35" spans="1:28" s="457" customFormat="1" ht="18" customHeight="1" x14ac:dyDescent="0.2">
      <c r="A35" s="2687"/>
      <c r="B35" s="367"/>
      <c r="C35" s="2687"/>
      <c r="D35" s="366" t="s">
        <v>9</v>
      </c>
      <c r="E35" s="366" t="s">
        <v>10</v>
      </c>
      <c r="F35" s="2698" t="s">
        <v>11</v>
      </c>
      <c r="G35" s="2694"/>
      <c r="H35" s="2695"/>
      <c r="I35" s="360"/>
      <c r="J35" s="449" t="s">
        <v>12</v>
      </c>
      <c r="K35" s="360"/>
      <c r="L35" s="2679" t="s">
        <v>2</v>
      </c>
      <c r="M35" s="370"/>
      <c r="N35" s="370"/>
      <c r="O35" s="370"/>
      <c r="P35" s="371"/>
      <c r="Q35" s="459" t="s">
        <v>13</v>
      </c>
      <c r="R35" s="370" t="s">
        <v>12</v>
      </c>
      <c r="S35" s="370" t="s">
        <v>6</v>
      </c>
      <c r="T35" s="2682" t="s">
        <v>14</v>
      </c>
      <c r="U35" s="2683"/>
      <c r="V35" s="375" t="s">
        <v>7</v>
      </c>
      <c r="W35" s="376" t="s">
        <v>15</v>
      </c>
      <c r="X35" s="377" t="s">
        <v>16</v>
      </c>
      <c r="Y35" s="377" t="s">
        <v>17</v>
      </c>
      <c r="Z35" s="377" t="s">
        <v>18</v>
      </c>
      <c r="AA35" s="377"/>
      <c r="AB35" s="460" t="s">
        <v>19</v>
      </c>
    </row>
    <row r="36" spans="1:28" s="457" customFormat="1" ht="18" customHeight="1" x14ac:dyDescent="0.2">
      <c r="A36" s="2687"/>
      <c r="B36" s="366" t="s">
        <v>23</v>
      </c>
      <c r="C36" s="2687"/>
      <c r="D36" s="366" t="s">
        <v>24</v>
      </c>
      <c r="E36" s="366" t="s">
        <v>25</v>
      </c>
      <c r="F36" s="2699"/>
      <c r="G36" s="2700"/>
      <c r="H36" s="2701"/>
      <c r="I36" s="366" t="s">
        <v>26</v>
      </c>
      <c r="J36" s="380" t="s">
        <v>15</v>
      </c>
      <c r="K36" s="380" t="s">
        <v>6</v>
      </c>
      <c r="L36" s="2680"/>
      <c r="M36" s="381" t="s">
        <v>27</v>
      </c>
      <c r="N36" s="381" t="s">
        <v>10</v>
      </c>
      <c r="O36" s="381" t="s">
        <v>10</v>
      </c>
      <c r="P36" s="385" t="s">
        <v>28</v>
      </c>
      <c r="Q36" s="461" t="s">
        <v>29</v>
      </c>
      <c r="R36" s="385" t="s">
        <v>15</v>
      </c>
      <c r="S36" s="385" t="s">
        <v>15</v>
      </c>
      <c r="T36" s="2684"/>
      <c r="U36" s="2685"/>
      <c r="V36" s="375" t="s">
        <v>30</v>
      </c>
      <c r="W36" s="376" t="s">
        <v>31</v>
      </c>
      <c r="X36" s="377" t="s">
        <v>30</v>
      </c>
      <c r="Y36" s="377" t="s">
        <v>32</v>
      </c>
      <c r="Z36" s="377" t="s">
        <v>7</v>
      </c>
      <c r="AA36" s="377" t="s">
        <v>33</v>
      </c>
      <c r="AB36" s="460" t="s">
        <v>34</v>
      </c>
    </row>
    <row r="37" spans="1:28" s="457" customFormat="1" ht="18" customHeight="1" x14ac:dyDescent="0.2">
      <c r="A37" s="2687"/>
      <c r="B37" s="366" t="s">
        <v>39</v>
      </c>
      <c r="C37" s="2687"/>
      <c r="D37" s="366" t="s">
        <v>40</v>
      </c>
      <c r="E37" s="366" t="s">
        <v>41</v>
      </c>
      <c r="F37" s="2686" t="s">
        <v>42</v>
      </c>
      <c r="G37" s="2686" t="s">
        <v>43</v>
      </c>
      <c r="H37" s="2688" t="s">
        <v>44</v>
      </c>
      <c r="I37" s="366" t="s">
        <v>45</v>
      </c>
      <c r="J37" s="380" t="s">
        <v>46</v>
      </c>
      <c r="K37" s="380" t="s">
        <v>47</v>
      </c>
      <c r="L37" s="2680"/>
      <c r="M37" s="381" t="s">
        <v>30</v>
      </c>
      <c r="N37" s="381" t="s">
        <v>30</v>
      </c>
      <c r="O37" s="381" t="s">
        <v>25</v>
      </c>
      <c r="P37" s="385" t="s">
        <v>30</v>
      </c>
      <c r="Q37" s="461" t="s">
        <v>48</v>
      </c>
      <c r="R37" s="385" t="s">
        <v>49</v>
      </c>
      <c r="S37" s="385" t="s">
        <v>30</v>
      </c>
      <c r="T37" s="374" t="s">
        <v>50</v>
      </c>
      <c r="U37" s="374" t="s">
        <v>13</v>
      </c>
      <c r="V37" s="375" t="s">
        <v>51</v>
      </c>
      <c r="W37" s="376" t="s">
        <v>52</v>
      </c>
      <c r="X37" s="377" t="s">
        <v>53</v>
      </c>
      <c r="Y37" s="377" t="s">
        <v>54</v>
      </c>
      <c r="Z37" s="377" t="s">
        <v>55</v>
      </c>
      <c r="AA37" s="377" t="s">
        <v>56</v>
      </c>
      <c r="AB37" s="460" t="s">
        <v>57</v>
      </c>
    </row>
    <row r="38" spans="1:28" s="457" customFormat="1" ht="18" customHeight="1" x14ac:dyDescent="0.2">
      <c r="A38" s="2687"/>
      <c r="B38" s="366" t="s">
        <v>61</v>
      </c>
      <c r="C38" s="2687"/>
      <c r="D38" s="366" t="s">
        <v>62</v>
      </c>
      <c r="E38" s="366" t="s">
        <v>63</v>
      </c>
      <c r="F38" s="2687"/>
      <c r="G38" s="2687"/>
      <c r="H38" s="2689"/>
      <c r="I38" s="366" t="s">
        <v>64</v>
      </c>
      <c r="J38" s="380" t="s">
        <v>59</v>
      </c>
      <c r="K38" s="380" t="s">
        <v>59</v>
      </c>
      <c r="L38" s="2680"/>
      <c r="M38" s="381"/>
      <c r="N38" s="381"/>
      <c r="O38" s="381" t="s">
        <v>41</v>
      </c>
      <c r="P38" s="385" t="s">
        <v>65</v>
      </c>
      <c r="Q38" s="461" t="s">
        <v>66</v>
      </c>
      <c r="R38" s="385" t="s">
        <v>67</v>
      </c>
      <c r="S38" s="385" t="s">
        <v>59</v>
      </c>
      <c r="T38" s="375" t="s">
        <v>68</v>
      </c>
      <c r="U38" s="375" t="s">
        <v>14</v>
      </c>
      <c r="V38" s="375" t="s">
        <v>14</v>
      </c>
      <c r="W38" s="376" t="s">
        <v>30</v>
      </c>
      <c r="X38" s="388" t="s">
        <v>69</v>
      </c>
      <c r="Y38" s="388" t="s">
        <v>70</v>
      </c>
      <c r="Z38" s="377" t="s">
        <v>71</v>
      </c>
      <c r="AA38" s="377" t="s">
        <v>72</v>
      </c>
      <c r="AB38" s="460" t="s">
        <v>59</v>
      </c>
    </row>
    <row r="39" spans="1:28" s="457" customFormat="1" ht="18" customHeight="1" x14ac:dyDescent="0.2">
      <c r="A39" s="2692"/>
      <c r="B39" s="390"/>
      <c r="C39" s="2692"/>
      <c r="D39" s="390"/>
      <c r="E39" s="389"/>
      <c r="F39" s="390"/>
      <c r="G39" s="390"/>
      <c r="H39" s="391"/>
      <c r="I39" s="389"/>
      <c r="J39" s="393"/>
      <c r="K39" s="393"/>
      <c r="L39" s="2681"/>
      <c r="M39" s="394"/>
      <c r="N39" s="394"/>
      <c r="O39" s="394" t="s">
        <v>63</v>
      </c>
      <c r="P39" s="394"/>
      <c r="Q39" s="450" t="s">
        <v>72</v>
      </c>
      <c r="R39" s="398" t="s">
        <v>59</v>
      </c>
      <c r="S39" s="398"/>
      <c r="T39" s="398" t="s">
        <v>73</v>
      </c>
      <c r="U39" s="398" t="s">
        <v>59</v>
      </c>
      <c r="V39" s="399" t="s">
        <v>59</v>
      </c>
      <c r="W39" s="400" t="s">
        <v>59</v>
      </c>
      <c r="X39" s="401" t="s">
        <v>59</v>
      </c>
      <c r="Y39" s="401" t="s">
        <v>59</v>
      </c>
      <c r="Z39" s="401" t="s">
        <v>59</v>
      </c>
      <c r="AA39" s="402"/>
      <c r="AB39" s="462"/>
    </row>
    <row r="40" spans="1:28" s="457" customFormat="1" ht="18" customHeight="1" x14ac:dyDescent="0.25">
      <c r="A40" s="61">
        <v>1</v>
      </c>
      <c r="B40" s="287">
        <v>26789</v>
      </c>
      <c r="C40" s="25" t="s">
        <v>220</v>
      </c>
      <c r="D40" s="15" t="s">
        <v>215</v>
      </c>
      <c r="E40" s="807">
        <v>3</v>
      </c>
      <c r="F40" s="15">
        <v>0</v>
      </c>
      <c r="G40" s="294">
        <v>0</v>
      </c>
      <c r="H40" s="19">
        <v>97</v>
      </c>
      <c r="I40" s="77">
        <f t="shared" ref="I40" si="12">F40*400+G40*100+H40</f>
        <v>97</v>
      </c>
      <c r="J40" s="759">
        <v>2300</v>
      </c>
      <c r="K40" s="297">
        <f t="shared" ref="K40" si="13">I40*J40</f>
        <v>223100</v>
      </c>
      <c r="L40" s="50">
        <v>3</v>
      </c>
      <c r="M40" s="61">
        <v>504</v>
      </c>
      <c r="N40" s="50" t="s">
        <v>74</v>
      </c>
      <c r="O40" s="50">
        <v>3</v>
      </c>
      <c r="P40" s="19">
        <v>434.28000000000003</v>
      </c>
      <c r="Q40" s="76" t="s">
        <v>75</v>
      </c>
      <c r="R40" s="672">
        <v>3100</v>
      </c>
      <c r="S40" s="47">
        <f t="shared" ref="S40" si="14">+P40*R40</f>
        <v>1346268</v>
      </c>
      <c r="T40" s="1515">
        <v>14</v>
      </c>
      <c r="U40" s="1670">
        <f>+S40*0.18</f>
        <v>242328.24</v>
      </c>
      <c r="V40" s="18">
        <f t="shared" ref="V40" si="15">+S40-U40</f>
        <v>1103939.76</v>
      </c>
      <c r="W40" s="18">
        <f t="shared" ref="W40" si="16">K40+V40</f>
        <v>1327039.76</v>
      </c>
      <c r="X40" s="47">
        <f t="shared" ref="X40" si="17">W40*Q40/100</f>
        <v>1327039.76</v>
      </c>
      <c r="Y40" s="296">
        <v>0</v>
      </c>
      <c r="Z40" s="18">
        <f t="shared" ref="Z40" si="18">+X40</f>
        <v>1327039.76</v>
      </c>
      <c r="AA40" s="409">
        <v>0.3</v>
      </c>
      <c r="AB40" s="410">
        <f>+Z40*AA40/100</f>
        <v>3981.1192800000003</v>
      </c>
    </row>
    <row r="41" spans="1:28" s="457" customFormat="1" ht="18" customHeight="1" x14ac:dyDescent="0.2">
      <c r="A41" s="75"/>
      <c r="B41" s="75"/>
      <c r="C41" s="174"/>
      <c r="D41" s="88"/>
      <c r="E41" s="88"/>
      <c r="F41" s="418"/>
      <c r="G41" s="75"/>
      <c r="H41" s="188"/>
      <c r="I41" s="74"/>
      <c r="J41" s="280"/>
      <c r="K41" s="159"/>
      <c r="L41" s="75"/>
      <c r="M41" s="75"/>
      <c r="N41" s="75"/>
      <c r="O41" s="75"/>
      <c r="P41" s="188"/>
      <c r="Q41" s="174"/>
      <c r="R41" s="413"/>
      <c r="S41" s="74"/>
      <c r="T41" s="135"/>
      <c r="U41" s="74"/>
      <c r="V41" s="74"/>
      <c r="W41" s="121"/>
      <c r="X41" s="74"/>
      <c r="Y41" s="74"/>
      <c r="Z41" s="121"/>
      <c r="AA41" s="409"/>
      <c r="AB41" s="410"/>
    </row>
    <row r="42" spans="1:28" s="457" customFormat="1" ht="18" customHeight="1" x14ac:dyDescent="0.2">
      <c r="A42" s="75"/>
      <c r="B42" s="88"/>
      <c r="C42" s="88"/>
      <c r="D42" s="88"/>
      <c r="E42" s="88"/>
      <c r="F42" s="88"/>
      <c r="G42" s="88"/>
      <c r="H42" s="495"/>
      <c r="I42" s="74"/>
      <c r="J42" s="280"/>
      <c r="K42" s="159"/>
      <c r="L42" s="75"/>
      <c r="M42" s="75"/>
      <c r="N42" s="75"/>
      <c r="O42" s="75"/>
      <c r="P42" s="188"/>
      <c r="Q42" s="174"/>
      <c r="R42" s="413"/>
      <c r="S42" s="74"/>
      <c r="T42" s="135"/>
      <c r="U42" s="74"/>
      <c r="V42" s="74"/>
      <c r="W42" s="195"/>
      <c r="X42" s="74"/>
      <c r="Y42" s="74"/>
      <c r="Z42" s="121"/>
      <c r="AA42" s="414"/>
      <c r="AB42" s="410"/>
    </row>
    <row r="43" spans="1:28" s="457" customFormat="1" ht="18" customHeight="1" x14ac:dyDescent="0.2">
      <c r="A43" s="65"/>
      <c r="B43" s="61"/>
      <c r="C43" s="196"/>
      <c r="D43" s="145"/>
      <c r="E43" s="145"/>
      <c r="F43" s="467"/>
      <c r="G43" s="61"/>
      <c r="H43" s="173"/>
      <c r="I43" s="77"/>
      <c r="J43" s="275"/>
      <c r="K43" s="78"/>
      <c r="L43" s="61"/>
      <c r="M43" s="61"/>
      <c r="N43" s="61"/>
      <c r="O43" s="61"/>
      <c r="P43" s="173"/>
      <c r="Q43" s="196"/>
      <c r="R43" s="408"/>
      <c r="S43" s="77"/>
      <c r="T43" s="803"/>
      <c r="U43" s="77"/>
      <c r="V43" s="77"/>
      <c r="W43" s="914"/>
      <c r="X43" s="77"/>
      <c r="Y43" s="77"/>
      <c r="Z43" s="77"/>
      <c r="AA43" s="409"/>
      <c r="AB43" s="410"/>
    </row>
    <row r="44" spans="1:28" s="457" customFormat="1" ht="18" customHeight="1" x14ac:dyDescent="0.2">
      <c r="A44" s="61"/>
      <c r="B44" s="75"/>
      <c r="C44" s="174"/>
      <c r="D44" s="88"/>
      <c r="E44" s="88"/>
      <c r="F44" s="418"/>
      <c r="G44" s="75"/>
      <c r="H44" s="188"/>
      <c r="I44" s="77"/>
      <c r="J44" s="275"/>
      <c r="K44" s="78"/>
      <c r="L44" s="75"/>
      <c r="M44" s="75"/>
      <c r="N44" s="75"/>
      <c r="O44" s="75"/>
      <c r="P44" s="188"/>
      <c r="Q44" s="174"/>
      <c r="R44" s="413"/>
      <c r="S44" s="74"/>
      <c r="T44" s="135"/>
      <c r="U44" s="74"/>
      <c r="V44" s="74"/>
      <c r="W44" s="121"/>
      <c r="X44" s="74"/>
      <c r="Y44" s="77"/>
      <c r="Z44" s="77"/>
      <c r="AA44" s="409"/>
      <c r="AB44" s="410"/>
    </row>
    <row r="45" spans="1:28" s="457" customFormat="1" ht="18" customHeight="1" x14ac:dyDescent="0.2">
      <c r="A45" s="75"/>
      <c r="B45" s="75"/>
      <c r="C45" s="174"/>
      <c r="D45" s="145"/>
      <c r="E45" s="88"/>
      <c r="F45" s="418"/>
      <c r="G45" s="75"/>
      <c r="H45" s="188"/>
      <c r="I45" s="77"/>
      <c r="J45" s="275"/>
      <c r="K45" s="78"/>
      <c r="L45" s="75"/>
      <c r="M45" s="75"/>
      <c r="N45" s="75"/>
      <c r="O45" s="75"/>
      <c r="P45" s="188"/>
      <c r="Q45" s="174"/>
      <c r="R45" s="413"/>
      <c r="S45" s="77"/>
      <c r="T45" s="135"/>
      <c r="U45" s="74"/>
      <c r="V45" s="74"/>
      <c r="W45" s="121"/>
      <c r="X45" s="74"/>
      <c r="Y45" s="77"/>
      <c r="Z45" s="77"/>
      <c r="AA45" s="409"/>
      <c r="AB45" s="410"/>
    </row>
    <row r="46" spans="1:28" s="457" customFormat="1" ht="18" customHeight="1" x14ac:dyDescent="0.2">
      <c r="A46" s="75"/>
      <c r="B46" s="75"/>
      <c r="C46" s="174"/>
      <c r="D46" s="88"/>
      <c r="E46" s="88"/>
      <c r="F46" s="418"/>
      <c r="G46" s="75"/>
      <c r="H46" s="188"/>
      <c r="I46" s="77"/>
      <c r="J46" s="275"/>
      <c r="K46" s="78"/>
      <c r="L46" s="75"/>
      <c r="M46" s="75"/>
      <c r="N46" s="75"/>
      <c r="O46" s="75"/>
      <c r="P46" s="188"/>
      <c r="Q46" s="174"/>
      <c r="R46" s="413"/>
      <c r="S46" s="77"/>
      <c r="T46" s="135"/>
      <c r="U46" s="74"/>
      <c r="V46" s="74"/>
      <c r="W46" s="195"/>
      <c r="X46" s="74"/>
      <c r="Y46" s="77"/>
      <c r="Z46" s="77"/>
      <c r="AA46" s="409"/>
      <c r="AB46" s="410"/>
    </row>
    <row r="47" spans="1:28" s="457" customFormat="1" ht="18" customHeight="1" x14ac:dyDescent="0.2">
      <c r="A47" s="75"/>
      <c r="B47" s="75"/>
      <c r="C47" s="174"/>
      <c r="D47" s="88"/>
      <c r="E47" s="88"/>
      <c r="F47" s="418"/>
      <c r="G47" s="75"/>
      <c r="H47" s="188"/>
      <c r="I47" s="77"/>
      <c r="J47" s="275"/>
      <c r="K47" s="78"/>
      <c r="L47" s="75"/>
      <c r="M47" s="75"/>
      <c r="N47" s="75"/>
      <c r="O47" s="75"/>
      <c r="P47" s="188"/>
      <c r="Q47" s="174"/>
      <c r="R47" s="413"/>
      <c r="S47" s="77"/>
      <c r="T47" s="135"/>
      <c r="U47" s="74"/>
      <c r="V47" s="74"/>
      <c r="W47" s="121"/>
      <c r="X47" s="74"/>
      <c r="Y47" s="77"/>
      <c r="Z47" s="77"/>
      <c r="AA47" s="409"/>
      <c r="AB47" s="410"/>
    </row>
    <row r="48" spans="1:28" s="457" customFormat="1" ht="18" customHeight="1" x14ac:dyDescent="0.2">
      <c r="A48" s="75"/>
      <c r="B48" s="75"/>
      <c r="C48" s="174"/>
      <c r="D48" s="88"/>
      <c r="E48" s="88"/>
      <c r="F48" s="418"/>
      <c r="G48" s="75"/>
      <c r="H48" s="188"/>
      <c r="I48" s="77"/>
      <c r="J48" s="275"/>
      <c r="K48" s="78"/>
      <c r="L48" s="75"/>
      <c r="M48" s="75"/>
      <c r="N48" s="75"/>
      <c r="O48" s="75"/>
      <c r="P48" s="188"/>
      <c r="Q48" s="174"/>
      <c r="R48" s="413"/>
      <c r="S48" s="77"/>
      <c r="T48" s="135"/>
      <c r="U48" s="74"/>
      <c r="V48" s="74"/>
      <c r="W48" s="121"/>
      <c r="X48" s="74"/>
      <c r="Y48" s="77"/>
      <c r="Z48" s="77"/>
      <c r="AA48" s="409"/>
      <c r="AB48" s="410"/>
    </row>
    <row r="49" spans="1:32" s="457" customFormat="1" ht="18" customHeight="1" x14ac:dyDescent="0.2">
      <c r="A49" s="65"/>
      <c r="B49" s="75"/>
      <c r="C49" s="129"/>
      <c r="D49" s="88"/>
      <c r="E49" s="239"/>
      <c r="F49" s="418"/>
      <c r="G49" s="75"/>
      <c r="H49" s="120"/>
      <c r="I49" s="121"/>
      <c r="J49" s="1103"/>
      <c r="K49" s="159"/>
      <c r="L49" s="75"/>
      <c r="M49" s="75"/>
      <c r="N49" s="88"/>
      <c r="O49" s="61"/>
      <c r="P49" s="173"/>
      <c r="Q49" s="196"/>
      <c r="R49" s="408"/>
      <c r="S49" s="77"/>
      <c r="T49" s="803"/>
      <c r="U49" s="77"/>
      <c r="V49" s="77"/>
      <c r="W49" s="121"/>
      <c r="X49" s="77"/>
      <c r="Y49" s="77"/>
      <c r="Z49" s="107"/>
      <c r="AA49" s="409"/>
      <c r="AB49" s="410"/>
    </row>
    <row r="50" spans="1:32" s="457" customFormat="1" ht="18" customHeight="1" x14ac:dyDescent="0.2">
      <c r="A50" s="88"/>
      <c r="B50" s="72"/>
      <c r="C50" s="675"/>
      <c r="D50" s="130"/>
      <c r="E50" s="72"/>
      <c r="F50" s="88"/>
      <c r="G50" s="88"/>
      <c r="H50" s="130"/>
      <c r="I50" s="122"/>
      <c r="J50" s="72"/>
      <c r="K50" s="1104"/>
      <c r="L50" s="75"/>
      <c r="M50" s="75"/>
      <c r="N50" s="75"/>
      <c r="O50" s="75"/>
      <c r="P50" s="188"/>
      <c r="Q50" s="174"/>
      <c r="R50" s="413"/>
      <c r="S50" s="74"/>
      <c r="T50" s="135"/>
      <c r="U50" s="74"/>
      <c r="V50" s="74"/>
      <c r="W50" s="195"/>
      <c r="X50" s="74"/>
      <c r="Y50" s="74"/>
      <c r="Z50" s="74"/>
      <c r="AA50" s="414"/>
      <c r="AB50" s="410"/>
    </row>
    <row r="51" spans="1:32" s="457" customFormat="1" ht="18" customHeight="1" x14ac:dyDescent="0.2">
      <c r="A51" s="75"/>
      <c r="B51" s="644"/>
      <c r="C51" s="1371"/>
      <c r="D51" s="130"/>
      <c r="E51" s="130"/>
      <c r="F51" s="418"/>
      <c r="G51" s="75"/>
      <c r="H51" s="1372"/>
      <c r="I51" s="1373"/>
      <c r="J51" s="72"/>
      <c r="K51" s="1104"/>
      <c r="L51" s="75"/>
      <c r="M51" s="75"/>
      <c r="N51" s="75"/>
      <c r="O51" s="75"/>
      <c r="P51" s="188"/>
      <c r="Q51" s="174"/>
      <c r="R51" s="413"/>
      <c r="S51" s="74"/>
      <c r="T51" s="135"/>
      <c r="U51" s="74"/>
      <c r="V51" s="74"/>
      <c r="W51" s="195"/>
      <c r="X51" s="74"/>
      <c r="Y51" s="74"/>
      <c r="Z51" s="74"/>
      <c r="AA51" s="1044"/>
      <c r="AB51" s="410"/>
    </row>
    <row r="52" spans="1:32" s="457" customFormat="1" ht="18" customHeight="1" x14ac:dyDescent="0.2">
      <c r="A52" s="75"/>
      <c r="B52" s="75"/>
      <c r="C52" s="174"/>
      <c r="D52" s="88"/>
      <c r="E52" s="145"/>
      <c r="F52" s="418"/>
      <c r="G52" s="75"/>
      <c r="H52" s="188"/>
      <c r="I52" s="77"/>
      <c r="J52" s="121"/>
      <c r="K52" s="159"/>
      <c r="L52" s="75"/>
      <c r="M52" s="75"/>
      <c r="N52" s="75"/>
      <c r="O52" s="75"/>
      <c r="P52" s="188"/>
      <c r="Q52" s="129"/>
      <c r="R52" s="440"/>
      <c r="S52" s="74"/>
      <c r="T52" s="135"/>
      <c r="U52" s="73"/>
      <c r="V52" s="74"/>
      <c r="W52" s="74"/>
      <c r="X52" s="74"/>
      <c r="Y52" s="74"/>
      <c r="Z52" s="74"/>
      <c r="AA52" s="1044"/>
      <c r="AB52" s="410"/>
    </row>
    <row r="53" spans="1:32" s="457" customFormat="1" ht="18" customHeight="1" x14ac:dyDescent="0.2">
      <c r="A53" s="75"/>
      <c r="B53" s="75"/>
      <c r="C53" s="174"/>
      <c r="D53" s="88"/>
      <c r="E53" s="145"/>
      <c r="F53" s="418"/>
      <c r="G53" s="75"/>
      <c r="H53" s="188"/>
      <c r="I53" s="77"/>
      <c r="J53" s="121"/>
      <c r="K53" s="159"/>
      <c r="L53" s="75"/>
      <c r="M53" s="75"/>
      <c r="N53" s="75"/>
      <c r="O53" s="75"/>
      <c r="P53" s="188"/>
      <c r="Q53" s="129"/>
      <c r="R53" s="440"/>
      <c r="S53" s="74"/>
      <c r="T53" s="135"/>
      <c r="U53" s="73"/>
      <c r="V53" s="74"/>
      <c r="W53" s="74"/>
      <c r="X53" s="74"/>
      <c r="Y53" s="74"/>
      <c r="Z53" s="74"/>
      <c r="AA53" s="1044"/>
      <c r="AB53" s="466"/>
    </row>
    <row r="54" spans="1:32" s="457" customFormat="1" ht="18" customHeight="1" x14ac:dyDescent="0.2">
      <c r="A54" s="75"/>
      <c r="B54" s="75"/>
      <c r="C54" s="129"/>
      <c r="D54" s="239"/>
      <c r="E54" s="88"/>
      <c r="F54" s="418"/>
      <c r="G54" s="75"/>
      <c r="H54" s="188"/>
      <c r="I54" s="647"/>
      <c r="J54" s="73"/>
      <c r="K54" s="1374"/>
      <c r="L54" s="61"/>
      <c r="M54" s="61"/>
      <c r="N54" s="88"/>
      <c r="O54" s="239"/>
      <c r="P54" s="1375"/>
      <c r="Q54" s="1376"/>
      <c r="R54" s="442"/>
      <c r="S54" s="77"/>
      <c r="T54" s="803"/>
      <c r="U54" s="73"/>
      <c r="V54" s="190"/>
      <c r="W54" s="78"/>
      <c r="X54" s="77"/>
      <c r="Y54" s="77"/>
      <c r="Z54" s="77"/>
      <c r="AA54" s="409"/>
      <c r="AB54" s="466"/>
    </row>
    <row r="55" spans="1:32" s="597" customFormat="1" ht="18" customHeight="1" x14ac:dyDescent="0.2">
      <c r="A55" s="1147"/>
      <c r="B55" s="1867"/>
      <c r="C55" s="1867"/>
      <c r="D55" s="1147"/>
      <c r="E55" s="1147"/>
      <c r="F55" s="1147"/>
      <c r="G55" s="1147"/>
      <c r="H55" s="1151"/>
      <c r="I55" s="1868"/>
      <c r="J55" s="1869"/>
      <c r="K55" s="1868"/>
      <c r="L55" s="1147"/>
      <c r="M55" s="1147"/>
      <c r="N55" s="1147"/>
      <c r="O55" s="1147"/>
      <c r="P55" s="1151"/>
      <c r="Q55" s="1871"/>
      <c r="R55" s="1872"/>
      <c r="S55" s="1868"/>
      <c r="T55" s="1987"/>
      <c r="U55" s="1869"/>
      <c r="V55" s="1868"/>
      <c r="W55" s="1868"/>
      <c r="X55" s="1873"/>
      <c r="Y55" s="1873"/>
      <c r="Z55" s="1874"/>
      <c r="AA55" s="1874"/>
      <c r="AB55" s="1849">
        <f>SUM(AB40:AB54)</f>
        <v>3981.1192800000003</v>
      </c>
    </row>
    <row r="56" spans="1:32" s="457" customFormat="1" ht="18" customHeight="1" x14ac:dyDescent="0.2">
      <c r="A56" s="448"/>
      <c r="B56" s="1377" t="s">
        <v>300</v>
      </c>
      <c r="C56" s="1378"/>
      <c r="D56" s="448"/>
      <c r="E56" s="448"/>
      <c r="F56" s="448"/>
      <c r="G56" s="448"/>
      <c r="H56" s="1039"/>
      <c r="I56" s="1379"/>
      <c r="J56" s="1380"/>
      <c r="K56" s="1379"/>
      <c r="L56" s="448"/>
      <c r="M56" s="448"/>
      <c r="N56" s="448"/>
      <c r="O56" s="448"/>
      <c r="P56" s="1039"/>
      <c r="Q56" s="951"/>
      <c r="R56" s="1381"/>
      <c r="S56" s="1379"/>
      <c r="T56" s="1382"/>
      <c r="U56" s="1380"/>
      <c r="V56" s="1379"/>
      <c r="W56" s="1379"/>
      <c r="X56" s="1383"/>
      <c r="Y56" s="1383"/>
      <c r="Z56" s="1384"/>
      <c r="AA56" s="1384"/>
      <c r="AB56" s="1385"/>
    </row>
    <row r="57" spans="1:32" s="457" customFormat="1" ht="18" customHeight="1" x14ac:dyDescent="0.2">
      <c r="A57" s="2737" t="s">
        <v>76</v>
      </c>
      <c r="B57" s="2737"/>
      <c r="C57" s="2738" t="s">
        <v>77</v>
      </c>
      <c r="D57" s="2738"/>
      <c r="E57" s="2738"/>
      <c r="F57" s="2738"/>
      <c r="G57" s="2738"/>
      <c r="H57" s="2738"/>
      <c r="I57" s="457" t="s">
        <v>78</v>
      </c>
      <c r="AB57" s="478"/>
    </row>
    <row r="58" spans="1:32" s="457" customFormat="1" ht="18" customHeight="1" x14ac:dyDescent="0.2">
      <c r="B58" s="479"/>
      <c r="I58" s="457" t="s">
        <v>79</v>
      </c>
      <c r="AB58" s="478"/>
    </row>
    <row r="59" spans="1:32" s="457" customFormat="1" ht="18" customHeight="1" x14ac:dyDescent="0.2">
      <c r="B59" s="479"/>
      <c r="I59" s="457" t="s">
        <v>80</v>
      </c>
      <c r="AB59" s="478"/>
    </row>
    <row r="60" spans="1:32" s="457" customFormat="1" ht="18" customHeight="1" x14ac:dyDescent="0.2">
      <c r="B60" s="479"/>
      <c r="I60" s="457" t="s">
        <v>81</v>
      </c>
      <c r="AB60" s="478"/>
    </row>
    <row r="61" spans="1:32" s="457" customFormat="1" ht="18" customHeight="1" x14ac:dyDescent="0.2">
      <c r="B61" s="479"/>
      <c r="I61" s="457" t="s">
        <v>88</v>
      </c>
      <c r="AB61" s="478"/>
    </row>
    <row r="62" spans="1:32" s="457" customFormat="1" ht="15.75" customHeight="1" x14ac:dyDescent="0.2">
      <c r="A62" s="455"/>
      <c r="B62" s="455"/>
      <c r="C62" s="455"/>
      <c r="D62" s="455"/>
      <c r="E62" s="455"/>
      <c r="F62" s="455"/>
      <c r="G62" s="455"/>
      <c r="H62" s="455"/>
      <c r="I62" s="455"/>
      <c r="J62" s="455"/>
      <c r="K62" s="455"/>
      <c r="L62" s="455"/>
      <c r="M62" s="455"/>
      <c r="N62" s="455"/>
      <c r="O62" s="455"/>
      <c r="P62" s="455"/>
      <c r="Q62" s="455"/>
      <c r="R62" s="455"/>
      <c r="S62" s="455"/>
      <c r="T62" s="455"/>
      <c r="U62" s="455"/>
      <c r="V62" s="455"/>
      <c r="W62" s="455"/>
      <c r="X62" s="455"/>
      <c r="Y62" s="455"/>
      <c r="Z62" s="455"/>
      <c r="AA62" s="2705" t="s">
        <v>0</v>
      </c>
      <c r="AB62" s="2705"/>
      <c r="AC62" s="455"/>
      <c r="AD62" s="455"/>
      <c r="AE62" s="455"/>
      <c r="AF62" s="455"/>
    </row>
    <row r="63" spans="1:32" s="457" customFormat="1" ht="18" customHeight="1" x14ac:dyDescent="0.2">
      <c r="A63" s="2706" t="s">
        <v>1</v>
      </c>
      <c r="B63" s="2706"/>
      <c r="C63" s="2706"/>
      <c r="D63" s="2706"/>
      <c r="E63" s="2706"/>
      <c r="F63" s="2706"/>
      <c r="G63" s="2706"/>
      <c r="H63" s="2706"/>
      <c r="I63" s="2706"/>
      <c r="J63" s="2706"/>
      <c r="K63" s="2706"/>
      <c r="L63" s="2706"/>
      <c r="M63" s="2706"/>
      <c r="N63" s="2706"/>
      <c r="O63" s="2706"/>
      <c r="P63" s="2706"/>
      <c r="Q63" s="2706"/>
      <c r="R63" s="2706"/>
      <c r="S63" s="2706"/>
      <c r="T63" s="2706"/>
      <c r="U63" s="2706"/>
      <c r="V63" s="2706"/>
      <c r="W63" s="2706"/>
      <c r="X63" s="2706"/>
      <c r="Y63" s="2706"/>
      <c r="Z63" s="2706"/>
      <c r="AA63" s="2706"/>
      <c r="AB63" s="2706"/>
      <c r="AC63" s="610"/>
      <c r="AD63" s="610"/>
      <c r="AE63" s="610"/>
      <c r="AF63" s="610"/>
    </row>
    <row r="64" spans="1:32" s="457" customFormat="1" ht="18" customHeight="1" x14ac:dyDescent="0.2">
      <c r="A64" s="2704" t="s">
        <v>489</v>
      </c>
      <c r="B64" s="2704"/>
      <c r="C64" s="2704"/>
      <c r="D64" s="2704"/>
      <c r="E64" s="2704"/>
      <c r="F64" s="2704"/>
      <c r="G64" s="2704"/>
      <c r="H64" s="2704"/>
      <c r="I64" s="2704"/>
      <c r="J64" s="2704"/>
      <c r="K64" s="2704"/>
      <c r="L64" s="2704"/>
      <c r="M64" s="2704"/>
      <c r="N64" s="2704"/>
      <c r="O64" s="2704"/>
      <c r="P64" s="2704"/>
      <c r="Q64" s="2704"/>
      <c r="R64" s="2704"/>
      <c r="S64" s="2704"/>
      <c r="T64" s="2704"/>
      <c r="U64" s="2704"/>
      <c r="V64" s="2704"/>
      <c r="W64" s="2704"/>
      <c r="X64" s="2704"/>
      <c r="Y64" s="2704"/>
      <c r="Z64" s="2704"/>
      <c r="AA64" s="2704"/>
      <c r="AB64" s="2704"/>
      <c r="AC64" s="611"/>
      <c r="AD64" s="611"/>
      <c r="AE64" s="611"/>
      <c r="AF64" s="611"/>
    </row>
    <row r="65" spans="1:32" s="457" customFormat="1" ht="18" customHeight="1" x14ac:dyDescent="0.2">
      <c r="A65" s="2686" t="s">
        <v>2</v>
      </c>
      <c r="B65" s="360"/>
      <c r="C65" s="2686" t="s">
        <v>3</v>
      </c>
      <c r="D65" s="360"/>
      <c r="E65" s="360"/>
      <c r="F65" s="2693" t="s">
        <v>4</v>
      </c>
      <c r="G65" s="2693"/>
      <c r="H65" s="2693"/>
      <c r="I65" s="2694"/>
      <c r="J65" s="2694"/>
      <c r="K65" s="2695"/>
      <c r="L65" s="361"/>
      <c r="M65" s="2679" t="s">
        <v>5</v>
      </c>
      <c r="N65" s="2679"/>
      <c r="O65" s="2679"/>
      <c r="P65" s="2679"/>
      <c r="Q65" s="2696"/>
      <c r="R65" s="2696"/>
      <c r="S65" s="2696"/>
      <c r="T65" s="2696"/>
      <c r="U65" s="2696"/>
      <c r="V65" s="2697"/>
      <c r="W65" s="362" t="s">
        <v>6</v>
      </c>
      <c r="X65" s="363" t="s">
        <v>7</v>
      </c>
      <c r="Y65" s="364"/>
      <c r="Z65" s="364"/>
      <c r="AA65" s="363"/>
      <c r="AB65" s="458"/>
      <c r="AC65" s="612" t="s">
        <v>8</v>
      </c>
      <c r="AD65" s="613"/>
      <c r="AE65" s="613"/>
      <c r="AF65" s="614"/>
    </row>
    <row r="66" spans="1:32" s="457" customFormat="1" ht="18" customHeight="1" x14ac:dyDescent="0.2">
      <c r="A66" s="2687"/>
      <c r="B66" s="367"/>
      <c r="C66" s="2687"/>
      <c r="D66" s="366" t="s">
        <v>9</v>
      </c>
      <c r="E66" s="366" t="s">
        <v>10</v>
      </c>
      <c r="F66" s="2698" t="s">
        <v>11</v>
      </c>
      <c r="G66" s="2694"/>
      <c r="H66" s="2695"/>
      <c r="I66" s="360"/>
      <c r="J66" s="449" t="s">
        <v>12</v>
      </c>
      <c r="K66" s="360"/>
      <c r="L66" s="2679" t="s">
        <v>2</v>
      </c>
      <c r="M66" s="370"/>
      <c r="N66" s="370"/>
      <c r="O66" s="370"/>
      <c r="P66" s="371"/>
      <c r="Q66" s="459" t="s">
        <v>13</v>
      </c>
      <c r="R66" s="370" t="s">
        <v>12</v>
      </c>
      <c r="S66" s="370" t="s">
        <v>6</v>
      </c>
      <c r="T66" s="2682" t="s">
        <v>14</v>
      </c>
      <c r="U66" s="2683"/>
      <c r="V66" s="375" t="s">
        <v>7</v>
      </c>
      <c r="W66" s="376" t="s">
        <v>15</v>
      </c>
      <c r="X66" s="377" t="s">
        <v>16</v>
      </c>
      <c r="Y66" s="377" t="s">
        <v>17</v>
      </c>
      <c r="Z66" s="377" t="s">
        <v>18</v>
      </c>
      <c r="AA66" s="377"/>
      <c r="AB66" s="460" t="s">
        <v>19</v>
      </c>
      <c r="AC66" s="615" t="s">
        <v>20</v>
      </c>
      <c r="AD66" s="616"/>
      <c r="AE66" s="617" t="s">
        <v>21</v>
      </c>
      <c r="AF66" s="618" t="s">
        <v>22</v>
      </c>
    </row>
    <row r="67" spans="1:32" s="457" customFormat="1" ht="18" customHeight="1" x14ac:dyDescent="0.2">
      <c r="A67" s="2687"/>
      <c r="B67" s="366" t="s">
        <v>23</v>
      </c>
      <c r="C67" s="2687"/>
      <c r="D67" s="366" t="s">
        <v>24</v>
      </c>
      <c r="E67" s="366" t="s">
        <v>25</v>
      </c>
      <c r="F67" s="2699"/>
      <c r="G67" s="2700"/>
      <c r="H67" s="2701"/>
      <c r="I67" s="366" t="s">
        <v>26</v>
      </c>
      <c r="J67" s="380" t="s">
        <v>15</v>
      </c>
      <c r="K67" s="380" t="s">
        <v>6</v>
      </c>
      <c r="L67" s="2680"/>
      <c r="M67" s="381" t="s">
        <v>27</v>
      </c>
      <c r="N67" s="381" t="s">
        <v>10</v>
      </c>
      <c r="O67" s="381" t="s">
        <v>10</v>
      </c>
      <c r="P67" s="385" t="s">
        <v>28</v>
      </c>
      <c r="Q67" s="461" t="s">
        <v>29</v>
      </c>
      <c r="R67" s="385" t="s">
        <v>15</v>
      </c>
      <c r="S67" s="385" t="s">
        <v>15</v>
      </c>
      <c r="T67" s="2684"/>
      <c r="U67" s="2685"/>
      <c r="V67" s="375" t="s">
        <v>30</v>
      </c>
      <c r="W67" s="376" t="s">
        <v>31</v>
      </c>
      <c r="X67" s="377" t="s">
        <v>30</v>
      </c>
      <c r="Y67" s="377" t="s">
        <v>32</v>
      </c>
      <c r="Z67" s="377" t="s">
        <v>7</v>
      </c>
      <c r="AA67" s="377" t="s">
        <v>33</v>
      </c>
      <c r="AB67" s="460" t="s">
        <v>34</v>
      </c>
      <c r="AC67" s="615" t="s">
        <v>35</v>
      </c>
      <c r="AD67" s="617" t="s">
        <v>36</v>
      </c>
      <c r="AE67" s="617" t="s">
        <v>37</v>
      </c>
      <c r="AF67" s="618" t="s">
        <v>38</v>
      </c>
    </row>
    <row r="68" spans="1:32" s="457" customFormat="1" ht="18" customHeight="1" x14ac:dyDescent="0.2">
      <c r="A68" s="2687"/>
      <c r="B68" s="366" t="s">
        <v>39</v>
      </c>
      <c r="C68" s="2687"/>
      <c r="D68" s="366" t="s">
        <v>40</v>
      </c>
      <c r="E68" s="366" t="s">
        <v>41</v>
      </c>
      <c r="F68" s="2686" t="s">
        <v>42</v>
      </c>
      <c r="G68" s="2686" t="s">
        <v>43</v>
      </c>
      <c r="H68" s="2688" t="s">
        <v>44</v>
      </c>
      <c r="I68" s="366" t="s">
        <v>45</v>
      </c>
      <c r="J68" s="380" t="s">
        <v>46</v>
      </c>
      <c r="K68" s="380" t="s">
        <v>47</v>
      </c>
      <c r="L68" s="2680"/>
      <c r="M68" s="381" t="s">
        <v>30</v>
      </c>
      <c r="N68" s="381" t="s">
        <v>30</v>
      </c>
      <c r="O68" s="381" t="s">
        <v>25</v>
      </c>
      <c r="P68" s="385" t="s">
        <v>30</v>
      </c>
      <c r="Q68" s="461" t="s">
        <v>48</v>
      </c>
      <c r="R68" s="385" t="s">
        <v>49</v>
      </c>
      <c r="S68" s="385" t="s">
        <v>30</v>
      </c>
      <c r="T68" s="374" t="s">
        <v>50</v>
      </c>
      <c r="U68" s="374" t="s">
        <v>13</v>
      </c>
      <c r="V68" s="375" t="s">
        <v>51</v>
      </c>
      <c r="W68" s="376" t="s">
        <v>52</v>
      </c>
      <c r="X68" s="377" t="s">
        <v>53</v>
      </c>
      <c r="Y68" s="377" t="s">
        <v>54</v>
      </c>
      <c r="Z68" s="377" t="s">
        <v>55</v>
      </c>
      <c r="AA68" s="377" t="s">
        <v>56</v>
      </c>
      <c r="AB68" s="460" t="s">
        <v>57</v>
      </c>
      <c r="AC68" s="617" t="s">
        <v>58</v>
      </c>
      <c r="AD68" s="617" t="s">
        <v>59</v>
      </c>
      <c r="AE68" s="617" t="s">
        <v>59</v>
      </c>
      <c r="AF68" s="618" t="s">
        <v>60</v>
      </c>
    </row>
    <row r="69" spans="1:32" s="457" customFormat="1" ht="18" customHeight="1" x14ac:dyDescent="0.2">
      <c r="A69" s="2687"/>
      <c r="B69" s="366" t="s">
        <v>61</v>
      </c>
      <c r="C69" s="2687"/>
      <c r="D69" s="366" t="s">
        <v>62</v>
      </c>
      <c r="E69" s="366" t="s">
        <v>63</v>
      </c>
      <c r="F69" s="2687"/>
      <c r="G69" s="2687"/>
      <c r="H69" s="2689"/>
      <c r="I69" s="366" t="s">
        <v>64</v>
      </c>
      <c r="J69" s="380" t="s">
        <v>59</v>
      </c>
      <c r="K69" s="380" t="s">
        <v>59</v>
      </c>
      <c r="L69" s="2680"/>
      <c r="M69" s="381"/>
      <c r="N69" s="381"/>
      <c r="O69" s="381" t="s">
        <v>41</v>
      </c>
      <c r="P69" s="385" t="s">
        <v>65</v>
      </c>
      <c r="Q69" s="461" t="s">
        <v>66</v>
      </c>
      <c r="R69" s="385" t="s">
        <v>67</v>
      </c>
      <c r="S69" s="385" t="s">
        <v>59</v>
      </c>
      <c r="T69" s="375" t="s">
        <v>68</v>
      </c>
      <c r="U69" s="375" t="s">
        <v>14</v>
      </c>
      <c r="V69" s="375" t="s">
        <v>14</v>
      </c>
      <c r="W69" s="376" t="s">
        <v>30</v>
      </c>
      <c r="X69" s="388" t="s">
        <v>69</v>
      </c>
      <c r="Y69" s="388" t="s">
        <v>70</v>
      </c>
      <c r="Z69" s="377" t="s">
        <v>71</v>
      </c>
      <c r="AA69" s="377" t="s">
        <v>72</v>
      </c>
      <c r="AB69" s="460" t="s">
        <v>59</v>
      </c>
      <c r="AC69" s="617" t="s">
        <v>59</v>
      </c>
      <c r="AD69" s="617"/>
      <c r="AE69" s="617"/>
      <c r="AF69" s="618" t="s">
        <v>59</v>
      </c>
    </row>
    <row r="70" spans="1:32" s="457" customFormat="1" ht="18" customHeight="1" x14ac:dyDescent="0.2">
      <c r="A70" s="2692"/>
      <c r="B70" s="390"/>
      <c r="C70" s="2692"/>
      <c r="D70" s="390"/>
      <c r="E70" s="389"/>
      <c r="F70" s="390"/>
      <c r="G70" s="390"/>
      <c r="H70" s="391"/>
      <c r="I70" s="389"/>
      <c r="J70" s="393"/>
      <c r="K70" s="393"/>
      <c r="L70" s="2681"/>
      <c r="M70" s="394"/>
      <c r="N70" s="394"/>
      <c r="O70" s="394" t="s">
        <v>63</v>
      </c>
      <c r="P70" s="394"/>
      <c r="Q70" s="450" t="s">
        <v>72</v>
      </c>
      <c r="R70" s="398" t="s">
        <v>59</v>
      </c>
      <c r="S70" s="398"/>
      <c r="T70" s="398" t="s">
        <v>73</v>
      </c>
      <c r="U70" s="398" t="s">
        <v>59</v>
      </c>
      <c r="V70" s="399" t="s">
        <v>59</v>
      </c>
      <c r="W70" s="400" t="s">
        <v>59</v>
      </c>
      <c r="X70" s="401" t="s">
        <v>59</v>
      </c>
      <c r="Y70" s="401" t="s">
        <v>59</v>
      </c>
      <c r="Z70" s="401" t="s">
        <v>59</v>
      </c>
      <c r="AA70" s="402"/>
      <c r="AB70" s="462"/>
      <c r="AC70" s="625"/>
      <c r="AD70" s="625"/>
      <c r="AE70" s="625"/>
      <c r="AF70" s="626"/>
    </row>
    <row r="71" spans="1:32" s="457" customFormat="1" ht="18" customHeight="1" x14ac:dyDescent="0.25">
      <c r="A71" s="53">
        <v>1</v>
      </c>
      <c r="B71" s="333">
        <v>1883</v>
      </c>
      <c r="C71" s="41">
        <v>194</v>
      </c>
      <c r="D71" s="41" t="s">
        <v>212</v>
      </c>
      <c r="E71" s="41">
        <v>1</v>
      </c>
      <c r="F71" s="41">
        <v>2</v>
      </c>
      <c r="G71" s="41">
        <v>3</v>
      </c>
      <c r="H71" s="267">
        <v>44</v>
      </c>
      <c r="I71" s="77">
        <f t="shared" ref="I71:I87" si="19">F71*400+G71*100+H71</f>
        <v>1144</v>
      </c>
      <c r="J71" s="310">
        <v>280</v>
      </c>
      <c r="K71" s="297">
        <f t="shared" ref="K71:K86" si="20">I71*J71</f>
        <v>320320</v>
      </c>
      <c r="L71" s="16"/>
      <c r="M71" s="82"/>
      <c r="N71" s="41"/>
      <c r="O71" s="16"/>
      <c r="P71" s="41"/>
      <c r="Q71" s="14"/>
      <c r="R71" s="741"/>
      <c r="S71" s="302"/>
      <c r="T71" s="309"/>
      <c r="U71" s="302"/>
      <c r="V71" s="302"/>
      <c r="W71" s="18">
        <f t="shared" ref="W71" si="21">K71+V71</f>
        <v>320320</v>
      </c>
      <c r="X71" s="47">
        <f>W71</f>
        <v>320320</v>
      </c>
      <c r="Y71" s="302" t="s">
        <v>87</v>
      </c>
      <c r="Z71" s="302">
        <v>0</v>
      </c>
      <c r="AA71" s="405">
        <v>0.01</v>
      </c>
      <c r="AB71" s="888"/>
      <c r="AC71" s="576" t="e">
        <v>#REF!</v>
      </c>
      <c r="AD71" s="576" t="e">
        <v>#REF!</v>
      </c>
      <c r="AE71" s="576" t="e">
        <v>#REF!</v>
      </c>
      <c r="AF71" s="889" t="s">
        <v>281</v>
      </c>
    </row>
    <row r="72" spans="1:32" s="457" customFormat="1" ht="18" customHeight="1" x14ac:dyDescent="0.25">
      <c r="A72" s="75">
        <v>2</v>
      </c>
      <c r="B72" s="273">
        <v>51488</v>
      </c>
      <c r="C72" s="27">
        <v>1573</v>
      </c>
      <c r="D72" s="27" t="s">
        <v>212</v>
      </c>
      <c r="E72" s="27">
        <v>1</v>
      </c>
      <c r="F72" s="27">
        <v>0</v>
      </c>
      <c r="G72" s="27">
        <v>2</v>
      </c>
      <c r="H72" s="557">
        <v>0</v>
      </c>
      <c r="I72" s="77">
        <f t="shared" si="19"/>
        <v>200</v>
      </c>
      <c r="J72" s="305">
        <v>280</v>
      </c>
      <c r="K72" s="297">
        <f t="shared" si="20"/>
        <v>56000</v>
      </c>
      <c r="L72" s="45"/>
      <c r="M72" s="88"/>
      <c r="N72" s="27"/>
      <c r="O72" s="45"/>
      <c r="P72" s="27"/>
      <c r="Q72" s="62"/>
      <c r="R72" s="743"/>
      <c r="S72" s="299"/>
      <c r="T72" s="298"/>
      <c r="U72" s="299"/>
      <c r="V72" s="299"/>
      <c r="W72" s="18">
        <f t="shared" ref="W72:W75" si="22">K72+V72</f>
        <v>56000</v>
      </c>
      <c r="X72" s="47">
        <f t="shared" ref="X72:X75" si="23">W72</f>
        <v>56000</v>
      </c>
      <c r="Y72" s="299"/>
      <c r="Z72" s="299">
        <v>0</v>
      </c>
      <c r="AA72" s="670">
        <v>0.01</v>
      </c>
      <c r="AB72" s="890"/>
      <c r="AC72" s="576"/>
      <c r="AD72" s="576"/>
      <c r="AE72" s="576"/>
      <c r="AF72" s="510"/>
    </row>
    <row r="73" spans="1:32" s="457" customFormat="1" ht="18" customHeight="1" x14ac:dyDescent="0.25">
      <c r="A73" s="75">
        <v>3</v>
      </c>
      <c r="B73" s="273">
        <v>17322</v>
      </c>
      <c r="C73" s="27">
        <v>197</v>
      </c>
      <c r="D73" s="27" t="s">
        <v>212</v>
      </c>
      <c r="E73" s="27">
        <v>1</v>
      </c>
      <c r="F73" s="27">
        <v>4</v>
      </c>
      <c r="G73" s="27">
        <v>1</v>
      </c>
      <c r="H73" s="557">
        <v>43</v>
      </c>
      <c r="I73" s="77">
        <f t="shared" si="19"/>
        <v>1743</v>
      </c>
      <c r="J73" s="305">
        <v>610</v>
      </c>
      <c r="K73" s="297">
        <f t="shared" si="20"/>
        <v>1063230</v>
      </c>
      <c r="L73" s="45"/>
      <c r="M73" s="88"/>
      <c r="N73" s="27"/>
      <c r="O73" s="45"/>
      <c r="P73" s="27"/>
      <c r="Q73" s="62"/>
      <c r="R73" s="743"/>
      <c r="S73" s="299"/>
      <c r="T73" s="298"/>
      <c r="U73" s="299"/>
      <c r="V73" s="299"/>
      <c r="W73" s="18">
        <f t="shared" si="22"/>
        <v>1063230</v>
      </c>
      <c r="X73" s="47">
        <f t="shared" si="23"/>
        <v>1063230</v>
      </c>
      <c r="Y73" s="299"/>
      <c r="Z73" s="299">
        <v>0</v>
      </c>
      <c r="AA73" s="670">
        <v>0.01</v>
      </c>
      <c r="AB73" s="559"/>
      <c r="AC73" s="576"/>
      <c r="AD73" s="576"/>
      <c r="AE73" s="576"/>
      <c r="AF73" s="510"/>
    </row>
    <row r="74" spans="1:32" s="457" customFormat="1" ht="18" customHeight="1" x14ac:dyDescent="0.25">
      <c r="A74" s="75">
        <v>4</v>
      </c>
      <c r="B74" s="273">
        <v>34886</v>
      </c>
      <c r="C74" s="27">
        <v>1018</v>
      </c>
      <c r="D74" s="27" t="s">
        <v>212</v>
      </c>
      <c r="E74" s="27">
        <v>1</v>
      </c>
      <c r="F74" s="27">
        <v>0</v>
      </c>
      <c r="G74" s="27">
        <v>1</v>
      </c>
      <c r="H74" s="557">
        <v>0</v>
      </c>
      <c r="I74" s="77">
        <f t="shared" si="19"/>
        <v>100</v>
      </c>
      <c r="J74" s="305">
        <v>1000</v>
      </c>
      <c r="K74" s="297">
        <f t="shared" si="20"/>
        <v>100000</v>
      </c>
      <c r="L74" s="45"/>
      <c r="M74" s="88"/>
      <c r="N74" s="27"/>
      <c r="O74" s="45"/>
      <c r="P74" s="27"/>
      <c r="Q74" s="62"/>
      <c r="R74" s="743"/>
      <c r="S74" s="299"/>
      <c r="T74" s="298"/>
      <c r="U74" s="299"/>
      <c r="V74" s="299"/>
      <c r="W74" s="18">
        <f t="shared" si="22"/>
        <v>100000</v>
      </c>
      <c r="X74" s="47">
        <f t="shared" si="23"/>
        <v>100000</v>
      </c>
      <c r="Y74" s="299"/>
      <c r="Z74" s="299">
        <v>0</v>
      </c>
      <c r="AA74" s="670">
        <v>0.01</v>
      </c>
      <c r="AB74" s="559"/>
      <c r="AC74" s="576"/>
      <c r="AD74" s="576"/>
      <c r="AE74" s="576"/>
      <c r="AF74" s="510"/>
    </row>
    <row r="75" spans="1:32" s="457" customFormat="1" ht="18" customHeight="1" x14ac:dyDescent="0.25">
      <c r="A75" s="75">
        <v>5</v>
      </c>
      <c r="B75" s="273">
        <v>1972</v>
      </c>
      <c r="C75" s="27">
        <v>334</v>
      </c>
      <c r="D75" s="27" t="s">
        <v>212</v>
      </c>
      <c r="E75" s="27">
        <v>1</v>
      </c>
      <c r="F75" s="27">
        <v>6</v>
      </c>
      <c r="G75" s="27">
        <v>0</v>
      </c>
      <c r="H75" s="557">
        <v>88</v>
      </c>
      <c r="I75" s="77">
        <f t="shared" si="19"/>
        <v>2488</v>
      </c>
      <c r="J75" s="305">
        <v>750</v>
      </c>
      <c r="K75" s="297">
        <f t="shared" si="20"/>
        <v>1866000</v>
      </c>
      <c r="L75" s="45"/>
      <c r="M75" s="88"/>
      <c r="N75" s="27"/>
      <c r="O75" s="45"/>
      <c r="P75" s="27"/>
      <c r="Q75" s="62"/>
      <c r="R75" s="743"/>
      <c r="S75" s="299"/>
      <c r="T75" s="298"/>
      <c r="U75" s="299"/>
      <c r="V75" s="299"/>
      <c r="W75" s="18">
        <f t="shared" si="22"/>
        <v>1866000</v>
      </c>
      <c r="X75" s="47">
        <f t="shared" si="23"/>
        <v>1866000</v>
      </c>
      <c r="Y75" s="299"/>
      <c r="Z75" s="299">
        <v>0</v>
      </c>
      <c r="AA75" s="670">
        <v>0.01</v>
      </c>
      <c r="AB75" s="559"/>
      <c r="AC75" s="576"/>
      <c r="AD75" s="576"/>
      <c r="AE75" s="576"/>
      <c r="AF75" s="510"/>
    </row>
    <row r="76" spans="1:32" s="457" customFormat="1" ht="18" customHeight="1" x14ac:dyDescent="0.25">
      <c r="A76" s="75">
        <v>6</v>
      </c>
      <c r="B76" s="273">
        <v>30402</v>
      </c>
      <c r="C76" s="27">
        <v>758</v>
      </c>
      <c r="D76" s="27" t="s">
        <v>212</v>
      </c>
      <c r="E76" s="27">
        <v>3</v>
      </c>
      <c r="F76" s="27">
        <v>0</v>
      </c>
      <c r="G76" s="27">
        <v>0</v>
      </c>
      <c r="H76" s="557">
        <v>94</v>
      </c>
      <c r="I76" s="77">
        <f t="shared" si="19"/>
        <v>94</v>
      </c>
      <c r="J76" s="305">
        <v>2300</v>
      </c>
      <c r="K76" s="297">
        <f t="shared" si="20"/>
        <v>216200</v>
      </c>
      <c r="L76" s="2810">
        <v>1</v>
      </c>
      <c r="M76" s="2810">
        <v>103</v>
      </c>
      <c r="N76" s="2810" t="s">
        <v>74</v>
      </c>
      <c r="O76" s="2810">
        <v>1</v>
      </c>
      <c r="P76" s="2810">
        <v>96</v>
      </c>
      <c r="Q76" s="2811" t="s">
        <v>75</v>
      </c>
      <c r="R76" s="2815">
        <v>9050</v>
      </c>
      <c r="S76" s="2808">
        <f>P76*R76</f>
        <v>868800</v>
      </c>
      <c r="T76" s="2817">
        <v>19</v>
      </c>
      <c r="U76" s="2813">
        <f>S76*28/100</f>
        <v>243264</v>
      </c>
      <c r="V76" s="2808">
        <f>S76-U76</f>
        <v>625536</v>
      </c>
      <c r="W76" s="2808">
        <f>K76+K77+V76</f>
        <v>939736</v>
      </c>
      <c r="X76" s="2808">
        <f>W76*Q76/100</f>
        <v>939736</v>
      </c>
      <c r="Y76" s="2808"/>
      <c r="Z76" s="2808">
        <f>X76</f>
        <v>939736</v>
      </c>
      <c r="AA76" s="2806">
        <v>0.3</v>
      </c>
      <c r="AB76" s="559">
        <f>Z76*AA76/100</f>
        <v>2819.2080000000001</v>
      </c>
      <c r="AC76" s="576"/>
      <c r="AD76" s="576"/>
      <c r="AE76" s="576"/>
      <c r="AF76" s="510"/>
    </row>
    <row r="77" spans="1:32" s="457" customFormat="1" ht="18" customHeight="1" x14ac:dyDescent="0.25">
      <c r="A77" s="75">
        <v>7</v>
      </c>
      <c r="B77" s="287">
        <v>30972</v>
      </c>
      <c r="C77" s="15">
        <v>793</v>
      </c>
      <c r="D77" s="15" t="s">
        <v>212</v>
      </c>
      <c r="E77" s="15">
        <v>3</v>
      </c>
      <c r="F77" s="15">
        <v>0</v>
      </c>
      <c r="G77" s="15">
        <v>0</v>
      </c>
      <c r="H77" s="284">
        <v>98</v>
      </c>
      <c r="I77" s="77">
        <f t="shared" si="19"/>
        <v>98</v>
      </c>
      <c r="J77" s="306">
        <v>1000</v>
      </c>
      <c r="K77" s="297">
        <f t="shared" si="20"/>
        <v>98000</v>
      </c>
      <c r="L77" s="2800"/>
      <c r="M77" s="2800"/>
      <c r="N77" s="2800"/>
      <c r="O77" s="2800"/>
      <c r="P77" s="2800"/>
      <c r="Q77" s="2812"/>
      <c r="R77" s="2816"/>
      <c r="S77" s="2809"/>
      <c r="T77" s="2818"/>
      <c r="U77" s="2814"/>
      <c r="V77" s="2809"/>
      <c r="W77" s="2809"/>
      <c r="X77" s="2809"/>
      <c r="Y77" s="2809"/>
      <c r="Z77" s="2809"/>
      <c r="AA77" s="2807"/>
      <c r="AB77" s="559"/>
      <c r="AC77" s="559"/>
      <c r="AD77" s="559"/>
      <c r="AE77" s="559"/>
      <c r="AF77" s="892">
        <v>2871.3359999999998</v>
      </c>
    </row>
    <row r="78" spans="1:32" s="457" customFormat="1" ht="18" customHeight="1" x14ac:dyDescent="0.25">
      <c r="A78" s="75">
        <v>8</v>
      </c>
      <c r="B78" s="269">
        <v>17320</v>
      </c>
      <c r="C78" s="62" t="s">
        <v>221</v>
      </c>
      <c r="D78" s="27" t="s">
        <v>212</v>
      </c>
      <c r="E78" s="15">
        <v>2</v>
      </c>
      <c r="F78" s="291">
        <v>5</v>
      </c>
      <c r="G78" s="45">
        <v>0</v>
      </c>
      <c r="H78" s="257">
        <v>60</v>
      </c>
      <c r="I78" s="77">
        <f t="shared" si="19"/>
        <v>2060</v>
      </c>
      <c r="J78" s="306">
        <v>1250</v>
      </c>
      <c r="K78" s="297">
        <f t="shared" si="20"/>
        <v>2575000</v>
      </c>
      <c r="L78" s="45">
        <v>2</v>
      </c>
      <c r="M78" s="75">
        <v>106</v>
      </c>
      <c r="N78" s="45" t="s">
        <v>96</v>
      </c>
      <c r="O78" s="45">
        <v>2</v>
      </c>
      <c r="P78" s="257">
        <v>200.55</v>
      </c>
      <c r="Q78" s="129" t="s">
        <v>75</v>
      </c>
      <c r="R78" s="893">
        <v>7950</v>
      </c>
      <c r="S78" s="47">
        <f t="shared" ref="S78:S87" si="24">+P78*R78</f>
        <v>1594372.5</v>
      </c>
      <c r="T78" s="1501">
        <v>19</v>
      </c>
      <c r="U78" s="1670">
        <f>+S78*0.7</f>
        <v>1116060.75</v>
      </c>
      <c r="V78" s="18">
        <f t="shared" ref="V78:V86" si="25">+S78-U78</f>
        <v>478311.75</v>
      </c>
      <c r="W78" s="18">
        <f t="shared" ref="W78:W86" si="26">K78+V78</f>
        <v>3053311.75</v>
      </c>
      <c r="X78" s="47">
        <f t="shared" ref="X78:X86" si="27">W78*Q77/100</f>
        <v>0</v>
      </c>
      <c r="Y78" s="299" t="s">
        <v>87</v>
      </c>
      <c r="Z78" s="299">
        <v>0</v>
      </c>
      <c r="AA78" s="891">
        <v>0.02</v>
      </c>
      <c r="AB78" s="559"/>
      <c r="AC78" s="559"/>
      <c r="AD78" s="559"/>
      <c r="AE78" s="559"/>
      <c r="AF78" s="510"/>
    </row>
    <row r="79" spans="1:32" s="457" customFormat="1" ht="18" customHeight="1" x14ac:dyDescent="0.2">
      <c r="A79" s="75"/>
      <c r="B79" s="45"/>
      <c r="C79" s="62"/>
      <c r="D79" s="27"/>
      <c r="E79" s="15"/>
      <c r="F79" s="291"/>
      <c r="G79" s="45"/>
      <c r="H79" s="257"/>
      <c r="I79" s="77">
        <f t="shared" si="19"/>
        <v>0</v>
      </c>
      <c r="J79" s="306"/>
      <c r="K79" s="297">
        <f t="shared" si="20"/>
        <v>0</v>
      </c>
      <c r="L79" s="45">
        <v>3</v>
      </c>
      <c r="M79" s="75">
        <v>103</v>
      </c>
      <c r="N79" s="45" t="s">
        <v>74</v>
      </c>
      <c r="O79" s="45">
        <v>3</v>
      </c>
      <c r="P79" s="257">
        <v>208</v>
      </c>
      <c r="Q79" s="129" t="s">
        <v>75</v>
      </c>
      <c r="R79" s="893">
        <v>9050</v>
      </c>
      <c r="S79" s="47">
        <f t="shared" si="24"/>
        <v>1882400</v>
      </c>
      <c r="T79" s="1501">
        <v>20</v>
      </c>
      <c r="U79" s="1670">
        <f>+S79*0.3</f>
        <v>564720</v>
      </c>
      <c r="V79" s="18">
        <f t="shared" si="25"/>
        <v>1317680</v>
      </c>
      <c r="W79" s="18">
        <f t="shared" si="26"/>
        <v>1317680</v>
      </c>
      <c r="X79" s="47">
        <f t="shared" si="27"/>
        <v>1317680</v>
      </c>
      <c r="Y79" s="299"/>
      <c r="Z79" s="18">
        <f t="shared" ref="Z79:Z85" si="28">+X79</f>
        <v>1317680</v>
      </c>
      <c r="AA79" s="891">
        <v>0.3</v>
      </c>
      <c r="AB79" s="559">
        <f>Z79*AA79/100</f>
        <v>3953.04</v>
      </c>
      <c r="AC79" s="559"/>
      <c r="AD79" s="559"/>
      <c r="AE79" s="559"/>
      <c r="AF79" s="892">
        <v>4065.9839999999995</v>
      </c>
    </row>
    <row r="80" spans="1:32" s="457" customFormat="1" ht="18" customHeight="1" x14ac:dyDescent="0.25">
      <c r="A80" s="75"/>
      <c r="B80" s="269"/>
      <c r="C80" s="62"/>
      <c r="D80" s="27"/>
      <c r="E80" s="15"/>
      <c r="F80" s="291"/>
      <c r="G80" s="45"/>
      <c r="H80" s="257"/>
      <c r="I80" s="77">
        <f t="shared" si="19"/>
        <v>0</v>
      </c>
      <c r="J80" s="306"/>
      <c r="K80" s="297">
        <f t="shared" si="20"/>
        <v>0</v>
      </c>
      <c r="L80" s="45">
        <v>4</v>
      </c>
      <c r="M80" s="75">
        <v>101</v>
      </c>
      <c r="N80" s="45" t="s">
        <v>82</v>
      </c>
      <c r="O80" s="45">
        <v>2</v>
      </c>
      <c r="P80" s="257">
        <v>124.41</v>
      </c>
      <c r="Q80" s="129" t="s">
        <v>75</v>
      </c>
      <c r="R80" s="893">
        <v>7700</v>
      </c>
      <c r="S80" s="47">
        <f t="shared" si="24"/>
        <v>957957</v>
      </c>
      <c r="T80" s="1501">
        <v>10</v>
      </c>
      <c r="U80" s="1670">
        <f>+S80*0.4</f>
        <v>383182.80000000005</v>
      </c>
      <c r="V80" s="18">
        <f t="shared" si="25"/>
        <v>574774.19999999995</v>
      </c>
      <c r="W80" s="18">
        <f t="shared" si="26"/>
        <v>574774.19999999995</v>
      </c>
      <c r="X80" s="47">
        <f t="shared" si="27"/>
        <v>574774.19999999995</v>
      </c>
      <c r="Y80" s="299" t="s">
        <v>125</v>
      </c>
      <c r="Z80" s="18">
        <v>0</v>
      </c>
      <c r="AA80" s="891">
        <v>0.02</v>
      </c>
      <c r="AB80" s="559"/>
      <c r="AC80" s="559"/>
      <c r="AD80" s="559"/>
      <c r="AE80" s="559"/>
      <c r="AF80" s="510"/>
    </row>
    <row r="81" spans="1:32" s="457" customFormat="1" ht="18" customHeight="1" x14ac:dyDescent="0.25">
      <c r="A81" s="75">
        <v>9</v>
      </c>
      <c r="B81" s="269">
        <v>59646</v>
      </c>
      <c r="C81" s="62" t="s">
        <v>222</v>
      </c>
      <c r="D81" s="27" t="s">
        <v>215</v>
      </c>
      <c r="E81" s="15">
        <v>2</v>
      </c>
      <c r="F81" s="291">
        <v>0</v>
      </c>
      <c r="G81" s="45">
        <v>0</v>
      </c>
      <c r="H81" s="257">
        <v>52.5</v>
      </c>
      <c r="I81" s="77">
        <f t="shared" si="19"/>
        <v>52.5</v>
      </c>
      <c r="J81" s="306">
        <v>1000</v>
      </c>
      <c r="K81" s="297">
        <f t="shared" si="20"/>
        <v>52500</v>
      </c>
      <c r="L81" s="45">
        <v>5</v>
      </c>
      <c r="M81" s="75">
        <v>103</v>
      </c>
      <c r="N81" s="45" t="s">
        <v>74</v>
      </c>
      <c r="O81" s="45">
        <v>2</v>
      </c>
      <c r="P81" s="257">
        <v>60</v>
      </c>
      <c r="Q81" s="129" t="s">
        <v>75</v>
      </c>
      <c r="R81" s="893">
        <v>9050</v>
      </c>
      <c r="S81" s="47">
        <f t="shared" si="24"/>
        <v>543000</v>
      </c>
      <c r="T81" s="1501">
        <v>7</v>
      </c>
      <c r="U81" s="1670">
        <f>+S81*0.07</f>
        <v>38010</v>
      </c>
      <c r="V81" s="18">
        <f t="shared" si="25"/>
        <v>504990</v>
      </c>
      <c r="W81" s="18">
        <f t="shared" si="26"/>
        <v>557490</v>
      </c>
      <c r="X81" s="47">
        <f t="shared" si="27"/>
        <v>557490</v>
      </c>
      <c r="Y81" s="299"/>
      <c r="Z81" s="18">
        <f t="shared" si="28"/>
        <v>557490</v>
      </c>
      <c r="AA81" s="891">
        <v>0.02</v>
      </c>
      <c r="AB81" s="559">
        <f t="shared" ref="AB81:AB87" si="29">Z81*AA81/100</f>
        <v>111.498</v>
      </c>
      <c r="AC81" s="559"/>
      <c r="AD81" s="559"/>
      <c r="AE81" s="559"/>
      <c r="AF81" s="892">
        <v>112.584</v>
      </c>
    </row>
    <row r="82" spans="1:32" s="2369" customFormat="1" ht="18" customHeight="1" x14ac:dyDescent="0.25">
      <c r="A82" s="2387">
        <v>10</v>
      </c>
      <c r="B82" s="2300">
        <v>30833</v>
      </c>
      <c r="C82" s="2289" t="s">
        <v>223</v>
      </c>
      <c r="D82" s="2281" t="s">
        <v>215</v>
      </c>
      <c r="E82" s="2312">
        <v>2</v>
      </c>
      <c r="F82" s="2388">
        <v>0</v>
      </c>
      <c r="G82" s="2279">
        <v>1</v>
      </c>
      <c r="H82" s="2389">
        <v>22</v>
      </c>
      <c r="I82" s="2360">
        <f t="shared" si="19"/>
        <v>122</v>
      </c>
      <c r="J82" s="2322">
        <v>1000</v>
      </c>
      <c r="K82" s="2362">
        <f t="shared" si="20"/>
        <v>122000</v>
      </c>
      <c r="L82" s="2279">
        <v>6</v>
      </c>
      <c r="M82" s="2387">
        <v>106</v>
      </c>
      <c r="N82" s="2279" t="s">
        <v>96</v>
      </c>
      <c r="O82" s="2279">
        <v>2</v>
      </c>
      <c r="P82" s="2389">
        <v>60</v>
      </c>
      <c r="Q82" s="2393" t="s">
        <v>75</v>
      </c>
      <c r="R82" s="2394">
        <v>7950</v>
      </c>
      <c r="S82" s="2293">
        <f t="shared" si="24"/>
        <v>477000</v>
      </c>
      <c r="T82" s="2391">
        <v>7</v>
      </c>
      <c r="U82" s="2366">
        <f>+S82*0.18</f>
        <v>85860</v>
      </c>
      <c r="V82" s="2283">
        <f t="shared" si="25"/>
        <v>391140</v>
      </c>
      <c r="W82" s="2283">
        <f t="shared" si="26"/>
        <v>513140</v>
      </c>
      <c r="X82" s="2293">
        <f t="shared" si="27"/>
        <v>513140</v>
      </c>
      <c r="Y82" s="2314"/>
      <c r="Z82" s="2283">
        <f t="shared" si="28"/>
        <v>513140</v>
      </c>
      <c r="AA82" s="2395">
        <v>0.02</v>
      </c>
      <c r="AB82" s="2396">
        <f t="shared" si="29"/>
        <v>102.62800000000001</v>
      </c>
      <c r="AC82" s="2396"/>
      <c r="AD82" s="2396"/>
      <c r="AE82" s="2396"/>
      <c r="AF82" s="2397">
        <v>106.444</v>
      </c>
    </row>
    <row r="83" spans="1:32" s="2369" customFormat="1" ht="18" customHeight="1" x14ac:dyDescent="0.25">
      <c r="A83" s="2387"/>
      <c r="B83" s="2300"/>
      <c r="C83" s="2289"/>
      <c r="D83" s="2281"/>
      <c r="E83" s="2312"/>
      <c r="F83" s="2388"/>
      <c r="G83" s="2279"/>
      <c r="H83" s="2389"/>
      <c r="I83" s="2360">
        <f t="shared" si="19"/>
        <v>0</v>
      </c>
      <c r="J83" s="2315"/>
      <c r="K83" s="2362">
        <f t="shared" si="20"/>
        <v>0</v>
      </c>
      <c r="L83" s="2279">
        <v>7</v>
      </c>
      <c r="M83" s="2387">
        <v>106</v>
      </c>
      <c r="N83" s="2279" t="s">
        <v>96</v>
      </c>
      <c r="O83" s="2279">
        <v>2</v>
      </c>
      <c r="P83" s="2389">
        <v>60</v>
      </c>
      <c r="Q83" s="2393" t="s">
        <v>75</v>
      </c>
      <c r="R83" s="2394">
        <v>7950</v>
      </c>
      <c r="S83" s="2293">
        <f t="shared" si="24"/>
        <v>477000</v>
      </c>
      <c r="T83" s="2391">
        <v>7</v>
      </c>
      <c r="U83" s="2366">
        <f t="shared" ref="U83:U85" si="30">+S83*0.18</f>
        <v>85860</v>
      </c>
      <c r="V83" s="2283">
        <f t="shared" si="25"/>
        <v>391140</v>
      </c>
      <c r="W83" s="2283">
        <f t="shared" si="26"/>
        <v>391140</v>
      </c>
      <c r="X83" s="2293">
        <f t="shared" si="27"/>
        <v>391140</v>
      </c>
      <c r="Y83" s="2314"/>
      <c r="Z83" s="2283">
        <f t="shared" si="28"/>
        <v>391140</v>
      </c>
      <c r="AA83" s="2395">
        <v>0.02</v>
      </c>
      <c r="AB83" s="2396">
        <f t="shared" si="29"/>
        <v>78.228000000000009</v>
      </c>
      <c r="AC83" s="2396"/>
      <c r="AD83" s="2396"/>
      <c r="AE83" s="2396"/>
      <c r="AF83" s="2397">
        <v>82.043999999999997</v>
      </c>
    </row>
    <row r="84" spans="1:32" s="2369" customFormat="1" ht="18" customHeight="1" x14ac:dyDescent="0.2">
      <c r="A84" s="2387"/>
      <c r="B84" s="2279"/>
      <c r="C84" s="2289"/>
      <c r="D84" s="2281"/>
      <c r="E84" s="2281"/>
      <c r="F84" s="2388"/>
      <c r="G84" s="2279"/>
      <c r="H84" s="2389"/>
      <c r="I84" s="2360">
        <f t="shared" si="19"/>
        <v>0</v>
      </c>
      <c r="J84" s="2315"/>
      <c r="K84" s="2362">
        <f t="shared" si="20"/>
        <v>0</v>
      </c>
      <c r="L84" s="2279">
        <v>8</v>
      </c>
      <c r="M84" s="2387">
        <v>103</v>
      </c>
      <c r="N84" s="2279" t="s">
        <v>96</v>
      </c>
      <c r="O84" s="2279">
        <v>2</v>
      </c>
      <c r="P84" s="2389">
        <v>60</v>
      </c>
      <c r="Q84" s="2393" t="s">
        <v>75</v>
      </c>
      <c r="R84" s="2394">
        <v>9050</v>
      </c>
      <c r="S84" s="2293">
        <f t="shared" si="24"/>
        <v>543000</v>
      </c>
      <c r="T84" s="2391">
        <v>7</v>
      </c>
      <c r="U84" s="2366">
        <f t="shared" si="30"/>
        <v>97740</v>
      </c>
      <c r="V84" s="2283">
        <f t="shared" si="25"/>
        <v>445260</v>
      </c>
      <c r="W84" s="2283">
        <f t="shared" si="26"/>
        <v>445260</v>
      </c>
      <c r="X84" s="2293">
        <f t="shared" si="27"/>
        <v>445260</v>
      </c>
      <c r="Y84" s="2314"/>
      <c r="Z84" s="2283">
        <f t="shared" si="28"/>
        <v>445260</v>
      </c>
      <c r="AA84" s="2398">
        <v>0.02</v>
      </c>
      <c r="AB84" s="2396">
        <f t="shared" si="29"/>
        <v>89.052000000000007</v>
      </c>
      <c r="AC84" s="2396"/>
      <c r="AD84" s="2396"/>
      <c r="AE84" s="2396"/>
      <c r="AF84" s="2397">
        <v>93.396000000000001</v>
      </c>
    </row>
    <row r="85" spans="1:32" s="2369" customFormat="1" ht="18" customHeight="1" x14ac:dyDescent="0.2">
      <c r="A85" s="2387"/>
      <c r="B85" s="2279"/>
      <c r="C85" s="2399"/>
      <c r="D85" s="2400"/>
      <c r="E85" s="2281"/>
      <c r="F85" s="2388"/>
      <c r="G85" s="2279"/>
      <c r="H85" s="2389"/>
      <c r="I85" s="2360">
        <f t="shared" si="19"/>
        <v>0</v>
      </c>
      <c r="J85" s="2401"/>
      <c r="K85" s="2362">
        <f t="shared" si="20"/>
        <v>0</v>
      </c>
      <c r="L85" s="2279">
        <v>9</v>
      </c>
      <c r="M85" s="2387">
        <v>106</v>
      </c>
      <c r="N85" s="2281" t="s">
        <v>96</v>
      </c>
      <c r="O85" s="2400">
        <v>2</v>
      </c>
      <c r="P85" s="2402">
        <v>60</v>
      </c>
      <c r="Q85" s="2403" t="s">
        <v>75</v>
      </c>
      <c r="R85" s="2394">
        <v>7950</v>
      </c>
      <c r="S85" s="2293">
        <f t="shared" si="24"/>
        <v>477000</v>
      </c>
      <c r="T85" s="2391">
        <v>7</v>
      </c>
      <c r="U85" s="2366">
        <f t="shared" si="30"/>
        <v>85860</v>
      </c>
      <c r="V85" s="2283">
        <f t="shared" si="25"/>
        <v>391140</v>
      </c>
      <c r="W85" s="2283">
        <f t="shared" si="26"/>
        <v>391140</v>
      </c>
      <c r="X85" s="2293">
        <f t="shared" si="27"/>
        <v>391140</v>
      </c>
      <c r="Y85" s="2314"/>
      <c r="Z85" s="2283">
        <f t="shared" si="28"/>
        <v>391140</v>
      </c>
      <c r="AA85" s="2398">
        <v>0.02</v>
      </c>
      <c r="AB85" s="2396">
        <f t="shared" si="29"/>
        <v>78.228000000000009</v>
      </c>
      <c r="AC85" s="2396"/>
      <c r="AD85" s="2396"/>
      <c r="AE85" s="2396"/>
      <c r="AF85" s="2397">
        <v>82.043999999999997</v>
      </c>
    </row>
    <row r="86" spans="1:32" s="457" customFormat="1" ht="18" customHeight="1" x14ac:dyDescent="0.25">
      <c r="A86" s="65">
        <v>11</v>
      </c>
      <c r="B86" s="712">
        <v>30403</v>
      </c>
      <c r="C86" s="895" t="s">
        <v>224</v>
      </c>
      <c r="D86" s="896" t="s">
        <v>215</v>
      </c>
      <c r="E86" s="270">
        <v>2</v>
      </c>
      <c r="F86" s="796">
        <v>0</v>
      </c>
      <c r="G86" s="58">
        <v>0</v>
      </c>
      <c r="H86" s="897">
        <v>56.5</v>
      </c>
      <c r="I86" s="77">
        <f t="shared" si="19"/>
        <v>56.5</v>
      </c>
      <c r="J86" s="899">
        <v>1000</v>
      </c>
      <c r="K86" s="297">
        <f t="shared" si="20"/>
        <v>56500</v>
      </c>
      <c r="L86" s="58">
        <v>10</v>
      </c>
      <c r="M86" s="65">
        <v>103</v>
      </c>
      <c r="N86" s="270" t="s">
        <v>74</v>
      </c>
      <c r="O86" s="896">
        <v>2</v>
      </c>
      <c r="P86" s="900">
        <v>33.299999999999997</v>
      </c>
      <c r="Q86" s="901" t="s">
        <v>75</v>
      </c>
      <c r="R86" s="902">
        <v>9050</v>
      </c>
      <c r="S86" s="47">
        <f t="shared" si="24"/>
        <v>301365</v>
      </c>
      <c r="T86" s="1501">
        <v>7</v>
      </c>
      <c r="U86" s="1670">
        <f>+S86*0.07</f>
        <v>21095.550000000003</v>
      </c>
      <c r="V86" s="18">
        <f t="shared" si="25"/>
        <v>280269.45</v>
      </c>
      <c r="W86" s="18">
        <f t="shared" si="26"/>
        <v>336769.45</v>
      </c>
      <c r="X86" s="47">
        <f t="shared" si="27"/>
        <v>336769.45</v>
      </c>
      <c r="Y86" s="299"/>
      <c r="Z86" s="18">
        <v>0</v>
      </c>
      <c r="AA86" s="894">
        <v>0.02</v>
      </c>
      <c r="AB86" s="559">
        <f t="shared" si="29"/>
        <v>0</v>
      </c>
      <c r="AC86" s="903"/>
      <c r="AD86" s="903"/>
      <c r="AE86" s="903"/>
      <c r="AF86" s="510"/>
    </row>
    <row r="87" spans="1:32" s="457" customFormat="1" ht="18" customHeight="1" x14ac:dyDescent="0.2">
      <c r="A87" s="65"/>
      <c r="B87" s="58"/>
      <c r="C87" s="895"/>
      <c r="D87" s="896"/>
      <c r="E87" s="270"/>
      <c r="F87" s="796"/>
      <c r="G87" s="58"/>
      <c r="H87" s="897"/>
      <c r="I87" s="77">
        <f t="shared" si="19"/>
        <v>0</v>
      </c>
      <c r="J87" s="899"/>
      <c r="K87" s="898"/>
      <c r="L87" s="58">
        <v>11</v>
      </c>
      <c r="M87" s="65">
        <v>103</v>
      </c>
      <c r="N87" s="270" t="s">
        <v>74</v>
      </c>
      <c r="O87" s="896">
        <v>3</v>
      </c>
      <c r="P87" s="900">
        <v>34.78</v>
      </c>
      <c r="Q87" s="901" t="s">
        <v>75</v>
      </c>
      <c r="R87" s="902">
        <v>9050</v>
      </c>
      <c r="S87" s="47">
        <f t="shared" si="24"/>
        <v>314759</v>
      </c>
      <c r="T87" s="1988">
        <v>7</v>
      </c>
      <c r="U87" s="1670">
        <f>+S87*0.07</f>
        <v>22033.13</v>
      </c>
      <c r="V87" s="18">
        <f t="shared" ref="V87" si="31">+S87-U87</f>
        <v>292725.87</v>
      </c>
      <c r="W87" s="18">
        <f t="shared" ref="W87" si="32">K87+V87</f>
        <v>292725.87</v>
      </c>
      <c r="X87" s="47">
        <f>W87*Q86/100</f>
        <v>292725.87</v>
      </c>
      <c r="Y87" s="904"/>
      <c r="Z87" s="18">
        <v>0</v>
      </c>
      <c r="AA87" s="891">
        <v>0.3</v>
      </c>
      <c r="AB87" s="559">
        <f t="shared" si="29"/>
        <v>0</v>
      </c>
      <c r="AC87" s="903"/>
      <c r="AD87" s="903"/>
      <c r="AE87" s="903"/>
      <c r="AF87" s="510"/>
    </row>
    <row r="88" spans="1:32" s="597" customFormat="1" ht="18" customHeight="1" x14ac:dyDescent="0.25">
      <c r="A88" s="1147"/>
      <c r="B88" s="2007"/>
      <c r="C88" s="2008"/>
      <c r="D88" s="2007"/>
      <c r="E88" s="2007"/>
      <c r="F88" s="2007"/>
      <c r="G88" s="2007"/>
      <c r="H88" s="2009"/>
      <c r="I88" s="2010"/>
      <c r="J88" s="2010"/>
      <c r="K88" s="2010"/>
      <c r="L88" s="2007"/>
      <c r="M88" s="1147"/>
      <c r="N88" s="2007"/>
      <c r="O88" s="2007"/>
      <c r="P88" s="2009"/>
      <c r="Q88" s="1871"/>
      <c r="R88" s="2011"/>
      <c r="S88" s="2012"/>
      <c r="T88" s="2013"/>
      <c r="U88" s="2014"/>
      <c r="V88" s="2012"/>
      <c r="W88" s="2012"/>
      <c r="X88" s="2012"/>
      <c r="Y88" s="2012"/>
      <c r="Z88" s="2012"/>
      <c r="AA88" s="2015"/>
      <c r="AB88" s="2016">
        <f>SUM(AB76:AB87)</f>
        <v>7231.8819999999987</v>
      </c>
      <c r="AC88" s="2017"/>
      <c r="AD88" s="2017"/>
      <c r="AE88" s="2017"/>
      <c r="AF88" s="510"/>
    </row>
    <row r="89" spans="1:32" s="457" customFormat="1" ht="18" customHeight="1" x14ac:dyDescent="0.2">
      <c r="A89" s="2737" t="s">
        <v>76</v>
      </c>
      <c r="B89" s="2737"/>
      <c r="C89" s="2738" t="s">
        <v>77</v>
      </c>
      <c r="D89" s="2738"/>
      <c r="E89" s="2738"/>
      <c r="F89" s="2738"/>
      <c r="G89" s="2738"/>
      <c r="H89" s="2738"/>
      <c r="I89" s="457" t="s">
        <v>78</v>
      </c>
      <c r="AB89" s="478"/>
    </row>
    <row r="90" spans="1:32" s="457" customFormat="1" ht="11.25" customHeight="1" x14ac:dyDescent="0.2">
      <c r="B90" s="479"/>
      <c r="I90" s="457" t="s">
        <v>79</v>
      </c>
      <c r="AB90" s="478"/>
    </row>
    <row r="91" spans="1:32" s="457" customFormat="1" ht="18" customHeight="1" x14ac:dyDescent="0.2">
      <c r="B91" s="479"/>
      <c r="I91" s="457" t="s">
        <v>80</v>
      </c>
      <c r="AB91" s="478"/>
    </row>
    <row r="92" spans="1:32" s="457" customFormat="1" ht="18" customHeight="1" x14ac:dyDescent="0.2">
      <c r="B92" s="479"/>
      <c r="I92" s="457" t="s">
        <v>81</v>
      </c>
      <c r="AB92" s="478"/>
    </row>
    <row r="93" spans="1:32" s="457" customFormat="1" ht="18" customHeight="1" x14ac:dyDescent="0.2">
      <c r="B93" s="479"/>
      <c r="I93" s="457" t="s">
        <v>88</v>
      </c>
      <c r="AB93" s="478"/>
    </row>
    <row r="94" spans="1:32" s="457" customFormat="1" ht="18" customHeight="1" x14ac:dyDescent="0.2">
      <c r="A94" s="455"/>
      <c r="B94" s="455"/>
      <c r="C94" s="455"/>
      <c r="D94" s="455"/>
      <c r="E94" s="455"/>
      <c r="F94" s="455"/>
      <c r="G94" s="455"/>
      <c r="H94" s="455"/>
      <c r="I94" s="455"/>
      <c r="J94" s="455"/>
      <c r="K94" s="455"/>
      <c r="L94" s="455"/>
      <c r="M94" s="455"/>
      <c r="N94" s="455"/>
      <c r="O94" s="455"/>
      <c r="P94" s="455"/>
      <c r="Q94" s="455"/>
      <c r="R94" s="455"/>
      <c r="S94" s="455"/>
      <c r="T94" s="455"/>
      <c r="U94" s="455"/>
      <c r="V94" s="455"/>
      <c r="W94" s="455"/>
      <c r="X94" s="455"/>
      <c r="Y94" s="455"/>
      <c r="Z94" s="455"/>
      <c r="AA94" s="2705" t="s">
        <v>0</v>
      </c>
      <c r="AB94" s="2705"/>
      <c r="AC94" s="455"/>
      <c r="AD94" s="455"/>
      <c r="AE94" s="455"/>
      <c r="AF94" s="455"/>
    </row>
    <row r="95" spans="1:32" s="457" customFormat="1" ht="18" customHeight="1" x14ac:dyDescent="0.2">
      <c r="A95" s="2706" t="s">
        <v>1</v>
      </c>
      <c r="B95" s="2706"/>
      <c r="C95" s="2706"/>
      <c r="D95" s="2706"/>
      <c r="E95" s="2706"/>
      <c r="F95" s="2706"/>
      <c r="G95" s="2706"/>
      <c r="H95" s="2706"/>
      <c r="I95" s="2706"/>
      <c r="J95" s="2706"/>
      <c r="K95" s="2706"/>
      <c r="L95" s="2706"/>
      <c r="M95" s="2706"/>
      <c r="N95" s="2706"/>
      <c r="O95" s="2706"/>
      <c r="P95" s="2706"/>
      <c r="Q95" s="2706"/>
      <c r="R95" s="2706"/>
      <c r="S95" s="2706"/>
      <c r="T95" s="2706"/>
      <c r="U95" s="2706"/>
      <c r="V95" s="2706"/>
      <c r="W95" s="2706"/>
      <c r="X95" s="2706"/>
      <c r="Y95" s="2706"/>
      <c r="Z95" s="2706"/>
      <c r="AA95" s="2706"/>
      <c r="AB95" s="2706"/>
      <c r="AC95" s="610"/>
      <c r="AD95" s="610"/>
      <c r="AE95" s="610"/>
      <c r="AF95" s="610"/>
    </row>
    <row r="96" spans="1:32" s="457" customFormat="1" ht="18" customHeight="1" x14ac:dyDescent="0.2">
      <c r="A96" s="2704" t="s">
        <v>492</v>
      </c>
      <c r="B96" s="2704"/>
      <c r="C96" s="2704"/>
      <c r="D96" s="2704"/>
      <c r="E96" s="2704"/>
      <c r="F96" s="2704"/>
      <c r="G96" s="2704"/>
      <c r="H96" s="2704"/>
      <c r="I96" s="2704"/>
      <c r="J96" s="2704"/>
      <c r="K96" s="2704"/>
      <c r="L96" s="2704"/>
      <c r="M96" s="2704"/>
      <c r="N96" s="2704"/>
      <c r="O96" s="2704"/>
      <c r="P96" s="2704"/>
      <c r="Q96" s="2704"/>
      <c r="R96" s="2704"/>
      <c r="S96" s="2704"/>
      <c r="T96" s="2704"/>
      <c r="U96" s="2704"/>
      <c r="V96" s="2704"/>
      <c r="W96" s="2704"/>
      <c r="X96" s="2704"/>
      <c r="Y96" s="2704"/>
      <c r="Z96" s="2704"/>
      <c r="AA96" s="2704"/>
      <c r="AB96" s="2704"/>
      <c r="AC96" s="611"/>
      <c r="AD96" s="611"/>
      <c r="AE96" s="611"/>
      <c r="AF96" s="611"/>
    </row>
    <row r="97" spans="1:32" s="457" customFormat="1" ht="18" customHeight="1" x14ac:dyDescent="0.2">
      <c r="A97" s="2686" t="s">
        <v>2</v>
      </c>
      <c r="B97" s="360"/>
      <c r="C97" s="2686" t="s">
        <v>3</v>
      </c>
      <c r="D97" s="360"/>
      <c r="E97" s="360"/>
      <c r="F97" s="2693" t="s">
        <v>4</v>
      </c>
      <c r="G97" s="2693"/>
      <c r="H97" s="2693"/>
      <c r="I97" s="2694"/>
      <c r="J97" s="2694"/>
      <c r="K97" s="2695"/>
      <c r="L97" s="361"/>
      <c r="M97" s="2679" t="s">
        <v>5</v>
      </c>
      <c r="N97" s="2679"/>
      <c r="O97" s="2679"/>
      <c r="P97" s="2679"/>
      <c r="Q97" s="2696"/>
      <c r="R97" s="2696"/>
      <c r="S97" s="2696"/>
      <c r="T97" s="2696"/>
      <c r="U97" s="2696"/>
      <c r="V97" s="2697"/>
      <c r="W97" s="362" t="s">
        <v>6</v>
      </c>
      <c r="X97" s="363" t="s">
        <v>7</v>
      </c>
      <c r="Y97" s="364"/>
      <c r="Z97" s="364"/>
      <c r="AA97" s="363"/>
      <c r="AB97" s="458"/>
      <c r="AC97" s="612" t="s">
        <v>8</v>
      </c>
      <c r="AD97" s="613"/>
      <c r="AE97" s="613"/>
      <c r="AF97" s="614"/>
    </row>
    <row r="98" spans="1:32" s="457" customFormat="1" ht="18" customHeight="1" x14ac:dyDescent="0.2">
      <c r="A98" s="2687"/>
      <c r="B98" s="367"/>
      <c r="C98" s="2687"/>
      <c r="D98" s="366" t="s">
        <v>9</v>
      </c>
      <c r="E98" s="366" t="s">
        <v>10</v>
      </c>
      <c r="F98" s="2698" t="s">
        <v>11</v>
      </c>
      <c r="G98" s="2694"/>
      <c r="H98" s="2695"/>
      <c r="I98" s="360"/>
      <c r="J98" s="449" t="s">
        <v>12</v>
      </c>
      <c r="K98" s="360"/>
      <c r="L98" s="2679" t="s">
        <v>2</v>
      </c>
      <c r="M98" s="370"/>
      <c r="N98" s="370"/>
      <c r="O98" s="370"/>
      <c r="P98" s="371"/>
      <c r="Q98" s="459" t="s">
        <v>13</v>
      </c>
      <c r="R98" s="370" t="s">
        <v>12</v>
      </c>
      <c r="S98" s="370" t="s">
        <v>6</v>
      </c>
      <c r="T98" s="2682" t="s">
        <v>14</v>
      </c>
      <c r="U98" s="2683"/>
      <c r="V98" s="375" t="s">
        <v>7</v>
      </c>
      <c r="W98" s="376" t="s">
        <v>15</v>
      </c>
      <c r="X98" s="377" t="s">
        <v>16</v>
      </c>
      <c r="Y98" s="377" t="s">
        <v>17</v>
      </c>
      <c r="Z98" s="377" t="s">
        <v>18</v>
      </c>
      <c r="AA98" s="377"/>
      <c r="AB98" s="460" t="s">
        <v>19</v>
      </c>
      <c r="AC98" s="615" t="s">
        <v>20</v>
      </c>
      <c r="AD98" s="616"/>
      <c r="AE98" s="617" t="s">
        <v>21</v>
      </c>
      <c r="AF98" s="618" t="s">
        <v>22</v>
      </c>
    </row>
    <row r="99" spans="1:32" s="457" customFormat="1" ht="18" customHeight="1" x14ac:dyDescent="0.2">
      <c r="A99" s="2687"/>
      <c r="B99" s="366" t="s">
        <v>23</v>
      </c>
      <c r="C99" s="2687"/>
      <c r="D99" s="366" t="s">
        <v>24</v>
      </c>
      <c r="E99" s="366" t="s">
        <v>25</v>
      </c>
      <c r="F99" s="2699"/>
      <c r="G99" s="2700"/>
      <c r="H99" s="2701"/>
      <c r="I99" s="366" t="s">
        <v>26</v>
      </c>
      <c r="J99" s="380" t="s">
        <v>15</v>
      </c>
      <c r="K99" s="380" t="s">
        <v>6</v>
      </c>
      <c r="L99" s="2680"/>
      <c r="M99" s="381" t="s">
        <v>27</v>
      </c>
      <c r="N99" s="381" t="s">
        <v>10</v>
      </c>
      <c r="O99" s="381" t="s">
        <v>10</v>
      </c>
      <c r="P99" s="385" t="s">
        <v>28</v>
      </c>
      <c r="Q99" s="461" t="s">
        <v>29</v>
      </c>
      <c r="R99" s="385" t="s">
        <v>15</v>
      </c>
      <c r="S99" s="385" t="s">
        <v>15</v>
      </c>
      <c r="T99" s="2684"/>
      <c r="U99" s="2685"/>
      <c r="V99" s="375" t="s">
        <v>30</v>
      </c>
      <c r="W99" s="376" t="s">
        <v>31</v>
      </c>
      <c r="X99" s="377" t="s">
        <v>30</v>
      </c>
      <c r="Y99" s="377" t="s">
        <v>32</v>
      </c>
      <c r="Z99" s="377" t="s">
        <v>7</v>
      </c>
      <c r="AA99" s="377" t="s">
        <v>33</v>
      </c>
      <c r="AB99" s="460" t="s">
        <v>34</v>
      </c>
      <c r="AC99" s="615" t="s">
        <v>35</v>
      </c>
      <c r="AD99" s="617" t="s">
        <v>36</v>
      </c>
      <c r="AE99" s="617" t="s">
        <v>37</v>
      </c>
      <c r="AF99" s="618" t="s">
        <v>38</v>
      </c>
    </row>
    <row r="100" spans="1:32" s="457" customFormat="1" ht="18" customHeight="1" x14ac:dyDescent="0.2">
      <c r="A100" s="2687"/>
      <c r="B100" s="366" t="s">
        <v>39</v>
      </c>
      <c r="C100" s="2687"/>
      <c r="D100" s="366" t="s">
        <v>40</v>
      </c>
      <c r="E100" s="366" t="s">
        <v>41</v>
      </c>
      <c r="F100" s="2686" t="s">
        <v>42</v>
      </c>
      <c r="G100" s="2686" t="s">
        <v>43</v>
      </c>
      <c r="H100" s="2688" t="s">
        <v>44</v>
      </c>
      <c r="I100" s="366" t="s">
        <v>45</v>
      </c>
      <c r="J100" s="380" t="s">
        <v>46</v>
      </c>
      <c r="K100" s="380" t="s">
        <v>47</v>
      </c>
      <c r="L100" s="2680"/>
      <c r="M100" s="381" t="s">
        <v>30</v>
      </c>
      <c r="N100" s="381" t="s">
        <v>30</v>
      </c>
      <c r="O100" s="381" t="s">
        <v>25</v>
      </c>
      <c r="P100" s="385" t="s">
        <v>30</v>
      </c>
      <c r="Q100" s="461" t="s">
        <v>48</v>
      </c>
      <c r="R100" s="385" t="s">
        <v>49</v>
      </c>
      <c r="S100" s="385" t="s">
        <v>30</v>
      </c>
      <c r="T100" s="374" t="s">
        <v>50</v>
      </c>
      <c r="U100" s="374" t="s">
        <v>13</v>
      </c>
      <c r="V100" s="375" t="s">
        <v>51</v>
      </c>
      <c r="W100" s="376" t="s">
        <v>52</v>
      </c>
      <c r="X100" s="377" t="s">
        <v>53</v>
      </c>
      <c r="Y100" s="377" t="s">
        <v>54</v>
      </c>
      <c r="Z100" s="377" t="s">
        <v>55</v>
      </c>
      <c r="AA100" s="377" t="s">
        <v>56</v>
      </c>
      <c r="AB100" s="460" t="s">
        <v>57</v>
      </c>
      <c r="AC100" s="617" t="s">
        <v>58</v>
      </c>
      <c r="AD100" s="617" t="s">
        <v>59</v>
      </c>
      <c r="AE100" s="617" t="s">
        <v>59</v>
      </c>
      <c r="AF100" s="618" t="s">
        <v>60</v>
      </c>
    </row>
    <row r="101" spans="1:32" s="457" customFormat="1" ht="18" customHeight="1" x14ac:dyDescent="0.2">
      <c r="A101" s="2687"/>
      <c r="B101" s="366" t="s">
        <v>61</v>
      </c>
      <c r="C101" s="2687"/>
      <c r="D101" s="366" t="s">
        <v>62</v>
      </c>
      <c r="E101" s="366" t="s">
        <v>63</v>
      </c>
      <c r="F101" s="2687"/>
      <c r="G101" s="2687"/>
      <c r="H101" s="2689"/>
      <c r="I101" s="366" t="s">
        <v>64</v>
      </c>
      <c r="J101" s="380" t="s">
        <v>59</v>
      </c>
      <c r="K101" s="380" t="s">
        <v>59</v>
      </c>
      <c r="L101" s="2680"/>
      <c r="M101" s="381"/>
      <c r="N101" s="381"/>
      <c r="O101" s="381" t="s">
        <v>41</v>
      </c>
      <c r="P101" s="385" t="s">
        <v>65</v>
      </c>
      <c r="Q101" s="461" t="s">
        <v>66</v>
      </c>
      <c r="R101" s="385" t="s">
        <v>67</v>
      </c>
      <c r="S101" s="385" t="s">
        <v>59</v>
      </c>
      <c r="T101" s="375" t="s">
        <v>68</v>
      </c>
      <c r="U101" s="375" t="s">
        <v>14</v>
      </c>
      <c r="V101" s="375" t="s">
        <v>14</v>
      </c>
      <c r="W101" s="376" t="s">
        <v>30</v>
      </c>
      <c r="X101" s="388" t="s">
        <v>69</v>
      </c>
      <c r="Y101" s="388" t="s">
        <v>70</v>
      </c>
      <c r="Z101" s="377" t="s">
        <v>71</v>
      </c>
      <c r="AA101" s="377" t="s">
        <v>72</v>
      </c>
      <c r="AB101" s="460" t="s">
        <v>59</v>
      </c>
      <c r="AC101" s="617" t="s">
        <v>59</v>
      </c>
      <c r="AD101" s="617"/>
      <c r="AE101" s="617"/>
      <c r="AF101" s="618" t="s">
        <v>59</v>
      </c>
    </row>
    <row r="102" spans="1:32" s="457" customFormat="1" ht="18" customHeight="1" x14ac:dyDescent="0.2">
      <c r="A102" s="2692"/>
      <c r="B102" s="390"/>
      <c r="C102" s="2692"/>
      <c r="D102" s="390"/>
      <c r="E102" s="389"/>
      <c r="F102" s="390"/>
      <c r="G102" s="390"/>
      <c r="H102" s="391"/>
      <c r="I102" s="389"/>
      <c r="J102" s="393"/>
      <c r="K102" s="393"/>
      <c r="L102" s="2681"/>
      <c r="M102" s="394"/>
      <c r="N102" s="394"/>
      <c r="O102" s="394" t="s">
        <v>63</v>
      </c>
      <c r="P102" s="394"/>
      <c r="Q102" s="450" t="s">
        <v>72</v>
      </c>
      <c r="R102" s="398" t="s">
        <v>59</v>
      </c>
      <c r="S102" s="398"/>
      <c r="T102" s="398" t="s">
        <v>73</v>
      </c>
      <c r="U102" s="398" t="s">
        <v>59</v>
      </c>
      <c r="V102" s="399" t="s">
        <v>59</v>
      </c>
      <c r="W102" s="400" t="s">
        <v>59</v>
      </c>
      <c r="X102" s="401" t="s">
        <v>59</v>
      </c>
      <c r="Y102" s="401" t="s">
        <v>59</v>
      </c>
      <c r="Z102" s="401" t="s">
        <v>59</v>
      </c>
      <c r="AA102" s="402"/>
      <c r="AB102" s="462"/>
      <c r="AC102" s="625"/>
      <c r="AD102" s="625"/>
      <c r="AE102" s="625"/>
      <c r="AF102" s="626"/>
    </row>
    <row r="103" spans="1:32" s="457" customFormat="1" ht="18" customHeight="1" x14ac:dyDescent="0.25">
      <c r="A103" s="53">
        <v>1</v>
      </c>
      <c r="B103" s="712">
        <v>30403</v>
      </c>
      <c r="C103" s="895" t="s">
        <v>224</v>
      </c>
      <c r="D103" s="896" t="s">
        <v>215</v>
      </c>
      <c r="E103" s="270">
        <v>2</v>
      </c>
      <c r="F103" s="796">
        <v>0</v>
      </c>
      <c r="G103" s="58">
        <v>0</v>
      </c>
      <c r="H103" s="2018">
        <v>56.5</v>
      </c>
      <c r="I103" s="77">
        <f t="shared" ref="I103" si="33">F103*400+G103*100+H103</f>
        <v>56.5</v>
      </c>
      <c r="J103" s="899">
        <v>1000</v>
      </c>
      <c r="K103" s="297">
        <f t="shared" ref="K103" si="34">I103*J103</f>
        <v>56500</v>
      </c>
      <c r="L103" s="58">
        <v>1</v>
      </c>
      <c r="M103" s="65">
        <v>103</v>
      </c>
      <c r="N103" s="270" t="s">
        <v>74</v>
      </c>
      <c r="O103" s="896">
        <v>2</v>
      </c>
      <c r="P103" s="900">
        <v>33.299999999999997</v>
      </c>
      <c r="Q103" s="901" t="s">
        <v>75</v>
      </c>
      <c r="R103" s="902">
        <v>9050</v>
      </c>
      <c r="S103" s="47">
        <f t="shared" ref="S103:S104" si="35">+P103*R103</f>
        <v>301365</v>
      </c>
      <c r="T103" s="1501">
        <v>7</v>
      </c>
      <c r="U103" s="1670">
        <f>+S103*0.07</f>
        <v>21095.550000000003</v>
      </c>
      <c r="V103" s="18">
        <f t="shared" ref="V103" si="36">+S103-U103</f>
        <v>280269.45</v>
      </c>
      <c r="W103" s="18">
        <f t="shared" ref="W103" si="37">K103+V103</f>
        <v>336769.45</v>
      </c>
      <c r="X103" s="47">
        <f>W103*Q103/100</f>
        <v>336769.45</v>
      </c>
      <c r="Y103" s="299"/>
      <c r="Z103" s="18">
        <f t="shared" ref="Z103:Z104" si="38">+X103</f>
        <v>336769.45</v>
      </c>
      <c r="AA103" s="894">
        <v>0.02</v>
      </c>
      <c r="AB103" s="559">
        <f>Z103*AA103/100</f>
        <v>67.353890000000007</v>
      </c>
      <c r="AC103" s="903"/>
      <c r="AD103" s="903"/>
      <c r="AE103" s="903"/>
      <c r="AF103" s="510"/>
    </row>
    <row r="104" spans="1:32" s="457" customFormat="1" ht="18" customHeight="1" x14ac:dyDescent="0.2">
      <c r="A104" s="61"/>
      <c r="B104" s="58"/>
      <c r="C104" s="895"/>
      <c r="D104" s="896"/>
      <c r="E104" s="270"/>
      <c r="F104" s="796"/>
      <c r="G104" s="58"/>
      <c r="H104" s="897"/>
      <c r="I104" s="898"/>
      <c r="J104" s="899"/>
      <c r="K104" s="898"/>
      <c r="L104" s="58">
        <v>2</v>
      </c>
      <c r="M104" s="65">
        <v>103</v>
      </c>
      <c r="N104" s="270" t="s">
        <v>74</v>
      </c>
      <c r="O104" s="896">
        <v>3</v>
      </c>
      <c r="P104" s="900">
        <v>34.78</v>
      </c>
      <c r="Q104" s="901" t="s">
        <v>75</v>
      </c>
      <c r="R104" s="902">
        <v>9050</v>
      </c>
      <c r="S104" s="47">
        <f t="shared" si="35"/>
        <v>314759</v>
      </c>
      <c r="T104" s="1988">
        <v>7</v>
      </c>
      <c r="U104" s="1670">
        <f>+S104*0.07</f>
        <v>22033.13</v>
      </c>
      <c r="V104" s="18">
        <f t="shared" ref="V104" si="39">+S104-U104</f>
        <v>292725.87</v>
      </c>
      <c r="W104" s="18">
        <f t="shared" ref="W104" si="40">K104+V104</f>
        <v>292725.87</v>
      </c>
      <c r="X104" s="47">
        <f>W104*Q104/100</f>
        <v>292725.87</v>
      </c>
      <c r="Y104" s="904"/>
      <c r="Z104" s="18">
        <f t="shared" si="38"/>
        <v>292725.87</v>
      </c>
      <c r="AA104" s="891">
        <v>0.3</v>
      </c>
      <c r="AB104" s="559">
        <f>Z104*AA104/100</f>
        <v>878.17760999999996</v>
      </c>
      <c r="AC104" s="903"/>
      <c r="AD104" s="903"/>
      <c r="AE104" s="903"/>
      <c r="AF104" s="510"/>
    </row>
    <row r="105" spans="1:32" s="457" customFormat="1" ht="18" customHeight="1" x14ac:dyDescent="0.2">
      <c r="A105" s="75"/>
      <c r="B105" s="75"/>
      <c r="C105" s="174"/>
      <c r="D105" s="145"/>
      <c r="E105" s="145"/>
      <c r="F105" s="418"/>
      <c r="G105" s="75"/>
      <c r="H105" s="188"/>
      <c r="I105" s="77"/>
      <c r="J105" s="107"/>
      <c r="K105" s="78"/>
      <c r="L105" s="75"/>
      <c r="M105" s="145"/>
      <c r="N105" s="145"/>
      <c r="O105" s="61"/>
      <c r="P105" s="145"/>
      <c r="Q105" s="174"/>
      <c r="R105" s="408"/>
      <c r="S105" s="77"/>
      <c r="T105" s="135"/>
      <c r="U105" s="74"/>
      <c r="V105" s="74"/>
      <c r="W105" s="77"/>
      <c r="X105" s="74"/>
      <c r="Y105" s="77"/>
      <c r="Z105" s="77"/>
      <c r="AA105" s="409"/>
      <c r="AB105" s="410"/>
      <c r="AC105" s="350"/>
      <c r="AD105" s="350"/>
      <c r="AE105" s="350"/>
      <c r="AF105" s="350"/>
    </row>
    <row r="106" spans="1:32" s="457" customFormat="1" ht="18" customHeight="1" x14ac:dyDescent="0.2">
      <c r="A106" s="75"/>
      <c r="B106" s="145"/>
      <c r="C106" s="145"/>
      <c r="D106" s="88"/>
      <c r="E106" s="88"/>
      <c r="F106" s="145"/>
      <c r="G106" s="145"/>
      <c r="H106" s="407"/>
      <c r="I106" s="77"/>
      <c r="J106" s="275"/>
      <c r="K106" s="78"/>
      <c r="L106" s="75"/>
      <c r="M106" s="145"/>
      <c r="N106" s="145"/>
      <c r="O106" s="61"/>
      <c r="P106" s="173"/>
      <c r="Q106" s="174"/>
      <c r="R106" s="408"/>
      <c r="S106" s="77"/>
      <c r="T106" s="135"/>
      <c r="U106" s="74"/>
      <c r="V106" s="74"/>
      <c r="W106" s="77"/>
      <c r="X106" s="74"/>
      <c r="Y106" s="77"/>
      <c r="Z106" s="77"/>
      <c r="AA106" s="409"/>
      <c r="AB106" s="416"/>
      <c r="AC106" s="350"/>
      <c r="AD106" s="350"/>
      <c r="AE106" s="350"/>
      <c r="AF106" s="350"/>
    </row>
    <row r="107" spans="1:32" s="457" customFormat="1" ht="18" customHeight="1" x14ac:dyDescent="0.2">
      <c r="A107" s="145"/>
      <c r="B107" s="177"/>
      <c r="C107" s="177"/>
      <c r="D107" s="145"/>
      <c r="E107" s="145"/>
      <c r="F107" s="145"/>
      <c r="G107" s="145"/>
      <c r="H107" s="147"/>
      <c r="I107" s="107"/>
      <c r="J107" s="178"/>
      <c r="K107" s="107"/>
      <c r="L107" s="145"/>
      <c r="M107" s="145"/>
      <c r="N107" s="145"/>
      <c r="O107" s="145"/>
      <c r="P107" s="147"/>
      <c r="Q107" s="148"/>
      <c r="R107" s="437"/>
      <c r="S107" s="107"/>
      <c r="T107" s="179"/>
      <c r="U107" s="178"/>
      <c r="V107" s="107"/>
      <c r="W107" s="107"/>
      <c r="X107" s="470"/>
      <c r="Y107" s="470"/>
      <c r="Z107" s="471"/>
      <c r="AA107" s="471"/>
      <c r="AB107" s="410"/>
      <c r="AC107" s="350"/>
      <c r="AD107" s="350"/>
      <c r="AE107" s="350"/>
      <c r="AF107" s="350"/>
    </row>
    <row r="108" spans="1:32" s="457" customFormat="1" ht="18" customHeight="1" x14ac:dyDescent="0.2">
      <c r="A108" s="145"/>
      <c r="B108" s="177"/>
      <c r="C108" s="177"/>
      <c r="D108" s="145"/>
      <c r="E108" s="145"/>
      <c r="F108" s="145"/>
      <c r="G108" s="145"/>
      <c r="H108" s="147"/>
      <c r="I108" s="107"/>
      <c r="J108" s="178"/>
      <c r="K108" s="107"/>
      <c r="L108" s="145"/>
      <c r="M108" s="145"/>
      <c r="N108" s="145"/>
      <c r="O108" s="145"/>
      <c r="P108" s="147"/>
      <c r="Q108" s="148"/>
      <c r="R108" s="437"/>
      <c r="S108" s="107"/>
      <c r="T108" s="179"/>
      <c r="U108" s="178"/>
      <c r="V108" s="107"/>
      <c r="W108" s="107"/>
      <c r="X108" s="470"/>
      <c r="Y108" s="470"/>
      <c r="Z108" s="471"/>
      <c r="AA108" s="471"/>
      <c r="AB108" s="466"/>
      <c r="AC108" s="350"/>
      <c r="AD108" s="350"/>
      <c r="AE108" s="350"/>
      <c r="AF108" s="350"/>
    </row>
    <row r="109" spans="1:32" s="457" customFormat="1" ht="18" customHeight="1" x14ac:dyDescent="0.2">
      <c r="A109" s="145"/>
      <c r="B109" s="177"/>
      <c r="C109" s="177"/>
      <c r="D109" s="145"/>
      <c r="E109" s="145"/>
      <c r="F109" s="145"/>
      <c r="G109" s="145"/>
      <c r="H109" s="147"/>
      <c r="I109" s="107"/>
      <c r="J109" s="178"/>
      <c r="K109" s="107"/>
      <c r="L109" s="145"/>
      <c r="M109" s="145"/>
      <c r="N109" s="145"/>
      <c r="O109" s="145"/>
      <c r="P109" s="147"/>
      <c r="Q109" s="148"/>
      <c r="R109" s="437"/>
      <c r="S109" s="107"/>
      <c r="T109" s="179"/>
      <c r="U109" s="178"/>
      <c r="V109" s="107"/>
      <c r="W109" s="107"/>
      <c r="X109" s="470"/>
      <c r="Y109" s="470"/>
      <c r="Z109" s="471"/>
      <c r="AA109" s="471"/>
      <c r="AB109" s="466"/>
      <c r="AC109" s="350"/>
      <c r="AD109" s="350"/>
      <c r="AE109" s="350"/>
      <c r="AF109" s="350"/>
    </row>
    <row r="110" spans="1:32" s="457" customFormat="1" ht="18" customHeight="1" x14ac:dyDescent="0.2">
      <c r="A110" s="145"/>
      <c r="B110" s="177"/>
      <c r="C110" s="177"/>
      <c r="D110" s="145"/>
      <c r="E110" s="145"/>
      <c r="F110" s="145"/>
      <c r="G110" s="145"/>
      <c r="H110" s="147"/>
      <c r="I110" s="107"/>
      <c r="J110" s="178"/>
      <c r="K110" s="107"/>
      <c r="L110" s="145"/>
      <c r="M110" s="145"/>
      <c r="N110" s="145"/>
      <c r="O110" s="145"/>
      <c r="P110" s="147"/>
      <c r="Q110" s="148"/>
      <c r="R110" s="437"/>
      <c r="S110" s="107"/>
      <c r="T110" s="179"/>
      <c r="U110" s="178"/>
      <c r="V110" s="107"/>
      <c r="W110" s="107"/>
      <c r="X110" s="470"/>
      <c r="Y110" s="470"/>
      <c r="Z110" s="471"/>
      <c r="AA110" s="471"/>
      <c r="AB110" s="466"/>
      <c r="AC110" s="350"/>
      <c r="AD110" s="350"/>
      <c r="AE110" s="350"/>
      <c r="AF110" s="350"/>
    </row>
    <row r="111" spans="1:32" s="457" customFormat="1" ht="18" customHeight="1" x14ac:dyDescent="0.2">
      <c r="A111" s="145"/>
      <c r="B111" s="177"/>
      <c r="C111" s="177"/>
      <c r="D111" s="145"/>
      <c r="E111" s="145"/>
      <c r="F111" s="145"/>
      <c r="G111" s="145"/>
      <c r="H111" s="147"/>
      <c r="I111" s="107"/>
      <c r="J111" s="178"/>
      <c r="K111" s="107"/>
      <c r="L111" s="145"/>
      <c r="M111" s="145"/>
      <c r="N111" s="145"/>
      <c r="O111" s="145"/>
      <c r="P111" s="147"/>
      <c r="Q111" s="148"/>
      <c r="R111" s="437"/>
      <c r="S111" s="107"/>
      <c r="T111" s="179"/>
      <c r="U111" s="178"/>
      <c r="V111" s="107"/>
      <c r="W111" s="107"/>
      <c r="X111" s="470"/>
      <c r="Y111" s="470"/>
      <c r="Z111" s="471"/>
      <c r="AA111" s="471"/>
      <c r="AB111" s="466"/>
      <c r="AC111" s="350"/>
      <c r="AD111" s="350"/>
      <c r="AE111" s="350"/>
      <c r="AF111" s="350"/>
    </row>
    <row r="112" spans="1:32" s="457" customFormat="1" ht="18" customHeight="1" x14ac:dyDescent="0.2">
      <c r="A112" s="145"/>
      <c r="B112" s="177"/>
      <c r="C112" s="177"/>
      <c r="D112" s="145"/>
      <c r="E112" s="145"/>
      <c r="F112" s="145"/>
      <c r="G112" s="145"/>
      <c r="H112" s="147"/>
      <c r="I112" s="107"/>
      <c r="J112" s="178"/>
      <c r="K112" s="107"/>
      <c r="L112" s="145"/>
      <c r="M112" s="145"/>
      <c r="N112" s="145"/>
      <c r="O112" s="145"/>
      <c r="P112" s="147"/>
      <c r="Q112" s="148"/>
      <c r="R112" s="437"/>
      <c r="S112" s="107"/>
      <c r="T112" s="179"/>
      <c r="U112" s="178"/>
      <c r="V112" s="107"/>
      <c r="W112" s="107"/>
      <c r="X112" s="470"/>
      <c r="Y112" s="470"/>
      <c r="Z112" s="471"/>
      <c r="AA112" s="471"/>
      <c r="AB112" s="466"/>
      <c r="AC112" s="350"/>
      <c r="AD112" s="350"/>
      <c r="AE112" s="350"/>
      <c r="AF112" s="350"/>
    </row>
    <row r="113" spans="1:32" s="457" customFormat="1" ht="18" customHeight="1" x14ac:dyDescent="0.2">
      <c r="A113" s="145"/>
      <c r="B113" s="177"/>
      <c r="C113" s="177"/>
      <c r="D113" s="145"/>
      <c r="E113" s="145"/>
      <c r="F113" s="145"/>
      <c r="G113" s="145"/>
      <c r="H113" s="147"/>
      <c r="I113" s="107"/>
      <c r="J113" s="178"/>
      <c r="K113" s="107"/>
      <c r="L113" s="145"/>
      <c r="M113" s="145"/>
      <c r="N113" s="145"/>
      <c r="O113" s="145"/>
      <c r="P113" s="147"/>
      <c r="Q113" s="148"/>
      <c r="R113" s="437"/>
      <c r="S113" s="107"/>
      <c r="T113" s="179"/>
      <c r="U113" s="178"/>
      <c r="V113" s="107"/>
      <c r="W113" s="107"/>
      <c r="X113" s="470"/>
      <c r="Y113" s="470"/>
      <c r="Z113" s="471"/>
      <c r="AA113" s="471"/>
      <c r="AB113" s="466"/>
      <c r="AC113" s="350"/>
      <c r="AD113" s="350"/>
      <c r="AE113" s="350"/>
      <c r="AF113" s="350"/>
    </row>
    <row r="114" spans="1:32" s="457" customFormat="1" ht="18" customHeight="1" x14ac:dyDescent="0.2">
      <c r="A114" s="145"/>
      <c r="B114" s="177"/>
      <c r="C114" s="177"/>
      <c r="D114" s="145"/>
      <c r="E114" s="145"/>
      <c r="F114" s="145"/>
      <c r="G114" s="145"/>
      <c r="H114" s="147"/>
      <c r="I114" s="107"/>
      <c r="J114" s="178"/>
      <c r="K114" s="107"/>
      <c r="L114" s="145"/>
      <c r="M114" s="145"/>
      <c r="N114" s="145"/>
      <c r="O114" s="145"/>
      <c r="P114" s="147"/>
      <c r="Q114" s="148"/>
      <c r="R114" s="437"/>
      <c r="S114" s="107"/>
      <c r="T114" s="179"/>
      <c r="U114" s="178"/>
      <c r="V114" s="107"/>
      <c r="W114" s="107"/>
      <c r="X114" s="470"/>
      <c r="Y114" s="470"/>
      <c r="Z114" s="471"/>
      <c r="AA114" s="471"/>
      <c r="AB114" s="466"/>
      <c r="AC114" s="350"/>
      <c r="AD114" s="350"/>
      <c r="AE114" s="350"/>
      <c r="AF114" s="350"/>
    </row>
    <row r="115" spans="1:32" s="457" customFormat="1" ht="18" customHeight="1" x14ac:dyDescent="0.2">
      <c r="A115" s="145"/>
      <c r="B115" s="177"/>
      <c r="C115" s="177"/>
      <c r="D115" s="145"/>
      <c r="E115" s="145"/>
      <c r="F115" s="145"/>
      <c r="G115" s="145"/>
      <c r="H115" s="147"/>
      <c r="I115" s="107"/>
      <c r="J115" s="178"/>
      <c r="K115" s="107"/>
      <c r="L115" s="145"/>
      <c r="M115" s="145"/>
      <c r="N115" s="145"/>
      <c r="O115" s="145"/>
      <c r="P115" s="147"/>
      <c r="Q115" s="148"/>
      <c r="R115" s="437"/>
      <c r="S115" s="107"/>
      <c r="T115" s="179"/>
      <c r="U115" s="178"/>
      <c r="V115" s="107"/>
      <c r="W115" s="107"/>
      <c r="X115" s="470"/>
      <c r="Y115" s="470"/>
      <c r="Z115" s="471"/>
      <c r="AA115" s="471"/>
      <c r="AB115" s="466"/>
      <c r="AC115" s="350"/>
      <c r="AD115" s="350"/>
      <c r="AE115" s="350"/>
      <c r="AF115" s="350"/>
    </row>
    <row r="116" spans="1:32" s="457" customFormat="1" ht="18" customHeight="1" x14ac:dyDescent="0.2">
      <c r="A116" s="145"/>
      <c r="B116" s="177"/>
      <c r="C116" s="177"/>
      <c r="D116" s="145"/>
      <c r="E116" s="145"/>
      <c r="F116" s="145"/>
      <c r="G116" s="145"/>
      <c r="H116" s="147"/>
      <c r="I116" s="107"/>
      <c r="J116" s="178"/>
      <c r="K116" s="107"/>
      <c r="L116" s="145"/>
      <c r="M116" s="145"/>
      <c r="N116" s="145"/>
      <c r="O116" s="145"/>
      <c r="P116" s="147"/>
      <c r="Q116" s="148"/>
      <c r="R116" s="437"/>
      <c r="S116" s="107"/>
      <c r="T116" s="179"/>
      <c r="U116" s="178"/>
      <c r="V116" s="107"/>
      <c r="W116" s="107"/>
      <c r="X116" s="470"/>
      <c r="Y116" s="470"/>
      <c r="Z116" s="471"/>
      <c r="AA116" s="471"/>
      <c r="AB116" s="466"/>
      <c r="AC116" s="350"/>
      <c r="AD116" s="350"/>
      <c r="AE116" s="350"/>
      <c r="AF116" s="350"/>
    </row>
    <row r="117" spans="1:32" s="457" customFormat="1" ht="18" customHeight="1" x14ac:dyDescent="0.2">
      <c r="A117" s="88"/>
      <c r="B117" s="180"/>
      <c r="C117" s="180"/>
      <c r="D117" s="88"/>
      <c r="E117" s="88"/>
      <c r="F117" s="88"/>
      <c r="G117" s="88"/>
      <c r="H117" s="120"/>
      <c r="I117" s="121"/>
      <c r="J117" s="181"/>
      <c r="K117" s="121"/>
      <c r="L117" s="88"/>
      <c r="M117" s="88"/>
      <c r="N117" s="88"/>
      <c r="O117" s="88"/>
      <c r="P117" s="88"/>
      <c r="Q117" s="129"/>
      <c r="R117" s="445"/>
      <c r="S117" s="121"/>
      <c r="T117" s="182"/>
      <c r="U117" s="181"/>
      <c r="V117" s="121"/>
      <c r="W117" s="121"/>
      <c r="X117" s="472"/>
      <c r="Y117" s="472"/>
      <c r="Z117" s="473"/>
      <c r="AA117" s="473"/>
      <c r="AB117" s="410"/>
      <c r="AC117" s="351"/>
      <c r="AD117" s="351"/>
      <c r="AE117" s="351"/>
      <c r="AF117" s="351"/>
    </row>
    <row r="118" spans="1:32" s="457" customFormat="1" ht="18" customHeight="1" x14ac:dyDescent="0.2">
      <c r="A118" s="183"/>
      <c r="B118" s="183"/>
      <c r="C118" s="183"/>
      <c r="D118" s="183"/>
      <c r="E118" s="183"/>
      <c r="F118" s="183"/>
      <c r="G118" s="183"/>
      <c r="H118" s="184"/>
      <c r="I118" s="185"/>
      <c r="J118" s="186"/>
      <c r="K118" s="185"/>
      <c r="L118" s="185"/>
      <c r="M118" s="185"/>
      <c r="N118" s="185"/>
      <c r="O118" s="185"/>
      <c r="P118" s="185"/>
      <c r="Q118" s="185"/>
      <c r="R118" s="438"/>
      <c r="S118" s="185"/>
      <c r="T118" s="187"/>
      <c r="U118" s="186"/>
      <c r="V118" s="185"/>
      <c r="W118" s="185"/>
      <c r="X118" s="474"/>
      <c r="Y118" s="474"/>
      <c r="Z118" s="475"/>
      <c r="AA118" s="475"/>
      <c r="AB118" s="476">
        <f>SUM(AB103:AB117)</f>
        <v>945.53149999999994</v>
      </c>
      <c r="AC118" s="349"/>
      <c r="AD118" s="349"/>
      <c r="AE118" s="349"/>
      <c r="AF118" s="349"/>
    </row>
    <row r="119" spans="1:32" s="457" customFormat="1" ht="18" customHeight="1" x14ac:dyDescent="0.2">
      <c r="A119" s="2737" t="s">
        <v>76</v>
      </c>
      <c r="B119" s="2737"/>
      <c r="C119" s="2738" t="s">
        <v>77</v>
      </c>
      <c r="D119" s="2738"/>
      <c r="E119" s="2738"/>
      <c r="F119" s="2738"/>
      <c r="G119" s="2738"/>
      <c r="H119" s="2738"/>
      <c r="I119" s="457" t="s">
        <v>78</v>
      </c>
      <c r="AB119" s="478"/>
    </row>
    <row r="120" spans="1:32" s="457" customFormat="1" ht="18" customHeight="1" x14ac:dyDescent="0.2">
      <c r="B120" s="479"/>
      <c r="I120" s="457" t="s">
        <v>79</v>
      </c>
      <c r="AB120" s="478"/>
    </row>
    <row r="121" spans="1:32" s="457" customFormat="1" ht="18" customHeight="1" x14ac:dyDescent="0.2">
      <c r="B121" s="479"/>
      <c r="I121" s="457" t="s">
        <v>80</v>
      </c>
      <c r="AB121" s="478"/>
    </row>
    <row r="122" spans="1:32" s="457" customFormat="1" ht="18" customHeight="1" x14ac:dyDescent="0.2">
      <c r="B122" s="479"/>
      <c r="I122" s="457" t="s">
        <v>81</v>
      </c>
      <c r="AB122" s="478"/>
    </row>
    <row r="123" spans="1:32" s="457" customFormat="1" ht="18" customHeight="1" x14ac:dyDescent="0.2">
      <c r="B123" s="479"/>
      <c r="I123" s="457" t="s">
        <v>88</v>
      </c>
      <c r="AB123" s="478"/>
    </row>
    <row r="124" spans="1:32" s="457" customFormat="1" ht="18" customHeight="1" x14ac:dyDescent="0.2">
      <c r="A124" s="455"/>
      <c r="B124" s="455"/>
      <c r="C124" s="455"/>
      <c r="D124" s="455"/>
      <c r="E124" s="455"/>
      <c r="F124" s="455"/>
      <c r="G124" s="455"/>
      <c r="H124" s="455"/>
      <c r="I124" s="455"/>
      <c r="J124" s="455"/>
      <c r="K124" s="455"/>
      <c r="L124" s="455"/>
      <c r="M124" s="455"/>
      <c r="N124" s="455"/>
      <c r="O124" s="455"/>
      <c r="P124" s="455"/>
      <c r="Q124" s="455"/>
      <c r="R124" s="455"/>
      <c r="S124" s="455"/>
      <c r="T124" s="455"/>
      <c r="U124" s="455"/>
      <c r="V124" s="455"/>
      <c r="W124" s="455"/>
      <c r="X124" s="455"/>
      <c r="Y124" s="455"/>
      <c r="Z124" s="455"/>
      <c r="AA124" s="2705" t="s">
        <v>0</v>
      </c>
      <c r="AB124" s="2705"/>
      <c r="AC124" s="455"/>
      <c r="AD124" s="455"/>
      <c r="AE124" s="455"/>
      <c r="AF124" s="455"/>
    </row>
    <row r="125" spans="1:32" s="457" customFormat="1" ht="18" customHeight="1" x14ac:dyDescent="0.2">
      <c r="A125" s="2706" t="s">
        <v>1</v>
      </c>
      <c r="B125" s="2706"/>
      <c r="C125" s="2706"/>
      <c r="D125" s="2706"/>
      <c r="E125" s="2706"/>
      <c r="F125" s="2706"/>
      <c r="G125" s="2706"/>
      <c r="H125" s="2706"/>
      <c r="I125" s="2706"/>
      <c r="J125" s="2706"/>
      <c r="K125" s="2706"/>
      <c r="L125" s="2706"/>
      <c r="M125" s="2706"/>
      <c r="N125" s="2706"/>
      <c r="O125" s="2706"/>
      <c r="P125" s="2706"/>
      <c r="Q125" s="2706"/>
      <c r="R125" s="2706"/>
      <c r="S125" s="2706"/>
      <c r="T125" s="2706"/>
      <c r="U125" s="2706"/>
      <c r="V125" s="2706"/>
      <c r="W125" s="2706"/>
      <c r="X125" s="2706"/>
      <c r="Y125" s="2706"/>
      <c r="Z125" s="2706"/>
      <c r="AA125" s="2706"/>
      <c r="AB125" s="2706"/>
      <c r="AC125" s="610"/>
      <c r="AD125" s="610"/>
      <c r="AE125" s="610"/>
      <c r="AF125" s="610"/>
    </row>
    <row r="126" spans="1:32" s="457" customFormat="1" ht="18" customHeight="1" x14ac:dyDescent="0.2">
      <c r="A126" s="2704" t="s">
        <v>493</v>
      </c>
      <c r="B126" s="2704"/>
      <c r="C126" s="2704"/>
      <c r="D126" s="2704"/>
      <c r="E126" s="2704"/>
      <c r="F126" s="2704"/>
      <c r="G126" s="2704"/>
      <c r="H126" s="2704"/>
      <c r="I126" s="2704"/>
      <c r="J126" s="2704"/>
      <c r="K126" s="2704"/>
      <c r="L126" s="2704"/>
      <c r="M126" s="2704"/>
      <c r="N126" s="2704"/>
      <c r="O126" s="2704"/>
      <c r="P126" s="2704"/>
      <c r="Q126" s="2704"/>
      <c r="R126" s="2704"/>
      <c r="S126" s="2704"/>
      <c r="T126" s="2704"/>
      <c r="U126" s="2704"/>
      <c r="V126" s="2704"/>
      <c r="W126" s="2704"/>
      <c r="X126" s="2704"/>
      <c r="Y126" s="2704"/>
      <c r="Z126" s="2704"/>
      <c r="AA126" s="2704"/>
      <c r="AB126" s="2704"/>
      <c r="AC126" s="611"/>
      <c r="AD126" s="611"/>
      <c r="AE126" s="611"/>
      <c r="AF126" s="611"/>
    </row>
    <row r="127" spans="1:32" s="457" customFormat="1" ht="18" customHeight="1" x14ac:dyDescent="0.2">
      <c r="A127" s="2686" t="s">
        <v>2</v>
      </c>
      <c r="B127" s="360"/>
      <c r="C127" s="2686" t="s">
        <v>3</v>
      </c>
      <c r="D127" s="360"/>
      <c r="E127" s="360"/>
      <c r="F127" s="2693" t="s">
        <v>4</v>
      </c>
      <c r="G127" s="2693"/>
      <c r="H127" s="2693"/>
      <c r="I127" s="2694"/>
      <c r="J127" s="2694"/>
      <c r="K127" s="2695"/>
      <c r="L127" s="361"/>
      <c r="M127" s="2679" t="s">
        <v>5</v>
      </c>
      <c r="N127" s="2679"/>
      <c r="O127" s="2679"/>
      <c r="P127" s="2679"/>
      <c r="Q127" s="2696"/>
      <c r="R127" s="2696"/>
      <c r="S127" s="2696"/>
      <c r="T127" s="2696"/>
      <c r="U127" s="2696"/>
      <c r="V127" s="2697"/>
      <c r="W127" s="362" t="s">
        <v>6</v>
      </c>
      <c r="X127" s="363" t="s">
        <v>7</v>
      </c>
      <c r="Y127" s="364"/>
      <c r="Z127" s="364"/>
      <c r="AA127" s="363"/>
      <c r="AB127" s="458"/>
      <c r="AC127" s="612" t="s">
        <v>8</v>
      </c>
      <c r="AD127" s="613"/>
      <c r="AE127" s="613"/>
      <c r="AF127" s="614"/>
    </row>
    <row r="128" spans="1:32" s="457" customFormat="1" ht="18" customHeight="1" x14ac:dyDescent="0.2">
      <c r="A128" s="2687"/>
      <c r="B128" s="367"/>
      <c r="C128" s="2687"/>
      <c r="D128" s="366" t="s">
        <v>9</v>
      </c>
      <c r="E128" s="366" t="s">
        <v>10</v>
      </c>
      <c r="F128" s="2698" t="s">
        <v>11</v>
      </c>
      <c r="G128" s="2694"/>
      <c r="H128" s="2695"/>
      <c r="I128" s="360"/>
      <c r="J128" s="449" t="s">
        <v>12</v>
      </c>
      <c r="K128" s="360"/>
      <c r="L128" s="2679" t="s">
        <v>2</v>
      </c>
      <c r="M128" s="370"/>
      <c r="N128" s="370"/>
      <c r="O128" s="370"/>
      <c r="P128" s="371"/>
      <c r="Q128" s="459" t="s">
        <v>13</v>
      </c>
      <c r="R128" s="370" t="s">
        <v>12</v>
      </c>
      <c r="S128" s="370" t="s">
        <v>6</v>
      </c>
      <c r="T128" s="2682" t="s">
        <v>14</v>
      </c>
      <c r="U128" s="2683"/>
      <c r="V128" s="375" t="s">
        <v>7</v>
      </c>
      <c r="W128" s="376" t="s">
        <v>15</v>
      </c>
      <c r="X128" s="377" t="s">
        <v>16</v>
      </c>
      <c r="Y128" s="377" t="s">
        <v>17</v>
      </c>
      <c r="Z128" s="377" t="s">
        <v>18</v>
      </c>
      <c r="AA128" s="377"/>
      <c r="AB128" s="460" t="s">
        <v>19</v>
      </c>
      <c r="AC128" s="615" t="s">
        <v>20</v>
      </c>
      <c r="AD128" s="616"/>
      <c r="AE128" s="617" t="s">
        <v>21</v>
      </c>
      <c r="AF128" s="618" t="s">
        <v>22</v>
      </c>
    </row>
    <row r="129" spans="1:32" s="457" customFormat="1" ht="18" customHeight="1" x14ac:dyDescent="0.2">
      <c r="A129" s="2687"/>
      <c r="B129" s="366" t="s">
        <v>23</v>
      </c>
      <c r="C129" s="2687"/>
      <c r="D129" s="366" t="s">
        <v>24</v>
      </c>
      <c r="E129" s="366" t="s">
        <v>25</v>
      </c>
      <c r="F129" s="2699"/>
      <c r="G129" s="2700"/>
      <c r="H129" s="2701"/>
      <c r="I129" s="366" t="s">
        <v>26</v>
      </c>
      <c r="J129" s="380" t="s">
        <v>15</v>
      </c>
      <c r="K129" s="380" t="s">
        <v>6</v>
      </c>
      <c r="L129" s="2680"/>
      <c r="M129" s="381" t="s">
        <v>27</v>
      </c>
      <c r="N129" s="381" t="s">
        <v>10</v>
      </c>
      <c r="O129" s="381" t="s">
        <v>10</v>
      </c>
      <c r="P129" s="385" t="s">
        <v>28</v>
      </c>
      <c r="Q129" s="461" t="s">
        <v>29</v>
      </c>
      <c r="R129" s="385" t="s">
        <v>15</v>
      </c>
      <c r="S129" s="385" t="s">
        <v>15</v>
      </c>
      <c r="T129" s="2684"/>
      <c r="U129" s="2685"/>
      <c r="V129" s="375" t="s">
        <v>30</v>
      </c>
      <c r="W129" s="376" t="s">
        <v>31</v>
      </c>
      <c r="X129" s="377" t="s">
        <v>30</v>
      </c>
      <c r="Y129" s="377" t="s">
        <v>32</v>
      </c>
      <c r="Z129" s="377" t="s">
        <v>7</v>
      </c>
      <c r="AA129" s="377" t="s">
        <v>33</v>
      </c>
      <c r="AB129" s="460" t="s">
        <v>34</v>
      </c>
      <c r="AC129" s="615" t="s">
        <v>35</v>
      </c>
      <c r="AD129" s="617" t="s">
        <v>36</v>
      </c>
      <c r="AE129" s="617" t="s">
        <v>37</v>
      </c>
      <c r="AF129" s="618" t="s">
        <v>38</v>
      </c>
    </row>
    <row r="130" spans="1:32" s="457" customFormat="1" ht="18" customHeight="1" x14ac:dyDescent="0.2">
      <c r="A130" s="2687"/>
      <c r="B130" s="366" t="s">
        <v>39</v>
      </c>
      <c r="C130" s="2687"/>
      <c r="D130" s="366" t="s">
        <v>40</v>
      </c>
      <c r="E130" s="366" t="s">
        <v>41</v>
      </c>
      <c r="F130" s="2686" t="s">
        <v>42</v>
      </c>
      <c r="G130" s="2686" t="s">
        <v>43</v>
      </c>
      <c r="H130" s="2688" t="s">
        <v>44</v>
      </c>
      <c r="I130" s="366" t="s">
        <v>45</v>
      </c>
      <c r="J130" s="380" t="s">
        <v>46</v>
      </c>
      <c r="K130" s="380" t="s">
        <v>47</v>
      </c>
      <c r="L130" s="2680"/>
      <c r="M130" s="381" t="s">
        <v>30</v>
      </c>
      <c r="N130" s="381" t="s">
        <v>30</v>
      </c>
      <c r="O130" s="381" t="s">
        <v>25</v>
      </c>
      <c r="P130" s="385" t="s">
        <v>30</v>
      </c>
      <c r="Q130" s="461" t="s">
        <v>48</v>
      </c>
      <c r="R130" s="385" t="s">
        <v>49</v>
      </c>
      <c r="S130" s="385" t="s">
        <v>30</v>
      </c>
      <c r="T130" s="374" t="s">
        <v>50</v>
      </c>
      <c r="U130" s="374" t="s">
        <v>13</v>
      </c>
      <c r="V130" s="375" t="s">
        <v>51</v>
      </c>
      <c r="W130" s="376" t="s">
        <v>52</v>
      </c>
      <c r="X130" s="377" t="s">
        <v>53</v>
      </c>
      <c r="Y130" s="377" t="s">
        <v>54</v>
      </c>
      <c r="Z130" s="377" t="s">
        <v>55</v>
      </c>
      <c r="AA130" s="377" t="s">
        <v>56</v>
      </c>
      <c r="AB130" s="460" t="s">
        <v>57</v>
      </c>
      <c r="AC130" s="617" t="s">
        <v>58</v>
      </c>
      <c r="AD130" s="617" t="s">
        <v>59</v>
      </c>
      <c r="AE130" s="617" t="s">
        <v>59</v>
      </c>
      <c r="AF130" s="618" t="s">
        <v>60</v>
      </c>
    </row>
    <row r="131" spans="1:32" s="457" customFormat="1" ht="18" customHeight="1" x14ac:dyDescent="0.2">
      <c r="A131" s="2687"/>
      <c r="B131" s="366" t="s">
        <v>61</v>
      </c>
      <c r="C131" s="2687"/>
      <c r="D131" s="366" t="s">
        <v>62</v>
      </c>
      <c r="E131" s="366" t="s">
        <v>63</v>
      </c>
      <c r="F131" s="2687"/>
      <c r="G131" s="2687"/>
      <c r="H131" s="2689"/>
      <c r="I131" s="366" t="s">
        <v>64</v>
      </c>
      <c r="J131" s="380" t="s">
        <v>59</v>
      </c>
      <c r="K131" s="380" t="s">
        <v>59</v>
      </c>
      <c r="L131" s="2680"/>
      <c r="M131" s="381"/>
      <c r="N131" s="381"/>
      <c r="O131" s="381" t="s">
        <v>41</v>
      </c>
      <c r="P131" s="385" t="s">
        <v>65</v>
      </c>
      <c r="Q131" s="461" t="s">
        <v>66</v>
      </c>
      <c r="R131" s="385" t="s">
        <v>67</v>
      </c>
      <c r="S131" s="385" t="s">
        <v>59</v>
      </c>
      <c r="T131" s="375" t="s">
        <v>68</v>
      </c>
      <c r="U131" s="375" t="s">
        <v>14</v>
      </c>
      <c r="V131" s="375" t="s">
        <v>14</v>
      </c>
      <c r="W131" s="376" t="s">
        <v>30</v>
      </c>
      <c r="X131" s="388" t="s">
        <v>69</v>
      </c>
      <c r="Y131" s="388" t="s">
        <v>70</v>
      </c>
      <c r="Z131" s="377" t="s">
        <v>71</v>
      </c>
      <c r="AA131" s="377" t="s">
        <v>72</v>
      </c>
      <c r="AB131" s="460" t="s">
        <v>59</v>
      </c>
      <c r="AC131" s="617" t="s">
        <v>59</v>
      </c>
      <c r="AD131" s="617"/>
      <c r="AE131" s="617"/>
      <c r="AF131" s="618" t="s">
        <v>59</v>
      </c>
    </row>
    <row r="132" spans="1:32" s="457" customFormat="1" ht="18" customHeight="1" x14ac:dyDescent="0.2">
      <c r="A132" s="2692"/>
      <c r="B132" s="390"/>
      <c r="C132" s="2692"/>
      <c r="D132" s="390"/>
      <c r="E132" s="389"/>
      <c r="F132" s="390"/>
      <c r="G132" s="390"/>
      <c r="H132" s="391"/>
      <c r="I132" s="389"/>
      <c r="J132" s="393"/>
      <c r="K132" s="393"/>
      <c r="L132" s="2681"/>
      <c r="M132" s="394"/>
      <c r="N132" s="394"/>
      <c r="O132" s="394" t="s">
        <v>63</v>
      </c>
      <c r="P132" s="394"/>
      <c r="Q132" s="450" t="s">
        <v>72</v>
      </c>
      <c r="R132" s="398" t="s">
        <v>59</v>
      </c>
      <c r="S132" s="398"/>
      <c r="T132" s="398" t="s">
        <v>73</v>
      </c>
      <c r="U132" s="398" t="s">
        <v>59</v>
      </c>
      <c r="V132" s="399" t="s">
        <v>59</v>
      </c>
      <c r="W132" s="400" t="s">
        <v>59</v>
      </c>
      <c r="X132" s="401" t="s">
        <v>59</v>
      </c>
      <c r="Y132" s="401" t="s">
        <v>59</v>
      </c>
      <c r="Z132" s="401" t="s">
        <v>59</v>
      </c>
      <c r="AA132" s="402"/>
      <c r="AB132" s="462"/>
      <c r="AC132" s="625"/>
      <c r="AD132" s="625"/>
      <c r="AE132" s="625"/>
      <c r="AF132" s="626"/>
    </row>
    <row r="133" spans="1:32" s="457" customFormat="1" ht="18" customHeight="1" x14ac:dyDescent="0.2">
      <c r="A133" s="53">
        <v>1</v>
      </c>
      <c r="B133" s="95">
        <v>1937</v>
      </c>
      <c r="C133" s="82">
        <v>640</v>
      </c>
      <c r="D133" s="82" t="s">
        <v>215</v>
      </c>
      <c r="E133" s="82">
        <v>1</v>
      </c>
      <c r="F133" s="82">
        <v>5</v>
      </c>
      <c r="G133" s="82">
        <v>3</v>
      </c>
      <c r="H133" s="1458">
        <v>43.25</v>
      </c>
      <c r="I133" s="77">
        <f t="shared" ref="I133:I134" si="41">F133*400+G133*100+H133</f>
        <v>2343.25</v>
      </c>
      <c r="J133" s="1459">
        <v>3350</v>
      </c>
      <c r="K133" s="297">
        <f t="shared" ref="K133:K134" si="42">I133*J133</f>
        <v>7849887.5</v>
      </c>
      <c r="L133" s="740"/>
      <c r="M133" s="53"/>
      <c r="N133" s="16"/>
      <c r="O133" s="16"/>
      <c r="P133" s="16"/>
      <c r="Q133" s="796"/>
      <c r="R133" s="1460"/>
      <c r="S133" s="1460"/>
      <c r="T133" s="897"/>
      <c r="U133" s="897"/>
      <c r="V133" s="897"/>
      <c r="W133" s="18">
        <f t="shared" ref="W133" si="43">K133+V133</f>
        <v>7849887.5</v>
      </c>
      <c r="X133" s="47">
        <f>W133</f>
        <v>7849887.5</v>
      </c>
      <c r="Y133" s="296" t="s">
        <v>89</v>
      </c>
      <c r="Z133" s="1461">
        <v>0</v>
      </c>
      <c r="AA133" s="494">
        <v>0.01</v>
      </c>
      <c r="AB133" s="406">
        <f>AA133*Z133/100</f>
        <v>0</v>
      </c>
      <c r="AC133" s="602"/>
      <c r="AD133" s="603">
        <f>AB133-AC133</f>
        <v>0</v>
      </c>
      <c r="AE133" s="603">
        <f>IF(AD133&lt;=0,0,AD133*25/100)</f>
        <v>0</v>
      </c>
      <c r="AF133" s="603">
        <f>IF(AC133+AE133&gt;AB133,AB133,AC133+AE133)</f>
        <v>0</v>
      </c>
    </row>
    <row r="134" spans="1:32" s="457" customFormat="1" ht="18" customHeight="1" x14ac:dyDescent="0.2">
      <c r="A134" s="61"/>
      <c r="B134" s="15"/>
      <c r="C134" s="15"/>
      <c r="D134" s="15"/>
      <c r="E134" s="145">
        <v>2</v>
      </c>
      <c r="F134" s="15">
        <v>0</v>
      </c>
      <c r="G134" s="15">
        <v>3</v>
      </c>
      <c r="H134" s="284">
        <v>56</v>
      </c>
      <c r="I134" s="77">
        <f t="shared" si="41"/>
        <v>356</v>
      </c>
      <c r="J134" s="1459">
        <v>3350</v>
      </c>
      <c r="K134" s="297">
        <f t="shared" si="42"/>
        <v>1192600</v>
      </c>
      <c r="L134" s="88">
        <v>1</v>
      </c>
      <c r="M134" s="61">
        <v>103</v>
      </c>
      <c r="N134" s="50" t="s">
        <v>74</v>
      </c>
      <c r="O134" s="50">
        <v>2</v>
      </c>
      <c r="P134" s="50">
        <v>119.1</v>
      </c>
      <c r="Q134" s="62" t="s">
        <v>75</v>
      </c>
      <c r="R134" s="793">
        <v>9050</v>
      </c>
      <c r="S134" s="47">
        <f t="shared" ref="S134:S135" si="44">+P134*R134</f>
        <v>1077855</v>
      </c>
      <c r="T134" s="1501">
        <v>19</v>
      </c>
      <c r="U134" s="1670">
        <f>+S134*0.28</f>
        <v>301799.40000000002</v>
      </c>
      <c r="V134" s="18">
        <f t="shared" ref="V134" si="45">+S134-U134</f>
        <v>776055.6</v>
      </c>
      <c r="W134" s="18">
        <f t="shared" ref="W134" si="46">K134+V134</f>
        <v>1968655.6</v>
      </c>
      <c r="X134" s="47">
        <f>W134*Q134/100</f>
        <v>1968655.6</v>
      </c>
      <c r="Y134" s="296" t="s">
        <v>89</v>
      </c>
      <c r="Z134" s="296">
        <v>0</v>
      </c>
      <c r="AA134" s="494">
        <v>0.02</v>
      </c>
      <c r="AB134" s="415">
        <f>AA134*Z134/100</f>
        <v>0</v>
      </c>
      <c r="AC134" s="350"/>
      <c r="AD134" s="350"/>
      <c r="AE134" s="350"/>
      <c r="AF134" s="350"/>
    </row>
    <row r="135" spans="1:32" s="457" customFormat="1" ht="18" customHeight="1" x14ac:dyDescent="0.2">
      <c r="A135" s="75"/>
      <c r="B135" s="27"/>
      <c r="C135" s="27"/>
      <c r="D135" s="15"/>
      <c r="E135" s="27"/>
      <c r="F135" s="27"/>
      <c r="G135" s="27"/>
      <c r="H135" s="557"/>
      <c r="I135" s="296"/>
      <c r="J135" s="759"/>
      <c r="K135" s="297"/>
      <c r="L135" s="50">
        <v>2</v>
      </c>
      <c r="M135" s="145">
        <v>103</v>
      </c>
      <c r="N135" s="15" t="s">
        <v>74</v>
      </c>
      <c r="O135" s="50">
        <v>2</v>
      </c>
      <c r="P135" s="29">
        <v>30.599999999999998</v>
      </c>
      <c r="Q135" s="62" t="s">
        <v>75</v>
      </c>
      <c r="R135" s="793">
        <v>9050</v>
      </c>
      <c r="S135" s="47">
        <f t="shared" si="44"/>
        <v>276930</v>
      </c>
      <c r="T135" s="1501">
        <v>9</v>
      </c>
      <c r="U135" s="1670">
        <f>+S135*0.09</f>
        <v>24923.7</v>
      </c>
      <c r="V135" s="18">
        <f t="shared" ref="V135" si="47">+S135-U135</f>
        <v>252006.3</v>
      </c>
      <c r="W135" s="18">
        <f t="shared" ref="W135" si="48">K135+V135</f>
        <v>252006.3</v>
      </c>
      <c r="X135" s="47">
        <f>W135*Q135/100</f>
        <v>252006.3</v>
      </c>
      <c r="Y135" s="296"/>
      <c r="Z135" s="18">
        <f t="shared" ref="Z135" si="49">+X135</f>
        <v>252006.3</v>
      </c>
      <c r="AA135" s="494">
        <v>0.02</v>
      </c>
      <c r="AB135" s="410">
        <f>AA135*Z135/100</f>
        <v>50.401260000000001</v>
      </c>
      <c r="AC135" s="350"/>
      <c r="AD135" s="350"/>
      <c r="AE135" s="350"/>
      <c r="AF135" s="350"/>
    </row>
    <row r="136" spans="1:32" s="457" customFormat="1" ht="18" customHeight="1" x14ac:dyDescent="0.2">
      <c r="A136" s="75"/>
      <c r="B136" s="88"/>
      <c r="C136" s="88"/>
      <c r="D136" s="88"/>
      <c r="E136" s="88"/>
      <c r="F136" s="88"/>
      <c r="G136" s="88"/>
      <c r="H136" s="495"/>
      <c r="I136" s="74"/>
      <c r="J136" s="280"/>
      <c r="K136" s="159"/>
      <c r="L136" s="75"/>
      <c r="M136" s="88"/>
      <c r="N136" s="88"/>
      <c r="O136" s="75"/>
      <c r="P136" s="188"/>
      <c r="Q136" s="174"/>
      <c r="R136" s="413"/>
      <c r="S136" s="74"/>
      <c r="T136" s="135"/>
      <c r="U136" s="74"/>
      <c r="V136" s="74"/>
      <c r="W136" s="74"/>
      <c r="X136" s="74"/>
      <c r="Y136" s="74"/>
      <c r="Z136" s="74"/>
      <c r="AA136" s="414"/>
      <c r="AB136" s="410"/>
      <c r="AC136" s="350"/>
      <c r="AD136" s="350"/>
      <c r="AE136" s="350"/>
      <c r="AF136" s="350"/>
    </row>
    <row r="137" spans="1:32" s="457" customFormat="1" ht="18" customHeight="1" x14ac:dyDescent="0.2">
      <c r="A137" s="61"/>
      <c r="B137" s="145"/>
      <c r="C137" s="145"/>
      <c r="D137" s="145"/>
      <c r="E137" s="145"/>
      <c r="F137" s="145"/>
      <c r="G137" s="145"/>
      <c r="H137" s="407"/>
      <c r="I137" s="77"/>
      <c r="J137" s="275"/>
      <c r="K137" s="78"/>
      <c r="L137" s="61"/>
      <c r="M137" s="145"/>
      <c r="N137" s="145"/>
      <c r="O137" s="61"/>
      <c r="P137" s="173"/>
      <c r="Q137" s="196"/>
      <c r="R137" s="408"/>
      <c r="S137" s="77"/>
      <c r="T137" s="803"/>
      <c r="U137" s="77"/>
      <c r="V137" s="77"/>
      <c r="W137" s="77"/>
      <c r="X137" s="77"/>
      <c r="Y137" s="77"/>
      <c r="Z137" s="77"/>
      <c r="AA137" s="409"/>
      <c r="AB137" s="410"/>
      <c r="AC137" s="350"/>
      <c r="AD137" s="350"/>
      <c r="AE137" s="350"/>
      <c r="AF137" s="350"/>
    </row>
    <row r="138" spans="1:32" s="457" customFormat="1" ht="18" customHeight="1" x14ac:dyDescent="0.2">
      <c r="A138" s="145"/>
      <c r="B138" s="177"/>
      <c r="C138" s="177"/>
      <c r="D138" s="145"/>
      <c r="E138" s="145"/>
      <c r="F138" s="145"/>
      <c r="G138" s="145"/>
      <c r="H138" s="147"/>
      <c r="I138" s="107"/>
      <c r="J138" s="178"/>
      <c r="K138" s="107"/>
      <c r="L138" s="145"/>
      <c r="M138" s="145"/>
      <c r="N138" s="145"/>
      <c r="O138" s="145"/>
      <c r="P138" s="147"/>
      <c r="Q138" s="148"/>
      <c r="R138" s="437"/>
      <c r="S138" s="107"/>
      <c r="T138" s="179"/>
      <c r="U138" s="178"/>
      <c r="V138" s="107"/>
      <c r="W138" s="107"/>
      <c r="X138" s="470"/>
      <c r="Y138" s="470"/>
      <c r="Z138" s="471"/>
      <c r="AA138" s="471"/>
      <c r="AB138" s="466"/>
      <c r="AC138" s="350"/>
      <c r="AD138" s="350"/>
      <c r="AE138" s="350"/>
      <c r="AF138" s="350"/>
    </row>
    <row r="139" spans="1:32" s="457" customFormat="1" ht="18" customHeight="1" x14ac:dyDescent="0.2">
      <c r="A139" s="145"/>
      <c r="B139" s="177"/>
      <c r="C139" s="177"/>
      <c r="D139" s="145"/>
      <c r="E139" s="145"/>
      <c r="F139" s="145"/>
      <c r="G139" s="145"/>
      <c r="H139" s="147"/>
      <c r="I139" s="107"/>
      <c r="J139" s="178"/>
      <c r="K139" s="107"/>
      <c r="L139" s="145"/>
      <c r="M139" s="145"/>
      <c r="N139" s="145"/>
      <c r="O139" s="145"/>
      <c r="P139" s="147"/>
      <c r="Q139" s="148"/>
      <c r="R139" s="437"/>
      <c r="S139" s="107"/>
      <c r="T139" s="179"/>
      <c r="U139" s="178"/>
      <c r="V139" s="107"/>
      <c r="W139" s="107"/>
      <c r="X139" s="470"/>
      <c r="Y139" s="470"/>
      <c r="Z139" s="471"/>
      <c r="AA139" s="471"/>
      <c r="AB139" s="466"/>
      <c r="AC139" s="350"/>
      <c r="AD139" s="350"/>
      <c r="AE139" s="350"/>
      <c r="AF139" s="350"/>
    </row>
    <row r="140" spans="1:32" s="457" customFormat="1" ht="18" customHeight="1" x14ac:dyDescent="0.2">
      <c r="A140" s="145"/>
      <c r="B140" s="177"/>
      <c r="C140" s="177"/>
      <c r="D140" s="145"/>
      <c r="E140" s="145"/>
      <c r="F140" s="145"/>
      <c r="G140" s="145"/>
      <c r="H140" s="147"/>
      <c r="I140" s="107"/>
      <c r="J140" s="178"/>
      <c r="K140" s="107"/>
      <c r="L140" s="145"/>
      <c r="M140" s="145"/>
      <c r="N140" s="145"/>
      <c r="O140" s="145"/>
      <c r="P140" s="147"/>
      <c r="Q140" s="148"/>
      <c r="R140" s="437"/>
      <c r="S140" s="107"/>
      <c r="T140" s="179"/>
      <c r="U140" s="178"/>
      <c r="V140" s="107"/>
      <c r="W140" s="107"/>
      <c r="X140" s="470"/>
      <c r="Y140" s="470"/>
      <c r="Z140" s="471"/>
      <c r="AA140" s="471"/>
      <c r="AB140" s="466"/>
      <c r="AC140" s="350"/>
      <c r="AD140" s="350"/>
      <c r="AE140" s="350"/>
      <c r="AF140" s="350"/>
    </row>
    <row r="141" spans="1:32" s="457" customFormat="1" ht="18" customHeight="1" x14ac:dyDescent="0.2">
      <c r="A141" s="145"/>
      <c r="B141" s="177"/>
      <c r="C141" s="177"/>
      <c r="D141" s="145"/>
      <c r="E141" s="145"/>
      <c r="F141" s="145"/>
      <c r="G141" s="145"/>
      <c r="H141" s="147"/>
      <c r="I141" s="107"/>
      <c r="J141" s="178"/>
      <c r="K141" s="107"/>
      <c r="L141" s="145"/>
      <c r="M141" s="145"/>
      <c r="N141" s="145"/>
      <c r="O141" s="145"/>
      <c r="P141" s="147"/>
      <c r="Q141" s="148"/>
      <c r="R141" s="437"/>
      <c r="S141" s="107"/>
      <c r="T141" s="179"/>
      <c r="U141" s="178"/>
      <c r="V141" s="107"/>
      <c r="W141" s="107"/>
      <c r="X141" s="470"/>
      <c r="Y141" s="470"/>
      <c r="Z141" s="471"/>
      <c r="AA141" s="471"/>
      <c r="AB141" s="466"/>
      <c r="AC141" s="350"/>
      <c r="AD141" s="350"/>
      <c r="AE141" s="350"/>
      <c r="AF141" s="350"/>
    </row>
    <row r="142" spans="1:32" s="457" customFormat="1" ht="18" customHeight="1" x14ac:dyDescent="0.2">
      <c r="A142" s="145"/>
      <c r="B142" s="177"/>
      <c r="C142" s="177"/>
      <c r="D142" s="145"/>
      <c r="E142" s="145"/>
      <c r="F142" s="145"/>
      <c r="G142" s="145"/>
      <c r="H142" s="147"/>
      <c r="I142" s="107"/>
      <c r="J142" s="178"/>
      <c r="K142" s="107"/>
      <c r="L142" s="145"/>
      <c r="M142" s="145"/>
      <c r="N142" s="145"/>
      <c r="O142" s="145"/>
      <c r="P142" s="147"/>
      <c r="Q142" s="148"/>
      <c r="R142" s="437"/>
      <c r="S142" s="107"/>
      <c r="T142" s="179"/>
      <c r="U142" s="178"/>
      <c r="V142" s="107"/>
      <c r="W142" s="107"/>
      <c r="X142" s="470"/>
      <c r="Y142" s="470"/>
      <c r="Z142" s="471"/>
      <c r="AA142" s="471"/>
      <c r="AB142" s="466"/>
      <c r="AC142" s="350"/>
      <c r="AD142" s="350"/>
      <c r="AE142" s="350"/>
      <c r="AF142" s="350"/>
    </row>
    <row r="143" spans="1:32" s="457" customFormat="1" ht="18" customHeight="1" x14ac:dyDescent="0.2">
      <c r="A143" s="145"/>
      <c r="B143" s="177"/>
      <c r="C143" s="177"/>
      <c r="D143" s="145"/>
      <c r="E143" s="145"/>
      <c r="F143" s="145"/>
      <c r="G143" s="145"/>
      <c r="H143" s="147"/>
      <c r="I143" s="107"/>
      <c r="J143" s="178"/>
      <c r="K143" s="107"/>
      <c r="L143" s="145"/>
      <c r="M143" s="145"/>
      <c r="N143" s="145"/>
      <c r="O143" s="145"/>
      <c r="P143" s="147"/>
      <c r="Q143" s="148"/>
      <c r="R143" s="437"/>
      <c r="S143" s="107"/>
      <c r="T143" s="179"/>
      <c r="U143" s="178"/>
      <c r="V143" s="107"/>
      <c r="W143" s="107"/>
      <c r="X143" s="470"/>
      <c r="Y143" s="470"/>
      <c r="Z143" s="471"/>
      <c r="AA143" s="471"/>
      <c r="AB143" s="466"/>
      <c r="AC143" s="350"/>
      <c r="AD143" s="350"/>
      <c r="AE143" s="350"/>
      <c r="AF143" s="350"/>
    </row>
    <row r="144" spans="1:32" s="457" customFormat="1" ht="18" customHeight="1" x14ac:dyDescent="0.2">
      <c r="A144" s="145"/>
      <c r="B144" s="177"/>
      <c r="C144" s="177"/>
      <c r="D144" s="145"/>
      <c r="E144" s="145"/>
      <c r="F144" s="145"/>
      <c r="G144" s="145"/>
      <c r="H144" s="147"/>
      <c r="I144" s="107"/>
      <c r="J144" s="178"/>
      <c r="K144" s="107"/>
      <c r="L144" s="145"/>
      <c r="M144" s="145"/>
      <c r="N144" s="145"/>
      <c r="O144" s="145"/>
      <c r="P144" s="147"/>
      <c r="Q144" s="148"/>
      <c r="R144" s="437"/>
      <c r="S144" s="107"/>
      <c r="T144" s="179"/>
      <c r="U144" s="178"/>
      <c r="V144" s="107"/>
      <c r="W144" s="107"/>
      <c r="X144" s="470"/>
      <c r="Y144" s="470"/>
      <c r="Z144" s="471"/>
      <c r="AA144" s="471"/>
      <c r="AB144" s="466"/>
      <c r="AC144" s="350"/>
      <c r="AD144" s="350"/>
      <c r="AE144" s="350"/>
      <c r="AF144" s="350"/>
    </row>
    <row r="145" spans="1:32" s="457" customFormat="1" ht="18" customHeight="1" x14ac:dyDescent="0.2">
      <c r="A145" s="145"/>
      <c r="B145" s="177"/>
      <c r="C145" s="177"/>
      <c r="D145" s="145"/>
      <c r="E145" s="145"/>
      <c r="F145" s="145"/>
      <c r="G145" s="145"/>
      <c r="H145" s="147"/>
      <c r="I145" s="107"/>
      <c r="J145" s="178"/>
      <c r="K145" s="107"/>
      <c r="L145" s="145"/>
      <c r="M145" s="145"/>
      <c r="N145" s="145"/>
      <c r="O145" s="145"/>
      <c r="P145" s="147"/>
      <c r="Q145" s="148"/>
      <c r="R145" s="437"/>
      <c r="S145" s="107"/>
      <c r="T145" s="179"/>
      <c r="U145" s="178"/>
      <c r="V145" s="107"/>
      <c r="W145" s="107"/>
      <c r="X145" s="470"/>
      <c r="Y145" s="470"/>
      <c r="Z145" s="471"/>
      <c r="AA145" s="471"/>
      <c r="AB145" s="466"/>
      <c r="AC145" s="350"/>
      <c r="AD145" s="350"/>
      <c r="AE145" s="350"/>
      <c r="AF145" s="350"/>
    </row>
    <row r="146" spans="1:32" s="457" customFormat="1" ht="18" customHeight="1" x14ac:dyDescent="0.2">
      <c r="A146" s="145"/>
      <c r="B146" s="177"/>
      <c r="C146" s="177"/>
      <c r="D146" s="145"/>
      <c r="E146" s="145"/>
      <c r="F146" s="145"/>
      <c r="G146" s="145"/>
      <c r="H146" s="147"/>
      <c r="I146" s="107"/>
      <c r="J146" s="178"/>
      <c r="K146" s="107"/>
      <c r="L146" s="145"/>
      <c r="M146" s="145"/>
      <c r="N146" s="145"/>
      <c r="O146" s="145"/>
      <c r="P146" s="147"/>
      <c r="Q146" s="148"/>
      <c r="R146" s="437"/>
      <c r="S146" s="107"/>
      <c r="T146" s="179"/>
      <c r="U146" s="178"/>
      <c r="V146" s="107"/>
      <c r="W146" s="107"/>
      <c r="X146" s="470"/>
      <c r="Y146" s="470"/>
      <c r="Z146" s="471"/>
      <c r="AA146" s="471"/>
      <c r="AB146" s="466"/>
      <c r="AC146" s="350"/>
      <c r="AD146" s="350"/>
      <c r="AE146" s="350"/>
      <c r="AF146" s="350"/>
    </row>
    <row r="147" spans="1:32" s="457" customFormat="1" ht="18" customHeight="1" x14ac:dyDescent="0.2">
      <c r="A147" s="88"/>
      <c r="B147" s="180"/>
      <c r="C147" s="180"/>
      <c r="D147" s="88"/>
      <c r="E147" s="88"/>
      <c r="F147" s="88"/>
      <c r="G147" s="88"/>
      <c r="H147" s="120"/>
      <c r="I147" s="121"/>
      <c r="J147" s="181"/>
      <c r="K147" s="121"/>
      <c r="L147" s="88"/>
      <c r="M147" s="88"/>
      <c r="N147" s="88"/>
      <c r="O147" s="88"/>
      <c r="P147" s="88"/>
      <c r="Q147" s="129"/>
      <c r="R147" s="445"/>
      <c r="S147" s="121"/>
      <c r="T147" s="182"/>
      <c r="U147" s="181"/>
      <c r="V147" s="121"/>
      <c r="W147" s="121"/>
      <c r="X147" s="472"/>
      <c r="Y147" s="472"/>
      <c r="Z147" s="473"/>
      <c r="AA147" s="473"/>
      <c r="AB147" s="410"/>
      <c r="AC147" s="351"/>
      <c r="AD147" s="351"/>
      <c r="AE147" s="351"/>
      <c r="AF147" s="351"/>
    </row>
    <row r="148" spans="1:32" s="597" customFormat="1" ht="18" customHeight="1" x14ac:dyDescent="0.2">
      <c r="A148" s="1850"/>
      <c r="B148" s="1850"/>
      <c r="C148" s="1850"/>
      <c r="D148" s="1850"/>
      <c r="E148" s="1850"/>
      <c r="F148" s="1850"/>
      <c r="G148" s="1850"/>
      <c r="H148" s="1851"/>
      <c r="I148" s="1852"/>
      <c r="J148" s="1853"/>
      <c r="K148" s="1852"/>
      <c r="L148" s="1852"/>
      <c r="M148" s="1852"/>
      <c r="N148" s="1852"/>
      <c r="O148" s="1852"/>
      <c r="P148" s="1852"/>
      <c r="Q148" s="1852"/>
      <c r="R148" s="1854"/>
      <c r="S148" s="1852"/>
      <c r="T148" s="1855"/>
      <c r="U148" s="1853"/>
      <c r="V148" s="1852"/>
      <c r="W148" s="1852"/>
      <c r="X148" s="1856"/>
      <c r="Y148" s="1856"/>
      <c r="Z148" s="1857"/>
      <c r="AA148" s="1857"/>
      <c r="AB148" s="1847">
        <f>SUM(AB133:AB147)</f>
        <v>50.401260000000001</v>
      </c>
      <c r="AC148" s="1861"/>
      <c r="AD148" s="1861"/>
      <c r="AE148" s="1861"/>
      <c r="AF148" s="1861"/>
    </row>
    <row r="149" spans="1:32" s="457" customFormat="1" ht="18" customHeight="1" x14ac:dyDescent="0.2">
      <c r="A149" s="2737" t="s">
        <v>76</v>
      </c>
      <c r="B149" s="2737"/>
      <c r="C149" s="2738" t="s">
        <v>77</v>
      </c>
      <c r="D149" s="2738"/>
      <c r="E149" s="2738"/>
      <c r="F149" s="2738"/>
      <c r="G149" s="2738"/>
      <c r="H149" s="2738"/>
      <c r="I149" s="457" t="s">
        <v>78</v>
      </c>
      <c r="AB149" s="478"/>
    </row>
    <row r="150" spans="1:32" s="457" customFormat="1" ht="18" customHeight="1" x14ac:dyDescent="0.2">
      <c r="B150" s="479"/>
      <c r="I150" s="457" t="s">
        <v>79</v>
      </c>
      <c r="AB150" s="478"/>
    </row>
    <row r="151" spans="1:32" s="457" customFormat="1" ht="18" customHeight="1" x14ac:dyDescent="0.2">
      <c r="B151" s="479"/>
      <c r="I151" s="457" t="s">
        <v>80</v>
      </c>
      <c r="AB151" s="478"/>
    </row>
    <row r="152" spans="1:32" s="457" customFormat="1" ht="18" customHeight="1" x14ac:dyDescent="0.2">
      <c r="B152" s="479"/>
      <c r="I152" s="457" t="s">
        <v>81</v>
      </c>
      <c r="AB152" s="478"/>
    </row>
    <row r="153" spans="1:32" s="457" customFormat="1" ht="18" customHeight="1" x14ac:dyDescent="0.2">
      <c r="B153" s="479"/>
      <c r="I153" s="457" t="s">
        <v>88</v>
      </c>
      <c r="AB153" s="478"/>
    </row>
    <row r="154" spans="1:32" s="457" customFormat="1" ht="18" customHeight="1" x14ac:dyDescent="0.2">
      <c r="A154" s="455"/>
      <c r="B154" s="455"/>
      <c r="C154" s="455"/>
      <c r="D154" s="455"/>
      <c r="E154" s="455"/>
      <c r="F154" s="455"/>
      <c r="G154" s="455"/>
      <c r="H154" s="455"/>
      <c r="I154" s="455"/>
      <c r="J154" s="455"/>
      <c r="K154" s="455"/>
      <c r="L154" s="455"/>
      <c r="M154" s="455"/>
      <c r="N154" s="455"/>
      <c r="O154" s="455"/>
      <c r="P154" s="455"/>
      <c r="Q154" s="455"/>
      <c r="R154" s="455"/>
      <c r="S154" s="455"/>
      <c r="T154" s="455"/>
      <c r="U154" s="455"/>
      <c r="V154" s="455"/>
      <c r="W154" s="455"/>
      <c r="X154" s="455"/>
      <c r="Y154" s="455"/>
      <c r="Z154" s="455"/>
      <c r="AA154" s="2705" t="s">
        <v>0</v>
      </c>
      <c r="AB154" s="2705"/>
      <c r="AC154" s="455"/>
      <c r="AD154" s="455"/>
      <c r="AE154" s="455"/>
      <c r="AF154" s="455"/>
    </row>
    <row r="155" spans="1:32" s="457" customFormat="1" ht="18" customHeight="1" x14ac:dyDescent="0.2">
      <c r="A155" s="2706" t="s">
        <v>1</v>
      </c>
      <c r="B155" s="2706"/>
      <c r="C155" s="2706"/>
      <c r="D155" s="2706"/>
      <c r="E155" s="2706"/>
      <c r="F155" s="2706"/>
      <c r="G155" s="2706"/>
      <c r="H155" s="2706"/>
      <c r="I155" s="2706"/>
      <c r="J155" s="2706"/>
      <c r="K155" s="2706"/>
      <c r="L155" s="2706"/>
      <c r="M155" s="2706"/>
      <c r="N155" s="2706"/>
      <c r="O155" s="2706"/>
      <c r="P155" s="2706"/>
      <c r="Q155" s="2706"/>
      <c r="R155" s="2706"/>
      <c r="S155" s="2706"/>
      <c r="T155" s="2706"/>
      <c r="U155" s="2706"/>
      <c r="V155" s="2706"/>
      <c r="W155" s="2706"/>
      <c r="X155" s="2706"/>
      <c r="Y155" s="2706"/>
      <c r="Z155" s="2706"/>
      <c r="AA155" s="2706"/>
      <c r="AB155" s="2706"/>
      <c r="AC155" s="610"/>
      <c r="AD155" s="610"/>
      <c r="AE155" s="610"/>
      <c r="AF155" s="610"/>
    </row>
    <row r="156" spans="1:32" s="457" customFormat="1" ht="18" customHeight="1" x14ac:dyDescent="0.2">
      <c r="A156" s="2704" t="s">
        <v>494</v>
      </c>
      <c r="B156" s="2704"/>
      <c r="C156" s="2704"/>
      <c r="D156" s="2704"/>
      <c r="E156" s="2704"/>
      <c r="F156" s="2704"/>
      <c r="G156" s="2704"/>
      <c r="H156" s="2704"/>
      <c r="I156" s="2704"/>
      <c r="J156" s="2704"/>
      <c r="K156" s="2704"/>
      <c r="L156" s="2704"/>
      <c r="M156" s="2704"/>
      <c r="N156" s="2704"/>
      <c r="O156" s="2704"/>
      <c r="P156" s="2704"/>
      <c r="Q156" s="2704"/>
      <c r="R156" s="2704"/>
      <c r="S156" s="2704"/>
      <c r="T156" s="2704"/>
      <c r="U156" s="2704"/>
      <c r="V156" s="2704"/>
      <c r="W156" s="2704"/>
      <c r="X156" s="2704"/>
      <c r="Y156" s="2704"/>
      <c r="Z156" s="2704"/>
      <c r="AA156" s="2704"/>
      <c r="AB156" s="2704"/>
      <c r="AC156" s="611"/>
      <c r="AD156" s="611"/>
      <c r="AE156" s="611"/>
      <c r="AF156" s="611"/>
    </row>
    <row r="157" spans="1:32" s="457" customFormat="1" ht="18" customHeight="1" x14ac:dyDescent="0.2">
      <c r="A157" s="2686" t="s">
        <v>2</v>
      </c>
      <c r="B157" s="360"/>
      <c r="C157" s="2686" t="s">
        <v>3</v>
      </c>
      <c r="D157" s="360"/>
      <c r="E157" s="360"/>
      <c r="F157" s="2693" t="s">
        <v>4</v>
      </c>
      <c r="G157" s="2693"/>
      <c r="H157" s="2693"/>
      <c r="I157" s="2694"/>
      <c r="J157" s="2694"/>
      <c r="K157" s="2695"/>
      <c r="L157" s="361"/>
      <c r="M157" s="2679" t="s">
        <v>5</v>
      </c>
      <c r="N157" s="2679"/>
      <c r="O157" s="2679"/>
      <c r="P157" s="2679"/>
      <c r="Q157" s="2696"/>
      <c r="R157" s="2696"/>
      <c r="S157" s="2696"/>
      <c r="T157" s="2696"/>
      <c r="U157" s="2696"/>
      <c r="V157" s="2697"/>
      <c r="W157" s="362" t="s">
        <v>6</v>
      </c>
      <c r="X157" s="363" t="s">
        <v>7</v>
      </c>
      <c r="Y157" s="364"/>
      <c r="Z157" s="364"/>
      <c r="AA157" s="363"/>
      <c r="AB157" s="458"/>
      <c r="AC157" s="612" t="s">
        <v>8</v>
      </c>
      <c r="AD157" s="613"/>
      <c r="AE157" s="613"/>
      <c r="AF157" s="614"/>
    </row>
    <row r="158" spans="1:32" s="457" customFormat="1" ht="18" customHeight="1" x14ac:dyDescent="0.2">
      <c r="A158" s="2687"/>
      <c r="B158" s="367"/>
      <c r="C158" s="2687"/>
      <c r="D158" s="366" t="s">
        <v>9</v>
      </c>
      <c r="E158" s="366" t="s">
        <v>10</v>
      </c>
      <c r="F158" s="2698" t="s">
        <v>11</v>
      </c>
      <c r="G158" s="2694"/>
      <c r="H158" s="2695"/>
      <c r="I158" s="360"/>
      <c r="J158" s="449" t="s">
        <v>12</v>
      </c>
      <c r="K158" s="360"/>
      <c r="L158" s="2679" t="s">
        <v>2</v>
      </c>
      <c r="M158" s="370"/>
      <c r="N158" s="370"/>
      <c r="O158" s="370"/>
      <c r="P158" s="371"/>
      <c r="Q158" s="459" t="s">
        <v>13</v>
      </c>
      <c r="R158" s="370" t="s">
        <v>12</v>
      </c>
      <c r="S158" s="370" t="s">
        <v>6</v>
      </c>
      <c r="T158" s="2682" t="s">
        <v>14</v>
      </c>
      <c r="U158" s="2683"/>
      <c r="V158" s="375" t="s">
        <v>7</v>
      </c>
      <c r="W158" s="376" t="s">
        <v>15</v>
      </c>
      <c r="X158" s="377" t="s">
        <v>16</v>
      </c>
      <c r="Y158" s="377" t="s">
        <v>17</v>
      </c>
      <c r="Z158" s="377" t="s">
        <v>18</v>
      </c>
      <c r="AA158" s="377"/>
      <c r="AB158" s="460" t="s">
        <v>19</v>
      </c>
      <c r="AC158" s="615" t="s">
        <v>20</v>
      </c>
      <c r="AD158" s="616"/>
      <c r="AE158" s="617" t="s">
        <v>21</v>
      </c>
      <c r="AF158" s="618" t="s">
        <v>22</v>
      </c>
    </row>
    <row r="159" spans="1:32" s="457" customFormat="1" ht="18" customHeight="1" x14ac:dyDescent="0.2">
      <c r="A159" s="2687"/>
      <c r="B159" s="366" t="s">
        <v>23</v>
      </c>
      <c r="C159" s="2687"/>
      <c r="D159" s="366" t="s">
        <v>24</v>
      </c>
      <c r="E159" s="366" t="s">
        <v>25</v>
      </c>
      <c r="F159" s="2699"/>
      <c r="G159" s="2700"/>
      <c r="H159" s="2701"/>
      <c r="I159" s="366" t="s">
        <v>26</v>
      </c>
      <c r="J159" s="380" t="s">
        <v>15</v>
      </c>
      <c r="K159" s="380" t="s">
        <v>6</v>
      </c>
      <c r="L159" s="2680"/>
      <c r="M159" s="381" t="s">
        <v>27</v>
      </c>
      <c r="N159" s="381" t="s">
        <v>10</v>
      </c>
      <c r="O159" s="381" t="s">
        <v>10</v>
      </c>
      <c r="P159" s="385" t="s">
        <v>28</v>
      </c>
      <c r="Q159" s="461" t="s">
        <v>29</v>
      </c>
      <c r="R159" s="385" t="s">
        <v>15</v>
      </c>
      <c r="S159" s="385" t="s">
        <v>15</v>
      </c>
      <c r="T159" s="2684"/>
      <c r="U159" s="2685"/>
      <c r="V159" s="375" t="s">
        <v>30</v>
      </c>
      <c r="W159" s="376" t="s">
        <v>31</v>
      </c>
      <c r="X159" s="377" t="s">
        <v>30</v>
      </c>
      <c r="Y159" s="377" t="s">
        <v>32</v>
      </c>
      <c r="Z159" s="377" t="s">
        <v>7</v>
      </c>
      <c r="AA159" s="377" t="s">
        <v>33</v>
      </c>
      <c r="AB159" s="460" t="s">
        <v>34</v>
      </c>
      <c r="AC159" s="615" t="s">
        <v>35</v>
      </c>
      <c r="AD159" s="617" t="s">
        <v>36</v>
      </c>
      <c r="AE159" s="617" t="s">
        <v>37</v>
      </c>
      <c r="AF159" s="618" t="s">
        <v>38</v>
      </c>
    </row>
    <row r="160" spans="1:32" s="457" customFormat="1" ht="18" customHeight="1" x14ac:dyDescent="0.2">
      <c r="A160" s="2687"/>
      <c r="B160" s="366" t="s">
        <v>39</v>
      </c>
      <c r="C160" s="2687"/>
      <c r="D160" s="366" t="s">
        <v>40</v>
      </c>
      <c r="E160" s="366" t="s">
        <v>41</v>
      </c>
      <c r="F160" s="2686" t="s">
        <v>42</v>
      </c>
      <c r="G160" s="2686" t="s">
        <v>43</v>
      </c>
      <c r="H160" s="2688" t="s">
        <v>44</v>
      </c>
      <c r="I160" s="366" t="s">
        <v>45</v>
      </c>
      <c r="J160" s="380" t="s">
        <v>46</v>
      </c>
      <c r="K160" s="380" t="s">
        <v>47</v>
      </c>
      <c r="L160" s="2680"/>
      <c r="M160" s="381" t="s">
        <v>30</v>
      </c>
      <c r="N160" s="381" t="s">
        <v>30</v>
      </c>
      <c r="O160" s="381" t="s">
        <v>25</v>
      </c>
      <c r="P160" s="385" t="s">
        <v>30</v>
      </c>
      <c r="Q160" s="461" t="s">
        <v>48</v>
      </c>
      <c r="R160" s="385" t="s">
        <v>49</v>
      </c>
      <c r="S160" s="385" t="s">
        <v>30</v>
      </c>
      <c r="T160" s="374" t="s">
        <v>50</v>
      </c>
      <c r="U160" s="374" t="s">
        <v>13</v>
      </c>
      <c r="V160" s="375" t="s">
        <v>51</v>
      </c>
      <c r="W160" s="376" t="s">
        <v>52</v>
      </c>
      <c r="X160" s="377" t="s">
        <v>53</v>
      </c>
      <c r="Y160" s="377" t="s">
        <v>54</v>
      </c>
      <c r="Z160" s="377" t="s">
        <v>55</v>
      </c>
      <c r="AA160" s="377" t="s">
        <v>56</v>
      </c>
      <c r="AB160" s="460" t="s">
        <v>57</v>
      </c>
      <c r="AC160" s="617" t="s">
        <v>58</v>
      </c>
      <c r="AD160" s="617" t="s">
        <v>59</v>
      </c>
      <c r="AE160" s="617" t="s">
        <v>59</v>
      </c>
      <c r="AF160" s="618" t="s">
        <v>60</v>
      </c>
    </row>
    <row r="161" spans="1:32" s="457" customFormat="1" ht="18" customHeight="1" x14ac:dyDescent="0.2">
      <c r="A161" s="2687"/>
      <c r="B161" s="366" t="s">
        <v>61</v>
      </c>
      <c r="C161" s="2687"/>
      <c r="D161" s="366" t="s">
        <v>62</v>
      </c>
      <c r="E161" s="366" t="s">
        <v>63</v>
      </c>
      <c r="F161" s="2687"/>
      <c r="G161" s="2687"/>
      <c r="H161" s="2689"/>
      <c r="I161" s="366" t="s">
        <v>64</v>
      </c>
      <c r="J161" s="380" t="s">
        <v>59</v>
      </c>
      <c r="K161" s="380" t="s">
        <v>59</v>
      </c>
      <c r="L161" s="2680"/>
      <c r="M161" s="381"/>
      <c r="N161" s="381"/>
      <c r="O161" s="381" t="s">
        <v>41</v>
      </c>
      <c r="P161" s="385" t="s">
        <v>65</v>
      </c>
      <c r="Q161" s="461" t="s">
        <v>66</v>
      </c>
      <c r="R161" s="385" t="s">
        <v>67</v>
      </c>
      <c r="S161" s="385" t="s">
        <v>59</v>
      </c>
      <c r="T161" s="375" t="s">
        <v>68</v>
      </c>
      <c r="U161" s="375" t="s">
        <v>14</v>
      </c>
      <c r="V161" s="375" t="s">
        <v>14</v>
      </c>
      <c r="W161" s="376" t="s">
        <v>30</v>
      </c>
      <c r="X161" s="388" t="s">
        <v>69</v>
      </c>
      <c r="Y161" s="388" t="s">
        <v>70</v>
      </c>
      <c r="Z161" s="377" t="s">
        <v>71</v>
      </c>
      <c r="AA161" s="377" t="s">
        <v>72</v>
      </c>
      <c r="AB161" s="460" t="s">
        <v>59</v>
      </c>
      <c r="AC161" s="617" t="s">
        <v>59</v>
      </c>
      <c r="AD161" s="617"/>
      <c r="AE161" s="617"/>
      <c r="AF161" s="618" t="s">
        <v>59</v>
      </c>
    </row>
    <row r="162" spans="1:32" s="457" customFormat="1" ht="18" customHeight="1" x14ac:dyDescent="0.2">
      <c r="A162" s="2692"/>
      <c r="B162" s="390"/>
      <c r="C162" s="2692"/>
      <c r="D162" s="390"/>
      <c r="E162" s="389"/>
      <c r="F162" s="390"/>
      <c r="G162" s="390"/>
      <c r="H162" s="391"/>
      <c r="I162" s="389"/>
      <c r="J162" s="393"/>
      <c r="K162" s="393"/>
      <c r="L162" s="2681"/>
      <c r="M162" s="394"/>
      <c r="N162" s="394"/>
      <c r="O162" s="394" t="s">
        <v>63</v>
      </c>
      <c r="P162" s="394"/>
      <c r="Q162" s="450" t="s">
        <v>72</v>
      </c>
      <c r="R162" s="398" t="s">
        <v>59</v>
      </c>
      <c r="S162" s="398"/>
      <c r="T162" s="398" t="s">
        <v>73</v>
      </c>
      <c r="U162" s="398" t="s">
        <v>59</v>
      </c>
      <c r="V162" s="399" t="s">
        <v>59</v>
      </c>
      <c r="W162" s="400" t="s">
        <v>59</v>
      </c>
      <c r="X162" s="401" t="s">
        <v>59</v>
      </c>
      <c r="Y162" s="401" t="s">
        <v>59</v>
      </c>
      <c r="Z162" s="401" t="s">
        <v>59</v>
      </c>
      <c r="AA162" s="402"/>
      <c r="AB162" s="462"/>
      <c r="AC162" s="625"/>
      <c r="AD162" s="625"/>
      <c r="AE162" s="625"/>
      <c r="AF162" s="626"/>
    </row>
    <row r="163" spans="1:32" s="457" customFormat="1" ht="18" customHeight="1" x14ac:dyDescent="0.25">
      <c r="A163" s="53">
        <v>1</v>
      </c>
      <c r="B163" s="333">
        <v>1884</v>
      </c>
      <c r="C163" s="41">
        <v>190</v>
      </c>
      <c r="D163" s="41" t="s">
        <v>215</v>
      </c>
      <c r="E163" s="41">
        <v>5</v>
      </c>
      <c r="F163" s="41">
        <v>6</v>
      </c>
      <c r="G163" s="41">
        <v>0</v>
      </c>
      <c r="H163" s="267">
        <v>13</v>
      </c>
      <c r="I163" s="77">
        <f t="shared" ref="I163:I164" si="50">F163*400+G163*100+H163</f>
        <v>2413</v>
      </c>
      <c r="J163" s="667">
        <v>1450</v>
      </c>
      <c r="K163" s="297">
        <f t="shared" ref="K163:K164" si="51">I163*J163</f>
        <v>3498850</v>
      </c>
      <c r="L163" s="16">
        <v>1</v>
      </c>
      <c r="M163" s="82">
        <v>103</v>
      </c>
      <c r="N163" s="41" t="s">
        <v>74</v>
      </c>
      <c r="O163" s="16">
        <v>2</v>
      </c>
      <c r="P163" s="41">
        <v>174.4</v>
      </c>
      <c r="Q163" s="14" t="s">
        <v>75</v>
      </c>
      <c r="R163" s="668">
        <v>9050</v>
      </c>
      <c r="S163" s="47">
        <f t="shared" ref="S163:S164" si="52">+P163*R163</f>
        <v>1578320</v>
      </c>
      <c r="T163" s="1501">
        <v>8</v>
      </c>
      <c r="U163" s="1670">
        <f>+S163*0.08</f>
        <v>126265.60000000001</v>
      </c>
      <c r="V163" s="18">
        <f t="shared" ref="V163" si="53">+S163-U163</f>
        <v>1452054.4</v>
      </c>
      <c r="W163" s="18">
        <f t="shared" ref="W163" si="54">K163+V163</f>
        <v>4950904.4000000004</v>
      </c>
      <c r="X163" s="47">
        <f>W163*Q163/100</f>
        <v>4950904.4000000004</v>
      </c>
      <c r="Y163" s="669" t="s">
        <v>87</v>
      </c>
      <c r="Z163" s="299">
        <v>0</v>
      </c>
      <c r="AA163" s="670">
        <v>0.02</v>
      </c>
      <c r="AB163" s="406">
        <f>+Z163*AA163/100</f>
        <v>0</v>
      </c>
      <c r="AC163" s="602"/>
      <c r="AD163" s="603">
        <f>AB163-AC163</f>
        <v>0</v>
      </c>
      <c r="AE163" s="603">
        <f>IF(AD163&lt;=0,0,AD163*25/100)</f>
        <v>0</v>
      </c>
      <c r="AF163" s="603">
        <f>IF(AC163+AE163&gt;AB163,AB163,AC163+AE163)</f>
        <v>0</v>
      </c>
    </row>
    <row r="164" spans="1:32" s="457" customFormat="1" ht="18" customHeight="1" x14ac:dyDescent="0.2">
      <c r="A164" s="75"/>
      <c r="B164" s="15"/>
      <c r="C164" s="15"/>
      <c r="D164" s="15"/>
      <c r="E164" s="15"/>
      <c r="F164" s="15"/>
      <c r="G164" s="15"/>
      <c r="H164" s="284">
        <v>39</v>
      </c>
      <c r="I164" s="77">
        <f t="shared" si="50"/>
        <v>39</v>
      </c>
      <c r="J164" s="671">
        <v>1450</v>
      </c>
      <c r="K164" s="297">
        <f t="shared" si="51"/>
        <v>56550</v>
      </c>
      <c r="L164" s="50">
        <v>2</v>
      </c>
      <c r="M164" s="145">
        <v>401</v>
      </c>
      <c r="N164" s="15" t="s">
        <v>74</v>
      </c>
      <c r="O164" s="50">
        <v>2</v>
      </c>
      <c r="P164" s="15">
        <v>156</v>
      </c>
      <c r="Q164" s="76" t="s">
        <v>75</v>
      </c>
      <c r="R164" s="672">
        <v>8000</v>
      </c>
      <c r="S164" s="47">
        <f t="shared" si="52"/>
        <v>1248000</v>
      </c>
      <c r="T164" s="1501">
        <v>8</v>
      </c>
      <c r="U164" s="1670">
        <f>+S164*0.08</f>
        <v>99840</v>
      </c>
      <c r="V164" s="18">
        <f t="shared" ref="V164" si="55">+S164-U164</f>
        <v>1148160</v>
      </c>
      <c r="W164" s="18">
        <f t="shared" ref="W164" si="56">K164+V164</f>
        <v>1204710</v>
      </c>
      <c r="X164" s="47">
        <f>W164*Q164/100</f>
        <v>1204710</v>
      </c>
      <c r="Y164" s="669"/>
      <c r="Z164" s="18">
        <f t="shared" ref="Z164" si="57">+X164</f>
        <v>1204710</v>
      </c>
      <c r="AA164" s="670">
        <v>0.02</v>
      </c>
      <c r="AB164" s="415">
        <f>Z164*AA164/100</f>
        <v>240.94200000000001</v>
      </c>
      <c r="AC164" s="602"/>
      <c r="AD164" s="603">
        <f>AB164-AC164</f>
        <v>240.94200000000001</v>
      </c>
      <c r="AE164" s="603">
        <f>IF(AD164&lt;=0,0,AD164*25/100)</f>
        <v>60.235500000000002</v>
      </c>
      <c r="AF164" s="603">
        <f>IF(AC164+AE164&gt;AB164,AB164,AC164+AE164)</f>
        <v>60.235500000000002</v>
      </c>
    </row>
    <row r="165" spans="1:32" s="457" customFormat="1" ht="18" customHeight="1" x14ac:dyDescent="0.2">
      <c r="A165" s="75"/>
      <c r="B165" s="75"/>
      <c r="C165" s="174"/>
      <c r="D165" s="88"/>
      <c r="E165" s="88"/>
      <c r="F165" s="418"/>
      <c r="G165" s="75"/>
      <c r="H165" s="188"/>
      <c r="I165" s="77"/>
      <c r="J165" s="121"/>
      <c r="K165" s="159"/>
      <c r="L165" s="75"/>
      <c r="M165" s="145"/>
      <c r="N165" s="145"/>
      <c r="O165" s="61"/>
      <c r="P165" s="145"/>
      <c r="Q165" s="174"/>
      <c r="R165" s="408"/>
      <c r="S165" s="77"/>
      <c r="T165" s="135"/>
      <c r="U165" s="74"/>
      <c r="V165" s="74"/>
      <c r="W165" s="77"/>
      <c r="X165" s="74"/>
      <c r="Y165" s="606"/>
      <c r="Z165" s="74"/>
      <c r="AA165" s="414"/>
      <c r="AB165" s="415"/>
      <c r="AC165" s="350"/>
      <c r="AD165" s="350"/>
      <c r="AE165" s="350"/>
      <c r="AF165" s="350"/>
    </row>
    <row r="166" spans="1:32" s="457" customFormat="1" ht="18" customHeight="1" x14ac:dyDescent="0.2">
      <c r="A166" s="145"/>
      <c r="B166" s="177"/>
      <c r="C166" s="177"/>
      <c r="D166" s="145"/>
      <c r="E166" s="145"/>
      <c r="F166" s="145"/>
      <c r="G166" s="145"/>
      <c r="H166" s="147"/>
      <c r="I166" s="107"/>
      <c r="J166" s="178"/>
      <c r="K166" s="107"/>
      <c r="L166" s="145"/>
      <c r="M166" s="145"/>
      <c r="N166" s="145"/>
      <c r="O166" s="145"/>
      <c r="P166" s="147"/>
      <c r="Q166" s="148"/>
      <c r="R166" s="437"/>
      <c r="S166" s="107"/>
      <c r="T166" s="179"/>
      <c r="U166" s="178"/>
      <c r="V166" s="107"/>
      <c r="W166" s="107"/>
      <c r="X166" s="470"/>
      <c r="Y166" s="470"/>
      <c r="Z166" s="471"/>
      <c r="AA166" s="471"/>
      <c r="AB166" s="410"/>
      <c r="AC166" s="350"/>
      <c r="AD166" s="350"/>
      <c r="AE166" s="350"/>
      <c r="AF166" s="350"/>
    </row>
    <row r="167" spans="1:32" s="457" customFormat="1" ht="18" customHeight="1" x14ac:dyDescent="0.2">
      <c r="A167" s="145"/>
      <c r="B167" s="177"/>
      <c r="C167" s="177"/>
      <c r="D167" s="145"/>
      <c r="E167" s="145"/>
      <c r="F167" s="145"/>
      <c r="G167" s="145"/>
      <c r="H167" s="147"/>
      <c r="I167" s="107"/>
      <c r="J167" s="178"/>
      <c r="K167" s="107"/>
      <c r="L167" s="145"/>
      <c r="M167" s="145"/>
      <c r="N167" s="145"/>
      <c r="O167" s="145"/>
      <c r="P167" s="147"/>
      <c r="Q167" s="148"/>
      <c r="R167" s="437"/>
      <c r="S167" s="107"/>
      <c r="T167" s="179"/>
      <c r="U167" s="178"/>
      <c r="V167" s="107"/>
      <c r="W167" s="107"/>
      <c r="X167" s="470"/>
      <c r="Y167" s="470"/>
      <c r="Z167" s="471"/>
      <c r="AA167" s="471"/>
      <c r="AB167" s="466"/>
      <c r="AC167" s="350"/>
      <c r="AD167" s="350"/>
      <c r="AE167" s="350"/>
      <c r="AF167" s="350"/>
    </row>
    <row r="168" spans="1:32" s="457" customFormat="1" ht="18" customHeight="1" x14ac:dyDescent="0.2">
      <c r="A168" s="145"/>
      <c r="B168" s="177"/>
      <c r="C168" s="177"/>
      <c r="D168" s="145"/>
      <c r="E168" s="145"/>
      <c r="F168" s="145"/>
      <c r="G168" s="145"/>
      <c r="H168" s="147"/>
      <c r="I168" s="107"/>
      <c r="J168" s="178"/>
      <c r="K168" s="107"/>
      <c r="L168" s="145"/>
      <c r="M168" s="145"/>
      <c r="N168" s="145"/>
      <c r="O168" s="145"/>
      <c r="P168" s="147"/>
      <c r="Q168" s="148"/>
      <c r="R168" s="437"/>
      <c r="S168" s="107"/>
      <c r="T168" s="179"/>
      <c r="U168" s="178"/>
      <c r="V168" s="107"/>
      <c r="W168" s="107"/>
      <c r="X168" s="470"/>
      <c r="Y168" s="470"/>
      <c r="Z168" s="471"/>
      <c r="AA168" s="471"/>
      <c r="AB168" s="466"/>
      <c r="AC168" s="350"/>
      <c r="AD168" s="350"/>
      <c r="AE168" s="350"/>
      <c r="AF168" s="350"/>
    </row>
    <row r="169" spans="1:32" s="457" customFormat="1" ht="18" customHeight="1" x14ac:dyDescent="0.2">
      <c r="A169" s="145"/>
      <c r="B169" s="177"/>
      <c r="C169" s="177"/>
      <c r="D169" s="145"/>
      <c r="E169" s="145"/>
      <c r="F169" s="145"/>
      <c r="G169" s="145"/>
      <c r="H169" s="147"/>
      <c r="I169" s="107"/>
      <c r="J169" s="178"/>
      <c r="K169" s="107"/>
      <c r="L169" s="145"/>
      <c r="M169" s="145"/>
      <c r="N169" s="145"/>
      <c r="O169" s="145"/>
      <c r="P169" s="147"/>
      <c r="Q169" s="148"/>
      <c r="R169" s="437"/>
      <c r="S169" s="107"/>
      <c r="T169" s="179"/>
      <c r="U169" s="178"/>
      <c r="V169" s="107"/>
      <c r="W169" s="107"/>
      <c r="X169" s="470"/>
      <c r="Y169" s="470"/>
      <c r="Z169" s="471"/>
      <c r="AA169" s="471"/>
      <c r="AB169" s="466"/>
      <c r="AC169" s="350"/>
      <c r="AD169" s="350"/>
      <c r="AE169" s="350"/>
      <c r="AF169" s="350"/>
    </row>
    <row r="170" spans="1:32" s="457" customFormat="1" ht="18" customHeight="1" x14ac:dyDescent="0.2">
      <c r="A170" s="145"/>
      <c r="B170" s="177"/>
      <c r="C170" s="177"/>
      <c r="D170" s="145"/>
      <c r="E170" s="145"/>
      <c r="F170" s="145"/>
      <c r="G170" s="145"/>
      <c r="H170" s="147"/>
      <c r="I170" s="107"/>
      <c r="J170" s="178"/>
      <c r="K170" s="107"/>
      <c r="L170" s="145"/>
      <c r="M170" s="145"/>
      <c r="N170" s="145"/>
      <c r="O170" s="145"/>
      <c r="P170" s="147"/>
      <c r="Q170" s="148"/>
      <c r="R170" s="437"/>
      <c r="S170" s="107"/>
      <c r="T170" s="179"/>
      <c r="U170" s="178"/>
      <c r="V170" s="107"/>
      <c r="W170" s="107"/>
      <c r="X170" s="470"/>
      <c r="Y170" s="470"/>
      <c r="Z170" s="471"/>
      <c r="AA170" s="471"/>
      <c r="AB170" s="466"/>
      <c r="AC170" s="350"/>
      <c r="AD170" s="350"/>
      <c r="AE170" s="350"/>
      <c r="AF170" s="350"/>
    </row>
    <row r="171" spans="1:32" s="457" customFormat="1" ht="18" customHeight="1" x14ac:dyDescent="0.2">
      <c r="A171" s="145"/>
      <c r="B171" s="177"/>
      <c r="C171" s="177"/>
      <c r="D171" s="145"/>
      <c r="E171" s="145"/>
      <c r="F171" s="145"/>
      <c r="G171" s="145"/>
      <c r="H171" s="147"/>
      <c r="I171" s="107"/>
      <c r="J171" s="178"/>
      <c r="K171" s="107"/>
      <c r="L171" s="145"/>
      <c r="M171" s="145"/>
      <c r="N171" s="145"/>
      <c r="O171" s="145"/>
      <c r="P171" s="147"/>
      <c r="Q171" s="148"/>
      <c r="R171" s="437"/>
      <c r="S171" s="107"/>
      <c r="T171" s="179"/>
      <c r="U171" s="178"/>
      <c r="V171" s="107"/>
      <c r="W171" s="107"/>
      <c r="X171" s="470"/>
      <c r="Y171" s="470"/>
      <c r="Z171" s="471"/>
      <c r="AA171" s="471"/>
      <c r="AB171" s="466"/>
      <c r="AC171" s="350"/>
      <c r="AD171" s="350"/>
      <c r="AE171" s="350"/>
      <c r="AF171" s="350"/>
    </row>
    <row r="172" spans="1:32" s="457" customFormat="1" ht="18" customHeight="1" x14ac:dyDescent="0.2">
      <c r="A172" s="145"/>
      <c r="B172" s="177"/>
      <c r="C172" s="177"/>
      <c r="D172" s="145"/>
      <c r="E172" s="145"/>
      <c r="F172" s="145"/>
      <c r="G172" s="145"/>
      <c r="H172" s="147"/>
      <c r="I172" s="107"/>
      <c r="J172" s="178"/>
      <c r="K172" s="107"/>
      <c r="L172" s="145"/>
      <c r="M172" s="145"/>
      <c r="N172" s="145"/>
      <c r="O172" s="145"/>
      <c r="P172" s="147"/>
      <c r="Q172" s="148"/>
      <c r="R172" s="437"/>
      <c r="S172" s="107"/>
      <c r="T172" s="179"/>
      <c r="U172" s="178"/>
      <c r="V172" s="107"/>
      <c r="W172" s="107"/>
      <c r="X172" s="470"/>
      <c r="Y172" s="470"/>
      <c r="Z172" s="471"/>
      <c r="AA172" s="471"/>
      <c r="AB172" s="466"/>
      <c r="AC172" s="350"/>
      <c r="AD172" s="350"/>
      <c r="AE172" s="350"/>
      <c r="AF172" s="350"/>
    </row>
    <row r="173" spans="1:32" s="457" customFormat="1" ht="18" customHeight="1" x14ac:dyDescent="0.2">
      <c r="A173" s="145"/>
      <c r="B173" s="177"/>
      <c r="C173" s="177"/>
      <c r="D173" s="145"/>
      <c r="E173" s="145"/>
      <c r="F173" s="145"/>
      <c r="G173" s="145"/>
      <c r="H173" s="147"/>
      <c r="I173" s="107"/>
      <c r="J173" s="178"/>
      <c r="K173" s="107"/>
      <c r="L173" s="145"/>
      <c r="M173" s="145"/>
      <c r="N173" s="145"/>
      <c r="O173" s="145"/>
      <c r="P173" s="147"/>
      <c r="Q173" s="148"/>
      <c r="R173" s="437"/>
      <c r="S173" s="107"/>
      <c r="T173" s="179"/>
      <c r="U173" s="178"/>
      <c r="V173" s="107"/>
      <c r="W173" s="107"/>
      <c r="X173" s="470"/>
      <c r="Y173" s="470"/>
      <c r="Z173" s="471"/>
      <c r="AA173" s="471"/>
      <c r="AB173" s="466"/>
      <c r="AC173" s="350"/>
      <c r="AD173" s="350"/>
      <c r="AE173" s="350"/>
      <c r="AF173" s="350"/>
    </row>
    <row r="174" spans="1:32" s="457" customFormat="1" ht="18" customHeight="1" x14ac:dyDescent="0.2">
      <c r="A174" s="145"/>
      <c r="B174" s="177"/>
      <c r="C174" s="177"/>
      <c r="D174" s="145"/>
      <c r="E174" s="145"/>
      <c r="F174" s="145"/>
      <c r="G174" s="145"/>
      <c r="H174" s="147"/>
      <c r="I174" s="107"/>
      <c r="J174" s="178"/>
      <c r="K174" s="107"/>
      <c r="L174" s="145"/>
      <c r="M174" s="145"/>
      <c r="N174" s="145"/>
      <c r="O174" s="145"/>
      <c r="P174" s="147"/>
      <c r="Q174" s="148"/>
      <c r="R174" s="437"/>
      <c r="S174" s="107"/>
      <c r="T174" s="179"/>
      <c r="U174" s="178"/>
      <c r="V174" s="107"/>
      <c r="W174" s="107"/>
      <c r="X174" s="470"/>
      <c r="Y174" s="470"/>
      <c r="Z174" s="471"/>
      <c r="AA174" s="471"/>
      <c r="AB174" s="466"/>
      <c r="AC174" s="350"/>
      <c r="AD174" s="350"/>
      <c r="AE174" s="350"/>
      <c r="AF174" s="350"/>
    </row>
    <row r="175" spans="1:32" s="457" customFormat="1" ht="18" customHeight="1" x14ac:dyDescent="0.2">
      <c r="A175" s="145"/>
      <c r="B175" s="177"/>
      <c r="C175" s="177"/>
      <c r="D175" s="145"/>
      <c r="E175" s="145"/>
      <c r="F175" s="145"/>
      <c r="G175" s="145"/>
      <c r="H175" s="147"/>
      <c r="I175" s="107"/>
      <c r="J175" s="178"/>
      <c r="K175" s="107"/>
      <c r="L175" s="145"/>
      <c r="M175" s="145"/>
      <c r="N175" s="145"/>
      <c r="O175" s="145"/>
      <c r="P175" s="147"/>
      <c r="Q175" s="148"/>
      <c r="R175" s="437"/>
      <c r="S175" s="107"/>
      <c r="T175" s="179"/>
      <c r="U175" s="178"/>
      <c r="V175" s="107"/>
      <c r="W175" s="107"/>
      <c r="X175" s="470"/>
      <c r="Y175" s="470"/>
      <c r="Z175" s="471"/>
      <c r="AA175" s="471"/>
      <c r="AB175" s="466"/>
      <c r="AC175" s="350"/>
      <c r="AD175" s="350"/>
      <c r="AE175" s="350"/>
      <c r="AF175" s="350"/>
    </row>
    <row r="176" spans="1:32" s="457" customFormat="1" ht="18" customHeight="1" x14ac:dyDescent="0.2">
      <c r="A176" s="145"/>
      <c r="B176" s="177"/>
      <c r="C176" s="177"/>
      <c r="D176" s="145"/>
      <c r="E176" s="145"/>
      <c r="F176" s="145"/>
      <c r="G176" s="145"/>
      <c r="H176" s="147"/>
      <c r="I176" s="107"/>
      <c r="J176" s="178"/>
      <c r="K176" s="107"/>
      <c r="L176" s="145"/>
      <c r="M176" s="145"/>
      <c r="N176" s="145"/>
      <c r="O176" s="145"/>
      <c r="P176" s="147"/>
      <c r="Q176" s="148"/>
      <c r="R176" s="437"/>
      <c r="S176" s="107"/>
      <c r="T176" s="179"/>
      <c r="U176" s="178"/>
      <c r="V176" s="107"/>
      <c r="W176" s="107"/>
      <c r="X176" s="470"/>
      <c r="Y176" s="470"/>
      <c r="Z176" s="471"/>
      <c r="AA176" s="471"/>
      <c r="AB176" s="466"/>
      <c r="AC176" s="350"/>
      <c r="AD176" s="350"/>
      <c r="AE176" s="350"/>
      <c r="AF176" s="350"/>
    </row>
    <row r="177" spans="1:32" s="457" customFormat="1" ht="18" customHeight="1" x14ac:dyDescent="0.2">
      <c r="A177" s="88"/>
      <c r="B177" s="180"/>
      <c r="C177" s="180"/>
      <c r="D177" s="88"/>
      <c r="E177" s="88"/>
      <c r="F177" s="88"/>
      <c r="G177" s="88"/>
      <c r="H177" s="120"/>
      <c r="I177" s="121"/>
      <c r="J177" s="181"/>
      <c r="K177" s="121"/>
      <c r="L177" s="88"/>
      <c r="M177" s="88"/>
      <c r="N177" s="88"/>
      <c r="O177" s="88"/>
      <c r="P177" s="88"/>
      <c r="Q177" s="129"/>
      <c r="R177" s="445"/>
      <c r="S177" s="121"/>
      <c r="T177" s="182"/>
      <c r="U177" s="181"/>
      <c r="V177" s="121"/>
      <c r="W177" s="121"/>
      <c r="X177" s="472"/>
      <c r="Y177" s="472"/>
      <c r="Z177" s="473"/>
      <c r="AA177" s="473"/>
      <c r="AB177" s="410"/>
      <c r="AC177" s="351"/>
      <c r="AD177" s="351"/>
      <c r="AE177" s="351"/>
      <c r="AF177" s="351"/>
    </row>
    <row r="178" spans="1:32" s="597" customFormat="1" ht="18" customHeight="1" x14ac:dyDescent="0.2">
      <c r="A178" s="1850"/>
      <c r="B178" s="1850"/>
      <c r="C178" s="1850"/>
      <c r="D178" s="1850"/>
      <c r="E178" s="1850"/>
      <c r="F178" s="1850"/>
      <c r="G178" s="1850"/>
      <c r="H178" s="1851"/>
      <c r="I178" s="1852"/>
      <c r="J178" s="1853"/>
      <c r="K178" s="1852"/>
      <c r="L178" s="1852"/>
      <c r="M178" s="1852"/>
      <c r="N178" s="1852"/>
      <c r="O178" s="1852"/>
      <c r="P178" s="1852"/>
      <c r="Q178" s="1852"/>
      <c r="R178" s="1854"/>
      <c r="S178" s="1852"/>
      <c r="T178" s="1855"/>
      <c r="U178" s="1853"/>
      <c r="V178" s="1852"/>
      <c r="W178" s="1852"/>
      <c r="X178" s="1856"/>
      <c r="Y178" s="1856"/>
      <c r="Z178" s="1857"/>
      <c r="AA178" s="1857"/>
      <c r="AB178" s="1847">
        <f>SUM(AB163:AB177)</f>
        <v>240.94200000000001</v>
      </c>
      <c r="AC178" s="1861"/>
      <c r="AD178" s="1861"/>
      <c r="AE178" s="1861"/>
      <c r="AF178" s="1861"/>
    </row>
    <row r="179" spans="1:32" s="457" customFormat="1" ht="18" customHeight="1" x14ac:dyDescent="0.2">
      <c r="A179" s="2737" t="s">
        <v>76</v>
      </c>
      <c r="B179" s="2737"/>
      <c r="C179" s="2738" t="s">
        <v>77</v>
      </c>
      <c r="D179" s="2738"/>
      <c r="E179" s="2738"/>
      <c r="F179" s="2738"/>
      <c r="G179" s="2738"/>
      <c r="H179" s="2738"/>
      <c r="I179" s="457" t="s">
        <v>78</v>
      </c>
      <c r="AB179" s="478"/>
    </row>
    <row r="180" spans="1:32" s="457" customFormat="1" ht="18" customHeight="1" x14ac:dyDescent="0.2">
      <c r="B180" s="479"/>
      <c r="I180" s="457" t="s">
        <v>79</v>
      </c>
      <c r="AB180" s="478"/>
    </row>
    <row r="181" spans="1:32" s="457" customFormat="1" ht="18" customHeight="1" x14ac:dyDescent="0.2">
      <c r="B181" s="479"/>
      <c r="I181" s="457" t="s">
        <v>80</v>
      </c>
      <c r="AB181" s="478"/>
    </row>
    <row r="182" spans="1:32" s="457" customFormat="1" ht="18" customHeight="1" x14ac:dyDescent="0.2">
      <c r="B182" s="479"/>
      <c r="I182" s="457" t="s">
        <v>81</v>
      </c>
      <c r="AB182" s="478"/>
    </row>
    <row r="183" spans="1:32" s="457" customFormat="1" ht="18" customHeight="1" x14ac:dyDescent="0.2">
      <c r="B183" s="479"/>
      <c r="I183" s="457" t="s">
        <v>88</v>
      </c>
      <c r="AB183" s="478"/>
    </row>
    <row r="184" spans="1:32" s="457" customFormat="1" ht="18" customHeight="1" x14ac:dyDescent="0.2">
      <c r="A184" s="455"/>
      <c r="B184" s="455"/>
      <c r="C184" s="455"/>
      <c r="D184" s="455"/>
      <c r="E184" s="455"/>
      <c r="F184" s="455"/>
      <c r="G184" s="455"/>
      <c r="H184" s="455"/>
      <c r="I184" s="455"/>
      <c r="J184" s="455"/>
      <c r="K184" s="455"/>
      <c r="L184" s="455"/>
      <c r="M184" s="455"/>
      <c r="N184" s="455"/>
      <c r="O184" s="455"/>
      <c r="P184" s="455"/>
      <c r="Q184" s="455"/>
      <c r="R184" s="455"/>
      <c r="S184" s="455"/>
      <c r="T184" s="455"/>
      <c r="U184" s="455"/>
      <c r="V184" s="455"/>
      <c r="W184" s="455"/>
      <c r="X184" s="455"/>
      <c r="Y184" s="455"/>
      <c r="Z184" s="455"/>
      <c r="AA184" s="2705" t="s">
        <v>0</v>
      </c>
      <c r="AB184" s="2705"/>
      <c r="AC184" s="455"/>
      <c r="AD184" s="455"/>
      <c r="AE184" s="455"/>
      <c r="AF184" s="455"/>
    </row>
    <row r="185" spans="1:32" s="457" customFormat="1" ht="18" customHeight="1" x14ac:dyDescent="0.2">
      <c r="A185" s="2706" t="s">
        <v>1</v>
      </c>
      <c r="B185" s="2706"/>
      <c r="C185" s="2706"/>
      <c r="D185" s="2706"/>
      <c r="E185" s="2706"/>
      <c r="F185" s="2706"/>
      <c r="G185" s="2706"/>
      <c r="H185" s="2706"/>
      <c r="I185" s="2706"/>
      <c r="J185" s="2706"/>
      <c r="K185" s="2706"/>
      <c r="L185" s="2706"/>
      <c r="M185" s="2706"/>
      <c r="N185" s="2706"/>
      <c r="O185" s="2706"/>
      <c r="P185" s="2706"/>
      <c r="Q185" s="2706"/>
      <c r="R185" s="2706"/>
      <c r="S185" s="2706"/>
      <c r="T185" s="2706"/>
      <c r="U185" s="2706"/>
      <c r="V185" s="2706"/>
      <c r="W185" s="2706"/>
      <c r="X185" s="2706"/>
      <c r="Y185" s="2706"/>
      <c r="Z185" s="2706"/>
      <c r="AA185" s="2706"/>
      <c r="AB185" s="2706"/>
      <c r="AC185" s="610"/>
      <c r="AD185" s="610"/>
      <c r="AE185" s="610"/>
      <c r="AF185" s="610"/>
    </row>
    <row r="186" spans="1:32" s="457" customFormat="1" ht="18" customHeight="1" x14ac:dyDescent="0.2">
      <c r="A186" s="2704" t="s">
        <v>495</v>
      </c>
      <c r="B186" s="2704"/>
      <c r="C186" s="2704"/>
      <c r="D186" s="2704"/>
      <c r="E186" s="2704"/>
      <c r="F186" s="2704"/>
      <c r="G186" s="2704"/>
      <c r="H186" s="2704"/>
      <c r="I186" s="2704"/>
      <c r="J186" s="2704"/>
      <c r="K186" s="2704"/>
      <c r="L186" s="2704"/>
      <c r="M186" s="2704"/>
      <c r="N186" s="2704"/>
      <c r="O186" s="2704"/>
      <c r="P186" s="2704"/>
      <c r="Q186" s="2704"/>
      <c r="R186" s="2704"/>
      <c r="S186" s="2704"/>
      <c r="T186" s="2704"/>
      <c r="U186" s="2704"/>
      <c r="V186" s="2704"/>
      <c r="W186" s="2704"/>
      <c r="X186" s="2704"/>
      <c r="Y186" s="2704"/>
      <c r="Z186" s="2704"/>
      <c r="AA186" s="2704"/>
      <c r="AB186" s="2704"/>
      <c r="AC186" s="611"/>
      <c r="AD186" s="611"/>
      <c r="AE186" s="611"/>
      <c r="AF186" s="611"/>
    </row>
    <row r="187" spans="1:32" s="457" customFormat="1" ht="18" customHeight="1" x14ac:dyDescent="0.2">
      <c r="A187" s="2686" t="s">
        <v>2</v>
      </c>
      <c r="B187" s="360"/>
      <c r="C187" s="2686" t="s">
        <v>3</v>
      </c>
      <c r="D187" s="360"/>
      <c r="E187" s="360"/>
      <c r="F187" s="2693" t="s">
        <v>4</v>
      </c>
      <c r="G187" s="2693"/>
      <c r="H187" s="2693"/>
      <c r="I187" s="2694"/>
      <c r="J187" s="2694"/>
      <c r="K187" s="2695"/>
      <c r="L187" s="361"/>
      <c r="M187" s="2679" t="s">
        <v>5</v>
      </c>
      <c r="N187" s="2679"/>
      <c r="O187" s="2679"/>
      <c r="P187" s="2679"/>
      <c r="Q187" s="2696"/>
      <c r="R187" s="2696"/>
      <c r="S187" s="2696"/>
      <c r="T187" s="2696"/>
      <c r="U187" s="2696"/>
      <c r="V187" s="2697"/>
      <c r="W187" s="362" t="s">
        <v>6</v>
      </c>
      <c r="X187" s="363" t="s">
        <v>7</v>
      </c>
      <c r="Y187" s="364"/>
      <c r="Z187" s="364"/>
      <c r="AA187" s="363"/>
      <c r="AB187" s="458"/>
      <c r="AC187" s="612" t="s">
        <v>8</v>
      </c>
      <c r="AD187" s="613"/>
      <c r="AE187" s="613"/>
      <c r="AF187" s="614"/>
    </row>
    <row r="188" spans="1:32" s="457" customFormat="1" ht="18" customHeight="1" x14ac:dyDescent="0.2">
      <c r="A188" s="2687"/>
      <c r="B188" s="367"/>
      <c r="C188" s="2687"/>
      <c r="D188" s="366" t="s">
        <v>9</v>
      </c>
      <c r="E188" s="366" t="s">
        <v>10</v>
      </c>
      <c r="F188" s="2698" t="s">
        <v>11</v>
      </c>
      <c r="G188" s="2694"/>
      <c r="H188" s="2695"/>
      <c r="I188" s="360"/>
      <c r="J188" s="449" t="s">
        <v>12</v>
      </c>
      <c r="K188" s="360"/>
      <c r="L188" s="2679" t="s">
        <v>2</v>
      </c>
      <c r="M188" s="370"/>
      <c r="N188" s="370"/>
      <c r="O188" s="370"/>
      <c r="P188" s="371"/>
      <c r="Q188" s="459" t="s">
        <v>13</v>
      </c>
      <c r="R188" s="370" t="s">
        <v>12</v>
      </c>
      <c r="S188" s="370" t="s">
        <v>6</v>
      </c>
      <c r="T188" s="2682" t="s">
        <v>14</v>
      </c>
      <c r="U188" s="2683"/>
      <c r="V188" s="375" t="s">
        <v>7</v>
      </c>
      <c r="W188" s="376" t="s">
        <v>15</v>
      </c>
      <c r="X188" s="377" t="s">
        <v>16</v>
      </c>
      <c r="Y188" s="377" t="s">
        <v>17</v>
      </c>
      <c r="Z188" s="377" t="s">
        <v>18</v>
      </c>
      <c r="AA188" s="377"/>
      <c r="AB188" s="460" t="s">
        <v>19</v>
      </c>
      <c r="AC188" s="615" t="s">
        <v>20</v>
      </c>
      <c r="AD188" s="616"/>
      <c r="AE188" s="617" t="s">
        <v>21</v>
      </c>
      <c r="AF188" s="618" t="s">
        <v>22</v>
      </c>
    </row>
    <row r="189" spans="1:32" s="457" customFormat="1" ht="18" customHeight="1" x14ac:dyDescent="0.2">
      <c r="A189" s="2687"/>
      <c r="B189" s="366" t="s">
        <v>23</v>
      </c>
      <c r="C189" s="2687"/>
      <c r="D189" s="366" t="s">
        <v>24</v>
      </c>
      <c r="E189" s="366" t="s">
        <v>25</v>
      </c>
      <c r="F189" s="2699"/>
      <c r="G189" s="2700"/>
      <c r="H189" s="2701"/>
      <c r="I189" s="366" t="s">
        <v>26</v>
      </c>
      <c r="J189" s="380" t="s">
        <v>15</v>
      </c>
      <c r="K189" s="380" t="s">
        <v>6</v>
      </c>
      <c r="L189" s="2680"/>
      <c r="M189" s="381" t="s">
        <v>27</v>
      </c>
      <c r="N189" s="381" t="s">
        <v>10</v>
      </c>
      <c r="O189" s="381" t="s">
        <v>10</v>
      </c>
      <c r="P189" s="385" t="s">
        <v>28</v>
      </c>
      <c r="Q189" s="461" t="s">
        <v>29</v>
      </c>
      <c r="R189" s="385" t="s">
        <v>15</v>
      </c>
      <c r="S189" s="385" t="s">
        <v>15</v>
      </c>
      <c r="T189" s="2684"/>
      <c r="U189" s="2685"/>
      <c r="V189" s="375" t="s">
        <v>30</v>
      </c>
      <c r="W189" s="376" t="s">
        <v>31</v>
      </c>
      <c r="X189" s="377" t="s">
        <v>30</v>
      </c>
      <c r="Y189" s="377" t="s">
        <v>32</v>
      </c>
      <c r="Z189" s="377" t="s">
        <v>7</v>
      </c>
      <c r="AA189" s="377" t="s">
        <v>33</v>
      </c>
      <c r="AB189" s="460" t="s">
        <v>34</v>
      </c>
      <c r="AC189" s="615" t="s">
        <v>35</v>
      </c>
      <c r="AD189" s="617" t="s">
        <v>36</v>
      </c>
      <c r="AE189" s="617" t="s">
        <v>37</v>
      </c>
      <c r="AF189" s="618" t="s">
        <v>38</v>
      </c>
    </row>
    <row r="190" spans="1:32" s="457" customFormat="1" ht="18" customHeight="1" x14ac:dyDescent="0.2">
      <c r="A190" s="2687"/>
      <c r="B190" s="366" t="s">
        <v>39</v>
      </c>
      <c r="C190" s="2687"/>
      <c r="D190" s="366" t="s">
        <v>40</v>
      </c>
      <c r="E190" s="366" t="s">
        <v>41</v>
      </c>
      <c r="F190" s="2686" t="s">
        <v>42</v>
      </c>
      <c r="G190" s="2686" t="s">
        <v>43</v>
      </c>
      <c r="H190" s="2688" t="s">
        <v>44</v>
      </c>
      <c r="I190" s="366" t="s">
        <v>45</v>
      </c>
      <c r="J190" s="380" t="s">
        <v>46</v>
      </c>
      <c r="K190" s="380" t="s">
        <v>47</v>
      </c>
      <c r="L190" s="2680"/>
      <c r="M190" s="381" t="s">
        <v>30</v>
      </c>
      <c r="N190" s="381" t="s">
        <v>30</v>
      </c>
      <c r="O190" s="381" t="s">
        <v>25</v>
      </c>
      <c r="P190" s="385" t="s">
        <v>30</v>
      </c>
      <c r="Q190" s="461" t="s">
        <v>48</v>
      </c>
      <c r="R190" s="385" t="s">
        <v>49</v>
      </c>
      <c r="S190" s="385" t="s">
        <v>30</v>
      </c>
      <c r="T190" s="374" t="s">
        <v>50</v>
      </c>
      <c r="U190" s="374" t="s">
        <v>13</v>
      </c>
      <c r="V190" s="375" t="s">
        <v>51</v>
      </c>
      <c r="W190" s="376" t="s">
        <v>52</v>
      </c>
      <c r="X190" s="377" t="s">
        <v>53</v>
      </c>
      <c r="Y190" s="377" t="s">
        <v>54</v>
      </c>
      <c r="Z190" s="377" t="s">
        <v>55</v>
      </c>
      <c r="AA190" s="377" t="s">
        <v>56</v>
      </c>
      <c r="AB190" s="460" t="s">
        <v>57</v>
      </c>
      <c r="AC190" s="617" t="s">
        <v>58</v>
      </c>
      <c r="AD190" s="617" t="s">
        <v>59</v>
      </c>
      <c r="AE190" s="617" t="s">
        <v>59</v>
      </c>
      <c r="AF190" s="618" t="s">
        <v>60</v>
      </c>
    </row>
    <row r="191" spans="1:32" s="457" customFormat="1" ht="18" customHeight="1" x14ac:dyDescent="0.2">
      <c r="A191" s="2687"/>
      <c r="B191" s="366" t="s">
        <v>61</v>
      </c>
      <c r="C191" s="2687"/>
      <c r="D191" s="366" t="s">
        <v>62</v>
      </c>
      <c r="E191" s="366" t="s">
        <v>63</v>
      </c>
      <c r="F191" s="2687"/>
      <c r="G191" s="2687"/>
      <c r="H191" s="2689"/>
      <c r="I191" s="366" t="s">
        <v>64</v>
      </c>
      <c r="J191" s="380" t="s">
        <v>59</v>
      </c>
      <c r="K191" s="380" t="s">
        <v>59</v>
      </c>
      <c r="L191" s="2680"/>
      <c r="M191" s="381"/>
      <c r="N191" s="381"/>
      <c r="O191" s="381" t="s">
        <v>41</v>
      </c>
      <c r="P191" s="385" t="s">
        <v>65</v>
      </c>
      <c r="Q191" s="461" t="s">
        <v>66</v>
      </c>
      <c r="R191" s="385" t="s">
        <v>67</v>
      </c>
      <c r="S191" s="385" t="s">
        <v>59</v>
      </c>
      <c r="T191" s="375" t="s">
        <v>68</v>
      </c>
      <c r="U191" s="375" t="s">
        <v>14</v>
      </c>
      <c r="V191" s="375" t="s">
        <v>14</v>
      </c>
      <c r="W191" s="376" t="s">
        <v>30</v>
      </c>
      <c r="X191" s="388" t="s">
        <v>69</v>
      </c>
      <c r="Y191" s="388" t="s">
        <v>70</v>
      </c>
      <c r="Z191" s="377" t="s">
        <v>71</v>
      </c>
      <c r="AA191" s="377" t="s">
        <v>72</v>
      </c>
      <c r="AB191" s="460" t="s">
        <v>59</v>
      </c>
      <c r="AC191" s="617" t="s">
        <v>59</v>
      </c>
      <c r="AD191" s="617"/>
      <c r="AE191" s="617"/>
      <c r="AF191" s="618" t="s">
        <v>59</v>
      </c>
    </row>
    <row r="192" spans="1:32" s="457" customFormat="1" ht="18" customHeight="1" x14ac:dyDescent="0.2">
      <c r="A192" s="2692"/>
      <c r="B192" s="390"/>
      <c r="C192" s="2692"/>
      <c r="D192" s="390"/>
      <c r="E192" s="389"/>
      <c r="F192" s="390"/>
      <c r="G192" s="390"/>
      <c r="H192" s="391"/>
      <c r="I192" s="389"/>
      <c r="J192" s="393"/>
      <c r="K192" s="393"/>
      <c r="L192" s="2681"/>
      <c r="M192" s="394"/>
      <c r="N192" s="394"/>
      <c r="O192" s="394" t="s">
        <v>63</v>
      </c>
      <c r="P192" s="394"/>
      <c r="Q192" s="450" t="s">
        <v>72</v>
      </c>
      <c r="R192" s="398" t="s">
        <v>59</v>
      </c>
      <c r="S192" s="398"/>
      <c r="T192" s="398" t="s">
        <v>73</v>
      </c>
      <c r="U192" s="398" t="s">
        <v>59</v>
      </c>
      <c r="V192" s="399" t="s">
        <v>59</v>
      </c>
      <c r="W192" s="400" t="s">
        <v>59</v>
      </c>
      <c r="X192" s="401" t="s">
        <v>59</v>
      </c>
      <c r="Y192" s="401" t="s">
        <v>59</v>
      </c>
      <c r="Z192" s="401" t="s">
        <v>59</v>
      </c>
      <c r="AA192" s="402"/>
      <c r="AB192" s="462"/>
      <c r="AC192" s="625"/>
      <c r="AD192" s="625"/>
      <c r="AE192" s="625"/>
      <c r="AF192" s="626"/>
    </row>
    <row r="193" spans="1:32" s="457" customFormat="1" ht="18" customHeight="1" x14ac:dyDescent="0.25">
      <c r="A193" s="53">
        <v>1</v>
      </c>
      <c r="B193" s="333">
        <v>1941</v>
      </c>
      <c r="C193" s="41">
        <v>633</v>
      </c>
      <c r="D193" s="41" t="s">
        <v>215</v>
      </c>
      <c r="E193" s="15">
        <v>2</v>
      </c>
      <c r="F193" s="41">
        <v>0</v>
      </c>
      <c r="G193" s="41">
        <v>0</v>
      </c>
      <c r="H193" s="267">
        <v>98.44</v>
      </c>
      <c r="I193" s="77">
        <f t="shared" ref="I193:I194" si="58">F193*400+G193*100+H193</f>
        <v>98.44</v>
      </c>
      <c r="J193" s="759">
        <v>700</v>
      </c>
      <c r="K193" s="297">
        <f t="shared" ref="K193:K194" si="59">I193*J193</f>
        <v>68908</v>
      </c>
      <c r="L193" s="45">
        <v>1</v>
      </c>
      <c r="M193" s="82">
        <v>106</v>
      </c>
      <c r="N193" s="41" t="s">
        <v>96</v>
      </c>
      <c r="O193" s="16">
        <v>2</v>
      </c>
      <c r="P193" s="41">
        <v>178.14</v>
      </c>
      <c r="Q193" s="62" t="s">
        <v>75</v>
      </c>
      <c r="R193" s="672">
        <v>7950</v>
      </c>
      <c r="S193" s="47">
        <f t="shared" ref="S193:S194" si="60">+P193*R193</f>
        <v>1416213</v>
      </c>
      <c r="T193" s="1539">
        <v>9</v>
      </c>
      <c r="U193" s="1670">
        <f>+S193*0.26</f>
        <v>368215.38</v>
      </c>
      <c r="V193" s="18">
        <f t="shared" ref="V193" si="61">+S193-U193</f>
        <v>1047997.62</v>
      </c>
      <c r="W193" s="18">
        <f t="shared" ref="W193" si="62">K193+V193</f>
        <v>1116905.6200000001</v>
      </c>
      <c r="X193" s="47">
        <f>W193*Q193/100</f>
        <v>1116905.6200000001</v>
      </c>
      <c r="Y193" s="296" t="s">
        <v>87</v>
      </c>
      <c r="Z193" s="296">
        <v>0</v>
      </c>
      <c r="AA193" s="409">
        <v>0.02</v>
      </c>
      <c r="AB193" s="406">
        <f>+Z193*AA193/100</f>
        <v>0</v>
      </c>
      <c r="AC193" s="602"/>
      <c r="AD193" s="603">
        <f>AB193-AC193</f>
        <v>0</v>
      </c>
      <c r="AE193" s="603">
        <f>IF(AD193&lt;=0,0,AD193*25/100)</f>
        <v>0</v>
      </c>
      <c r="AF193" s="603">
        <f>IF(AC193+AE193&gt;AB193,AB193,AC193+AE193)</f>
        <v>0</v>
      </c>
    </row>
    <row r="194" spans="1:32" s="457" customFormat="1" ht="18" customHeight="1" x14ac:dyDescent="0.2">
      <c r="A194" s="75"/>
      <c r="B194" s="45"/>
      <c r="C194" s="62"/>
      <c r="D194" s="27"/>
      <c r="E194" s="27"/>
      <c r="F194" s="291"/>
      <c r="G194" s="45"/>
      <c r="H194" s="257">
        <v>25.56</v>
      </c>
      <c r="I194" s="77">
        <f t="shared" si="58"/>
        <v>25.56</v>
      </c>
      <c r="J194" s="759">
        <v>701</v>
      </c>
      <c r="K194" s="297">
        <f t="shared" si="59"/>
        <v>17917.559999999998</v>
      </c>
      <c r="L194" s="45">
        <v>2</v>
      </c>
      <c r="M194" s="88">
        <v>504</v>
      </c>
      <c r="N194" s="15" t="s">
        <v>82</v>
      </c>
      <c r="O194" s="50">
        <v>3</v>
      </c>
      <c r="P194" s="15">
        <v>102.22499999999999</v>
      </c>
      <c r="Q194" s="62" t="s">
        <v>75</v>
      </c>
      <c r="R194" s="672">
        <v>3100</v>
      </c>
      <c r="S194" s="47">
        <f t="shared" si="60"/>
        <v>316897.5</v>
      </c>
      <c r="T194" s="1508">
        <v>9</v>
      </c>
      <c r="U194" s="1670">
        <f>+S194*0.35</f>
        <v>110914.125</v>
      </c>
      <c r="V194" s="18">
        <f t="shared" ref="V194" si="63">+S194-U194</f>
        <v>205983.375</v>
      </c>
      <c r="W194" s="18">
        <f t="shared" ref="W194" si="64">K194+V194</f>
        <v>223900.935</v>
      </c>
      <c r="X194" s="47">
        <f>W194*Q194/100</f>
        <v>223900.935</v>
      </c>
      <c r="Y194" s="296"/>
      <c r="Z194" s="18">
        <f t="shared" ref="Z194" si="65">+X194</f>
        <v>223900.935</v>
      </c>
      <c r="AA194" s="409">
        <v>0.3</v>
      </c>
      <c r="AB194" s="410">
        <f>+Z194*AA194/100</f>
        <v>671.7028049999999</v>
      </c>
      <c r="AC194" s="602"/>
      <c r="AD194" s="603">
        <f>AB194-AC194</f>
        <v>671.7028049999999</v>
      </c>
      <c r="AE194" s="603">
        <f>IF(AD194&lt;=0,0,AD194*25/100)</f>
        <v>167.92570124999997</v>
      </c>
      <c r="AF194" s="603">
        <f>IF(AC194+AE194&gt;AB194,AB194,AC194+AE194)</f>
        <v>167.92570124999997</v>
      </c>
    </row>
    <row r="195" spans="1:32" s="457" customFormat="1" ht="18" customHeight="1" x14ac:dyDescent="0.2">
      <c r="A195" s="145"/>
      <c r="B195" s="177"/>
      <c r="C195" s="177"/>
      <c r="D195" s="145"/>
      <c r="E195" s="145"/>
      <c r="F195" s="145"/>
      <c r="G195" s="145"/>
      <c r="H195" s="147"/>
      <c r="I195" s="107"/>
      <c r="J195" s="178"/>
      <c r="K195" s="107"/>
      <c r="L195" s="145"/>
      <c r="M195" s="145"/>
      <c r="N195" s="145"/>
      <c r="O195" s="145"/>
      <c r="P195" s="147"/>
      <c r="Q195" s="148"/>
      <c r="R195" s="437"/>
      <c r="S195" s="107"/>
      <c r="T195" s="179"/>
      <c r="U195" s="178"/>
      <c r="V195" s="107"/>
      <c r="W195" s="107"/>
      <c r="X195" s="470"/>
      <c r="Y195" s="470"/>
      <c r="Z195" s="471"/>
      <c r="AA195" s="471"/>
      <c r="AB195" s="466"/>
      <c r="AC195" s="350"/>
      <c r="AD195" s="350"/>
      <c r="AE195" s="350"/>
      <c r="AF195" s="350"/>
    </row>
    <row r="196" spans="1:32" s="457" customFormat="1" ht="18" customHeight="1" x14ac:dyDescent="0.2">
      <c r="A196" s="145"/>
      <c r="B196" s="177"/>
      <c r="C196" s="177"/>
      <c r="D196" s="145"/>
      <c r="E196" s="145"/>
      <c r="F196" s="145"/>
      <c r="G196" s="145"/>
      <c r="H196" s="147"/>
      <c r="I196" s="107"/>
      <c r="J196" s="178"/>
      <c r="K196" s="107"/>
      <c r="L196" s="145"/>
      <c r="M196" s="145"/>
      <c r="N196" s="145"/>
      <c r="O196" s="145"/>
      <c r="P196" s="147"/>
      <c r="Q196" s="148"/>
      <c r="R196" s="437"/>
      <c r="S196" s="107"/>
      <c r="T196" s="179"/>
      <c r="U196" s="178"/>
      <c r="V196" s="107"/>
      <c r="W196" s="107"/>
      <c r="X196" s="470"/>
      <c r="Y196" s="470"/>
      <c r="Z196" s="471"/>
      <c r="AA196" s="471"/>
      <c r="AB196" s="466"/>
      <c r="AC196" s="350"/>
      <c r="AD196" s="350"/>
      <c r="AE196" s="350"/>
      <c r="AF196" s="350"/>
    </row>
    <row r="197" spans="1:32" s="457" customFormat="1" ht="18" customHeight="1" x14ac:dyDescent="0.2">
      <c r="A197" s="145"/>
      <c r="B197" s="177"/>
      <c r="C197" s="177"/>
      <c r="D197" s="145"/>
      <c r="E197" s="145"/>
      <c r="F197" s="145"/>
      <c r="G197" s="145"/>
      <c r="H197" s="147"/>
      <c r="I197" s="107"/>
      <c r="J197" s="178"/>
      <c r="K197" s="107"/>
      <c r="L197" s="145"/>
      <c r="M197" s="145"/>
      <c r="N197" s="145"/>
      <c r="O197" s="145"/>
      <c r="P197" s="147"/>
      <c r="Q197" s="148"/>
      <c r="R197" s="437"/>
      <c r="S197" s="107"/>
      <c r="T197" s="179"/>
      <c r="U197" s="178"/>
      <c r="V197" s="107"/>
      <c r="W197" s="107"/>
      <c r="X197" s="470"/>
      <c r="Y197" s="470"/>
      <c r="Z197" s="471"/>
      <c r="AA197" s="471"/>
      <c r="AB197" s="466"/>
      <c r="AC197" s="350"/>
      <c r="AD197" s="350"/>
      <c r="AE197" s="350"/>
      <c r="AF197" s="350"/>
    </row>
    <row r="198" spans="1:32" s="457" customFormat="1" ht="18" customHeight="1" x14ac:dyDescent="0.2">
      <c r="A198" s="145"/>
      <c r="B198" s="177"/>
      <c r="C198" s="177"/>
      <c r="D198" s="145"/>
      <c r="E198" s="145"/>
      <c r="F198" s="145"/>
      <c r="G198" s="145"/>
      <c r="H198" s="147"/>
      <c r="I198" s="107"/>
      <c r="J198" s="178"/>
      <c r="K198" s="107"/>
      <c r="L198" s="145"/>
      <c r="M198" s="145"/>
      <c r="N198" s="145"/>
      <c r="O198" s="145"/>
      <c r="P198" s="147"/>
      <c r="Q198" s="148"/>
      <c r="R198" s="437"/>
      <c r="S198" s="107"/>
      <c r="T198" s="179"/>
      <c r="U198" s="178"/>
      <c r="V198" s="107"/>
      <c r="W198" s="107"/>
      <c r="X198" s="470"/>
      <c r="Y198" s="470"/>
      <c r="Z198" s="471"/>
      <c r="AA198" s="471"/>
      <c r="AB198" s="466"/>
      <c r="AC198" s="350"/>
      <c r="AD198" s="350"/>
      <c r="AE198" s="350"/>
      <c r="AF198" s="350"/>
    </row>
    <row r="199" spans="1:32" s="457" customFormat="1" ht="18" customHeight="1" x14ac:dyDescent="0.2">
      <c r="A199" s="145"/>
      <c r="B199" s="177"/>
      <c r="C199" s="177"/>
      <c r="D199" s="145"/>
      <c r="E199" s="145"/>
      <c r="F199" s="145"/>
      <c r="G199" s="145"/>
      <c r="H199" s="147"/>
      <c r="I199" s="107"/>
      <c r="J199" s="178"/>
      <c r="K199" s="107"/>
      <c r="L199" s="145"/>
      <c r="M199" s="145"/>
      <c r="N199" s="145"/>
      <c r="O199" s="145"/>
      <c r="P199" s="147"/>
      <c r="Q199" s="148"/>
      <c r="R199" s="437"/>
      <c r="S199" s="107"/>
      <c r="T199" s="179"/>
      <c r="U199" s="178"/>
      <c r="V199" s="107"/>
      <c r="W199" s="107"/>
      <c r="X199" s="470"/>
      <c r="Y199" s="470"/>
      <c r="Z199" s="471"/>
      <c r="AA199" s="471"/>
      <c r="AB199" s="466"/>
      <c r="AC199" s="350"/>
      <c r="AD199" s="350"/>
      <c r="AE199" s="350"/>
      <c r="AF199" s="350"/>
    </row>
    <row r="200" spans="1:32" s="457" customFormat="1" ht="18" customHeight="1" x14ac:dyDescent="0.2">
      <c r="A200" s="145"/>
      <c r="B200" s="177"/>
      <c r="C200" s="177"/>
      <c r="D200" s="145"/>
      <c r="E200" s="145"/>
      <c r="F200" s="145"/>
      <c r="G200" s="145"/>
      <c r="H200" s="147"/>
      <c r="I200" s="107"/>
      <c r="J200" s="178"/>
      <c r="K200" s="107"/>
      <c r="L200" s="145"/>
      <c r="M200" s="145"/>
      <c r="N200" s="145"/>
      <c r="O200" s="145"/>
      <c r="P200" s="147"/>
      <c r="Q200" s="148"/>
      <c r="R200" s="437"/>
      <c r="S200" s="107"/>
      <c r="T200" s="179"/>
      <c r="U200" s="178"/>
      <c r="V200" s="107"/>
      <c r="W200" s="107"/>
      <c r="X200" s="470"/>
      <c r="Y200" s="470"/>
      <c r="Z200" s="471"/>
      <c r="AA200" s="471"/>
      <c r="AB200" s="466"/>
      <c r="AC200" s="350"/>
      <c r="AD200" s="350"/>
      <c r="AE200" s="350"/>
      <c r="AF200" s="350"/>
    </row>
    <row r="201" spans="1:32" s="457" customFormat="1" ht="18" customHeight="1" x14ac:dyDescent="0.2">
      <c r="A201" s="145"/>
      <c r="B201" s="177"/>
      <c r="C201" s="177"/>
      <c r="D201" s="145"/>
      <c r="E201" s="145"/>
      <c r="F201" s="145"/>
      <c r="G201" s="145"/>
      <c r="H201" s="147"/>
      <c r="I201" s="107"/>
      <c r="J201" s="178"/>
      <c r="K201" s="107"/>
      <c r="L201" s="145"/>
      <c r="M201" s="145"/>
      <c r="N201" s="145"/>
      <c r="O201" s="145"/>
      <c r="P201" s="147"/>
      <c r="Q201" s="148"/>
      <c r="R201" s="437"/>
      <c r="S201" s="107"/>
      <c r="T201" s="179"/>
      <c r="U201" s="178"/>
      <c r="V201" s="107"/>
      <c r="W201" s="107"/>
      <c r="X201" s="470"/>
      <c r="Y201" s="470"/>
      <c r="Z201" s="471"/>
      <c r="AA201" s="471"/>
      <c r="AB201" s="466"/>
      <c r="AC201" s="350"/>
      <c r="AD201" s="350"/>
      <c r="AE201" s="350"/>
      <c r="AF201" s="350"/>
    </row>
    <row r="202" spans="1:32" s="457" customFormat="1" ht="18" customHeight="1" x14ac:dyDescent="0.2">
      <c r="A202" s="145"/>
      <c r="B202" s="177"/>
      <c r="C202" s="177"/>
      <c r="D202" s="145"/>
      <c r="E202" s="145"/>
      <c r="F202" s="145"/>
      <c r="G202" s="145"/>
      <c r="H202" s="147"/>
      <c r="I202" s="107"/>
      <c r="J202" s="178"/>
      <c r="K202" s="107"/>
      <c r="L202" s="145"/>
      <c r="M202" s="145"/>
      <c r="N202" s="145"/>
      <c r="O202" s="145"/>
      <c r="P202" s="147"/>
      <c r="Q202" s="148"/>
      <c r="R202" s="437"/>
      <c r="S202" s="107"/>
      <c r="T202" s="179"/>
      <c r="U202" s="178"/>
      <c r="V202" s="107"/>
      <c r="W202" s="107"/>
      <c r="X202" s="470"/>
      <c r="Y202" s="470"/>
      <c r="Z202" s="471"/>
      <c r="AA202" s="471"/>
      <c r="AB202" s="466"/>
      <c r="AC202" s="350"/>
      <c r="AD202" s="350"/>
      <c r="AE202" s="350"/>
      <c r="AF202" s="350"/>
    </row>
    <row r="203" spans="1:32" s="457" customFormat="1" ht="18" customHeight="1" x14ac:dyDescent="0.2">
      <c r="A203" s="145"/>
      <c r="B203" s="177"/>
      <c r="C203" s="177"/>
      <c r="D203" s="145"/>
      <c r="E203" s="145"/>
      <c r="F203" s="145"/>
      <c r="G203" s="145"/>
      <c r="H203" s="147"/>
      <c r="I203" s="107"/>
      <c r="J203" s="178"/>
      <c r="K203" s="107"/>
      <c r="L203" s="145"/>
      <c r="M203" s="145"/>
      <c r="N203" s="145"/>
      <c r="O203" s="145"/>
      <c r="P203" s="147"/>
      <c r="Q203" s="148"/>
      <c r="R203" s="437"/>
      <c r="S203" s="107"/>
      <c r="T203" s="179"/>
      <c r="U203" s="178"/>
      <c r="V203" s="107"/>
      <c r="W203" s="107"/>
      <c r="X203" s="470"/>
      <c r="Y203" s="470"/>
      <c r="Z203" s="471"/>
      <c r="AA203" s="471"/>
      <c r="AB203" s="466"/>
      <c r="AC203" s="350"/>
      <c r="AD203" s="350"/>
      <c r="AE203" s="350"/>
      <c r="AF203" s="350"/>
    </row>
    <row r="204" spans="1:32" s="457" customFormat="1" ht="18" customHeight="1" x14ac:dyDescent="0.2">
      <c r="A204" s="145"/>
      <c r="B204" s="177"/>
      <c r="C204" s="177"/>
      <c r="D204" s="145"/>
      <c r="E204" s="145"/>
      <c r="F204" s="145"/>
      <c r="G204" s="145"/>
      <c r="H204" s="147"/>
      <c r="I204" s="107"/>
      <c r="J204" s="178"/>
      <c r="K204" s="107"/>
      <c r="L204" s="145"/>
      <c r="M204" s="145"/>
      <c r="N204" s="145"/>
      <c r="O204" s="145"/>
      <c r="P204" s="147"/>
      <c r="Q204" s="148"/>
      <c r="R204" s="437"/>
      <c r="S204" s="107"/>
      <c r="T204" s="179"/>
      <c r="U204" s="178"/>
      <c r="V204" s="107"/>
      <c r="W204" s="107"/>
      <c r="X204" s="470"/>
      <c r="Y204" s="470"/>
      <c r="Z204" s="471"/>
      <c r="AA204" s="471"/>
      <c r="AB204" s="466"/>
      <c r="AC204" s="350"/>
      <c r="AD204" s="350"/>
      <c r="AE204" s="350"/>
      <c r="AF204" s="350"/>
    </row>
    <row r="205" spans="1:32" s="457" customFormat="1" ht="18" customHeight="1" x14ac:dyDescent="0.2">
      <c r="A205" s="145"/>
      <c r="B205" s="177"/>
      <c r="C205" s="177"/>
      <c r="D205" s="145"/>
      <c r="E205" s="145"/>
      <c r="F205" s="145"/>
      <c r="G205" s="145"/>
      <c r="H205" s="147"/>
      <c r="I205" s="107"/>
      <c r="J205" s="178"/>
      <c r="K205" s="107"/>
      <c r="L205" s="145"/>
      <c r="M205" s="145"/>
      <c r="N205" s="145"/>
      <c r="O205" s="145"/>
      <c r="P205" s="147"/>
      <c r="Q205" s="148"/>
      <c r="R205" s="437"/>
      <c r="S205" s="107"/>
      <c r="T205" s="179"/>
      <c r="U205" s="178"/>
      <c r="V205" s="107"/>
      <c r="W205" s="107"/>
      <c r="X205" s="470"/>
      <c r="Y205" s="470"/>
      <c r="Z205" s="471"/>
      <c r="AA205" s="471"/>
      <c r="AB205" s="466"/>
      <c r="AC205" s="350"/>
      <c r="AD205" s="350"/>
      <c r="AE205" s="350"/>
      <c r="AF205" s="350"/>
    </row>
    <row r="206" spans="1:32" s="457" customFormat="1" ht="18" customHeight="1" x14ac:dyDescent="0.2">
      <c r="A206" s="145"/>
      <c r="B206" s="177"/>
      <c r="C206" s="177"/>
      <c r="D206" s="145"/>
      <c r="E206" s="145"/>
      <c r="F206" s="145"/>
      <c r="G206" s="145"/>
      <c r="H206" s="147"/>
      <c r="I206" s="107"/>
      <c r="J206" s="178"/>
      <c r="K206" s="107"/>
      <c r="L206" s="145"/>
      <c r="M206" s="145"/>
      <c r="N206" s="145"/>
      <c r="O206" s="145"/>
      <c r="P206" s="147"/>
      <c r="Q206" s="148"/>
      <c r="R206" s="437"/>
      <c r="S206" s="107"/>
      <c r="T206" s="179"/>
      <c r="U206" s="178"/>
      <c r="V206" s="107"/>
      <c r="W206" s="107"/>
      <c r="X206" s="470"/>
      <c r="Y206" s="470"/>
      <c r="Z206" s="471"/>
      <c r="AA206" s="471"/>
      <c r="AB206" s="466"/>
      <c r="AC206" s="350"/>
      <c r="AD206" s="350"/>
      <c r="AE206" s="350"/>
      <c r="AF206" s="350"/>
    </row>
    <row r="207" spans="1:32" s="457" customFormat="1" ht="18" customHeight="1" x14ac:dyDescent="0.2">
      <c r="A207" s="88"/>
      <c r="B207" s="180"/>
      <c r="C207" s="180"/>
      <c r="D207" s="88"/>
      <c r="E207" s="88"/>
      <c r="F207" s="88"/>
      <c r="G207" s="88"/>
      <c r="H207" s="120"/>
      <c r="I207" s="121"/>
      <c r="J207" s="181"/>
      <c r="K207" s="121"/>
      <c r="L207" s="88"/>
      <c r="M207" s="88"/>
      <c r="N207" s="88"/>
      <c r="O207" s="88"/>
      <c r="P207" s="88"/>
      <c r="Q207" s="129"/>
      <c r="R207" s="445"/>
      <c r="S207" s="121"/>
      <c r="T207" s="182"/>
      <c r="U207" s="181"/>
      <c r="V207" s="121"/>
      <c r="W207" s="121"/>
      <c r="X207" s="472"/>
      <c r="Y207" s="472"/>
      <c r="Z207" s="473"/>
      <c r="AA207" s="473"/>
      <c r="AB207" s="410"/>
      <c r="AC207" s="351"/>
      <c r="AD207" s="351"/>
      <c r="AE207" s="351"/>
      <c r="AF207" s="351"/>
    </row>
    <row r="208" spans="1:32" s="597" customFormat="1" ht="18" customHeight="1" x14ac:dyDescent="0.2">
      <c r="A208" s="1850"/>
      <c r="B208" s="1850"/>
      <c r="C208" s="1850"/>
      <c r="D208" s="1850"/>
      <c r="E208" s="1850"/>
      <c r="F208" s="1850"/>
      <c r="G208" s="1850"/>
      <c r="H208" s="1851"/>
      <c r="I208" s="1852"/>
      <c r="J208" s="1853"/>
      <c r="K208" s="1852"/>
      <c r="L208" s="1852"/>
      <c r="M208" s="1852"/>
      <c r="N208" s="1852"/>
      <c r="O208" s="1852"/>
      <c r="P208" s="1852"/>
      <c r="Q208" s="1852"/>
      <c r="R208" s="1854"/>
      <c r="S208" s="1852"/>
      <c r="T208" s="1855"/>
      <c r="U208" s="1853"/>
      <c r="V208" s="1852"/>
      <c r="W208" s="1852"/>
      <c r="X208" s="1856"/>
      <c r="Y208" s="1856"/>
      <c r="Z208" s="1857"/>
      <c r="AA208" s="1857"/>
      <c r="AB208" s="1847">
        <f>SUM(AB193:AB207)</f>
        <v>671.7028049999999</v>
      </c>
      <c r="AC208" s="1861"/>
      <c r="AD208" s="1861"/>
      <c r="AE208" s="1861"/>
      <c r="AF208" s="1861"/>
    </row>
    <row r="209" spans="1:32" s="457" customFormat="1" ht="18" customHeight="1" x14ac:dyDescent="0.2">
      <c r="A209" s="2737" t="s">
        <v>76</v>
      </c>
      <c r="B209" s="2737"/>
      <c r="C209" s="2738" t="s">
        <v>77</v>
      </c>
      <c r="D209" s="2738"/>
      <c r="E209" s="2738"/>
      <c r="F209" s="2738"/>
      <c r="G209" s="2738"/>
      <c r="H209" s="2738"/>
      <c r="I209" s="457" t="s">
        <v>78</v>
      </c>
      <c r="AB209" s="478"/>
    </row>
    <row r="210" spans="1:32" s="457" customFormat="1" ht="18" customHeight="1" x14ac:dyDescent="0.2">
      <c r="B210" s="479"/>
      <c r="I210" s="457" t="s">
        <v>79</v>
      </c>
      <c r="AB210" s="478"/>
    </row>
    <row r="211" spans="1:32" s="457" customFormat="1" ht="18" customHeight="1" x14ac:dyDescent="0.2">
      <c r="B211" s="479"/>
      <c r="I211" s="457" t="s">
        <v>80</v>
      </c>
      <c r="AB211" s="478"/>
    </row>
    <row r="212" spans="1:32" s="457" customFormat="1" ht="18" customHeight="1" x14ac:dyDescent="0.2">
      <c r="B212" s="479"/>
      <c r="I212" s="457" t="s">
        <v>81</v>
      </c>
      <c r="AB212" s="750"/>
    </row>
    <row r="213" spans="1:32" s="457" customFormat="1" ht="18" customHeight="1" x14ac:dyDescent="0.2">
      <c r="B213" s="479"/>
      <c r="I213" s="457" t="s">
        <v>88</v>
      </c>
      <c r="AB213" s="478"/>
    </row>
    <row r="214" spans="1:32" s="855" customFormat="1" ht="18" customHeight="1" x14ac:dyDescent="0.2">
      <c r="A214" s="455"/>
      <c r="B214" s="455"/>
      <c r="C214" s="455"/>
      <c r="D214" s="455"/>
      <c r="E214" s="455"/>
      <c r="F214" s="455"/>
      <c r="G214" s="455"/>
      <c r="H214" s="455"/>
      <c r="I214" s="455"/>
      <c r="J214" s="455"/>
      <c r="K214" s="455"/>
      <c r="L214" s="455"/>
      <c r="M214" s="455"/>
      <c r="N214" s="455"/>
      <c r="O214" s="455"/>
      <c r="P214" s="455"/>
      <c r="Q214" s="455"/>
      <c r="R214" s="455"/>
      <c r="S214" s="455"/>
      <c r="T214" s="455"/>
      <c r="U214" s="455"/>
      <c r="V214" s="455"/>
      <c r="W214" s="455"/>
      <c r="X214" s="455"/>
      <c r="Y214" s="455"/>
      <c r="Z214" s="455"/>
      <c r="AA214" s="2705" t="s">
        <v>0</v>
      </c>
      <c r="AB214" s="2705"/>
      <c r="AC214" s="455"/>
      <c r="AD214" s="455"/>
      <c r="AE214" s="455"/>
      <c r="AF214" s="455"/>
    </row>
    <row r="215" spans="1:32" s="855" customFormat="1" ht="18" customHeight="1" x14ac:dyDescent="0.2">
      <c r="A215" s="2705" t="s">
        <v>1</v>
      </c>
      <c r="B215" s="2705"/>
      <c r="C215" s="2705"/>
      <c r="D215" s="2705"/>
      <c r="E215" s="2705"/>
      <c r="F215" s="2705"/>
      <c r="G215" s="2705"/>
      <c r="H215" s="2705"/>
      <c r="I215" s="2705"/>
      <c r="J215" s="2705"/>
      <c r="K215" s="2705"/>
      <c r="L215" s="2705"/>
      <c r="M215" s="2705"/>
      <c r="N215" s="2705"/>
      <c r="O215" s="2705"/>
      <c r="P215" s="2705"/>
      <c r="Q215" s="2705"/>
      <c r="R215" s="2705"/>
      <c r="S215" s="2705"/>
      <c r="T215" s="2705"/>
      <c r="U215" s="2705"/>
      <c r="V215" s="2705"/>
      <c r="W215" s="2705"/>
      <c r="X215" s="2705"/>
      <c r="Y215" s="2705"/>
      <c r="Z215" s="2705"/>
      <c r="AA215" s="2705"/>
      <c r="AB215" s="2705"/>
      <c r="AC215" s="455"/>
      <c r="AD215" s="455"/>
      <c r="AE215" s="455"/>
      <c r="AF215" s="455"/>
    </row>
    <row r="216" spans="1:32" s="855" customFormat="1" ht="18" customHeight="1" x14ac:dyDescent="0.2">
      <c r="A216" s="2805" t="s">
        <v>399</v>
      </c>
      <c r="B216" s="2805"/>
      <c r="C216" s="2805"/>
      <c r="D216" s="2805"/>
      <c r="E216" s="2805"/>
      <c r="F216" s="2805"/>
      <c r="G216" s="2805"/>
      <c r="H216" s="2805"/>
      <c r="I216" s="2805"/>
      <c r="J216" s="2805"/>
      <c r="K216" s="2805"/>
      <c r="L216" s="2805"/>
      <c r="M216" s="2805"/>
      <c r="N216" s="2805"/>
      <c r="O216" s="2805"/>
      <c r="P216" s="2805"/>
      <c r="Q216" s="2805"/>
      <c r="R216" s="2805"/>
      <c r="S216" s="2805"/>
      <c r="T216" s="2805"/>
      <c r="U216" s="2805"/>
      <c r="V216" s="2805"/>
      <c r="W216" s="2805"/>
      <c r="X216" s="2805"/>
      <c r="Y216" s="2805"/>
      <c r="Z216" s="2805"/>
      <c r="AA216" s="2805"/>
      <c r="AB216" s="2805"/>
      <c r="AC216" s="856"/>
      <c r="AD216" s="856"/>
      <c r="AE216" s="856"/>
      <c r="AF216" s="856"/>
    </row>
    <row r="217" spans="1:32" s="457" customFormat="1" ht="18" customHeight="1" x14ac:dyDescent="0.2">
      <c r="A217" s="2686" t="s">
        <v>2</v>
      </c>
      <c r="B217" s="360"/>
      <c r="C217" s="2686" t="s">
        <v>3</v>
      </c>
      <c r="D217" s="360"/>
      <c r="E217" s="360"/>
      <c r="F217" s="2693" t="s">
        <v>4</v>
      </c>
      <c r="G217" s="2693"/>
      <c r="H217" s="2693"/>
      <c r="I217" s="2694"/>
      <c r="J217" s="2694"/>
      <c r="K217" s="2695"/>
      <c r="L217" s="361"/>
      <c r="M217" s="2679" t="s">
        <v>5</v>
      </c>
      <c r="N217" s="2679"/>
      <c r="O217" s="2679"/>
      <c r="P217" s="2679"/>
      <c r="Q217" s="2696"/>
      <c r="R217" s="2696"/>
      <c r="S217" s="2696"/>
      <c r="T217" s="2696"/>
      <c r="U217" s="2696"/>
      <c r="V217" s="2697"/>
      <c r="W217" s="362" t="s">
        <v>6</v>
      </c>
      <c r="X217" s="363" t="s">
        <v>7</v>
      </c>
      <c r="Y217" s="364"/>
      <c r="Z217" s="364"/>
      <c r="AA217" s="363"/>
      <c r="AB217" s="458"/>
      <c r="AC217" s="612" t="s">
        <v>8</v>
      </c>
      <c r="AD217" s="613"/>
      <c r="AE217" s="613"/>
      <c r="AF217" s="614"/>
    </row>
    <row r="218" spans="1:32" s="457" customFormat="1" ht="18" customHeight="1" x14ac:dyDescent="0.2">
      <c r="A218" s="2687"/>
      <c r="B218" s="367"/>
      <c r="C218" s="2687"/>
      <c r="D218" s="366" t="s">
        <v>9</v>
      </c>
      <c r="E218" s="366" t="s">
        <v>10</v>
      </c>
      <c r="F218" s="2698" t="s">
        <v>11</v>
      </c>
      <c r="G218" s="2694"/>
      <c r="H218" s="2695"/>
      <c r="I218" s="360"/>
      <c r="J218" s="449" t="s">
        <v>12</v>
      </c>
      <c r="K218" s="360"/>
      <c r="L218" s="2679" t="s">
        <v>2</v>
      </c>
      <c r="M218" s="370"/>
      <c r="N218" s="370"/>
      <c r="O218" s="370"/>
      <c r="P218" s="371"/>
      <c r="Q218" s="459" t="s">
        <v>13</v>
      </c>
      <c r="R218" s="370" t="s">
        <v>12</v>
      </c>
      <c r="S218" s="370" t="s">
        <v>6</v>
      </c>
      <c r="T218" s="2682" t="s">
        <v>14</v>
      </c>
      <c r="U218" s="2683"/>
      <c r="V218" s="375" t="s">
        <v>7</v>
      </c>
      <c r="W218" s="376" t="s">
        <v>15</v>
      </c>
      <c r="X218" s="377" t="s">
        <v>16</v>
      </c>
      <c r="Y218" s="377" t="s">
        <v>17</v>
      </c>
      <c r="Z218" s="377" t="s">
        <v>18</v>
      </c>
      <c r="AA218" s="377"/>
      <c r="AB218" s="460" t="s">
        <v>19</v>
      </c>
      <c r="AC218" s="615" t="s">
        <v>20</v>
      </c>
      <c r="AD218" s="616"/>
      <c r="AE218" s="617" t="s">
        <v>21</v>
      </c>
      <c r="AF218" s="618" t="s">
        <v>22</v>
      </c>
    </row>
    <row r="219" spans="1:32" s="457" customFormat="1" ht="18" customHeight="1" x14ac:dyDescent="0.2">
      <c r="A219" s="2687"/>
      <c r="B219" s="366" t="s">
        <v>23</v>
      </c>
      <c r="C219" s="2687"/>
      <c r="D219" s="366" t="s">
        <v>24</v>
      </c>
      <c r="E219" s="366" t="s">
        <v>25</v>
      </c>
      <c r="F219" s="2699"/>
      <c r="G219" s="2700"/>
      <c r="H219" s="2701"/>
      <c r="I219" s="366" t="s">
        <v>26</v>
      </c>
      <c r="J219" s="380" t="s">
        <v>15</v>
      </c>
      <c r="K219" s="380" t="s">
        <v>6</v>
      </c>
      <c r="L219" s="2680"/>
      <c r="M219" s="381" t="s">
        <v>27</v>
      </c>
      <c r="N219" s="381" t="s">
        <v>10</v>
      </c>
      <c r="O219" s="381" t="s">
        <v>10</v>
      </c>
      <c r="P219" s="385" t="s">
        <v>28</v>
      </c>
      <c r="Q219" s="461" t="s">
        <v>29</v>
      </c>
      <c r="R219" s="385" t="s">
        <v>15</v>
      </c>
      <c r="S219" s="385" t="s">
        <v>15</v>
      </c>
      <c r="T219" s="2684"/>
      <c r="U219" s="2685"/>
      <c r="V219" s="375" t="s">
        <v>30</v>
      </c>
      <c r="W219" s="376" t="s">
        <v>31</v>
      </c>
      <c r="X219" s="377" t="s">
        <v>30</v>
      </c>
      <c r="Y219" s="377" t="s">
        <v>32</v>
      </c>
      <c r="Z219" s="377" t="s">
        <v>7</v>
      </c>
      <c r="AA219" s="377" t="s">
        <v>33</v>
      </c>
      <c r="AB219" s="460" t="s">
        <v>34</v>
      </c>
      <c r="AC219" s="615" t="s">
        <v>35</v>
      </c>
      <c r="AD219" s="617" t="s">
        <v>36</v>
      </c>
      <c r="AE219" s="617" t="s">
        <v>37</v>
      </c>
      <c r="AF219" s="618" t="s">
        <v>38</v>
      </c>
    </row>
    <row r="220" spans="1:32" s="457" customFormat="1" ht="18" customHeight="1" x14ac:dyDescent="0.2">
      <c r="A220" s="2687"/>
      <c r="B220" s="366" t="s">
        <v>39</v>
      </c>
      <c r="C220" s="2687"/>
      <c r="D220" s="366" t="s">
        <v>40</v>
      </c>
      <c r="E220" s="366" t="s">
        <v>41</v>
      </c>
      <c r="F220" s="2686" t="s">
        <v>42</v>
      </c>
      <c r="G220" s="2686" t="s">
        <v>43</v>
      </c>
      <c r="H220" s="2688" t="s">
        <v>44</v>
      </c>
      <c r="I220" s="366" t="s">
        <v>45</v>
      </c>
      <c r="J220" s="380" t="s">
        <v>46</v>
      </c>
      <c r="K220" s="380" t="s">
        <v>47</v>
      </c>
      <c r="L220" s="2680"/>
      <c r="M220" s="381" t="s">
        <v>30</v>
      </c>
      <c r="N220" s="381" t="s">
        <v>30</v>
      </c>
      <c r="O220" s="381" t="s">
        <v>25</v>
      </c>
      <c r="P220" s="385" t="s">
        <v>30</v>
      </c>
      <c r="Q220" s="461" t="s">
        <v>48</v>
      </c>
      <c r="R220" s="385" t="s">
        <v>49</v>
      </c>
      <c r="S220" s="385" t="s">
        <v>30</v>
      </c>
      <c r="T220" s="374" t="s">
        <v>50</v>
      </c>
      <c r="U220" s="374" t="s">
        <v>13</v>
      </c>
      <c r="V220" s="375" t="s">
        <v>51</v>
      </c>
      <c r="W220" s="376" t="s">
        <v>52</v>
      </c>
      <c r="X220" s="377" t="s">
        <v>53</v>
      </c>
      <c r="Y220" s="377" t="s">
        <v>54</v>
      </c>
      <c r="Z220" s="377" t="s">
        <v>55</v>
      </c>
      <c r="AA220" s="377" t="s">
        <v>56</v>
      </c>
      <c r="AB220" s="460" t="s">
        <v>57</v>
      </c>
      <c r="AC220" s="617" t="s">
        <v>58</v>
      </c>
      <c r="AD220" s="617" t="s">
        <v>59</v>
      </c>
      <c r="AE220" s="617" t="s">
        <v>59</v>
      </c>
      <c r="AF220" s="618" t="s">
        <v>60</v>
      </c>
    </row>
    <row r="221" spans="1:32" s="457" customFormat="1" ht="18" customHeight="1" x14ac:dyDescent="0.2">
      <c r="A221" s="2687"/>
      <c r="B221" s="366" t="s">
        <v>61</v>
      </c>
      <c r="C221" s="2687"/>
      <c r="D221" s="366" t="s">
        <v>62</v>
      </c>
      <c r="E221" s="366" t="s">
        <v>63</v>
      </c>
      <c r="F221" s="2687"/>
      <c r="G221" s="2687"/>
      <c r="H221" s="2689"/>
      <c r="I221" s="366" t="s">
        <v>64</v>
      </c>
      <c r="J221" s="380" t="s">
        <v>59</v>
      </c>
      <c r="K221" s="380" t="s">
        <v>59</v>
      </c>
      <c r="L221" s="2680"/>
      <c r="M221" s="381"/>
      <c r="N221" s="381"/>
      <c r="O221" s="381" t="s">
        <v>41</v>
      </c>
      <c r="P221" s="385" t="s">
        <v>65</v>
      </c>
      <c r="Q221" s="461" t="s">
        <v>66</v>
      </c>
      <c r="R221" s="385" t="s">
        <v>67</v>
      </c>
      <c r="S221" s="385" t="s">
        <v>59</v>
      </c>
      <c r="T221" s="375" t="s">
        <v>68</v>
      </c>
      <c r="U221" s="375" t="s">
        <v>14</v>
      </c>
      <c r="V221" s="375" t="s">
        <v>14</v>
      </c>
      <c r="W221" s="376" t="s">
        <v>30</v>
      </c>
      <c r="X221" s="388" t="s">
        <v>69</v>
      </c>
      <c r="Y221" s="388" t="s">
        <v>70</v>
      </c>
      <c r="Z221" s="377" t="s">
        <v>71</v>
      </c>
      <c r="AA221" s="377" t="s">
        <v>72</v>
      </c>
      <c r="AB221" s="460" t="s">
        <v>59</v>
      </c>
      <c r="AC221" s="617" t="s">
        <v>59</v>
      </c>
      <c r="AD221" s="617"/>
      <c r="AE221" s="617"/>
      <c r="AF221" s="618" t="s">
        <v>59</v>
      </c>
    </row>
    <row r="222" spans="1:32" s="457" customFormat="1" ht="18" customHeight="1" x14ac:dyDescent="0.2">
      <c r="A222" s="2692"/>
      <c r="B222" s="390"/>
      <c r="C222" s="2692"/>
      <c r="D222" s="390"/>
      <c r="E222" s="389"/>
      <c r="F222" s="390"/>
      <c r="G222" s="390"/>
      <c r="H222" s="391"/>
      <c r="I222" s="389"/>
      <c r="J222" s="393"/>
      <c r="K222" s="393"/>
      <c r="L222" s="2681"/>
      <c r="M222" s="394"/>
      <c r="N222" s="394"/>
      <c r="O222" s="394" t="s">
        <v>63</v>
      </c>
      <c r="P222" s="394"/>
      <c r="Q222" s="450" t="s">
        <v>72</v>
      </c>
      <c r="R222" s="398" t="s">
        <v>59</v>
      </c>
      <c r="S222" s="398"/>
      <c r="T222" s="398" t="s">
        <v>73</v>
      </c>
      <c r="U222" s="398" t="s">
        <v>59</v>
      </c>
      <c r="V222" s="399" t="s">
        <v>59</v>
      </c>
      <c r="W222" s="400" t="s">
        <v>59</v>
      </c>
      <c r="X222" s="401" t="s">
        <v>59</v>
      </c>
      <c r="Y222" s="401" t="s">
        <v>59</v>
      </c>
      <c r="Z222" s="401" t="s">
        <v>59</v>
      </c>
      <c r="AA222" s="402"/>
      <c r="AB222" s="462"/>
      <c r="AC222" s="625"/>
      <c r="AD222" s="625"/>
      <c r="AE222" s="625"/>
      <c r="AF222" s="626"/>
    </row>
    <row r="223" spans="1:32" s="855" customFormat="1" ht="18" customHeight="1" x14ac:dyDescent="0.25">
      <c r="A223" s="313">
        <v>1</v>
      </c>
      <c r="B223" s="333">
        <v>1948</v>
      </c>
      <c r="C223" s="41">
        <v>107</v>
      </c>
      <c r="D223" s="41" t="s">
        <v>83</v>
      </c>
      <c r="E223" s="15">
        <v>2</v>
      </c>
      <c r="F223" s="41">
        <v>0</v>
      </c>
      <c r="G223" s="41">
        <v>0</v>
      </c>
      <c r="H223" s="267">
        <v>51.7</v>
      </c>
      <c r="I223" s="77">
        <f>F223*400+G223*100+H223</f>
        <v>51.7</v>
      </c>
      <c r="J223" s="759">
        <v>700</v>
      </c>
      <c r="K223" s="78">
        <f>SUM(I223*J223)</f>
        <v>36190</v>
      </c>
      <c r="L223" s="45">
        <v>1</v>
      </c>
      <c r="M223" s="82">
        <v>106</v>
      </c>
      <c r="N223" s="15" t="s">
        <v>96</v>
      </c>
      <c r="O223" s="16">
        <v>2</v>
      </c>
      <c r="P223" s="41">
        <v>127.60000000000001</v>
      </c>
      <c r="Q223" s="62" t="s">
        <v>75</v>
      </c>
      <c r="R223" s="672">
        <v>7950</v>
      </c>
      <c r="S223" s="70">
        <f>+P223*R223</f>
        <v>1014420.0000000001</v>
      </c>
      <c r="T223" s="1539">
        <v>18</v>
      </c>
      <c r="U223" s="125">
        <f>+S223*0.65</f>
        <v>659373.00000000012</v>
      </c>
      <c r="V223" s="70">
        <f>+S223-U223</f>
        <v>355047</v>
      </c>
      <c r="W223" s="70">
        <f>K223+V223</f>
        <v>391237</v>
      </c>
      <c r="X223" s="70">
        <f>W223</f>
        <v>391237</v>
      </c>
      <c r="Y223" s="296" t="s">
        <v>89</v>
      </c>
      <c r="Z223" s="296">
        <v>0</v>
      </c>
      <c r="AA223" s="494">
        <v>0.02</v>
      </c>
      <c r="AB223" s="857">
        <f>+Z223*AA223/100</f>
        <v>0</v>
      </c>
      <c r="AC223" s="858"/>
      <c r="AD223" s="858">
        <f>AB223-AC223</f>
        <v>0</v>
      </c>
      <c r="AE223" s="858">
        <f>IF(AD223&lt;=0,0,AD223*25/100)</f>
        <v>0</v>
      </c>
      <c r="AF223" s="858">
        <f>IF(AC223+AE223&gt;AB223,AB223,AC223+AE223)</f>
        <v>0</v>
      </c>
    </row>
    <row r="224" spans="1:32" s="855" customFormat="1" ht="18" customHeight="1" x14ac:dyDescent="0.2">
      <c r="A224" s="281"/>
      <c r="B224" s="45"/>
      <c r="C224" s="62"/>
      <c r="D224" s="27"/>
      <c r="E224" s="27"/>
      <c r="F224" s="291"/>
      <c r="G224" s="45"/>
      <c r="H224" s="257">
        <v>6.6</v>
      </c>
      <c r="I224" s="77">
        <f>F224*400+G224*100+H224</f>
        <v>6.6</v>
      </c>
      <c r="J224" s="759">
        <v>700</v>
      </c>
      <c r="K224" s="78">
        <f>SUM(I224*J224)</f>
        <v>4620</v>
      </c>
      <c r="L224" s="45">
        <v>2</v>
      </c>
      <c r="M224" s="145">
        <v>103</v>
      </c>
      <c r="N224" s="15" t="s">
        <v>74</v>
      </c>
      <c r="O224" s="50">
        <v>3</v>
      </c>
      <c r="P224" s="15">
        <v>26.400000000000002</v>
      </c>
      <c r="Q224" s="62" t="s">
        <v>75</v>
      </c>
      <c r="R224" s="672">
        <v>9050</v>
      </c>
      <c r="S224" s="70">
        <f>+P224*R224</f>
        <v>238920.00000000003</v>
      </c>
      <c r="T224" s="1845">
        <v>18</v>
      </c>
      <c r="U224" s="125">
        <f>+S224*0.26</f>
        <v>62119.200000000012</v>
      </c>
      <c r="V224" s="70">
        <f>+S224-U224</f>
        <v>176800.80000000002</v>
      </c>
      <c r="W224" s="70">
        <f>K224+V224</f>
        <v>181420.80000000002</v>
      </c>
      <c r="X224" s="70">
        <f>W224</f>
        <v>181420.80000000002</v>
      </c>
      <c r="Y224" s="296"/>
      <c r="Z224" s="74">
        <f>+X224</f>
        <v>181420.80000000002</v>
      </c>
      <c r="AA224" s="494">
        <v>0.3</v>
      </c>
      <c r="AB224" s="859">
        <f>+Z224*AA224/100</f>
        <v>544.26240000000007</v>
      </c>
      <c r="AC224" s="342"/>
      <c r="AD224" s="342"/>
      <c r="AE224" s="342"/>
      <c r="AF224" s="342"/>
    </row>
    <row r="225" spans="1:32" s="855" customFormat="1" ht="18" customHeight="1" x14ac:dyDescent="0.2">
      <c r="A225" s="281"/>
      <c r="B225" s="281"/>
      <c r="C225" s="691"/>
      <c r="D225" s="180"/>
      <c r="E225" s="177"/>
      <c r="F225" s="860"/>
      <c r="G225" s="281"/>
      <c r="H225" s="861"/>
      <c r="I225" s="280"/>
      <c r="J225" s="280"/>
      <c r="K225" s="279"/>
      <c r="L225" s="281"/>
      <c r="M225" s="271"/>
      <c r="N225" s="271"/>
      <c r="O225" s="271"/>
      <c r="P225" s="861"/>
      <c r="Q225" s="691"/>
      <c r="R225" s="685"/>
      <c r="S225" s="243"/>
      <c r="T225" s="862"/>
      <c r="U225" s="295"/>
      <c r="V225" s="295"/>
      <c r="W225" s="243"/>
      <c r="X225" s="295"/>
      <c r="Y225" s="243"/>
      <c r="Z225" s="243"/>
      <c r="AA225" s="686"/>
      <c r="AB225" s="859"/>
      <c r="AC225" s="342"/>
      <c r="AD225" s="342"/>
      <c r="AE225" s="342"/>
      <c r="AF225" s="342"/>
    </row>
    <row r="226" spans="1:32" s="855" customFormat="1" ht="18" customHeight="1" x14ac:dyDescent="0.2">
      <c r="A226" s="281"/>
      <c r="B226" s="281"/>
      <c r="C226" s="691"/>
      <c r="D226" s="180"/>
      <c r="E226" s="180"/>
      <c r="F226" s="860"/>
      <c r="G226" s="281"/>
      <c r="H226" s="861"/>
      <c r="I226" s="280"/>
      <c r="J226" s="280"/>
      <c r="K226" s="314"/>
      <c r="L226" s="281"/>
      <c r="M226" s="281"/>
      <c r="N226" s="281"/>
      <c r="O226" s="281"/>
      <c r="P226" s="861"/>
      <c r="Q226" s="691"/>
      <c r="R226" s="692"/>
      <c r="S226" s="295"/>
      <c r="T226" s="862"/>
      <c r="U226" s="295"/>
      <c r="V226" s="295"/>
      <c r="W226" s="295"/>
      <c r="X226" s="295"/>
      <c r="Y226" s="295"/>
      <c r="Z226" s="280"/>
      <c r="AA226" s="686"/>
      <c r="AB226" s="859"/>
      <c r="AC226" s="342"/>
      <c r="AD226" s="342"/>
      <c r="AE226" s="342"/>
      <c r="AF226" s="342"/>
    </row>
    <row r="227" spans="1:32" s="855" customFormat="1" ht="18" customHeight="1" x14ac:dyDescent="0.2">
      <c r="A227" s="281"/>
      <c r="B227" s="281"/>
      <c r="C227" s="691"/>
      <c r="D227" s="180"/>
      <c r="E227" s="177"/>
      <c r="F227" s="860"/>
      <c r="G227" s="281"/>
      <c r="H227" s="861"/>
      <c r="I227" s="280"/>
      <c r="J227" s="280"/>
      <c r="K227" s="279"/>
      <c r="L227" s="281"/>
      <c r="M227" s="281"/>
      <c r="N227" s="281"/>
      <c r="O227" s="271"/>
      <c r="P227" s="861"/>
      <c r="Q227" s="691"/>
      <c r="R227" s="685"/>
      <c r="S227" s="243"/>
      <c r="T227" s="862"/>
      <c r="U227" s="295"/>
      <c r="V227" s="295"/>
      <c r="W227" s="243"/>
      <c r="X227" s="295"/>
      <c r="Y227" s="243"/>
      <c r="Z227" s="275"/>
      <c r="AA227" s="686"/>
      <c r="AB227" s="859"/>
      <c r="AC227" s="342"/>
      <c r="AD227" s="342"/>
      <c r="AE227" s="342"/>
      <c r="AF227" s="342"/>
    </row>
    <row r="228" spans="1:32" s="855" customFormat="1" ht="18" customHeight="1" x14ac:dyDescent="0.2">
      <c r="A228" s="271"/>
      <c r="B228" s="271"/>
      <c r="C228" s="684"/>
      <c r="D228" s="177"/>
      <c r="E228" s="177"/>
      <c r="F228" s="863"/>
      <c r="G228" s="271"/>
      <c r="H228" s="864"/>
      <c r="I228" s="243"/>
      <c r="J228" s="275"/>
      <c r="K228" s="279"/>
      <c r="L228" s="271"/>
      <c r="M228" s="865"/>
      <c r="N228" s="271"/>
      <c r="O228" s="271"/>
      <c r="P228" s="864"/>
      <c r="Q228" s="684"/>
      <c r="R228" s="685"/>
      <c r="S228" s="243"/>
      <c r="T228" s="866"/>
      <c r="U228" s="243"/>
      <c r="V228" s="243"/>
      <c r="W228" s="243"/>
      <c r="X228" s="243"/>
      <c r="Y228" s="243"/>
      <c r="Z228" s="243"/>
      <c r="AA228" s="686"/>
      <c r="AB228" s="859"/>
      <c r="AC228" s="342"/>
      <c r="AD228" s="342"/>
      <c r="AE228" s="342"/>
      <c r="AF228" s="342"/>
    </row>
    <row r="229" spans="1:32" s="855" customFormat="1" ht="18" customHeight="1" x14ac:dyDescent="0.2">
      <c r="A229" s="271"/>
      <c r="B229" s="271"/>
      <c r="C229" s="684"/>
      <c r="D229" s="177"/>
      <c r="E229" s="177"/>
      <c r="F229" s="863"/>
      <c r="G229" s="271"/>
      <c r="H229" s="864"/>
      <c r="I229" s="243"/>
      <c r="J229" s="275"/>
      <c r="K229" s="279"/>
      <c r="L229" s="271"/>
      <c r="M229" s="865"/>
      <c r="N229" s="271"/>
      <c r="O229" s="271"/>
      <c r="P229" s="864"/>
      <c r="Q229" s="684"/>
      <c r="R229" s="685"/>
      <c r="S229" s="243"/>
      <c r="T229" s="866"/>
      <c r="U229" s="243"/>
      <c r="V229" s="243"/>
      <c r="W229" s="243"/>
      <c r="X229" s="243"/>
      <c r="Y229" s="243"/>
      <c r="Z229" s="243"/>
      <c r="AA229" s="686"/>
      <c r="AB229" s="859"/>
      <c r="AC229" s="342"/>
      <c r="AD229" s="342"/>
      <c r="AE229" s="342"/>
      <c r="AF229" s="342"/>
    </row>
    <row r="230" spans="1:32" s="855" customFormat="1" ht="18" customHeight="1" x14ac:dyDescent="0.2">
      <c r="A230" s="271"/>
      <c r="B230" s="271"/>
      <c r="C230" s="684"/>
      <c r="D230" s="177"/>
      <c r="E230" s="177"/>
      <c r="F230" s="863"/>
      <c r="G230" s="271"/>
      <c r="H230" s="864"/>
      <c r="I230" s="243"/>
      <c r="J230" s="275"/>
      <c r="K230" s="279"/>
      <c r="L230" s="271"/>
      <c r="M230" s="865"/>
      <c r="N230" s="271"/>
      <c r="O230" s="271"/>
      <c r="P230" s="864"/>
      <c r="Q230" s="684"/>
      <c r="R230" s="685"/>
      <c r="S230" s="243"/>
      <c r="T230" s="866"/>
      <c r="U230" s="243"/>
      <c r="V230" s="243"/>
      <c r="W230" s="243"/>
      <c r="X230" s="243"/>
      <c r="Y230" s="243"/>
      <c r="Z230" s="243"/>
      <c r="AA230" s="686"/>
      <c r="AB230" s="859"/>
      <c r="AC230" s="342"/>
      <c r="AD230" s="342"/>
      <c r="AE230" s="342"/>
      <c r="AF230" s="342"/>
    </row>
    <row r="231" spans="1:32" s="855" customFormat="1" ht="18" customHeight="1" x14ac:dyDescent="0.2">
      <c r="A231" s="177"/>
      <c r="B231" s="177"/>
      <c r="C231" s="177"/>
      <c r="D231" s="177"/>
      <c r="E231" s="177"/>
      <c r="F231" s="177"/>
      <c r="G231" s="177"/>
      <c r="H231" s="683"/>
      <c r="I231" s="243"/>
      <c r="J231" s="275"/>
      <c r="K231" s="279"/>
      <c r="L231" s="271"/>
      <c r="M231" s="867"/>
      <c r="N231" s="177"/>
      <c r="O231" s="271"/>
      <c r="P231" s="864"/>
      <c r="Q231" s="684"/>
      <c r="R231" s="685"/>
      <c r="S231" s="243"/>
      <c r="T231" s="866"/>
      <c r="U231" s="243"/>
      <c r="V231" s="243"/>
      <c r="W231" s="243"/>
      <c r="X231" s="243"/>
      <c r="Y231" s="243"/>
      <c r="Z231" s="243"/>
      <c r="AA231" s="686"/>
      <c r="AB231" s="859"/>
      <c r="AC231" s="342"/>
      <c r="AD231" s="342"/>
      <c r="AE231" s="342"/>
      <c r="AF231" s="342"/>
    </row>
    <row r="232" spans="1:32" s="855" customFormat="1" ht="18" customHeight="1" x14ac:dyDescent="0.2">
      <c r="A232" s="868"/>
      <c r="B232" s="869"/>
      <c r="C232" s="870"/>
      <c r="D232" s="871"/>
      <c r="E232" s="869"/>
      <c r="F232" s="869"/>
      <c r="G232" s="869"/>
      <c r="H232" s="869"/>
      <c r="I232" s="872"/>
      <c r="J232" s="871"/>
      <c r="K232" s="873"/>
      <c r="L232" s="281"/>
      <c r="M232" s="177"/>
      <c r="N232" s="177"/>
      <c r="O232" s="271"/>
      <c r="P232" s="861"/>
      <c r="Q232" s="691"/>
      <c r="R232" s="685"/>
      <c r="S232" s="243"/>
      <c r="T232" s="862"/>
      <c r="U232" s="295"/>
      <c r="V232" s="295"/>
      <c r="W232" s="243"/>
      <c r="X232" s="295"/>
      <c r="Y232" s="243"/>
      <c r="Z232" s="243"/>
      <c r="AA232" s="686"/>
      <c r="AB232" s="859"/>
      <c r="AC232" s="342"/>
      <c r="AD232" s="342"/>
      <c r="AE232" s="342"/>
      <c r="AF232" s="342"/>
    </row>
    <row r="233" spans="1:32" s="855" customFormat="1" ht="18" customHeight="1" x14ac:dyDescent="0.2">
      <c r="A233" s="281"/>
      <c r="B233" s="281"/>
      <c r="C233" s="691"/>
      <c r="D233" s="180"/>
      <c r="E233" s="180"/>
      <c r="F233" s="860"/>
      <c r="G233" s="281"/>
      <c r="H233" s="861"/>
      <c r="I233" s="280"/>
      <c r="J233" s="280"/>
      <c r="K233" s="279"/>
      <c r="L233" s="281"/>
      <c r="M233" s="281"/>
      <c r="N233" s="281"/>
      <c r="O233" s="281"/>
      <c r="P233" s="861"/>
      <c r="Q233" s="691"/>
      <c r="R233" s="692"/>
      <c r="S233" s="295"/>
      <c r="T233" s="862"/>
      <c r="U233" s="295"/>
      <c r="V233" s="295"/>
      <c r="W233" s="243"/>
      <c r="X233" s="295"/>
      <c r="Y233" s="243"/>
      <c r="Z233" s="243"/>
      <c r="AA233" s="686"/>
      <c r="AB233" s="688"/>
      <c r="AC233" s="342"/>
      <c r="AD233" s="342"/>
      <c r="AE233" s="342"/>
      <c r="AF233" s="342"/>
    </row>
    <row r="234" spans="1:32" s="855" customFormat="1" ht="18" customHeight="1" x14ac:dyDescent="0.2">
      <c r="A234" s="177"/>
      <c r="B234" s="177"/>
      <c r="C234" s="177"/>
      <c r="D234" s="177"/>
      <c r="E234" s="177"/>
      <c r="F234" s="177"/>
      <c r="G234" s="177"/>
      <c r="H234" s="274"/>
      <c r="I234" s="275"/>
      <c r="J234" s="275"/>
      <c r="K234" s="275"/>
      <c r="L234" s="177"/>
      <c r="M234" s="177"/>
      <c r="N234" s="177"/>
      <c r="O234" s="177"/>
      <c r="P234" s="274"/>
      <c r="Q234" s="276"/>
      <c r="R234" s="661"/>
      <c r="S234" s="275"/>
      <c r="T234" s="277"/>
      <c r="U234" s="275"/>
      <c r="V234" s="275"/>
      <c r="W234" s="275"/>
      <c r="X234" s="662"/>
      <c r="Y234" s="662"/>
      <c r="Z234" s="663"/>
      <c r="AA234" s="663"/>
      <c r="AB234" s="664"/>
      <c r="AC234" s="342"/>
      <c r="AD234" s="342"/>
      <c r="AE234" s="342"/>
      <c r="AF234" s="342"/>
    </row>
    <row r="235" spans="1:32" s="855" customFormat="1" ht="18" customHeight="1" x14ac:dyDescent="0.2">
      <c r="A235" s="177"/>
      <c r="B235" s="177"/>
      <c r="C235" s="177"/>
      <c r="D235" s="177"/>
      <c r="E235" s="177"/>
      <c r="F235" s="177"/>
      <c r="G235" s="177"/>
      <c r="H235" s="274"/>
      <c r="I235" s="275"/>
      <c r="J235" s="275"/>
      <c r="K235" s="275"/>
      <c r="L235" s="177"/>
      <c r="M235" s="177"/>
      <c r="N235" s="177"/>
      <c r="O235" s="177"/>
      <c r="P235" s="274"/>
      <c r="Q235" s="276"/>
      <c r="R235" s="661"/>
      <c r="S235" s="275"/>
      <c r="T235" s="277"/>
      <c r="U235" s="275"/>
      <c r="V235" s="275"/>
      <c r="W235" s="275"/>
      <c r="X235" s="662"/>
      <c r="Y235" s="662"/>
      <c r="Z235" s="663"/>
      <c r="AA235" s="663"/>
      <c r="AB235" s="664"/>
      <c r="AC235" s="342"/>
      <c r="AD235" s="342"/>
      <c r="AE235" s="342"/>
      <c r="AF235" s="342"/>
    </row>
    <row r="236" spans="1:32" s="855" customFormat="1" ht="18" customHeight="1" x14ac:dyDescent="0.2">
      <c r="A236" s="177"/>
      <c r="B236" s="177"/>
      <c r="C236" s="177"/>
      <c r="D236" s="177"/>
      <c r="E236" s="177"/>
      <c r="F236" s="177"/>
      <c r="G236" s="177"/>
      <c r="H236" s="274"/>
      <c r="I236" s="275"/>
      <c r="J236" s="275"/>
      <c r="K236" s="275"/>
      <c r="L236" s="177"/>
      <c r="M236" s="177"/>
      <c r="N236" s="177"/>
      <c r="O236" s="177"/>
      <c r="P236" s="274"/>
      <c r="Q236" s="276"/>
      <c r="R236" s="661"/>
      <c r="S236" s="275"/>
      <c r="T236" s="277"/>
      <c r="U236" s="275"/>
      <c r="V236" s="275"/>
      <c r="W236" s="275"/>
      <c r="X236" s="662"/>
      <c r="Y236" s="662"/>
      <c r="Z236" s="663"/>
      <c r="AA236" s="663"/>
      <c r="AB236" s="664"/>
      <c r="AC236" s="342"/>
      <c r="AD236" s="342"/>
      <c r="AE236" s="342"/>
      <c r="AF236" s="342"/>
    </row>
    <row r="237" spans="1:32" s="855" customFormat="1" ht="18" customHeight="1" x14ac:dyDescent="0.2">
      <c r="A237" s="180"/>
      <c r="B237" s="180"/>
      <c r="C237" s="180"/>
      <c r="D237" s="180"/>
      <c r="E237" s="180"/>
      <c r="F237" s="180"/>
      <c r="G237" s="180"/>
      <c r="H237" s="315"/>
      <c r="I237" s="280"/>
      <c r="J237" s="280"/>
      <c r="K237" s="280"/>
      <c r="L237" s="180"/>
      <c r="M237" s="180"/>
      <c r="N237" s="180"/>
      <c r="O237" s="180"/>
      <c r="P237" s="180"/>
      <c r="Q237" s="316"/>
      <c r="R237" s="694"/>
      <c r="S237" s="280"/>
      <c r="T237" s="317"/>
      <c r="U237" s="280"/>
      <c r="V237" s="280"/>
      <c r="W237" s="280"/>
      <c r="X237" s="695"/>
      <c r="Y237" s="695"/>
      <c r="Z237" s="696"/>
      <c r="AA237" s="696"/>
      <c r="AB237" s="688"/>
      <c r="AC237" s="354"/>
      <c r="AD237" s="354"/>
      <c r="AE237" s="354"/>
      <c r="AF237" s="354"/>
    </row>
    <row r="238" spans="1:32" s="665" customFormat="1" ht="18" customHeight="1" x14ac:dyDescent="0.2">
      <c r="A238" s="1878"/>
      <c r="B238" s="1878"/>
      <c r="C238" s="1878"/>
      <c r="D238" s="1878"/>
      <c r="E238" s="1878"/>
      <c r="F238" s="1878"/>
      <c r="G238" s="1878"/>
      <c r="H238" s="1979"/>
      <c r="I238" s="1865"/>
      <c r="J238" s="1865"/>
      <c r="K238" s="1865"/>
      <c r="L238" s="1865"/>
      <c r="M238" s="1865"/>
      <c r="N238" s="1865"/>
      <c r="O238" s="1865"/>
      <c r="P238" s="1865"/>
      <c r="Q238" s="1865"/>
      <c r="R238" s="1980"/>
      <c r="S238" s="1865"/>
      <c r="T238" s="1981"/>
      <c r="U238" s="1865"/>
      <c r="V238" s="1865"/>
      <c r="W238" s="1865"/>
      <c r="X238" s="1982"/>
      <c r="Y238" s="1982"/>
      <c r="Z238" s="1983"/>
      <c r="AA238" s="1983"/>
      <c r="AB238" s="1984">
        <f>SUM(AB223:AB237)</f>
        <v>544.26240000000007</v>
      </c>
      <c r="AC238" s="1985"/>
      <c r="AD238" s="1985"/>
      <c r="AE238" s="1985"/>
      <c r="AF238" s="1985"/>
    </row>
    <row r="239" spans="1:32" s="855" customFormat="1" ht="18" customHeight="1" x14ac:dyDescent="0.2">
      <c r="A239" s="2803" t="s">
        <v>76</v>
      </c>
      <c r="B239" s="2803"/>
      <c r="C239" s="2804" t="s">
        <v>77</v>
      </c>
      <c r="D239" s="2804"/>
      <c r="E239" s="2804"/>
      <c r="F239" s="2804"/>
      <c r="G239" s="2804"/>
      <c r="H239" s="2804"/>
      <c r="I239" s="855" t="s">
        <v>78</v>
      </c>
      <c r="AB239" s="874"/>
    </row>
    <row r="240" spans="1:32" s="855" customFormat="1" ht="18" customHeight="1" x14ac:dyDescent="0.2">
      <c r="B240" s="875"/>
      <c r="I240" s="855" t="s">
        <v>79</v>
      </c>
      <c r="AB240" s="874"/>
    </row>
    <row r="241" spans="1:32" s="855" customFormat="1" ht="18" customHeight="1" x14ac:dyDescent="0.2">
      <c r="B241" s="875"/>
      <c r="I241" s="855" t="s">
        <v>80</v>
      </c>
      <c r="AB241" s="874"/>
    </row>
    <row r="242" spans="1:32" s="855" customFormat="1" ht="18" customHeight="1" x14ac:dyDescent="0.2">
      <c r="B242" s="875"/>
      <c r="I242" s="855" t="s">
        <v>81</v>
      </c>
      <c r="AB242" s="874"/>
    </row>
    <row r="243" spans="1:32" s="855" customFormat="1" ht="18" customHeight="1" x14ac:dyDescent="0.2">
      <c r="B243" s="875"/>
      <c r="I243" s="855" t="s">
        <v>88</v>
      </c>
      <c r="AB243" s="874"/>
    </row>
    <row r="244" spans="1:32" s="457" customFormat="1" ht="18" customHeight="1" x14ac:dyDescent="0.2">
      <c r="A244" s="455"/>
      <c r="B244" s="455"/>
      <c r="C244" s="455"/>
      <c r="D244" s="455"/>
      <c r="E244" s="455"/>
      <c r="F244" s="455"/>
      <c r="G244" s="455"/>
      <c r="H244" s="455"/>
      <c r="I244" s="455"/>
      <c r="J244" s="455"/>
      <c r="K244" s="455"/>
      <c r="L244" s="455"/>
      <c r="M244" s="455"/>
      <c r="N244" s="455"/>
      <c r="O244" s="455"/>
      <c r="P244" s="455"/>
      <c r="Q244" s="455"/>
      <c r="R244" s="455"/>
      <c r="S244" s="455"/>
      <c r="T244" s="455"/>
      <c r="U244" s="455"/>
      <c r="V244" s="455"/>
      <c r="W244" s="455"/>
      <c r="X244" s="455"/>
      <c r="Y244" s="455"/>
      <c r="Z244" s="455"/>
      <c r="AA244" s="2705" t="s">
        <v>0</v>
      </c>
      <c r="AB244" s="2705"/>
      <c r="AC244" s="455"/>
      <c r="AD244" s="455"/>
      <c r="AE244" s="455"/>
      <c r="AF244" s="455"/>
    </row>
    <row r="245" spans="1:32" s="457" customFormat="1" ht="18" customHeight="1" x14ac:dyDescent="0.2">
      <c r="A245" s="2705" t="s">
        <v>1</v>
      </c>
      <c r="B245" s="2705"/>
      <c r="C245" s="2705"/>
      <c r="D245" s="2705"/>
      <c r="E245" s="2705"/>
      <c r="F245" s="2705"/>
      <c r="G245" s="2705"/>
      <c r="H245" s="2705"/>
      <c r="I245" s="2705"/>
      <c r="J245" s="2705"/>
      <c r="K245" s="2705"/>
      <c r="L245" s="2705"/>
      <c r="M245" s="2705"/>
      <c r="N245" s="2705"/>
      <c r="O245" s="2705"/>
      <c r="P245" s="2705"/>
      <c r="Q245" s="2705"/>
      <c r="R245" s="2705"/>
      <c r="S245" s="2705"/>
      <c r="T245" s="2705"/>
      <c r="U245" s="2705"/>
      <c r="V245" s="2705"/>
      <c r="W245" s="2705"/>
      <c r="X245" s="2705"/>
      <c r="Y245" s="2705"/>
      <c r="Z245" s="2705"/>
      <c r="AA245" s="2705"/>
      <c r="AB245" s="2705"/>
      <c r="AC245" s="610"/>
      <c r="AD245" s="610"/>
      <c r="AE245" s="610"/>
      <c r="AF245" s="610"/>
    </row>
    <row r="246" spans="1:32" s="457" customFormat="1" ht="18" customHeight="1" x14ac:dyDescent="0.2">
      <c r="A246" s="2704" t="s">
        <v>496</v>
      </c>
      <c r="B246" s="2704"/>
      <c r="C246" s="2704"/>
      <c r="D246" s="2704"/>
      <c r="E246" s="2704"/>
      <c r="F246" s="2704"/>
      <c r="G246" s="2704"/>
      <c r="H246" s="2704"/>
      <c r="I246" s="2704"/>
      <c r="J246" s="2704"/>
      <c r="K246" s="2704"/>
      <c r="L246" s="2704"/>
      <c r="M246" s="2704"/>
      <c r="N246" s="2704"/>
      <c r="O246" s="2704"/>
      <c r="P246" s="2704"/>
      <c r="Q246" s="2704"/>
      <c r="R246" s="2704"/>
      <c r="S246" s="2704"/>
      <c r="T246" s="2704"/>
      <c r="U246" s="2704"/>
      <c r="V246" s="2704"/>
      <c r="W246" s="2704"/>
      <c r="X246" s="2704"/>
      <c r="Y246" s="2704"/>
      <c r="Z246" s="2704"/>
      <c r="AA246" s="2704"/>
      <c r="AB246" s="2704"/>
      <c r="AC246" s="611"/>
      <c r="AD246" s="611"/>
      <c r="AE246" s="611"/>
      <c r="AF246" s="611"/>
    </row>
    <row r="247" spans="1:32" s="457" customFormat="1" ht="18" customHeight="1" x14ac:dyDescent="0.2">
      <c r="A247" s="2686" t="s">
        <v>2</v>
      </c>
      <c r="B247" s="360"/>
      <c r="C247" s="2686" t="s">
        <v>3</v>
      </c>
      <c r="D247" s="360"/>
      <c r="E247" s="360"/>
      <c r="F247" s="2693" t="s">
        <v>4</v>
      </c>
      <c r="G247" s="2693"/>
      <c r="H247" s="2693"/>
      <c r="I247" s="2694"/>
      <c r="J247" s="2694"/>
      <c r="K247" s="2695"/>
      <c r="L247" s="361"/>
      <c r="M247" s="2679" t="s">
        <v>5</v>
      </c>
      <c r="N247" s="2679"/>
      <c r="O247" s="2679"/>
      <c r="P247" s="2679"/>
      <c r="Q247" s="2696"/>
      <c r="R247" s="2696"/>
      <c r="S247" s="2696"/>
      <c r="T247" s="2696"/>
      <c r="U247" s="2696"/>
      <c r="V247" s="2697"/>
      <c r="W247" s="362" t="s">
        <v>6</v>
      </c>
      <c r="X247" s="363" t="s">
        <v>7</v>
      </c>
      <c r="Y247" s="364"/>
      <c r="Z247" s="364"/>
      <c r="AA247" s="363"/>
      <c r="AB247" s="458"/>
      <c r="AC247" s="612" t="s">
        <v>8</v>
      </c>
      <c r="AD247" s="613"/>
      <c r="AE247" s="613"/>
      <c r="AF247" s="614"/>
    </row>
    <row r="248" spans="1:32" s="457" customFormat="1" ht="18" customHeight="1" x14ac:dyDescent="0.2">
      <c r="A248" s="2687"/>
      <c r="B248" s="367"/>
      <c r="C248" s="2687"/>
      <c r="D248" s="366" t="s">
        <v>9</v>
      </c>
      <c r="E248" s="366" t="s">
        <v>10</v>
      </c>
      <c r="F248" s="2698" t="s">
        <v>11</v>
      </c>
      <c r="G248" s="2694"/>
      <c r="H248" s="2695"/>
      <c r="I248" s="360"/>
      <c r="J248" s="449" t="s">
        <v>12</v>
      </c>
      <c r="K248" s="360"/>
      <c r="L248" s="2679" t="s">
        <v>2</v>
      </c>
      <c r="M248" s="370"/>
      <c r="N248" s="370"/>
      <c r="O248" s="370"/>
      <c r="P248" s="371"/>
      <c r="Q248" s="459" t="s">
        <v>13</v>
      </c>
      <c r="R248" s="370" t="s">
        <v>12</v>
      </c>
      <c r="S248" s="370" t="s">
        <v>6</v>
      </c>
      <c r="T248" s="2682" t="s">
        <v>14</v>
      </c>
      <c r="U248" s="2683"/>
      <c r="V248" s="375" t="s">
        <v>7</v>
      </c>
      <c r="W248" s="376" t="s">
        <v>15</v>
      </c>
      <c r="X248" s="377" t="s">
        <v>16</v>
      </c>
      <c r="Y248" s="377" t="s">
        <v>17</v>
      </c>
      <c r="Z248" s="377" t="s">
        <v>18</v>
      </c>
      <c r="AA248" s="377"/>
      <c r="AB248" s="460" t="s">
        <v>19</v>
      </c>
      <c r="AC248" s="615" t="s">
        <v>20</v>
      </c>
      <c r="AD248" s="616"/>
      <c r="AE248" s="617" t="s">
        <v>21</v>
      </c>
      <c r="AF248" s="618" t="s">
        <v>22</v>
      </c>
    </row>
    <row r="249" spans="1:32" s="457" customFormat="1" ht="18" customHeight="1" x14ac:dyDescent="0.2">
      <c r="A249" s="2687"/>
      <c r="B249" s="366" t="s">
        <v>23</v>
      </c>
      <c r="C249" s="2687"/>
      <c r="D249" s="366" t="s">
        <v>24</v>
      </c>
      <c r="E249" s="366" t="s">
        <v>25</v>
      </c>
      <c r="F249" s="2699"/>
      <c r="G249" s="2700"/>
      <c r="H249" s="2701"/>
      <c r="I249" s="366" t="s">
        <v>26</v>
      </c>
      <c r="J249" s="380" t="s">
        <v>15</v>
      </c>
      <c r="K249" s="380" t="s">
        <v>6</v>
      </c>
      <c r="L249" s="2680"/>
      <c r="M249" s="381" t="s">
        <v>27</v>
      </c>
      <c r="N249" s="381" t="s">
        <v>10</v>
      </c>
      <c r="O249" s="381" t="s">
        <v>10</v>
      </c>
      <c r="P249" s="385" t="s">
        <v>28</v>
      </c>
      <c r="Q249" s="461" t="s">
        <v>29</v>
      </c>
      <c r="R249" s="385" t="s">
        <v>15</v>
      </c>
      <c r="S249" s="385" t="s">
        <v>15</v>
      </c>
      <c r="T249" s="2684"/>
      <c r="U249" s="2685"/>
      <c r="V249" s="375" t="s">
        <v>30</v>
      </c>
      <c r="W249" s="376" t="s">
        <v>31</v>
      </c>
      <c r="X249" s="377" t="s">
        <v>30</v>
      </c>
      <c r="Y249" s="377" t="s">
        <v>32</v>
      </c>
      <c r="Z249" s="377" t="s">
        <v>7</v>
      </c>
      <c r="AA249" s="377" t="s">
        <v>33</v>
      </c>
      <c r="AB249" s="460" t="s">
        <v>34</v>
      </c>
      <c r="AC249" s="615" t="s">
        <v>35</v>
      </c>
      <c r="AD249" s="617" t="s">
        <v>36</v>
      </c>
      <c r="AE249" s="617" t="s">
        <v>37</v>
      </c>
      <c r="AF249" s="618" t="s">
        <v>38</v>
      </c>
    </row>
    <row r="250" spans="1:32" s="457" customFormat="1" ht="18" customHeight="1" x14ac:dyDescent="0.2">
      <c r="A250" s="2687"/>
      <c r="B250" s="366" t="s">
        <v>39</v>
      </c>
      <c r="C250" s="2687"/>
      <c r="D250" s="366" t="s">
        <v>40</v>
      </c>
      <c r="E250" s="366" t="s">
        <v>41</v>
      </c>
      <c r="F250" s="2686" t="s">
        <v>42</v>
      </c>
      <c r="G250" s="2686" t="s">
        <v>43</v>
      </c>
      <c r="H250" s="2688" t="s">
        <v>44</v>
      </c>
      <c r="I250" s="366" t="s">
        <v>45</v>
      </c>
      <c r="J250" s="380" t="s">
        <v>46</v>
      </c>
      <c r="K250" s="380" t="s">
        <v>47</v>
      </c>
      <c r="L250" s="2680"/>
      <c r="M250" s="381" t="s">
        <v>30</v>
      </c>
      <c r="N250" s="381" t="s">
        <v>30</v>
      </c>
      <c r="O250" s="381" t="s">
        <v>25</v>
      </c>
      <c r="P250" s="385" t="s">
        <v>30</v>
      </c>
      <c r="Q250" s="461" t="s">
        <v>48</v>
      </c>
      <c r="R250" s="385" t="s">
        <v>49</v>
      </c>
      <c r="S250" s="385" t="s">
        <v>30</v>
      </c>
      <c r="T250" s="374" t="s">
        <v>50</v>
      </c>
      <c r="U250" s="374" t="s">
        <v>13</v>
      </c>
      <c r="V250" s="375" t="s">
        <v>51</v>
      </c>
      <c r="W250" s="376" t="s">
        <v>52</v>
      </c>
      <c r="X250" s="377" t="s">
        <v>53</v>
      </c>
      <c r="Y250" s="377" t="s">
        <v>54</v>
      </c>
      <c r="Z250" s="377" t="s">
        <v>55</v>
      </c>
      <c r="AA250" s="377" t="s">
        <v>56</v>
      </c>
      <c r="AB250" s="460" t="s">
        <v>57</v>
      </c>
      <c r="AC250" s="617" t="s">
        <v>58</v>
      </c>
      <c r="AD250" s="617" t="s">
        <v>59</v>
      </c>
      <c r="AE250" s="617" t="s">
        <v>59</v>
      </c>
      <c r="AF250" s="618" t="s">
        <v>60</v>
      </c>
    </row>
    <row r="251" spans="1:32" s="457" customFormat="1" ht="18" customHeight="1" x14ac:dyDescent="0.2">
      <c r="A251" s="2687"/>
      <c r="B251" s="366" t="s">
        <v>61</v>
      </c>
      <c r="C251" s="2687"/>
      <c r="D251" s="366" t="s">
        <v>62</v>
      </c>
      <c r="E251" s="366" t="s">
        <v>63</v>
      </c>
      <c r="F251" s="2687"/>
      <c r="G251" s="2687"/>
      <c r="H251" s="2689"/>
      <c r="I251" s="366" t="s">
        <v>64</v>
      </c>
      <c r="J251" s="380" t="s">
        <v>59</v>
      </c>
      <c r="K251" s="380" t="s">
        <v>59</v>
      </c>
      <c r="L251" s="2680"/>
      <c r="M251" s="381"/>
      <c r="N251" s="381"/>
      <c r="O251" s="381" t="s">
        <v>41</v>
      </c>
      <c r="P251" s="385" t="s">
        <v>65</v>
      </c>
      <c r="Q251" s="461" t="s">
        <v>66</v>
      </c>
      <c r="R251" s="385" t="s">
        <v>67</v>
      </c>
      <c r="S251" s="385" t="s">
        <v>59</v>
      </c>
      <c r="T251" s="375" t="s">
        <v>68</v>
      </c>
      <c r="U251" s="375" t="s">
        <v>14</v>
      </c>
      <c r="V251" s="375" t="s">
        <v>14</v>
      </c>
      <c r="W251" s="376" t="s">
        <v>30</v>
      </c>
      <c r="X251" s="388" t="s">
        <v>69</v>
      </c>
      <c r="Y251" s="388" t="s">
        <v>70</v>
      </c>
      <c r="Z251" s="377" t="s">
        <v>71</v>
      </c>
      <c r="AA251" s="377" t="s">
        <v>72</v>
      </c>
      <c r="AB251" s="460" t="s">
        <v>59</v>
      </c>
      <c r="AC251" s="617" t="s">
        <v>59</v>
      </c>
      <c r="AD251" s="617"/>
      <c r="AE251" s="617"/>
      <c r="AF251" s="618" t="s">
        <v>59</v>
      </c>
    </row>
    <row r="252" spans="1:32" s="457" customFormat="1" ht="18" customHeight="1" x14ac:dyDescent="0.2">
      <c r="A252" s="2692"/>
      <c r="B252" s="390"/>
      <c r="C252" s="2692"/>
      <c r="D252" s="390"/>
      <c r="E252" s="389"/>
      <c r="F252" s="390"/>
      <c r="G252" s="390"/>
      <c r="H252" s="391"/>
      <c r="I252" s="389"/>
      <c r="J252" s="393"/>
      <c r="K252" s="393"/>
      <c r="L252" s="2681"/>
      <c r="M252" s="394"/>
      <c r="N252" s="394"/>
      <c r="O252" s="394" t="s">
        <v>63</v>
      </c>
      <c r="P252" s="394"/>
      <c r="Q252" s="450" t="s">
        <v>72</v>
      </c>
      <c r="R252" s="398" t="s">
        <v>59</v>
      </c>
      <c r="S252" s="398"/>
      <c r="T252" s="398" t="s">
        <v>73</v>
      </c>
      <c r="U252" s="398" t="s">
        <v>59</v>
      </c>
      <c r="V252" s="399" t="s">
        <v>59</v>
      </c>
      <c r="W252" s="400" t="s">
        <v>59</v>
      </c>
      <c r="X252" s="401" t="s">
        <v>59</v>
      </c>
      <c r="Y252" s="401" t="s">
        <v>59</v>
      </c>
      <c r="Z252" s="401" t="s">
        <v>59</v>
      </c>
      <c r="AA252" s="402"/>
      <c r="AB252" s="462"/>
      <c r="AC252" s="625"/>
      <c r="AD252" s="625"/>
      <c r="AE252" s="625"/>
      <c r="AF252" s="626"/>
    </row>
    <row r="253" spans="1:32" s="457" customFormat="1" ht="18" customHeight="1" x14ac:dyDescent="0.25">
      <c r="A253" s="53">
        <v>1</v>
      </c>
      <c r="B253" s="333">
        <v>1943</v>
      </c>
      <c r="C253" s="41">
        <v>112</v>
      </c>
      <c r="D253" s="41" t="s">
        <v>215</v>
      </c>
      <c r="E253" s="41">
        <v>5</v>
      </c>
      <c r="F253" s="41">
        <v>0</v>
      </c>
      <c r="G253" s="41">
        <v>1</v>
      </c>
      <c r="H253" s="267">
        <v>20</v>
      </c>
      <c r="I253" s="77">
        <f>F253*400+G253*100+H253</f>
        <v>120</v>
      </c>
      <c r="J253" s="667">
        <v>2300</v>
      </c>
      <c r="K253" s="78">
        <f>SUM(I253*J253)</f>
        <v>276000</v>
      </c>
      <c r="L253" s="45"/>
      <c r="M253" s="27">
        <v>106</v>
      </c>
      <c r="N253" s="15" t="s">
        <v>96</v>
      </c>
      <c r="O253" s="27">
        <v>5</v>
      </c>
      <c r="P253" s="294">
        <v>158.94</v>
      </c>
      <c r="Q253" s="27">
        <v>100</v>
      </c>
      <c r="R253" s="294">
        <v>7950</v>
      </c>
      <c r="S253" s="70">
        <f>+P253*R253</f>
        <v>1263573</v>
      </c>
      <c r="T253" s="1539">
        <v>53</v>
      </c>
      <c r="U253" s="125">
        <f>+S253*0.85</f>
        <v>1074037.05</v>
      </c>
      <c r="V253" s="70">
        <f>+S253-U253</f>
        <v>189535.94999999995</v>
      </c>
      <c r="W253" s="70">
        <f>K253+V253</f>
        <v>465535.94999999995</v>
      </c>
      <c r="X253" s="2019">
        <f>W253</f>
        <v>465535.94999999995</v>
      </c>
      <c r="Y253" s="294"/>
      <c r="Z253" s="45"/>
      <c r="AA253" s="27">
        <v>0.02</v>
      </c>
      <c r="AB253" s="199"/>
      <c r="AC253" s="602"/>
      <c r="AD253" s="603" t="e">
        <f>#REF!-AC253</f>
        <v>#REF!</v>
      </c>
      <c r="AE253" s="603" t="e">
        <f>IF(AD253&lt;=0,0,AD253*25/100)</f>
        <v>#REF!</v>
      </c>
      <c r="AF253" s="603" t="e">
        <f>IF(AC253+AE253&gt;#REF!,#REF!,AC253+AE253)</f>
        <v>#REF!</v>
      </c>
    </row>
    <row r="254" spans="1:32" s="457" customFormat="1" ht="18" customHeight="1" x14ac:dyDescent="0.2">
      <c r="A254" s="75"/>
      <c r="B254" s="15"/>
      <c r="C254" s="15"/>
      <c r="D254" s="15"/>
      <c r="E254" s="15"/>
      <c r="F254" s="15"/>
      <c r="G254" s="15"/>
      <c r="H254" s="284"/>
      <c r="I254" s="296"/>
      <c r="J254" s="759"/>
      <c r="K254" s="297"/>
      <c r="L254" s="50">
        <v>1</v>
      </c>
      <c r="M254" s="145">
        <v>106</v>
      </c>
      <c r="N254" s="15" t="s">
        <v>96</v>
      </c>
      <c r="O254" s="50">
        <v>2</v>
      </c>
      <c r="P254" s="15">
        <v>120.54</v>
      </c>
      <c r="Q254" s="76" t="s">
        <v>225</v>
      </c>
      <c r="R254" s="791">
        <v>7950</v>
      </c>
      <c r="S254" s="70">
        <f t="shared" ref="S254:S255" si="66">+P254*R254</f>
        <v>958293</v>
      </c>
      <c r="T254" s="2020">
        <v>24</v>
      </c>
      <c r="U254" s="125">
        <f>+S254*0.85</f>
        <v>814549.04999999993</v>
      </c>
      <c r="V254" s="70">
        <f>+S254-U254</f>
        <v>143743.95000000007</v>
      </c>
      <c r="W254" s="70">
        <f>K254+V254</f>
        <v>143743.95000000007</v>
      </c>
      <c r="X254" s="70">
        <f>W254*Q254/100</f>
        <v>109015.41168000005</v>
      </c>
      <c r="Y254" s="792" t="s">
        <v>87</v>
      </c>
      <c r="Z254" s="296">
        <v>0</v>
      </c>
      <c r="AA254" s="494">
        <v>0.02</v>
      </c>
      <c r="AB254" s="466">
        <f>+Z254*AA254/100</f>
        <v>0</v>
      </c>
      <c r="AC254" s="350"/>
      <c r="AD254" s="350"/>
      <c r="AE254" s="350"/>
      <c r="AF254" s="350"/>
    </row>
    <row r="255" spans="1:32" s="457" customFormat="1" ht="18" customHeight="1" x14ac:dyDescent="0.2">
      <c r="A255" s="145"/>
      <c r="B255" s="21"/>
      <c r="C255" s="21"/>
      <c r="D255" s="15"/>
      <c r="E255" s="15"/>
      <c r="F255" s="15"/>
      <c r="G255" s="15"/>
      <c r="H255" s="22"/>
      <c r="I255" s="306"/>
      <c r="J255" s="813"/>
      <c r="K255" s="306"/>
      <c r="L255" s="50">
        <v>2</v>
      </c>
      <c r="M255" s="145">
        <v>103</v>
      </c>
      <c r="N255" s="15" t="s">
        <v>74</v>
      </c>
      <c r="O255" s="50">
        <v>3</v>
      </c>
      <c r="P255" s="15">
        <v>38.4</v>
      </c>
      <c r="Q255" s="76" t="s">
        <v>226</v>
      </c>
      <c r="R255" s="672">
        <v>9050</v>
      </c>
      <c r="S255" s="70">
        <f t="shared" si="66"/>
        <v>347520</v>
      </c>
      <c r="T255" s="2020">
        <v>24</v>
      </c>
      <c r="U255" s="125">
        <f>+S255*0.38</f>
        <v>132057.60000000001</v>
      </c>
      <c r="V255" s="70">
        <f>+S255-U255</f>
        <v>215462.39999999999</v>
      </c>
      <c r="W255" s="70">
        <f>K255+V255</f>
        <v>215462.39999999999</v>
      </c>
      <c r="X255" s="70">
        <f>W255*Q255/100</f>
        <v>52055.715839999997</v>
      </c>
      <c r="Y255" s="792"/>
      <c r="Z255" s="74">
        <f>+X255</f>
        <v>52055.715839999997</v>
      </c>
      <c r="AA255" s="494">
        <v>0.3</v>
      </c>
      <c r="AB255" s="415">
        <f>+Z255*AA255/100</f>
        <v>156.16714751999999</v>
      </c>
      <c r="AC255" s="350"/>
      <c r="AD255" s="350"/>
      <c r="AE255" s="350"/>
      <c r="AF255" s="350"/>
    </row>
    <row r="256" spans="1:32" s="457" customFormat="1" ht="18" customHeight="1" x14ac:dyDescent="0.2">
      <c r="A256" s="145"/>
      <c r="B256" s="177"/>
      <c r="C256" s="177"/>
      <c r="D256" s="145"/>
      <c r="E256" s="145"/>
      <c r="F256" s="145"/>
      <c r="G256" s="145"/>
      <c r="H256" s="147"/>
      <c r="I256" s="107"/>
      <c r="J256" s="178"/>
      <c r="K256" s="107"/>
      <c r="L256" s="61"/>
      <c r="M256" s="145"/>
      <c r="N256" s="145"/>
      <c r="O256" s="61"/>
      <c r="P256" s="145"/>
      <c r="Q256" s="196"/>
      <c r="R256" s="408"/>
      <c r="S256" s="77"/>
      <c r="T256" s="803"/>
      <c r="U256" s="77"/>
      <c r="V256" s="107"/>
      <c r="W256" s="121"/>
      <c r="X256" s="107"/>
      <c r="Y256" s="676"/>
      <c r="Z256" s="77"/>
      <c r="AA256" s="409"/>
      <c r="AB256" s="415"/>
      <c r="AC256" s="350"/>
      <c r="AD256" s="350"/>
      <c r="AE256" s="350"/>
      <c r="AF256" s="350"/>
    </row>
    <row r="257" spans="1:32" s="457" customFormat="1" ht="18" customHeight="1" x14ac:dyDescent="0.2">
      <c r="A257" s="145"/>
      <c r="B257" s="177"/>
      <c r="C257" s="177"/>
      <c r="D257" s="145"/>
      <c r="E257" s="145"/>
      <c r="F257" s="145"/>
      <c r="G257" s="145"/>
      <c r="H257" s="147"/>
      <c r="I257" s="107"/>
      <c r="J257" s="178"/>
      <c r="K257" s="107"/>
      <c r="L257" s="145"/>
      <c r="M257" s="145"/>
      <c r="N257" s="145"/>
      <c r="O257" s="145"/>
      <c r="P257" s="147"/>
      <c r="Q257" s="148"/>
      <c r="R257" s="437"/>
      <c r="S257" s="107"/>
      <c r="T257" s="179"/>
      <c r="U257" s="178"/>
      <c r="V257" s="107"/>
      <c r="W257" s="107"/>
      <c r="X257" s="470"/>
      <c r="Y257" s="470"/>
      <c r="Z257" s="471"/>
      <c r="AA257" s="471"/>
      <c r="AB257" s="466"/>
      <c r="AC257" s="350"/>
      <c r="AD257" s="350"/>
      <c r="AE257" s="350"/>
      <c r="AF257" s="350"/>
    </row>
    <row r="258" spans="1:32" s="457" customFormat="1" ht="18" customHeight="1" x14ac:dyDescent="0.2">
      <c r="A258" s="145"/>
      <c r="B258" s="177"/>
      <c r="C258" s="177"/>
      <c r="D258" s="145"/>
      <c r="E258" s="145"/>
      <c r="F258" s="145"/>
      <c r="G258" s="145"/>
      <c r="H258" s="147"/>
      <c r="I258" s="107"/>
      <c r="J258" s="178"/>
      <c r="K258" s="107"/>
      <c r="L258" s="145"/>
      <c r="M258" s="145"/>
      <c r="N258" s="145"/>
      <c r="O258" s="145"/>
      <c r="P258" s="147"/>
      <c r="Q258" s="148"/>
      <c r="R258" s="437"/>
      <c r="S258" s="107"/>
      <c r="T258" s="179"/>
      <c r="U258" s="178"/>
      <c r="V258" s="107"/>
      <c r="W258" s="107"/>
      <c r="X258" s="470"/>
      <c r="Y258" s="470"/>
      <c r="Z258" s="471"/>
      <c r="AA258" s="471"/>
      <c r="AB258" s="466"/>
      <c r="AC258" s="350"/>
      <c r="AD258" s="350"/>
      <c r="AE258" s="350"/>
      <c r="AF258" s="350"/>
    </row>
    <row r="259" spans="1:32" s="457" customFormat="1" ht="18" customHeight="1" x14ac:dyDescent="0.2">
      <c r="A259" s="145"/>
      <c r="B259" s="177"/>
      <c r="C259" s="177"/>
      <c r="D259" s="145"/>
      <c r="E259" s="145"/>
      <c r="F259" s="145"/>
      <c r="G259" s="145"/>
      <c r="H259" s="147"/>
      <c r="I259" s="107"/>
      <c r="J259" s="178"/>
      <c r="K259" s="107"/>
      <c r="L259" s="145"/>
      <c r="M259" s="145"/>
      <c r="N259" s="145"/>
      <c r="O259" s="145"/>
      <c r="P259" s="147"/>
      <c r="Q259" s="148"/>
      <c r="R259" s="437"/>
      <c r="S259" s="107"/>
      <c r="T259" s="179"/>
      <c r="U259" s="178"/>
      <c r="V259" s="107"/>
      <c r="W259" s="107"/>
      <c r="X259" s="470"/>
      <c r="Y259" s="470"/>
      <c r="Z259" s="471"/>
      <c r="AA259" s="471"/>
      <c r="AB259" s="466"/>
      <c r="AC259" s="350"/>
      <c r="AD259" s="350"/>
      <c r="AE259" s="350"/>
      <c r="AF259" s="350"/>
    </row>
    <row r="260" spans="1:32" s="457" customFormat="1" ht="18" customHeight="1" x14ac:dyDescent="0.2">
      <c r="A260" s="145"/>
      <c r="B260" s="177"/>
      <c r="C260" s="177"/>
      <c r="D260" s="145"/>
      <c r="E260" s="145"/>
      <c r="F260" s="145"/>
      <c r="G260" s="145"/>
      <c r="H260" s="147"/>
      <c r="I260" s="107"/>
      <c r="J260" s="178"/>
      <c r="K260" s="107"/>
      <c r="L260" s="145"/>
      <c r="M260" s="145"/>
      <c r="N260" s="145"/>
      <c r="O260" s="145"/>
      <c r="P260" s="147"/>
      <c r="Q260" s="148"/>
      <c r="R260" s="437"/>
      <c r="S260" s="107"/>
      <c r="T260" s="179"/>
      <c r="U260" s="178"/>
      <c r="V260" s="107"/>
      <c r="W260" s="107"/>
      <c r="X260" s="470"/>
      <c r="Y260" s="470"/>
      <c r="Z260" s="471"/>
      <c r="AA260" s="471"/>
      <c r="AB260" s="466"/>
      <c r="AC260" s="350"/>
      <c r="AD260" s="350"/>
      <c r="AE260" s="350"/>
      <c r="AF260" s="350"/>
    </row>
    <row r="261" spans="1:32" s="457" customFormat="1" ht="18" customHeight="1" x14ac:dyDescent="0.2">
      <c r="A261" s="145"/>
      <c r="B261" s="177"/>
      <c r="C261" s="177"/>
      <c r="D261" s="145"/>
      <c r="E261" s="145"/>
      <c r="F261" s="145"/>
      <c r="G261" s="145"/>
      <c r="H261" s="147"/>
      <c r="I261" s="107"/>
      <c r="J261" s="178"/>
      <c r="K261" s="107"/>
      <c r="L261" s="145"/>
      <c r="M261" s="145"/>
      <c r="N261" s="145"/>
      <c r="O261" s="145"/>
      <c r="P261" s="147"/>
      <c r="Q261" s="148"/>
      <c r="R261" s="437"/>
      <c r="S261" s="107"/>
      <c r="T261" s="179"/>
      <c r="U261" s="178"/>
      <c r="V261" s="107"/>
      <c r="W261" s="107"/>
      <c r="X261" s="470"/>
      <c r="Y261" s="470"/>
      <c r="Z261" s="471"/>
      <c r="AA261" s="471"/>
      <c r="AB261" s="466"/>
      <c r="AC261" s="350"/>
      <c r="AD261" s="350"/>
      <c r="AE261" s="350"/>
      <c r="AF261" s="350"/>
    </row>
    <row r="262" spans="1:32" s="457" customFormat="1" ht="18" customHeight="1" x14ac:dyDescent="0.2">
      <c r="A262" s="145"/>
      <c r="B262" s="177"/>
      <c r="C262" s="177"/>
      <c r="D262" s="145"/>
      <c r="E262" s="145"/>
      <c r="F262" s="145"/>
      <c r="G262" s="145"/>
      <c r="H262" s="147"/>
      <c r="I262" s="107"/>
      <c r="J262" s="178"/>
      <c r="K262" s="107"/>
      <c r="L262" s="145"/>
      <c r="M262" s="145"/>
      <c r="N262" s="145"/>
      <c r="O262" s="145"/>
      <c r="P262" s="147"/>
      <c r="Q262" s="148"/>
      <c r="R262" s="437"/>
      <c r="S262" s="107"/>
      <c r="T262" s="179"/>
      <c r="U262" s="178"/>
      <c r="V262" s="107"/>
      <c r="W262" s="107"/>
      <c r="X262" s="470"/>
      <c r="Y262" s="470"/>
      <c r="Z262" s="471"/>
      <c r="AA262" s="471"/>
      <c r="AB262" s="466"/>
      <c r="AC262" s="350"/>
      <c r="AD262" s="350"/>
      <c r="AE262" s="350"/>
      <c r="AF262" s="350"/>
    </row>
    <row r="263" spans="1:32" s="457" customFormat="1" ht="18" customHeight="1" x14ac:dyDescent="0.2">
      <c r="A263" s="145"/>
      <c r="B263" s="177"/>
      <c r="C263" s="177"/>
      <c r="D263" s="145"/>
      <c r="E263" s="145"/>
      <c r="F263" s="145"/>
      <c r="G263" s="145"/>
      <c r="H263" s="147"/>
      <c r="I263" s="107"/>
      <c r="J263" s="178"/>
      <c r="K263" s="107"/>
      <c r="L263" s="145"/>
      <c r="M263" s="145"/>
      <c r="N263" s="145"/>
      <c r="O263" s="145"/>
      <c r="P263" s="147"/>
      <c r="Q263" s="148"/>
      <c r="R263" s="437"/>
      <c r="S263" s="107"/>
      <c r="T263" s="179"/>
      <c r="U263" s="178"/>
      <c r="V263" s="107"/>
      <c r="W263" s="107"/>
      <c r="X263" s="470"/>
      <c r="Y263" s="470"/>
      <c r="Z263" s="471"/>
      <c r="AA263" s="471"/>
      <c r="AB263" s="466"/>
      <c r="AC263" s="350"/>
      <c r="AD263" s="350"/>
      <c r="AE263" s="350"/>
      <c r="AF263" s="350"/>
    </row>
    <row r="264" spans="1:32" s="457" customFormat="1" ht="18" customHeight="1" x14ac:dyDescent="0.2">
      <c r="A264" s="145"/>
      <c r="B264" s="177"/>
      <c r="C264" s="177"/>
      <c r="D264" s="145"/>
      <c r="E264" s="145"/>
      <c r="F264" s="145"/>
      <c r="G264" s="145"/>
      <c r="H264" s="147"/>
      <c r="I264" s="107"/>
      <c r="J264" s="178"/>
      <c r="K264" s="107"/>
      <c r="L264" s="145"/>
      <c r="M264" s="145"/>
      <c r="N264" s="145"/>
      <c r="O264" s="145"/>
      <c r="P264" s="147"/>
      <c r="Q264" s="148"/>
      <c r="R264" s="437"/>
      <c r="S264" s="107"/>
      <c r="T264" s="179"/>
      <c r="U264" s="178"/>
      <c r="V264" s="107"/>
      <c r="W264" s="107"/>
      <c r="X264" s="470"/>
      <c r="Y264" s="470"/>
      <c r="Z264" s="471"/>
      <c r="AA264" s="471"/>
      <c r="AB264" s="466"/>
      <c r="AC264" s="350"/>
      <c r="AD264" s="350"/>
      <c r="AE264" s="350"/>
      <c r="AF264" s="350"/>
    </row>
    <row r="265" spans="1:32" s="457" customFormat="1" ht="18" customHeight="1" x14ac:dyDescent="0.2">
      <c r="A265" s="145"/>
      <c r="B265" s="177"/>
      <c r="C265" s="177"/>
      <c r="D265" s="145"/>
      <c r="E265" s="145"/>
      <c r="F265" s="145"/>
      <c r="G265" s="145"/>
      <c r="H265" s="147"/>
      <c r="I265" s="107"/>
      <c r="J265" s="178"/>
      <c r="K265" s="107"/>
      <c r="L265" s="145"/>
      <c r="M265" s="145"/>
      <c r="N265" s="145"/>
      <c r="O265" s="145"/>
      <c r="P265" s="147"/>
      <c r="Q265" s="148"/>
      <c r="R265" s="437"/>
      <c r="S265" s="107"/>
      <c r="T265" s="179"/>
      <c r="U265" s="178"/>
      <c r="V265" s="107"/>
      <c r="W265" s="107"/>
      <c r="X265" s="470"/>
      <c r="Y265" s="470"/>
      <c r="Z265" s="471"/>
      <c r="AA265" s="471"/>
      <c r="AB265" s="466"/>
      <c r="AC265" s="350"/>
      <c r="AD265" s="350"/>
      <c r="AE265" s="350"/>
      <c r="AF265" s="350"/>
    </row>
    <row r="266" spans="1:32" s="457" customFormat="1" ht="18" customHeight="1" x14ac:dyDescent="0.2">
      <c r="A266" s="145"/>
      <c r="B266" s="177"/>
      <c r="C266" s="177"/>
      <c r="D266" s="145"/>
      <c r="E266" s="145"/>
      <c r="F266" s="145"/>
      <c r="G266" s="145"/>
      <c r="H266" s="147"/>
      <c r="I266" s="107"/>
      <c r="J266" s="178"/>
      <c r="K266" s="107"/>
      <c r="L266" s="145"/>
      <c r="M266" s="145"/>
      <c r="N266" s="145"/>
      <c r="O266" s="145"/>
      <c r="P266" s="147"/>
      <c r="Q266" s="148"/>
      <c r="R266" s="437"/>
      <c r="S266" s="107"/>
      <c r="T266" s="179"/>
      <c r="U266" s="178"/>
      <c r="V266" s="107"/>
      <c r="W266" s="107"/>
      <c r="X266" s="470"/>
      <c r="Y266" s="470"/>
      <c r="Z266" s="471"/>
      <c r="AA266" s="471"/>
      <c r="AB266" s="466"/>
      <c r="AC266" s="350"/>
      <c r="AD266" s="350"/>
      <c r="AE266" s="350"/>
      <c r="AF266" s="350"/>
    </row>
    <row r="267" spans="1:32" s="457" customFormat="1" ht="18" customHeight="1" x14ac:dyDescent="0.2">
      <c r="A267" s="88"/>
      <c r="B267" s="180"/>
      <c r="C267" s="180"/>
      <c r="D267" s="88"/>
      <c r="E267" s="88"/>
      <c r="F267" s="88"/>
      <c r="G267" s="88"/>
      <c r="H267" s="120"/>
      <c r="I267" s="121"/>
      <c r="J267" s="181"/>
      <c r="K267" s="121"/>
      <c r="L267" s="88"/>
      <c r="M267" s="88"/>
      <c r="N267" s="88"/>
      <c r="O267" s="88"/>
      <c r="P267" s="88"/>
      <c r="Q267" s="129"/>
      <c r="R267" s="445"/>
      <c r="S267" s="121"/>
      <c r="T267" s="182"/>
      <c r="U267" s="181"/>
      <c r="V267" s="121"/>
      <c r="W267" s="121"/>
      <c r="X267" s="472"/>
      <c r="Y267" s="472"/>
      <c r="Z267" s="473"/>
      <c r="AA267" s="473"/>
      <c r="AB267" s="410"/>
      <c r="AC267" s="351"/>
      <c r="AD267" s="351"/>
      <c r="AE267" s="351"/>
      <c r="AF267" s="351"/>
    </row>
    <row r="268" spans="1:32" s="597" customFormat="1" ht="18" customHeight="1" x14ac:dyDescent="0.2">
      <c r="A268" s="1850"/>
      <c r="B268" s="1850"/>
      <c r="C268" s="1850"/>
      <c r="D268" s="1850"/>
      <c r="E268" s="1850"/>
      <c r="F268" s="1850"/>
      <c r="G268" s="1850"/>
      <c r="H268" s="1851"/>
      <c r="I268" s="1852"/>
      <c r="J268" s="1853"/>
      <c r="K268" s="1852"/>
      <c r="L268" s="1852"/>
      <c r="M268" s="1852"/>
      <c r="N268" s="1852"/>
      <c r="O268" s="1852"/>
      <c r="P268" s="1852"/>
      <c r="Q268" s="1852"/>
      <c r="R268" s="1854"/>
      <c r="S268" s="1852"/>
      <c r="T268" s="1855"/>
      <c r="U268" s="1853"/>
      <c r="V268" s="1852"/>
      <c r="W268" s="1852"/>
      <c r="X268" s="1856"/>
      <c r="Y268" s="1856"/>
      <c r="Z268" s="1857"/>
      <c r="AA268" s="1857"/>
      <c r="AB268" s="1847">
        <f>SUM(AB253:AB267)</f>
        <v>156.16714751999999</v>
      </c>
      <c r="AC268" s="1861"/>
      <c r="AD268" s="1861"/>
      <c r="AE268" s="1861"/>
      <c r="AF268" s="1861"/>
    </row>
    <row r="269" spans="1:32" s="457" customFormat="1" ht="18" customHeight="1" x14ac:dyDescent="0.2">
      <c r="A269" s="2737" t="s">
        <v>76</v>
      </c>
      <c r="B269" s="2737"/>
      <c r="C269" s="2738" t="s">
        <v>77</v>
      </c>
      <c r="D269" s="2738"/>
      <c r="E269" s="2738"/>
      <c r="F269" s="2738"/>
      <c r="G269" s="2738"/>
      <c r="H269" s="2738"/>
      <c r="I269" s="457" t="s">
        <v>78</v>
      </c>
      <c r="AB269" s="478"/>
    </row>
    <row r="270" spans="1:32" s="457" customFormat="1" ht="18" customHeight="1" x14ac:dyDescent="0.2">
      <c r="B270" s="479"/>
      <c r="I270" s="457" t="s">
        <v>79</v>
      </c>
      <c r="AB270" s="478"/>
    </row>
    <row r="271" spans="1:32" s="457" customFormat="1" ht="18" customHeight="1" x14ac:dyDescent="0.2">
      <c r="B271" s="479"/>
      <c r="I271" s="457" t="s">
        <v>80</v>
      </c>
      <c r="AB271" s="478"/>
    </row>
    <row r="272" spans="1:32" s="457" customFormat="1" ht="18" customHeight="1" x14ac:dyDescent="0.2">
      <c r="B272" s="479"/>
      <c r="I272" s="457" t="s">
        <v>81</v>
      </c>
      <c r="AB272" s="478"/>
    </row>
    <row r="273" spans="1:32" s="457" customFormat="1" ht="18" customHeight="1" x14ac:dyDescent="0.2">
      <c r="B273" s="479"/>
      <c r="I273" s="457" t="s">
        <v>88</v>
      </c>
      <c r="AB273" s="478"/>
    </row>
    <row r="274" spans="1:32" s="457" customFormat="1" ht="18" customHeight="1" x14ac:dyDescent="0.2">
      <c r="A274" s="455"/>
      <c r="B274" s="455"/>
      <c r="C274" s="455"/>
      <c r="D274" s="455"/>
      <c r="E274" s="455"/>
      <c r="F274" s="455"/>
      <c r="G274" s="455"/>
      <c r="H274" s="455"/>
      <c r="I274" s="455"/>
      <c r="J274" s="455"/>
      <c r="K274" s="455"/>
      <c r="L274" s="455"/>
      <c r="M274" s="455"/>
      <c r="N274" s="455"/>
      <c r="O274" s="455"/>
      <c r="P274" s="455"/>
      <c r="Q274" s="455"/>
      <c r="R274" s="455"/>
      <c r="S274" s="455"/>
      <c r="T274" s="455"/>
      <c r="U274" s="455"/>
      <c r="V274" s="455"/>
      <c r="W274" s="455"/>
      <c r="X274" s="455"/>
      <c r="Y274" s="455"/>
      <c r="Z274" s="455"/>
      <c r="AA274" s="2705" t="s">
        <v>0</v>
      </c>
      <c r="AB274" s="2705"/>
      <c r="AC274" s="455"/>
      <c r="AD274" s="455"/>
      <c r="AE274" s="455"/>
      <c r="AF274" s="455"/>
    </row>
    <row r="275" spans="1:32" s="457" customFormat="1" ht="18" customHeight="1" x14ac:dyDescent="0.2">
      <c r="A275" s="2706" t="s">
        <v>1</v>
      </c>
      <c r="B275" s="2706"/>
      <c r="C275" s="2706"/>
      <c r="D275" s="2706"/>
      <c r="E275" s="2706"/>
      <c r="F275" s="2706"/>
      <c r="G275" s="2706"/>
      <c r="H275" s="2706"/>
      <c r="I275" s="2706"/>
      <c r="J275" s="2706"/>
      <c r="K275" s="2706"/>
      <c r="L275" s="2706"/>
      <c r="M275" s="2706"/>
      <c r="N275" s="2706"/>
      <c r="O275" s="2706"/>
      <c r="P275" s="2706"/>
      <c r="Q275" s="2706"/>
      <c r="R275" s="2706"/>
      <c r="S275" s="2706"/>
      <c r="T275" s="2706"/>
      <c r="U275" s="2706"/>
      <c r="V275" s="2706"/>
      <c r="W275" s="2706"/>
      <c r="X275" s="2706"/>
      <c r="Y275" s="2706"/>
      <c r="Z275" s="2706"/>
      <c r="AA275" s="2706"/>
      <c r="AB275" s="2706"/>
      <c r="AC275" s="610"/>
      <c r="AD275" s="610"/>
      <c r="AE275" s="610"/>
      <c r="AF275" s="610"/>
    </row>
    <row r="276" spans="1:32" s="457" customFormat="1" ht="18" customHeight="1" x14ac:dyDescent="0.2">
      <c r="A276" s="2704" t="s">
        <v>497</v>
      </c>
      <c r="B276" s="2704"/>
      <c r="C276" s="2704"/>
      <c r="D276" s="2704"/>
      <c r="E276" s="2704"/>
      <c r="F276" s="2704"/>
      <c r="G276" s="2704"/>
      <c r="H276" s="2704"/>
      <c r="I276" s="2704"/>
      <c r="J276" s="2704"/>
      <c r="K276" s="2704"/>
      <c r="L276" s="2704"/>
      <c r="M276" s="2704"/>
      <c r="N276" s="2704"/>
      <c r="O276" s="2704"/>
      <c r="P276" s="2704"/>
      <c r="Q276" s="2704"/>
      <c r="R276" s="2704"/>
      <c r="S276" s="2704"/>
      <c r="T276" s="2704"/>
      <c r="U276" s="2704"/>
      <c r="V276" s="2704"/>
      <c r="W276" s="2704"/>
      <c r="X276" s="2704"/>
      <c r="Y276" s="2704"/>
      <c r="Z276" s="2704"/>
      <c r="AA276" s="2704"/>
      <c r="AB276" s="2704"/>
      <c r="AC276" s="611"/>
      <c r="AD276" s="611"/>
      <c r="AE276" s="611"/>
      <c r="AF276" s="611"/>
    </row>
    <row r="277" spans="1:32" s="457" customFormat="1" ht="18" customHeight="1" x14ac:dyDescent="0.2">
      <c r="A277" s="2686" t="s">
        <v>2</v>
      </c>
      <c r="B277" s="360"/>
      <c r="C277" s="2686" t="s">
        <v>3</v>
      </c>
      <c r="D277" s="360"/>
      <c r="E277" s="360"/>
      <c r="F277" s="2693" t="s">
        <v>4</v>
      </c>
      <c r="G277" s="2693"/>
      <c r="H277" s="2693"/>
      <c r="I277" s="2694"/>
      <c r="J277" s="2694"/>
      <c r="K277" s="2695"/>
      <c r="L277" s="361"/>
      <c r="M277" s="2679" t="s">
        <v>5</v>
      </c>
      <c r="N277" s="2679"/>
      <c r="O277" s="2679"/>
      <c r="P277" s="2679"/>
      <c r="Q277" s="2696"/>
      <c r="R277" s="2696"/>
      <c r="S277" s="2696"/>
      <c r="T277" s="2696"/>
      <c r="U277" s="2696"/>
      <c r="V277" s="2697"/>
      <c r="W277" s="362" t="s">
        <v>6</v>
      </c>
      <c r="X277" s="363" t="s">
        <v>7</v>
      </c>
      <c r="Y277" s="364"/>
      <c r="Z277" s="364"/>
      <c r="AA277" s="363"/>
      <c r="AB277" s="458"/>
      <c r="AC277" s="612" t="s">
        <v>8</v>
      </c>
      <c r="AD277" s="613"/>
      <c r="AE277" s="613"/>
      <c r="AF277" s="614"/>
    </row>
    <row r="278" spans="1:32" s="457" customFormat="1" ht="18" customHeight="1" x14ac:dyDescent="0.2">
      <c r="A278" s="2687"/>
      <c r="B278" s="367"/>
      <c r="C278" s="2687"/>
      <c r="D278" s="366" t="s">
        <v>9</v>
      </c>
      <c r="E278" s="366" t="s">
        <v>10</v>
      </c>
      <c r="F278" s="2698" t="s">
        <v>11</v>
      </c>
      <c r="G278" s="2694"/>
      <c r="H278" s="2695"/>
      <c r="I278" s="360"/>
      <c r="J278" s="449" t="s">
        <v>12</v>
      </c>
      <c r="K278" s="360"/>
      <c r="L278" s="2679" t="s">
        <v>2</v>
      </c>
      <c r="M278" s="370"/>
      <c r="N278" s="370"/>
      <c r="O278" s="370"/>
      <c r="P278" s="371"/>
      <c r="Q278" s="459" t="s">
        <v>13</v>
      </c>
      <c r="R278" s="370" t="s">
        <v>12</v>
      </c>
      <c r="S278" s="370" t="s">
        <v>6</v>
      </c>
      <c r="T278" s="2682" t="s">
        <v>14</v>
      </c>
      <c r="U278" s="2683"/>
      <c r="V278" s="375" t="s">
        <v>7</v>
      </c>
      <c r="W278" s="376" t="s">
        <v>15</v>
      </c>
      <c r="X278" s="377" t="s">
        <v>16</v>
      </c>
      <c r="Y278" s="377" t="s">
        <v>17</v>
      </c>
      <c r="Z278" s="377" t="s">
        <v>18</v>
      </c>
      <c r="AA278" s="377"/>
      <c r="AB278" s="460" t="s">
        <v>19</v>
      </c>
      <c r="AC278" s="615" t="s">
        <v>20</v>
      </c>
      <c r="AD278" s="616"/>
      <c r="AE278" s="617" t="s">
        <v>21</v>
      </c>
      <c r="AF278" s="618" t="s">
        <v>22</v>
      </c>
    </row>
    <row r="279" spans="1:32" s="457" customFormat="1" ht="18" customHeight="1" x14ac:dyDescent="0.2">
      <c r="A279" s="2687"/>
      <c r="B279" s="366" t="s">
        <v>23</v>
      </c>
      <c r="C279" s="2687"/>
      <c r="D279" s="366" t="s">
        <v>24</v>
      </c>
      <c r="E279" s="366" t="s">
        <v>25</v>
      </c>
      <c r="F279" s="2699"/>
      <c r="G279" s="2700"/>
      <c r="H279" s="2701"/>
      <c r="I279" s="366" t="s">
        <v>26</v>
      </c>
      <c r="J279" s="380" t="s">
        <v>15</v>
      </c>
      <c r="K279" s="380" t="s">
        <v>6</v>
      </c>
      <c r="L279" s="2680"/>
      <c r="M279" s="381" t="s">
        <v>27</v>
      </c>
      <c r="N279" s="381" t="s">
        <v>10</v>
      </c>
      <c r="O279" s="381" t="s">
        <v>10</v>
      </c>
      <c r="P279" s="385" t="s">
        <v>28</v>
      </c>
      <c r="Q279" s="461" t="s">
        <v>29</v>
      </c>
      <c r="R279" s="385" t="s">
        <v>15</v>
      </c>
      <c r="S279" s="385" t="s">
        <v>15</v>
      </c>
      <c r="T279" s="2684"/>
      <c r="U279" s="2685"/>
      <c r="V279" s="375" t="s">
        <v>30</v>
      </c>
      <c r="W279" s="376" t="s">
        <v>31</v>
      </c>
      <c r="X279" s="377" t="s">
        <v>30</v>
      </c>
      <c r="Y279" s="377" t="s">
        <v>32</v>
      </c>
      <c r="Z279" s="377" t="s">
        <v>7</v>
      </c>
      <c r="AA279" s="377" t="s">
        <v>33</v>
      </c>
      <c r="AB279" s="460" t="s">
        <v>34</v>
      </c>
      <c r="AC279" s="615" t="s">
        <v>35</v>
      </c>
      <c r="AD279" s="617" t="s">
        <v>36</v>
      </c>
      <c r="AE279" s="617" t="s">
        <v>37</v>
      </c>
      <c r="AF279" s="618" t="s">
        <v>38</v>
      </c>
    </row>
    <row r="280" spans="1:32" s="457" customFormat="1" ht="18" customHeight="1" x14ac:dyDescent="0.2">
      <c r="A280" s="2687"/>
      <c r="B280" s="366" t="s">
        <v>39</v>
      </c>
      <c r="C280" s="2687"/>
      <c r="D280" s="366" t="s">
        <v>40</v>
      </c>
      <c r="E280" s="366" t="s">
        <v>41</v>
      </c>
      <c r="F280" s="2686" t="s">
        <v>42</v>
      </c>
      <c r="G280" s="2686" t="s">
        <v>43</v>
      </c>
      <c r="H280" s="2688" t="s">
        <v>44</v>
      </c>
      <c r="I280" s="366" t="s">
        <v>45</v>
      </c>
      <c r="J280" s="380" t="s">
        <v>46</v>
      </c>
      <c r="K280" s="380" t="s">
        <v>47</v>
      </c>
      <c r="L280" s="2680"/>
      <c r="M280" s="381" t="s">
        <v>30</v>
      </c>
      <c r="N280" s="381" t="s">
        <v>30</v>
      </c>
      <c r="O280" s="381" t="s">
        <v>25</v>
      </c>
      <c r="P280" s="385" t="s">
        <v>30</v>
      </c>
      <c r="Q280" s="461" t="s">
        <v>48</v>
      </c>
      <c r="R280" s="385" t="s">
        <v>49</v>
      </c>
      <c r="S280" s="385" t="s">
        <v>30</v>
      </c>
      <c r="T280" s="374" t="s">
        <v>50</v>
      </c>
      <c r="U280" s="374" t="s">
        <v>13</v>
      </c>
      <c r="V280" s="375" t="s">
        <v>51</v>
      </c>
      <c r="W280" s="376" t="s">
        <v>52</v>
      </c>
      <c r="X280" s="377" t="s">
        <v>53</v>
      </c>
      <c r="Y280" s="377" t="s">
        <v>54</v>
      </c>
      <c r="Z280" s="377" t="s">
        <v>55</v>
      </c>
      <c r="AA280" s="377" t="s">
        <v>56</v>
      </c>
      <c r="AB280" s="460" t="s">
        <v>57</v>
      </c>
      <c r="AC280" s="617" t="s">
        <v>58</v>
      </c>
      <c r="AD280" s="617" t="s">
        <v>59</v>
      </c>
      <c r="AE280" s="617" t="s">
        <v>59</v>
      </c>
      <c r="AF280" s="618" t="s">
        <v>60</v>
      </c>
    </row>
    <row r="281" spans="1:32" s="457" customFormat="1" ht="18" customHeight="1" x14ac:dyDescent="0.2">
      <c r="A281" s="2687"/>
      <c r="B281" s="366" t="s">
        <v>61</v>
      </c>
      <c r="C281" s="2687"/>
      <c r="D281" s="366" t="s">
        <v>62</v>
      </c>
      <c r="E281" s="366" t="s">
        <v>63</v>
      </c>
      <c r="F281" s="2687"/>
      <c r="G281" s="2687"/>
      <c r="H281" s="2689"/>
      <c r="I281" s="366" t="s">
        <v>64</v>
      </c>
      <c r="J281" s="380" t="s">
        <v>59</v>
      </c>
      <c r="K281" s="380" t="s">
        <v>59</v>
      </c>
      <c r="L281" s="2680"/>
      <c r="M281" s="381"/>
      <c r="N281" s="381"/>
      <c r="O281" s="381" t="s">
        <v>41</v>
      </c>
      <c r="P281" s="385" t="s">
        <v>65</v>
      </c>
      <c r="Q281" s="461" t="s">
        <v>66</v>
      </c>
      <c r="R281" s="385" t="s">
        <v>67</v>
      </c>
      <c r="S281" s="385" t="s">
        <v>59</v>
      </c>
      <c r="T281" s="375" t="s">
        <v>68</v>
      </c>
      <c r="U281" s="375" t="s">
        <v>14</v>
      </c>
      <c r="V281" s="375" t="s">
        <v>14</v>
      </c>
      <c r="W281" s="376" t="s">
        <v>30</v>
      </c>
      <c r="X281" s="388" t="s">
        <v>69</v>
      </c>
      <c r="Y281" s="388" t="s">
        <v>70</v>
      </c>
      <c r="Z281" s="377" t="s">
        <v>71</v>
      </c>
      <c r="AA281" s="377" t="s">
        <v>72</v>
      </c>
      <c r="AB281" s="460" t="s">
        <v>59</v>
      </c>
      <c r="AC281" s="617" t="s">
        <v>59</v>
      </c>
      <c r="AD281" s="617"/>
      <c r="AE281" s="617"/>
      <c r="AF281" s="618" t="s">
        <v>59</v>
      </c>
    </row>
    <row r="282" spans="1:32" s="457" customFormat="1" ht="18" customHeight="1" x14ac:dyDescent="0.2">
      <c r="A282" s="2692"/>
      <c r="B282" s="390"/>
      <c r="C282" s="2692"/>
      <c r="D282" s="390"/>
      <c r="E282" s="389"/>
      <c r="F282" s="390"/>
      <c r="G282" s="390"/>
      <c r="H282" s="391"/>
      <c r="I282" s="389"/>
      <c r="J282" s="393"/>
      <c r="K282" s="393"/>
      <c r="L282" s="2681"/>
      <c r="M282" s="394"/>
      <c r="N282" s="394"/>
      <c r="O282" s="394" t="s">
        <v>63</v>
      </c>
      <c r="P282" s="394"/>
      <c r="Q282" s="450" t="s">
        <v>72</v>
      </c>
      <c r="R282" s="398" t="s">
        <v>59</v>
      </c>
      <c r="S282" s="398"/>
      <c r="T282" s="398" t="s">
        <v>73</v>
      </c>
      <c r="U282" s="398" t="s">
        <v>59</v>
      </c>
      <c r="V282" s="399" t="s">
        <v>59</v>
      </c>
      <c r="W282" s="400" t="s">
        <v>59</v>
      </c>
      <c r="X282" s="401" t="s">
        <v>59</v>
      </c>
      <c r="Y282" s="401" t="s">
        <v>59</v>
      </c>
      <c r="Z282" s="401" t="s">
        <v>59</v>
      </c>
      <c r="AA282" s="402"/>
      <c r="AB282" s="462"/>
      <c r="AC282" s="625"/>
      <c r="AD282" s="625"/>
      <c r="AE282" s="625"/>
      <c r="AF282" s="626"/>
    </row>
    <row r="283" spans="1:32" s="457" customFormat="1" ht="18" customHeight="1" x14ac:dyDescent="0.2">
      <c r="A283" s="53">
        <v>1</v>
      </c>
      <c r="B283" s="95">
        <v>63114</v>
      </c>
      <c r="C283" s="82">
        <v>3417</v>
      </c>
      <c r="D283" s="41" t="s">
        <v>215</v>
      </c>
      <c r="E283" s="41">
        <v>1</v>
      </c>
      <c r="F283" s="82">
        <v>6</v>
      </c>
      <c r="G283" s="82">
        <v>0</v>
      </c>
      <c r="H283" s="789">
        <v>4.2</v>
      </c>
      <c r="I283" s="77">
        <f>F283*400+G283*100+H283</f>
        <v>2404.1999999999998</v>
      </c>
      <c r="J283" s="667">
        <v>300</v>
      </c>
      <c r="K283" s="78">
        <f>SUM(I283*J283)</f>
        <v>721260</v>
      </c>
      <c r="L283" s="82"/>
      <c r="M283" s="82"/>
      <c r="N283" s="41"/>
      <c r="O283" s="16"/>
      <c r="P283" s="41"/>
      <c r="Q283" s="14"/>
      <c r="R283" s="668"/>
      <c r="S283" s="17"/>
      <c r="T283" s="17"/>
      <c r="U283" s="17"/>
      <c r="V283" s="17"/>
      <c r="W283" s="70">
        <f>K283+V283</f>
        <v>721260</v>
      </c>
      <c r="X283" s="70">
        <f>W283</f>
        <v>721260</v>
      </c>
      <c r="Y283" s="790" t="s">
        <v>87</v>
      </c>
      <c r="Z283" s="302">
        <v>0</v>
      </c>
      <c r="AA283" s="405">
        <v>0.01</v>
      </c>
      <c r="AB283" s="465">
        <f>+Z283*AA283/100</f>
        <v>0</v>
      </c>
      <c r="AC283" s="602"/>
      <c r="AD283" s="603">
        <f>AB283-AC283</f>
        <v>0</v>
      </c>
      <c r="AE283" s="603">
        <f>IF(AD283&lt;=0,0,AD283*25/100)</f>
        <v>0</v>
      </c>
      <c r="AF283" s="603">
        <f>IF(AC283+AE283&gt;AB283,AB283,AC283+AE283)</f>
        <v>0</v>
      </c>
    </row>
    <row r="284" spans="1:32" s="457" customFormat="1" ht="18" customHeight="1" x14ac:dyDescent="0.25">
      <c r="A284" s="61">
        <v>2</v>
      </c>
      <c r="B284" s="287">
        <v>63094</v>
      </c>
      <c r="C284" s="15">
        <v>6853</v>
      </c>
      <c r="D284" s="15" t="s">
        <v>215</v>
      </c>
      <c r="E284" s="15">
        <v>3</v>
      </c>
      <c r="F284" s="15">
        <v>0</v>
      </c>
      <c r="G284" s="15">
        <v>1</v>
      </c>
      <c r="H284" s="284">
        <v>1.42</v>
      </c>
      <c r="I284" s="77">
        <f t="shared" ref="I284:I286" si="67">F284*400+G284*100+H284</f>
        <v>101.42</v>
      </c>
      <c r="J284" s="759">
        <v>2300</v>
      </c>
      <c r="K284" s="78">
        <f t="shared" ref="K284:K286" si="68">SUM(I284*J284)</f>
        <v>233266</v>
      </c>
      <c r="L284" s="50">
        <v>1</v>
      </c>
      <c r="M284" s="145">
        <v>101</v>
      </c>
      <c r="N284" s="15" t="s">
        <v>82</v>
      </c>
      <c r="O284" s="50">
        <v>2</v>
      </c>
      <c r="P284" s="15">
        <v>28.980000000000004</v>
      </c>
      <c r="Q284" s="76" t="s">
        <v>75</v>
      </c>
      <c r="R284" s="791">
        <v>7700</v>
      </c>
      <c r="S284" s="70">
        <f t="shared" ref="S284:S286" si="69">+P284*R284</f>
        <v>223146.00000000003</v>
      </c>
      <c r="T284" s="1501">
        <v>43</v>
      </c>
      <c r="U284" s="125">
        <f>+S284*0.93</f>
        <v>207525.78000000003</v>
      </c>
      <c r="V284" s="70">
        <f>+S284-U284</f>
        <v>15620.220000000001</v>
      </c>
      <c r="W284" s="70">
        <f>K284+V284</f>
        <v>248886.22</v>
      </c>
      <c r="X284" s="70">
        <f>W284*Q284/100</f>
        <v>248886.22</v>
      </c>
      <c r="Y284" s="792" t="s">
        <v>87</v>
      </c>
      <c r="Z284" s="296">
        <v>0</v>
      </c>
      <c r="AA284" s="494">
        <v>0.02</v>
      </c>
      <c r="AB284" s="466">
        <f>+Z284*AA284/100</f>
        <v>0</v>
      </c>
      <c r="AC284" s="350"/>
      <c r="AD284" s="350"/>
      <c r="AE284" s="350"/>
      <c r="AF284" s="350"/>
    </row>
    <row r="285" spans="1:32" s="457" customFormat="1" ht="18" customHeight="1" x14ac:dyDescent="0.2">
      <c r="A285" s="75"/>
      <c r="B285" s="15"/>
      <c r="C285" s="15"/>
      <c r="D285" s="15"/>
      <c r="E285" s="15"/>
      <c r="F285" s="15"/>
      <c r="G285" s="15"/>
      <c r="H285" s="284"/>
      <c r="I285" s="77">
        <f t="shared" si="67"/>
        <v>0</v>
      </c>
      <c r="J285" s="759"/>
      <c r="K285" s="78">
        <f t="shared" si="68"/>
        <v>0</v>
      </c>
      <c r="L285" s="50">
        <v>2</v>
      </c>
      <c r="M285" s="75">
        <v>103</v>
      </c>
      <c r="N285" s="45" t="s">
        <v>74</v>
      </c>
      <c r="O285" s="45">
        <v>2</v>
      </c>
      <c r="P285" s="257">
        <v>136.47500000000002</v>
      </c>
      <c r="Q285" s="62" t="s">
        <v>75</v>
      </c>
      <c r="R285" s="743">
        <v>9050</v>
      </c>
      <c r="S285" s="70">
        <f t="shared" si="69"/>
        <v>1235098.7500000002</v>
      </c>
      <c r="T285" s="1501">
        <v>9</v>
      </c>
      <c r="U285" s="125">
        <f>+S285*0.09</f>
        <v>111158.88750000001</v>
      </c>
      <c r="V285" s="70">
        <f t="shared" ref="V285:V286" si="70">+S285-U285</f>
        <v>1123939.8625000003</v>
      </c>
      <c r="W285" s="70">
        <f t="shared" ref="W285:W286" si="71">K285+V285</f>
        <v>1123939.8625000003</v>
      </c>
      <c r="X285" s="70">
        <f t="shared" ref="X285:X286" si="72">W285*Q285/100</f>
        <v>1123939.8625000003</v>
      </c>
      <c r="Y285" s="792" t="s">
        <v>87</v>
      </c>
      <c r="Z285" s="296">
        <v>0</v>
      </c>
      <c r="AA285" s="494">
        <v>0.02</v>
      </c>
      <c r="AB285" s="466">
        <f>+Z285*AA285/100</f>
        <v>0</v>
      </c>
      <c r="AC285" s="350"/>
      <c r="AD285" s="350"/>
      <c r="AE285" s="350"/>
      <c r="AF285" s="350"/>
    </row>
    <row r="286" spans="1:32" s="457" customFormat="1" ht="18" customHeight="1" x14ac:dyDescent="0.2">
      <c r="A286" s="75"/>
      <c r="B286" s="45"/>
      <c r="C286" s="62"/>
      <c r="D286" s="27"/>
      <c r="E286" s="27"/>
      <c r="F286" s="291">
        <v>0</v>
      </c>
      <c r="G286" s="45">
        <v>0</v>
      </c>
      <c r="H286" s="257">
        <v>8.2799999999999994</v>
      </c>
      <c r="I286" s="77">
        <f t="shared" si="67"/>
        <v>8.2799999999999994</v>
      </c>
      <c r="J286" s="305">
        <v>2301</v>
      </c>
      <c r="K286" s="78">
        <f t="shared" si="68"/>
        <v>19052.28</v>
      </c>
      <c r="L286" s="45">
        <v>3</v>
      </c>
      <c r="M286" s="145">
        <v>518</v>
      </c>
      <c r="N286" s="45" t="s">
        <v>74</v>
      </c>
      <c r="O286" s="45">
        <v>3</v>
      </c>
      <c r="P286" s="27">
        <v>33.119999999999997</v>
      </c>
      <c r="Q286" s="62" t="s">
        <v>75</v>
      </c>
      <c r="R286" s="793">
        <v>6050</v>
      </c>
      <c r="S286" s="70">
        <f t="shared" si="69"/>
        <v>200375.99999999997</v>
      </c>
      <c r="T286" s="1515">
        <v>9</v>
      </c>
      <c r="U286" s="125">
        <f>+S286*0.09</f>
        <v>18033.839999999997</v>
      </c>
      <c r="V286" s="70">
        <f t="shared" si="70"/>
        <v>182342.15999999997</v>
      </c>
      <c r="W286" s="70">
        <f t="shared" si="71"/>
        <v>201394.43999999997</v>
      </c>
      <c r="X286" s="70">
        <f t="shared" si="72"/>
        <v>201394.43999999997</v>
      </c>
      <c r="Y286" s="792"/>
      <c r="Z286" s="74">
        <f>+X286</f>
        <v>201394.43999999997</v>
      </c>
      <c r="AA286" s="494">
        <v>0.3</v>
      </c>
      <c r="AB286" s="410">
        <f>+Z286*AA286/100</f>
        <v>604.18331999999987</v>
      </c>
      <c r="AC286" s="350"/>
      <c r="AD286" s="350"/>
      <c r="AE286" s="350"/>
      <c r="AF286" s="350"/>
    </row>
    <row r="287" spans="1:32" s="457" customFormat="1" ht="18" customHeight="1" x14ac:dyDescent="0.2">
      <c r="A287" s="75"/>
      <c r="B287" s="75"/>
      <c r="C287" s="174"/>
      <c r="D287" s="88"/>
      <c r="E287" s="145"/>
      <c r="F287" s="418"/>
      <c r="G287" s="75"/>
      <c r="H287" s="188"/>
      <c r="I287" s="74"/>
      <c r="J287" s="280"/>
      <c r="K287" s="190"/>
      <c r="L287" s="75"/>
      <c r="M287" s="75"/>
      <c r="N287" s="75"/>
      <c r="O287" s="61"/>
      <c r="P287" s="188"/>
      <c r="Q287" s="174"/>
      <c r="R287" s="408"/>
      <c r="S287" s="77"/>
      <c r="T287" s="135"/>
      <c r="U287" s="74"/>
      <c r="V287" s="74"/>
      <c r="W287" s="77"/>
      <c r="X287" s="74"/>
      <c r="Y287" s="676"/>
      <c r="Z287" s="77"/>
      <c r="AA287" s="409"/>
      <c r="AB287" s="466"/>
      <c r="AC287" s="350"/>
      <c r="AD287" s="350"/>
      <c r="AE287" s="350"/>
      <c r="AF287" s="350"/>
    </row>
    <row r="288" spans="1:32" s="457" customFormat="1" ht="18" customHeight="1" x14ac:dyDescent="0.2">
      <c r="A288" s="75"/>
      <c r="B288" s="75"/>
      <c r="C288" s="174"/>
      <c r="D288" s="231"/>
      <c r="E288" s="145"/>
      <c r="F288" s="467"/>
      <c r="G288" s="61"/>
      <c r="H288" s="173"/>
      <c r="I288" s="74"/>
      <c r="J288" s="280"/>
      <c r="K288" s="190"/>
      <c r="L288" s="75"/>
      <c r="M288" s="75"/>
      <c r="N288" s="75"/>
      <c r="O288" s="75"/>
      <c r="P288" s="188"/>
      <c r="Q288" s="174"/>
      <c r="R288" s="413"/>
      <c r="S288" s="74"/>
      <c r="T288" s="135"/>
      <c r="U288" s="74"/>
      <c r="V288" s="74"/>
      <c r="W288" s="77"/>
      <c r="X288" s="74"/>
      <c r="Y288" s="676"/>
      <c r="Z288" s="77"/>
      <c r="AA288" s="409"/>
      <c r="AB288" s="466"/>
      <c r="AC288" s="350"/>
      <c r="AD288" s="350"/>
      <c r="AE288" s="350"/>
      <c r="AF288" s="350"/>
    </row>
    <row r="289" spans="1:32" s="457" customFormat="1" ht="18" customHeight="1" x14ac:dyDescent="0.2">
      <c r="A289" s="75"/>
      <c r="B289" s="75"/>
      <c r="C289" s="174"/>
      <c r="D289" s="88"/>
      <c r="E289" s="145"/>
      <c r="F289" s="418"/>
      <c r="G289" s="75"/>
      <c r="H289" s="188"/>
      <c r="I289" s="74"/>
      <c r="J289" s="280"/>
      <c r="K289" s="190"/>
      <c r="L289" s="75"/>
      <c r="M289" s="75"/>
      <c r="N289" s="75"/>
      <c r="O289" s="75"/>
      <c r="P289" s="188"/>
      <c r="Q289" s="174"/>
      <c r="R289" s="413"/>
      <c r="S289" s="74"/>
      <c r="T289" s="135"/>
      <c r="U289" s="74"/>
      <c r="V289" s="74"/>
      <c r="W289" s="77"/>
      <c r="X289" s="74"/>
      <c r="Y289" s="676"/>
      <c r="Z289" s="77"/>
      <c r="AA289" s="409"/>
      <c r="AB289" s="466"/>
      <c r="AC289" s="350"/>
      <c r="AD289" s="350"/>
      <c r="AE289" s="350"/>
      <c r="AF289" s="350"/>
    </row>
    <row r="290" spans="1:32" s="457" customFormat="1" ht="18" customHeight="1" x14ac:dyDescent="0.2">
      <c r="A290" s="75"/>
      <c r="B290" s="75"/>
      <c r="C290" s="174"/>
      <c r="D290" s="145"/>
      <c r="E290" s="145"/>
      <c r="F290" s="418"/>
      <c r="G290" s="75"/>
      <c r="H290" s="188"/>
      <c r="I290" s="77"/>
      <c r="J290" s="275"/>
      <c r="K290" s="199"/>
      <c r="L290" s="75"/>
      <c r="M290" s="75"/>
      <c r="N290" s="75"/>
      <c r="O290" s="75"/>
      <c r="P290" s="188"/>
      <c r="Q290" s="174"/>
      <c r="R290" s="413"/>
      <c r="S290" s="74"/>
      <c r="T290" s="135"/>
      <c r="U290" s="74"/>
      <c r="V290" s="74"/>
      <c r="W290" s="77"/>
      <c r="X290" s="74"/>
      <c r="Y290" s="676"/>
      <c r="Z290" s="77"/>
      <c r="AA290" s="409"/>
      <c r="AB290" s="466"/>
      <c r="AC290" s="350"/>
      <c r="AD290" s="350"/>
      <c r="AE290" s="350"/>
      <c r="AF290" s="350"/>
    </row>
    <row r="291" spans="1:32" s="457" customFormat="1" ht="18" customHeight="1" x14ac:dyDescent="0.2">
      <c r="A291" s="75"/>
      <c r="B291" s="75"/>
      <c r="C291" s="174"/>
      <c r="D291" s="231"/>
      <c r="E291" s="145"/>
      <c r="F291" s="467"/>
      <c r="G291" s="61"/>
      <c r="H291" s="173"/>
      <c r="I291" s="74"/>
      <c r="J291" s="280"/>
      <c r="K291" s="190"/>
      <c r="L291" s="75"/>
      <c r="M291" s="75"/>
      <c r="N291" s="75"/>
      <c r="O291" s="75"/>
      <c r="P291" s="188"/>
      <c r="Q291" s="174"/>
      <c r="R291" s="413"/>
      <c r="S291" s="74"/>
      <c r="T291" s="135"/>
      <c r="U291" s="74"/>
      <c r="V291" s="74"/>
      <c r="W291" s="77"/>
      <c r="X291" s="74"/>
      <c r="Y291" s="676"/>
      <c r="Z291" s="77"/>
      <c r="AA291" s="409"/>
      <c r="AB291" s="466"/>
      <c r="AC291" s="350"/>
      <c r="AD291" s="350"/>
      <c r="AE291" s="350"/>
      <c r="AF291" s="350"/>
    </row>
    <row r="292" spans="1:32" s="457" customFormat="1" ht="18" customHeight="1" x14ac:dyDescent="0.2">
      <c r="A292" s="75"/>
      <c r="B292" s="75"/>
      <c r="C292" s="174"/>
      <c r="D292" s="88"/>
      <c r="E292" s="145"/>
      <c r="F292" s="418"/>
      <c r="G292" s="75"/>
      <c r="H292" s="188"/>
      <c r="I292" s="74"/>
      <c r="J292" s="280"/>
      <c r="K292" s="190"/>
      <c r="L292" s="75"/>
      <c r="M292" s="75"/>
      <c r="N292" s="75"/>
      <c r="O292" s="75"/>
      <c r="P292" s="188"/>
      <c r="Q292" s="174"/>
      <c r="R292" s="413"/>
      <c r="S292" s="74"/>
      <c r="T292" s="135"/>
      <c r="U292" s="74"/>
      <c r="V292" s="74"/>
      <c r="W292" s="77"/>
      <c r="X292" s="74"/>
      <c r="Y292" s="676"/>
      <c r="Z292" s="77"/>
      <c r="AA292" s="409"/>
      <c r="AB292" s="466"/>
      <c r="AC292" s="350"/>
      <c r="AD292" s="350"/>
      <c r="AE292" s="350"/>
      <c r="AF292" s="350"/>
    </row>
    <row r="293" spans="1:32" s="457" customFormat="1" ht="18" customHeight="1" x14ac:dyDescent="0.2">
      <c r="A293" s="145"/>
      <c r="B293" s="177"/>
      <c r="C293" s="177"/>
      <c r="D293" s="145"/>
      <c r="E293" s="145"/>
      <c r="F293" s="145"/>
      <c r="G293" s="145"/>
      <c r="H293" s="147"/>
      <c r="I293" s="107"/>
      <c r="J293" s="178"/>
      <c r="K293" s="107"/>
      <c r="L293" s="145"/>
      <c r="M293" s="145"/>
      <c r="N293" s="145"/>
      <c r="O293" s="145"/>
      <c r="P293" s="147"/>
      <c r="Q293" s="148"/>
      <c r="R293" s="437"/>
      <c r="S293" s="107"/>
      <c r="T293" s="179"/>
      <c r="U293" s="178"/>
      <c r="V293" s="107"/>
      <c r="W293" s="107"/>
      <c r="X293" s="470"/>
      <c r="Y293" s="470"/>
      <c r="Z293" s="471"/>
      <c r="AA293" s="471"/>
      <c r="AB293" s="466"/>
      <c r="AC293" s="350"/>
      <c r="AD293" s="350"/>
      <c r="AE293" s="350"/>
      <c r="AF293" s="350"/>
    </row>
    <row r="294" spans="1:32" s="457" customFormat="1" ht="18" customHeight="1" x14ac:dyDescent="0.2">
      <c r="A294" s="145"/>
      <c r="B294" s="177"/>
      <c r="C294" s="177"/>
      <c r="D294" s="145"/>
      <c r="E294" s="145"/>
      <c r="F294" s="145"/>
      <c r="G294" s="145"/>
      <c r="H294" s="147"/>
      <c r="I294" s="107"/>
      <c r="J294" s="178"/>
      <c r="K294" s="107"/>
      <c r="L294" s="145"/>
      <c r="M294" s="145"/>
      <c r="N294" s="145"/>
      <c r="O294" s="145"/>
      <c r="P294" s="147"/>
      <c r="Q294" s="148"/>
      <c r="R294" s="437"/>
      <c r="S294" s="107"/>
      <c r="T294" s="179"/>
      <c r="U294" s="178"/>
      <c r="V294" s="107"/>
      <c r="W294" s="107"/>
      <c r="X294" s="470"/>
      <c r="Y294" s="470"/>
      <c r="Z294" s="471"/>
      <c r="AA294" s="471"/>
      <c r="AB294" s="466"/>
      <c r="AC294" s="350"/>
      <c r="AD294" s="350"/>
      <c r="AE294" s="350"/>
      <c r="AF294" s="350"/>
    </row>
    <row r="295" spans="1:32" s="457" customFormat="1" ht="18" customHeight="1" x14ac:dyDescent="0.2">
      <c r="A295" s="145"/>
      <c r="B295" s="177"/>
      <c r="C295" s="177"/>
      <c r="D295" s="145"/>
      <c r="E295" s="145"/>
      <c r="F295" s="145"/>
      <c r="G295" s="145"/>
      <c r="H295" s="147"/>
      <c r="I295" s="107"/>
      <c r="J295" s="178"/>
      <c r="K295" s="107"/>
      <c r="L295" s="145"/>
      <c r="M295" s="145"/>
      <c r="N295" s="145"/>
      <c r="O295" s="145"/>
      <c r="P295" s="147"/>
      <c r="Q295" s="148"/>
      <c r="R295" s="437"/>
      <c r="S295" s="107"/>
      <c r="T295" s="179"/>
      <c r="U295" s="178"/>
      <c r="V295" s="107"/>
      <c r="W295" s="107"/>
      <c r="X295" s="470"/>
      <c r="Y295" s="470"/>
      <c r="Z295" s="471"/>
      <c r="AA295" s="471"/>
      <c r="AB295" s="466"/>
      <c r="AC295" s="350"/>
      <c r="AD295" s="350"/>
      <c r="AE295" s="350"/>
      <c r="AF295" s="350"/>
    </row>
    <row r="296" spans="1:32" s="457" customFormat="1" ht="18" customHeight="1" x14ac:dyDescent="0.2">
      <c r="A296" s="145"/>
      <c r="B296" s="177"/>
      <c r="C296" s="177"/>
      <c r="D296" s="145"/>
      <c r="E296" s="145"/>
      <c r="F296" s="145"/>
      <c r="G296" s="145"/>
      <c r="H296" s="147"/>
      <c r="I296" s="107"/>
      <c r="J296" s="178"/>
      <c r="K296" s="107"/>
      <c r="L296" s="145"/>
      <c r="M296" s="145"/>
      <c r="N296" s="145"/>
      <c r="O296" s="145"/>
      <c r="P296" s="147"/>
      <c r="Q296" s="148"/>
      <c r="R296" s="437"/>
      <c r="S296" s="107"/>
      <c r="T296" s="179"/>
      <c r="U296" s="178"/>
      <c r="V296" s="107"/>
      <c r="W296" s="107"/>
      <c r="X296" s="470"/>
      <c r="Y296" s="470"/>
      <c r="Z296" s="471"/>
      <c r="AA296" s="471"/>
      <c r="AB296" s="466"/>
      <c r="AC296" s="350"/>
      <c r="AD296" s="350"/>
      <c r="AE296" s="350"/>
      <c r="AF296" s="350"/>
    </row>
    <row r="297" spans="1:32" s="457" customFormat="1" ht="18" customHeight="1" x14ac:dyDescent="0.2">
      <c r="A297" s="88"/>
      <c r="B297" s="180"/>
      <c r="C297" s="180"/>
      <c r="D297" s="88"/>
      <c r="E297" s="88"/>
      <c r="F297" s="88"/>
      <c r="G297" s="88"/>
      <c r="H297" s="120"/>
      <c r="I297" s="121"/>
      <c r="J297" s="181"/>
      <c r="K297" s="121"/>
      <c r="L297" s="88"/>
      <c r="M297" s="88"/>
      <c r="N297" s="88"/>
      <c r="O297" s="88"/>
      <c r="P297" s="88"/>
      <c r="Q297" s="129"/>
      <c r="R297" s="445"/>
      <c r="S297" s="121"/>
      <c r="T297" s="182"/>
      <c r="U297" s="181"/>
      <c r="V297" s="121"/>
      <c r="W297" s="121"/>
      <c r="X297" s="472"/>
      <c r="Y297" s="472"/>
      <c r="Z297" s="473"/>
      <c r="AA297" s="473"/>
      <c r="AB297" s="410"/>
      <c r="AC297" s="351"/>
      <c r="AD297" s="351"/>
      <c r="AE297" s="351"/>
      <c r="AF297" s="351"/>
    </row>
    <row r="298" spans="1:32" s="597" customFormat="1" ht="18" customHeight="1" x14ac:dyDescent="0.2">
      <c r="A298" s="1850"/>
      <c r="B298" s="1850"/>
      <c r="C298" s="1850"/>
      <c r="D298" s="1850"/>
      <c r="E298" s="1850"/>
      <c r="F298" s="1850"/>
      <c r="G298" s="1850"/>
      <c r="H298" s="1851"/>
      <c r="I298" s="1852"/>
      <c r="J298" s="1853"/>
      <c r="K298" s="1852"/>
      <c r="L298" s="1852"/>
      <c r="M298" s="1852"/>
      <c r="N298" s="1852"/>
      <c r="O298" s="1852"/>
      <c r="P298" s="1852"/>
      <c r="Q298" s="1852"/>
      <c r="R298" s="1854"/>
      <c r="S298" s="1852"/>
      <c r="T298" s="1855"/>
      <c r="U298" s="1853"/>
      <c r="V298" s="1852"/>
      <c r="W298" s="1852"/>
      <c r="X298" s="1856"/>
      <c r="Y298" s="1856"/>
      <c r="Z298" s="1857"/>
      <c r="AA298" s="1857"/>
      <c r="AB298" s="1847">
        <f>SUM(AB283:AB297)</f>
        <v>604.18331999999987</v>
      </c>
      <c r="AC298" s="1861"/>
      <c r="AD298" s="1861"/>
      <c r="AE298" s="1861"/>
      <c r="AF298" s="1861"/>
    </row>
    <row r="299" spans="1:32" s="457" customFormat="1" ht="18" customHeight="1" x14ac:dyDescent="0.2">
      <c r="A299" s="2737" t="s">
        <v>76</v>
      </c>
      <c r="B299" s="2737"/>
      <c r="C299" s="2738" t="s">
        <v>77</v>
      </c>
      <c r="D299" s="2738"/>
      <c r="E299" s="2738"/>
      <c r="F299" s="2738"/>
      <c r="G299" s="2738"/>
      <c r="H299" s="2738"/>
      <c r="I299" s="457" t="s">
        <v>78</v>
      </c>
      <c r="AB299" s="478"/>
    </row>
    <row r="300" spans="1:32" s="457" customFormat="1" ht="18" customHeight="1" x14ac:dyDescent="0.2">
      <c r="B300" s="479"/>
      <c r="I300" s="457" t="s">
        <v>79</v>
      </c>
      <c r="AB300" s="478"/>
    </row>
    <row r="301" spans="1:32" s="457" customFormat="1" ht="18" customHeight="1" x14ac:dyDescent="0.2">
      <c r="B301" s="479"/>
      <c r="I301" s="457" t="s">
        <v>80</v>
      </c>
      <c r="AB301" s="478"/>
    </row>
    <row r="302" spans="1:32" s="457" customFormat="1" ht="18" customHeight="1" x14ac:dyDescent="0.2">
      <c r="B302" s="479"/>
      <c r="I302" s="457" t="s">
        <v>81</v>
      </c>
      <c r="AB302" s="478"/>
    </row>
    <row r="303" spans="1:32" s="457" customFormat="1" ht="18" customHeight="1" x14ac:dyDescent="0.2">
      <c r="B303" s="479"/>
      <c r="I303" s="457" t="s">
        <v>88</v>
      </c>
      <c r="AB303" s="478"/>
    </row>
    <row r="304" spans="1:32" s="457" customFormat="1" ht="18" customHeight="1" x14ac:dyDescent="0.2">
      <c r="A304" s="455"/>
      <c r="B304" s="455"/>
      <c r="C304" s="455"/>
      <c r="D304" s="455"/>
      <c r="E304" s="455"/>
      <c r="F304" s="455"/>
      <c r="G304" s="455"/>
      <c r="H304" s="455"/>
      <c r="I304" s="455"/>
      <c r="J304" s="455"/>
      <c r="K304" s="455"/>
      <c r="L304" s="455"/>
      <c r="M304" s="455"/>
      <c r="N304" s="455"/>
      <c r="O304" s="455"/>
      <c r="P304" s="455"/>
      <c r="Q304" s="455"/>
      <c r="R304" s="455"/>
      <c r="S304" s="455"/>
      <c r="T304" s="455"/>
      <c r="U304" s="455"/>
      <c r="V304" s="455"/>
      <c r="W304" s="455"/>
      <c r="X304" s="455"/>
      <c r="Y304" s="455"/>
      <c r="Z304" s="455"/>
      <c r="AA304" s="2705" t="s">
        <v>0</v>
      </c>
      <c r="AB304" s="2705"/>
    </row>
    <row r="305" spans="1:28" s="457" customFormat="1" ht="18" customHeight="1" x14ac:dyDescent="0.2">
      <c r="A305" s="2706" t="s">
        <v>1</v>
      </c>
      <c r="B305" s="2706"/>
      <c r="C305" s="2706"/>
      <c r="D305" s="2706"/>
      <c r="E305" s="2706"/>
      <c r="F305" s="2706"/>
      <c r="G305" s="2706"/>
      <c r="H305" s="2706"/>
      <c r="I305" s="2706"/>
      <c r="J305" s="2706"/>
      <c r="K305" s="2706"/>
      <c r="L305" s="2706"/>
      <c r="M305" s="2706"/>
      <c r="N305" s="2706"/>
      <c r="O305" s="2706"/>
      <c r="P305" s="2706"/>
      <c r="Q305" s="2706"/>
      <c r="R305" s="2706"/>
      <c r="S305" s="2706"/>
      <c r="T305" s="2706"/>
      <c r="U305" s="2706"/>
      <c r="V305" s="2706"/>
      <c r="W305" s="2706"/>
      <c r="X305" s="2706"/>
      <c r="Y305" s="2706"/>
      <c r="Z305" s="2706"/>
      <c r="AA305" s="2706"/>
      <c r="AB305" s="2706"/>
    </row>
    <row r="306" spans="1:28" s="457" customFormat="1" ht="18" customHeight="1" x14ac:dyDescent="0.2">
      <c r="A306" s="2704" t="s">
        <v>498</v>
      </c>
      <c r="B306" s="2704"/>
      <c r="C306" s="2704"/>
      <c r="D306" s="2704"/>
      <c r="E306" s="2704"/>
      <c r="F306" s="2704"/>
      <c r="G306" s="2704"/>
      <c r="H306" s="2704"/>
      <c r="I306" s="2704"/>
      <c r="J306" s="2704"/>
      <c r="K306" s="2704"/>
      <c r="L306" s="2704"/>
      <c r="M306" s="2704"/>
      <c r="N306" s="2704"/>
      <c r="O306" s="2704"/>
      <c r="P306" s="2704"/>
      <c r="Q306" s="2704"/>
      <c r="R306" s="2704"/>
      <c r="S306" s="2704"/>
      <c r="T306" s="2704"/>
      <c r="U306" s="2704"/>
      <c r="V306" s="2704"/>
      <c r="W306" s="2704"/>
      <c r="X306" s="2704"/>
      <c r="Y306" s="2704"/>
      <c r="Z306" s="2704"/>
      <c r="AA306" s="2704"/>
      <c r="AB306" s="2704"/>
    </row>
    <row r="307" spans="1:28" s="457" customFormat="1" ht="18" customHeight="1" x14ac:dyDescent="0.2">
      <c r="A307" s="2686" t="s">
        <v>2</v>
      </c>
      <c r="B307" s="360"/>
      <c r="C307" s="2686" t="s">
        <v>3</v>
      </c>
      <c r="D307" s="360"/>
      <c r="E307" s="360"/>
      <c r="F307" s="2693" t="s">
        <v>4</v>
      </c>
      <c r="G307" s="2693"/>
      <c r="H307" s="2693"/>
      <c r="I307" s="2694"/>
      <c r="J307" s="2694"/>
      <c r="K307" s="2695"/>
      <c r="L307" s="361"/>
      <c r="M307" s="2679" t="s">
        <v>5</v>
      </c>
      <c r="N307" s="2679"/>
      <c r="O307" s="2679"/>
      <c r="P307" s="2679"/>
      <c r="Q307" s="2696"/>
      <c r="R307" s="2696"/>
      <c r="S307" s="2696"/>
      <c r="T307" s="2696"/>
      <c r="U307" s="2696"/>
      <c r="V307" s="2697"/>
      <c r="W307" s="362" t="s">
        <v>6</v>
      </c>
      <c r="X307" s="363" t="s">
        <v>7</v>
      </c>
      <c r="Y307" s="364"/>
      <c r="Z307" s="364"/>
      <c r="AA307" s="363"/>
      <c r="AB307" s="458"/>
    </row>
    <row r="308" spans="1:28" s="457" customFormat="1" ht="18" customHeight="1" x14ac:dyDescent="0.2">
      <c r="A308" s="2687"/>
      <c r="B308" s="367"/>
      <c r="C308" s="2687"/>
      <c r="D308" s="366" t="s">
        <v>9</v>
      </c>
      <c r="E308" s="366" t="s">
        <v>10</v>
      </c>
      <c r="F308" s="2698" t="s">
        <v>11</v>
      </c>
      <c r="G308" s="2694"/>
      <c r="H308" s="2695"/>
      <c r="I308" s="360"/>
      <c r="J308" s="449" t="s">
        <v>12</v>
      </c>
      <c r="K308" s="360"/>
      <c r="L308" s="2679" t="s">
        <v>2</v>
      </c>
      <c r="M308" s="370"/>
      <c r="N308" s="370"/>
      <c r="O308" s="370"/>
      <c r="P308" s="371"/>
      <c r="Q308" s="459" t="s">
        <v>13</v>
      </c>
      <c r="R308" s="370" t="s">
        <v>12</v>
      </c>
      <c r="S308" s="370" t="s">
        <v>6</v>
      </c>
      <c r="T308" s="2682" t="s">
        <v>14</v>
      </c>
      <c r="U308" s="2683"/>
      <c r="V308" s="375" t="s">
        <v>7</v>
      </c>
      <c r="W308" s="376" t="s">
        <v>15</v>
      </c>
      <c r="X308" s="377" t="s">
        <v>16</v>
      </c>
      <c r="Y308" s="377" t="s">
        <v>17</v>
      </c>
      <c r="Z308" s="377" t="s">
        <v>18</v>
      </c>
      <c r="AA308" s="377"/>
      <c r="AB308" s="460" t="s">
        <v>19</v>
      </c>
    </row>
    <row r="309" spans="1:28" s="457" customFormat="1" ht="18" customHeight="1" x14ac:dyDescent="0.2">
      <c r="A309" s="2687"/>
      <c r="B309" s="366" t="s">
        <v>23</v>
      </c>
      <c r="C309" s="2687"/>
      <c r="D309" s="366" t="s">
        <v>24</v>
      </c>
      <c r="E309" s="366" t="s">
        <v>25</v>
      </c>
      <c r="F309" s="2699"/>
      <c r="G309" s="2700"/>
      <c r="H309" s="2701"/>
      <c r="I309" s="366" t="s">
        <v>26</v>
      </c>
      <c r="J309" s="380" t="s">
        <v>15</v>
      </c>
      <c r="K309" s="380" t="s">
        <v>6</v>
      </c>
      <c r="L309" s="2680"/>
      <c r="M309" s="381" t="s">
        <v>27</v>
      </c>
      <c r="N309" s="381" t="s">
        <v>10</v>
      </c>
      <c r="O309" s="381" t="s">
        <v>10</v>
      </c>
      <c r="P309" s="385" t="s">
        <v>28</v>
      </c>
      <c r="Q309" s="461" t="s">
        <v>29</v>
      </c>
      <c r="R309" s="385" t="s">
        <v>15</v>
      </c>
      <c r="S309" s="385" t="s">
        <v>15</v>
      </c>
      <c r="T309" s="2684"/>
      <c r="U309" s="2685"/>
      <c r="V309" s="375" t="s">
        <v>30</v>
      </c>
      <c r="W309" s="376" t="s">
        <v>31</v>
      </c>
      <c r="X309" s="377" t="s">
        <v>30</v>
      </c>
      <c r="Y309" s="377" t="s">
        <v>32</v>
      </c>
      <c r="Z309" s="377" t="s">
        <v>7</v>
      </c>
      <c r="AA309" s="377" t="s">
        <v>33</v>
      </c>
      <c r="AB309" s="460" t="s">
        <v>34</v>
      </c>
    </row>
    <row r="310" spans="1:28" s="457" customFormat="1" ht="18" customHeight="1" x14ac:dyDescent="0.2">
      <c r="A310" s="2687"/>
      <c r="B310" s="366" t="s">
        <v>39</v>
      </c>
      <c r="C310" s="2687"/>
      <c r="D310" s="366" t="s">
        <v>40</v>
      </c>
      <c r="E310" s="366" t="s">
        <v>41</v>
      </c>
      <c r="F310" s="2686" t="s">
        <v>42</v>
      </c>
      <c r="G310" s="2686" t="s">
        <v>43</v>
      </c>
      <c r="H310" s="2688" t="s">
        <v>44</v>
      </c>
      <c r="I310" s="366" t="s">
        <v>45</v>
      </c>
      <c r="J310" s="380" t="s">
        <v>46</v>
      </c>
      <c r="K310" s="380" t="s">
        <v>47</v>
      </c>
      <c r="L310" s="2680"/>
      <c r="M310" s="381" t="s">
        <v>30</v>
      </c>
      <c r="N310" s="381" t="s">
        <v>30</v>
      </c>
      <c r="O310" s="381" t="s">
        <v>25</v>
      </c>
      <c r="P310" s="385" t="s">
        <v>30</v>
      </c>
      <c r="Q310" s="461" t="s">
        <v>48</v>
      </c>
      <c r="R310" s="385" t="s">
        <v>49</v>
      </c>
      <c r="S310" s="385" t="s">
        <v>30</v>
      </c>
      <c r="T310" s="374" t="s">
        <v>50</v>
      </c>
      <c r="U310" s="374" t="s">
        <v>13</v>
      </c>
      <c r="V310" s="375" t="s">
        <v>51</v>
      </c>
      <c r="W310" s="376" t="s">
        <v>52</v>
      </c>
      <c r="X310" s="377" t="s">
        <v>53</v>
      </c>
      <c r="Y310" s="377" t="s">
        <v>54</v>
      </c>
      <c r="Z310" s="377" t="s">
        <v>55</v>
      </c>
      <c r="AA310" s="377" t="s">
        <v>56</v>
      </c>
      <c r="AB310" s="460" t="s">
        <v>57</v>
      </c>
    </row>
    <row r="311" spans="1:28" s="457" customFormat="1" ht="18" customHeight="1" x14ac:dyDescent="0.2">
      <c r="A311" s="2687"/>
      <c r="B311" s="366" t="s">
        <v>61</v>
      </c>
      <c r="C311" s="2687"/>
      <c r="D311" s="366" t="s">
        <v>62</v>
      </c>
      <c r="E311" s="366" t="s">
        <v>63</v>
      </c>
      <c r="F311" s="2687"/>
      <c r="G311" s="2687"/>
      <c r="H311" s="2689"/>
      <c r="I311" s="366" t="s">
        <v>64</v>
      </c>
      <c r="J311" s="380" t="s">
        <v>59</v>
      </c>
      <c r="K311" s="380" t="s">
        <v>59</v>
      </c>
      <c r="L311" s="2680"/>
      <c r="M311" s="381"/>
      <c r="N311" s="381"/>
      <c r="O311" s="381" t="s">
        <v>41</v>
      </c>
      <c r="P311" s="385" t="s">
        <v>65</v>
      </c>
      <c r="Q311" s="461" t="s">
        <v>66</v>
      </c>
      <c r="R311" s="385" t="s">
        <v>67</v>
      </c>
      <c r="S311" s="385" t="s">
        <v>59</v>
      </c>
      <c r="T311" s="375" t="s">
        <v>68</v>
      </c>
      <c r="U311" s="375" t="s">
        <v>14</v>
      </c>
      <c r="V311" s="375" t="s">
        <v>14</v>
      </c>
      <c r="W311" s="376" t="s">
        <v>30</v>
      </c>
      <c r="X311" s="388" t="s">
        <v>69</v>
      </c>
      <c r="Y311" s="388" t="s">
        <v>70</v>
      </c>
      <c r="Z311" s="377" t="s">
        <v>71</v>
      </c>
      <c r="AA311" s="377" t="s">
        <v>72</v>
      </c>
      <c r="AB311" s="460" t="s">
        <v>59</v>
      </c>
    </row>
    <row r="312" spans="1:28" s="457" customFormat="1" ht="18" customHeight="1" x14ac:dyDescent="0.2">
      <c r="A312" s="2692"/>
      <c r="B312" s="390"/>
      <c r="C312" s="2692"/>
      <c r="D312" s="390"/>
      <c r="E312" s="389"/>
      <c r="F312" s="390"/>
      <c r="G312" s="390"/>
      <c r="H312" s="391"/>
      <c r="I312" s="389"/>
      <c r="J312" s="393"/>
      <c r="K312" s="393"/>
      <c r="L312" s="2681"/>
      <c r="M312" s="394"/>
      <c r="N312" s="394"/>
      <c r="O312" s="394" t="s">
        <v>63</v>
      </c>
      <c r="P312" s="394"/>
      <c r="Q312" s="450" t="s">
        <v>72</v>
      </c>
      <c r="R312" s="398" t="s">
        <v>59</v>
      </c>
      <c r="S312" s="398"/>
      <c r="T312" s="398" t="s">
        <v>73</v>
      </c>
      <c r="U312" s="398" t="s">
        <v>59</v>
      </c>
      <c r="V312" s="399" t="s">
        <v>59</v>
      </c>
      <c r="W312" s="400" t="s">
        <v>59</v>
      </c>
      <c r="X312" s="401" t="s">
        <v>59</v>
      </c>
      <c r="Y312" s="401" t="s">
        <v>59</v>
      </c>
      <c r="Z312" s="401" t="s">
        <v>59</v>
      </c>
      <c r="AA312" s="402"/>
      <c r="AB312" s="462"/>
    </row>
    <row r="313" spans="1:28" s="457" customFormat="1" ht="18" customHeight="1" x14ac:dyDescent="0.25">
      <c r="A313" s="53">
        <v>1</v>
      </c>
      <c r="B313" s="333">
        <v>53663</v>
      </c>
      <c r="C313" s="41">
        <v>1627</v>
      </c>
      <c r="D313" s="41" t="s">
        <v>215</v>
      </c>
      <c r="E313" s="41">
        <v>2</v>
      </c>
      <c r="F313" s="41">
        <v>0</v>
      </c>
      <c r="G313" s="41">
        <v>0</v>
      </c>
      <c r="H313" s="267">
        <v>57.6</v>
      </c>
      <c r="I313" s="77">
        <f t="shared" ref="I313:I314" si="73">F313*400+G313*100+H313</f>
        <v>57.6</v>
      </c>
      <c r="J313" s="667">
        <v>2300</v>
      </c>
      <c r="K313" s="78">
        <f t="shared" ref="K313:K314" si="74">SUM(I313*J313)</f>
        <v>132480</v>
      </c>
      <c r="L313" s="45">
        <v>1</v>
      </c>
      <c r="M313" s="61">
        <v>401</v>
      </c>
      <c r="N313" s="50" t="s">
        <v>74</v>
      </c>
      <c r="O313" s="50">
        <v>2</v>
      </c>
      <c r="P313" s="19">
        <v>163.9</v>
      </c>
      <c r="Q313" s="62" t="s">
        <v>75</v>
      </c>
      <c r="R313" s="672">
        <v>8000</v>
      </c>
      <c r="S313" s="70">
        <f t="shared" ref="S313:S314" si="75">+P313*R313</f>
        <v>1311200</v>
      </c>
      <c r="T313" s="1501">
        <v>6</v>
      </c>
      <c r="U313" s="125">
        <f>+S313*0.06</f>
        <v>78672</v>
      </c>
      <c r="V313" s="70">
        <f t="shared" ref="V313" si="76">+S313-U313</f>
        <v>1232528</v>
      </c>
      <c r="W313" s="70">
        <f t="shared" ref="W313" si="77">K313+V313</f>
        <v>1365008</v>
      </c>
      <c r="X313" s="70">
        <f t="shared" ref="X313" si="78">W313*Q313/100</f>
        <v>1365008</v>
      </c>
      <c r="Y313" s="792" t="s">
        <v>89</v>
      </c>
      <c r="Z313" s="296">
        <v>0</v>
      </c>
      <c r="AA313" s="494">
        <v>0.02</v>
      </c>
      <c r="AB313" s="406">
        <f>+Z313*AA313/100</f>
        <v>0</v>
      </c>
    </row>
    <row r="314" spans="1:28" s="457" customFormat="1" ht="18" customHeight="1" x14ac:dyDescent="0.2">
      <c r="A314" s="75"/>
      <c r="B314" s="15"/>
      <c r="C314" s="15"/>
      <c r="D314" s="15"/>
      <c r="E314" s="15"/>
      <c r="F314" s="15"/>
      <c r="G314" s="15"/>
      <c r="H314" s="284">
        <v>2.4</v>
      </c>
      <c r="I314" s="77">
        <f t="shared" si="73"/>
        <v>2.4</v>
      </c>
      <c r="J314" s="671">
        <v>2301</v>
      </c>
      <c r="K314" s="78">
        <f t="shared" si="74"/>
        <v>5522.4</v>
      </c>
      <c r="L314" s="45">
        <v>2</v>
      </c>
      <c r="M314" s="61">
        <v>401</v>
      </c>
      <c r="N314" s="50" t="s">
        <v>74</v>
      </c>
      <c r="O314" s="50">
        <v>3</v>
      </c>
      <c r="P314" s="19">
        <v>9.6</v>
      </c>
      <c r="Q314" s="62" t="s">
        <v>75</v>
      </c>
      <c r="R314" s="672">
        <v>8000</v>
      </c>
      <c r="S314" s="70">
        <f t="shared" si="75"/>
        <v>76800</v>
      </c>
      <c r="T314" s="1501">
        <v>6</v>
      </c>
      <c r="U314" s="125">
        <f>+S314*0.06</f>
        <v>4608</v>
      </c>
      <c r="V314" s="70">
        <f t="shared" ref="V314" si="79">+S314-U314</f>
        <v>72192</v>
      </c>
      <c r="W314" s="70">
        <f t="shared" ref="W314" si="80">K314+V314</f>
        <v>77714.399999999994</v>
      </c>
      <c r="X314" s="70">
        <f t="shared" ref="X314" si="81">W314*Q314/100</f>
        <v>77714.399999999994</v>
      </c>
      <c r="Y314" s="792"/>
      <c r="Z314" s="74">
        <f>+X314</f>
        <v>77714.399999999994</v>
      </c>
      <c r="AA314" s="494">
        <v>0.3</v>
      </c>
      <c r="AB314" s="415">
        <f>+Z314*AA314/100</f>
        <v>233.14319999999995</v>
      </c>
    </row>
    <row r="315" spans="1:28" s="457" customFormat="1" ht="18" customHeight="1" x14ac:dyDescent="0.2">
      <c r="A315" s="75"/>
      <c r="B315" s="75"/>
      <c r="C315" s="196"/>
      <c r="D315" s="88"/>
      <c r="E315" s="88"/>
      <c r="F315" s="418"/>
      <c r="G315" s="75"/>
      <c r="H315" s="188"/>
      <c r="I315" s="74"/>
      <c r="J315" s="280"/>
      <c r="K315" s="159"/>
      <c r="L315" s="88"/>
      <c r="M315" s="145"/>
      <c r="N315" s="145"/>
      <c r="O315" s="61"/>
      <c r="P315" s="145"/>
      <c r="Q315" s="174"/>
      <c r="R315" s="408"/>
      <c r="S315" s="77"/>
      <c r="T315" s="135"/>
      <c r="U315" s="74"/>
      <c r="V315" s="74"/>
      <c r="W315" s="77"/>
      <c r="X315" s="74"/>
      <c r="Y315" s="676"/>
      <c r="Z315" s="77"/>
      <c r="AA315" s="409"/>
      <c r="AB315" s="410"/>
    </row>
    <row r="316" spans="1:28" s="457" customFormat="1" ht="18" customHeight="1" x14ac:dyDescent="0.2">
      <c r="A316" s="145"/>
      <c r="B316" s="177"/>
      <c r="C316" s="177"/>
      <c r="D316" s="145"/>
      <c r="E316" s="145"/>
      <c r="F316" s="145"/>
      <c r="G316" s="145"/>
      <c r="H316" s="147"/>
      <c r="I316" s="107"/>
      <c r="J316" s="178"/>
      <c r="K316" s="107"/>
      <c r="L316" s="145"/>
      <c r="M316" s="145"/>
      <c r="N316" s="145"/>
      <c r="O316" s="145"/>
      <c r="P316" s="147"/>
      <c r="Q316" s="148"/>
      <c r="R316" s="437"/>
      <c r="S316" s="107"/>
      <c r="T316" s="179"/>
      <c r="U316" s="178"/>
      <c r="V316" s="107"/>
      <c r="W316" s="107"/>
      <c r="X316" s="470"/>
      <c r="Y316" s="470"/>
      <c r="Z316" s="471"/>
      <c r="AA316" s="471"/>
      <c r="AB316" s="466"/>
    </row>
    <row r="317" spans="1:28" s="457" customFormat="1" ht="18" customHeight="1" x14ac:dyDescent="0.2">
      <c r="A317" s="145"/>
      <c r="B317" s="177"/>
      <c r="C317" s="177"/>
      <c r="D317" s="145"/>
      <c r="E317" s="145"/>
      <c r="F317" s="145"/>
      <c r="G317" s="145"/>
      <c r="H317" s="147"/>
      <c r="I317" s="107"/>
      <c r="J317" s="178"/>
      <c r="K317" s="107"/>
      <c r="L317" s="145"/>
      <c r="M317" s="145"/>
      <c r="N317" s="145"/>
      <c r="O317" s="145"/>
      <c r="P317" s="147"/>
      <c r="Q317" s="148"/>
      <c r="R317" s="437"/>
      <c r="S317" s="107"/>
      <c r="T317" s="179"/>
      <c r="U317" s="178"/>
      <c r="V317" s="107"/>
      <c r="W317" s="107"/>
      <c r="X317" s="470"/>
      <c r="Y317" s="470"/>
      <c r="Z317" s="471"/>
      <c r="AA317" s="471"/>
      <c r="AB317" s="466"/>
    </row>
    <row r="318" spans="1:28" s="457" customFormat="1" ht="18" customHeight="1" x14ac:dyDescent="0.2">
      <c r="A318" s="145"/>
      <c r="B318" s="177"/>
      <c r="C318" s="177"/>
      <c r="D318" s="145"/>
      <c r="E318" s="145"/>
      <c r="F318" s="145"/>
      <c r="G318" s="145"/>
      <c r="H318" s="147"/>
      <c r="I318" s="107"/>
      <c r="J318" s="178"/>
      <c r="K318" s="107"/>
      <c r="L318" s="145"/>
      <c r="M318" s="145"/>
      <c r="N318" s="145"/>
      <c r="O318" s="145"/>
      <c r="P318" s="147"/>
      <c r="Q318" s="148"/>
      <c r="R318" s="437"/>
      <c r="S318" s="107"/>
      <c r="T318" s="179"/>
      <c r="U318" s="178"/>
      <c r="V318" s="107"/>
      <c r="W318" s="107"/>
      <c r="X318" s="470"/>
      <c r="Y318" s="470"/>
      <c r="Z318" s="471"/>
      <c r="AA318" s="471"/>
      <c r="AB318" s="466"/>
    </row>
    <row r="319" spans="1:28" s="457" customFormat="1" ht="18" customHeight="1" x14ac:dyDescent="0.2">
      <c r="A319" s="145"/>
      <c r="B319" s="177"/>
      <c r="C319" s="177"/>
      <c r="D319" s="145"/>
      <c r="E319" s="145"/>
      <c r="F319" s="145"/>
      <c r="G319" s="145"/>
      <c r="H319" s="147"/>
      <c r="I319" s="107"/>
      <c r="J319" s="178"/>
      <c r="K319" s="107"/>
      <c r="L319" s="145"/>
      <c r="M319" s="145"/>
      <c r="N319" s="145"/>
      <c r="O319" s="145"/>
      <c r="P319" s="147"/>
      <c r="Q319" s="148"/>
      <c r="R319" s="437"/>
      <c r="S319" s="107"/>
      <c r="T319" s="179"/>
      <c r="U319" s="178"/>
      <c r="V319" s="107"/>
      <c r="W319" s="107"/>
      <c r="X319" s="470"/>
      <c r="Y319" s="470"/>
      <c r="Z319" s="471"/>
      <c r="AA319" s="471"/>
      <c r="AB319" s="466"/>
    </row>
    <row r="320" spans="1:28" s="457" customFormat="1" ht="18" customHeight="1" x14ac:dyDescent="0.2">
      <c r="A320" s="145"/>
      <c r="B320" s="177"/>
      <c r="C320" s="177"/>
      <c r="D320" s="145"/>
      <c r="E320" s="145"/>
      <c r="F320" s="145"/>
      <c r="G320" s="145"/>
      <c r="H320" s="147"/>
      <c r="I320" s="107"/>
      <c r="J320" s="178"/>
      <c r="K320" s="107"/>
      <c r="L320" s="145"/>
      <c r="M320" s="145"/>
      <c r="N320" s="145"/>
      <c r="O320" s="145"/>
      <c r="P320" s="147"/>
      <c r="Q320" s="148"/>
      <c r="R320" s="437"/>
      <c r="S320" s="107"/>
      <c r="T320" s="179"/>
      <c r="U320" s="178"/>
      <c r="V320" s="107"/>
      <c r="W320" s="107"/>
      <c r="X320" s="470"/>
      <c r="Y320" s="470"/>
      <c r="Z320" s="471"/>
      <c r="AA320" s="471"/>
      <c r="AB320" s="466"/>
    </row>
    <row r="321" spans="1:32" s="457" customFormat="1" ht="18" customHeight="1" x14ac:dyDescent="0.2">
      <c r="A321" s="145"/>
      <c r="B321" s="177"/>
      <c r="C321" s="177"/>
      <c r="D321" s="145"/>
      <c r="E321" s="145"/>
      <c r="F321" s="145"/>
      <c r="G321" s="145"/>
      <c r="H321" s="147"/>
      <c r="I321" s="107"/>
      <c r="J321" s="178"/>
      <c r="K321" s="107"/>
      <c r="L321" s="145"/>
      <c r="M321" s="145"/>
      <c r="N321" s="145"/>
      <c r="O321" s="145"/>
      <c r="P321" s="147"/>
      <c r="Q321" s="148"/>
      <c r="R321" s="437"/>
      <c r="S321" s="107"/>
      <c r="T321" s="179"/>
      <c r="U321" s="178"/>
      <c r="V321" s="107"/>
      <c r="W321" s="107"/>
      <c r="X321" s="470"/>
      <c r="Y321" s="470"/>
      <c r="Z321" s="471"/>
      <c r="AA321" s="471"/>
      <c r="AB321" s="466"/>
    </row>
    <row r="322" spans="1:32" s="457" customFormat="1" ht="18" customHeight="1" x14ac:dyDescent="0.2">
      <c r="A322" s="145"/>
      <c r="B322" s="177"/>
      <c r="C322" s="177"/>
      <c r="D322" s="145"/>
      <c r="E322" s="145"/>
      <c r="F322" s="145"/>
      <c r="G322" s="145"/>
      <c r="H322" s="147"/>
      <c r="I322" s="107"/>
      <c r="J322" s="178"/>
      <c r="K322" s="107"/>
      <c r="L322" s="145"/>
      <c r="M322" s="145"/>
      <c r="N322" s="145"/>
      <c r="O322" s="145"/>
      <c r="P322" s="147"/>
      <c r="Q322" s="148"/>
      <c r="R322" s="437"/>
      <c r="S322" s="107"/>
      <c r="T322" s="179"/>
      <c r="U322" s="178"/>
      <c r="V322" s="107"/>
      <c r="W322" s="107"/>
      <c r="X322" s="470"/>
      <c r="Y322" s="470"/>
      <c r="Z322" s="471"/>
      <c r="AA322" s="471"/>
      <c r="AB322" s="466"/>
    </row>
    <row r="323" spans="1:32" s="457" customFormat="1" ht="18" customHeight="1" x14ac:dyDescent="0.2">
      <c r="A323" s="145"/>
      <c r="B323" s="177"/>
      <c r="C323" s="177"/>
      <c r="D323" s="145"/>
      <c r="E323" s="145"/>
      <c r="F323" s="145"/>
      <c r="G323" s="145"/>
      <c r="H323" s="147"/>
      <c r="I323" s="107"/>
      <c r="J323" s="178"/>
      <c r="K323" s="107"/>
      <c r="L323" s="145"/>
      <c r="M323" s="145"/>
      <c r="N323" s="145"/>
      <c r="O323" s="145"/>
      <c r="P323" s="147"/>
      <c r="Q323" s="148"/>
      <c r="R323" s="437"/>
      <c r="S323" s="107"/>
      <c r="T323" s="179"/>
      <c r="U323" s="178"/>
      <c r="V323" s="107"/>
      <c r="W323" s="107"/>
      <c r="X323" s="470"/>
      <c r="Y323" s="470"/>
      <c r="Z323" s="471"/>
      <c r="AA323" s="471"/>
      <c r="AB323" s="466"/>
    </row>
    <row r="324" spans="1:32" s="457" customFormat="1" ht="18" customHeight="1" x14ac:dyDescent="0.2">
      <c r="A324" s="145"/>
      <c r="B324" s="177"/>
      <c r="C324" s="177"/>
      <c r="D324" s="145"/>
      <c r="E324" s="145"/>
      <c r="F324" s="145"/>
      <c r="G324" s="145"/>
      <c r="H324" s="147"/>
      <c r="I324" s="107"/>
      <c r="J324" s="178"/>
      <c r="K324" s="107"/>
      <c r="L324" s="145"/>
      <c r="M324" s="145"/>
      <c r="N324" s="145"/>
      <c r="O324" s="145"/>
      <c r="P324" s="147"/>
      <c r="Q324" s="148"/>
      <c r="R324" s="437"/>
      <c r="S324" s="107"/>
      <c r="T324" s="179"/>
      <c r="U324" s="178"/>
      <c r="V324" s="107"/>
      <c r="W324" s="107"/>
      <c r="X324" s="470"/>
      <c r="Y324" s="470"/>
      <c r="Z324" s="471"/>
      <c r="AA324" s="471"/>
      <c r="AB324" s="466"/>
    </row>
    <row r="325" spans="1:32" s="457" customFormat="1" ht="18" customHeight="1" x14ac:dyDescent="0.2">
      <c r="A325" s="145"/>
      <c r="B325" s="177"/>
      <c r="C325" s="177"/>
      <c r="D325" s="145"/>
      <c r="E325" s="145"/>
      <c r="F325" s="145"/>
      <c r="G325" s="145"/>
      <c r="H325" s="147"/>
      <c r="I325" s="107"/>
      <c r="J325" s="178"/>
      <c r="K325" s="107"/>
      <c r="L325" s="145"/>
      <c r="M325" s="145"/>
      <c r="N325" s="145"/>
      <c r="O325" s="145"/>
      <c r="P325" s="147"/>
      <c r="Q325" s="148"/>
      <c r="R325" s="437"/>
      <c r="S325" s="107"/>
      <c r="T325" s="179"/>
      <c r="U325" s="178"/>
      <c r="V325" s="107"/>
      <c r="W325" s="107"/>
      <c r="X325" s="470"/>
      <c r="Y325" s="470"/>
      <c r="Z325" s="471"/>
      <c r="AA325" s="471"/>
      <c r="AB325" s="466"/>
    </row>
    <row r="326" spans="1:32" s="457" customFormat="1" ht="18" customHeight="1" x14ac:dyDescent="0.2">
      <c r="A326" s="145"/>
      <c r="B326" s="177"/>
      <c r="C326" s="177"/>
      <c r="D326" s="145"/>
      <c r="E326" s="145"/>
      <c r="F326" s="145"/>
      <c r="G326" s="145"/>
      <c r="H326" s="147"/>
      <c r="I326" s="107"/>
      <c r="J326" s="178"/>
      <c r="K326" s="107"/>
      <c r="L326" s="145"/>
      <c r="M326" s="145"/>
      <c r="N326" s="145"/>
      <c r="O326" s="145"/>
      <c r="P326" s="147"/>
      <c r="Q326" s="148"/>
      <c r="R326" s="437"/>
      <c r="S326" s="107"/>
      <c r="T326" s="179"/>
      <c r="U326" s="178"/>
      <c r="V326" s="107"/>
      <c r="W326" s="107"/>
      <c r="X326" s="470"/>
      <c r="Y326" s="470"/>
      <c r="Z326" s="471"/>
      <c r="AA326" s="471"/>
      <c r="AB326" s="466"/>
    </row>
    <row r="327" spans="1:32" s="457" customFormat="1" ht="18" customHeight="1" x14ac:dyDescent="0.2">
      <c r="A327" s="88"/>
      <c r="B327" s="180"/>
      <c r="C327" s="180"/>
      <c r="D327" s="88"/>
      <c r="E327" s="88"/>
      <c r="F327" s="88"/>
      <c r="G327" s="88"/>
      <c r="H327" s="120"/>
      <c r="I327" s="121"/>
      <c r="J327" s="181"/>
      <c r="K327" s="121"/>
      <c r="L327" s="88"/>
      <c r="M327" s="88"/>
      <c r="N327" s="88"/>
      <c r="O327" s="88"/>
      <c r="P327" s="88"/>
      <c r="Q327" s="129"/>
      <c r="R327" s="445"/>
      <c r="S327" s="121"/>
      <c r="T327" s="182"/>
      <c r="U327" s="181"/>
      <c r="V327" s="121"/>
      <c r="W327" s="121"/>
      <c r="X327" s="472"/>
      <c r="Y327" s="472"/>
      <c r="Z327" s="473"/>
      <c r="AA327" s="473"/>
      <c r="AB327" s="410"/>
    </row>
    <row r="328" spans="1:32" s="597" customFormat="1" ht="18" customHeight="1" x14ac:dyDescent="0.2">
      <c r="A328" s="1850"/>
      <c r="B328" s="1850"/>
      <c r="C328" s="1850"/>
      <c r="D328" s="1850"/>
      <c r="E328" s="1850"/>
      <c r="F328" s="1850"/>
      <c r="G328" s="1850"/>
      <c r="H328" s="1851"/>
      <c r="I328" s="1852"/>
      <c r="J328" s="1853"/>
      <c r="K328" s="1852"/>
      <c r="L328" s="1852"/>
      <c r="M328" s="1852"/>
      <c r="N328" s="1852"/>
      <c r="O328" s="1852"/>
      <c r="P328" s="1852"/>
      <c r="Q328" s="1852"/>
      <c r="R328" s="1854"/>
      <c r="S328" s="1852"/>
      <c r="T328" s="1855"/>
      <c r="U328" s="1853"/>
      <c r="V328" s="1852"/>
      <c r="W328" s="1852"/>
      <c r="X328" s="1856"/>
      <c r="Y328" s="1856"/>
      <c r="Z328" s="1857"/>
      <c r="AA328" s="1857"/>
      <c r="AB328" s="1847">
        <f>SUM(AB313:AB327)</f>
        <v>233.14319999999995</v>
      </c>
    </row>
    <row r="329" spans="1:32" s="457" customFormat="1" ht="18" customHeight="1" x14ac:dyDescent="0.2">
      <c r="A329" s="2737" t="s">
        <v>76</v>
      </c>
      <c r="B329" s="2737"/>
      <c r="C329" s="2738" t="s">
        <v>77</v>
      </c>
      <c r="D329" s="2738"/>
      <c r="E329" s="2738"/>
      <c r="F329" s="2738"/>
      <c r="G329" s="2738"/>
      <c r="H329" s="2738"/>
      <c r="I329" s="457" t="s">
        <v>78</v>
      </c>
      <c r="AB329" s="478"/>
    </row>
    <row r="330" spans="1:32" s="457" customFormat="1" ht="18" customHeight="1" x14ac:dyDescent="0.2">
      <c r="B330" s="479"/>
      <c r="I330" s="457" t="s">
        <v>79</v>
      </c>
      <c r="AB330" s="478"/>
    </row>
    <row r="331" spans="1:32" s="457" customFormat="1" ht="18" customHeight="1" x14ac:dyDescent="0.2">
      <c r="B331" s="479"/>
      <c r="I331" s="457" t="s">
        <v>80</v>
      </c>
      <c r="AB331" s="478"/>
    </row>
    <row r="332" spans="1:32" s="457" customFormat="1" ht="18" customHeight="1" x14ac:dyDescent="0.2">
      <c r="B332" s="479"/>
      <c r="I332" s="457" t="s">
        <v>81</v>
      </c>
      <c r="AB332" s="478"/>
    </row>
    <row r="333" spans="1:32" s="457" customFormat="1" ht="18" customHeight="1" x14ac:dyDescent="0.2">
      <c r="B333" s="479"/>
      <c r="I333" s="457" t="s">
        <v>88</v>
      </c>
      <c r="AB333" s="478"/>
    </row>
    <row r="334" spans="1:32" s="457" customFormat="1" ht="18" customHeight="1" x14ac:dyDescent="0.2">
      <c r="A334" s="610"/>
      <c r="B334" s="610"/>
      <c r="C334" s="610"/>
      <c r="D334" s="610"/>
      <c r="E334" s="610"/>
      <c r="F334" s="610"/>
      <c r="G334" s="610"/>
      <c r="H334" s="610"/>
      <c r="I334" s="610"/>
      <c r="J334" s="610"/>
      <c r="K334" s="610"/>
      <c r="L334" s="610"/>
      <c r="M334" s="610"/>
      <c r="N334" s="610"/>
      <c r="O334" s="610"/>
      <c r="P334" s="610"/>
      <c r="Q334" s="610"/>
      <c r="R334" s="610"/>
      <c r="S334" s="610"/>
      <c r="T334" s="610"/>
      <c r="U334" s="610"/>
      <c r="V334" s="610"/>
      <c r="W334" s="610"/>
      <c r="X334" s="610"/>
      <c r="Y334" s="610"/>
      <c r="Z334" s="610"/>
      <c r="AA334" s="2706" t="s">
        <v>0</v>
      </c>
      <c r="AB334" s="2706"/>
      <c r="AC334" s="455"/>
      <c r="AD334" s="455"/>
      <c r="AE334" s="455"/>
      <c r="AF334" s="455"/>
    </row>
    <row r="335" spans="1:32" s="457" customFormat="1" ht="18" customHeight="1" x14ac:dyDescent="0.2">
      <c r="A335" s="2706" t="s">
        <v>1</v>
      </c>
      <c r="B335" s="2706"/>
      <c r="C335" s="2706"/>
      <c r="D335" s="2706"/>
      <c r="E335" s="2706"/>
      <c r="F335" s="2706"/>
      <c r="G335" s="2706"/>
      <c r="H335" s="2706"/>
      <c r="I335" s="2706"/>
      <c r="J335" s="2706"/>
      <c r="K335" s="2706"/>
      <c r="L335" s="2706"/>
      <c r="M335" s="2706"/>
      <c r="N335" s="2706"/>
      <c r="O335" s="2706"/>
      <c r="P335" s="2706"/>
      <c r="Q335" s="2706"/>
      <c r="R335" s="2706"/>
      <c r="S335" s="2706"/>
      <c r="T335" s="2706"/>
      <c r="U335" s="2706"/>
      <c r="V335" s="2706"/>
      <c r="W335" s="2706"/>
      <c r="X335" s="2706"/>
      <c r="Y335" s="2706"/>
      <c r="Z335" s="2706"/>
      <c r="AA335" s="2706"/>
      <c r="AB335" s="2706"/>
      <c r="AC335" s="610"/>
      <c r="AD335" s="610"/>
      <c r="AE335" s="610"/>
      <c r="AF335" s="610"/>
    </row>
    <row r="336" spans="1:32" s="457" customFormat="1" ht="18" customHeight="1" x14ac:dyDescent="0.2">
      <c r="A336" s="2704" t="s">
        <v>499</v>
      </c>
      <c r="B336" s="2704"/>
      <c r="C336" s="2704"/>
      <c r="D336" s="2704"/>
      <c r="E336" s="2704"/>
      <c r="F336" s="2704"/>
      <c r="G336" s="2704"/>
      <c r="H336" s="2704"/>
      <c r="I336" s="2704"/>
      <c r="J336" s="2704"/>
      <c r="K336" s="2704"/>
      <c r="L336" s="2704"/>
      <c r="M336" s="2704"/>
      <c r="N336" s="2704"/>
      <c r="O336" s="2704"/>
      <c r="P336" s="2704"/>
      <c r="Q336" s="2704"/>
      <c r="R336" s="2704"/>
      <c r="S336" s="2704"/>
      <c r="T336" s="2704"/>
      <c r="U336" s="2704"/>
      <c r="V336" s="2704"/>
      <c r="W336" s="2704"/>
      <c r="X336" s="2704"/>
      <c r="Y336" s="2704"/>
      <c r="Z336" s="2704"/>
      <c r="AA336" s="2704"/>
      <c r="AB336" s="2704"/>
      <c r="AC336" s="611"/>
      <c r="AD336" s="611"/>
      <c r="AE336" s="611"/>
      <c r="AF336" s="611"/>
    </row>
    <row r="337" spans="1:32" s="457" customFormat="1" ht="18" customHeight="1" x14ac:dyDescent="0.2">
      <c r="A337" s="2686" t="s">
        <v>2</v>
      </c>
      <c r="B337" s="360"/>
      <c r="C337" s="2686" t="s">
        <v>3</v>
      </c>
      <c r="D337" s="360"/>
      <c r="E337" s="360"/>
      <c r="F337" s="2693" t="s">
        <v>4</v>
      </c>
      <c r="G337" s="2693"/>
      <c r="H337" s="2693"/>
      <c r="I337" s="2694"/>
      <c r="J337" s="2694"/>
      <c r="K337" s="2695"/>
      <c r="L337" s="361"/>
      <c r="M337" s="2679" t="s">
        <v>5</v>
      </c>
      <c r="N337" s="2679"/>
      <c r="O337" s="2679"/>
      <c r="P337" s="2679"/>
      <c r="Q337" s="2696"/>
      <c r="R337" s="2696"/>
      <c r="S337" s="2696"/>
      <c r="T337" s="2696"/>
      <c r="U337" s="2696"/>
      <c r="V337" s="2697"/>
      <c r="W337" s="362" t="s">
        <v>6</v>
      </c>
      <c r="X337" s="363" t="s">
        <v>7</v>
      </c>
      <c r="Y337" s="364"/>
      <c r="Z337" s="364"/>
      <c r="AA337" s="363"/>
      <c r="AB337" s="458"/>
      <c r="AC337" s="612" t="s">
        <v>8</v>
      </c>
      <c r="AD337" s="613"/>
      <c r="AE337" s="613"/>
      <c r="AF337" s="614"/>
    </row>
    <row r="338" spans="1:32" s="457" customFormat="1" ht="18" customHeight="1" x14ac:dyDescent="0.2">
      <c r="A338" s="2687"/>
      <c r="B338" s="367"/>
      <c r="C338" s="2687"/>
      <c r="D338" s="366" t="s">
        <v>9</v>
      </c>
      <c r="E338" s="366" t="s">
        <v>10</v>
      </c>
      <c r="F338" s="2698" t="s">
        <v>11</v>
      </c>
      <c r="G338" s="2694"/>
      <c r="H338" s="2695"/>
      <c r="I338" s="360"/>
      <c r="J338" s="449" t="s">
        <v>12</v>
      </c>
      <c r="K338" s="360"/>
      <c r="L338" s="2679" t="s">
        <v>2</v>
      </c>
      <c r="M338" s="370"/>
      <c r="N338" s="370"/>
      <c r="O338" s="370"/>
      <c r="P338" s="371"/>
      <c r="Q338" s="459" t="s">
        <v>13</v>
      </c>
      <c r="R338" s="370" t="s">
        <v>12</v>
      </c>
      <c r="S338" s="370" t="s">
        <v>6</v>
      </c>
      <c r="T338" s="2682" t="s">
        <v>14</v>
      </c>
      <c r="U338" s="2683"/>
      <c r="V338" s="375" t="s">
        <v>7</v>
      </c>
      <c r="W338" s="376" t="s">
        <v>15</v>
      </c>
      <c r="X338" s="377" t="s">
        <v>16</v>
      </c>
      <c r="Y338" s="377" t="s">
        <v>17</v>
      </c>
      <c r="Z338" s="377" t="s">
        <v>18</v>
      </c>
      <c r="AA338" s="377"/>
      <c r="AB338" s="460" t="s">
        <v>19</v>
      </c>
      <c r="AC338" s="615" t="s">
        <v>20</v>
      </c>
      <c r="AD338" s="616"/>
      <c r="AE338" s="617" t="s">
        <v>21</v>
      </c>
      <c r="AF338" s="618" t="s">
        <v>22</v>
      </c>
    </row>
    <row r="339" spans="1:32" s="457" customFormat="1" ht="18" customHeight="1" x14ac:dyDescent="0.2">
      <c r="A339" s="2687"/>
      <c r="B339" s="366" t="s">
        <v>23</v>
      </c>
      <c r="C339" s="2687"/>
      <c r="D339" s="366" t="s">
        <v>24</v>
      </c>
      <c r="E339" s="366" t="s">
        <v>25</v>
      </c>
      <c r="F339" s="2699"/>
      <c r="G339" s="2700"/>
      <c r="H339" s="2701"/>
      <c r="I339" s="366" t="s">
        <v>26</v>
      </c>
      <c r="J339" s="380" t="s">
        <v>15</v>
      </c>
      <c r="K339" s="380" t="s">
        <v>6</v>
      </c>
      <c r="L339" s="2680"/>
      <c r="M339" s="381" t="s">
        <v>27</v>
      </c>
      <c r="N339" s="381" t="s">
        <v>10</v>
      </c>
      <c r="O339" s="381" t="s">
        <v>10</v>
      </c>
      <c r="P339" s="385" t="s">
        <v>28</v>
      </c>
      <c r="Q339" s="461" t="s">
        <v>29</v>
      </c>
      <c r="R339" s="385" t="s">
        <v>15</v>
      </c>
      <c r="S339" s="385" t="s">
        <v>15</v>
      </c>
      <c r="T339" s="2684"/>
      <c r="U339" s="2685"/>
      <c r="V339" s="375" t="s">
        <v>30</v>
      </c>
      <c r="W339" s="376" t="s">
        <v>31</v>
      </c>
      <c r="X339" s="377" t="s">
        <v>30</v>
      </c>
      <c r="Y339" s="377" t="s">
        <v>32</v>
      </c>
      <c r="Z339" s="377" t="s">
        <v>7</v>
      </c>
      <c r="AA339" s="377" t="s">
        <v>33</v>
      </c>
      <c r="AB339" s="460" t="s">
        <v>34</v>
      </c>
      <c r="AC339" s="615" t="s">
        <v>35</v>
      </c>
      <c r="AD339" s="617" t="s">
        <v>36</v>
      </c>
      <c r="AE339" s="617" t="s">
        <v>37</v>
      </c>
      <c r="AF339" s="618" t="s">
        <v>38</v>
      </c>
    </row>
    <row r="340" spans="1:32" s="457" customFormat="1" ht="18" customHeight="1" x14ac:dyDescent="0.2">
      <c r="A340" s="2687"/>
      <c r="B340" s="366" t="s">
        <v>39</v>
      </c>
      <c r="C340" s="2687"/>
      <c r="D340" s="366" t="s">
        <v>40</v>
      </c>
      <c r="E340" s="366" t="s">
        <v>41</v>
      </c>
      <c r="F340" s="2686" t="s">
        <v>42</v>
      </c>
      <c r="G340" s="2686" t="s">
        <v>43</v>
      </c>
      <c r="H340" s="2688" t="s">
        <v>44</v>
      </c>
      <c r="I340" s="366" t="s">
        <v>45</v>
      </c>
      <c r="J340" s="380" t="s">
        <v>46</v>
      </c>
      <c r="K340" s="380" t="s">
        <v>47</v>
      </c>
      <c r="L340" s="2680"/>
      <c r="M340" s="381" t="s">
        <v>30</v>
      </c>
      <c r="N340" s="381" t="s">
        <v>30</v>
      </c>
      <c r="O340" s="381" t="s">
        <v>25</v>
      </c>
      <c r="P340" s="385" t="s">
        <v>30</v>
      </c>
      <c r="Q340" s="461" t="s">
        <v>48</v>
      </c>
      <c r="R340" s="385" t="s">
        <v>49</v>
      </c>
      <c r="S340" s="385" t="s">
        <v>30</v>
      </c>
      <c r="T340" s="374" t="s">
        <v>50</v>
      </c>
      <c r="U340" s="374" t="s">
        <v>13</v>
      </c>
      <c r="V340" s="375" t="s">
        <v>51</v>
      </c>
      <c r="W340" s="376" t="s">
        <v>52</v>
      </c>
      <c r="X340" s="377" t="s">
        <v>53</v>
      </c>
      <c r="Y340" s="377" t="s">
        <v>54</v>
      </c>
      <c r="Z340" s="377" t="s">
        <v>55</v>
      </c>
      <c r="AA340" s="377" t="s">
        <v>56</v>
      </c>
      <c r="AB340" s="460" t="s">
        <v>57</v>
      </c>
      <c r="AC340" s="617" t="s">
        <v>58</v>
      </c>
      <c r="AD340" s="617" t="s">
        <v>59</v>
      </c>
      <c r="AE340" s="617" t="s">
        <v>59</v>
      </c>
      <c r="AF340" s="618" t="s">
        <v>60</v>
      </c>
    </row>
    <row r="341" spans="1:32" s="457" customFormat="1" ht="18" customHeight="1" x14ac:dyDescent="0.2">
      <c r="A341" s="2687"/>
      <c r="B341" s="366" t="s">
        <v>61</v>
      </c>
      <c r="C341" s="2687"/>
      <c r="D341" s="366" t="s">
        <v>62</v>
      </c>
      <c r="E341" s="366" t="s">
        <v>63</v>
      </c>
      <c r="F341" s="2687"/>
      <c r="G341" s="2687"/>
      <c r="H341" s="2689"/>
      <c r="I341" s="366" t="s">
        <v>64</v>
      </c>
      <c r="J341" s="380" t="s">
        <v>59</v>
      </c>
      <c r="K341" s="380" t="s">
        <v>59</v>
      </c>
      <c r="L341" s="2680"/>
      <c r="M341" s="381"/>
      <c r="N341" s="381"/>
      <c r="O341" s="381" t="s">
        <v>41</v>
      </c>
      <c r="P341" s="385" t="s">
        <v>65</v>
      </c>
      <c r="Q341" s="461" t="s">
        <v>66</v>
      </c>
      <c r="R341" s="385" t="s">
        <v>67</v>
      </c>
      <c r="S341" s="385" t="s">
        <v>59</v>
      </c>
      <c r="T341" s="375" t="s">
        <v>68</v>
      </c>
      <c r="U341" s="375" t="s">
        <v>14</v>
      </c>
      <c r="V341" s="375" t="s">
        <v>14</v>
      </c>
      <c r="W341" s="376" t="s">
        <v>30</v>
      </c>
      <c r="X341" s="388" t="s">
        <v>69</v>
      </c>
      <c r="Y341" s="388" t="s">
        <v>70</v>
      </c>
      <c r="Z341" s="377" t="s">
        <v>71</v>
      </c>
      <c r="AA341" s="377" t="s">
        <v>72</v>
      </c>
      <c r="AB341" s="460" t="s">
        <v>59</v>
      </c>
      <c r="AC341" s="617" t="s">
        <v>59</v>
      </c>
      <c r="AD341" s="617"/>
      <c r="AE341" s="617"/>
      <c r="AF341" s="618" t="s">
        <v>59</v>
      </c>
    </row>
    <row r="342" spans="1:32" s="457" customFormat="1" ht="18" customHeight="1" x14ac:dyDescent="0.2">
      <c r="A342" s="2692"/>
      <c r="B342" s="390"/>
      <c r="C342" s="2692"/>
      <c r="D342" s="390"/>
      <c r="E342" s="389"/>
      <c r="F342" s="390"/>
      <c r="G342" s="390"/>
      <c r="H342" s="391"/>
      <c r="I342" s="389"/>
      <c r="J342" s="393"/>
      <c r="K342" s="393"/>
      <c r="L342" s="2681"/>
      <c r="M342" s="394"/>
      <c r="N342" s="394"/>
      <c r="O342" s="394" t="s">
        <v>63</v>
      </c>
      <c r="P342" s="394"/>
      <c r="Q342" s="450" t="s">
        <v>72</v>
      </c>
      <c r="R342" s="398" t="s">
        <v>59</v>
      </c>
      <c r="S342" s="398"/>
      <c r="T342" s="398" t="s">
        <v>73</v>
      </c>
      <c r="U342" s="398" t="s">
        <v>59</v>
      </c>
      <c r="V342" s="399" t="s">
        <v>59</v>
      </c>
      <c r="W342" s="400" t="s">
        <v>59</v>
      </c>
      <c r="X342" s="401" t="s">
        <v>59</v>
      </c>
      <c r="Y342" s="401" t="s">
        <v>59</v>
      </c>
      <c r="Z342" s="401" t="s">
        <v>59</v>
      </c>
      <c r="AA342" s="402"/>
      <c r="AB342" s="462"/>
      <c r="AC342" s="625"/>
      <c r="AD342" s="625"/>
      <c r="AE342" s="625"/>
      <c r="AF342" s="626"/>
    </row>
    <row r="343" spans="1:32" s="457" customFormat="1" ht="18" customHeight="1" x14ac:dyDescent="0.25">
      <c r="A343" s="53">
        <v>1</v>
      </c>
      <c r="B343" s="254">
        <v>38114</v>
      </c>
      <c r="C343" s="14" t="s">
        <v>227</v>
      </c>
      <c r="D343" s="41" t="s">
        <v>215</v>
      </c>
      <c r="E343" s="41">
        <v>1</v>
      </c>
      <c r="F343" s="1097">
        <v>2</v>
      </c>
      <c r="G343" s="16">
        <v>2</v>
      </c>
      <c r="H343" s="17">
        <v>21</v>
      </c>
      <c r="I343" s="77">
        <f t="shared" ref="I343:I347" si="82">F343*400+G343*100+H343</f>
        <v>1021</v>
      </c>
      <c r="J343" s="667">
        <v>530</v>
      </c>
      <c r="K343" s="78">
        <f t="shared" ref="K343:K347" si="83">SUM(I343*J343)</f>
        <v>541130</v>
      </c>
      <c r="L343" s="16"/>
      <c r="M343" s="53"/>
      <c r="N343" s="16" t="s">
        <v>311</v>
      </c>
      <c r="O343" s="16"/>
      <c r="P343" s="17"/>
      <c r="Q343" s="14"/>
      <c r="R343" s="741"/>
      <c r="S343" s="302"/>
      <c r="T343" s="309"/>
      <c r="U343" s="302"/>
      <c r="V343" s="302"/>
      <c r="W343" s="70">
        <f t="shared" ref="W343:W344" si="84">K343+V343</f>
        <v>541130</v>
      </c>
      <c r="X343" s="70">
        <f t="shared" ref="X343:X344" si="85">W343*Q343/100</f>
        <v>0</v>
      </c>
      <c r="Y343" s="302" t="s">
        <v>87</v>
      </c>
      <c r="Z343" s="302">
        <v>0</v>
      </c>
      <c r="AA343" s="405">
        <v>0.01</v>
      </c>
      <c r="AB343" s="465">
        <f>+Z343*AA343/100</f>
        <v>0</v>
      </c>
      <c r="AC343" s="602"/>
      <c r="AD343" s="603">
        <f>AB343-AC343</f>
        <v>0</v>
      </c>
      <c r="AE343" s="603">
        <f>IF(AD343&lt;=0,0,AD343*25/100)</f>
        <v>0</v>
      </c>
      <c r="AF343" s="603">
        <f>IF(AC343+AE343&gt;AB343,AB343,AC343+AE343)</f>
        <v>0</v>
      </c>
    </row>
    <row r="344" spans="1:32" s="457" customFormat="1" ht="18" customHeight="1" x14ac:dyDescent="0.25">
      <c r="A344" s="61"/>
      <c r="B344" s="255"/>
      <c r="C344" s="76"/>
      <c r="D344" s="15"/>
      <c r="E344" s="15">
        <v>3</v>
      </c>
      <c r="F344" s="294">
        <v>1</v>
      </c>
      <c r="G344" s="50">
        <v>3</v>
      </c>
      <c r="H344" s="19">
        <v>75</v>
      </c>
      <c r="I344" s="77">
        <f t="shared" si="82"/>
        <v>775</v>
      </c>
      <c r="J344" s="759">
        <v>530</v>
      </c>
      <c r="K344" s="78">
        <f t="shared" si="83"/>
        <v>410750</v>
      </c>
      <c r="L344" s="50"/>
      <c r="M344" s="61"/>
      <c r="N344" s="50" t="s">
        <v>228</v>
      </c>
      <c r="O344" s="50"/>
      <c r="P344" s="19"/>
      <c r="Q344" s="76"/>
      <c r="R344" s="672"/>
      <c r="S344" s="296"/>
      <c r="T344" s="300"/>
      <c r="U344" s="296"/>
      <c r="V344" s="296"/>
      <c r="W344" s="70">
        <f t="shared" si="84"/>
        <v>410750</v>
      </c>
      <c r="X344" s="70">
        <f t="shared" si="85"/>
        <v>0</v>
      </c>
      <c r="Y344" s="296">
        <v>0</v>
      </c>
      <c r="Z344" s="296">
        <v>0</v>
      </c>
      <c r="AA344" s="494">
        <v>0.3</v>
      </c>
      <c r="AB344" s="415">
        <f>+Z344*AA344/100</f>
        <v>0</v>
      </c>
      <c r="AC344" s="350"/>
      <c r="AD344" s="350"/>
      <c r="AE344" s="350"/>
      <c r="AF344" s="350"/>
    </row>
    <row r="345" spans="1:32" s="457" customFormat="1" ht="18" customHeight="1" x14ac:dyDescent="0.25">
      <c r="A345" s="61">
        <v>2</v>
      </c>
      <c r="B345" s="287">
        <v>1938</v>
      </c>
      <c r="C345" s="15">
        <v>114</v>
      </c>
      <c r="D345" s="15" t="s">
        <v>215</v>
      </c>
      <c r="E345" s="15">
        <v>2</v>
      </c>
      <c r="F345" s="15">
        <v>2</v>
      </c>
      <c r="G345" s="15">
        <v>0</v>
      </c>
      <c r="H345" s="284">
        <v>37</v>
      </c>
      <c r="I345" s="77">
        <f t="shared" si="82"/>
        <v>837</v>
      </c>
      <c r="J345" s="759">
        <v>1750</v>
      </c>
      <c r="K345" s="78">
        <f t="shared" si="83"/>
        <v>1464750</v>
      </c>
      <c r="L345" s="50">
        <v>1</v>
      </c>
      <c r="M345" s="145">
        <v>103</v>
      </c>
      <c r="N345" s="15" t="s">
        <v>74</v>
      </c>
      <c r="O345" s="50">
        <v>2</v>
      </c>
      <c r="P345" s="15">
        <v>119.04</v>
      </c>
      <c r="Q345" s="76" t="s">
        <v>75</v>
      </c>
      <c r="R345" s="672">
        <v>9050</v>
      </c>
      <c r="S345" s="70">
        <f t="shared" ref="S345:S346" si="86">+P345*R345</f>
        <v>1077312</v>
      </c>
      <c r="T345" s="1515">
        <v>5</v>
      </c>
      <c r="U345" s="125">
        <f>+S345*0.05</f>
        <v>53865.600000000006</v>
      </c>
      <c r="V345" s="70">
        <f t="shared" ref="V345" si="87">+S345-U345</f>
        <v>1023446.4</v>
      </c>
      <c r="W345" s="70">
        <f t="shared" ref="W345:W347" si="88">K345+V345</f>
        <v>2488196.4</v>
      </c>
      <c r="X345" s="70">
        <f t="shared" ref="X345:X346" si="89">W345*Q345/100</f>
        <v>2488196.4</v>
      </c>
      <c r="Y345" s="296"/>
      <c r="Z345" s="74">
        <f>+X345</f>
        <v>2488196.4</v>
      </c>
      <c r="AA345" s="494">
        <v>0.02</v>
      </c>
      <c r="AB345" s="415">
        <f>+Z345*AA345/100</f>
        <v>497.63927999999999</v>
      </c>
      <c r="AC345" s="350"/>
      <c r="AD345" s="350"/>
      <c r="AE345" s="350"/>
      <c r="AF345" s="350"/>
    </row>
    <row r="346" spans="1:32" s="457" customFormat="1" ht="18" customHeight="1" x14ac:dyDescent="0.25">
      <c r="A346" s="61"/>
      <c r="B346" s="287"/>
      <c r="C346" s="15"/>
      <c r="D346" s="15"/>
      <c r="E346" s="15"/>
      <c r="F346" s="15"/>
      <c r="G346" s="15"/>
      <c r="H346" s="284"/>
      <c r="I346" s="77">
        <f t="shared" si="82"/>
        <v>0</v>
      </c>
      <c r="J346" s="671"/>
      <c r="K346" s="78">
        <f t="shared" si="83"/>
        <v>0</v>
      </c>
      <c r="L346" s="50">
        <v>2</v>
      </c>
      <c r="M346" s="145">
        <v>103</v>
      </c>
      <c r="N346" s="15" t="s">
        <v>74</v>
      </c>
      <c r="O346" s="50">
        <v>2</v>
      </c>
      <c r="P346" s="15">
        <v>143.30000000000001</v>
      </c>
      <c r="Q346" s="76" t="s">
        <v>75</v>
      </c>
      <c r="R346" s="672">
        <v>9050</v>
      </c>
      <c r="S346" s="70">
        <f t="shared" si="86"/>
        <v>1296865</v>
      </c>
      <c r="T346" s="1515">
        <v>5</v>
      </c>
      <c r="U346" s="125">
        <f>+S346*0.05</f>
        <v>64843.25</v>
      </c>
      <c r="V346" s="70">
        <f t="shared" ref="V346" si="90">+S346-U346</f>
        <v>1232021.75</v>
      </c>
      <c r="W346" s="70">
        <f t="shared" si="88"/>
        <v>1232021.75</v>
      </c>
      <c r="X346" s="70">
        <f t="shared" si="89"/>
        <v>1232021.75</v>
      </c>
      <c r="Y346" s="296"/>
      <c r="Z346" s="74">
        <f t="shared" ref="Z346:Z347" si="91">+X346</f>
        <v>1232021.75</v>
      </c>
      <c r="AA346" s="494">
        <v>0.02</v>
      </c>
      <c r="AB346" s="415">
        <f>+Z346*AA346/100</f>
        <v>246.40435000000002</v>
      </c>
      <c r="AC346" s="350"/>
      <c r="AD346" s="350"/>
      <c r="AE346" s="350"/>
      <c r="AF346" s="350"/>
    </row>
    <row r="347" spans="1:32" s="457" customFormat="1" ht="18" customHeight="1" x14ac:dyDescent="0.25">
      <c r="A347" s="88">
        <v>3</v>
      </c>
      <c r="B347" s="273">
        <v>8502</v>
      </c>
      <c r="C347" s="32" t="s">
        <v>178</v>
      </c>
      <c r="D347" s="804" t="s">
        <v>215</v>
      </c>
      <c r="E347" s="27">
        <v>4</v>
      </c>
      <c r="F347" s="294">
        <v>0</v>
      </c>
      <c r="G347" s="50">
        <v>1</v>
      </c>
      <c r="H347" s="19">
        <v>20</v>
      </c>
      <c r="I347" s="77">
        <f t="shared" si="82"/>
        <v>120</v>
      </c>
      <c r="J347" s="671">
        <v>280</v>
      </c>
      <c r="K347" s="78">
        <f t="shared" si="83"/>
        <v>33600</v>
      </c>
      <c r="L347" s="45"/>
      <c r="M347" s="75"/>
      <c r="N347" s="45"/>
      <c r="O347" s="45"/>
      <c r="P347" s="257"/>
      <c r="Q347" s="62"/>
      <c r="R347" s="743"/>
      <c r="S347" s="299"/>
      <c r="T347" s="298"/>
      <c r="U347" s="299"/>
      <c r="V347" s="299"/>
      <c r="W347" s="70">
        <f t="shared" si="88"/>
        <v>33600</v>
      </c>
      <c r="X347" s="70">
        <f>W347</f>
        <v>33600</v>
      </c>
      <c r="Y347" s="296"/>
      <c r="Z347" s="74">
        <f t="shared" si="91"/>
        <v>33600</v>
      </c>
      <c r="AA347" s="494">
        <v>0.3</v>
      </c>
      <c r="AB347" s="415">
        <f>+Z347*AA347/100</f>
        <v>100.8</v>
      </c>
      <c r="AC347" s="350"/>
      <c r="AD347" s="350"/>
      <c r="AE347" s="350"/>
      <c r="AF347" s="350"/>
    </row>
    <row r="348" spans="1:32" s="457" customFormat="1" ht="18" customHeight="1" x14ac:dyDescent="0.2">
      <c r="A348" s="75"/>
      <c r="B348" s="75"/>
      <c r="C348" s="174"/>
      <c r="D348" s="88"/>
      <c r="E348" s="88"/>
      <c r="F348" s="418"/>
      <c r="G348" s="75"/>
      <c r="H348" s="188"/>
      <c r="I348" s="77"/>
      <c r="J348" s="121"/>
      <c r="K348" s="159"/>
      <c r="L348" s="75"/>
      <c r="M348" s="145"/>
      <c r="N348" s="145"/>
      <c r="O348" s="61"/>
      <c r="P348" s="188"/>
      <c r="Q348" s="174"/>
      <c r="R348" s="408"/>
      <c r="S348" s="77"/>
      <c r="T348" s="135"/>
      <c r="U348" s="74"/>
      <c r="V348" s="74"/>
      <c r="W348" s="77"/>
      <c r="X348" s="74"/>
      <c r="Y348" s="77"/>
      <c r="Z348" s="77"/>
      <c r="AA348" s="409"/>
      <c r="AB348" s="415"/>
      <c r="AC348" s="350"/>
      <c r="AD348" s="350"/>
      <c r="AE348" s="350"/>
      <c r="AF348" s="350"/>
    </row>
    <row r="349" spans="1:32" s="457" customFormat="1" ht="18" customHeight="1" x14ac:dyDescent="0.2">
      <c r="A349" s="75"/>
      <c r="B349" s="75"/>
      <c r="C349" s="174"/>
      <c r="D349" s="88"/>
      <c r="E349" s="88"/>
      <c r="F349" s="418"/>
      <c r="G349" s="75"/>
      <c r="H349" s="188"/>
      <c r="I349" s="77"/>
      <c r="J349" s="121"/>
      <c r="K349" s="159"/>
      <c r="L349" s="75"/>
      <c r="M349" s="145"/>
      <c r="N349" s="145"/>
      <c r="O349" s="61"/>
      <c r="P349" s="188"/>
      <c r="Q349" s="174"/>
      <c r="R349" s="408"/>
      <c r="S349" s="77"/>
      <c r="T349" s="135"/>
      <c r="U349" s="74"/>
      <c r="V349" s="74"/>
      <c r="W349" s="77"/>
      <c r="X349" s="74"/>
      <c r="Y349" s="77"/>
      <c r="Z349" s="77"/>
      <c r="AA349" s="409"/>
      <c r="AB349" s="410"/>
      <c r="AC349" s="350"/>
      <c r="AD349" s="350"/>
      <c r="AE349" s="350"/>
      <c r="AF349" s="350"/>
    </row>
    <row r="350" spans="1:32" s="457" customFormat="1" ht="18" customHeight="1" x14ac:dyDescent="0.2">
      <c r="A350" s="145"/>
      <c r="B350" s="177"/>
      <c r="C350" s="177"/>
      <c r="D350" s="145"/>
      <c r="E350" s="145"/>
      <c r="F350" s="145"/>
      <c r="G350" s="145"/>
      <c r="H350" s="147"/>
      <c r="I350" s="107"/>
      <c r="J350" s="178"/>
      <c r="K350" s="107"/>
      <c r="L350" s="145"/>
      <c r="M350" s="145"/>
      <c r="N350" s="145"/>
      <c r="O350" s="145"/>
      <c r="P350" s="147"/>
      <c r="Q350" s="148"/>
      <c r="R350" s="437"/>
      <c r="S350" s="107"/>
      <c r="T350" s="179"/>
      <c r="U350" s="178"/>
      <c r="V350" s="107"/>
      <c r="W350" s="107"/>
      <c r="X350" s="470"/>
      <c r="Y350" s="470"/>
      <c r="Z350" s="471"/>
      <c r="AA350" s="471"/>
      <c r="AB350" s="466"/>
      <c r="AC350" s="350"/>
      <c r="AD350" s="350"/>
      <c r="AE350" s="350"/>
      <c r="AF350" s="350"/>
    </row>
    <row r="351" spans="1:32" s="457" customFormat="1" ht="18" customHeight="1" x14ac:dyDescent="0.2">
      <c r="A351" s="145"/>
      <c r="B351" s="177"/>
      <c r="C351" s="177"/>
      <c r="D351" s="145"/>
      <c r="E351" s="145"/>
      <c r="F351" s="145"/>
      <c r="G351" s="145"/>
      <c r="H351" s="147"/>
      <c r="I351" s="107"/>
      <c r="J351" s="178"/>
      <c r="K351" s="107"/>
      <c r="L351" s="145"/>
      <c r="M351" s="145"/>
      <c r="N351" s="145"/>
      <c r="O351" s="145"/>
      <c r="P351" s="147"/>
      <c r="Q351" s="148"/>
      <c r="R351" s="437"/>
      <c r="S351" s="107"/>
      <c r="T351" s="179"/>
      <c r="U351" s="178"/>
      <c r="V351" s="107"/>
      <c r="W351" s="107"/>
      <c r="X351" s="470"/>
      <c r="Y351" s="470"/>
      <c r="Z351" s="471"/>
      <c r="AA351" s="471"/>
      <c r="AB351" s="466"/>
      <c r="AC351" s="350"/>
      <c r="AD351" s="350"/>
      <c r="AE351" s="350"/>
      <c r="AF351" s="350"/>
    </row>
    <row r="352" spans="1:32" s="457" customFormat="1" ht="18" customHeight="1" x14ac:dyDescent="0.2">
      <c r="A352" s="145"/>
      <c r="B352" s="177"/>
      <c r="C352" s="177"/>
      <c r="D352" s="145"/>
      <c r="E352" s="145"/>
      <c r="F352" s="145"/>
      <c r="G352" s="145"/>
      <c r="H352" s="147"/>
      <c r="I352" s="107"/>
      <c r="J352" s="178"/>
      <c r="K352" s="107"/>
      <c r="L352" s="145"/>
      <c r="M352" s="145"/>
      <c r="N352" s="145"/>
      <c r="O352" s="145"/>
      <c r="P352" s="147"/>
      <c r="Q352" s="148"/>
      <c r="R352" s="437"/>
      <c r="S352" s="107"/>
      <c r="T352" s="179"/>
      <c r="U352" s="178"/>
      <c r="V352" s="107"/>
      <c r="W352" s="107"/>
      <c r="X352" s="470"/>
      <c r="Y352" s="470"/>
      <c r="Z352" s="471"/>
      <c r="AA352" s="471"/>
      <c r="AB352" s="466"/>
      <c r="AC352" s="350"/>
      <c r="AD352" s="350"/>
      <c r="AE352" s="350"/>
      <c r="AF352" s="350"/>
    </row>
    <row r="353" spans="1:32" s="457" customFormat="1" ht="18" customHeight="1" x14ac:dyDescent="0.2">
      <c r="A353" s="145"/>
      <c r="B353" s="177"/>
      <c r="C353" s="177"/>
      <c r="D353" s="145"/>
      <c r="E353" s="145"/>
      <c r="F353" s="145"/>
      <c r="G353" s="145"/>
      <c r="H353" s="147"/>
      <c r="I353" s="107"/>
      <c r="J353" s="178"/>
      <c r="K353" s="107"/>
      <c r="L353" s="145"/>
      <c r="M353" s="145"/>
      <c r="N353" s="145"/>
      <c r="O353" s="145"/>
      <c r="P353" s="147"/>
      <c r="Q353" s="148"/>
      <c r="R353" s="437"/>
      <c r="S353" s="107"/>
      <c r="T353" s="179"/>
      <c r="U353" s="178"/>
      <c r="V353" s="107"/>
      <c r="W353" s="107"/>
      <c r="X353" s="470"/>
      <c r="Y353" s="470"/>
      <c r="Z353" s="471"/>
      <c r="AA353" s="471"/>
      <c r="AB353" s="466"/>
      <c r="AC353" s="350"/>
      <c r="AD353" s="350"/>
      <c r="AE353" s="350"/>
      <c r="AF353" s="350"/>
    </row>
    <row r="354" spans="1:32" s="457" customFormat="1" ht="18" customHeight="1" x14ac:dyDescent="0.2">
      <c r="A354" s="145"/>
      <c r="B354" s="177"/>
      <c r="C354" s="177"/>
      <c r="D354" s="145"/>
      <c r="E354" s="145"/>
      <c r="F354" s="145"/>
      <c r="G354" s="145"/>
      <c r="H354" s="147"/>
      <c r="I354" s="107"/>
      <c r="J354" s="178"/>
      <c r="K354" s="107"/>
      <c r="L354" s="145"/>
      <c r="M354" s="145"/>
      <c r="N354" s="145"/>
      <c r="O354" s="145"/>
      <c r="P354" s="147"/>
      <c r="Q354" s="148"/>
      <c r="R354" s="437"/>
      <c r="S354" s="107"/>
      <c r="T354" s="179"/>
      <c r="U354" s="178"/>
      <c r="V354" s="107"/>
      <c r="W354" s="107"/>
      <c r="X354" s="470"/>
      <c r="Y354" s="470"/>
      <c r="Z354" s="471"/>
      <c r="AA354" s="471"/>
      <c r="AB354" s="466"/>
      <c r="AC354" s="350"/>
      <c r="AD354" s="350"/>
      <c r="AE354" s="350"/>
      <c r="AF354" s="350"/>
    </row>
    <row r="355" spans="1:32" s="457" customFormat="1" ht="18" customHeight="1" x14ac:dyDescent="0.2">
      <c r="A355" s="145"/>
      <c r="B355" s="177"/>
      <c r="C355" s="177"/>
      <c r="D355" s="145"/>
      <c r="E355" s="145"/>
      <c r="F355" s="145"/>
      <c r="G355" s="145"/>
      <c r="H355" s="147"/>
      <c r="I355" s="107"/>
      <c r="J355" s="178"/>
      <c r="K355" s="107"/>
      <c r="L355" s="145"/>
      <c r="M355" s="145"/>
      <c r="N355" s="145"/>
      <c r="O355" s="145"/>
      <c r="P355" s="147"/>
      <c r="Q355" s="148"/>
      <c r="R355" s="437"/>
      <c r="S355" s="107"/>
      <c r="T355" s="179"/>
      <c r="U355" s="178"/>
      <c r="V355" s="107"/>
      <c r="W355" s="107"/>
      <c r="X355" s="470"/>
      <c r="Y355" s="470"/>
      <c r="Z355" s="471"/>
      <c r="AA355" s="471"/>
      <c r="AB355" s="466"/>
      <c r="AC355" s="350"/>
      <c r="AD355" s="350"/>
      <c r="AE355" s="350"/>
      <c r="AF355" s="350"/>
    </row>
    <row r="356" spans="1:32" s="457" customFormat="1" ht="18" customHeight="1" x14ac:dyDescent="0.2">
      <c r="A356" s="145"/>
      <c r="B356" s="177"/>
      <c r="C356" s="177"/>
      <c r="D356" s="145"/>
      <c r="E356" s="145"/>
      <c r="F356" s="145"/>
      <c r="G356" s="145"/>
      <c r="H356" s="147"/>
      <c r="I356" s="107"/>
      <c r="J356" s="178"/>
      <c r="K356" s="107"/>
      <c r="L356" s="145"/>
      <c r="M356" s="145"/>
      <c r="N356" s="145"/>
      <c r="O356" s="145"/>
      <c r="P356" s="147"/>
      <c r="Q356" s="148"/>
      <c r="R356" s="437"/>
      <c r="S356" s="107"/>
      <c r="T356" s="179"/>
      <c r="U356" s="178"/>
      <c r="V356" s="107"/>
      <c r="W356" s="107"/>
      <c r="X356" s="470"/>
      <c r="Y356" s="470"/>
      <c r="Z356" s="471"/>
      <c r="AA356" s="471"/>
      <c r="AB356" s="466"/>
      <c r="AC356" s="350"/>
      <c r="AD356" s="350"/>
      <c r="AE356" s="350"/>
      <c r="AF356" s="350"/>
    </row>
    <row r="357" spans="1:32" s="457" customFormat="1" ht="18" customHeight="1" x14ac:dyDescent="0.2">
      <c r="A357" s="88"/>
      <c r="B357" s="180"/>
      <c r="C357" s="180"/>
      <c r="D357" s="88"/>
      <c r="E357" s="88"/>
      <c r="F357" s="88"/>
      <c r="G357" s="88"/>
      <c r="H357" s="120"/>
      <c r="I357" s="121"/>
      <c r="J357" s="181"/>
      <c r="K357" s="121"/>
      <c r="L357" s="88" t="s">
        <v>90</v>
      </c>
      <c r="M357" s="88"/>
      <c r="N357" s="88"/>
      <c r="O357" s="88"/>
      <c r="P357" s="88"/>
      <c r="Q357" s="129"/>
      <c r="R357" s="445"/>
      <c r="S357" s="121"/>
      <c r="T357" s="182"/>
      <c r="U357" s="181"/>
      <c r="V357" s="121"/>
      <c r="W357" s="121"/>
      <c r="X357" s="472"/>
      <c r="Y357" s="472"/>
      <c r="Z357" s="473"/>
      <c r="AA357" s="473"/>
      <c r="AB357" s="410"/>
      <c r="AC357" s="351"/>
      <c r="AD357" s="351"/>
      <c r="AE357" s="351"/>
      <c r="AF357" s="351"/>
    </row>
    <row r="358" spans="1:32" s="597" customFormat="1" ht="18" customHeight="1" x14ac:dyDescent="0.2">
      <c r="A358" s="1850"/>
      <c r="B358" s="1850"/>
      <c r="C358" s="1850"/>
      <c r="D358" s="1850"/>
      <c r="E358" s="1850"/>
      <c r="F358" s="1850"/>
      <c r="G358" s="1850"/>
      <c r="H358" s="1851"/>
      <c r="I358" s="1852"/>
      <c r="J358" s="1853"/>
      <c r="K358" s="1852"/>
      <c r="L358" s="1852"/>
      <c r="M358" s="1852"/>
      <c r="N358" s="1852"/>
      <c r="O358" s="1852"/>
      <c r="P358" s="1852"/>
      <c r="Q358" s="1852"/>
      <c r="R358" s="1854"/>
      <c r="S358" s="1852"/>
      <c r="T358" s="1855"/>
      <c r="U358" s="1853"/>
      <c r="V358" s="1852"/>
      <c r="W358" s="1852"/>
      <c r="X358" s="1856"/>
      <c r="Y358" s="1856"/>
      <c r="Z358" s="1857"/>
      <c r="AA358" s="1857"/>
      <c r="AB358" s="1847">
        <f>SUM(AB343:AB357)</f>
        <v>844.84362999999996</v>
      </c>
      <c r="AC358" s="1861"/>
      <c r="AD358" s="1861"/>
      <c r="AE358" s="1861"/>
      <c r="AF358" s="1861"/>
    </row>
    <row r="359" spans="1:32" s="457" customFormat="1" ht="18" customHeight="1" x14ac:dyDescent="0.2">
      <c r="A359" s="2737" t="s">
        <v>76</v>
      </c>
      <c r="B359" s="2737"/>
      <c r="C359" s="2738" t="s">
        <v>77</v>
      </c>
      <c r="D359" s="2738"/>
      <c r="E359" s="2738"/>
      <c r="F359" s="2738"/>
      <c r="G359" s="2738"/>
      <c r="H359" s="2738"/>
      <c r="I359" s="457" t="s">
        <v>78</v>
      </c>
      <c r="AB359" s="478"/>
    </row>
    <row r="360" spans="1:32" s="457" customFormat="1" ht="18" customHeight="1" x14ac:dyDescent="0.2">
      <c r="B360" s="479"/>
      <c r="I360" s="457" t="s">
        <v>79</v>
      </c>
      <c r="AB360" s="478"/>
    </row>
    <row r="361" spans="1:32" s="457" customFormat="1" ht="18" customHeight="1" x14ac:dyDescent="0.2">
      <c r="B361" s="479"/>
      <c r="I361" s="457" t="s">
        <v>80</v>
      </c>
      <c r="AB361" s="478"/>
    </row>
    <row r="362" spans="1:32" s="457" customFormat="1" ht="18" customHeight="1" x14ac:dyDescent="0.2">
      <c r="B362" s="479"/>
      <c r="I362" s="457" t="s">
        <v>81</v>
      </c>
      <c r="AB362" s="478"/>
    </row>
    <row r="363" spans="1:32" s="457" customFormat="1" ht="18" customHeight="1" x14ac:dyDescent="0.2">
      <c r="B363" s="479"/>
      <c r="I363" s="457" t="s">
        <v>88</v>
      </c>
      <c r="AB363" s="478"/>
    </row>
    <row r="364" spans="1:32" s="457" customFormat="1" ht="18" customHeight="1" x14ac:dyDescent="0.2">
      <c r="A364" s="610"/>
      <c r="B364" s="610"/>
      <c r="C364" s="610"/>
      <c r="D364" s="610"/>
      <c r="E364" s="610"/>
      <c r="F364" s="610"/>
      <c r="G364" s="610"/>
      <c r="H364" s="610"/>
      <c r="I364" s="610"/>
      <c r="J364" s="610"/>
      <c r="K364" s="610"/>
      <c r="L364" s="610"/>
      <c r="M364" s="610"/>
      <c r="N364" s="610"/>
      <c r="O364" s="610"/>
      <c r="P364" s="610"/>
      <c r="Q364" s="610"/>
      <c r="R364" s="610"/>
      <c r="S364" s="610"/>
      <c r="T364" s="610"/>
      <c r="U364" s="610"/>
      <c r="V364" s="610"/>
      <c r="W364" s="610"/>
      <c r="X364" s="610"/>
      <c r="Y364" s="610"/>
      <c r="Z364" s="610"/>
      <c r="AA364" s="2706" t="s">
        <v>0</v>
      </c>
      <c r="AB364" s="2706"/>
    </row>
    <row r="365" spans="1:32" s="457" customFormat="1" ht="18" customHeight="1" x14ac:dyDescent="0.2">
      <c r="A365" s="2706" t="s">
        <v>1</v>
      </c>
      <c r="B365" s="2706"/>
      <c r="C365" s="2706"/>
      <c r="D365" s="2706"/>
      <c r="E365" s="2706"/>
      <c r="F365" s="2706"/>
      <c r="G365" s="2706"/>
      <c r="H365" s="2706"/>
      <c r="I365" s="2706"/>
      <c r="J365" s="2706"/>
      <c r="K365" s="2706"/>
      <c r="L365" s="2706"/>
      <c r="M365" s="2706"/>
      <c r="N365" s="2706"/>
      <c r="O365" s="2706"/>
      <c r="P365" s="2706"/>
      <c r="Q365" s="2706"/>
      <c r="R365" s="2706"/>
      <c r="S365" s="2706"/>
      <c r="T365" s="2706"/>
      <c r="U365" s="2706"/>
      <c r="V365" s="2706"/>
      <c r="W365" s="2706"/>
      <c r="X365" s="2706"/>
      <c r="Y365" s="2706"/>
      <c r="Z365" s="2706"/>
      <c r="AA365" s="2706"/>
      <c r="AB365" s="2706"/>
    </row>
    <row r="366" spans="1:32" s="457" customFormat="1" ht="18" customHeight="1" x14ac:dyDescent="0.2">
      <c r="A366" s="2704" t="s">
        <v>500</v>
      </c>
      <c r="B366" s="2704"/>
      <c r="C366" s="2704"/>
      <c r="D366" s="2704"/>
      <c r="E366" s="2704"/>
      <c r="F366" s="2704"/>
      <c r="G366" s="2704"/>
      <c r="H366" s="2704"/>
      <c r="I366" s="2704"/>
      <c r="J366" s="2704"/>
      <c r="K366" s="2704"/>
      <c r="L366" s="2704"/>
      <c r="M366" s="2704"/>
      <c r="N366" s="2704"/>
      <c r="O366" s="2704"/>
      <c r="P366" s="2704"/>
      <c r="Q366" s="2704"/>
      <c r="R366" s="2704"/>
      <c r="S366" s="2704"/>
      <c r="T366" s="2704"/>
      <c r="U366" s="2704"/>
      <c r="V366" s="2704"/>
      <c r="W366" s="2704"/>
      <c r="X366" s="2704"/>
      <c r="Y366" s="2704"/>
      <c r="Z366" s="2704"/>
      <c r="AA366" s="2704"/>
      <c r="AB366" s="2704"/>
    </row>
    <row r="367" spans="1:32" s="457" customFormat="1" ht="18" customHeight="1" x14ac:dyDescent="0.2">
      <c r="A367" s="2686" t="s">
        <v>2</v>
      </c>
      <c r="B367" s="360"/>
      <c r="C367" s="2686" t="s">
        <v>3</v>
      </c>
      <c r="D367" s="360"/>
      <c r="E367" s="360"/>
      <c r="F367" s="2693" t="s">
        <v>4</v>
      </c>
      <c r="G367" s="2693"/>
      <c r="H367" s="2693"/>
      <c r="I367" s="2694"/>
      <c r="J367" s="2694"/>
      <c r="K367" s="2695"/>
      <c r="L367" s="361"/>
      <c r="M367" s="2679" t="s">
        <v>5</v>
      </c>
      <c r="N367" s="2679"/>
      <c r="O367" s="2679"/>
      <c r="P367" s="2679"/>
      <c r="Q367" s="2696"/>
      <c r="R367" s="2696"/>
      <c r="S367" s="2696"/>
      <c r="T367" s="2696"/>
      <c r="U367" s="2696"/>
      <c r="V367" s="2697"/>
      <c r="W367" s="362" t="s">
        <v>6</v>
      </c>
      <c r="X367" s="363" t="s">
        <v>7</v>
      </c>
      <c r="Y367" s="364"/>
      <c r="Z367" s="364"/>
      <c r="AA367" s="363"/>
      <c r="AB367" s="458"/>
    </row>
    <row r="368" spans="1:32" s="457" customFormat="1" ht="18" customHeight="1" x14ac:dyDescent="0.2">
      <c r="A368" s="2687"/>
      <c r="B368" s="367"/>
      <c r="C368" s="2687"/>
      <c r="D368" s="366" t="s">
        <v>9</v>
      </c>
      <c r="E368" s="366" t="s">
        <v>10</v>
      </c>
      <c r="F368" s="2698" t="s">
        <v>11</v>
      </c>
      <c r="G368" s="2694"/>
      <c r="H368" s="2695"/>
      <c r="I368" s="360"/>
      <c r="J368" s="449" t="s">
        <v>12</v>
      </c>
      <c r="K368" s="360"/>
      <c r="L368" s="2679" t="s">
        <v>2</v>
      </c>
      <c r="M368" s="370"/>
      <c r="N368" s="370"/>
      <c r="O368" s="370"/>
      <c r="P368" s="371"/>
      <c r="Q368" s="459" t="s">
        <v>13</v>
      </c>
      <c r="R368" s="370" t="s">
        <v>12</v>
      </c>
      <c r="S368" s="370" t="s">
        <v>6</v>
      </c>
      <c r="T368" s="2682" t="s">
        <v>14</v>
      </c>
      <c r="U368" s="2683"/>
      <c r="V368" s="375" t="s">
        <v>7</v>
      </c>
      <c r="W368" s="376" t="s">
        <v>15</v>
      </c>
      <c r="X368" s="377" t="s">
        <v>16</v>
      </c>
      <c r="Y368" s="377" t="s">
        <v>17</v>
      </c>
      <c r="Z368" s="377" t="s">
        <v>18</v>
      </c>
      <c r="AA368" s="377"/>
      <c r="AB368" s="460" t="s">
        <v>19</v>
      </c>
    </row>
    <row r="369" spans="1:28" s="457" customFormat="1" ht="18" customHeight="1" x14ac:dyDescent="0.2">
      <c r="A369" s="2687"/>
      <c r="B369" s="366" t="s">
        <v>23</v>
      </c>
      <c r="C369" s="2687"/>
      <c r="D369" s="366" t="s">
        <v>24</v>
      </c>
      <c r="E369" s="366" t="s">
        <v>25</v>
      </c>
      <c r="F369" s="2699"/>
      <c r="G369" s="2700"/>
      <c r="H369" s="2701"/>
      <c r="I369" s="366" t="s">
        <v>26</v>
      </c>
      <c r="J369" s="380" t="s">
        <v>15</v>
      </c>
      <c r="K369" s="380" t="s">
        <v>6</v>
      </c>
      <c r="L369" s="2680"/>
      <c r="M369" s="381" t="s">
        <v>27</v>
      </c>
      <c r="N369" s="381" t="s">
        <v>10</v>
      </c>
      <c r="O369" s="381" t="s">
        <v>10</v>
      </c>
      <c r="P369" s="385" t="s">
        <v>28</v>
      </c>
      <c r="Q369" s="461" t="s">
        <v>29</v>
      </c>
      <c r="R369" s="385" t="s">
        <v>15</v>
      </c>
      <c r="S369" s="385" t="s">
        <v>15</v>
      </c>
      <c r="T369" s="2684"/>
      <c r="U369" s="2685"/>
      <c r="V369" s="375" t="s">
        <v>30</v>
      </c>
      <c r="W369" s="376" t="s">
        <v>31</v>
      </c>
      <c r="X369" s="377" t="s">
        <v>30</v>
      </c>
      <c r="Y369" s="377" t="s">
        <v>32</v>
      </c>
      <c r="Z369" s="377" t="s">
        <v>7</v>
      </c>
      <c r="AA369" s="377" t="s">
        <v>33</v>
      </c>
      <c r="AB369" s="460" t="s">
        <v>34</v>
      </c>
    </row>
    <row r="370" spans="1:28" s="457" customFormat="1" ht="18" customHeight="1" x14ac:dyDescent="0.2">
      <c r="A370" s="2687"/>
      <c r="B370" s="366" t="s">
        <v>39</v>
      </c>
      <c r="C370" s="2687"/>
      <c r="D370" s="366" t="s">
        <v>40</v>
      </c>
      <c r="E370" s="366" t="s">
        <v>41</v>
      </c>
      <c r="F370" s="2686" t="s">
        <v>42</v>
      </c>
      <c r="G370" s="2686" t="s">
        <v>43</v>
      </c>
      <c r="H370" s="2688" t="s">
        <v>44</v>
      </c>
      <c r="I370" s="366" t="s">
        <v>45</v>
      </c>
      <c r="J370" s="380" t="s">
        <v>46</v>
      </c>
      <c r="K370" s="380" t="s">
        <v>47</v>
      </c>
      <c r="L370" s="2680"/>
      <c r="M370" s="381" t="s">
        <v>30</v>
      </c>
      <c r="N370" s="381" t="s">
        <v>30</v>
      </c>
      <c r="O370" s="381" t="s">
        <v>25</v>
      </c>
      <c r="P370" s="385" t="s">
        <v>30</v>
      </c>
      <c r="Q370" s="461" t="s">
        <v>48</v>
      </c>
      <c r="R370" s="385" t="s">
        <v>49</v>
      </c>
      <c r="S370" s="385" t="s">
        <v>30</v>
      </c>
      <c r="T370" s="374" t="s">
        <v>50</v>
      </c>
      <c r="U370" s="374" t="s">
        <v>13</v>
      </c>
      <c r="V370" s="375" t="s">
        <v>51</v>
      </c>
      <c r="W370" s="376" t="s">
        <v>52</v>
      </c>
      <c r="X370" s="377" t="s">
        <v>53</v>
      </c>
      <c r="Y370" s="377" t="s">
        <v>54</v>
      </c>
      <c r="Z370" s="377" t="s">
        <v>55</v>
      </c>
      <c r="AA370" s="377" t="s">
        <v>56</v>
      </c>
      <c r="AB370" s="460" t="s">
        <v>57</v>
      </c>
    </row>
    <row r="371" spans="1:28" s="457" customFormat="1" ht="18" customHeight="1" x14ac:dyDescent="0.2">
      <c r="A371" s="2687"/>
      <c r="B371" s="366" t="s">
        <v>61</v>
      </c>
      <c r="C371" s="2687"/>
      <c r="D371" s="366" t="s">
        <v>62</v>
      </c>
      <c r="E371" s="366" t="s">
        <v>63</v>
      </c>
      <c r="F371" s="2687"/>
      <c r="G371" s="2687"/>
      <c r="H371" s="2689"/>
      <c r="I371" s="366" t="s">
        <v>64</v>
      </c>
      <c r="J371" s="380" t="s">
        <v>59</v>
      </c>
      <c r="K371" s="380" t="s">
        <v>59</v>
      </c>
      <c r="L371" s="2680"/>
      <c r="M371" s="381"/>
      <c r="N371" s="381"/>
      <c r="O371" s="381" t="s">
        <v>41</v>
      </c>
      <c r="P371" s="385" t="s">
        <v>65</v>
      </c>
      <c r="Q371" s="461" t="s">
        <v>66</v>
      </c>
      <c r="R371" s="385" t="s">
        <v>67</v>
      </c>
      <c r="S371" s="385" t="s">
        <v>59</v>
      </c>
      <c r="T371" s="375" t="s">
        <v>68</v>
      </c>
      <c r="U371" s="375" t="s">
        <v>14</v>
      </c>
      <c r="V371" s="375" t="s">
        <v>14</v>
      </c>
      <c r="W371" s="376" t="s">
        <v>30</v>
      </c>
      <c r="X371" s="388" t="s">
        <v>69</v>
      </c>
      <c r="Y371" s="388" t="s">
        <v>70</v>
      </c>
      <c r="Z371" s="377" t="s">
        <v>71</v>
      </c>
      <c r="AA371" s="377" t="s">
        <v>72</v>
      </c>
      <c r="AB371" s="460" t="s">
        <v>59</v>
      </c>
    </row>
    <row r="372" spans="1:28" s="457" customFormat="1" ht="18" customHeight="1" x14ac:dyDescent="0.2">
      <c r="A372" s="2692"/>
      <c r="B372" s="390"/>
      <c r="C372" s="2692"/>
      <c r="D372" s="390"/>
      <c r="E372" s="389"/>
      <c r="F372" s="390"/>
      <c r="G372" s="390"/>
      <c r="H372" s="391"/>
      <c r="I372" s="389"/>
      <c r="J372" s="393"/>
      <c r="K372" s="393"/>
      <c r="L372" s="2681"/>
      <c r="M372" s="394"/>
      <c r="N372" s="394"/>
      <c r="O372" s="394" t="s">
        <v>63</v>
      </c>
      <c r="P372" s="394"/>
      <c r="Q372" s="450" t="s">
        <v>72</v>
      </c>
      <c r="R372" s="398" t="s">
        <v>59</v>
      </c>
      <c r="S372" s="398"/>
      <c r="T372" s="398" t="s">
        <v>73</v>
      </c>
      <c r="U372" s="398" t="s">
        <v>59</v>
      </c>
      <c r="V372" s="399" t="s">
        <v>59</v>
      </c>
      <c r="W372" s="400" t="s">
        <v>59</v>
      </c>
      <c r="X372" s="401" t="s">
        <v>59</v>
      </c>
      <c r="Y372" s="401" t="s">
        <v>59</v>
      </c>
      <c r="Z372" s="401" t="s">
        <v>59</v>
      </c>
      <c r="AA372" s="402"/>
      <c r="AB372" s="462"/>
    </row>
    <row r="373" spans="1:28" s="457" customFormat="1" ht="18" customHeight="1" x14ac:dyDescent="0.25">
      <c r="A373" s="53">
        <v>1</v>
      </c>
      <c r="B373" s="254">
        <v>38114</v>
      </c>
      <c r="C373" s="14" t="s">
        <v>227</v>
      </c>
      <c r="D373" s="41" t="s">
        <v>215</v>
      </c>
      <c r="E373" s="15">
        <v>3</v>
      </c>
      <c r="F373" s="294">
        <v>1</v>
      </c>
      <c r="G373" s="50">
        <v>3</v>
      </c>
      <c r="H373" s="19">
        <v>75</v>
      </c>
      <c r="I373" s="77">
        <f t="shared" ref="I373" si="92">F373*400+G373*100+H373</f>
        <v>775</v>
      </c>
      <c r="J373" s="759">
        <v>530</v>
      </c>
      <c r="K373" s="78">
        <f t="shared" ref="K373" si="93">SUM(I373*J373)</f>
        <v>410750</v>
      </c>
      <c r="L373" s="50"/>
      <c r="M373" s="61"/>
      <c r="N373" s="50" t="s">
        <v>228</v>
      </c>
      <c r="O373" s="50"/>
      <c r="P373" s="19"/>
      <c r="Q373" s="76"/>
      <c r="R373" s="672"/>
      <c r="S373" s="296"/>
      <c r="T373" s="300"/>
      <c r="U373" s="296"/>
      <c r="V373" s="296"/>
      <c r="W373" s="70">
        <f t="shared" ref="W373" si="94">K373+V373</f>
        <v>410750</v>
      </c>
      <c r="X373" s="70">
        <f>W373</f>
        <v>410750</v>
      </c>
      <c r="Y373" s="296">
        <v>0</v>
      </c>
      <c r="Z373" s="74">
        <f t="shared" ref="Z373" si="95">+X373</f>
        <v>410750</v>
      </c>
      <c r="AA373" s="494">
        <v>0.3</v>
      </c>
      <c r="AB373" s="415">
        <f>+Z373*AA373/100</f>
        <v>1232.25</v>
      </c>
    </row>
    <row r="374" spans="1:28" s="457" customFormat="1" ht="18" customHeight="1" x14ac:dyDescent="0.2">
      <c r="A374" s="61"/>
      <c r="B374" s="145"/>
      <c r="C374" s="145"/>
      <c r="D374" s="145"/>
      <c r="E374" s="145"/>
      <c r="F374" s="145"/>
      <c r="G374" s="145"/>
      <c r="H374" s="407"/>
      <c r="I374" s="77"/>
      <c r="J374" s="275"/>
      <c r="K374" s="78"/>
      <c r="L374" s="61"/>
      <c r="M374" s="145"/>
      <c r="N374" s="145"/>
      <c r="O374" s="61"/>
      <c r="P374" s="145"/>
      <c r="Q374" s="196"/>
      <c r="R374" s="408"/>
      <c r="S374" s="77"/>
      <c r="T374" s="803"/>
      <c r="U374" s="107"/>
      <c r="V374" s="107"/>
      <c r="W374" s="77"/>
      <c r="X374" s="77"/>
      <c r="Y374" s="77"/>
      <c r="Z374" s="77"/>
      <c r="AA374" s="409"/>
      <c r="AB374" s="415"/>
    </row>
    <row r="375" spans="1:28" s="457" customFormat="1" ht="18" customHeight="1" x14ac:dyDescent="0.2">
      <c r="A375" s="61"/>
      <c r="B375" s="145"/>
      <c r="C375" s="145"/>
      <c r="D375" s="145"/>
      <c r="E375" s="145"/>
      <c r="F375" s="145"/>
      <c r="G375" s="145"/>
      <c r="H375" s="407"/>
      <c r="I375" s="77"/>
      <c r="J375" s="275"/>
      <c r="K375" s="78"/>
      <c r="L375" s="61"/>
      <c r="M375" s="145"/>
      <c r="N375" s="145"/>
      <c r="O375" s="61"/>
      <c r="P375" s="145"/>
      <c r="Q375" s="196"/>
      <c r="R375" s="408"/>
      <c r="S375" s="77"/>
      <c r="T375" s="803"/>
      <c r="U375" s="107"/>
      <c r="V375" s="107"/>
      <c r="W375" s="77"/>
      <c r="X375" s="77"/>
      <c r="Y375" s="77"/>
      <c r="Z375" s="77"/>
      <c r="AA375" s="409"/>
      <c r="AB375" s="415"/>
    </row>
    <row r="376" spans="1:28" s="457" customFormat="1" ht="18" customHeight="1" x14ac:dyDescent="0.2">
      <c r="A376" s="61"/>
      <c r="B376" s="145"/>
      <c r="C376" s="145"/>
      <c r="D376" s="145"/>
      <c r="E376" s="145"/>
      <c r="F376" s="145"/>
      <c r="G376" s="145"/>
      <c r="H376" s="407"/>
      <c r="I376" s="74"/>
      <c r="J376" s="280"/>
      <c r="K376" s="190"/>
      <c r="L376" s="61"/>
      <c r="M376" s="145"/>
      <c r="N376" s="145"/>
      <c r="O376" s="61"/>
      <c r="P376" s="145"/>
      <c r="Q376" s="196"/>
      <c r="R376" s="408"/>
      <c r="S376" s="77"/>
      <c r="T376" s="803"/>
      <c r="U376" s="107"/>
      <c r="V376" s="107"/>
      <c r="W376" s="77"/>
      <c r="X376" s="77"/>
      <c r="Y376" s="77"/>
      <c r="Z376" s="77"/>
      <c r="AA376" s="409"/>
      <c r="AB376" s="415"/>
    </row>
    <row r="377" spans="1:28" s="457" customFormat="1" ht="18" customHeight="1" x14ac:dyDescent="0.2">
      <c r="A377" s="61"/>
      <c r="B377" s="61"/>
      <c r="C377" s="61"/>
      <c r="D377" s="145"/>
      <c r="E377" s="145"/>
      <c r="F377" s="467"/>
      <c r="G377" s="61"/>
      <c r="H377" s="1466"/>
      <c r="I377" s="77"/>
      <c r="J377" s="280"/>
      <c r="K377" s="159"/>
      <c r="L377" s="61"/>
      <c r="M377" s="145"/>
      <c r="N377" s="145"/>
      <c r="O377" s="61"/>
      <c r="P377" s="61"/>
      <c r="Q377" s="196"/>
      <c r="R377" s="408"/>
      <c r="S377" s="77"/>
      <c r="T377" s="803"/>
      <c r="U377" s="77"/>
      <c r="V377" s="77"/>
      <c r="W377" s="77"/>
      <c r="X377" s="77"/>
      <c r="Y377" s="77"/>
      <c r="Z377" s="77"/>
      <c r="AA377" s="409"/>
      <c r="AB377" s="415"/>
    </row>
    <row r="378" spans="1:28" s="457" customFormat="1" ht="18" customHeight="1" x14ac:dyDescent="0.2">
      <c r="A378" s="75"/>
      <c r="B378" s="75"/>
      <c r="C378" s="174"/>
      <c r="D378" s="88"/>
      <c r="E378" s="88"/>
      <c r="F378" s="418"/>
      <c r="G378" s="75"/>
      <c r="H378" s="188"/>
      <c r="I378" s="77"/>
      <c r="J378" s="121"/>
      <c r="K378" s="159"/>
      <c r="L378" s="75"/>
      <c r="M378" s="145"/>
      <c r="N378" s="145"/>
      <c r="O378" s="61"/>
      <c r="P378" s="188"/>
      <c r="Q378" s="174"/>
      <c r="R378" s="408"/>
      <c r="S378" s="77"/>
      <c r="T378" s="135"/>
      <c r="U378" s="74"/>
      <c r="V378" s="74"/>
      <c r="W378" s="77"/>
      <c r="X378" s="74"/>
      <c r="Y378" s="77"/>
      <c r="Z378" s="77"/>
      <c r="AA378" s="409"/>
      <c r="AB378" s="415"/>
    </row>
    <row r="379" spans="1:28" s="457" customFormat="1" ht="18" customHeight="1" x14ac:dyDescent="0.2">
      <c r="A379" s="75"/>
      <c r="B379" s="75"/>
      <c r="C379" s="174"/>
      <c r="D379" s="88"/>
      <c r="E379" s="88"/>
      <c r="F379" s="418"/>
      <c r="G379" s="75"/>
      <c r="H379" s="188"/>
      <c r="I379" s="77"/>
      <c r="J379" s="121"/>
      <c r="K379" s="159"/>
      <c r="L379" s="75"/>
      <c r="M379" s="145"/>
      <c r="N379" s="145"/>
      <c r="O379" s="61"/>
      <c r="P379" s="188"/>
      <c r="Q379" s="174"/>
      <c r="R379" s="408"/>
      <c r="S379" s="77"/>
      <c r="T379" s="135"/>
      <c r="U379" s="74"/>
      <c r="V379" s="74"/>
      <c r="W379" s="77"/>
      <c r="X379" s="74"/>
      <c r="Y379" s="77"/>
      <c r="Z379" s="77"/>
      <c r="AA379" s="409"/>
      <c r="AB379" s="410"/>
    </row>
    <row r="380" spans="1:28" s="457" customFormat="1" ht="18" customHeight="1" x14ac:dyDescent="0.2">
      <c r="A380" s="145"/>
      <c r="B380" s="177"/>
      <c r="C380" s="177"/>
      <c r="D380" s="145"/>
      <c r="E380" s="145"/>
      <c r="F380" s="145"/>
      <c r="G380" s="145"/>
      <c r="H380" s="147"/>
      <c r="I380" s="107"/>
      <c r="J380" s="178"/>
      <c r="K380" s="107"/>
      <c r="L380" s="145"/>
      <c r="M380" s="145"/>
      <c r="N380" s="145"/>
      <c r="O380" s="145"/>
      <c r="P380" s="147"/>
      <c r="Q380" s="148"/>
      <c r="R380" s="437"/>
      <c r="S380" s="107"/>
      <c r="T380" s="179"/>
      <c r="U380" s="178"/>
      <c r="V380" s="107"/>
      <c r="W380" s="107"/>
      <c r="X380" s="470"/>
      <c r="Y380" s="470"/>
      <c r="Z380" s="471"/>
      <c r="AA380" s="471"/>
      <c r="AB380" s="466"/>
    </row>
    <row r="381" spans="1:28" s="457" customFormat="1" ht="18" customHeight="1" x14ac:dyDescent="0.2">
      <c r="A381" s="145"/>
      <c r="B381" s="177"/>
      <c r="C381" s="177"/>
      <c r="D381" s="145"/>
      <c r="E381" s="145"/>
      <c r="F381" s="145"/>
      <c r="G381" s="145"/>
      <c r="H381" s="147"/>
      <c r="I381" s="107"/>
      <c r="J381" s="178"/>
      <c r="K381" s="107"/>
      <c r="L381" s="145"/>
      <c r="M381" s="145"/>
      <c r="N381" s="145"/>
      <c r="O381" s="145"/>
      <c r="P381" s="147"/>
      <c r="Q381" s="148"/>
      <c r="R381" s="437"/>
      <c r="S381" s="107"/>
      <c r="T381" s="179"/>
      <c r="U381" s="178"/>
      <c r="V381" s="107"/>
      <c r="W381" s="107"/>
      <c r="X381" s="470"/>
      <c r="Y381" s="470"/>
      <c r="Z381" s="471"/>
      <c r="AA381" s="471"/>
      <c r="AB381" s="466"/>
    </row>
    <row r="382" spans="1:28" s="457" customFormat="1" ht="18" customHeight="1" x14ac:dyDescent="0.2">
      <c r="A382" s="145"/>
      <c r="B382" s="177"/>
      <c r="C382" s="177"/>
      <c r="D382" s="145"/>
      <c r="E382" s="145"/>
      <c r="F382" s="145"/>
      <c r="G382" s="145"/>
      <c r="H382" s="147"/>
      <c r="I382" s="107"/>
      <c r="J382" s="178"/>
      <c r="K382" s="107"/>
      <c r="L382" s="145"/>
      <c r="M382" s="145"/>
      <c r="N382" s="145"/>
      <c r="O382" s="145"/>
      <c r="P382" s="147"/>
      <c r="Q382" s="148"/>
      <c r="R382" s="437"/>
      <c r="S382" s="107"/>
      <c r="T382" s="179"/>
      <c r="U382" s="178"/>
      <c r="V382" s="107"/>
      <c r="W382" s="107"/>
      <c r="X382" s="470"/>
      <c r="Y382" s="470"/>
      <c r="Z382" s="471"/>
      <c r="AA382" s="471"/>
      <c r="AB382" s="466"/>
    </row>
    <row r="383" spans="1:28" s="457" customFormat="1" ht="18" customHeight="1" x14ac:dyDescent="0.2">
      <c r="A383" s="145"/>
      <c r="B383" s="177"/>
      <c r="C383" s="177"/>
      <c r="D383" s="145"/>
      <c r="E383" s="145"/>
      <c r="F383" s="145"/>
      <c r="G383" s="145"/>
      <c r="H383" s="147"/>
      <c r="I383" s="107"/>
      <c r="J383" s="178"/>
      <c r="K383" s="107"/>
      <c r="L383" s="145"/>
      <c r="M383" s="145"/>
      <c r="N383" s="145"/>
      <c r="O383" s="145"/>
      <c r="P383" s="147"/>
      <c r="Q383" s="148"/>
      <c r="R383" s="437"/>
      <c r="S383" s="107"/>
      <c r="T383" s="179"/>
      <c r="U383" s="178"/>
      <c r="V383" s="107"/>
      <c r="W383" s="107"/>
      <c r="X383" s="470"/>
      <c r="Y383" s="470"/>
      <c r="Z383" s="471"/>
      <c r="AA383" s="471"/>
      <c r="AB383" s="466"/>
    </row>
    <row r="384" spans="1:28" s="457" customFormat="1" ht="18" customHeight="1" x14ac:dyDescent="0.2">
      <c r="A384" s="145"/>
      <c r="B384" s="177"/>
      <c r="C384" s="177"/>
      <c r="D384" s="145"/>
      <c r="E384" s="145"/>
      <c r="F384" s="145"/>
      <c r="G384" s="145"/>
      <c r="H384" s="147"/>
      <c r="I384" s="107"/>
      <c r="J384" s="178"/>
      <c r="K384" s="107"/>
      <c r="L384" s="145"/>
      <c r="M384" s="145"/>
      <c r="N384" s="145"/>
      <c r="O384" s="145"/>
      <c r="P384" s="147"/>
      <c r="Q384" s="148"/>
      <c r="R384" s="437"/>
      <c r="S384" s="107"/>
      <c r="T384" s="179"/>
      <c r="U384" s="178"/>
      <c r="V384" s="107"/>
      <c r="W384" s="107"/>
      <c r="X384" s="470"/>
      <c r="Y384" s="470"/>
      <c r="Z384" s="471"/>
      <c r="AA384" s="471"/>
      <c r="AB384" s="466"/>
    </row>
    <row r="385" spans="1:32" s="457" customFormat="1" ht="18" customHeight="1" x14ac:dyDescent="0.2">
      <c r="A385" s="145"/>
      <c r="B385" s="177"/>
      <c r="C385" s="177"/>
      <c r="D385" s="145"/>
      <c r="E385" s="145"/>
      <c r="F385" s="145"/>
      <c r="G385" s="145"/>
      <c r="H385" s="147"/>
      <c r="I385" s="107"/>
      <c r="J385" s="178"/>
      <c r="K385" s="107"/>
      <c r="L385" s="145"/>
      <c r="M385" s="145"/>
      <c r="N385" s="145"/>
      <c r="O385" s="145"/>
      <c r="P385" s="147"/>
      <c r="Q385" s="148"/>
      <c r="R385" s="437"/>
      <c r="S385" s="107"/>
      <c r="T385" s="179"/>
      <c r="U385" s="178"/>
      <c r="V385" s="107"/>
      <c r="W385" s="107"/>
      <c r="X385" s="470"/>
      <c r="Y385" s="470"/>
      <c r="Z385" s="471"/>
      <c r="AA385" s="471"/>
      <c r="AB385" s="466"/>
    </row>
    <row r="386" spans="1:32" s="457" customFormat="1" ht="18" customHeight="1" x14ac:dyDescent="0.2">
      <c r="A386" s="145"/>
      <c r="B386" s="177"/>
      <c r="C386" s="177"/>
      <c r="D386" s="145"/>
      <c r="E386" s="145"/>
      <c r="F386" s="145"/>
      <c r="G386" s="145"/>
      <c r="H386" s="147"/>
      <c r="I386" s="107"/>
      <c r="J386" s="178"/>
      <c r="K386" s="107"/>
      <c r="L386" s="145"/>
      <c r="M386" s="145"/>
      <c r="N386" s="145"/>
      <c r="O386" s="145"/>
      <c r="P386" s="147"/>
      <c r="Q386" s="148"/>
      <c r="R386" s="437"/>
      <c r="S386" s="107"/>
      <c r="T386" s="179"/>
      <c r="U386" s="178"/>
      <c r="V386" s="107"/>
      <c r="W386" s="107"/>
      <c r="X386" s="470"/>
      <c r="Y386" s="470"/>
      <c r="Z386" s="471"/>
      <c r="AA386" s="471"/>
      <c r="AB386" s="466"/>
    </row>
    <row r="387" spans="1:32" s="457" customFormat="1" ht="18" customHeight="1" x14ac:dyDescent="0.2">
      <c r="A387" s="88"/>
      <c r="B387" s="180"/>
      <c r="C387" s="180"/>
      <c r="D387" s="88"/>
      <c r="E387" s="88"/>
      <c r="F387" s="88"/>
      <c r="G387" s="88"/>
      <c r="H387" s="120"/>
      <c r="I387" s="121"/>
      <c r="J387" s="181"/>
      <c r="K387" s="121"/>
      <c r="L387" s="88" t="s">
        <v>90</v>
      </c>
      <c r="M387" s="88"/>
      <c r="N387" s="88"/>
      <c r="O387" s="88"/>
      <c r="P387" s="88"/>
      <c r="Q387" s="129"/>
      <c r="R387" s="445"/>
      <c r="S387" s="121"/>
      <c r="T387" s="182"/>
      <c r="U387" s="181"/>
      <c r="V387" s="121"/>
      <c r="W387" s="121"/>
      <c r="X387" s="472"/>
      <c r="Y387" s="472"/>
      <c r="Z387" s="473"/>
      <c r="AA387" s="473"/>
      <c r="AB387" s="410"/>
    </row>
    <row r="388" spans="1:32" s="597" customFormat="1" ht="18" customHeight="1" x14ac:dyDescent="0.2">
      <c r="A388" s="1850"/>
      <c r="B388" s="1850"/>
      <c r="C388" s="1850"/>
      <c r="D388" s="1850"/>
      <c r="E388" s="1850"/>
      <c r="F388" s="1850"/>
      <c r="G388" s="1850"/>
      <c r="H388" s="1851"/>
      <c r="I388" s="1852"/>
      <c r="J388" s="1853"/>
      <c r="K388" s="1852"/>
      <c r="L388" s="1852"/>
      <c r="M388" s="1852"/>
      <c r="N388" s="1852"/>
      <c r="O388" s="1852"/>
      <c r="P388" s="1852"/>
      <c r="Q388" s="1852"/>
      <c r="R388" s="1854"/>
      <c r="S388" s="1852"/>
      <c r="T388" s="1855"/>
      <c r="U388" s="1853"/>
      <c r="V388" s="1852"/>
      <c r="W388" s="1852"/>
      <c r="X388" s="1856"/>
      <c r="Y388" s="1856"/>
      <c r="Z388" s="1857"/>
      <c r="AA388" s="1857"/>
      <c r="AB388" s="1847">
        <f>SUM(AB373:AB387)</f>
        <v>1232.25</v>
      </c>
    </row>
    <row r="389" spans="1:32" s="457" customFormat="1" ht="18" customHeight="1" x14ac:dyDescent="0.2">
      <c r="A389" s="2737" t="s">
        <v>76</v>
      </c>
      <c r="B389" s="2737"/>
      <c r="C389" s="2738" t="s">
        <v>77</v>
      </c>
      <c r="D389" s="2738"/>
      <c r="E389" s="2738"/>
      <c r="F389" s="2738"/>
      <c r="G389" s="2738"/>
      <c r="H389" s="2738"/>
      <c r="I389" s="457" t="s">
        <v>78</v>
      </c>
      <c r="AB389" s="478"/>
    </row>
    <row r="390" spans="1:32" s="457" customFormat="1" ht="18" customHeight="1" x14ac:dyDescent="0.2">
      <c r="B390" s="479"/>
      <c r="I390" s="457" t="s">
        <v>79</v>
      </c>
      <c r="AB390" s="478"/>
    </row>
    <row r="391" spans="1:32" s="457" customFormat="1" ht="18" customHeight="1" x14ac:dyDescent="0.2">
      <c r="B391" s="479"/>
      <c r="I391" s="457" t="s">
        <v>80</v>
      </c>
      <c r="AB391" s="478"/>
    </row>
    <row r="392" spans="1:32" s="457" customFormat="1" ht="18" customHeight="1" x14ac:dyDescent="0.2">
      <c r="B392" s="479"/>
      <c r="I392" s="457" t="s">
        <v>81</v>
      </c>
      <c r="AB392" s="478"/>
    </row>
    <row r="393" spans="1:32" s="457" customFormat="1" ht="18" customHeight="1" x14ac:dyDescent="0.2">
      <c r="B393" s="479"/>
      <c r="I393" s="457" t="s">
        <v>88</v>
      </c>
      <c r="AB393" s="478"/>
    </row>
    <row r="394" spans="1:32" s="855" customFormat="1" ht="18" customHeight="1" x14ac:dyDescent="0.2">
      <c r="A394" s="455"/>
      <c r="B394" s="455"/>
      <c r="C394" s="455"/>
      <c r="D394" s="455"/>
      <c r="E394" s="455"/>
      <c r="F394" s="455"/>
      <c r="G394" s="455"/>
      <c r="H394" s="455"/>
      <c r="I394" s="455"/>
      <c r="J394" s="455"/>
      <c r="K394" s="455"/>
      <c r="L394" s="455"/>
      <c r="M394" s="455"/>
      <c r="N394" s="455"/>
      <c r="O394" s="455"/>
      <c r="P394" s="455"/>
      <c r="Q394" s="455"/>
      <c r="R394" s="455"/>
      <c r="S394" s="455"/>
      <c r="T394" s="455"/>
      <c r="U394" s="455"/>
      <c r="V394" s="455"/>
      <c r="W394" s="455"/>
      <c r="X394" s="455"/>
      <c r="Y394" s="455"/>
      <c r="Z394" s="455"/>
      <c r="AA394" s="2705" t="s">
        <v>0</v>
      </c>
      <c r="AB394" s="2705"/>
      <c r="AC394" s="455"/>
      <c r="AD394" s="455"/>
      <c r="AE394" s="455"/>
      <c r="AF394" s="455"/>
    </row>
    <row r="395" spans="1:32" s="855" customFormat="1" ht="18" customHeight="1" x14ac:dyDescent="0.2">
      <c r="A395" s="2705" t="s">
        <v>1</v>
      </c>
      <c r="B395" s="2705"/>
      <c r="C395" s="2705"/>
      <c r="D395" s="2705"/>
      <c r="E395" s="2705"/>
      <c r="F395" s="2705"/>
      <c r="G395" s="2705"/>
      <c r="H395" s="2705"/>
      <c r="I395" s="2705"/>
      <c r="J395" s="2705"/>
      <c r="K395" s="2705"/>
      <c r="L395" s="2705"/>
      <c r="M395" s="2705"/>
      <c r="N395" s="2705"/>
      <c r="O395" s="2705"/>
      <c r="P395" s="2705"/>
      <c r="Q395" s="2705"/>
      <c r="R395" s="2705"/>
      <c r="S395" s="2705"/>
      <c r="T395" s="2705"/>
      <c r="U395" s="2705"/>
      <c r="V395" s="2705"/>
      <c r="W395" s="2705"/>
      <c r="X395" s="2705"/>
      <c r="Y395" s="2705"/>
      <c r="Z395" s="2705"/>
      <c r="AA395" s="2705"/>
      <c r="AB395" s="2705"/>
      <c r="AC395" s="455"/>
      <c r="AD395" s="455"/>
      <c r="AE395" s="455"/>
      <c r="AF395" s="455"/>
    </row>
    <row r="396" spans="1:32" s="855" customFormat="1" ht="18" customHeight="1" x14ac:dyDescent="0.2">
      <c r="A396" s="2805" t="s">
        <v>501</v>
      </c>
      <c r="B396" s="2805"/>
      <c r="C396" s="2805"/>
      <c r="D396" s="2805"/>
      <c r="E396" s="2805"/>
      <c r="F396" s="2805"/>
      <c r="G396" s="2805"/>
      <c r="H396" s="2805"/>
      <c r="I396" s="2805"/>
      <c r="J396" s="2805"/>
      <c r="K396" s="2805"/>
      <c r="L396" s="2805"/>
      <c r="M396" s="2805"/>
      <c r="N396" s="2805"/>
      <c r="O396" s="2805"/>
      <c r="P396" s="2805"/>
      <c r="Q396" s="2805"/>
      <c r="R396" s="2805"/>
      <c r="S396" s="2805"/>
      <c r="T396" s="2805"/>
      <c r="U396" s="2805"/>
      <c r="V396" s="2805"/>
      <c r="W396" s="2805"/>
      <c r="X396" s="2805"/>
      <c r="Y396" s="2805"/>
      <c r="Z396" s="2805"/>
      <c r="AA396" s="2805"/>
      <c r="AB396" s="2805"/>
      <c r="AC396" s="856"/>
      <c r="AD396" s="856"/>
      <c r="AE396" s="856"/>
      <c r="AF396" s="856"/>
    </row>
    <row r="397" spans="1:32" s="855" customFormat="1" ht="18" customHeight="1" x14ac:dyDescent="0.2">
      <c r="A397" s="2686" t="s">
        <v>2</v>
      </c>
      <c r="B397" s="360"/>
      <c r="C397" s="2686" t="s">
        <v>3</v>
      </c>
      <c r="D397" s="360"/>
      <c r="E397" s="360"/>
      <c r="F397" s="2693" t="s">
        <v>4</v>
      </c>
      <c r="G397" s="2693"/>
      <c r="H397" s="2693"/>
      <c r="I397" s="2694"/>
      <c r="J397" s="2694"/>
      <c r="K397" s="2695"/>
      <c r="L397" s="361"/>
      <c r="M397" s="2679" t="s">
        <v>5</v>
      </c>
      <c r="N397" s="2679"/>
      <c r="O397" s="2679"/>
      <c r="P397" s="2679"/>
      <c r="Q397" s="2696"/>
      <c r="R397" s="2696"/>
      <c r="S397" s="2696"/>
      <c r="T397" s="2696"/>
      <c r="U397" s="2696"/>
      <c r="V397" s="2697"/>
      <c r="W397" s="362" t="s">
        <v>6</v>
      </c>
      <c r="X397" s="363" t="s">
        <v>7</v>
      </c>
      <c r="Y397" s="364"/>
      <c r="Z397" s="364"/>
      <c r="AA397" s="363"/>
      <c r="AB397" s="458"/>
      <c r="AC397" s="457"/>
      <c r="AD397" s="457"/>
      <c r="AE397" s="457"/>
      <c r="AF397" s="457"/>
    </row>
    <row r="398" spans="1:32" s="855" customFormat="1" ht="18" customHeight="1" x14ac:dyDescent="0.2">
      <c r="A398" s="2687"/>
      <c r="B398" s="367"/>
      <c r="C398" s="2687"/>
      <c r="D398" s="366" t="s">
        <v>9</v>
      </c>
      <c r="E398" s="366" t="s">
        <v>10</v>
      </c>
      <c r="F398" s="2698" t="s">
        <v>11</v>
      </c>
      <c r="G398" s="2694"/>
      <c r="H398" s="2695"/>
      <c r="I398" s="360"/>
      <c r="J398" s="449" t="s">
        <v>12</v>
      </c>
      <c r="K398" s="360"/>
      <c r="L398" s="2679" t="s">
        <v>2</v>
      </c>
      <c r="M398" s="370"/>
      <c r="N398" s="370"/>
      <c r="O398" s="370"/>
      <c r="P398" s="371"/>
      <c r="Q398" s="459" t="s">
        <v>13</v>
      </c>
      <c r="R398" s="370" t="s">
        <v>12</v>
      </c>
      <c r="S398" s="370" t="s">
        <v>6</v>
      </c>
      <c r="T398" s="2682" t="s">
        <v>14</v>
      </c>
      <c r="U398" s="2683"/>
      <c r="V398" s="375" t="s">
        <v>7</v>
      </c>
      <c r="W398" s="376" t="s">
        <v>15</v>
      </c>
      <c r="X398" s="377" t="s">
        <v>16</v>
      </c>
      <c r="Y398" s="377" t="s">
        <v>17</v>
      </c>
      <c r="Z398" s="377" t="s">
        <v>18</v>
      </c>
      <c r="AA398" s="377"/>
      <c r="AB398" s="460" t="s">
        <v>19</v>
      </c>
      <c r="AC398" s="457"/>
      <c r="AD398" s="457"/>
      <c r="AE398" s="457"/>
      <c r="AF398" s="457"/>
    </row>
    <row r="399" spans="1:32" s="855" customFormat="1" ht="18" customHeight="1" x14ac:dyDescent="0.2">
      <c r="A399" s="2687"/>
      <c r="B399" s="366" t="s">
        <v>23</v>
      </c>
      <c r="C399" s="2687"/>
      <c r="D399" s="366" t="s">
        <v>24</v>
      </c>
      <c r="E399" s="366" t="s">
        <v>25</v>
      </c>
      <c r="F399" s="2699"/>
      <c r="G399" s="2700"/>
      <c r="H399" s="2701"/>
      <c r="I399" s="366" t="s">
        <v>26</v>
      </c>
      <c r="J399" s="380" t="s">
        <v>15</v>
      </c>
      <c r="K399" s="380" t="s">
        <v>6</v>
      </c>
      <c r="L399" s="2680"/>
      <c r="M399" s="381" t="s">
        <v>27</v>
      </c>
      <c r="N399" s="381" t="s">
        <v>10</v>
      </c>
      <c r="O399" s="381" t="s">
        <v>10</v>
      </c>
      <c r="P399" s="385" t="s">
        <v>28</v>
      </c>
      <c r="Q399" s="461" t="s">
        <v>29</v>
      </c>
      <c r="R399" s="385" t="s">
        <v>15</v>
      </c>
      <c r="S399" s="385" t="s">
        <v>15</v>
      </c>
      <c r="T399" s="2684"/>
      <c r="U399" s="2685"/>
      <c r="V399" s="375" t="s">
        <v>30</v>
      </c>
      <c r="W399" s="376" t="s">
        <v>31</v>
      </c>
      <c r="X399" s="377" t="s">
        <v>30</v>
      </c>
      <c r="Y399" s="377" t="s">
        <v>32</v>
      </c>
      <c r="Z399" s="377" t="s">
        <v>7</v>
      </c>
      <c r="AA399" s="377" t="s">
        <v>33</v>
      </c>
      <c r="AB399" s="460" t="s">
        <v>34</v>
      </c>
      <c r="AC399" s="457"/>
      <c r="AD399" s="457"/>
      <c r="AE399" s="457"/>
      <c r="AF399" s="457"/>
    </row>
    <row r="400" spans="1:32" s="855" customFormat="1" ht="18" customHeight="1" x14ac:dyDescent="0.2">
      <c r="A400" s="2687"/>
      <c r="B400" s="366" t="s">
        <v>39</v>
      </c>
      <c r="C400" s="2687"/>
      <c r="D400" s="366" t="s">
        <v>40</v>
      </c>
      <c r="E400" s="366" t="s">
        <v>41</v>
      </c>
      <c r="F400" s="2686" t="s">
        <v>42</v>
      </c>
      <c r="G400" s="2686" t="s">
        <v>43</v>
      </c>
      <c r="H400" s="2688" t="s">
        <v>44</v>
      </c>
      <c r="I400" s="366" t="s">
        <v>45</v>
      </c>
      <c r="J400" s="380" t="s">
        <v>46</v>
      </c>
      <c r="K400" s="380" t="s">
        <v>47</v>
      </c>
      <c r="L400" s="2680"/>
      <c r="M400" s="381" t="s">
        <v>30</v>
      </c>
      <c r="N400" s="381" t="s">
        <v>30</v>
      </c>
      <c r="O400" s="381" t="s">
        <v>25</v>
      </c>
      <c r="P400" s="385" t="s">
        <v>30</v>
      </c>
      <c r="Q400" s="461" t="s">
        <v>48</v>
      </c>
      <c r="R400" s="385" t="s">
        <v>49</v>
      </c>
      <c r="S400" s="385" t="s">
        <v>30</v>
      </c>
      <c r="T400" s="374" t="s">
        <v>50</v>
      </c>
      <c r="U400" s="374" t="s">
        <v>13</v>
      </c>
      <c r="V400" s="375" t="s">
        <v>51</v>
      </c>
      <c r="W400" s="376" t="s">
        <v>52</v>
      </c>
      <c r="X400" s="377" t="s">
        <v>53</v>
      </c>
      <c r="Y400" s="377" t="s">
        <v>54</v>
      </c>
      <c r="Z400" s="377" t="s">
        <v>55</v>
      </c>
      <c r="AA400" s="377" t="s">
        <v>56</v>
      </c>
      <c r="AB400" s="460" t="s">
        <v>57</v>
      </c>
      <c r="AC400" s="457"/>
      <c r="AD400" s="457"/>
      <c r="AE400" s="457"/>
      <c r="AF400" s="457"/>
    </row>
    <row r="401" spans="1:32" s="855" customFormat="1" ht="18" customHeight="1" x14ac:dyDescent="0.2">
      <c r="A401" s="2687"/>
      <c r="B401" s="366" t="s">
        <v>61</v>
      </c>
      <c r="C401" s="2687"/>
      <c r="D401" s="366" t="s">
        <v>62</v>
      </c>
      <c r="E401" s="366" t="s">
        <v>63</v>
      </c>
      <c r="F401" s="2687"/>
      <c r="G401" s="2687"/>
      <c r="H401" s="2689"/>
      <c r="I401" s="366" t="s">
        <v>64</v>
      </c>
      <c r="J401" s="380" t="s">
        <v>59</v>
      </c>
      <c r="K401" s="380" t="s">
        <v>59</v>
      </c>
      <c r="L401" s="2680"/>
      <c r="M401" s="381"/>
      <c r="N401" s="381"/>
      <c r="O401" s="381" t="s">
        <v>41</v>
      </c>
      <c r="P401" s="385" t="s">
        <v>65</v>
      </c>
      <c r="Q401" s="461" t="s">
        <v>66</v>
      </c>
      <c r="R401" s="385" t="s">
        <v>67</v>
      </c>
      <c r="S401" s="385" t="s">
        <v>59</v>
      </c>
      <c r="T401" s="375" t="s">
        <v>68</v>
      </c>
      <c r="U401" s="375" t="s">
        <v>14</v>
      </c>
      <c r="V401" s="375" t="s">
        <v>14</v>
      </c>
      <c r="W401" s="376" t="s">
        <v>30</v>
      </c>
      <c r="X401" s="388" t="s">
        <v>69</v>
      </c>
      <c r="Y401" s="388" t="s">
        <v>70</v>
      </c>
      <c r="Z401" s="377" t="s">
        <v>71</v>
      </c>
      <c r="AA401" s="377" t="s">
        <v>72</v>
      </c>
      <c r="AB401" s="460" t="s">
        <v>59</v>
      </c>
      <c r="AC401" s="457"/>
      <c r="AD401" s="457"/>
      <c r="AE401" s="457"/>
      <c r="AF401" s="457"/>
    </row>
    <row r="402" spans="1:32" s="855" customFormat="1" ht="18" customHeight="1" x14ac:dyDescent="0.2">
      <c r="A402" s="2692"/>
      <c r="B402" s="390"/>
      <c r="C402" s="2692"/>
      <c r="D402" s="390"/>
      <c r="E402" s="389"/>
      <c r="F402" s="390"/>
      <c r="G402" s="390"/>
      <c r="H402" s="391"/>
      <c r="I402" s="389"/>
      <c r="J402" s="393"/>
      <c r="K402" s="393"/>
      <c r="L402" s="2681"/>
      <c r="M402" s="394"/>
      <c r="N402" s="394"/>
      <c r="O402" s="394" t="s">
        <v>63</v>
      </c>
      <c r="P402" s="394"/>
      <c r="Q402" s="450" t="s">
        <v>72</v>
      </c>
      <c r="R402" s="398" t="s">
        <v>59</v>
      </c>
      <c r="S402" s="398"/>
      <c r="T402" s="398" t="s">
        <v>73</v>
      </c>
      <c r="U402" s="398" t="s">
        <v>59</v>
      </c>
      <c r="V402" s="399" t="s">
        <v>59</v>
      </c>
      <c r="W402" s="400" t="s">
        <v>59</v>
      </c>
      <c r="X402" s="401" t="s">
        <v>59</v>
      </c>
      <c r="Y402" s="401" t="s">
        <v>59</v>
      </c>
      <c r="Z402" s="401" t="s">
        <v>59</v>
      </c>
      <c r="AA402" s="402"/>
      <c r="AB402" s="462"/>
      <c r="AC402" s="457"/>
      <c r="AD402" s="457"/>
      <c r="AE402" s="457"/>
      <c r="AF402" s="457"/>
    </row>
    <row r="403" spans="1:32" s="855" customFormat="1" ht="18" customHeight="1" x14ac:dyDescent="0.25">
      <c r="A403" s="313">
        <v>1</v>
      </c>
      <c r="B403" s="333">
        <v>2655</v>
      </c>
      <c r="C403" s="41">
        <v>308</v>
      </c>
      <c r="D403" s="259" t="s">
        <v>215</v>
      </c>
      <c r="E403" s="15">
        <v>1</v>
      </c>
      <c r="F403" s="41">
        <v>4</v>
      </c>
      <c r="G403" s="41">
        <v>2</v>
      </c>
      <c r="H403" s="267">
        <v>20</v>
      </c>
      <c r="I403" s="77">
        <f t="shared" ref="I403:I409" si="96">F403*400+G403*100+H403</f>
        <v>1820</v>
      </c>
      <c r="J403" s="759">
        <v>300</v>
      </c>
      <c r="K403" s="78">
        <f t="shared" ref="K403:K409" si="97">SUM(I403*J403)</f>
        <v>546000</v>
      </c>
      <c r="L403" s="45"/>
      <c r="M403" s="1058"/>
      <c r="N403" s="808"/>
      <c r="O403" s="16"/>
      <c r="P403" s="41"/>
      <c r="Q403" s="62"/>
      <c r="R403" s="672"/>
      <c r="S403" s="296"/>
      <c r="T403" s="298"/>
      <c r="U403" s="299"/>
      <c r="V403" s="299"/>
      <c r="W403" s="70">
        <f t="shared" ref="W403:W404" si="98">K403+V403</f>
        <v>546000</v>
      </c>
      <c r="X403" s="70">
        <f>W403</f>
        <v>546000</v>
      </c>
      <c r="Y403" s="296" t="s">
        <v>87</v>
      </c>
      <c r="Z403" s="296">
        <v>0</v>
      </c>
      <c r="AA403" s="494">
        <v>0.01</v>
      </c>
      <c r="AB403" s="682">
        <f t="shared" ref="AB403:AB409" si="99">+Z403*AA403/100</f>
        <v>0</v>
      </c>
      <c r="AC403" s="858"/>
      <c r="AD403" s="858">
        <f>AB403-AC403</f>
        <v>0</v>
      </c>
      <c r="AE403" s="858">
        <f>IF(AD403&lt;=0,0,AD403*25/100)</f>
        <v>0</v>
      </c>
      <c r="AF403" s="858">
        <f>IF(AC403+AE403&gt;AB403,AB403,AC403+AE403)</f>
        <v>0</v>
      </c>
    </row>
    <row r="404" spans="1:32" s="855" customFormat="1" ht="18" customHeight="1" x14ac:dyDescent="0.25">
      <c r="A404" s="281">
        <v>2</v>
      </c>
      <c r="B404" s="269">
        <v>1891</v>
      </c>
      <c r="C404" s="62" t="s">
        <v>171</v>
      </c>
      <c r="D404" s="27" t="s">
        <v>215</v>
      </c>
      <c r="E404" s="27">
        <v>2</v>
      </c>
      <c r="F404" s="291">
        <v>6</v>
      </c>
      <c r="G404" s="45">
        <v>3</v>
      </c>
      <c r="H404" s="257">
        <v>0</v>
      </c>
      <c r="I404" s="77">
        <f t="shared" si="96"/>
        <v>2700</v>
      </c>
      <c r="J404" s="759">
        <v>1750</v>
      </c>
      <c r="K404" s="78">
        <f t="shared" si="97"/>
        <v>4725000</v>
      </c>
      <c r="L404" s="45"/>
      <c r="M404" s="1059"/>
      <c r="N404" s="130"/>
      <c r="O404" s="50"/>
      <c r="P404" s="15"/>
      <c r="Q404" s="62"/>
      <c r="R404" s="672"/>
      <c r="S404" s="296"/>
      <c r="T404" s="298"/>
      <c r="U404" s="299"/>
      <c r="V404" s="299"/>
      <c r="W404" s="70">
        <f t="shared" si="98"/>
        <v>4725000</v>
      </c>
      <c r="X404" s="70">
        <f>W404</f>
        <v>4725000</v>
      </c>
      <c r="Y404" s="296" t="s">
        <v>87</v>
      </c>
      <c r="Z404" s="296">
        <v>0</v>
      </c>
      <c r="AA404" s="494">
        <v>0.01</v>
      </c>
      <c r="AB404" s="688">
        <f t="shared" si="99"/>
        <v>0</v>
      </c>
      <c r="AC404" s="342"/>
      <c r="AD404" s="342"/>
      <c r="AE404" s="342"/>
      <c r="AF404" s="342"/>
    </row>
    <row r="405" spans="1:32" s="855" customFormat="1" ht="18" customHeight="1" x14ac:dyDescent="0.25">
      <c r="A405" s="281"/>
      <c r="B405" s="269"/>
      <c r="C405" s="62"/>
      <c r="D405" s="880"/>
      <c r="E405" s="27"/>
      <c r="F405" s="291">
        <v>0</v>
      </c>
      <c r="G405" s="45">
        <v>3</v>
      </c>
      <c r="H405" s="257">
        <v>80</v>
      </c>
      <c r="I405" s="77">
        <f t="shared" si="96"/>
        <v>380</v>
      </c>
      <c r="J405" s="759">
        <v>1750</v>
      </c>
      <c r="K405" s="78">
        <f t="shared" si="97"/>
        <v>665000</v>
      </c>
      <c r="L405" s="45">
        <v>1</v>
      </c>
      <c r="M405" s="177">
        <v>103</v>
      </c>
      <c r="N405" s="145" t="s">
        <v>74</v>
      </c>
      <c r="O405" s="45">
        <v>2</v>
      </c>
      <c r="P405" s="257">
        <v>80</v>
      </c>
      <c r="Q405" s="62" t="s">
        <v>75</v>
      </c>
      <c r="R405" s="672">
        <v>9050</v>
      </c>
      <c r="S405" s="70">
        <f t="shared" ref="S405:S409" si="100">+P405*R405</f>
        <v>724000</v>
      </c>
      <c r="T405" s="1501">
        <v>13</v>
      </c>
      <c r="U405" s="125">
        <f>+S405*0.16</f>
        <v>115840</v>
      </c>
      <c r="V405" s="70">
        <f t="shared" ref="V405" si="101">+S405-U405</f>
        <v>608160</v>
      </c>
      <c r="W405" s="70">
        <f t="shared" ref="W405" si="102">K405+V405</f>
        <v>1273160</v>
      </c>
      <c r="X405" s="70">
        <f t="shared" ref="X405" si="103">W405*Q405/100</f>
        <v>1273160</v>
      </c>
      <c r="Y405" s="296"/>
      <c r="Z405" s="74">
        <f t="shared" ref="Z405:Z407" si="104">+X405</f>
        <v>1273160</v>
      </c>
      <c r="AA405" s="494">
        <v>0.02</v>
      </c>
      <c r="AB405" s="688">
        <f t="shared" si="99"/>
        <v>254.63200000000001</v>
      </c>
      <c r="AC405" s="342"/>
      <c r="AD405" s="342"/>
      <c r="AE405" s="342"/>
      <c r="AF405" s="342"/>
    </row>
    <row r="406" spans="1:32" s="855" customFormat="1" ht="18" customHeight="1" x14ac:dyDescent="0.25">
      <c r="A406" s="281"/>
      <c r="B406" s="269"/>
      <c r="C406" s="62"/>
      <c r="D406" s="880"/>
      <c r="E406" s="27"/>
      <c r="F406" s="291"/>
      <c r="G406" s="45"/>
      <c r="H406" s="257"/>
      <c r="I406" s="77">
        <f t="shared" si="96"/>
        <v>0</v>
      </c>
      <c r="J406" s="759"/>
      <c r="K406" s="78">
        <f t="shared" si="97"/>
        <v>0</v>
      </c>
      <c r="L406" s="45">
        <v>2</v>
      </c>
      <c r="M406" s="177">
        <v>103</v>
      </c>
      <c r="N406" s="145" t="s">
        <v>74</v>
      </c>
      <c r="O406" s="45">
        <v>2</v>
      </c>
      <c r="P406" s="257">
        <v>80</v>
      </c>
      <c r="Q406" s="62" t="s">
        <v>75</v>
      </c>
      <c r="R406" s="672">
        <v>9050</v>
      </c>
      <c r="S406" s="70">
        <f t="shared" si="100"/>
        <v>724000</v>
      </c>
      <c r="T406" s="1501">
        <v>13</v>
      </c>
      <c r="U406" s="125">
        <f t="shared" ref="U406:U407" si="105">+S406*0.16</f>
        <v>115840</v>
      </c>
      <c r="V406" s="70">
        <f t="shared" ref="V406:V407" si="106">+S406-U406</f>
        <v>608160</v>
      </c>
      <c r="W406" s="70">
        <f t="shared" ref="W406:W407" si="107">K406+V406</f>
        <v>608160</v>
      </c>
      <c r="X406" s="70">
        <f t="shared" ref="X406:X407" si="108">W406*Q406/100</f>
        <v>608160</v>
      </c>
      <c r="Y406" s="296"/>
      <c r="Z406" s="74">
        <f t="shared" si="104"/>
        <v>608160</v>
      </c>
      <c r="AA406" s="494">
        <v>0.02</v>
      </c>
      <c r="AB406" s="688">
        <f t="shared" si="99"/>
        <v>121.63200000000001</v>
      </c>
      <c r="AC406" s="342"/>
      <c r="AD406" s="342"/>
      <c r="AE406" s="342"/>
      <c r="AF406" s="342"/>
    </row>
    <row r="407" spans="1:32" s="855" customFormat="1" ht="18" customHeight="1" x14ac:dyDescent="0.25">
      <c r="A407" s="281"/>
      <c r="B407" s="269"/>
      <c r="C407" s="62"/>
      <c r="D407" s="880"/>
      <c r="E407" s="27"/>
      <c r="F407" s="291"/>
      <c r="G407" s="45"/>
      <c r="H407" s="257"/>
      <c r="I407" s="77">
        <f t="shared" si="96"/>
        <v>0</v>
      </c>
      <c r="J407" s="759"/>
      <c r="K407" s="78">
        <f t="shared" si="97"/>
        <v>0</v>
      </c>
      <c r="L407" s="45">
        <v>3</v>
      </c>
      <c r="M407" s="177">
        <v>103</v>
      </c>
      <c r="N407" s="145" t="s">
        <v>74</v>
      </c>
      <c r="O407" s="45">
        <v>2</v>
      </c>
      <c r="P407" s="257">
        <v>80</v>
      </c>
      <c r="Q407" s="62" t="s">
        <v>75</v>
      </c>
      <c r="R407" s="672">
        <v>9050</v>
      </c>
      <c r="S407" s="70">
        <f t="shared" si="100"/>
        <v>724000</v>
      </c>
      <c r="T407" s="1501">
        <v>13</v>
      </c>
      <c r="U407" s="125">
        <f t="shared" si="105"/>
        <v>115840</v>
      </c>
      <c r="V407" s="70">
        <f t="shared" si="106"/>
        <v>608160</v>
      </c>
      <c r="W407" s="70">
        <f t="shared" si="107"/>
        <v>608160</v>
      </c>
      <c r="X407" s="70">
        <f t="shared" si="108"/>
        <v>608160</v>
      </c>
      <c r="Y407" s="296"/>
      <c r="Z407" s="74">
        <f t="shared" si="104"/>
        <v>608160</v>
      </c>
      <c r="AA407" s="494">
        <v>0.02</v>
      </c>
      <c r="AB407" s="688">
        <f t="shared" si="99"/>
        <v>121.63200000000001</v>
      </c>
      <c r="AC407" s="342"/>
      <c r="AD407" s="342"/>
      <c r="AE407" s="342"/>
      <c r="AF407" s="342"/>
    </row>
    <row r="408" spans="1:32" s="855" customFormat="1" ht="18" customHeight="1" x14ac:dyDescent="0.25">
      <c r="A408" s="281"/>
      <c r="B408" s="269"/>
      <c r="C408" s="62"/>
      <c r="D408" s="880"/>
      <c r="E408" s="27"/>
      <c r="F408" s="291">
        <v>3</v>
      </c>
      <c r="G408" s="45">
        <v>2</v>
      </c>
      <c r="H408" s="257">
        <v>0</v>
      </c>
      <c r="I408" s="77">
        <f t="shared" si="96"/>
        <v>1400</v>
      </c>
      <c r="J408" s="759">
        <v>1750</v>
      </c>
      <c r="K408" s="78">
        <f t="shared" si="97"/>
        <v>2450000</v>
      </c>
      <c r="L408" s="45"/>
      <c r="M408" s="75" t="s">
        <v>229</v>
      </c>
      <c r="N408" s="45"/>
      <c r="O408" s="45"/>
      <c r="P408" s="257"/>
      <c r="Q408" s="62"/>
      <c r="R408" s="743"/>
      <c r="S408" s="70">
        <f t="shared" si="100"/>
        <v>0</v>
      </c>
      <c r="T408" s="1501"/>
      <c r="U408" s="299"/>
      <c r="V408" s="299"/>
      <c r="W408" s="70">
        <f t="shared" ref="W408:W409" si="109">K408+V408</f>
        <v>2450000</v>
      </c>
      <c r="X408" s="70">
        <f t="shared" ref="X408:X409" si="110">W408*Q408/100</f>
        <v>0</v>
      </c>
      <c r="Y408" s="296"/>
      <c r="Z408" s="296">
        <v>0</v>
      </c>
      <c r="AA408" s="494">
        <v>0.01</v>
      </c>
      <c r="AB408" s="688">
        <f t="shared" si="99"/>
        <v>0</v>
      </c>
      <c r="AC408" s="342"/>
      <c r="AD408" s="342"/>
      <c r="AE408" s="342"/>
      <c r="AF408" s="342"/>
    </row>
    <row r="409" spans="1:32" s="855" customFormat="1" ht="18" customHeight="1" x14ac:dyDescent="0.25">
      <c r="A409" s="281">
        <v>3</v>
      </c>
      <c r="B409" s="269">
        <v>7880</v>
      </c>
      <c r="C409" s="62" t="s">
        <v>230</v>
      </c>
      <c r="D409" s="27" t="s">
        <v>215</v>
      </c>
      <c r="E409" s="27">
        <v>2</v>
      </c>
      <c r="F409" s="291">
        <v>0</v>
      </c>
      <c r="G409" s="45">
        <v>1</v>
      </c>
      <c r="H409" s="257">
        <v>65</v>
      </c>
      <c r="I409" s="77">
        <f t="shared" si="96"/>
        <v>165</v>
      </c>
      <c r="J409" s="759">
        <v>2300</v>
      </c>
      <c r="K409" s="78">
        <f t="shared" si="97"/>
        <v>379500</v>
      </c>
      <c r="L409" s="45">
        <v>2</v>
      </c>
      <c r="M409" s="75">
        <v>103</v>
      </c>
      <c r="N409" s="45" t="s">
        <v>74</v>
      </c>
      <c r="O409" s="45">
        <v>2</v>
      </c>
      <c r="P409" s="257">
        <v>151.33000000000001</v>
      </c>
      <c r="Q409" s="62" t="s">
        <v>75</v>
      </c>
      <c r="R409" s="743">
        <v>9050</v>
      </c>
      <c r="S409" s="70">
        <f t="shared" si="100"/>
        <v>1369536.5</v>
      </c>
      <c r="T409" s="1501">
        <v>15</v>
      </c>
      <c r="U409" s="125">
        <f>+S409*0.2</f>
        <v>273907.3</v>
      </c>
      <c r="V409" s="70">
        <f t="shared" ref="V409" si="111">+S409-U409</f>
        <v>1095629.2</v>
      </c>
      <c r="W409" s="70">
        <f t="shared" si="109"/>
        <v>1475129.2</v>
      </c>
      <c r="X409" s="70">
        <f t="shared" si="110"/>
        <v>1475129.2</v>
      </c>
      <c r="Y409" s="296" t="s">
        <v>125</v>
      </c>
      <c r="Z409" s="296">
        <v>0</v>
      </c>
      <c r="AA409" s="494">
        <v>0.02</v>
      </c>
      <c r="AB409" s="664">
        <f t="shared" si="99"/>
        <v>0</v>
      </c>
      <c r="AC409" s="342"/>
      <c r="AD409" s="342"/>
      <c r="AE409" s="342"/>
      <c r="AF409" s="342"/>
    </row>
    <row r="410" spans="1:32" s="855" customFormat="1" ht="18" customHeight="1" x14ac:dyDescent="0.2">
      <c r="A410" s="177"/>
      <c r="B410" s="177"/>
      <c r="C410" s="177"/>
      <c r="D410" s="177"/>
      <c r="E410" s="177"/>
      <c r="F410" s="177"/>
      <c r="G410" s="177"/>
      <c r="H410" s="274"/>
      <c r="I410" s="275"/>
      <c r="J410" s="275"/>
      <c r="K410" s="275"/>
      <c r="L410" s="177"/>
      <c r="M410" s="177"/>
      <c r="N410" s="177"/>
      <c r="O410" s="177"/>
      <c r="P410" s="274"/>
      <c r="Q410" s="276"/>
      <c r="R410" s="661"/>
      <c r="S410" s="275"/>
      <c r="T410" s="277"/>
      <c r="U410" s="275"/>
      <c r="V410" s="275"/>
      <c r="W410" s="275"/>
      <c r="X410" s="662"/>
      <c r="Y410" s="662"/>
      <c r="Z410" s="663"/>
      <c r="AA410" s="663"/>
      <c r="AB410" s="664"/>
      <c r="AC410" s="342"/>
      <c r="AD410" s="342"/>
      <c r="AE410" s="342"/>
      <c r="AF410" s="342"/>
    </row>
    <row r="411" spans="1:32" s="855" customFormat="1" ht="18" customHeight="1" x14ac:dyDescent="0.2">
      <c r="A411" s="177"/>
      <c r="B411" s="177"/>
      <c r="C411" s="177"/>
      <c r="D411" s="177"/>
      <c r="E411" s="177"/>
      <c r="F411" s="177"/>
      <c r="G411" s="177"/>
      <c r="H411" s="274"/>
      <c r="I411" s="275"/>
      <c r="J411" s="275"/>
      <c r="K411" s="275"/>
      <c r="L411" s="177"/>
      <c r="M411" s="177"/>
      <c r="N411" s="177"/>
      <c r="O411" s="177"/>
      <c r="P411" s="274"/>
      <c r="Q411" s="276"/>
      <c r="R411" s="661"/>
      <c r="S411" s="275"/>
      <c r="T411" s="277"/>
      <c r="U411" s="275"/>
      <c r="V411" s="275"/>
      <c r="W411" s="275"/>
      <c r="X411" s="662"/>
      <c r="Y411" s="662"/>
      <c r="Z411" s="663"/>
      <c r="AA411" s="663"/>
      <c r="AB411" s="664"/>
      <c r="AC411" s="342"/>
      <c r="AD411" s="342"/>
      <c r="AE411" s="342"/>
      <c r="AF411" s="342"/>
    </row>
    <row r="412" spans="1:32" s="855" customFormat="1" ht="18" customHeight="1" x14ac:dyDescent="0.2">
      <c r="A412" s="177"/>
      <c r="B412" s="177"/>
      <c r="C412" s="177"/>
      <c r="D412" s="177"/>
      <c r="E412" s="177"/>
      <c r="F412" s="177"/>
      <c r="G412" s="177"/>
      <c r="H412" s="274"/>
      <c r="I412" s="275"/>
      <c r="J412" s="275"/>
      <c r="K412" s="275"/>
      <c r="L412" s="177"/>
      <c r="M412" s="177"/>
      <c r="N412" s="177"/>
      <c r="O412" s="177"/>
      <c r="P412" s="274"/>
      <c r="Q412" s="276"/>
      <c r="R412" s="661"/>
      <c r="S412" s="275"/>
      <c r="T412" s="277"/>
      <c r="U412" s="275"/>
      <c r="V412" s="275"/>
      <c r="W412" s="275"/>
      <c r="X412" s="662"/>
      <c r="Y412" s="662"/>
      <c r="Z412" s="663"/>
      <c r="AA412" s="663"/>
      <c r="AB412" s="664"/>
      <c r="AC412" s="342"/>
      <c r="AD412" s="342"/>
      <c r="AE412" s="342"/>
      <c r="AF412" s="342"/>
    </row>
    <row r="413" spans="1:32" s="855" customFormat="1" ht="18" customHeight="1" x14ac:dyDescent="0.2">
      <c r="A413" s="177"/>
      <c r="B413" s="177"/>
      <c r="C413" s="177"/>
      <c r="D413" s="177"/>
      <c r="E413" s="177"/>
      <c r="F413" s="177"/>
      <c r="G413" s="177"/>
      <c r="H413" s="274"/>
      <c r="I413" s="275"/>
      <c r="J413" s="275"/>
      <c r="K413" s="275"/>
      <c r="L413" s="177"/>
      <c r="M413" s="177"/>
      <c r="N413" s="177"/>
      <c r="O413" s="177"/>
      <c r="P413" s="274"/>
      <c r="Q413" s="276"/>
      <c r="R413" s="661"/>
      <c r="S413" s="275"/>
      <c r="T413" s="277"/>
      <c r="U413" s="275"/>
      <c r="V413" s="275"/>
      <c r="W413" s="275"/>
      <c r="X413" s="662"/>
      <c r="Y413" s="662"/>
      <c r="Z413" s="663"/>
      <c r="AA413" s="663"/>
      <c r="AB413" s="664"/>
      <c r="AC413" s="342"/>
      <c r="AD413" s="342"/>
      <c r="AE413" s="342"/>
      <c r="AF413" s="342"/>
    </row>
    <row r="414" spans="1:32" s="855" customFormat="1" ht="18" customHeight="1" x14ac:dyDescent="0.2">
      <c r="A414" s="177"/>
      <c r="B414" s="177"/>
      <c r="C414" s="177"/>
      <c r="D414" s="177"/>
      <c r="E414" s="177"/>
      <c r="F414" s="177"/>
      <c r="G414" s="177"/>
      <c r="H414" s="274"/>
      <c r="I414" s="275"/>
      <c r="J414" s="275"/>
      <c r="K414" s="275"/>
      <c r="L414" s="177"/>
      <c r="M414" s="177"/>
      <c r="N414" s="177"/>
      <c r="O414" s="177"/>
      <c r="P414" s="274"/>
      <c r="Q414" s="276"/>
      <c r="R414" s="661"/>
      <c r="S414" s="275"/>
      <c r="T414" s="277"/>
      <c r="U414" s="275"/>
      <c r="V414" s="275"/>
      <c r="W414" s="275"/>
      <c r="X414" s="662"/>
      <c r="Y414" s="662"/>
      <c r="Z414" s="663"/>
      <c r="AA414" s="663"/>
      <c r="AB414" s="664"/>
      <c r="AC414" s="342"/>
      <c r="AD414" s="342"/>
      <c r="AE414" s="342"/>
      <c r="AF414" s="342"/>
    </row>
    <row r="415" spans="1:32" s="855" customFormat="1" ht="18" customHeight="1" x14ac:dyDescent="0.2">
      <c r="A415" s="177"/>
      <c r="B415" s="177"/>
      <c r="C415" s="177"/>
      <c r="D415" s="177"/>
      <c r="E415" s="177"/>
      <c r="F415" s="177"/>
      <c r="G415" s="177"/>
      <c r="H415" s="274"/>
      <c r="I415" s="275"/>
      <c r="J415" s="275"/>
      <c r="K415" s="275"/>
      <c r="L415" s="177"/>
      <c r="M415" s="177"/>
      <c r="N415" s="177"/>
      <c r="O415" s="177"/>
      <c r="P415" s="274"/>
      <c r="Q415" s="276"/>
      <c r="R415" s="661"/>
      <c r="S415" s="275"/>
      <c r="T415" s="277"/>
      <c r="U415" s="275"/>
      <c r="V415" s="275"/>
      <c r="W415" s="275"/>
      <c r="X415" s="662"/>
      <c r="Y415" s="662"/>
      <c r="Z415" s="663"/>
      <c r="AA415" s="663"/>
      <c r="AB415" s="664"/>
      <c r="AC415" s="342"/>
      <c r="AD415" s="342"/>
      <c r="AE415" s="342"/>
      <c r="AF415" s="342"/>
    </row>
    <row r="416" spans="1:32" s="855" customFormat="1" ht="18" customHeight="1" x14ac:dyDescent="0.2">
      <c r="A416" s="177"/>
      <c r="B416" s="177"/>
      <c r="C416" s="177"/>
      <c r="D416" s="177"/>
      <c r="E416" s="177"/>
      <c r="F416" s="177"/>
      <c r="G416" s="177"/>
      <c r="H416" s="274"/>
      <c r="I416" s="275"/>
      <c r="J416" s="275"/>
      <c r="K416" s="275"/>
      <c r="L416" s="177"/>
      <c r="M416" s="177"/>
      <c r="N416" s="177"/>
      <c r="O416" s="177"/>
      <c r="P416" s="274"/>
      <c r="Q416" s="276"/>
      <c r="R416" s="661"/>
      <c r="S416" s="275"/>
      <c r="T416" s="277"/>
      <c r="U416" s="275"/>
      <c r="V416" s="275"/>
      <c r="W416" s="275"/>
      <c r="X416" s="662"/>
      <c r="Y416" s="662"/>
      <c r="Z416" s="663"/>
      <c r="AA416" s="663"/>
      <c r="AB416" s="664"/>
      <c r="AC416" s="342"/>
      <c r="AD416" s="342"/>
      <c r="AE416" s="342"/>
      <c r="AF416" s="342"/>
    </row>
    <row r="417" spans="1:32" s="855" customFormat="1" ht="18" customHeight="1" x14ac:dyDescent="0.2">
      <c r="A417" s="180"/>
      <c r="B417" s="180"/>
      <c r="C417" s="180"/>
      <c r="D417" s="180"/>
      <c r="E417" s="180"/>
      <c r="F417" s="180"/>
      <c r="G417" s="180"/>
      <c r="H417" s="315"/>
      <c r="I417" s="280"/>
      <c r="J417" s="280"/>
      <c r="K417" s="280"/>
      <c r="L417" s="180"/>
      <c r="M417" s="180"/>
      <c r="N417" s="180"/>
      <c r="O417" s="180"/>
      <c r="P417" s="180"/>
      <c r="Q417" s="316"/>
      <c r="R417" s="694"/>
      <c r="S417" s="280"/>
      <c r="T417" s="317"/>
      <c r="U417" s="280"/>
      <c r="V417" s="280"/>
      <c r="W417" s="280"/>
      <c r="X417" s="695"/>
      <c r="Y417" s="695"/>
      <c r="Z417" s="696"/>
      <c r="AA417" s="696"/>
      <c r="AB417" s="688"/>
      <c r="AC417" s="354"/>
      <c r="AD417" s="354"/>
      <c r="AE417" s="354"/>
      <c r="AF417" s="354"/>
    </row>
    <row r="418" spans="1:32" s="665" customFormat="1" ht="18" customHeight="1" x14ac:dyDescent="0.2">
      <c r="A418" s="1878"/>
      <c r="B418" s="1878"/>
      <c r="C418" s="1878"/>
      <c r="D418" s="1878"/>
      <c r="E418" s="1878"/>
      <c r="F418" s="1878"/>
      <c r="G418" s="1878"/>
      <c r="H418" s="1979"/>
      <c r="I418" s="1865"/>
      <c r="J418" s="1865"/>
      <c r="K418" s="1865"/>
      <c r="L418" s="1865"/>
      <c r="M418" s="1865"/>
      <c r="N418" s="1865"/>
      <c r="O418" s="1865"/>
      <c r="P418" s="1865"/>
      <c r="Q418" s="1865"/>
      <c r="R418" s="1980"/>
      <c r="S418" s="1865"/>
      <c r="T418" s="1981"/>
      <c r="U418" s="1865"/>
      <c r="V418" s="1865"/>
      <c r="W418" s="1865"/>
      <c r="X418" s="1982"/>
      <c r="Y418" s="1982"/>
      <c r="Z418" s="1983"/>
      <c r="AA418" s="1983"/>
      <c r="AB418" s="1984">
        <f>SUM(AB403:AB417)</f>
        <v>497.89600000000002</v>
      </c>
      <c r="AC418" s="1985"/>
      <c r="AD418" s="1985"/>
      <c r="AE418" s="1985"/>
      <c r="AF418" s="1985"/>
    </row>
    <row r="419" spans="1:32" s="855" customFormat="1" ht="18" customHeight="1" x14ac:dyDescent="0.2">
      <c r="A419" s="2803" t="s">
        <v>76</v>
      </c>
      <c r="B419" s="2803"/>
      <c r="C419" s="2804" t="s">
        <v>77</v>
      </c>
      <c r="D419" s="2804"/>
      <c r="E419" s="2804"/>
      <c r="F419" s="2804"/>
      <c r="G419" s="2804"/>
      <c r="H419" s="2804"/>
      <c r="I419" s="855" t="s">
        <v>78</v>
      </c>
      <c r="AB419" s="874"/>
    </row>
    <row r="420" spans="1:32" s="855" customFormat="1" ht="18" customHeight="1" x14ac:dyDescent="0.2">
      <c r="B420" s="875"/>
      <c r="I420" s="855" t="s">
        <v>79</v>
      </c>
      <c r="AB420" s="874"/>
    </row>
    <row r="421" spans="1:32" s="855" customFormat="1" ht="18" customHeight="1" x14ac:dyDescent="0.2">
      <c r="B421" s="875"/>
      <c r="I421" s="855" t="s">
        <v>80</v>
      </c>
      <c r="AB421" s="874"/>
    </row>
    <row r="422" spans="1:32" s="855" customFormat="1" ht="18" customHeight="1" x14ac:dyDescent="0.2">
      <c r="B422" s="875"/>
      <c r="I422" s="855" t="s">
        <v>81</v>
      </c>
      <c r="AB422" s="874"/>
    </row>
    <row r="423" spans="1:32" s="855" customFormat="1" ht="18" customHeight="1" x14ac:dyDescent="0.2">
      <c r="B423" s="875"/>
      <c r="I423" s="855" t="s">
        <v>88</v>
      </c>
      <c r="AB423" s="874"/>
    </row>
    <row r="424" spans="1:32" s="457" customFormat="1" ht="18" customHeight="1" x14ac:dyDescent="0.2">
      <c r="A424" s="455"/>
      <c r="B424" s="455"/>
      <c r="C424" s="455"/>
      <c r="D424" s="455"/>
      <c r="E424" s="455"/>
      <c r="F424" s="455"/>
      <c r="G424" s="455"/>
      <c r="H424" s="455"/>
      <c r="I424" s="455"/>
      <c r="J424" s="455"/>
      <c r="K424" s="455"/>
      <c r="L424" s="455"/>
      <c r="M424" s="455"/>
      <c r="N424" s="455"/>
      <c r="O424" s="455"/>
      <c r="P424" s="455"/>
      <c r="Q424" s="455"/>
      <c r="R424" s="455"/>
      <c r="S424" s="455"/>
      <c r="T424" s="455"/>
      <c r="U424" s="455"/>
      <c r="V424" s="455"/>
      <c r="W424" s="455"/>
      <c r="X424" s="455"/>
      <c r="Y424" s="455"/>
      <c r="Z424" s="455"/>
      <c r="AA424" s="2705" t="s">
        <v>0</v>
      </c>
      <c r="AB424" s="2705"/>
      <c r="AC424" s="455"/>
      <c r="AD424" s="455"/>
      <c r="AE424" s="455"/>
      <c r="AF424" s="455"/>
    </row>
    <row r="425" spans="1:32" s="457" customFormat="1" ht="18" customHeight="1" x14ac:dyDescent="0.2">
      <c r="A425" s="2706" t="s">
        <v>1</v>
      </c>
      <c r="B425" s="2706"/>
      <c r="C425" s="2706"/>
      <c r="D425" s="2706"/>
      <c r="E425" s="2706"/>
      <c r="F425" s="2706"/>
      <c r="G425" s="2706"/>
      <c r="H425" s="2706"/>
      <c r="I425" s="2706"/>
      <c r="J425" s="2706"/>
      <c r="K425" s="2706"/>
      <c r="L425" s="2706"/>
      <c r="M425" s="2706"/>
      <c r="N425" s="2706"/>
      <c r="O425" s="2706"/>
      <c r="P425" s="2706"/>
      <c r="Q425" s="2706"/>
      <c r="R425" s="2706"/>
      <c r="S425" s="2706"/>
      <c r="T425" s="2706"/>
      <c r="U425" s="2706"/>
      <c r="V425" s="2706"/>
      <c r="W425" s="2706"/>
      <c r="X425" s="2706"/>
      <c r="Y425" s="2706"/>
      <c r="Z425" s="2706"/>
      <c r="AA425" s="2706"/>
      <c r="AB425" s="2706"/>
      <c r="AC425" s="610"/>
      <c r="AD425" s="610"/>
      <c r="AE425" s="610"/>
      <c r="AF425" s="610"/>
    </row>
    <row r="426" spans="1:32" s="457" customFormat="1" ht="18" customHeight="1" x14ac:dyDescent="0.2">
      <c r="A426" s="2704" t="s">
        <v>502</v>
      </c>
      <c r="B426" s="2704"/>
      <c r="C426" s="2704"/>
      <c r="D426" s="2704"/>
      <c r="E426" s="2704"/>
      <c r="F426" s="2704"/>
      <c r="G426" s="2704"/>
      <c r="H426" s="2704"/>
      <c r="I426" s="2704"/>
      <c r="J426" s="2704"/>
      <c r="K426" s="2704"/>
      <c r="L426" s="2704"/>
      <c r="M426" s="2704"/>
      <c r="N426" s="2704"/>
      <c r="O426" s="2704"/>
      <c r="P426" s="2704"/>
      <c r="Q426" s="2704"/>
      <c r="R426" s="2704"/>
      <c r="S426" s="2704"/>
      <c r="T426" s="2704"/>
      <c r="U426" s="2704"/>
      <c r="V426" s="2704"/>
      <c r="W426" s="2704"/>
      <c r="X426" s="2704"/>
      <c r="Y426" s="2704"/>
      <c r="Z426" s="2704"/>
      <c r="AA426" s="2704"/>
      <c r="AB426" s="2704"/>
      <c r="AC426" s="611"/>
      <c r="AD426" s="611"/>
      <c r="AE426" s="611"/>
      <c r="AF426" s="611"/>
    </row>
    <row r="427" spans="1:32" s="457" customFormat="1" ht="18" customHeight="1" x14ac:dyDescent="0.2">
      <c r="A427" s="2686" t="s">
        <v>2</v>
      </c>
      <c r="B427" s="360"/>
      <c r="C427" s="2686" t="s">
        <v>3</v>
      </c>
      <c r="D427" s="360"/>
      <c r="E427" s="360"/>
      <c r="F427" s="2693" t="s">
        <v>4</v>
      </c>
      <c r="G427" s="2693"/>
      <c r="H427" s="2693"/>
      <c r="I427" s="2694"/>
      <c r="J427" s="2694"/>
      <c r="K427" s="2695"/>
      <c r="L427" s="361"/>
      <c r="M427" s="2679" t="s">
        <v>5</v>
      </c>
      <c r="N427" s="2679"/>
      <c r="O427" s="2679"/>
      <c r="P427" s="2679"/>
      <c r="Q427" s="2696"/>
      <c r="R427" s="2696"/>
      <c r="S427" s="2696"/>
      <c r="T427" s="2696"/>
      <c r="U427" s="2696"/>
      <c r="V427" s="2697"/>
      <c r="W427" s="362" t="s">
        <v>6</v>
      </c>
      <c r="X427" s="363" t="s">
        <v>7</v>
      </c>
      <c r="Y427" s="364"/>
      <c r="Z427" s="364"/>
      <c r="AA427" s="363"/>
      <c r="AB427" s="458"/>
      <c r="AC427" s="612" t="s">
        <v>8</v>
      </c>
      <c r="AD427" s="613"/>
      <c r="AE427" s="613"/>
      <c r="AF427" s="614"/>
    </row>
    <row r="428" spans="1:32" s="457" customFormat="1" ht="18" customHeight="1" x14ac:dyDescent="0.2">
      <c r="A428" s="2687"/>
      <c r="B428" s="367"/>
      <c r="C428" s="2687"/>
      <c r="D428" s="366" t="s">
        <v>9</v>
      </c>
      <c r="E428" s="366" t="s">
        <v>10</v>
      </c>
      <c r="F428" s="2698" t="s">
        <v>11</v>
      </c>
      <c r="G428" s="2694"/>
      <c r="H428" s="2695"/>
      <c r="I428" s="360"/>
      <c r="J428" s="449" t="s">
        <v>12</v>
      </c>
      <c r="K428" s="360"/>
      <c r="L428" s="2679" t="s">
        <v>2</v>
      </c>
      <c r="M428" s="370"/>
      <c r="N428" s="370"/>
      <c r="O428" s="370"/>
      <c r="P428" s="371"/>
      <c r="Q428" s="459" t="s">
        <v>13</v>
      </c>
      <c r="R428" s="370" t="s">
        <v>12</v>
      </c>
      <c r="S428" s="370" t="s">
        <v>6</v>
      </c>
      <c r="T428" s="2682" t="s">
        <v>14</v>
      </c>
      <c r="U428" s="2683"/>
      <c r="V428" s="375" t="s">
        <v>7</v>
      </c>
      <c r="W428" s="376" t="s">
        <v>15</v>
      </c>
      <c r="X428" s="377" t="s">
        <v>16</v>
      </c>
      <c r="Y428" s="377" t="s">
        <v>17</v>
      </c>
      <c r="Z428" s="377" t="s">
        <v>18</v>
      </c>
      <c r="AA428" s="377"/>
      <c r="AB428" s="460" t="s">
        <v>19</v>
      </c>
      <c r="AC428" s="615" t="s">
        <v>20</v>
      </c>
      <c r="AD428" s="616"/>
      <c r="AE428" s="617" t="s">
        <v>21</v>
      </c>
      <c r="AF428" s="618" t="s">
        <v>22</v>
      </c>
    </row>
    <row r="429" spans="1:32" s="457" customFormat="1" ht="18" customHeight="1" x14ac:dyDescent="0.2">
      <c r="A429" s="2687"/>
      <c r="B429" s="366" t="s">
        <v>23</v>
      </c>
      <c r="C429" s="2687"/>
      <c r="D429" s="366" t="s">
        <v>24</v>
      </c>
      <c r="E429" s="366" t="s">
        <v>25</v>
      </c>
      <c r="F429" s="2699"/>
      <c r="G429" s="2700"/>
      <c r="H429" s="2701"/>
      <c r="I429" s="366" t="s">
        <v>26</v>
      </c>
      <c r="J429" s="380" t="s">
        <v>15</v>
      </c>
      <c r="K429" s="380" t="s">
        <v>6</v>
      </c>
      <c r="L429" s="2680"/>
      <c r="M429" s="381" t="s">
        <v>27</v>
      </c>
      <c r="N429" s="381" t="s">
        <v>10</v>
      </c>
      <c r="O429" s="381" t="s">
        <v>10</v>
      </c>
      <c r="P429" s="385" t="s">
        <v>28</v>
      </c>
      <c r="Q429" s="461" t="s">
        <v>29</v>
      </c>
      <c r="R429" s="385" t="s">
        <v>15</v>
      </c>
      <c r="S429" s="385" t="s">
        <v>15</v>
      </c>
      <c r="T429" s="2684"/>
      <c r="U429" s="2685"/>
      <c r="V429" s="375" t="s">
        <v>30</v>
      </c>
      <c r="W429" s="376" t="s">
        <v>31</v>
      </c>
      <c r="X429" s="377" t="s">
        <v>30</v>
      </c>
      <c r="Y429" s="377" t="s">
        <v>32</v>
      </c>
      <c r="Z429" s="377" t="s">
        <v>7</v>
      </c>
      <c r="AA429" s="377" t="s">
        <v>33</v>
      </c>
      <c r="AB429" s="460" t="s">
        <v>34</v>
      </c>
      <c r="AC429" s="615" t="s">
        <v>35</v>
      </c>
      <c r="AD429" s="617" t="s">
        <v>36</v>
      </c>
      <c r="AE429" s="617" t="s">
        <v>37</v>
      </c>
      <c r="AF429" s="618" t="s">
        <v>38</v>
      </c>
    </row>
    <row r="430" spans="1:32" s="457" customFormat="1" ht="18" customHeight="1" x14ac:dyDescent="0.2">
      <c r="A430" s="2687"/>
      <c r="B430" s="366" t="s">
        <v>39</v>
      </c>
      <c r="C430" s="2687"/>
      <c r="D430" s="366" t="s">
        <v>40</v>
      </c>
      <c r="E430" s="366" t="s">
        <v>41</v>
      </c>
      <c r="F430" s="2686" t="s">
        <v>42</v>
      </c>
      <c r="G430" s="2686" t="s">
        <v>43</v>
      </c>
      <c r="H430" s="2688" t="s">
        <v>44</v>
      </c>
      <c r="I430" s="366" t="s">
        <v>45</v>
      </c>
      <c r="J430" s="380" t="s">
        <v>46</v>
      </c>
      <c r="K430" s="380" t="s">
        <v>47</v>
      </c>
      <c r="L430" s="2680"/>
      <c r="M430" s="381" t="s">
        <v>30</v>
      </c>
      <c r="N430" s="381" t="s">
        <v>30</v>
      </c>
      <c r="O430" s="381" t="s">
        <v>25</v>
      </c>
      <c r="P430" s="385" t="s">
        <v>30</v>
      </c>
      <c r="Q430" s="461" t="s">
        <v>48</v>
      </c>
      <c r="R430" s="385" t="s">
        <v>49</v>
      </c>
      <c r="S430" s="385" t="s">
        <v>30</v>
      </c>
      <c r="T430" s="374" t="s">
        <v>50</v>
      </c>
      <c r="U430" s="374" t="s">
        <v>13</v>
      </c>
      <c r="V430" s="375" t="s">
        <v>51</v>
      </c>
      <c r="W430" s="376" t="s">
        <v>52</v>
      </c>
      <c r="X430" s="377" t="s">
        <v>53</v>
      </c>
      <c r="Y430" s="377" t="s">
        <v>54</v>
      </c>
      <c r="Z430" s="377" t="s">
        <v>55</v>
      </c>
      <c r="AA430" s="377" t="s">
        <v>56</v>
      </c>
      <c r="AB430" s="460" t="s">
        <v>57</v>
      </c>
      <c r="AC430" s="617" t="s">
        <v>58</v>
      </c>
      <c r="AD430" s="617" t="s">
        <v>59</v>
      </c>
      <c r="AE430" s="617" t="s">
        <v>59</v>
      </c>
      <c r="AF430" s="618" t="s">
        <v>60</v>
      </c>
    </row>
    <row r="431" spans="1:32" s="457" customFormat="1" ht="18" customHeight="1" x14ac:dyDescent="0.2">
      <c r="A431" s="2687"/>
      <c r="B431" s="366" t="s">
        <v>61</v>
      </c>
      <c r="C431" s="2687"/>
      <c r="D431" s="366" t="s">
        <v>62</v>
      </c>
      <c r="E431" s="366" t="s">
        <v>63</v>
      </c>
      <c r="F431" s="2687"/>
      <c r="G431" s="2687"/>
      <c r="H431" s="2689"/>
      <c r="I431" s="366" t="s">
        <v>64</v>
      </c>
      <c r="J431" s="380" t="s">
        <v>59</v>
      </c>
      <c r="K431" s="380" t="s">
        <v>59</v>
      </c>
      <c r="L431" s="2680"/>
      <c r="M431" s="381"/>
      <c r="N431" s="381"/>
      <c r="O431" s="381" t="s">
        <v>41</v>
      </c>
      <c r="P431" s="385" t="s">
        <v>65</v>
      </c>
      <c r="Q431" s="461" t="s">
        <v>66</v>
      </c>
      <c r="R431" s="385" t="s">
        <v>67</v>
      </c>
      <c r="S431" s="385" t="s">
        <v>59</v>
      </c>
      <c r="T431" s="375" t="s">
        <v>68</v>
      </c>
      <c r="U431" s="375" t="s">
        <v>14</v>
      </c>
      <c r="V431" s="375" t="s">
        <v>14</v>
      </c>
      <c r="W431" s="376" t="s">
        <v>30</v>
      </c>
      <c r="X431" s="388" t="s">
        <v>69</v>
      </c>
      <c r="Y431" s="388" t="s">
        <v>70</v>
      </c>
      <c r="Z431" s="377" t="s">
        <v>71</v>
      </c>
      <c r="AA431" s="377" t="s">
        <v>72</v>
      </c>
      <c r="AB431" s="460" t="s">
        <v>59</v>
      </c>
      <c r="AC431" s="617" t="s">
        <v>59</v>
      </c>
      <c r="AD431" s="617"/>
      <c r="AE431" s="617"/>
      <c r="AF431" s="618" t="s">
        <v>59</v>
      </c>
    </row>
    <row r="432" spans="1:32" s="457" customFormat="1" ht="18" customHeight="1" x14ac:dyDescent="0.2">
      <c r="A432" s="2692"/>
      <c r="B432" s="390"/>
      <c r="C432" s="2692"/>
      <c r="D432" s="390"/>
      <c r="E432" s="389"/>
      <c r="F432" s="390"/>
      <c r="G432" s="390"/>
      <c r="H432" s="391"/>
      <c r="I432" s="389"/>
      <c r="J432" s="393"/>
      <c r="K432" s="393"/>
      <c r="L432" s="2681"/>
      <c r="M432" s="394"/>
      <c r="N432" s="394"/>
      <c r="O432" s="394" t="s">
        <v>63</v>
      </c>
      <c r="P432" s="394"/>
      <c r="Q432" s="450" t="s">
        <v>72</v>
      </c>
      <c r="R432" s="398" t="s">
        <v>59</v>
      </c>
      <c r="S432" s="398"/>
      <c r="T432" s="398" t="s">
        <v>73</v>
      </c>
      <c r="U432" s="398" t="s">
        <v>59</v>
      </c>
      <c r="V432" s="399" t="s">
        <v>59</v>
      </c>
      <c r="W432" s="400" t="s">
        <v>59</v>
      </c>
      <c r="X432" s="401" t="s">
        <v>59</v>
      </c>
      <c r="Y432" s="401" t="s">
        <v>59</v>
      </c>
      <c r="Z432" s="401" t="s">
        <v>59</v>
      </c>
      <c r="AA432" s="402"/>
      <c r="AB432" s="462"/>
      <c r="AC432" s="625"/>
      <c r="AD432" s="625"/>
      <c r="AE432" s="625"/>
      <c r="AF432" s="626"/>
    </row>
    <row r="433" spans="1:32" s="457" customFormat="1" ht="18" customHeight="1" x14ac:dyDescent="0.25">
      <c r="A433" s="16">
        <v>1</v>
      </c>
      <c r="B433" s="333">
        <v>1947</v>
      </c>
      <c r="C433" s="41">
        <v>108</v>
      </c>
      <c r="D433" s="41" t="s">
        <v>215</v>
      </c>
      <c r="E433" s="41">
        <v>2</v>
      </c>
      <c r="F433" s="41">
        <v>1</v>
      </c>
      <c r="G433" s="41">
        <v>1</v>
      </c>
      <c r="H433" s="267">
        <v>63</v>
      </c>
      <c r="I433" s="77">
        <f t="shared" ref="I433:I441" si="112">F433*400+G433*100+H433</f>
        <v>563</v>
      </c>
      <c r="J433" s="667">
        <v>2000</v>
      </c>
      <c r="K433" s="78">
        <f t="shared" ref="K433:K440" si="113">SUM(I433*J433)</f>
        <v>1126000</v>
      </c>
      <c r="L433" s="41">
        <v>1</v>
      </c>
      <c r="M433" s="82">
        <v>401</v>
      </c>
      <c r="N433" s="41" t="s">
        <v>74</v>
      </c>
      <c r="O433" s="16">
        <v>2</v>
      </c>
      <c r="P433" s="41">
        <v>491.28000000000003</v>
      </c>
      <c r="Q433" s="62" t="s">
        <v>75</v>
      </c>
      <c r="R433" s="672">
        <v>8000</v>
      </c>
      <c r="S433" s="70">
        <f t="shared" ref="S433:S439" si="114">+P433*R433</f>
        <v>3930240.0000000005</v>
      </c>
      <c r="T433" s="1501">
        <v>29</v>
      </c>
      <c r="U433" s="125">
        <f>+S433*0.48</f>
        <v>1886515.2000000002</v>
      </c>
      <c r="V433" s="70">
        <f t="shared" ref="V433" si="115">+S433-U433</f>
        <v>2043724.8000000003</v>
      </c>
      <c r="W433" s="70">
        <f t="shared" ref="W433" si="116">K433+V433</f>
        <v>3169724.8000000003</v>
      </c>
      <c r="X433" s="70">
        <f t="shared" ref="X433" si="117">W433*Q433/100</f>
        <v>3169724.8</v>
      </c>
      <c r="Y433" s="296">
        <v>0</v>
      </c>
      <c r="Z433" s="74">
        <f t="shared" ref="Z433:Z438" si="118">+X433</f>
        <v>3169724.8</v>
      </c>
      <c r="AA433" s="494">
        <v>0.02</v>
      </c>
      <c r="AB433" s="465">
        <f t="shared" ref="AB433:AB440" si="119">+Z433*AA433/100</f>
        <v>633.94496000000004</v>
      </c>
      <c r="AC433" s="602"/>
      <c r="AD433" s="603">
        <f>AB433-AC433</f>
        <v>633.94496000000004</v>
      </c>
      <c r="AE433" s="603">
        <f>IF(AD433&lt;=0,0,AD433*25/100)</f>
        <v>158.48624000000001</v>
      </c>
      <c r="AF433" s="603">
        <f>IF(AC433+AE433&gt;AB433,AB433,AC433+AE433)</f>
        <v>158.48624000000001</v>
      </c>
    </row>
    <row r="434" spans="1:32" s="457" customFormat="1" ht="18" customHeight="1" x14ac:dyDescent="0.25">
      <c r="A434" s="50"/>
      <c r="B434" s="287"/>
      <c r="C434" s="15"/>
      <c r="D434" s="15"/>
      <c r="E434" s="15"/>
      <c r="F434" s="15"/>
      <c r="G434" s="15"/>
      <c r="H434" s="284"/>
      <c r="I434" s="77">
        <f t="shared" si="112"/>
        <v>0</v>
      </c>
      <c r="J434" s="671"/>
      <c r="K434" s="78">
        <f t="shared" si="113"/>
        <v>0</v>
      </c>
      <c r="L434" s="27">
        <v>2</v>
      </c>
      <c r="M434" s="145">
        <v>103</v>
      </c>
      <c r="N434" s="15" t="s">
        <v>74</v>
      </c>
      <c r="O434" s="50">
        <v>2</v>
      </c>
      <c r="P434" s="15">
        <v>40.834199999999996</v>
      </c>
      <c r="Q434" s="62" t="s">
        <v>75</v>
      </c>
      <c r="R434" s="672">
        <v>9050</v>
      </c>
      <c r="S434" s="70">
        <f t="shared" si="114"/>
        <v>369549.50999999995</v>
      </c>
      <c r="T434" s="1501">
        <v>29</v>
      </c>
      <c r="U434" s="125">
        <f t="shared" ref="U434:U436" si="120">+S434*0.48</f>
        <v>177383.76479999998</v>
      </c>
      <c r="V434" s="70">
        <f t="shared" ref="V434:V440" si="121">+S434-U434</f>
        <v>192165.74519999998</v>
      </c>
      <c r="W434" s="70">
        <f t="shared" ref="W434:W440" si="122">K434+V434</f>
        <v>192165.74519999998</v>
      </c>
      <c r="X434" s="70">
        <f t="shared" ref="X434:X439" si="123">W434*Q434/100</f>
        <v>192165.74519999995</v>
      </c>
      <c r="Y434" s="296">
        <v>0</v>
      </c>
      <c r="Z434" s="74">
        <f t="shared" si="118"/>
        <v>192165.74519999995</v>
      </c>
      <c r="AA434" s="494">
        <v>0.02</v>
      </c>
      <c r="AB434" s="466">
        <f t="shared" si="119"/>
        <v>38.433149039999989</v>
      </c>
      <c r="AC434" s="602"/>
      <c r="AD434" s="603"/>
      <c r="AE434" s="603"/>
      <c r="AF434" s="603"/>
    </row>
    <row r="435" spans="1:32" s="457" customFormat="1" ht="18" customHeight="1" x14ac:dyDescent="0.25">
      <c r="A435" s="45"/>
      <c r="B435" s="273"/>
      <c r="C435" s="27"/>
      <c r="D435" s="27"/>
      <c r="E435" s="15"/>
      <c r="F435" s="27"/>
      <c r="G435" s="27"/>
      <c r="H435" s="557"/>
      <c r="I435" s="77">
        <f t="shared" si="112"/>
        <v>0</v>
      </c>
      <c r="J435" s="671"/>
      <c r="K435" s="78">
        <f t="shared" si="113"/>
        <v>0</v>
      </c>
      <c r="L435" s="50">
        <v>3</v>
      </c>
      <c r="M435" s="88">
        <v>103</v>
      </c>
      <c r="N435" s="27" t="s">
        <v>74</v>
      </c>
      <c r="O435" s="45">
        <v>2</v>
      </c>
      <c r="P435" s="27">
        <v>54.42</v>
      </c>
      <c r="Q435" s="62" t="s">
        <v>75</v>
      </c>
      <c r="R435" s="672">
        <v>9050</v>
      </c>
      <c r="S435" s="70">
        <f t="shared" si="114"/>
        <v>492501</v>
      </c>
      <c r="T435" s="1501">
        <v>29</v>
      </c>
      <c r="U435" s="125">
        <f t="shared" si="120"/>
        <v>236400.47999999998</v>
      </c>
      <c r="V435" s="70">
        <f t="shared" si="121"/>
        <v>256100.52000000002</v>
      </c>
      <c r="W435" s="70">
        <f t="shared" si="122"/>
        <v>256100.52000000002</v>
      </c>
      <c r="X435" s="70">
        <f t="shared" si="123"/>
        <v>256100.52</v>
      </c>
      <c r="Y435" s="296">
        <v>0</v>
      </c>
      <c r="Z435" s="74">
        <f t="shared" si="118"/>
        <v>256100.52</v>
      </c>
      <c r="AA435" s="494">
        <v>0.02</v>
      </c>
      <c r="AB435" s="466">
        <f t="shared" si="119"/>
        <v>51.220103999999999</v>
      </c>
      <c r="AC435" s="350"/>
      <c r="AD435" s="350"/>
      <c r="AE435" s="350"/>
      <c r="AF435" s="350"/>
    </row>
    <row r="436" spans="1:32" s="457" customFormat="1" ht="18" customHeight="1" x14ac:dyDescent="0.25">
      <c r="A436" s="45"/>
      <c r="B436" s="269"/>
      <c r="C436" s="62"/>
      <c r="D436" s="27"/>
      <c r="E436" s="27"/>
      <c r="F436" s="291"/>
      <c r="G436" s="45"/>
      <c r="H436" s="257"/>
      <c r="I436" s="77">
        <f t="shared" si="112"/>
        <v>0</v>
      </c>
      <c r="J436" s="759"/>
      <c r="K436" s="78">
        <f t="shared" si="113"/>
        <v>0</v>
      </c>
      <c r="L436" s="45">
        <v>4</v>
      </c>
      <c r="M436" s="88">
        <v>103</v>
      </c>
      <c r="N436" s="27" t="s">
        <v>74</v>
      </c>
      <c r="O436" s="45">
        <v>2</v>
      </c>
      <c r="P436" s="27">
        <v>54.42</v>
      </c>
      <c r="Q436" s="62" t="s">
        <v>75</v>
      </c>
      <c r="R436" s="672">
        <v>9050</v>
      </c>
      <c r="S436" s="70">
        <f t="shared" si="114"/>
        <v>492501</v>
      </c>
      <c r="T436" s="1501">
        <v>29</v>
      </c>
      <c r="U436" s="125">
        <f t="shared" si="120"/>
        <v>236400.47999999998</v>
      </c>
      <c r="V436" s="70">
        <f t="shared" si="121"/>
        <v>256100.52000000002</v>
      </c>
      <c r="W436" s="70">
        <f t="shared" si="122"/>
        <v>256100.52000000002</v>
      </c>
      <c r="X436" s="70">
        <f t="shared" si="123"/>
        <v>256100.52</v>
      </c>
      <c r="Y436" s="296">
        <v>0</v>
      </c>
      <c r="Z436" s="74">
        <f t="shared" si="118"/>
        <v>256100.52</v>
      </c>
      <c r="AA436" s="494">
        <v>0.02</v>
      </c>
      <c r="AB436" s="466">
        <f t="shared" si="119"/>
        <v>51.220103999999999</v>
      </c>
      <c r="AC436" s="350"/>
      <c r="AD436" s="350"/>
      <c r="AE436" s="350"/>
      <c r="AF436" s="350"/>
    </row>
    <row r="437" spans="1:32" s="457" customFormat="1" ht="18" customHeight="1" x14ac:dyDescent="0.25">
      <c r="A437" s="45"/>
      <c r="B437" s="269"/>
      <c r="C437" s="62"/>
      <c r="D437" s="27"/>
      <c r="E437" s="27"/>
      <c r="F437" s="291"/>
      <c r="G437" s="45"/>
      <c r="H437" s="257"/>
      <c r="I437" s="77">
        <f t="shared" si="112"/>
        <v>0</v>
      </c>
      <c r="J437" s="759"/>
      <c r="K437" s="78">
        <f t="shared" si="113"/>
        <v>0</v>
      </c>
      <c r="L437" s="45">
        <v>5</v>
      </c>
      <c r="M437" s="145">
        <v>103</v>
      </c>
      <c r="N437" s="15" t="s">
        <v>74</v>
      </c>
      <c r="O437" s="50">
        <v>2</v>
      </c>
      <c r="P437" s="15">
        <v>67.199999999999989</v>
      </c>
      <c r="Q437" s="62" t="s">
        <v>75</v>
      </c>
      <c r="R437" s="672">
        <v>9050</v>
      </c>
      <c r="S437" s="70">
        <f t="shared" si="114"/>
        <v>608159.99999999988</v>
      </c>
      <c r="T437" s="1501">
        <v>17</v>
      </c>
      <c r="U437" s="125">
        <f>+S437*0.24</f>
        <v>145958.39999999997</v>
      </c>
      <c r="V437" s="70">
        <f t="shared" si="121"/>
        <v>462201.59999999992</v>
      </c>
      <c r="W437" s="70">
        <f t="shared" si="122"/>
        <v>462201.59999999992</v>
      </c>
      <c r="X437" s="70">
        <f t="shared" si="123"/>
        <v>462201.59999999992</v>
      </c>
      <c r="Y437" s="296">
        <v>0</v>
      </c>
      <c r="Z437" s="74">
        <f t="shared" si="118"/>
        <v>462201.59999999992</v>
      </c>
      <c r="AA437" s="494">
        <v>0.02</v>
      </c>
      <c r="AB437" s="410">
        <f t="shared" si="119"/>
        <v>92.440319999999986</v>
      </c>
      <c r="AC437" s="350"/>
      <c r="AD437" s="350"/>
      <c r="AE437" s="350"/>
      <c r="AF437" s="350"/>
    </row>
    <row r="438" spans="1:32" s="457" customFormat="1" ht="18" customHeight="1" x14ac:dyDescent="0.25">
      <c r="A438" s="45"/>
      <c r="B438" s="269"/>
      <c r="C438" s="62"/>
      <c r="D438" s="27"/>
      <c r="E438" s="27"/>
      <c r="F438" s="291"/>
      <c r="G438" s="45"/>
      <c r="H438" s="257"/>
      <c r="I438" s="77">
        <f t="shared" si="112"/>
        <v>0</v>
      </c>
      <c r="J438" s="759"/>
      <c r="K438" s="78">
        <f t="shared" si="113"/>
        <v>0</v>
      </c>
      <c r="L438" s="45">
        <v>6</v>
      </c>
      <c r="M438" s="145">
        <v>103</v>
      </c>
      <c r="N438" s="15" t="s">
        <v>74</v>
      </c>
      <c r="O438" s="50">
        <v>2</v>
      </c>
      <c r="P438" s="15">
        <v>103.33500000000001</v>
      </c>
      <c r="Q438" s="62" t="s">
        <v>75</v>
      </c>
      <c r="R438" s="672">
        <v>9050</v>
      </c>
      <c r="S438" s="70">
        <f t="shared" si="114"/>
        <v>935181.75000000012</v>
      </c>
      <c r="T438" s="1501">
        <v>17</v>
      </c>
      <c r="U438" s="125">
        <f>+S438*0.24</f>
        <v>224443.62000000002</v>
      </c>
      <c r="V438" s="70">
        <f t="shared" si="121"/>
        <v>710738.13000000012</v>
      </c>
      <c r="W438" s="70">
        <f t="shared" si="122"/>
        <v>710738.13000000012</v>
      </c>
      <c r="X438" s="70">
        <f t="shared" si="123"/>
        <v>710738.13000000012</v>
      </c>
      <c r="Y438" s="296"/>
      <c r="Z438" s="74">
        <f t="shared" si="118"/>
        <v>710738.13000000012</v>
      </c>
      <c r="AA438" s="494">
        <v>0.02</v>
      </c>
      <c r="AB438" s="466">
        <f t="shared" si="119"/>
        <v>142.14762600000003</v>
      </c>
      <c r="AC438" s="350"/>
      <c r="AD438" s="350"/>
      <c r="AE438" s="350"/>
      <c r="AF438" s="350"/>
    </row>
    <row r="439" spans="1:32" s="457" customFormat="1" ht="18" customHeight="1" x14ac:dyDescent="0.25">
      <c r="A439" s="45">
        <v>2</v>
      </c>
      <c r="B439" s="269">
        <v>9628</v>
      </c>
      <c r="C439" s="62" t="s">
        <v>178</v>
      </c>
      <c r="D439" s="27" t="s">
        <v>215</v>
      </c>
      <c r="E439" s="27">
        <v>2</v>
      </c>
      <c r="F439" s="291">
        <v>0</v>
      </c>
      <c r="G439" s="45">
        <v>2</v>
      </c>
      <c r="H439" s="257">
        <v>0</v>
      </c>
      <c r="I439" s="77">
        <f t="shared" si="112"/>
        <v>200</v>
      </c>
      <c r="J439" s="671">
        <v>2300</v>
      </c>
      <c r="K439" s="78">
        <f t="shared" si="113"/>
        <v>460000</v>
      </c>
      <c r="L439" s="27">
        <v>1</v>
      </c>
      <c r="M439" s="145">
        <v>106</v>
      </c>
      <c r="N439" s="15" t="s">
        <v>96</v>
      </c>
      <c r="O439" s="50">
        <v>2</v>
      </c>
      <c r="P439" s="15">
        <v>90.28</v>
      </c>
      <c r="Q439" s="62" t="s">
        <v>75</v>
      </c>
      <c r="R439" s="672">
        <v>7950</v>
      </c>
      <c r="S439" s="70">
        <f t="shared" si="114"/>
        <v>717726</v>
      </c>
      <c r="T439" s="1501">
        <v>44</v>
      </c>
      <c r="U439" s="125">
        <f>+S439*0.85</f>
        <v>610067.1</v>
      </c>
      <c r="V439" s="70">
        <f t="shared" si="121"/>
        <v>107658.90000000002</v>
      </c>
      <c r="W439" s="70">
        <f t="shared" si="122"/>
        <v>567658.9</v>
      </c>
      <c r="X439" s="70">
        <f t="shared" si="123"/>
        <v>567658.9</v>
      </c>
      <c r="Y439" s="296" t="s">
        <v>87</v>
      </c>
      <c r="Z439" s="296">
        <v>0</v>
      </c>
      <c r="AA439" s="494">
        <v>0.02</v>
      </c>
      <c r="AB439" s="466">
        <f t="shared" si="119"/>
        <v>0</v>
      </c>
      <c r="AC439" s="350"/>
      <c r="AD439" s="350"/>
      <c r="AE439" s="350"/>
      <c r="AF439" s="350"/>
    </row>
    <row r="440" spans="1:32" s="457" customFormat="1" ht="18" customHeight="1" x14ac:dyDescent="0.25">
      <c r="A440" s="45">
        <v>3</v>
      </c>
      <c r="B440" s="269">
        <v>54533</v>
      </c>
      <c r="C440" s="62" t="s">
        <v>231</v>
      </c>
      <c r="D440" s="27" t="s">
        <v>215</v>
      </c>
      <c r="E440" s="27">
        <v>2</v>
      </c>
      <c r="F440" s="291">
        <v>0</v>
      </c>
      <c r="G440" s="45">
        <v>0</v>
      </c>
      <c r="H440" s="257">
        <v>46</v>
      </c>
      <c r="I440" s="77">
        <f t="shared" si="112"/>
        <v>46</v>
      </c>
      <c r="J440" s="671">
        <v>2300</v>
      </c>
      <c r="K440" s="78">
        <f t="shared" si="113"/>
        <v>105800</v>
      </c>
      <c r="L440" s="50"/>
      <c r="M440" s="145"/>
      <c r="N440" s="15"/>
      <c r="O440" s="50"/>
      <c r="P440" s="15"/>
      <c r="Q440" s="62"/>
      <c r="R440" s="672"/>
      <c r="S440" s="296"/>
      <c r="T440" s="1501"/>
      <c r="U440" s="125">
        <f t="shared" ref="U440" si="124">+S440*0.2</f>
        <v>0</v>
      </c>
      <c r="V440" s="70">
        <f t="shared" si="121"/>
        <v>0</v>
      </c>
      <c r="W440" s="70">
        <f t="shared" si="122"/>
        <v>105800</v>
      </c>
      <c r="X440" s="70">
        <f>W440</f>
        <v>105800</v>
      </c>
      <c r="Y440" s="296" t="s">
        <v>87</v>
      </c>
      <c r="Z440" s="296">
        <v>0</v>
      </c>
      <c r="AA440" s="494">
        <v>0.02</v>
      </c>
      <c r="AB440" s="410">
        <f t="shared" si="119"/>
        <v>0</v>
      </c>
      <c r="AC440" s="350"/>
      <c r="AD440" s="350"/>
      <c r="AE440" s="350"/>
      <c r="AF440" s="350"/>
    </row>
    <row r="441" spans="1:32" s="457" customFormat="1" ht="18" customHeight="1" x14ac:dyDescent="0.2">
      <c r="A441" s="75"/>
      <c r="B441" s="242"/>
      <c r="C441" s="174"/>
      <c r="D441" s="88"/>
      <c r="E441" s="88"/>
      <c r="F441" s="418"/>
      <c r="G441" s="75"/>
      <c r="H441" s="188"/>
      <c r="I441" s="77">
        <f t="shared" si="112"/>
        <v>0</v>
      </c>
      <c r="J441" s="280"/>
      <c r="K441" s="190"/>
      <c r="L441" s="75"/>
      <c r="M441" s="145"/>
      <c r="N441" s="145"/>
      <c r="O441" s="61"/>
      <c r="P441" s="188"/>
      <c r="Q441" s="174"/>
      <c r="R441" s="408"/>
      <c r="S441" s="77"/>
      <c r="T441" s="135"/>
      <c r="U441" s="74"/>
      <c r="V441" s="74"/>
      <c r="W441" s="77"/>
      <c r="X441" s="74"/>
      <c r="Y441" s="77"/>
      <c r="Z441" s="77"/>
      <c r="AA441" s="409"/>
      <c r="AB441" s="466"/>
      <c r="AC441" s="350"/>
      <c r="AD441" s="350"/>
      <c r="AE441" s="350"/>
      <c r="AF441" s="350"/>
    </row>
    <row r="442" spans="1:32" s="457" customFormat="1" ht="18" customHeight="1" x14ac:dyDescent="0.2">
      <c r="A442" s="145"/>
      <c r="B442" s="177"/>
      <c r="C442" s="177"/>
      <c r="D442" s="145"/>
      <c r="E442" s="145"/>
      <c r="F442" s="145"/>
      <c r="G442" s="145"/>
      <c r="H442" s="147"/>
      <c r="I442" s="107"/>
      <c r="J442" s="178"/>
      <c r="K442" s="107"/>
      <c r="L442" s="145"/>
      <c r="M442" s="145"/>
      <c r="N442" s="145"/>
      <c r="O442" s="145"/>
      <c r="P442" s="147"/>
      <c r="Q442" s="148"/>
      <c r="R442" s="437"/>
      <c r="S442" s="107"/>
      <c r="T442" s="179"/>
      <c r="U442" s="178"/>
      <c r="V442" s="107"/>
      <c r="W442" s="107"/>
      <c r="X442" s="470"/>
      <c r="Y442" s="470"/>
      <c r="Z442" s="471"/>
      <c r="AA442" s="471"/>
      <c r="AB442" s="466"/>
      <c r="AC442" s="350"/>
      <c r="AD442" s="350"/>
      <c r="AE442" s="350"/>
      <c r="AF442" s="350"/>
    </row>
    <row r="443" spans="1:32" s="457" customFormat="1" ht="18" customHeight="1" x14ac:dyDescent="0.2">
      <c r="A443" s="145"/>
      <c r="B443" s="177"/>
      <c r="C443" s="177"/>
      <c r="D443" s="145"/>
      <c r="E443" s="145"/>
      <c r="F443" s="145"/>
      <c r="G443" s="145"/>
      <c r="H443" s="147"/>
      <c r="I443" s="107"/>
      <c r="J443" s="178"/>
      <c r="K443" s="107"/>
      <c r="L443" s="145"/>
      <c r="M443" s="145"/>
      <c r="N443" s="145"/>
      <c r="O443" s="145"/>
      <c r="P443" s="147"/>
      <c r="Q443" s="148"/>
      <c r="R443" s="437"/>
      <c r="S443" s="107"/>
      <c r="T443" s="179"/>
      <c r="U443" s="178"/>
      <c r="V443" s="107"/>
      <c r="W443" s="107"/>
      <c r="X443" s="470"/>
      <c r="Y443" s="470"/>
      <c r="Z443" s="471"/>
      <c r="AA443" s="471"/>
      <c r="AB443" s="466"/>
      <c r="AC443" s="350"/>
      <c r="AD443" s="350"/>
      <c r="AE443" s="350"/>
      <c r="AF443" s="350"/>
    </row>
    <row r="444" spans="1:32" s="457" customFormat="1" ht="18" customHeight="1" x14ac:dyDescent="0.2">
      <c r="A444" s="145"/>
      <c r="B444" s="177"/>
      <c r="C444" s="177"/>
      <c r="D444" s="145"/>
      <c r="E444" s="145"/>
      <c r="F444" s="145"/>
      <c r="G444" s="145"/>
      <c r="H444" s="147"/>
      <c r="I444" s="107"/>
      <c r="J444" s="178"/>
      <c r="K444" s="107"/>
      <c r="L444" s="145"/>
      <c r="M444" s="145"/>
      <c r="N444" s="145"/>
      <c r="O444" s="145"/>
      <c r="P444" s="147"/>
      <c r="Q444" s="148"/>
      <c r="R444" s="437"/>
      <c r="S444" s="107"/>
      <c r="T444" s="179"/>
      <c r="U444" s="178"/>
      <c r="V444" s="107"/>
      <c r="W444" s="107"/>
      <c r="X444" s="470"/>
      <c r="Y444" s="470"/>
      <c r="Z444" s="471"/>
      <c r="AA444" s="471"/>
      <c r="AB444" s="466"/>
      <c r="AC444" s="350"/>
      <c r="AD444" s="350"/>
      <c r="AE444" s="350"/>
      <c r="AF444" s="350"/>
    </row>
    <row r="445" spans="1:32" s="457" customFormat="1" ht="18" customHeight="1" x14ac:dyDescent="0.2">
      <c r="A445" s="145"/>
      <c r="B445" s="177"/>
      <c r="C445" s="177"/>
      <c r="D445" s="145"/>
      <c r="E445" s="145"/>
      <c r="F445" s="145"/>
      <c r="G445" s="145"/>
      <c r="H445" s="147"/>
      <c r="I445" s="107"/>
      <c r="J445" s="178"/>
      <c r="K445" s="107"/>
      <c r="L445" s="145"/>
      <c r="M445" s="145"/>
      <c r="N445" s="145"/>
      <c r="O445" s="145"/>
      <c r="P445" s="147"/>
      <c r="Q445" s="148"/>
      <c r="R445" s="437"/>
      <c r="S445" s="107"/>
      <c r="T445" s="179"/>
      <c r="U445" s="178"/>
      <c r="V445" s="107"/>
      <c r="W445" s="107"/>
      <c r="X445" s="470"/>
      <c r="Y445" s="470"/>
      <c r="Z445" s="471"/>
      <c r="AA445" s="471"/>
      <c r="AB445" s="466"/>
      <c r="AC445" s="350"/>
      <c r="AD445" s="350"/>
      <c r="AE445" s="350"/>
      <c r="AF445" s="350"/>
    </row>
    <row r="446" spans="1:32" s="457" customFormat="1" ht="18" customHeight="1" x14ac:dyDescent="0.2">
      <c r="A446" s="145"/>
      <c r="B446" s="177"/>
      <c r="C446" s="177"/>
      <c r="D446" s="145"/>
      <c r="E446" s="145"/>
      <c r="F446" s="145"/>
      <c r="G446" s="145"/>
      <c r="H446" s="147"/>
      <c r="I446" s="107"/>
      <c r="J446" s="178"/>
      <c r="K446" s="107"/>
      <c r="L446" s="145"/>
      <c r="M446" s="145"/>
      <c r="N446" s="145"/>
      <c r="O446" s="145"/>
      <c r="P446" s="147"/>
      <c r="Q446" s="148"/>
      <c r="R446" s="437"/>
      <c r="S446" s="107"/>
      <c r="T446" s="179"/>
      <c r="U446" s="178"/>
      <c r="V446" s="107"/>
      <c r="W446" s="107"/>
      <c r="X446" s="470"/>
      <c r="Y446" s="470"/>
      <c r="Z446" s="471"/>
      <c r="AA446" s="471"/>
      <c r="AB446" s="466"/>
      <c r="AC446" s="350"/>
      <c r="AD446" s="350"/>
      <c r="AE446" s="350"/>
      <c r="AF446" s="350"/>
    </row>
    <row r="447" spans="1:32" s="457" customFormat="1" ht="18" customHeight="1" x14ac:dyDescent="0.2">
      <c r="A447" s="88"/>
      <c r="B447" s="180"/>
      <c r="C447" s="180"/>
      <c r="D447" s="88"/>
      <c r="E447" s="88"/>
      <c r="F447" s="88"/>
      <c r="G447" s="88"/>
      <c r="H447" s="120"/>
      <c r="I447" s="121"/>
      <c r="J447" s="181"/>
      <c r="K447" s="121"/>
      <c r="L447" s="88"/>
      <c r="M447" s="88"/>
      <c r="N447" s="88"/>
      <c r="O447" s="88"/>
      <c r="P447" s="88"/>
      <c r="Q447" s="129"/>
      <c r="R447" s="445"/>
      <c r="S447" s="121"/>
      <c r="T447" s="182"/>
      <c r="U447" s="181"/>
      <c r="V447" s="121"/>
      <c r="W447" s="121"/>
      <c r="X447" s="472"/>
      <c r="Y447" s="472"/>
      <c r="Z447" s="473"/>
      <c r="AA447" s="473"/>
      <c r="AB447" s="410"/>
      <c r="AC447" s="351"/>
      <c r="AD447" s="351"/>
      <c r="AE447" s="351"/>
      <c r="AF447" s="351"/>
    </row>
    <row r="448" spans="1:32" s="597" customFormat="1" ht="18" customHeight="1" x14ac:dyDescent="0.2">
      <c r="A448" s="1850"/>
      <c r="B448" s="1850"/>
      <c r="C448" s="1850"/>
      <c r="D448" s="1850"/>
      <c r="E448" s="1850"/>
      <c r="F448" s="1850"/>
      <c r="G448" s="1850"/>
      <c r="H448" s="1851"/>
      <c r="I448" s="1852"/>
      <c r="J448" s="1853"/>
      <c r="K448" s="1852"/>
      <c r="L448" s="1852"/>
      <c r="M448" s="1852"/>
      <c r="N448" s="1852"/>
      <c r="O448" s="1852"/>
      <c r="P448" s="1852"/>
      <c r="Q448" s="1852"/>
      <c r="R448" s="1854"/>
      <c r="S448" s="1852"/>
      <c r="T448" s="1855"/>
      <c r="U448" s="1853"/>
      <c r="V448" s="1852"/>
      <c r="W448" s="1852"/>
      <c r="X448" s="1856"/>
      <c r="Y448" s="1856"/>
      <c r="Z448" s="1857"/>
      <c r="AA448" s="1857"/>
      <c r="AB448" s="1847">
        <f>SUM(AB433:AB447)</f>
        <v>1009.40626304</v>
      </c>
      <c r="AC448" s="1861"/>
      <c r="AD448" s="1861"/>
      <c r="AE448" s="1861"/>
      <c r="AF448" s="1861"/>
    </row>
    <row r="449" spans="1:32" s="457" customFormat="1" ht="18" customHeight="1" x14ac:dyDescent="0.2">
      <c r="A449" s="2737" t="s">
        <v>76</v>
      </c>
      <c r="B449" s="2737"/>
      <c r="C449" s="2738" t="s">
        <v>77</v>
      </c>
      <c r="D449" s="2738"/>
      <c r="E449" s="2738"/>
      <c r="F449" s="2738"/>
      <c r="G449" s="2738"/>
      <c r="H449" s="2738"/>
      <c r="I449" s="457" t="s">
        <v>78</v>
      </c>
      <c r="AB449" s="478"/>
    </row>
    <row r="450" spans="1:32" s="457" customFormat="1" ht="18" customHeight="1" x14ac:dyDescent="0.2">
      <c r="B450" s="479"/>
      <c r="I450" s="457" t="s">
        <v>79</v>
      </c>
      <c r="AB450" s="478"/>
    </row>
    <row r="451" spans="1:32" s="457" customFormat="1" ht="18" customHeight="1" x14ac:dyDescent="0.2">
      <c r="B451" s="479"/>
      <c r="I451" s="457" t="s">
        <v>80</v>
      </c>
      <c r="AB451" s="478"/>
    </row>
    <row r="452" spans="1:32" s="457" customFormat="1" ht="18" customHeight="1" x14ac:dyDescent="0.2">
      <c r="B452" s="479"/>
      <c r="I452" s="457" t="s">
        <v>81</v>
      </c>
      <c r="AB452" s="478"/>
    </row>
    <row r="453" spans="1:32" s="457" customFormat="1" ht="18" customHeight="1" x14ac:dyDescent="0.2">
      <c r="B453" s="479"/>
      <c r="I453" s="457" t="s">
        <v>88</v>
      </c>
      <c r="AB453" s="478"/>
    </row>
    <row r="454" spans="1:32" s="457" customFormat="1" ht="18" customHeight="1" x14ac:dyDescent="0.2">
      <c r="A454" s="610"/>
      <c r="B454" s="610"/>
      <c r="C454" s="610"/>
      <c r="D454" s="610"/>
      <c r="E454" s="610"/>
      <c r="F454" s="610"/>
      <c r="G454" s="610"/>
      <c r="H454" s="610"/>
      <c r="I454" s="610"/>
      <c r="J454" s="610"/>
      <c r="K454" s="610"/>
      <c r="L454" s="610"/>
      <c r="M454" s="610"/>
      <c r="N454" s="610"/>
      <c r="O454" s="610"/>
      <c r="P454" s="610"/>
      <c r="Q454" s="610"/>
      <c r="R454" s="610"/>
      <c r="S454" s="610"/>
      <c r="T454" s="610"/>
      <c r="U454" s="610"/>
      <c r="V454" s="610"/>
      <c r="W454" s="610"/>
      <c r="X454" s="610"/>
      <c r="Y454" s="610"/>
      <c r="Z454" s="610"/>
      <c r="AA454" s="2706" t="s">
        <v>0</v>
      </c>
      <c r="AB454" s="2706"/>
      <c r="AC454" s="455"/>
      <c r="AD454" s="455"/>
      <c r="AE454" s="455"/>
      <c r="AF454" s="455"/>
    </row>
    <row r="455" spans="1:32" s="457" customFormat="1" ht="18" customHeight="1" x14ac:dyDescent="0.2">
      <c r="A455" s="2706" t="s">
        <v>1</v>
      </c>
      <c r="B455" s="2706"/>
      <c r="C455" s="2706"/>
      <c r="D455" s="2706"/>
      <c r="E455" s="2706"/>
      <c r="F455" s="2706"/>
      <c r="G455" s="2706"/>
      <c r="H455" s="2706"/>
      <c r="I455" s="2706"/>
      <c r="J455" s="2706"/>
      <c r="K455" s="2706"/>
      <c r="L455" s="2706"/>
      <c r="M455" s="2706"/>
      <c r="N455" s="2706"/>
      <c r="O455" s="2706"/>
      <c r="P455" s="2706"/>
      <c r="Q455" s="2706"/>
      <c r="R455" s="2706"/>
      <c r="S455" s="2706"/>
      <c r="T455" s="2706"/>
      <c r="U455" s="2706"/>
      <c r="V455" s="2706"/>
      <c r="W455" s="2706"/>
      <c r="X455" s="2706"/>
      <c r="Y455" s="2706"/>
      <c r="Z455" s="2706"/>
      <c r="AA455" s="2706"/>
      <c r="AB455" s="2706"/>
      <c r="AC455" s="610"/>
      <c r="AD455" s="610"/>
      <c r="AE455" s="610"/>
      <c r="AF455" s="610"/>
    </row>
    <row r="456" spans="1:32" s="457" customFormat="1" ht="18" customHeight="1" x14ac:dyDescent="0.2">
      <c r="A456" s="2704" t="s">
        <v>349</v>
      </c>
      <c r="B456" s="2704"/>
      <c r="C456" s="2704"/>
      <c r="D456" s="2704"/>
      <c r="E456" s="2704"/>
      <c r="F456" s="2704"/>
      <c r="G456" s="2704"/>
      <c r="H456" s="2704"/>
      <c r="I456" s="2704"/>
      <c r="J456" s="2704"/>
      <c r="K456" s="2704"/>
      <c r="L456" s="2704"/>
      <c r="M456" s="2704"/>
      <c r="N456" s="2704"/>
      <c r="O456" s="2704"/>
      <c r="P456" s="2704"/>
      <c r="Q456" s="2704"/>
      <c r="R456" s="2704"/>
      <c r="S456" s="2704"/>
      <c r="T456" s="2704"/>
      <c r="U456" s="2704"/>
      <c r="V456" s="2704"/>
      <c r="W456" s="2704"/>
      <c r="X456" s="2704"/>
      <c r="Y456" s="2704"/>
      <c r="Z456" s="2704"/>
      <c r="AA456" s="2704"/>
      <c r="AB456" s="2704"/>
      <c r="AC456" s="611"/>
      <c r="AD456" s="611"/>
      <c r="AE456" s="611"/>
      <c r="AF456" s="611"/>
    </row>
    <row r="457" spans="1:32" s="457" customFormat="1" ht="18" customHeight="1" x14ac:dyDescent="0.2">
      <c r="A457" s="2686" t="s">
        <v>2</v>
      </c>
      <c r="B457" s="360"/>
      <c r="C457" s="2686" t="s">
        <v>3</v>
      </c>
      <c r="D457" s="360"/>
      <c r="E457" s="360"/>
      <c r="F457" s="2693" t="s">
        <v>4</v>
      </c>
      <c r="G457" s="2693"/>
      <c r="H457" s="2693"/>
      <c r="I457" s="2694"/>
      <c r="J457" s="2694"/>
      <c r="K457" s="2695"/>
      <c r="L457" s="361"/>
      <c r="M457" s="2679" t="s">
        <v>5</v>
      </c>
      <c r="N457" s="2679"/>
      <c r="O457" s="2679"/>
      <c r="P457" s="2679"/>
      <c r="Q457" s="2696"/>
      <c r="R457" s="2696"/>
      <c r="S457" s="2696"/>
      <c r="T457" s="2696"/>
      <c r="U457" s="2696"/>
      <c r="V457" s="2697"/>
      <c r="W457" s="362" t="s">
        <v>6</v>
      </c>
      <c r="X457" s="363" t="s">
        <v>7</v>
      </c>
      <c r="Y457" s="364"/>
      <c r="Z457" s="364"/>
      <c r="AA457" s="363"/>
      <c r="AB457" s="458"/>
      <c r="AC457" s="612" t="s">
        <v>8</v>
      </c>
      <c r="AD457" s="613"/>
      <c r="AE457" s="613"/>
      <c r="AF457" s="614"/>
    </row>
    <row r="458" spans="1:32" s="457" customFormat="1" ht="18" customHeight="1" x14ac:dyDescent="0.2">
      <c r="A458" s="2687"/>
      <c r="B458" s="367"/>
      <c r="C458" s="2687"/>
      <c r="D458" s="366" t="s">
        <v>9</v>
      </c>
      <c r="E458" s="366" t="s">
        <v>10</v>
      </c>
      <c r="F458" s="2698" t="s">
        <v>11</v>
      </c>
      <c r="G458" s="2694"/>
      <c r="H458" s="2695"/>
      <c r="I458" s="360"/>
      <c r="J458" s="449" t="s">
        <v>12</v>
      </c>
      <c r="K458" s="360"/>
      <c r="L458" s="2679" t="s">
        <v>2</v>
      </c>
      <c r="M458" s="370"/>
      <c r="N458" s="370"/>
      <c r="O458" s="370"/>
      <c r="P458" s="371"/>
      <c r="Q458" s="459" t="s">
        <v>13</v>
      </c>
      <c r="R458" s="370" t="s">
        <v>12</v>
      </c>
      <c r="S458" s="370" t="s">
        <v>6</v>
      </c>
      <c r="T458" s="2682" t="s">
        <v>14</v>
      </c>
      <c r="U458" s="2683"/>
      <c r="V458" s="375" t="s">
        <v>7</v>
      </c>
      <c r="W458" s="376" t="s">
        <v>15</v>
      </c>
      <c r="X458" s="377" t="s">
        <v>16</v>
      </c>
      <c r="Y458" s="377" t="s">
        <v>17</v>
      </c>
      <c r="Z458" s="377" t="s">
        <v>18</v>
      </c>
      <c r="AA458" s="377"/>
      <c r="AB458" s="460" t="s">
        <v>19</v>
      </c>
      <c r="AC458" s="615" t="s">
        <v>20</v>
      </c>
      <c r="AD458" s="616"/>
      <c r="AE458" s="617" t="s">
        <v>21</v>
      </c>
      <c r="AF458" s="618" t="s">
        <v>22</v>
      </c>
    </row>
    <row r="459" spans="1:32" s="457" customFormat="1" ht="18" customHeight="1" x14ac:dyDescent="0.2">
      <c r="A459" s="2687"/>
      <c r="B459" s="366" t="s">
        <v>23</v>
      </c>
      <c r="C459" s="2687"/>
      <c r="D459" s="366" t="s">
        <v>24</v>
      </c>
      <c r="E459" s="366" t="s">
        <v>25</v>
      </c>
      <c r="F459" s="2699"/>
      <c r="G459" s="2700"/>
      <c r="H459" s="2701"/>
      <c r="I459" s="366" t="s">
        <v>26</v>
      </c>
      <c r="J459" s="380" t="s">
        <v>15</v>
      </c>
      <c r="K459" s="380" t="s">
        <v>6</v>
      </c>
      <c r="L459" s="2680"/>
      <c r="M459" s="381" t="s">
        <v>27</v>
      </c>
      <c r="N459" s="381" t="s">
        <v>10</v>
      </c>
      <c r="O459" s="381" t="s">
        <v>10</v>
      </c>
      <c r="P459" s="385" t="s">
        <v>28</v>
      </c>
      <c r="Q459" s="461" t="s">
        <v>29</v>
      </c>
      <c r="R459" s="385" t="s">
        <v>15</v>
      </c>
      <c r="S459" s="385" t="s">
        <v>15</v>
      </c>
      <c r="T459" s="2684"/>
      <c r="U459" s="2685"/>
      <c r="V459" s="375" t="s">
        <v>30</v>
      </c>
      <c r="W459" s="376" t="s">
        <v>31</v>
      </c>
      <c r="X459" s="377" t="s">
        <v>30</v>
      </c>
      <c r="Y459" s="377" t="s">
        <v>32</v>
      </c>
      <c r="Z459" s="377" t="s">
        <v>7</v>
      </c>
      <c r="AA459" s="377" t="s">
        <v>33</v>
      </c>
      <c r="AB459" s="460" t="s">
        <v>34</v>
      </c>
      <c r="AC459" s="615" t="s">
        <v>35</v>
      </c>
      <c r="AD459" s="617" t="s">
        <v>36</v>
      </c>
      <c r="AE459" s="617" t="s">
        <v>37</v>
      </c>
      <c r="AF459" s="618" t="s">
        <v>38</v>
      </c>
    </row>
    <row r="460" spans="1:32" s="457" customFormat="1" ht="18" customHeight="1" x14ac:dyDescent="0.2">
      <c r="A460" s="2687"/>
      <c r="B460" s="366" t="s">
        <v>39</v>
      </c>
      <c r="C460" s="2687"/>
      <c r="D460" s="366" t="s">
        <v>40</v>
      </c>
      <c r="E460" s="366" t="s">
        <v>41</v>
      </c>
      <c r="F460" s="2686" t="s">
        <v>42</v>
      </c>
      <c r="G460" s="2686" t="s">
        <v>43</v>
      </c>
      <c r="H460" s="2688" t="s">
        <v>44</v>
      </c>
      <c r="I460" s="366" t="s">
        <v>45</v>
      </c>
      <c r="J460" s="380" t="s">
        <v>46</v>
      </c>
      <c r="K460" s="380" t="s">
        <v>47</v>
      </c>
      <c r="L460" s="2680"/>
      <c r="M460" s="381" t="s">
        <v>30</v>
      </c>
      <c r="N460" s="381" t="s">
        <v>30</v>
      </c>
      <c r="O460" s="381" t="s">
        <v>25</v>
      </c>
      <c r="P460" s="385" t="s">
        <v>30</v>
      </c>
      <c r="Q460" s="461" t="s">
        <v>48</v>
      </c>
      <c r="R460" s="385" t="s">
        <v>49</v>
      </c>
      <c r="S460" s="385" t="s">
        <v>30</v>
      </c>
      <c r="T460" s="374" t="s">
        <v>50</v>
      </c>
      <c r="U460" s="374" t="s">
        <v>13</v>
      </c>
      <c r="V460" s="375" t="s">
        <v>51</v>
      </c>
      <c r="W460" s="376" t="s">
        <v>52</v>
      </c>
      <c r="X460" s="377" t="s">
        <v>53</v>
      </c>
      <c r="Y460" s="377" t="s">
        <v>54</v>
      </c>
      <c r="Z460" s="377" t="s">
        <v>55</v>
      </c>
      <c r="AA460" s="377" t="s">
        <v>56</v>
      </c>
      <c r="AB460" s="460" t="s">
        <v>57</v>
      </c>
      <c r="AC460" s="617" t="s">
        <v>58</v>
      </c>
      <c r="AD460" s="617" t="s">
        <v>59</v>
      </c>
      <c r="AE460" s="617" t="s">
        <v>59</v>
      </c>
      <c r="AF460" s="618" t="s">
        <v>60</v>
      </c>
    </row>
    <row r="461" spans="1:32" s="457" customFormat="1" ht="18" customHeight="1" x14ac:dyDescent="0.2">
      <c r="A461" s="2687"/>
      <c r="B461" s="366" t="s">
        <v>61</v>
      </c>
      <c r="C461" s="2687"/>
      <c r="D461" s="366" t="s">
        <v>62</v>
      </c>
      <c r="E461" s="366" t="s">
        <v>63</v>
      </c>
      <c r="F461" s="2687"/>
      <c r="G461" s="2687"/>
      <c r="H461" s="2689"/>
      <c r="I461" s="366" t="s">
        <v>64</v>
      </c>
      <c r="J461" s="380" t="s">
        <v>59</v>
      </c>
      <c r="K461" s="380" t="s">
        <v>59</v>
      </c>
      <c r="L461" s="2680"/>
      <c r="M461" s="381"/>
      <c r="N461" s="381"/>
      <c r="O461" s="381" t="s">
        <v>41</v>
      </c>
      <c r="P461" s="385" t="s">
        <v>65</v>
      </c>
      <c r="Q461" s="461" t="s">
        <v>66</v>
      </c>
      <c r="R461" s="385" t="s">
        <v>67</v>
      </c>
      <c r="S461" s="385" t="s">
        <v>59</v>
      </c>
      <c r="T461" s="375" t="s">
        <v>68</v>
      </c>
      <c r="U461" s="375" t="s">
        <v>14</v>
      </c>
      <c r="V461" s="375" t="s">
        <v>14</v>
      </c>
      <c r="W461" s="376" t="s">
        <v>30</v>
      </c>
      <c r="X461" s="388" t="s">
        <v>69</v>
      </c>
      <c r="Y461" s="388" t="s">
        <v>70</v>
      </c>
      <c r="Z461" s="377" t="s">
        <v>71</v>
      </c>
      <c r="AA461" s="377" t="s">
        <v>72</v>
      </c>
      <c r="AB461" s="460" t="s">
        <v>59</v>
      </c>
      <c r="AC461" s="617" t="s">
        <v>59</v>
      </c>
      <c r="AD461" s="617"/>
      <c r="AE461" s="617"/>
      <c r="AF461" s="618" t="s">
        <v>59</v>
      </c>
    </row>
    <row r="462" spans="1:32" s="457" customFormat="1" ht="18" customHeight="1" x14ac:dyDescent="0.2">
      <c r="A462" s="2692"/>
      <c r="B462" s="390"/>
      <c r="C462" s="2692"/>
      <c r="D462" s="390"/>
      <c r="E462" s="389"/>
      <c r="F462" s="390"/>
      <c r="G462" s="390"/>
      <c r="H462" s="391"/>
      <c r="I462" s="389"/>
      <c r="J462" s="393"/>
      <c r="K462" s="393"/>
      <c r="L462" s="2681"/>
      <c r="M462" s="394"/>
      <c r="N462" s="394"/>
      <c r="O462" s="394" t="s">
        <v>63</v>
      </c>
      <c r="P462" s="394"/>
      <c r="Q462" s="450" t="s">
        <v>72</v>
      </c>
      <c r="R462" s="398" t="s">
        <v>59</v>
      </c>
      <c r="S462" s="398"/>
      <c r="T462" s="398" t="s">
        <v>73</v>
      </c>
      <c r="U462" s="398" t="s">
        <v>59</v>
      </c>
      <c r="V462" s="399" t="s">
        <v>59</v>
      </c>
      <c r="W462" s="400" t="s">
        <v>59</v>
      </c>
      <c r="X462" s="401" t="s">
        <v>59</v>
      </c>
      <c r="Y462" s="401" t="s">
        <v>59</v>
      </c>
      <c r="Z462" s="401" t="s">
        <v>59</v>
      </c>
      <c r="AA462" s="402"/>
      <c r="AB462" s="462"/>
      <c r="AC462" s="625"/>
      <c r="AD462" s="625"/>
      <c r="AE462" s="625"/>
      <c r="AF462" s="626"/>
    </row>
    <row r="463" spans="1:32" s="457" customFormat="1" ht="18" customHeight="1" x14ac:dyDescent="0.25">
      <c r="A463" s="53">
        <v>1</v>
      </c>
      <c r="B463" s="333">
        <v>9837</v>
      </c>
      <c r="C463" s="41">
        <v>181</v>
      </c>
      <c r="D463" s="41" t="s">
        <v>215</v>
      </c>
      <c r="E463" s="41">
        <v>2</v>
      </c>
      <c r="F463" s="1615">
        <v>0</v>
      </c>
      <c r="G463" s="1615">
        <v>0</v>
      </c>
      <c r="H463" s="1616">
        <v>43.1</v>
      </c>
      <c r="I463" s="77">
        <f t="shared" ref="I463:I464" si="125">F463*400+G463*100+H463</f>
        <v>43.1</v>
      </c>
      <c r="J463" s="1584">
        <v>700</v>
      </c>
      <c r="K463" s="78">
        <f t="shared" ref="K463:K464" si="126">SUM(I463*J463)</f>
        <v>30170</v>
      </c>
      <c r="L463" s="16">
        <v>1</v>
      </c>
      <c r="M463" s="82">
        <v>103</v>
      </c>
      <c r="N463" s="41" t="s">
        <v>74</v>
      </c>
      <c r="O463" s="16">
        <v>3</v>
      </c>
      <c r="P463" s="41">
        <v>184.31</v>
      </c>
      <c r="Q463" s="14" t="s">
        <v>232</v>
      </c>
      <c r="R463" s="741">
        <v>9050</v>
      </c>
      <c r="S463" s="70">
        <f t="shared" ref="S463:S466" si="127">+P463*R463</f>
        <v>1668005.5</v>
      </c>
      <c r="T463" s="1539">
        <v>16</v>
      </c>
      <c r="U463" s="1687">
        <f>S463*22/100</f>
        <v>366961.21</v>
      </c>
      <c r="V463" s="18">
        <f>+S463-U463</f>
        <v>1301044.29</v>
      </c>
      <c r="W463" s="18">
        <f>K463+V463</f>
        <v>1331214.29</v>
      </c>
      <c r="X463" s="47">
        <f>W463</f>
        <v>1331214.29</v>
      </c>
      <c r="Y463" s="2801" t="s">
        <v>87</v>
      </c>
      <c r="Z463" s="18">
        <v>0</v>
      </c>
      <c r="AA463" s="264">
        <v>0.02</v>
      </c>
      <c r="AB463" s="465">
        <f>+Z463*AA463/100</f>
        <v>0</v>
      </c>
      <c r="AC463" s="602"/>
      <c r="AD463" s="603"/>
      <c r="AE463" s="603"/>
      <c r="AF463" s="603"/>
    </row>
    <row r="464" spans="1:32" s="457" customFormat="1" ht="18" customHeight="1" x14ac:dyDescent="0.25">
      <c r="A464" s="75">
        <v>2</v>
      </c>
      <c r="B464" s="287">
        <v>45534</v>
      </c>
      <c r="C464" s="15">
        <v>1232</v>
      </c>
      <c r="D464" s="15" t="s">
        <v>215</v>
      </c>
      <c r="E464" s="15">
        <v>5</v>
      </c>
      <c r="F464" s="1727">
        <v>0</v>
      </c>
      <c r="G464" s="1728">
        <v>0</v>
      </c>
      <c r="H464" s="1729">
        <v>35</v>
      </c>
      <c r="I464" s="77">
        <f t="shared" si="125"/>
        <v>35</v>
      </c>
      <c r="J464" s="1581">
        <v>700</v>
      </c>
      <c r="K464" s="78">
        <f t="shared" si="126"/>
        <v>24500</v>
      </c>
      <c r="L464" s="45" t="s">
        <v>102</v>
      </c>
      <c r="M464" s="88">
        <v>103</v>
      </c>
      <c r="N464" s="27" t="s">
        <v>74</v>
      </c>
      <c r="O464" s="45">
        <v>5</v>
      </c>
      <c r="P464" s="27">
        <v>303.18</v>
      </c>
      <c r="Q464" s="62" t="s">
        <v>75</v>
      </c>
      <c r="R464" s="743">
        <v>9050</v>
      </c>
      <c r="S464" s="70">
        <f t="shared" si="127"/>
        <v>2743779</v>
      </c>
      <c r="T464" s="1492">
        <v>17</v>
      </c>
      <c r="U464" s="1687">
        <f>S464*24/100</f>
        <v>658506.96</v>
      </c>
      <c r="V464" s="18">
        <f>+S464-U464</f>
        <v>2085272.04</v>
      </c>
      <c r="W464" s="18">
        <f>K464+V464</f>
        <v>2109772.04</v>
      </c>
      <c r="X464" s="47">
        <f>W464</f>
        <v>2109772.04</v>
      </c>
      <c r="Y464" s="2802"/>
      <c r="Z464" s="18">
        <v>0</v>
      </c>
      <c r="AA464" s="264"/>
      <c r="AB464" s="465">
        <f>+Z464*AA464/100</f>
        <v>0</v>
      </c>
      <c r="AC464" s="602"/>
      <c r="AD464" s="603"/>
      <c r="AE464" s="603"/>
      <c r="AF464" s="603"/>
    </row>
    <row r="465" spans="1:32" s="457" customFormat="1" ht="18" customHeight="1" x14ac:dyDescent="0.2">
      <c r="A465" s="88"/>
      <c r="B465" s="15"/>
      <c r="C465" s="15"/>
      <c r="D465" s="15"/>
      <c r="E465" s="15"/>
      <c r="F465" s="15"/>
      <c r="G465" s="15"/>
      <c r="H465" s="284"/>
      <c r="I465" s="296"/>
      <c r="J465" s="306"/>
      <c r="K465" s="297"/>
      <c r="L465" s="50">
        <v>2</v>
      </c>
      <c r="M465" s="145">
        <v>103</v>
      </c>
      <c r="N465" s="15" t="s">
        <v>74</v>
      </c>
      <c r="O465" s="50">
        <v>2</v>
      </c>
      <c r="P465" s="15">
        <v>265</v>
      </c>
      <c r="Q465" s="19">
        <f>P465/P464*100</f>
        <v>87.406821030410981</v>
      </c>
      <c r="R465" s="672">
        <v>9050</v>
      </c>
      <c r="S465" s="70">
        <f t="shared" si="127"/>
        <v>2398250</v>
      </c>
      <c r="T465" s="1508">
        <v>17</v>
      </c>
      <c r="U465" s="1687">
        <f>S465*24/100</f>
        <v>575580</v>
      </c>
      <c r="V465" s="18">
        <f>+S465-U465</f>
        <v>1822670</v>
      </c>
      <c r="W465" s="18"/>
      <c r="X465" s="47">
        <f>X464*Q465/100</f>
        <v>1844084.6711524508</v>
      </c>
      <c r="Y465" s="18"/>
      <c r="Z465" s="18">
        <f>X465</f>
        <v>1844084.6711524508</v>
      </c>
      <c r="AA465" s="264">
        <v>0.02</v>
      </c>
      <c r="AB465" s="465">
        <f>+Z465*AA465/100</f>
        <v>368.81693423049018</v>
      </c>
      <c r="AC465" s="602"/>
      <c r="AD465" s="603"/>
      <c r="AE465" s="603"/>
      <c r="AF465" s="603"/>
    </row>
    <row r="466" spans="1:32" s="457" customFormat="1" ht="18" customHeight="1" x14ac:dyDescent="0.2">
      <c r="A466" s="75"/>
      <c r="B466" s="45"/>
      <c r="C466" s="62"/>
      <c r="D466" s="15"/>
      <c r="E466" s="27"/>
      <c r="F466" s="291"/>
      <c r="G466" s="45"/>
      <c r="H466" s="257"/>
      <c r="I466" s="296"/>
      <c r="J466" s="306"/>
      <c r="K466" s="297"/>
      <c r="L466" s="50">
        <v>3</v>
      </c>
      <c r="M466" s="88">
        <v>103</v>
      </c>
      <c r="N466" s="27" t="s">
        <v>74</v>
      </c>
      <c r="O466" s="45">
        <v>3</v>
      </c>
      <c r="P466" s="27">
        <v>38.18</v>
      </c>
      <c r="Q466" s="257">
        <f>P466/P464*100</f>
        <v>12.593178969589022</v>
      </c>
      <c r="R466" s="743">
        <v>9050</v>
      </c>
      <c r="S466" s="70">
        <f t="shared" si="127"/>
        <v>345529</v>
      </c>
      <c r="T466" s="1492">
        <v>17</v>
      </c>
      <c r="U466" s="1687">
        <f>S466*24/100</f>
        <v>82926.960000000006</v>
      </c>
      <c r="V466" s="18">
        <f>+S466-U466</f>
        <v>262602.03999999998</v>
      </c>
      <c r="W466" s="18"/>
      <c r="X466" s="47">
        <f>X464*Q466/100</f>
        <v>265687.36884754931</v>
      </c>
      <c r="Y466" s="18"/>
      <c r="Z466" s="18">
        <f>X466</f>
        <v>265687.36884754931</v>
      </c>
      <c r="AA466" s="264">
        <v>0.3</v>
      </c>
      <c r="AB466" s="465">
        <f>+Z466*AA466/100</f>
        <v>797.06210654264794</v>
      </c>
      <c r="AC466" s="602"/>
      <c r="AD466" s="603"/>
      <c r="AE466" s="603"/>
      <c r="AF466" s="603"/>
    </row>
    <row r="467" spans="1:32" s="457" customFormat="1" ht="18" customHeight="1" x14ac:dyDescent="0.2">
      <c r="A467" s="75"/>
      <c r="B467" s="75"/>
      <c r="C467" s="174"/>
      <c r="D467" s="145"/>
      <c r="E467" s="88"/>
      <c r="F467" s="418"/>
      <c r="G467" s="75"/>
      <c r="H467" s="188"/>
      <c r="I467" s="244"/>
      <c r="J467" s="178"/>
      <c r="K467" s="247"/>
      <c r="L467" s="75"/>
      <c r="M467" s="75"/>
      <c r="N467" s="75"/>
      <c r="O467" s="75"/>
      <c r="P467" s="188"/>
      <c r="Q467" s="174"/>
      <c r="R467" s="745"/>
      <c r="S467" s="205"/>
      <c r="T467" s="746"/>
      <c r="U467" s="205"/>
      <c r="V467" s="18"/>
      <c r="W467" s="181"/>
      <c r="X467" s="178"/>
      <c r="Y467" s="178"/>
      <c r="Z467" s="178"/>
      <c r="AA467" s="747"/>
      <c r="AB467" s="744"/>
      <c r="AC467" s="350"/>
      <c r="AD467" s="350"/>
      <c r="AE467" s="350"/>
      <c r="AF467" s="350"/>
    </row>
    <row r="468" spans="1:32" s="457" customFormat="1" ht="18" customHeight="1" x14ac:dyDescent="0.2">
      <c r="A468" s="75"/>
      <c r="B468" s="75"/>
      <c r="C468" s="174"/>
      <c r="D468" s="145"/>
      <c r="E468" s="88"/>
      <c r="F468" s="418"/>
      <c r="G468" s="75"/>
      <c r="H468" s="188"/>
      <c r="I468" s="244"/>
      <c r="J468" s="178"/>
      <c r="K468" s="247"/>
      <c r="L468" s="75"/>
      <c r="M468" s="75"/>
      <c r="N468" s="75"/>
      <c r="O468" s="75"/>
      <c r="P468" s="188"/>
      <c r="Q468" s="174"/>
      <c r="R468" s="745"/>
      <c r="S468" s="205"/>
      <c r="T468" s="746"/>
      <c r="U468" s="205"/>
      <c r="V468" s="205"/>
      <c r="W468" s="181"/>
      <c r="X468" s="178"/>
      <c r="Y468" s="178"/>
      <c r="Z468" s="178"/>
      <c r="AA468" s="747"/>
      <c r="AB468" s="744"/>
      <c r="AC468" s="732"/>
      <c r="AD468" s="603"/>
      <c r="AE468" s="603"/>
      <c r="AF468" s="603"/>
    </row>
    <row r="469" spans="1:32" s="457" customFormat="1" ht="18" customHeight="1" x14ac:dyDescent="0.2">
      <c r="A469" s="75"/>
      <c r="B469" s="75"/>
      <c r="C469" s="174"/>
      <c r="D469" s="145"/>
      <c r="E469" s="88"/>
      <c r="F469" s="418"/>
      <c r="G469" s="75"/>
      <c r="H469" s="188"/>
      <c r="I469" s="244"/>
      <c r="J469" s="178"/>
      <c r="K469" s="247"/>
      <c r="L469" s="75"/>
      <c r="M469" s="75"/>
      <c r="N469" s="75"/>
      <c r="O469" s="75"/>
      <c r="P469" s="188"/>
      <c r="Q469" s="174"/>
      <c r="R469" s="745"/>
      <c r="S469" s="205"/>
      <c r="T469" s="746"/>
      <c r="U469" s="205"/>
      <c r="V469" s="205"/>
      <c r="W469" s="181"/>
      <c r="X469" s="178"/>
      <c r="Y469" s="178"/>
      <c r="Z469" s="178"/>
      <c r="AA469" s="747"/>
      <c r="AB469" s="744"/>
      <c r="AC469" s="350"/>
      <c r="AD469" s="350"/>
      <c r="AE469" s="350"/>
      <c r="AF469" s="350"/>
    </row>
    <row r="470" spans="1:32" s="457" customFormat="1" ht="18" customHeight="1" x14ac:dyDescent="0.2">
      <c r="A470" s="75"/>
      <c r="B470" s="75"/>
      <c r="C470" s="174"/>
      <c r="D470" s="88"/>
      <c r="E470" s="88"/>
      <c r="F470" s="418"/>
      <c r="G470" s="75"/>
      <c r="H470" s="188"/>
      <c r="I470" s="244"/>
      <c r="J470" s="178"/>
      <c r="K470" s="247"/>
      <c r="L470" s="75"/>
      <c r="M470" s="75"/>
      <c r="N470" s="75"/>
      <c r="O470" s="75"/>
      <c r="P470" s="188"/>
      <c r="Q470" s="174"/>
      <c r="R470" s="745"/>
      <c r="S470" s="205"/>
      <c r="T470" s="746"/>
      <c r="U470" s="205"/>
      <c r="V470" s="205"/>
      <c r="W470" s="181"/>
      <c r="X470" s="178"/>
      <c r="Y470" s="178"/>
      <c r="Z470" s="178"/>
      <c r="AA470" s="747"/>
      <c r="AB470" s="744"/>
      <c r="AC470" s="350"/>
      <c r="AD470" s="350"/>
      <c r="AE470" s="350"/>
      <c r="AF470" s="350"/>
    </row>
    <row r="471" spans="1:32" s="457" customFormat="1" ht="18" customHeight="1" x14ac:dyDescent="0.2">
      <c r="A471" s="75"/>
      <c r="B471" s="75"/>
      <c r="C471" s="174"/>
      <c r="D471" s="145"/>
      <c r="E471" s="88"/>
      <c r="F471" s="418"/>
      <c r="G471" s="75"/>
      <c r="H471" s="188"/>
      <c r="I471" s="244"/>
      <c r="J471" s="178"/>
      <c r="K471" s="247"/>
      <c r="L471" s="75"/>
      <c r="M471" s="75"/>
      <c r="N471" s="75"/>
      <c r="O471" s="75"/>
      <c r="P471" s="188"/>
      <c r="Q471" s="174"/>
      <c r="R471" s="745"/>
      <c r="S471" s="205"/>
      <c r="T471" s="746"/>
      <c r="U471" s="205"/>
      <c r="V471" s="205"/>
      <c r="W471" s="181"/>
      <c r="X471" s="178"/>
      <c r="Y471" s="178"/>
      <c r="Z471" s="178"/>
      <c r="AA471" s="747"/>
      <c r="AB471" s="744"/>
      <c r="AC471" s="350"/>
      <c r="AD471" s="350"/>
      <c r="AE471" s="350"/>
      <c r="AF471" s="350"/>
    </row>
    <row r="472" spans="1:32" s="457" customFormat="1" ht="18" customHeight="1" x14ac:dyDescent="0.2">
      <c r="A472" s="145"/>
      <c r="B472" s="145"/>
      <c r="C472" s="145"/>
      <c r="D472" s="145"/>
      <c r="E472" s="145"/>
      <c r="F472" s="145"/>
      <c r="G472" s="145"/>
      <c r="H472" s="147"/>
      <c r="I472" s="178"/>
      <c r="J472" s="178"/>
      <c r="K472" s="178"/>
      <c r="L472" s="145"/>
      <c r="M472" s="145"/>
      <c r="N472" s="145"/>
      <c r="O472" s="145"/>
      <c r="P472" s="147"/>
      <c r="Q472" s="148"/>
      <c r="R472" s="437"/>
      <c r="S472" s="178"/>
      <c r="T472" s="179"/>
      <c r="U472" s="178"/>
      <c r="V472" s="178"/>
      <c r="W472" s="178"/>
      <c r="X472" s="470"/>
      <c r="Y472" s="470"/>
      <c r="Z472" s="748"/>
      <c r="AA472" s="748"/>
      <c r="AB472" s="744"/>
      <c r="AC472" s="350"/>
      <c r="AD472" s="350"/>
      <c r="AE472" s="350"/>
      <c r="AF472" s="350"/>
    </row>
    <row r="473" spans="1:32" s="457" customFormat="1" ht="18" customHeight="1" x14ac:dyDescent="0.2">
      <c r="A473" s="145"/>
      <c r="B473" s="145"/>
      <c r="C473" s="145"/>
      <c r="D473" s="145"/>
      <c r="E473" s="145"/>
      <c r="F473" s="145"/>
      <c r="G473" s="145"/>
      <c r="H473" s="147"/>
      <c r="I473" s="178"/>
      <c r="J473" s="178"/>
      <c r="K473" s="178"/>
      <c r="L473" s="145"/>
      <c r="M473" s="145"/>
      <c r="N473" s="145"/>
      <c r="O473" s="145"/>
      <c r="P473" s="147"/>
      <c r="Q473" s="148"/>
      <c r="R473" s="437"/>
      <c r="S473" s="178"/>
      <c r="T473" s="179"/>
      <c r="U473" s="178"/>
      <c r="V473" s="178"/>
      <c r="W473" s="178"/>
      <c r="X473" s="470"/>
      <c r="Y473" s="470"/>
      <c r="Z473" s="748"/>
      <c r="AA473" s="748"/>
      <c r="AB473" s="744"/>
      <c r="AC473" s="350"/>
      <c r="AD473" s="350"/>
      <c r="AE473" s="350"/>
      <c r="AF473" s="350"/>
    </row>
    <row r="474" spans="1:32" s="457" customFormat="1" ht="18" customHeight="1" x14ac:dyDescent="0.2">
      <c r="A474" s="145"/>
      <c r="B474" s="145"/>
      <c r="C474" s="145"/>
      <c r="D474" s="145"/>
      <c r="E474" s="145"/>
      <c r="F474" s="145"/>
      <c r="G474" s="145"/>
      <c r="H474" s="147"/>
      <c r="I474" s="178"/>
      <c r="J474" s="178"/>
      <c r="K474" s="178"/>
      <c r="L474" s="145"/>
      <c r="M474" s="145"/>
      <c r="N474" s="145"/>
      <c r="O474" s="145"/>
      <c r="P474" s="147"/>
      <c r="Q474" s="148"/>
      <c r="R474" s="437"/>
      <c r="S474" s="178"/>
      <c r="T474" s="179"/>
      <c r="U474" s="178"/>
      <c r="V474" s="178"/>
      <c r="W474" s="178"/>
      <c r="X474" s="470"/>
      <c r="Y474" s="470"/>
      <c r="Z474" s="748"/>
      <c r="AA474" s="748"/>
      <c r="AB474" s="744"/>
      <c r="AC474" s="350"/>
      <c r="AD474" s="350"/>
      <c r="AE474" s="350"/>
      <c r="AF474" s="350"/>
    </row>
    <row r="475" spans="1:32" s="457" customFormat="1" ht="18" customHeight="1" x14ac:dyDescent="0.2">
      <c r="A475" s="145"/>
      <c r="B475" s="145"/>
      <c r="C475" s="145"/>
      <c r="D475" s="145"/>
      <c r="E475" s="145"/>
      <c r="F475" s="145"/>
      <c r="G475" s="145"/>
      <c r="H475" s="147"/>
      <c r="I475" s="178"/>
      <c r="J475" s="178"/>
      <c r="K475" s="178"/>
      <c r="L475" s="145"/>
      <c r="M475" s="145"/>
      <c r="N475" s="145"/>
      <c r="O475" s="145"/>
      <c r="P475" s="147"/>
      <c r="Q475" s="148"/>
      <c r="R475" s="437"/>
      <c r="S475" s="178"/>
      <c r="T475" s="179"/>
      <c r="U475" s="178"/>
      <c r="V475" s="178"/>
      <c r="W475" s="178"/>
      <c r="X475" s="470"/>
      <c r="Y475" s="470"/>
      <c r="Z475" s="748"/>
      <c r="AA475" s="748"/>
      <c r="AB475" s="744"/>
      <c r="AC475" s="350"/>
      <c r="AD475" s="350"/>
      <c r="AE475" s="350"/>
      <c r="AF475" s="350"/>
    </row>
    <row r="476" spans="1:32" s="457" customFormat="1" ht="18" customHeight="1" x14ac:dyDescent="0.2">
      <c r="A476" s="145"/>
      <c r="B476" s="145"/>
      <c r="C476" s="145"/>
      <c r="D476" s="145"/>
      <c r="E476" s="145"/>
      <c r="F476" s="145"/>
      <c r="G476" s="145"/>
      <c r="H476" s="147"/>
      <c r="I476" s="178"/>
      <c r="J476" s="178"/>
      <c r="K476" s="178"/>
      <c r="L476" s="145"/>
      <c r="M476" s="145"/>
      <c r="N476" s="145"/>
      <c r="O476" s="145"/>
      <c r="P476" s="147"/>
      <c r="Q476" s="148"/>
      <c r="R476" s="437"/>
      <c r="S476" s="178"/>
      <c r="T476" s="179"/>
      <c r="U476" s="178"/>
      <c r="V476" s="178"/>
      <c r="W476" s="178"/>
      <c r="X476" s="470"/>
      <c r="Y476" s="470"/>
      <c r="Z476" s="748"/>
      <c r="AA476" s="748"/>
      <c r="AB476" s="744"/>
      <c r="AC476" s="350"/>
      <c r="AD476" s="350"/>
      <c r="AE476" s="350"/>
      <c r="AF476" s="350"/>
    </row>
    <row r="477" spans="1:32" s="457" customFormat="1" ht="18" customHeight="1" x14ac:dyDescent="0.2">
      <c r="A477" s="88"/>
      <c r="B477" s="88"/>
      <c r="C477" s="88"/>
      <c r="D477" s="88"/>
      <c r="E477" s="88"/>
      <c r="F477" s="88"/>
      <c r="G477" s="88"/>
      <c r="H477" s="120"/>
      <c r="I477" s="181"/>
      <c r="J477" s="181"/>
      <c r="K477" s="181"/>
      <c r="L477" s="88"/>
      <c r="M477" s="88"/>
      <c r="N477" s="88"/>
      <c r="O477" s="88"/>
      <c r="P477" s="88"/>
      <c r="Q477" s="129"/>
      <c r="R477" s="445"/>
      <c r="S477" s="181"/>
      <c r="T477" s="182"/>
      <c r="U477" s="181"/>
      <c r="V477" s="181"/>
      <c r="W477" s="181"/>
      <c r="X477" s="472"/>
      <c r="Y477" s="472"/>
      <c r="Z477" s="659"/>
      <c r="AA477" s="659"/>
      <c r="AB477" s="660"/>
      <c r="AC477" s="351"/>
      <c r="AD477" s="351"/>
      <c r="AE477" s="351"/>
      <c r="AF477" s="351"/>
    </row>
    <row r="478" spans="1:32" s="597" customFormat="1" ht="18" customHeight="1" x14ac:dyDescent="0.2">
      <c r="A478" s="1850"/>
      <c r="B478" s="1850"/>
      <c r="C478" s="1850"/>
      <c r="D478" s="1850"/>
      <c r="E478" s="1850"/>
      <c r="F478" s="1850"/>
      <c r="G478" s="1850"/>
      <c r="H478" s="1851"/>
      <c r="I478" s="1853"/>
      <c r="J478" s="1853"/>
      <c r="K478" s="1853"/>
      <c r="L478" s="1853"/>
      <c r="M478" s="1853"/>
      <c r="N478" s="1853"/>
      <c r="O478" s="1853"/>
      <c r="P478" s="1853"/>
      <c r="Q478" s="1853"/>
      <c r="R478" s="1854"/>
      <c r="S478" s="1853"/>
      <c r="T478" s="1855"/>
      <c r="U478" s="1853"/>
      <c r="V478" s="1853"/>
      <c r="W478" s="1853"/>
      <c r="X478" s="1856"/>
      <c r="Y478" s="1856"/>
      <c r="Z478" s="1858"/>
      <c r="AA478" s="1858"/>
      <c r="AB478" s="1848">
        <f>SUM(AB463:AB477)</f>
        <v>1165.8790407731381</v>
      </c>
      <c r="AC478" s="1861"/>
      <c r="AD478" s="1861"/>
      <c r="AE478" s="1861"/>
      <c r="AF478" s="1861"/>
    </row>
    <row r="479" spans="1:32" s="457" customFormat="1" ht="18" customHeight="1" x14ac:dyDescent="0.2">
      <c r="A479" s="2737" t="s">
        <v>76</v>
      </c>
      <c r="B479" s="2737"/>
      <c r="C479" s="2738" t="s">
        <v>77</v>
      </c>
      <c r="D479" s="2738"/>
      <c r="E479" s="2738"/>
      <c r="F479" s="2738"/>
      <c r="G479" s="2738"/>
      <c r="H479" s="2738"/>
      <c r="I479" s="457" t="s">
        <v>78</v>
      </c>
      <c r="AB479" s="750"/>
    </row>
    <row r="480" spans="1:32" s="457" customFormat="1" ht="18" customHeight="1" x14ac:dyDescent="0.2">
      <c r="B480" s="479"/>
      <c r="I480" s="457" t="s">
        <v>79</v>
      </c>
      <c r="AB480" s="750"/>
    </row>
    <row r="481" spans="1:28" s="457" customFormat="1" ht="18" customHeight="1" x14ac:dyDescent="0.2">
      <c r="B481" s="479"/>
      <c r="I481" s="457" t="s">
        <v>80</v>
      </c>
      <c r="AB481" s="750"/>
    </row>
    <row r="482" spans="1:28" s="457" customFormat="1" ht="18" customHeight="1" x14ac:dyDescent="0.2">
      <c r="B482" s="479"/>
      <c r="I482" s="457" t="s">
        <v>81</v>
      </c>
      <c r="AB482" s="750"/>
    </row>
    <row r="483" spans="1:28" s="457" customFormat="1" ht="18" customHeight="1" x14ac:dyDescent="0.2">
      <c r="B483" s="479"/>
      <c r="I483" s="457" t="s">
        <v>88</v>
      </c>
      <c r="AB483" s="750"/>
    </row>
    <row r="484" spans="1:28" s="457" customFormat="1" ht="18" customHeight="1" x14ac:dyDescent="0.2">
      <c r="A484" s="455"/>
      <c r="B484" s="455"/>
      <c r="C484" s="455"/>
      <c r="D484" s="455"/>
      <c r="E484" s="455"/>
      <c r="F484" s="455"/>
      <c r="G484" s="455"/>
      <c r="H484" s="455"/>
      <c r="I484" s="455"/>
      <c r="J484" s="455"/>
      <c r="K484" s="455"/>
      <c r="L484" s="455"/>
      <c r="M484" s="455"/>
      <c r="N484" s="455"/>
      <c r="O484" s="455"/>
      <c r="P484" s="455"/>
      <c r="Q484" s="455"/>
      <c r="R484" s="455"/>
      <c r="S484" s="455"/>
      <c r="T484" s="455"/>
      <c r="U484" s="455"/>
      <c r="V484" s="455"/>
      <c r="W484" s="455"/>
      <c r="X484" s="455"/>
      <c r="Y484" s="455"/>
      <c r="Z484" s="455"/>
      <c r="AA484" s="2705" t="s">
        <v>0</v>
      </c>
      <c r="AB484" s="2705"/>
    </row>
    <row r="485" spans="1:28" s="457" customFormat="1" ht="18" customHeight="1" x14ac:dyDescent="0.2">
      <c r="A485" s="2706" t="s">
        <v>1</v>
      </c>
      <c r="B485" s="2706"/>
      <c r="C485" s="2706"/>
      <c r="D485" s="2706"/>
      <c r="E485" s="2706"/>
      <c r="F485" s="2706"/>
      <c r="G485" s="2706"/>
      <c r="H485" s="2706"/>
      <c r="I485" s="2706"/>
      <c r="J485" s="2706"/>
      <c r="K485" s="2706"/>
      <c r="L485" s="2706"/>
      <c r="M485" s="2706"/>
      <c r="N485" s="2706"/>
      <c r="O485" s="2706"/>
      <c r="P485" s="2706"/>
      <c r="Q485" s="2706"/>
      <c r="R485" s="2706"/>
      <c r="S485" s="2706"/>
      <c r="T485" s="2706"/>
      <c r="U485" s="2706"/>
      <c r="V485" s="2706"/>
      <c r="W485" s="2706"/>
      <c r="X485" s="2706"/>
      <c r="Y485" s="2706"/>
      <c r="Z485" s="2706"/>
      <c r="AA485" s="2706"/>
      <c r="AB485" s="2706"/>
    </row>
    <row r="486" spans="1:28" s="457" customFormat="1" ht="18" customHeight="1" x14ac:dyDescent="0.2">
      <c r="A486" s="2704" t="s">
        <v>503</v>
      </c>
      <c r="B486" s="2704"/>
      <c r="C486" s="2704"/>
      <c r="D486" s="2704"/>
      <c r="E486" s="2704"/>
      <c r="F486" s="2704"/>
      <c r="G486" s="2704"/>
      <c r="H486" s="2704"/>
      <c r="I486" s="2704"/>
      <c r="J486" s="2704"/>
      <c r="K486" s="2704"/>
      <c r="L486" s="2704"/>
      <c r="M486" s="2704"/>
      <c r="N486" s="2704"/>
      <c r="O486" s="2704"/>
      <c r="P486" s="2704"/>
      <c r="Q486" s="2704"/>
      <c r="R486" s="2704"/>
      <c r="S486" s="2704"/>
      <c r="T486" s="2704"/>
      <c r="U486" s="2704"/>
      <c r="V486" s="2704"/>
      <c r="W486" s="2704"/>
      <c r="X486" s="2704"/>
      <c r="Y486" s="2704"/>
      <c r="Z486" s="2704"/>
      <c r="AA486" s="2704"/>
      <c r="AB486" s="2704"/>
    </row>
    <row r="487" spans="1:28" s="457" customFormat="1" ht="18" customHeight="1" x14ac:dyDescent="0.2">
      <c r="A487" s="2686" t="s">
        <v>2</v>
      </c>
      <c r="B487" s="360"/>
      <c r="C487" s="2686" t="s">
        <v>3</v>
      </c>
      <c r="D487" s="360"/>
      <c r="E487" s="360"/>
      <c r="F487" s="2693" t="s">
        <v>4</v>
      </c>
      <c r="G487" s="2693"/>
      <c r="H487" s="2693"/>
      <c r="I487" s="2694"/>
      <c r="J487" s="2694"/>
      <c r="K487" s="2695"/>
      <c r="L487" s="361"/>
      <c r="M487" s="2679" t="s">
        <v>5</v>
      </c>
      <c r="N487" s="2679"/>
      <c r="O487" s="2679"/>
      <c r="P487" s="2679"/>
      <c r="Q487" s="2696"/>
      <c r="R487" s="2696"/>
      <c r="S487" s="2696"/>
      <c r="T487" s="2696"/>
      <c r="U487" s="2696"/>
      <c r="V487" s="2697"/>
      <c r="W487" s="362" t="s">
        <v>6</v>
      </c>
      <c r="X487" s="363" t="s">
        <v>7</v>
      </c>
      <c r="Y487" s="364"/>
      <c r="Z487" s="364"/>
      <c r="AA487" s="363"/>
      <c r="AB487" s="458"/>
    </row>
    <row r="488" spans="1:28" s="457" customFormat="1" ht="18" customHeight="1" x14ac:dyDescent="0.2">
      <c r="A488" s="2687"/>
      <c r="B488" s="367"/>
      <c r="C488" s="2687"/>
      <c r="D488" s="366" t="s">
        <v>9</v>
      </c>
      <c r="E488" s="366" t="s">
        <v>10</v>
      </c>
      <c r="F488" s="2698" t="s">
        <v>11</v>
      </c>
      <c r="G488" s="2694"/>
      <c r="H488" s="2695"/>
      <c r="I488" s="360"/>
      <c r="J488" s="449" t="s">
        <v>12</v>
      </c>
      <c r="K488" s="360"/>
      <c r="L488" s="2679" t="s">
        <v>2</v>
      </c>
      <c r="M488" s="370"/>
      <c r="N488" s="370"/>
      <c r="O488" s="370"/>
      <c r="P488" s="371"/>
      <c r="Q488" s="459" t="s">
        <v>13</v>
      </c>
      <c r="R488" s="370" t="s">
        <v>12</v>
      </c>
      <c r="S488" s="370" t="s">
        <v>6</v>
      </c>
      <c r="T488" s="2682" t="s">
        <v>14</v>
      </c>
      <c r="U488" s="2683"/>
      <c r="V488" s="375" t="s">
        <v>7</v>
      </c>
      <c r="W488" s="376" t="s">
        <v>15</v>
      </c>
      <c r="X488" s="377" t="s">
        <v>16</v>
      </c>
      <c r="Y488" s="377" t="s">
        <v>17</v>
      </c>
      <c r="Z488" s="377" t="s">
        <v>18</v>
      </c>
      <c r="AA488" s="377"/>
      <c r="AB488" s="460" t="s">
        <v>19</v>
      </c>
    </row>
    <row r="489" spans="1:28" s="457" customFormat="1" ht="18" customHeight="1" x14ac:dyDescent="0.2">
      <c r="A489" s="2687"/>
      <c r="B489" s="366" t="s">
        <v>23</v>
      </c>
      <c r="C489" s="2687"/>
      <c r="D489" s="366" t="s">
        <v>24</v>
      </c>
      <c r="E489" s="366" t="s">
        <v>25</v>
      </c>
      <c r="F489" s="2699"/>
      <c r="G489" s="2700"/>
      <c r="H489" s="2701"/>
      <c r="I489" s="366" t="s">
        <v>26</v>
      </c>
      <c r="J489" s="380" t="s">
        <v>15</v>
      </c>
      <c r="K489" s="380" t="s">
        <v>6</v>
      </c>
      <c r="L489" s="2680"/>
      <c r="M489" s="381" t="s">
        <v>27</v>
      </c>
      <c r="N489" s="381" t="s">
        <v>10</v>
      </c>
      <c r="O489" s="381" t="s">
        <v>10</v>
      </c>
      <c r="P489" s="385" t="s">
        <v>28</v>
      </c>
      <c r="Q489" s="461" t="s">
        <v>29</v>
      </c>
      <c r="R489" s="385" t="s">
        <v>15</v>
      </c>
      <c r="S489" s="385" t="s">
        <v>15</v>
      </c>
      <c r="T489" s="2684"/>
      <c r="U489" s="2685"/>
      <c r="V489" s="375" t="s">
        <v>30</v>
      </c>
      <c r="W489" s="376" t="s">
        <v>31</v>
      </c>
      <c r="X489" s="377" t="s">
        <v>30</v>
      </c>
      <c r="Y489" s="377" t="s">
        <v>32</v>
      </c>
      <c r="Z489" s="377" t="s">
        <v>7</v>
      </c>
      <c r="AA489" s="377" t="s">
        <v>33</v>
      </c>
      <c r="AB489" s="460" t="s">
        <v>34</v>
      </c>
    </row>
    <row r="490" spans="1:28" s="457" customFormat="1" ht="18" customHeight="1" x14ac:dyDescent="0.2">
      <c r="A490" s="2687"/>
      <c r="B490" s="366" t="s">
        <v>39</v>
      </c>
      <c r="C490" s="2687"/>
      <c r="D490" s="366" t="s">
        <v>40</v>
      </c>
      <c r="E490" s="366" t="s">
        <v>41</v>
      </c>
      <c r="F490" s="2686" t="s">
        <v>42</v>
      </c>
      <c r="G490" s="2686" t="s">
        <v>43</v>
      </c>
      <c r="H490" s="2688" t="s">
        <v>44</v>
      </c>
      <c r="I490" s="366" t="s">
        <v>45</v>
      </c>
      <c r="J490" s="380" t="s">
        <v>46</v>
      </c>
      <c r="K490" s="380" t="s">
        <v>47</v>
      </c>
      <c r="L490" s="2680"/>
      <c r="M490" s="381" t="s">
        <v>30</v>
      </c>
      <c r="N490" s="381" t="s">
        <v>30</v>
      </c>
      <c r="O490" s="381" t="s">
        <v>25</v>
      </c>
      <c r="P490" s="385" t="s">
        <v>30</v>
      </c>
      <c r="Q490" s="461" t="s">
        <v>48</v>
      </c>
      <c r="R490" s="385" t="s">
        <v>49</v>
      </c>
      <c r="S490" s="385" t="s">
        <v>30</v>
      </c>
      <c r="T490" s="374" t="s">
        <v>50</v>
      </c>
      <c r="U490" s="374" t="s">
        <v>13</v>
      </c>
      <c r="V490" s="375" t="s">
        <v>51</v>
      </c>
      <c r="W490" s="376" t="s">
        <v>52</v>
      </c>
      <c r="X490" s="377" t="s">
        <v>53</v>
      </c>
      <c r="Y490" s="377" t="s">
        <v>54</v>
      </c>
      <c r="Z490" s="377" t="s">
        <v>55</v>
      </c>
      <c r="AA490" s="377" t="s">
        <v>56</v>
      </c>
      <c r="AB490" s="460" t="s">
        <v>57</v>
      </c>
    </row>
    <row r="491" spans="1:28" s="457" customFormat="1" ht="18" customHeight="1" x14ac:dyDescent="0.2">
      <c r="A491" s="2687"/>
      <c r="B491" s="366" t="s">
        <v>61</v>
      </c>
      <c r="C491" s="2687"/>
      <c r="D491" s="366" t="s">
        <v>62</v>
      </c>
      <c r="E491" s="366" t="s">
        <v>63</v>
      </c>
      <c r="F491" s="2687"/>
      <c r="G491" s="2687"/>
      <c r="H491" s="2689"/>
      <c r="I491" s="366" t="s">
        <v>64</v>
      </c>
      <c r="J491" s="380" t="s">
        <v>59</v>
      </c>
      <c r="K491" s="380" t="s">
        <v>59</v>
      </c>
      <c r="L491" s="2680"/>
      <c r="M491" s="381"/>
      <c r="N491" s="381"/>
      <c r="O491" s="381" t="s">
        <v>41</v>
      </c>
      <c r="P491" s="385" t="s">
        <v>65</v>
      </c>
      <c r="Q491" s="461" t="s">
        <v>66</v>
      </c>
      <c r="R491" s="385" t="s">
        <v>67</v>
      </c>
      <c r="S491" s="385" t="s">
        <v>59</v>
      </c>
      <c r="T491" s="375" t="s">
        <v>68</v>
      </c>
      <c r="U491" s="375" t="s">
        <v>14</v>
      </c>
      <c r="V491" s="375" t="s">
        <v>14</v>
      </c>
      <c r="W491" s="376" t="s">
        <v>30</v>
      </c>
      <c r="X491" s="388" t="s">
        <v>69</v>
      </c>
      <c r="Y491" s="388" t="s">
        <v>70</v>
      </c>
      <c r="Z491" s="377" t="s">
        <v>71</v>
      </c>
      <c r="AA491" s="377" t="s">
        <v>72</v>
      </c>
      <c r="AB491" s="460" t="s">
        <v>59</v>
      </c>
    </row>
    <row r="492" spans="1:28" s="457" customFormat="1" ht="18" customHeight="1" x14ac:dyDescent="0.2">
      <c r="A492" s="2692"/>
      <c r="B492" s="390"/>
      <c r="C492" s="2692"/>
      <c r="D492" s="390"/>
      <c r="E492" s="389"/>
      <c r="F492" s="390"/>
      <c r="G492" s="390"/>
      <c r="H492" s="391"/>
      <c r="I492" s="389"/>
      <c r="J492" s="393"/>
      <c r="K492" s="393"/>
      <c r="L492" s="2681"/>
      <c r="M492" s="394"/>
      <c r="N492" s="394"/>
      <c r="O492" s="394" t="s">
        <v>63</v>
      </c>
      <c r="P492" s="394"/>
      <c r="Q492" s="450" t="s">
        <v>72</v>
      </c>
      <c r="R492" s="398" t="s">
        <v>59</v>
      </c>
      <c r="S492" s="398"/>
      <c r="T492" s="398" t="s">
        <v>73</v>
      </c>
      <c r="U492" s="398" t="s">
        <v>59</v>
      </c>
      <c r="V492" s="399" t="s">
        <v>59</v>
      </c>
      <c r="W492" s="400" t="s">
        <v>59</v>
      </c>
      <c r="X492" s="401" t="s">
        <v>59</v>
      </c>
      <c r="Y492" s="401" t="s">
        <v>59</v>
      </c>
      <c r="Z492" s="401" t="s">
        <v>59</v>
      </c>
      <c r="AA492" s="402"/>
      <c r="AB492" s="462"/>
    </row>
    <row r="493" spans="1:28" s="457" customFormat="1" ht="18" customHeight="1" x14ac:dyDescent="0.25">
      <c r="A493" s="53">
        <v>1</v>
      </c>
      <c r="B493" s="333">
        <v>43319</v>
      </c>
      <c r="C493" s="41">
        <v>1142</v>
      </c>
      <c r="D493" s="41" t="s">
        <v>215</v>
      </c>
      <c r="E493" s="15">
        <v>2</v>
      </c>
      <c r="F493" s="41">
        <v>0</v>
      </c>
      <c r="G493" s="41">
        <v>3</v>
      </c>
      <c r="H493" s="267">
        <v>97.79</v>
      </c>
      <c r="I493" s="296">
        <v>35</v>
      </c>
      <c r="J493" s="306">
        <v>2000</v>
      </c>
      <c r="K493" s="78">
        <f t="shared" ref="K493:K494" si="128">SUM(I493*J493)</f>
        <v>70000</v>
      </c>
      <c r="L493" s="45">
        <v>1</v>
      </c>
      <c r="M493" s="61">
        <v>103</v>
      </c>
      <c r="N493" s="50" t="s">
        <v>74</v>
      </c>
      <c r="O493" s="50">
        <v>2</v>
      </c>
      <c r="P493" s="19">
        <v>243.37</v>
      </c>
      <c r="Q493" s="62" t="s">
        <v>75</v>
      </c>
      <c r="R493" s="672">
        <v>9050</v>
      </c>
      <c r="S493" s="70">
        <f t="shared" ref="S493:S494" si="129">+P493*R493</f>
        <v>2202498.5</v>
      </c>
      <c r="T493" s="1501">
        <v>18</v>
      </c>
      <c r="U493" s="1687">
        <f>S493*26/100</f>
        <v>572649.61</v>
      </c>
      <c r="V493" s="18">
        <f>+S493-U493</f>
        <v>1629848.8900000001</v>
      </c>
      <c r="W493" s="18">
        <f>K493+V493</f>
        <v>1699848.8900000001</v>
      </c>
      <c r="X493" s="47">
        <f>W493</f>
        <v>1699848.8900000001</v>
      </c>
      <c r="Y493" s="296" t="s">
        <v>87</v>
      </c>
      <c r="Z493" s="296">
        <v>0</v>
      </c>
      <c r="AA493" s="494">
        <v>0.02</v>
      </c>
      <c r="AB493" s="465">
        <f>+Z493*AA493/100</f>
        <v>0</v>
      </c>
    </row>
    <row r="494" spans="1:28" s="457" customFormat="1" ht="18" customHeight="1" x14ac:dyDescent="0.2">
      <c r="A494" s="75"/>
      <c r="B494" s="45"/>
      <c r="C494" s="62"/>
      <c r="D494" s="27"/>
      <c r="E494" s="27"/>
      <c r="F494" s="291">
        <v>0</v>
      </c>
      <c r="G494" s="45">
        <v>0</v>
      </c>
      <c r="H494" s="257">
        <v>2.21</v>
      </c>
      <c r="I494" s="296">
        <v>2.21</v>
      </c>
      <c r="J494" s="306">
        <v>2000</v>
      </c>
      <c r="K494" s="78">
        <f t="shared" si="128"/>
        <v>4420</v>
      </c>
      <c r="L494" s="45">
        <v>2</v>
      </c>
      <c r="M494" s="75">
        <v>504</v>
      </c>
      <c r="N494" s="45" t="s">
        <v>74</v>
      </c>
      <c r="O494" s="45">
        <v>3</v>
      </c>
      <c r="P494" s="257">
        <v>8.8500000000000014</v>
      </c>
      <c r="Q494" s="62" t="s">
        <v>75</v>
      </c>
      <c r="R494" s="743">
        <v>3100</v>
      </c>
      <c r="S494" s="70">
        <f t="shared" si="129"/>
        <v>27435.000000000004</v>
      </c>
      <c r="T494" s="1501">
        <v>9</v>
      </c>
      <c r="U494" s="1687">
        <f>S494*0.09</f>
        <v>2469.15</v>
      </c>
      <c r="V494" s="18">
        <f>+S494-U494</f>
        <v>24965.850000000002</v>
      </c>
      <c r="W494" s="18">
        <f>K494+V494</f>
        <v>29385.850000000002</v>
      </c>
      <c r="X494" s="47">
        <f>W494</f>
        <v>29385.850000000002</v>
      </c>
      <c r="Y494" s="296"/>
      <c r="Z494" s="18">
        <f>+X494*Q494/100</f>
        <v>29385.85</v>
      </c>
      <c r="AA494" s="494">
        <v>0.3</v>
      </c>
      <c r="AB494" s="466">
        <f>+Z494*AA494/100</f>
        <v>88.157549999999986</v>
      </c>
    </row>
    <row r="495" spans="1:28" s="457" customFormat="1" ht="18" customHeight="1" x14ac:dyDescent="0.2">
      <c r="A495" s="145"/>
      <c r="B495" s="177"/>
      <c r="C495" s="177"/>
      <c r="D495" s="145"/>
      <c r="E495" s="145"/>
      <c r="F495" s="145"/>
      <c r="G495" s="145"/>
      <c r="H495" s="147"/>
      <c r="I495" s="107"/>
      <c r="J495" s="178"/>
      <c r="K495" s="107"/>
      <c r="L495" s="145"/>
      <c r="M495" s="145"/>
      <c r="N495" s="145"/>
      <c r="O495" s="145"/>
      <c r="P495" s="147"/>
      <c r="Q495" s="148"/>
      <c r="R495" s="437"/>
      <c r="S495" s="107"/>
      <c r="T495" s="179"/>
      <c r="U495" s="178"/>
      <c r="V495" s="107"/>
      <c r="W495" s="107"/>
      <c r="X495" s="470"/>
      <c r="Y495" s="470"/>
      <c r="Z495" s="471"/>
      <c r="AA495" s="471"/>
      <c r="AB495" s="466"/>
    </row>
    <row r="496" spans="1:28" s="457" customFormat="1" ht="18" customHeight="1" x14ac:dyDescent="0.2">
      <c r="A496" s="145"/>
      <c r="B496" s="177"/>
      <c r="C496" s="177"/>
      <c r="D496" s="145"/>
      <c r="E496" s="145"/>
      <c r="F496" s="145"/>
      <c r="G496" s="145"/>
      <c r="H496" s="147"/>
      <c r="I496" s="107"/>
      <c r="J496" s="178"/>
      <c r="K496" s="107"/>
      <c r="L496" s="145"/>
      <c r="M496" s="145"/>
      <c r="N496" s="145"/>
      <c r="O496" s="145"/>
      <c r="P496" s="147"/>
      <c r="Q496" s="148"/>
      <c r="R496" s="437"/>
      <c r="S496" s="107"/>
      <c r="T496" s="179"/>
      <c r="U496" s="178"/>
      <c r="V496" s="107"/>
      <c r="W496" s="107"/>
      <c r="X496" s="470"/>
      <c r="Y496" s="470"/>
      <c r="Z496" s="471"/>
      <c r="AA496" s="471"/>
      <c r="AB496" s="466"/>
    </row>
    <row r="497" spans="1:28" s="457" customFormat="1" ht="18" customHeight="1" x14ac:dyDescent="0.2">
      <c r="A497" s="145"/>
      <c r="B497" s="177"/>
      <c r="C497" s="177"/>
      <c r="D497" s="145"/>
      <c r="E497" s="145"/>
      <c r="F497" s="145"/>
      <c r="G497" s="145"/>
      <c r="H497" s="147"/>
      <c r="I497" s="107"/>
      <c r="J497" s="178"/>
      <c r="K497" s="107"/>
      <c r="L497" s="145"/>
      <c r="M497" s="145"/>
      <c r="N497" s="145"/>
      <c r="O497" s="145"/>
      <c r="P497" s="147"/>
      <c r="Q497" s="148"/>
      <c r="R497" s="437"/>
      <c r="S497" s="107"/>
      <c r="T497" s="179"/>
      <c r="U497" s="178"/>
      <c r="V497" s="107"/>
      <c r="W497" s="107"/>
      <c r="X497" s="470"/>
      <c r="Y497" s="470"/>
      <c r="Z497" s="471"/>
      <c r="AA497" s="471"/>
      <c r="AB497" s="466"/>
    </row>
    <row r="498" spans="1:28" s="457" customFormat="1" ht="18" customHeight="1" x14ac:dyDescent="0.2">
      <c r="A498" s="145"/>
      <c r="B498" s="177"/>
      <c r="C498" s="177"/>
      <c r="D498" s="145"/>
      <c r="E498" s="145"/>
      <c r="F498" s="145"/>
      <c r="G498" s="145"/>
      <c r="H498" s="147"/>
      <c r="I498" s="107"/>
      <c r="J498" s="178"/>
      <c r="K498" s="107"/>
      <c r="L498" s="145"/>
      <c r="M498" s="145"/>
      <c r="N498" s="145"/>
      <c r="O498" s="145"/>
      <c r="P498" s="147"/>
      <c r="Q498" s="148"/>
      <c r="R498" s="437"/>
      <c r="S498" s="107"/>
      <c r="T498" s="179"/>
      <c r="U498" s="178"/>
      <c r="V498" s="107"/>
      <c r="W498" s="107"/>
      <c r="X498" s="470"/>
      <c r="Y498" s="470"/>
      <c r="Z498" s="471"/>
      <c r="AA498" s="471"/>
      <c r="AB498" s="466"/>
    </row>
    <row r="499" spans="1:28" s="457" customFormat="1" ht="18" customHeight="1" x14ac:dyDescent="0.2">
      <c r="A499" s="145"/>
      <c r="B499" s="177"/>
      <c r="C499" s="177"/>
      <c r="D499" s="145"/>
      <c r="E499" s="145"/>
      <c r="F499" s="145"/>
      <c r="G499" s="145"/>
      <c r="H499" s="147"/>
      <c r="I499" s="107"/>
      <c r="J499" s="178"/>
      <c r="K499" s="107"/>
      <c r="L499" s="145"/>
      <c r="M499" s="145"/>
      <c r="N499" s="145"/>
      <c r="O499" s="145"/>
      <c r="P499" s="147"/>
      <c r="Q499" s="148"/>
      <c r="R499" s="437"/>
      <c r="S499" s="107"/>
      <c r="T499" s="179"/>
      <c r="U499" s="178"/>
      <c r="V499" s="107"/>
      <c r="W499" s="107"/>
      <c r="X499" s="470"/>
      <c r="Y499" s="470"/>
      <c r="Z499" s="471"/>
      <c r="AA499" s="471"/>
      <c r="AB499" s="466"/>
    </row>
    <row r="500" spans="1:28" s="457" customFormat="1" ht="18" customHeight="1" x14ac:dyDescent="0.2">
      <c r="A500" s="145"/>
      <c r="B500" s="177"/>
      <c r="C500" s="177"/>
      <c r="D500" s="145"/>
      <c r="E500" s="145"/>
      <c r="F500" s="145"/>
      <c r="G500" s="145"/>
      <c r="H500" s="147"/>
      <c r="I500" s="107"/>
      <c r="J500" s="178"/>
      <c r="K500" s="107"/>
      <c r="L500" s="145"/>
      <c r="M500" s="145"/>
      <c r="N500" s="145"/>
      <c r="O500" s="145"/>
      <c r="P500" s="147"/>
      <c r="Q500" s="148"/>
      <c r="R500" s="437"/>
      <c r="S500" s="107"/>
      <c r="T500" s="179"/>
      <c r="U500" s="178"/>
      <c r="V500" s="107"/>
      <c r="W500" s="107"/>
      <c r="X500" s="470"/>
      <c r="Y500" s="470"/>
      <c r="Z500" s="471"/>
      <c r="AA500" s="471"/>
      <c r="AB500" s="466"/>
    </row>
    <row r="501" spans="1:28" s="457" customFormat="1" ht="18" customHeight="1" x14ac:dyDescent="0.2">
      <c r="A501" s="145"/>
      <c r="B501" s="177"/>
      <c r="C501" s="177"/>
      <c r="D501" s="145"/>
      <c r="E501" s="145"/>
      <c r="F501" s="145"/>
      <c r="G501" s="145"/>
      <c r="H501" s="147"/>
      <c r="I501" s="107"/>
      <c r="J501" s="178"/>
      <c r="K501" s="107"/>
      <c r="L501" s="145"/>
      <c r="M501" s="145"/>
      <c r="N501" s="145"/>
      <c r="O501" s="145"/>
      <c r="P501" s="147"/>
      <c r="Q501" s="148"/>
      <c r="R501" s="437"/>
      <c r="S501" s="107"/>
      <c r="T501" s="179"/>
      <c r="U501" s="178"/>
      <c r="V501" s="107"/>
      <c r="W501" s="107"/>
      <c r="X501" s="470"/>
      <c r="Y501" s="470"/>
      <c r="Z501" s="471"/>
      <c r="AA501" s="471"/>
      <c r="AB501" s="466"/>
    </row>
    <row r="502" spans="1:28" s="457" customFormat="1" ht="18" customHeight="1" x14ac:dyDescent="0.2">
      <c r="A502" s="145"/>
      <c r="B502" s="177"/>
      <c r="C502" s="177"/>
      <c r="D502" s="145"/>
      <c r="E502" s="145"/>
      <c r="F502" s="145"/>
      <c r="G502" s="145"/>
      <c r="H502" s="147"/>
      <c r="I502" s="107"/>
      <c r="J502" s="178"/>
      <c r="K502" s="107"/>
      <c r="L502" s="145"/>
      <c r="M502" s="145"/>
      <c r="N502" s="145"/>
      <c r="O502" s="145"/>
      <c r="P502" s="147"/>
      <c r="Q502" s="148"/>
      <c r="R502" s="437"/>
      <c r="S502" s="107"/>
      <c r="T502" s="179"/>
      <c r="U502" s="178"/>
      <c r="V502" s="107"/>
      <c r="W502" s="107"/>
      <c r="X502" s="470"/>
      <c r="Y502" s="470"/>
      <c r="Z502" s="471"/>
      <c r="AA502" s="471"/>
      <c r="AB502" s="466"/>
    </row>
    <row r="503" spans="1:28" s="457" customFormat="1" ht="18" customHeight="1" x14ac:dyDescent="0.2">
      <c r="A503" s="145"/>
      <c r="B503" s="177"/>
      <c r="C503" s="177"/>
      <c r="D503" s="145"/>
      <c r="E503" s="145"/>
      <c r="F503" s="145"/>
      <c r="G503" s="145"/>
      <c r="H503" s="147"/>
      <c r="I503" s="107"/>
      <c r="J503" s="178"/>
      <c r="K503" s="107"/>
      <c r="L503" s="145"/>
      <c r="M503" s="145"/>
      <c r="N503" s="145"/>
      <c r="O503" s="145"/>
      <c r="P503" s="147"/>
      <c r="Q503" s="148"/>
      <c r="R503" s="437"/>
      <c r="S503" s="107"/>
      <c r="T503" s="179"/>
      <c r="U503" s="178"/>
      <c r="V503" s="107"/>
      <c r="W503" s="107"/>
      <c r="X503" s="470"/>
      <c r="Y503" s="470"/>
      <c r="Z503" s="471"/>
      <c r="AA503" s="471"/>
      <c r="AB503" s="466"/>
    </row>
    <row r="504" spans="1:28" s="457" customFormat="1" ht="18" customHeight="1" x14ac:dyDescent="0.2">
      <c r="A504" s="145"/>
      <c r="B504" s="177"/>
      <c r="C504" s="177"/>
      <c r="D504" s="145"/>
      <c r="E504" s="145"/>
      <c r="F504" s="145"/>
      <c r="G504" s="145"/>
      <c r="H504" s="147"/>
      <c r="I504" s="107"/>
      <c r="J504" s="178"/>
      <c r="K504" s="107"/>
      <c r="L504" s="145"/>
      <c r="M504" s="145"/>
      <c r="N504" s="145"/>
      <c r="O504" s="145"/>
      <c r="P504" s="147"/>
      <c r="Q504" s="148"/>
      <c r="R504" s="437"/>
      <c r="S504" s="107"/>
      <c r="T504" s="179"/>
      <c r="U504" s="178"/>
      <c r="V504" s="107"/>
      <c r="W504" s="107"/>
      <c r="X504" s="470"/>
      <c r="Y504" s="470"/>
      <c r="Z504" s="471"/>
      <c r="AA504" s="471"/>
      <c r="AB504" s="466"/>
    </row>
    <row r="505" spans="1:28" s="457" customFormat="1" ht="18" customHeight="1" x14ac:dyDescent="0.2">
      <c r="A505" s="145"/>
      <c r="B505" s="177"/>
      <c r="C505" s="177"/>
      <c r="D505" s="145"/>
      <c r="E505" s="145"/>
      <c r="F505" s="145"/>
      <c r="G505" s="145"/>
      <c r="H505" s="147"/>
      <c r="I505" s="107"/>
      <c r="J505" s="178"/>
      <c r="K505" s="107"/>
      <c r="L505" s="145"/>
      <c r="M505" s="145"/>
      <c r="N505" s="145"/>
      <c r="O505" s="145"/>
      <c r="P505" s="147"/>
      <c r="Q505" s="148"/>
      <c r="R505" s="437"/>
      <c r="S505" s="107"/>
      <c r="T505" s="179"/>
      <c r="U505" s="178"/>
      <c r="V505" s="107"/>
      <c r="W505" s="107"/>
      <c r="X505" s="470"/>
      <c r="Y505" s="470"/>
      <c r="Z505" s="471"/>
      <c r="AA505" s="471"/>
      <c r="AB505" s="466"/>
    </row>
    <row r="506" spans="1:28" s="457" customFormat="1" ht="18" customHeight="1" x14ac:dyDescent="0.2">
      <c r="A506" s="145"/>
      <c r="B506" s="177"/>
      <c r="C506" s="177"/>
      <c r="D506" s="145"/>
      <c r="E506" s="145"/>
      <c r="F506" s="145"/>
      <c r="G506" s="145"/>
      <c r="H506" s="147"/>
      <c r="I506" s="107"/>
      <c r="J506" s="178"/>
      <c r="K506" s="107"/>
      <c r="L506" s="145"/>
      <c r="M506" s="145"/>
      <c r="N506" s="145"/>
      <c r="O506" s="145"/>
      <c r="P506" s="147"/>
      <c r="Q506" s="148"/>
      <c r="R506" s="437"/>
      <c r="S506" s="107"/>
      <c r="T506" s="179"/>
      <c r="U506" s="178"/>
      <c r="V506" s="107"/>
      <c r="W506" s="107"/>
      <c r="X506" s="470"/>
      <c r="Y506" s="470"/>
      <c r="Z506" s="471"/>
      <c r="AA506" s="471"/>
      <c r="AB506" s="466"/>
    </row>
    <row r="507" spans="1:28" s="457" customFormat="1" ht="18" customHeight="1" x14ac:dyDescent="0.2">
      <c r="A507" s="88"/>
      <c r="B507" s="180"/>
      <c r="C507" s="180"/>
      <c r="D507" s="88"/>
      <c r="E507" s="88"/>
      <c r="F507" s="88"/>
      <c r="G507" s="88"/>
      <c r="H507" s="120"/>
      <c r="I507" s="121"/>
      <c r="J507" s="181"/>
      <c r="K507" s="121"/>
      <c r="L507" s="88"/>
      <c r="M507" s="88"/>
      <c r="N507" s="88"/>
      <c r="O507" s="88"/>
      <c r="P507" s="88"/>
      <c r="Q507" s="129"/>
      <c r="R507" s="445"/>
      <c r="S507" s="121"/>
      <c r="T507" s="182"/>
      <c r="U507" s="181"/>
      <c r="V507" s="121"/>
      <c r="W507" s="121"/>
      <c r="X507" s="472"/>
      <c r="Y507" s="472"/>
      <c r="Z507" s="473"/>
      <c r="AA507" s="473"/>
      <c r="AB507" s="410"/>
    </row>
    <row r="508" spans="1:28" s="597" customFormat="1" ht="18" customHeight="1" x14ac:dyDescent="0.2">
      <c r="A508" s="1850"/>
      <c r="B508" s="1850"/>
      <c r="C508" s="1850"/>
      <c r="D508" s="1850"/>
      <c r="E508" s="1850"/>
      <c r="F508" s="1850"/>
      <c r="G508" s="1850"/>
      <c r="H508" s="1851"/>
      <c r="I508" s="1852"/>
      <c r="J508" s="1853"/>
      <c r="K508" s="1852"/>
      <c r="L508" s="1852"/>
      <c r="M508" s="1852"/>
      <c r="N508" s="1852"/>
      <c r="O508" s="1852"/>
      <c r="P508" s="1852"/>
      <c r="Q508" s="1852"/>
      <c r="R508" s="1854"/>
      <c r="S508" s="1852"/>
      <c r="T508" s="1855"/>
      <c r="U508" s="1853"/>
      <c r="V508" s="1852"/>
      <c r="W508" s="1852"/>
      <c r="X508" s="1856"/>
      <c r="Y508" s="1856"/>
      <c r="Z508" s="1857"/>
      <c r="AA508" s="1857"/>
      <c r="AB508" s="1847">
        <f>SUM(AB493:AB507)</f>
        <v>88.157549999999986</v>
      </c>
    </row>
    <row r="509" spans="1:28" s="457" customFormat="1" ht="18" customHeight="1" x14ac:dyDescent="0.2">
      <c r="A509" s="2737" t="s">
        <v>76</v>
      </c>
      <c r="B509" s="2737"/>
      <c r="C509" s="2738" t="s">
        <v>77</v>
      </c>
      <c r="D509" s="2738"/>
      <c r="E509" s="2738"/>
      <c r="F509" s="2738"/>
      <c r="G509" s="2738"/>
      <c r="H509" s="2738"/>
      <c r="I509" s="457" t="s">
        <v>78</v>
      </c>
      <c r="AB509" s="478"/>
    </row>
    <row r="510" spans="1:28" s="457" customFormat="1" ht="18" customHeight="1" x14ac:dyDescent="0.2">
      <c r="B510" s="479"/>
      <c r="I510" s="457" t="s">
        <v>79</v>
      </c>
      <c r="AB510" s="478"/>
    </row>
    <row r="511" spans="1:28" s="457" customFormat="1" ht="18" customHeight="1" x14ac:dyDescent="0.2">
      <c r="B511" s="479"/>
      <c r="I511" s="457" t="s">
        <v>80</v>
      </c>
      <c r="AB511" s="478"/>
    </row>
    <row r="512" spans="1:28" s="457" customFormat="1" ht="18" customHeight="1" x14ac:dyDescent="0.2">
      <c r="B512" s="479"/>
      <c r="I512" s="457" t="s">
        <v>81</v>
      </c>
      <c r="AB512" s="478"/>
    </row>
    <row r="513" spans="1:32" s="457" customFormat="1" ht="18" customHeight="1" x14ac:dyDescent="0.2">
      <c r="B513" s="479"/>
      <c r="I513" s="457" t="s">
        <v>88</v>
      </c>
      <c r="AB513" s="478"/>
    </row>
    <row r="514" spans="1:32" s="457" customFormat="1" ht="18" customHeight="1" x14ac:dyDescent="0.2">
      <c r="A514" s="455"/>
      <c r="B514" s="455"/>
      <c r="C514" s="455"/>
      <c r="D514" s="455"/>
      <c r="E514" s="455"/>
      <c r="F514" s="455"/>
      <c r="G514" s="455"/>
      <c r="H514" s="455"/>
      <c r="I514" s="455"/>
      <c r="J514" s="455"/>
      <c r="K514" s="455"/>
      <c r="L514" s="455"/>
      <c r="M514" s="455"/>
      <c r="N514" s="455"/>
      <c r="O514" s="455"/>
      <c r="P514" s="455"/>
      <c r="Q514" s="455"/>
      <c r="R514" s="455"/>
      <c r="S514" s="455"/>
      <c r="T514" s="455"/>
      <c r="U514" s="455"/>
      <c r="V514" s="455"/>
      <c r="W514" s="455"/>
      <c r="X514" s="455"/>
      <c r="Y514" s="455"/>
      <c r="Z514" s="455"/>
      <c r="AA514" s="2705" t="s">
        <v>0</v>
      </c>
      <c r="AB514" s="2705"/>
      <c r="AC514" s="455"/>
      <c r="AD514" s="455"/>
      <c r="AE514" s="455"/>
      <c r="AF514" s="455"/>
    </row>
    <row r="515" spans="1:32" s="457" customFormat="1" ht="18" customHeight="1" x14ac:dyDescent="0.2">
      <c r="A515" s="2706" t="s">
        <v>1</v>
      </c>
      <c r="B515" s="2706"/>
      <c r="C515" s="2706"/>
      <c r="D515" s="2706"/>
      <c r="E515" s="2706"/>
      <c r="F515" s="2706"/>
      <c r="G515" s="2706"/>
      <c r="H515" s="2706"/>
      <c r="I515" s="2706"/>
      <c r="J515" s="2706"/>
      <c r="K515" s="2706"/>
      <c r="L515" s="2706"/>
      <c r="M515" s="2706"/>
      <c r="N515" s="2706"/>
      <c r="O515" s="2706"/>
      <c r="P515" s="2706"/>
      <c r="Q515" s="2706"/>
      <c r="R515" s="2706"/>
      <c r="S515" s="2706"/>
      <c r="T515" s="2706"/>
      <c r="U515" s="2706"/>
      <c r="V515" s="2706"/>
      <c r="W515" s="2706"/>
      <c r="X515" s="2706"/>
      <c r="Y515" s="2706"/>
      <c r="Z515" s="2706"/>
      <c r="AA515" s="2706"/>
      <c r="AB515" s="2706"/>
      <c r="AC515" s="610"/>
      <c r="AD515" s="610"/>
      <c r="AE515" s="610"/>
      <c r="AF515" s="610"/>
    </row>
    <row r="516" spans="1:32" s="457" customFormat="1" ht="18" customHeight="1" x14ac:dyDescent="0.2">
      <c r="A516" s="2704" t="s">
        <v>487</v>
      </c>
      <c r="B516" s="2704"/>
      <c r="C516" s="2704"/>
      <c r="D516" s="2704"/>
      <c r="E516" s="2704"/>
      <c r="F516" s="2704"/>
      <c r="G516" s="2704"/>
      <c r="H516" s="2704"/>
      <c r="I516" s="2704"/>
      <c r="J516" s="2704"/>
      <c r="K516" s="2704"/>
      <c r="L516" s="2704"/>
      <c r="M516" s="2704"/>
      <c r="N516" s="2704"/>
      <c r="O516" s="2704"/>
      <c r="P516" s="2704"/>
      <c r="Q516" s="2704"/>
      <c r="R516" s="2704"/>
      <c r="S516" s="2704"/>
      <c r="T516" s="2704"/>
      <c r="U516" s="2704"/>
      <c r="V516" s="2704"/>
      <c r="W516" s="2704"/>
      <c r="X516" s="2704"/>
      <c r="Y516" s="2704"/>
      <c r="Z516" s="2704"/>
      <c r="AA516" s="2704"/>
      <c r="AB516" s="2704"/>
      <c r="AC516" s="611"/>
      <c r="AD516" s="611"/>
      <c r="AE516" s="611"/>
      <c r="AF516" s="611"/>
    </row>
    <row r="517" spans="1:32" s="457" customFormat="1" ht="18" customHeight="1" x14ac:dyDescent="0.2">
      <c r="A517" s="2686" t="s">
        <v>2</v>
      </c>
      <c r="B517" s="360"/>
      <c r="C517" s="2686" t="s">
        <v>3</v>
      </c>
      <c r="D517" s="360"/>
      <c r="E517" s="360"/>
      <c r="F517" s="2693" t="s">
        <v>4</v>
      </c>
      <c r="G517" s="2693"/>
      <c r="H517" s="2693"/>
      <c r="I517" s="2694"/>
      <c r="J517" s="2694"/>
      <c r="K517" s="2695"/>
      <c r="L517" s="361"/>
      <c r="M517" s="2679" t="s">
        <v>5</v>
      </c>
      <c r="N517" s="2679"/>
      <c r="O517" s="2679"/>
      <c r="P517" s="2679"/>
      <c r="Q517" s="2696"/>
      <c r="R517" s="2696"/>
      <c r="S517" s="2696"/>
      <c r="T517" s="2696"/>
      <c r="U517" s="2696"/>
      <c r="V517" s="2697"/>
      <c r="W517" s="362" t="s">
        <v>6</v>
      </c>
      <c r="X517" s="363" t="s">
        <v>7</v>
      </c>
      <c r="Y517" s="364"/>
      <c r="Z517" s="364"/>
      <c r="AA517" s="363"/>
      <c r="AB517" s="458"/>
      <c r="AC517" s="612" t="s">
        <v>8</v>
      </c>
      <c r="AD517" s="613"/>
      <c r="AE517" s="613"/>
      <c r="AF517" s="614"/>
    </row>
    <row r="518" spans="1:32" s="457" customFormat="1" ht="18" customHeight="1" x14ac:dyDescent="0.2">
      <c r="A518" s="2687"/>
      <c r="B518" s="367"/>
      <c r="C518" s="2687"/>
      <c r="D518" s="366" t="s">
        <v>9</v>
      </c>
      <c r="E518" s="366" t="s">
        <v>10</v>
      </c>
      <c r="F518" s="2698" t="s">
        <v>11</v>
      </c>
      <c r="G518" s="2694"/>
      <c r="H518" s="2695"/>
      <c r="I518" s="360"/>
      <c r="J518" s="449" t="s">
        <v>12</v>
      </c>
      <c r="K518" s="360"/>
      <c r="L518" s="2679" t="s">
        <v>2</v>
      </c>
      <c r="M518" s="370"/>
      <c r="N518" s="370"/>
      <c r="O518" s="370"/>
      <c r="P518" s="371"/>
      <c r="Q518" s="459" t="s">
        <v>13</v>
      </c>
      <c r="R518" s="370" t="s">
        <v>12</v>
      </c>
      <c r="S518" s="370" t="s">
        <v>6</v>
      </c>
      <c r="T518" s="2682" t="s">
        <v>14</v>
      </c>
      <c r="U518" s="2683"/>
      <c r="V518" s="375" t="s">
        <v>7</v>
      </c>
      <c r="W518" s="376" t="s">
        <v>15</v>
      </c>
      <c r="X518" s="377" t="s">
        <v>16</v>
      </c>
      <c r="Y518" s="377" t="s">
        <v>17</v>
      </c>
      <c r="Z518" s="377" t="s">
        <v>18</v>
      </c>
      <c r="AA518" s="377"/>
      <c r="AB518" s="460" t="s">
        <v>19</v>
      </c>
      <c r="AC518" s="615" t="s">
        <v>20</v>
      </c>
      <c r="AD518" s="616"/>
      <c r="AE518" s="617" t="s">
        <v>21</v>
      </c>
      <c r="AF518" s="618" t="s">
        <v>22</v>
      </c>
    </row>
    <row r="519" spans="1:32" s="457" customFormat="1" ht="18" customHeight="1" x14ac:dyDescent="0.2">
      <c r="A519" s="2687"/>
      <c r="B519" s="366" t="s">
        <v>23</v>
      </c>
      <c r="C519" s="2687"/>
      <c r="D519" s="366" t="s">
        <v>24</v>
      </c>
      <c r="E519" s="366" t="s">
        <v>25</v>
      </c>
      <c r="F519" s="2699"/>
      <c r="G519" s="2700"/>
      <c r="H519" s="2701"/>
      <c r="I519" s="366" t="s">
        <v>26</v>
      </c>
      <c r="J519" s="380" t="s">
        <v>15</v>
      </c>
      <c r="K519" s="380" t="s">
        <v>6</v>
      </c>
      <c r="L519" s="2680"/>
      <c r="M519" s="381" t="s">
        <v>27</v>
      </c>
      <c r="N519" s="381" t="s">
        <v>10</v>
      </c>
      <c r="O519" s="381" t="s">
        <v>10</v>
      </c>
      <c r="P519" s="385" t="s">
        <v>28</v>
      </c>
      <c r="Q519" s="461" t="s">
        <v>29</v>
      </c>
      <c r="R519" s="385" t="s">
        <v>15</v>
      </c>
      <c r="S519" s="385" t="s">
        <v>15</v>
      </c>
      <c r="T519" s="2684"/>
      <c r="U519" s="2685"/>
      <c r="V519" s="375" t="s">
        <v>30</v>
      </c>
      <c r="W519" s="376" t="s">
        <v>31</v>
      </c>
      <c r="X519" s="377" t="s">
        <v>30</v>
      </c>
      <c r="Y519" s="377" t="s">
        <v>32</v>
      </c>
      <c r="Z519" s="377" t="s">
        <v>7</v>
      </c>
      <c r="AA519" s="377" t="s">
        <v>33</v>
      </c>
      <c r="AB519" s="460" t="s">
        <v>34</v>
      </c>
      <c r="AC519" s="615" t="s">
        <v>35</v>
      </c>
      <c r="AD519" s="617" t="s">
        <v>36</v>
      </c>
      <c r="AE519" s="617" t="s">
        <v>37</v>
      </c>
      <c r="AF519" s="618" t="s">
        <v>38</v>
      </c>
    </row>
    <row r="520" spans="1:32" s="457" customFormat="1" ht="18" customHeight="1" x14ac:dyDescent="0.2">
      <c r="A520" s="2687"/>
      <c r="B520" s="366" t="s">
        <v>39</v>
      </c>
      <c r="C520" s="2687"/>
      <c r="D520" s="366" t="s">
        <v>40</v>
      </c>
      <c r="E520" s="366" t="s">
        <v>41</v>
      </c>
      <c r="F520" s="2686" t="s">
        <v>42</v>
      </c>
      <c r="G520" s="2686" t="s">
        <v>43</v>
      </c>
      <c r="H520" s="2688" t="s">
        <v>44</v>
      </c>
      <c r="I520" s="366" t="s">
        <v>45</v>
      </c>
      <c r="J520" s="380" t="s">
        <v>46</v>
      </c>
      <c r="K520" s="380" t="s">
        <v>47</v>
      </c>
      <c r="L520" s="2680"/>
      <c r="M520" s="381" t="s">
        <v>30</v>
      </c>
      <c r="N520" s="381" t="s">
        <v>30</v>
      </c>
      <c r="O520" s="381" t="s">
        <v>25</v>
      </c>
      <c r="P520" s="385" t="s">
        <v>30</v>
      </c>
      <c r="Q520" s="461" t="s">
        <v>48</v>
      </c>
      <c r="R520" s="385" t="s">
        <v>49</v>
      </c>
      <c r="S520" s="385" t="s">
        <v>30</v>
      </c>
      <c r="T520" s="374" t="s">
        <v>50</v>
      </c>
      <c r="U520" s="374" t="s">
        <v>13</v>
      </c>
      <c r="V520" s="375" t="s">
        <v>51</v>
      </c>
      <c r="W520" s="376" t="s">
        <v>52</v>
      </c>
      <c r="X520" s="377" t="s">
        <v>53</v>
      </c>
      <c r="Y520" s="377" t="s">
        <v>54</v>
      </c>
      <c r="Z520" s="377" t="s">
        <v>55</v>
      </c>
      <c r="AA520" s="377" t="s">
        <v>56</v>
      </c>
      <c r="AB520" s="460" t="s">
        <v>57</v>
      </c>
      <c r="AC520" s="617" t="s">
        <v>58</v>
      </c>
      <c r="AD520" s="617" t="s">
        <v>59</v>
      </c>
      <c r="AE520" s="617" t="s">
        <v>59</v>
      </c>
      <c r="AF520" s="618" t="s">
        <v>60</v>
      </c>
    </row>
    <row r="521" spans="1:32" s="457" customFormat="1" ht="18" customHeight="1" x14ac:dyDescent="0.2">
      <c r="A521" s="2687"/>
      <c r="B521" s="366" t="s">
        <v>61</v>
      </c>
      <c r="C521" s="2687"/>
      <c r="D521" s="366" t="s">
        <v>62</v>
      </c>
      <c r="E521" s="366" t="s">
        <v>63</v>
      </c>
      <c r="F521" s="2687"/>
      <c r="G521" s="2687"/>
      <c r="H521" s="2689"/>
      <c r="I521" s="366" t="s">
        <v>64</v>
      </c>
      <c r="J521" s="380" t="s">
        <v>59</v>
      </c>
      <c r="K521" s="380" t="s">
        <v>59</v>
      </c>
      <c r="L521" s="2680"/>
      <c r="M521" s="381"/>
      <c r="N521" s="381"/>
      <c r="O521" s="381" t="s">
        <v>41</v>
      </c>
      <c r="P521" s="385" t="s">
        <v>65</v>
      </c>
      <c r="Q521" s="461" t="s">
        <v>66</v>
      </c>
      <c r="R521" s="385" t="s">
        <v>67</v>
      </c>
      <c r="S521" s="385" t="s">
        <v>59</v>
      </c>
      <c r="T521" s="375" t="s">
        <v>68</v>
      </c>
      <c r="U521" s="375" t="s">
        <v>14</v>
      </c>
      <c r="V521" s="375" t="s">
        <v>14</v>
      </c>
      <c r="W521" s="376" t="s">
        <v>30</v>
      </c>
      <c r="X521" s="388" t="s">
        <v>69</v>
      </c>
      <c r="Y521" s="388" t="s">
        <v>70</v>
      </c>
      <c r="Z521" s="377" t="s">
        <v>71</v>
      </c>
      <c r="AA521" s="377" t="s">
        <v>72</v>
      </c>
      <c r="AB521" s="460" t="s">
        <v>59</v>
      </c>
      <c r="AC521" s="617" t="s">
        <v>59</v>
      </c>
      <c r="AD521" s="617"/>
      <c r="AE521" s="617"/>
      <c r="AF521" s="618" t="s">
        <v>59</v>
      </c>
    </row>
    <row r="522" spans="1:32" s="457" customFormat="1" ht="18" customHeight="1" x14ac:dyDescent="0.2">
      <c r="A522" s="2692"/>
      <c r="B522" s="390"/>
      <c r="C522" s="2692"/>
      <c r="D522" s="390"/>
      <c r="E522" s="389"/>
      <c r="F522" s="390"/>
      <c r="G522" s="390"/>
      <c r="H522" s="391"/>
      <c r="I522" s="389"/>
      <c r="J522" s="393"/>
      <c r="K522" s="393"/>
      <c r="L522" s="2681"/>
      <c r="M522" s="394"/>
      <c r="N522" s="394"/>
      <c r="O522" s="394" t="s">
        <v>63</v>
      </c>
      <c r="P522" s="394"/>
      <c r="Q522" s="450" t="s">
        <v>72</v>
      </c>
      <c r="R522" s="398" t="s">
        <v>59</v>
      </c>
      <c r="S522" s="398"/>
      <c r="T522" s="398" t="s">
        <v>73</v>
      </c>
      <c r="U522" s="398" t="s">
        <v>59</v>
      </c>
      <c r="V522" s="399" t="s">
        <v>59</v>
      </c>
      <c r="W522" s="400" t="s">
        <v>59</v>
      </c>
      <c r="X522" s="401" t="s">
        <v>59</v>
      </c>
      <c r="Y522" s="401" t="s">
        <v>59</v>
      </c>
      <c r="Z522" s="401" t="s">
        <v>59</v>
      </c>
      <c r="AA522" s="402"/>
      <c r="AB522" s="462"/>
      <c r="AC522" s="625"/>
      <c r="AD522" s="625"/>
      <c r="AE522" s="625"/>
      <c r="AF522" s="626"/>
    </row>
    <row r="523" spans="1:32" s="457" customFormat="1" ht="18" customHeight="1" x14ac:dyDescent="0.25">
      <c r="A523" s="2799">
        <v>1</v>
      </c>
      <c r="B523" s="1660">
        <v>75479</v>
      </c>
      <c r="C523" s="1539">
        <v>3315</v>
      </c>
      <c r="D523" s="41" t="s">
        <v>215</v>
      </c>
      <c r="E523" s="15">
        <v>2</v>
      </c>
      <c r="F523" s="41">
        <v>0</v>
      </c>
      <c r="G523" s="41">
        <v>0</v>
      </c>
      <c r="H523" s="267">
        <v>35</v>
      </c>
      <c r="I523" s="77">
        <f t="shared" ref="I523:I524" si="130">F523*400+G523*100+H523</f>
        <v>35</v>
      </c>
      <c r="J523" s="306">
        <v>2300</v>
      </c>
      <c r="K523" s="297">
        <f>I523*J523</f>
        <v>80500</v>
      </c>
      <c r="L523" s="45">
        <v>1</v>
      </c>
      <c r="M523" s="61">
        <v>103</v>
      </c>
      <c r="N523" s="50" t="s">
        <v>74</v>
      </c>
      <c r="O523" s="50">
        <v>2</v>
      </c>
      <c r="P523" s="19">
        <v>144</v>
      </c>
      <c r="Q523" s="62" t="s">
        <v>75</v>
      </c>
      <c r="R523" s="672">
        <v>9050</v>
      </c>
      <c r="S523" s="47">
        <f t="shared" ref="S523:S524" si="131">+P523*R523</f>
        <v>1303200</v>
      </c>
      <c r="T523" s="1501">
        <v>8</v>
      </c>
      <c r="U523" s="1670">
        <f>+S523*0.08</f>
        <v>104256</v>
      </c>
      <c r="V523" s="18">
        <f t="shared" ref="V523" si="132">+S523-U523</f>
        <v>1198944</v>
      </c>
      <c r="W523" s="18">
        <f t="shared" ref="W523" si="133">K523+V523</f>
        <v>1279444</v>
      </c>
      <c r="X523" s="47">
        <f>W523*Q523/100</f>
        <v>1279444</v>
      </c>
      <c r="Y523" s="296" t="s">
        <v>87</v>
      </c>
      <c r="Z523" s="296">
        <v>0</v>
      </c>
      <c r="AA523" s="494">
        <v>0.01</v>
      </c>
      <c r="AB523" s="406">
        <f>+Z523*AA523/100</f>
        <v>0</v>
      </c>
      <c r="AC523" s="602"/>
      <c r="AD523" s="603" t="e">
        <f>#REF!-AC523</f>
        <v>#REF!</v>
      </c>
      <c r="AE523" s="603" t="e">
        <f>IF(AD523&lt;=0,0,AD523*25/100)</f>
        <v>#REF!</v>
      </c>
      <c r="AF523" s="603" t="e">
        <f>IF(AC523+AE523&gt;#REF!,#REF!,AC523+AE523)</f>
        <v>#REF!</v>
      </c>
    </row>
    <row r="524" spans="1:32" s="457" customFormat="1" ht="18" customHeight="1" x14ac:dyDescent="0.2">
      <c r="A524" s="2800"/>
      <c r="B524" s="45"/>
      <c r="C524" s="62"/>
      <c r="D524" s="27"/>
      <c r="E524" s="27"/>
      <c r="F524" s="291">
        <v>0</v>
      </c>
      <c r="G524" s="45">
        <v>0</v>
      </c>
      <c r="H524" s="257">
        <v>16</v>
      </c>
      <c r="I524" s="77">
        <f t="shared" si="130"/>
        <v>16</v>
      </c>
      <c r="J524" s="306">
        <v>2300</v>
      </c>
      <c r="K524" s="297">
        <f>I524*J524</f>
        <v>36800</v>
      </c>
      <c r="L524" s="45">
        <v>2</v>
      </c>
      <c r="M524" s="61" t="s">
        <v>260</v>
      </c>
      <c r="N524" s="50" t="s">
        <v>74</v>
      </c>
      <c r="O524" s="50">
        <v>3</v>
      </c>
      <c r="P524" s="19">
        <v>49</v>
      </c>
      <c r="Q524" s="62" t="s">
        <v>75</v>
      </c>
      <c r="R524" s="672">
        <v>9050</v>
      </c>
      <c r="S524" s="47">
        <f t="shared" si="131"/>
        <v>443450</v>
      </c>
      <c r="T524" s="1501">
        <v>8</v>
      </c>
      <c r="U524" s="1670">
        <f>+S524*0.08</f>
        <v>35476</v>
      </c>
      <c r="V524" s="18">
        <f t="shared" ref="V524" si="134">+S524-U524</f>
        <v>407974</v>
      </c>
      <c r="W524" s="18">
        <f t="shared" ref="W524" si="135">K524+V524</f>
        <v>444774</v>
      </c>
      <c r="X524" s="47">
        <f>W524*Q524/100</f>
        <v>444774</v>
      </c>
      <c r="Y524" s="296"/>
      <c r="Z524" s="18">
        <f t="shared" ref="Z524" si="136">+X524</f>
        <v>444774</v>
      </c>
      <c r="AA524" s="494">
        <v>0.3</v>
      </c>
      <c r="AB524" s="415">
        <f>+Z524*AA524/100</f>
        <v>1334.3219999999999</v>
      </c>
      <c r="AC524" s="350"/>
      <c r="AD524" s="350"/>
      <c r="AE524" s="350"/>
      <c r="AF524" s="350"/>
    </row>
    <row r="525" spans="1:32" s="457" customFormat="1" ht="18" customHeight="1" x14ac:dyDescent="0.2">
      <c r="A525" s="75"/>
      <c r="B525" s="88"/>
      <c r="C525" s="88"/>
      <c r="D525" s="88"/>
      <c r="E525" s="88"/>
      <c r="F525" s="88"/>
      <c r="G525" s="88"/>
      <c r="H525" s="495"/>
      <c r="I525" s="77"/>
      <c r="J525" s="107"/>
      <c r="K525" s="78"/>
      <c r="L525" s="75"/>
      <c r="M525" s="61"/>
      <c r="N525" s="61"/>
      <c r="O525" s="61"/>
      <c r="P525" s="173"/>
      <c r="Q525" s="174"/>
      <c r="R525" s="408"/>
      <c r="S525" s="77"/>
      <c r="T525" s="1978"/>
      <c r="U525" s="128"/>
      <c r="V525" s="74"/>
      <c r="W525" s="77"/>
      <c r="X525" s="74"/>
      <c r="Y525" s="77"/>
      <c r="Z525" s="77"/>
      <c r="AA525" s="409"/>
      <c r="AB525" s="415"/>
      <c r="AC525" s="350"/>
      <c r="AD525" s="350"/>
      <c r="AE525" s="350"/>
      <c r="AF525" s="350"/>
    </row>
    <row r="526" spans="1:32" s="457" customFormat="1" ht="18" customHeight="1" x14ac:dyDescent="0.2">
      <c r="A526" s="145"/>
      <c r="B526" s="177"/>
      <c r="C526" s="177"/>
      <c r="D526" s="145"/>
      <c r="E526" s="145"/>
      <c r="F526" s="145"/>
      <c r="G526" s="145"/>
      <c r="H526" s="147"/>
      <c r="I526" s="107"/>
      <c r="J526" s="178"/>
      <c r="K526" s="107"/>
      <c r="L526" s="145"/>
      <c r="M526" s="145"/>
      <c r="N526" s="145"/>
      <c r="O526" s="145"/>
      <c r="P526" s="147"/>
      <c r="Q526" s="148"/>
      <c r="R526" s="437"/>
      <c r="S526" s="107"/>
      <c r="T526" s="179"/>
      <c r="U526" s="178"/>
      <c r="V526" s="107"/>
      <c r="W526" s="107"/>
      <c r="X526" s="470"/>
      <c r="Y526" s="470"/>
      <c r="Z526" s="471"/>
      <c r="AA526" s="471"/>
      <c r="AB526" s="410"/>
      <c r="AC526" s="350"/>
      <c r="AD526" s="350"/>
      <c r="AE526" s="350"/>
      <c r="AF526" s="350"/>
    </row>
    <row r="527" spans="1:32" s="457" customFormat="1" ht="18" customHeight="1" x14ac:dyDescent="0.2">
      <c r="A527" s="145"/>
      <c r="B527" s="177"/>
      <c r="C527" s="177"/>
      <c r="D527" s="145"/>
      <c r="E527" s="145"/>
      <c r="F527" s="145"/>
      <c r="G527" s="145"/>
      <c r="H527" s="147"/>
      <c r="I527" s="107"/>
      <c r="J527" s="178"/>
      <c r="K527" s="107"/>
      <c r="L527" s="145"/>
      <c r="M527" s="145"/>
      <c r="N527" s="145"/>
      <c r="O527" s="145"/>
      <c r="P527" s="147"/>
      <c r="Q527" s="148"/>
      <c r="R527" s="437"/>
      <c r="S527" s="107"/>
      <c r="T527" s="179"/>
      <c r="U527" s="178"/>
      <c r="V527" s="107"/>
      <c r="W527" s="107"/>
      <c r="X527" s="470"/>
      <c r="Y527" s="470"/>
      <c r="Z527" s="471"/>
      <c r="AA527" s="471"/>
      <c r="AB527" s="466"/>
      <c r="AC527" s="350"/>
      <c r="AD527" s="350"/>
      <c r="AE527" s="350"/>
      <c r="AF527" s="350"/>
    </row>
    <row r="528" spans="1:32" s="457" customFormat="1" ht="18" customHeight="1" x14ac:dyDescent="0.2">
      <c r="A528" s="145"/>
      <c r="B528" s="177"/>
      <c r="C528" s="177"/>
      <c r="D528" s="145"/>
      <c r="E528" s="145"/>
      <c r="F528" s="145"/>
      <c r="G528" s="145"/>
      <c r="H528" s="147"/>
      <c r="I528" s="107"/>
      <c r="J528" s="178"/>
      <c r="K528" s="107"/>
      <c r="L528" s="145"/>
      <c r="M528" s="145"/>
      <c r="N528" s="145"/>
      <c r="O528" s="145"/>
      <c r="P528" s="147"/>
      <c r="Q528" s="148"/>
      <c r="R528" s="437"/>
      <c r="S528" s="107"/>
      <c r="T528" s="179"/>
      <c r="U528" s="178"/>
      <c r="V528" s="107"/>
      <c r="W528" s="107"/>
      <c r="X528" s="470"/>
      <c r="Y528" s="470"/>
      <c r="Z528" s="471"/>
      <c r="AA528" s="471"/>
      <c r="AB528" s="466"/>
      <c r="AC528" s="350"/>
      <c r="AD528" s="350"/>
      <c r="AE528" s="350"/>
      <c r="AF528" s="350"/>
    </row>
    <row r="529" spans="1:32" s="457" customFormat="1" ht="18" customHeight="1" x14ac:dyDescent="0.2">
      <c r="A529" s="145"/>
      <c r="B529" s="177"/>
      <c r="C529" s="177"/>
      <c r="D529" s="145"/>
      <c r="E529" s="145"/>
      <c r="F529" s="145"/>
      <c r="G529" s="145"/>
      <c r="H529" s="147"/>
      <c r="I529" s="107"/>
      <c r="J529" s="178"/>
      <c r="K529" s="107"/>
      <c r="L529" s="145"/>
      <c r="M529" s="145"/>
      <c r="N529" s="145"/>
      <c r="O529" s="145"/>
      <c r="P529" s="147"/>
      <c r="Q529" s="148"/>
      <c r="R529" s="437"/>
      <c r="S529" s="107"/>
      <c r="T529" s="179"/>
      <c r="U529" s="178"/>
      <c r="V529" s="107"/>
      <c r="W529" s="107"/>
      <c r="X529" s="470"/>
      <c r="Y529" s="470"/>
      <c r="Z529" s="471"/>
      <c r="AA529" s="471"/>
      <c r="AB529" s="466"/>
      <c r="AC529" s="350"/>
      <c r="AD529" s="350"/>
      <c r="AE529" s="350"/>
      <c r="AF529" s="350"/>
    </row>
    <row r="530" spans="1:32" s="457" customFormat="1" ht="18" customHeight="1" x14ac:dyDescent="0.2">
      <c r="A530" s="145"/>
      <c r="B530" s="177"/>
      <c r="C530" s="177"/>
      <c r="D530" s="145"/>
      <c r="E530" s="145"/>
      <c r="F530" s="145"/>
      <c r="G530" s="145"/>
      <c r="H530" s="147"/>
      <c r="I530" s="107"/>
      <c r="J530" s="178"/>
      <c r="K530" s="107"/>
      <c r="L530" s="145"/>
      <c r="M530" s="145"/>
      <c r="N530" s="145"/>
      <c r="O530" s="145"/>
      <c r="P530" s="147"/>
      <c r="Q530" s="148"/>
      <c r="R530" s="437"/>
      <c r="S530" s="107"/>
      <c r="T530" s="179"/>
      <c r="U530" s="178"/>
      <c r="V530" s="107"/>
      <c r="W530" s="107"/>
      <c r="X530" s="470"/>
      <c r="Y530" s="470"/>
      <c r="Z530" s="471"/>
      <c r="AA530" s="471"/>
      <c r="AB530" s="466"/>
      <c r="AC530" s="350"/>
      <c r="AD530" s="350"/>
      <c r="AE530" s="350"/>
      <c r="AF530" s="350"/>
    </row>
    <row r="531" spans="1:32" s="457" customFormat="1" ht="18" customHeight="1" x14ac:dyDescent="0.2">
      <c r="A531" s="145"/>
      <c r="B531" s="177"/>
      <c r="C531" s="177"/>
      <c r="D531" s="145"/>
      <c r="E531" s="145"/>
      <c r="F531" s="145"/>
      <c r="G531" s="145"/>
      <c r="H531" s="147"/>
      <c r="I531" s="107"/>
      <c r="J531" s="178"/>
      <c r="K531" s="107"/>
      <c r="L531" s="145"/>
      <c r="M531" s="145"/>
      <c r="N531" s="145"/>
      <c r="O531" s="145"/>
      <c r="P531" s="147"/>
      <c r="Q531" s="148"/>
      <c r="R531" s="437"/>
      <c r="S531" s="107"/>
      <c r="T531" s="179"/>
      <c r="U531" s="178"/>
      <c r="V531" s="107"/>
      <c r="W531" s="107"/>
      <c r="X531" s="470"/>
      <c r="Y531" s="470"/>
      <c r="Z531" s="471"/>
      <c r="AA531" s="471"/>
      <c r="AB531" s="466"/>
      <c r="AC531" s="350"/>
      <c r="AD531" s="350"/>
      <c r="AE531" s="350"/>
      <c r="AF531" s="350"/>
    </row>
    <row r="532" spans="1:32" s="457" customFormat="1" ht="18" customHeight="1" x14ac:dyDescent="0.2">
      <c r="A532" s="145"/>
      <c r="B532" s="177"/>
      <c r="C532" s="177"/>
      <c r="D532" s="145"/>
      <c r="E532" s="145"/>
      <c r="F532" s="145"/>
      <c r="G532" s="145"/>
      <c r="H532" s="147"/>
      <c r="I532" s="107"/>
      <c r="J532" s="178"/>
      <c r="K532" s="107"/>
      <c r="L532" s="145"/>
      <c r="M532" s="145"/>
      <c r="N532" s="145"/>
      <c r="O532" s="145"/>
      <c r="P532" s="147"/>
      <c r="Q532" s="148"/>
      <c r="R532" s="437"/>
      <c r="S532" s="107"/>
      <c r="T532" s="179"/>
      <c r="U532" s="178"/>
      <c r="V532" s="107"/>
      <c r="W532" s="107"/>
      <c r="X532" s="470"/>
      <c r="Y532" s="470"/>
      <c r="Z532" s="471"/>
      <c r="AA532" s="471"/>
      <c r="AB532" s="466"/>
      <c r="AC532" s="350"/>
      <c r="AD532" s="350"/>
      <c r="AE532" s="350"/>
      <c r="AF532" s="350"/>
    </row>
    <row r="533" spans="1:32" s="457" customFormat="1" ht="18" customHeight="1" x14ac:dyDescent="0.2">
      <c r="A533" s="145"/>
      <c r="B533" s="177"/>
      <c r="C533" s="177"/>
      <c r="D533" s="145"/>
      <c r="E533" s="145"/>
      <c r="F533" s="145"/>
      <c r="G533" s="145"/>
      <c r="H533" s="147"/>
      <c r="I533" s="107"/>
      <c r="J533" s="178"/>
      <c r="K533" s="107"/>
      <c r="L533" s="145"/>
      <c r="M533" s="145"/>
      <c r="N533" s="145"/>
      <c r="O533" s="145"/>
      <c r="P533" s="147"/>
      <c r="Q533" s="148"/>
      <c r="R533" s="437"/>
      <c r="S533" s="107"/>
      <c r="T533" s="179"/>
      <c r="U533" s="178"/>
      <c r="V533" s="107"/>
      <c r="W533" s="107"/>
      <c r="X533" s="470"/>
      <c r="Y533" s="470"/>
      <c r="Z533" s="471"/>
      <c r="AA533" s="471"/>
      <c r="AB533" s="466"/>
      <c r="AC533" s="350"/>
      <c r="AD533" s="350"/>
      <c r="AE533" s="350"/>
      <c r="AF533" s="350"/>
    </row>
    <row r="534" spans="1:32" s="457" customFormat="1" ht="18" customHeight="1" x14ac:dyDescent="0.2">
      <c r="A534" s="145"/>
      <c r="B534" s="177"/>
      <c r="C534" s="177"/>
      <c r="D534" s="145"/>
      <c r="E534" s="145"/>
      <c r="F534" s="145"/>
      <c r="G534" s="145"/>
      <c r="H534" s="147"/>
      <c r="I534" s="107"/>
      <c r="J534" s="178"/>
      <c r="K534" s="107"/>
      <c r="L534" s="145"/>
      <c r="M534" s="145"/>
      <c r="N534" s="145"/>
      <c r="O534" s="145"/>
      <c r="P534" s="147"/>
      <c r="Q534" s="148"/>
      <c r="R534" s="437"/>
      <c r="S534" s="107"/>
      <c r="T534" s="179"/>
      <c r="U534" s="178"/>
      <c r="V534" s="107"/>
      <c r="W534" s="107"/>
      <c r="X534" s="470"/>
      <c r="Y534" s="470"/>
      <c r="Z534" s="471"/>
      <c r="AA534" s="471"/>
      <c r="AB534" s="466"/>
      <c r="AC534" s="350"/>
      <c r="AD534" s="350"/>
      <c r="AE534" s="350"/>
      <c r="AF534" s="350"/>
    </row>
    <row r="535" spans="1:32" s="457" customFormat="1" ht="18" customHeight="1" x14ac:dyDescent="0.2">
      <c r="A535" s="145"/>
      <c r="B535" s="177"/>
      <c r="C535" s="177"/>
      <c r="D535" s="145"/>
      <c r="E535" s="145"/>
      <c r="F535" s="145"/>
      <c r="G535" s="145"/>
      <c r="H535" s="147"/>
      <c r="I535" s="107"/>
      <c r="J535" s="178"/>
      <c r="K535" s="107"/>
      <c r="L535" s="145"/>
      <c r="M535" s="145"/>
      <c r="N535" s="145"/>
      <c r="O535" s="145"/>
      <c r="P535" s="147"/>
      <c r="Q535" s="148"/>
      <c r="R535" s="437"/>
      <c r="S535" s="107"/>
      <c r="T535" s="179"/>
      <c r="U535" s="178"/>
      <c r="V535" s="107"/>
      <c r="W535" s="107"/>
      <c r="X535" s="470"/>
      <c r="Y535" s="470"/>
      <c r="Z535" s="471"/>
      <c r="AA535" s="471"/>
      <c r="AB535" s="466"/>
      <c r="AC535" s="350"/>
      <c r="AD535" s="350"/>
      <c r="AE535" s="350"/>
      <c r="AF535" s="350"/>
    </row>
    <row r="536" spans="1:32" s="457" customFormat="1" ht="18" customHeight="1" x14ac:dyDescent="0.2">
      <c r="A536" s="145"/>
      <c r="B536" s="177"/>
      <c r="C536" s="177"/>
      <c r="D536" s="145"/>
      <c r="E536" s="145"/>
      <c r="F536" s="145"/>
      <c r="G536" s="145"/>
      <c r="H536" s="147"/>
      <c r="I536" s="107"/>
      <c r="J536" s="178"/>
      <c r="K536" s="107"/>
      <c r="L536" s="145"/>
      <c r="M536" s="145"/>
      <c r="N536" s="145"/>
      <c r="O536" s="145"/>
      <c r="P536" s="147"/>
      <c r="Q536" s="148"/>
      <c r="R536" s="437"/>
      <c r="S536" s="107"/>
      <c r="T536" s="179"/>
      <c r="U536" s="178"/>
      <c r="V536" s="107"/>
      <c r="W536" s="107"/>
      <c r="X536" s="470"/>
      <c r="Y536" s="470"/>
      <c r="Z536" s="471"/>
      <c r="AA536" s="471"/>
      <c r="AB536" s="466"/>
      <c r="AC536" s="350"/>
      <c r="AD536" s="350"/>
      <c r="AE536" s="350"/>
      <c r="AF536" s="350"/>
    </row>
    <row r="537" spans="1:32" s="457" customFormat="1" ht="18" customHeight="1" x14ac:dyDescent="0.2">
      <c r="A537" s="88"/>
      <c r="B537" s="180"/>
      <c r="C537" s="180"/>
      <c r="D537" s="88"/>
      <c r="E537" s="88"/>
      <c r="F537" s="88"/>
      <c r="G537" s="88"/>
      <c r="H537" s="120"/>
      <c r="I537" s="121"/>
      <c r="J537" s="181"/>
      <c r="K537" s="121"/>
      <c r="L537" s="88"/>
      <c r="M537" s="88"/>
      <c r="N537" s="88"/>
      <c r="O537" s="88"/>
      <c r="P537" s="88"/>
      <c r="Q537" s="129"/>
      <c r="R537" s="445"/>
      <c r="S537" s="121"/>
      <c r="T537" s="182"/>
      <c r="U537" s="181"/>
      <c r="V537" s="121"/>
      <c r="W537" s="121"/>
      <c r="X537" s="472"/>
      <c r="Y537" s="472"/>
      <c r="Z537" s="473"/>
      <c r="AA537" s="473"/>
      <c r="AB537" s="410"/>
      <c r="AC537" s="351"/>
      <c r="AD537" s="351"/>
      <c r="AE537" s="351"/>
      <c r="AF537" s="351"/>
    </row>
    <row r="538" spans="1:32" s="597" customFormat="1" ht="18" customHeight="1" x14ac:dyDescent="0.2">
      <c r="A538" s="1850"/>
      <c r="B538" s="1850"/>
      <c r="C538" s="1850"/>
      <c r="D538" s="1850"/>
      <c r="E538" s="1850"/>
      <c r="F538" s="1850"/>
      <c r="G538" s="1850"/>
      <c r="H538" s="1851"/>
      <c r="I538" s="1852"/>
      <c r="J538" s="1853"/>
      <c r="K538" s="1852"/>
      <c r="L538" s="1852"/>
      <c r="M538" s="1852"/>
      <c r="N538" s="1852"/>
      <c r="O538" s="1852"/>
      <c r="P538" s="1852"/>
      <c r="Q538" s="1852"/>
      <c r="R538" s="1854"/>
      <c r="S538" s="1852"/>
      <c r="T538" s="1855"/>
      <c r="U538" s="1853"/>
      <c r="V538" s="1852"/>
      <c r="W538" s="1852"/>
      <c r="X538" s="1856"/>
      <c r="Y538" s="1856"/>
      <c r="Z538" s="1857"/>
      <c r="AA538" s="1857"/>
      <c r="AB538" s="1847">
        <f>SUM(AB523:AB537)</f>
        <v>1334.3219999999999</v>
      </c>
      <c r="AC538" s="1861"/>
      <c r="AD538" s="1861"/>
      <c r="AE538" s="1861"/>
      <c r="AF538" s="1861"/>
    </row>
    <row r="539" spans="1:32" s="457" customFormat="1" ht="18" customHeight="1" x14ac:dyDescent="0.2">
      <c r="A539" s="2737" t="s">
        <v>76</v>
      </c>
      <c r="B539" s="2737"/>
      <c r="C539" s="2738" t="s">
        <v>77</v>
      </c>
      <c r="D539" s="2738"/>
      <c r="E539" s="2738"/>
      <c r="F539" s="2738"/>
      <c r="G539" s="2738"/>
      <c r="H539" s="2738"/>
      <c r="I539" s="457" t="s">
        <v>78</v>
      </c>
      <c r="AB539" s="478"/>
    </row>
    <row r="540" spans="1:32" s="457" customFormat="1" ht="18" customHeight="1" x14ac:dyDescent="0.2">
      <c r="B540" s="479"/>
      <c r="I540" s="457" t="s">
        <v>79</v>
      </c>
      <c r="AB540" s="478"/>
    </row>
    <row r="541" spans="1:32" s="457" customFormat="1" ht="18" customHeight="1" x14ac:dyDescent="0.2">
      <c r="B541" s="479"/>
      <c r="I541" s="457" t="s">
        <v>80</v>
      </c>
      <c r="AB541" s="478"/>
    </row>
    <row r="542" spans="1:32" s="457" customFormat="1" ht="18" customHeight="1" x14ac:dyDescent="0.2">
      <c r="B542" s="479"/>
      <c r="I542" s="457" t="s">
        <v>81</v>
      </c>
      <c r="AB542" s="478"/>
    </row>
    <row r="543" spans="1:32" ht="18" customHeight="1" x14ac:dyDescent="0.2">
      <c r="B543" s="435"/>
      <c r="I543" s="457" t="s">
        <v>88</v>
      </c>
    </row>
    <row r="544" spans="1:32" s="457" customFormat="1" ht="18" customHeight="1" x14ac:dyDescent="0.2">
      <c r="A544" s="455"/>
      <c r="B544" s="455"/>
      <c r="C544" s="455"/>
      <c r="D544" s="455"/>
      <c r="E544" s="455"/>
      <c r="F544" s="455"/>
      <c r="G544" s="455"/>
      <c r="H544" s="455"/>
      <c r="I544" s="455"/>
      <c r="J544" s="455"/>
      <c r="K544" s="455"/>
      <c r="L544" s="455"/>
      <c r="M544" s="455"/>
      <c r="N544" s="455"/>
      <c r="O544" s="455"/>
      <c r="P544" s="455"/>
      <c r="Q544" s="455"/>
      <c r="R544" s="455"/>
      <c r="S544" s="455"/>
      <c r="T544" s="455"/>
      <c r="U544" s="455"/>
      <c r="V544" s="455"/>
      <c r="W544" s="455"/>
      <c r="X544" s="455"/>
      <c r="Y544" s="455"/>
      <c r="Z544" s="455"/>
      <c r="AA544" s="2705" t="s">
        <v>0</v>
      </c>
      <c r="AB544" s="2705"/>
      <c r="AC544" s="455"/>
      <c r="AD544" s="455"/>
      <c r="AE544" s="455"/>
      <c r="AF544" s="455"/>
    </row>
    <row r="545" spans="1:32" s="457" customFormat="1" ht="18" customHeight="1" x14ac:dyDescent="0.2">
      <c r="A545" s="2706" t="s">
        <v>1</v>
      </c>
      <c r="B545" s="2706"/>
      <c r="C545" s="2706"/>
      <c r="D545" s="2706"/>
      <c r="E545" s="2706"/>
      <c r="F545" s="2706"/>
      <c r="G545" s="2706"/>
      <c r="H545" s="2706"/>
      <c r="I545" s="2706"/>
      <c r="J545" s="2706"/>
      <c r="K545" s="2706"/>
      <c r="L545" s="2706"/>
      <c r="M545" s="2706"/>
      <c r="N545" s="2706"/>
      <c r="O545" s="2706"/>
      <c r="P545" s="2706"/>
      <c r="Q545" s="2706"/>
      <c r="R545" s="2706"/>
      <c r="S545" s="2706"/>
      <c r="T545" s="2706"/>
      <c r="U545" s="2706"/>
      <c r="V545" s="2706"/>
      <c r="W545" s="2706"/>
      <c r="X545" s="2706"/>
      <c r="Y545" s="2706"/>
      <c r="Z545" s="2706"/>
      <c r="AA545" s="2706"/>
      <c r="AB545" s="2706"/>
      <c r="AC545" s="610"/>
      <c r="AD545" s="610"/>
      <c r="AE545" s="610"/>
      <c r="AF545" s="610"/>
    </row>
    <row r="546" spans="1:32" s="457" customFormat="1" ht="18" customHeight="1" x14ac:dyDescent="0.2">
      <c r="A546" s="2704" t="s">
        <v>504</v>
      </c>
      <c r="B546" s="2704"/>
      <c r="C546" s="2704"/>
      <c r="D546" s="2704"/>
      <c r="E546" s="2704"/>
      <c r="F546" s="2704"/>
      <c r="G546" s="2704"/>
      <c r="H546" s="2704"/>
      <c r="I546" s="2704"/>
      <c r="J546" s="2704"/>
      <c r="K546" s="2704"/>
      <c r="L546" s="2704"/>
      <c r="M546" s="2704"/>
      <c r="N546" s="2704"/>
      <c r="O546" s="2704"/>
      <c r="P546" s="2704"/>
      <c r="Q546" s="2704"/>
      <c r="R546" s="2704"/>
      <c r="S546" s="2704"/>
      <c r="T546" s="2704"/>
      <c r="U546" s="2704"/>
      <c r="V546" s="2704"/>
      <c r="W546" s="2704"/>
      <c r="X546" s="2704"/>
      <c r="Y546" s="2704"/>
      <c r="Z546" s="2704"/>
      <c r="AA546" s="2704"/>
      <c r="AB546" s="2704"/>
      <c r="AC546" s="611"/>
      <c r="AD546" s="611"/>
      <c r="AE546" s="611"/>
      <c r="AF546" s="611"/>
    </row>
    <row r="547" spans="1:32" s="457" customFormat="1" ht="18" customHeight="1" x14ac:dyDescent="0.2">
      <c r="A547" s="2686" t="s">
        <v>2</v>
      </c>
      <c r="B547" s="360"/>
      <c r="C547" s="2686" t="s">
        <v>3</v>
      </c>
      <c r="D547" s="360"/>
      <c r="E547" s="360"/>
      <c r="F547" s="2693" t="s">
        <v>4</v>
      </c>
      <c r="G547" s="2693"/>
      <c r="H547" s="2693"/>
      <c r="I547" s="2694"/>
      <c r="J547" s="2694"/>
      <c r="K547" s="2695"/>
      <c r="L547" s="361"/>
      <c r="M547" s="2679" t="s">
        <v>5</v>
      </c>
      <c r="N547" s="2679"/>
      <c r="O547" s="2679"/>
      <c r="P547" s="2679"/>
      <c r="Q547" s="2696"/>
      <c r="R547" s="2696"/>
      <c r="S547" s="2696"/>
      <c r="T547" s="2696"/>
      <c r="U547" s="2696"/>
      <c r="V547" s="2697"/>
      <c r="W547" s="362" t="s">
        <v>6</v>
      </c>
      <c r="X547" s="363" t="s">
        <v>7</v>
      </c>
      <c r="Y547" s="364"/>
      <c r="Z547" s="364"/>
      <c r="AA547" s="363"/>
      <c r="AB547" s="458"/>
      <c r="AC547" s="612" t="s">
        <v>8</v>
      </c>
      <c r="AD547" s="613"/>
      <c r="AE547" s="613"/>
      <c r="AF547" s="614"/>
    </row>
    <row r="548" spans="1:32" s="457" customFormat="1" ht="18" customHeight="1" x14ac:dyDescent="0.2">
      <c r="A548" s="2687"/>
      <c r="B548" s="367"/>
      <c r="C548" s="2687"/>
      <c r="D548" s="366" t="s">
        <v>9</v>
      </c>
      <c r="E548" s="366" t="s">
        <v>10</v>
      </c>
      <c r="F548" s="2698" t="s">
        <v>11</v>
      </c>
      <c r="G548" s="2694"/>
      <c r="H548" s="2695"/>
      <c r="I548" s="360"/>
      <c r="J548" s="449" t="s">
        <v>12</v>
      </c>
      <c r="K548" s="360"/>
      <c r="L548" s="2679" t="s">
        <v>2</v>
      </c>
      <c r="M548" s="370"/>
      <c r="N548" s="370"/>
      <c r="O548" s="370"/>
      <c r="P548" s="371"/>
      <c r="Q548" s="459" t="s">
        <v>13</v>
      </c>
      <c r="R548" s="370" t="s">
        <v>12</v>
      </c>
      <c r="S548" s="370" t="s">
        <v>6</v>
      </c>
      <c r="T548" s="2682" t="s">
        <v>14</v>
      </c>
      <c r="U548" s="2683"/>
      <c r="V548" s="375" t="s">
        <v>7</v>
      </c>
      <c r="W548" s="376" t="s">
        <v>15</v>
      </c>
      <c r="X548" s="377" t="s">
        <v>16</v>
      </c>
      <c r="Y548" s="377" t="s">
        <v>17</v>
      </c>
      <c r="Z548" s="377" t="s">
        <v>18</v>
      </c>
      <c r="AA548" s="377"/>
      <c r="AB548" s="460" t="s">
        <v>19</v>
      </c>
      <c r="AC548" s="615" t="s">
        <v>20</v>
      </c>
      <c r="AD548" s="616"/>
      <c r="AE548" s="617" t="s">
        <v>21</v>
      </c>
      <c r="AF548" s="618" t="s">
        <v>22</v>
      </c>
    </row>
    <row r="549" spans="1:32" s="457" customFormat="1" ht="18" customHeight="1" x14ac:dyDescent="0.2">
      <c r="A549" s="2687"/>
      <c r="B549" s="366" t="s">
        <v>23</v>
      </c>
      <c r="C549" s="2687"/>
      <c r="D549" s="366" t="s">
        <v>24</v>
      </c>
      <c r="E549" s="366" t="s">
        <v>25</v>
      </c>
      <c r="F549" s="2699"/>
      <c r="G549" s="2700"/>
      <c r="H549" s="2701"/>
      <c r="I549" s="366" t="s">
        <v>26</v>
      </c>
      <c r="J549" s="380" t="s">
        <v>15</v>
      </c>
      <c r="K549" s="380" t="s">
        <v>6</v>
      </c>
      <c r="L549" s="2680"/>
      <c r="M549" s="381" t="s">
        <v>27</v>
      </c>
      <c r="N549" s="381" t="s">
        <v>10</v>
      </c>
      <c r="O549" s="381" t="s">
        <v>10</v>
      </c>
      <c r="P549" s="385" t="s">
        <v>28</v>
      </c>
      <c r="Q549" s="461" t="s">
        <v>29</v>
      </c>
      <c r="R549" s="385" t="s">
        <v>15</v>
      </c>
      <c r="S549" s="385" t="s">
        <v>15</v>
      </c>
      <c r="T549" s="2684"/>
      <c r="U549" s="2685"/>
      <c r="V549" s="375" t="s">
        <v>30</v>
      </c>
      <c r="W549" s="376" t="s">
        <v>31</v>
      </c>
      <c r="X549" s="377" t="s">
        <v>30</v>
      </c>
      <c r="Y549" s="377" t="s">
        <v>32</v>
      </c>
      <c r="Z549" s="377" t="s">
        <v>7</v>
      </c>
      <c r="AA549" s="377" t="s">
        <v>33</v>
      </c>
      <c r="AB549" s="460" t="s">
        <v>34</v>
      </c>
      <c r="AC549" s="615" t="s">
        <v>35</v>
      </c>
      <c r="AD549" s="617" t="s">
        <v>36</v>
      </c>
      <c r="AE549" s="617" t="s">
        <v>37</v>
      </c>
      <c r="AF549" s="618" t="s">
        <v>38</v>
      </c>
    </row>
    <row r="550" spans="1:32" s="457" customFormat="1" ht="18" customHeight="1" x14ac:dyDescent="0.2">
      <c r="A550" s="2687"/>
      <c r="B550" s="366" t="s">
        <v>39</v>
      </c>
      <c r="C550" s="2687"/>
      <c r="D550" s="366" t="s">
        <v>40</v>
      </c>
      <c r="E550" s="366" t="s">
        <v>41</v>
      </c>
      <c r="F550" s="2686" t="s">
        <v>42</v>
      </c>
      <c r="G550" s="2686" t="s">
        <v>43</v>
      </c>
      <c r="H550" s="2688" t="s">
        <v>44</v>
      </c>
      <c r="I550" s="366" t="s">
        <v>45</v>
      </c>
      <c r="J550" s="380" t="s">
        <v>46</v>
      </c>
      <c r="K550" s="380" t="s">
        <v>47</v>
      </c>
      <c r="L550" s="2680"/>
      <c r="M550" s="381" t="s">
        <v>30</v>
      </c>
      <c r="N550" s="381" t="s">
        <v>30</v>
      </c>
      <c r="O550" s="381" t="s">
        <v>25</v>
      </c>
      <c r="P550" s="385" t="s">
        <v>30</v>
      </c>
      <c r="Q550" s="461" t="s">
        <v>48</v>
      </c>
      <c r="R550" s="385" t="s">
        <v>49</v>
      </c>
      <c r="S550" s="385" t="s">
        <v>30</v>
      </c>
      <c r="T550" s="374" t="s">
        <v>50</v>
      </c>
      <c r="U550" s="374" t="s">
        <v>13</v>
      </c>
      <c r="V550" s="375" t="s">
        <v>51</v>
      </c>
      <c r="W550" s="376" t="s">
        <v>52</v>
      </c>
      <c r="X550" s="377" t="s">
        <v>53</v>
      </c>
      <c r="Y550" s="377" t="s">
        <v>54</v>
      </c>
      <c r="Z550" s="377" t="s">
        <v>55</v>
      </c>
      <c r="AA550" s="377" t="s">
        <v>56</v>
      </c>
      <c r="AB550" s="460" t="s">
        <v>57</v>
      </c>
      <c r="AC550" s="617" t="s">
        <v>58</v>
      </c>
      <c r="AD550" s="617" t="s">
        <v>59</v>
      </c>
      <c r="AE550" s="617" t="s">
        <v>59</v>
      </c>
      <c r="AF550" s="618" t="s">
        <v>60</v>
      </c>
    </row>
    <row r="551" spans="1:32" s="457" customFormat="1" ht="18" customHeight="1" x14ac:dyDescent="0.2">
      <c r="A551" s="2687"/>
      <c r="B551" s="366" t="s">
        <v>61</v>
      </c>
      <c r="C551" s="2687"/>
      <c r="D551" s="366" t="s">
        <v>62</v>
      </c>
      <c r="E551" s="366" t="s">
        <v>63</v>
      </c>
      <c r="F551" s="2687"/>
      <c r="G551" s="2687"/>
      <c r="H551" s="2689"/>
      <c r="I551" s="366" t="s">
        <v>64</v>
      </c>
      <c r="J551" s="380" t="s">
        <v>59</v>
      </c>
      <c r="K551" s="380" t="s">
        <v>59</v>
      </c>
      <c r="L551" s="2680"/>
      <c r="M551" s="381"/>
      <c r="N551" s="381"/>
      <c r="O551" s="381" t="s">
        <v>41</v>
      </c>
      <c r="P551" s="385" t="s">
        <v>65</v>
      </c>
      <c r="Q551" s="461" t="s">
        <v>66</v>
      </c>
      <c r="R551" s="385" t="s">
        <v>67</v>
      </c>
      <c r="S551" s="385" t="s">
        <v>59</v>
      </c>
      <c r="T551" s="375" t="s">
        <v>68</v>
      </c>
      <c r="U551" s="375" t="s">
        <v>14</v>
      </c>
      <c r="V551" s="375" t="s">
        <v>14</v>
      </c>
      <c r="W551" s="376" t="s">
        <v>30</v>
      </c>
      <c r="X551" s="388" t="s">
        <v>69</v>
      </c>
      <c r="Y551" s="388" t="s">
        <v>70</v>
      </c>
      <c r="Z551" s="377" t="s">
        <v>71</v>
      </c>
      <c r="AA551" s="377" t="s">
        <v>72</v>
      </c>
      <c r="AB551" s="460" t="s">
        <v>59</v>
      </c>
      <c r="AC551" s="617" t="s">
        <v>59</v>
      </c>
      <c r="AD551" s="617"/>
      <c r="AE551" s="617"/>
      <c r="AF551" s="618" t="s">
        <v>59</v>
      </c>
    </row>
    <row r="552" spans="1:32" s="457" customFormat="1" ht="18" customHeight="1" x14ac:dyDescent="0.2">
      <c r="A552" s="2692"/>
      <c r="B552" s="390"/>
      <c r="C552" s="2692"/>
      <c r="D552" s="390"/>
      <c r="E552" s="389"/>
      <c r="F552" s="390"/>
      <c r="G552" s="390"/>
      <c r="H552" s="391"/>
      <c r="I552" s="389"/>
      <c r="J552" s="393"/>
      <c r="K552" s="393"/>
      <c r="L552" s="2681"/>
      <c r="M552" s="394"/>
      <c r="N552" s="394"/>
      <c r="O552" s="394" t="s">
        <v>63</v>
      </c>
      <c r="P552" s="394"/>
      <c r="Q552" s="450" t="s">
        <v>72</v>
      </c>
      <c r="R552" s="398" t="s">
        <v>59</v>
      </c>
      <c r="S552" s="398"/>
      <c r="T552" s="398" t="s">
        <v>73</v>
      </c>
      <c r="U552" s="398" t="s">
        <v>59</v>
      </c>
      <c r="V552" s="399" t="s">
        <v>59</v>
      </c>
      <c r="W552" s="400" t="s">
        <v>59</v>
      </c>
      <c r="X552" s="401" t="s">
        <v>59</v>
      </c>
      <c r="Y552" s="401" t="s">
        <v>59</v>
      </c>
      <c r="Z552" s="401" t="s">
        <v>59</v>
      </c>
      <c r="AA552" s="402"/>
      <c r="AB552" s="462"/>
      <c r="AC552" s="625"/>
      <c r="AD552" s="625"/>
      <c r="AE552" s="625"/>
      <c r="AF552" s="626"/>
    </row>
    <row r="553" spans="1:32" s="457" customFormat="1" ht="18" customHeight="1" x14ac:dyDescent="0.25">
      <c r="A553" s="53">
        <v>1</v>
      </c>
      <c r="B553" s="333">
        <v>1956</v>
      </c>
      <c r="C553" s="41">
        <v>184</v>
      </c>
      <c r="D553" s="41" t="s">
        <v>215</v>
      </c>
      <c r="E553" s="41">
        <v>5</v>
      </c>
      <c r="F553" s="41">
        <v>1</v>
      </c>
      <c r="G553" s="41">
        <v>3</v>
      </c>
      <c r="H553" s="267">
        <v>61</v>
      </c>
      <c r="I553" s="77">
        <f t="shared" ref="I553" si="137">F553*400+G553*100+H553</f>
        <v>761</v>
      </c>
      <c r="J553" s="306">
        <v>2000</v>
      </c>
      <c r="K553" s="297">
        <f>I553*J553</f>
        <v>1522000</v>
      </c>
      <c r="L553" s="16"/>
      <c r="M553" s="41"/>
      <c r="N553" s="50"/>
      <c r="O553" s="16"/>
      <c r="P553" s="16"/>
      <c r="Q553" s="41"/>
      <c r="R553" s="41"/>
      <c r="S553" s="310"/>
      <c r="T553" s="1097"/>
      <c r="U553" s="302"/>
      <c r="V553" s="1425"/>
      <c r="W553" s="1426"/>
      <c r="X553" s="16"/>
      <c r="Y553" s="41"/>
      <c r="Z553" s="41"/>
      <c r="AA553" s="1097"/>
      <c r="AB553" s="82"/>
      <c r="AC553" s="602"/>
      <c r="AD553" s="603">
        <f>AB583-AC553</f>
        <v>0</v>
      </c>
      <c r="AE553" s="603">
        <f>IF(AD553&lt;=0,0,AD553*25/100)</f>
        <v>0</v>
      </c>
      <c r="AF553" s="603">
        <f>IF(AC553+AE553&gt;AB583,AB583,AC553+AE553)</f>
        <v>0</v>
      </c>
    </row>
    <row r="554" spans="1:32" s="457" customFormat="1" ht="18" customHeight="1" x14ac:dyDescent="0.2">
      <c r="A554" s="75"/>
      <c r="B554" s="27"/>
      <c r="C554" s="27"/>
      <c r="D554" s="27"/>
      <c r="E554" s="27"/>
      <c r="F554" s="27"/>
      <c r="G554" s="27"/>
      <c r="H554" s="557"/>
      <c r="I554" s="296"/>
      <c r="J554" s="306"/>
      <c r="K554" s="297"/>
      <c r="L554" s="50">
        <v>1</v>
      </c>
      <c r="M554" s="61">
        <v>106</v>
      </c>
      <c r="N554" s="50" t="s">
        <v>96</v>
      </c>
      <c r="O554" s="50">
        <v>2</v>
      </c>
      <c r="P554" s="19">
        <v>323.3</v>
      </c>
      <c r="Q554" s="76" t="s">
        <v>234</v>
      </c>
      <c r="R554" s="672">
        <v>7950</v>
      </c>
      <c r="S554" s="47">
        <f t="shared" ref="S554:S557" si="138">+P554*R554</f>
        <v>2570235</v>
      </c>
      <c r="T554" s="1515">
        <v>36</v>
      </c>
      <c r="U554" s="1670">
        <f>+S554*0.85</f>
        <v>2184699.75</v>
      </c>
      <c r="V554" s="18">
        <f t="shared" ref="V554" si="139">+S554-U554</f>
        <v>385535.25</v>
      </c>
      <c r="W554" s="18">
        <f t="shared" ref="W554" si="140">K554+V554</f>
        <v>385535.25</v>
      </c>
      <c r="X554" s="47">
        <f>W554*Q554/100</f>
        <v>231321.15</v>
      </c>
      <c r="Y554" s="792" t="s">
        <v>89</v>
      </c>
      <c r="Z554" s="296">
        <v>0</v>
      </c>
      <c r="AA554" s="494">
        <v>0.02</v>
      </c>
      <c r="AB554" s="466">
        <f>+Z554*AA554/100</f>
        <v>0</v>
      </c>
      <c r="AC554" s="732"/>
      <c r="AD554" s="603"/>
      <c r="AE554" s="603"/>
      <c r="AF554" s="603"/>
    </row>
    <row r="555" spans="1:32" s="457" customFormat="1" ht="18" customHeight="1" x14ac:dyDescent="0.2">
      <c r="A555" s="75"/>
      <c r="B555" s="27"/>
      <c r="C555" s="27"/>
      <c r="D555" s="27"/>
      <c r="E555" s="27"/>
      <c r="F555" s="27"/>
      <c r="G555" s="27"/>
      <c r="H555" s="557"/>
      <c r="I555" s="305"/>
      <c r="J555" s="306"/>
      <c r="K555" s="297"/>
      <c r="L555" s="45">
        <v>2</v>
      </c>
      <c r="M555" s="61">
        <v>103</v>
      </c>
      <c r="N555" s="50" t="s">
        <v>74</v>
      </c>
      <c r="O555" s="50">
        <v>3</v>
      </c>
      <c r="P555" s="19">
        <v>215.54</v>
      </c>
      <c r="Q555" s="62" t="s">
        <v>235</v>
      </c>
      <c r="R555" s="672">
        <v>9050</v>
      </c>
      <c r="S555" s="47">
        <f t="shared" si="138"/>
        <v>1950637</v>
      </c>
      <c r="T555" s="1501">
        <v>26</v>
      </c>
      <c r="U555" s="1670">
        <f>+S555*0.42</f>
        <v>819267.53999999992</v>
      </c>
      <c r="V555" s="18">
        <f t="shared" ref="V555:V557" si="141">+S555-U555</f>
        <v>1131369.46</v>
      </c>
      <c r="W555" s="18">
        <f t="shared" ref="W555:W557" si="142">K555+V555</f>
        <v>1131369.46</v>
      </c>
      <c r="X555" s="47">
        <f t="shared" ref="X555:X557" si="143">W555*Q555/100</f>
        <v>452547.78399999999</v>
      </c>
      <c r="Y555" s="792" t="s">
        <v>102</v>
      </c>
      <c r="Z555" s="18">
        <f t="shared" ref="Z555:Z557" si="144">+X555</f>
        <v>452547.78399999999</v>
      </c>
      <c r="AA555" s="494">
        <v>0.3</v>
      </c>
      <c r="AB555" s="416">
        <f>+Z555*AA555/100</f>
        <v>1357.643352</v>
      </c>
      <c r="AC555" s="350"/>
      <c r="AD555" s="350"/>
      <c r="AE555" s="350"/>
      <c r="AF555" s="350"/>
    </row>
    <row r="556" spans="1:32" s="457" customFormat="1" ht="18" customHeight="1" x14ac:dyDescent="0.2">
      <c r="A556" s="75"/>
      <c r="B556" s="27"/>
      <c r="C556" s="27"/>
      <c r="D556" s="27"/>
      <c r="E556" s="27"/>
      <c r="F556" s="27"/>
      <c r="G556" s="27"/>
      <c r="H556" s="557"/>
      <c r="I556" s="299"/>
      <c r="J556" s="305"/>
      <c r="K556" s="297"/>
      <c r="L556" s="45">
        <v>3</v>
      </c>
      <c r="M556" s="61">
        <v>103</v>
      </c>
      <c r="N556" s="50" t="s">
        <v>74</v>
      </c>
      <c r="O556" s="50">
        <v>3</v>
      </c>
      <c r="P556" s="19">
        <v>100</v>
      </c>
      <c r="Q556" s="62" t="s">
        <v>75</v>
      </c>
      <c r="R556" s="672">
        <v>9050</v>
      </c>
      <c r="S556" s="47">
        <f t="shared" si="138"/>
        <v>905000</v>
      </c>
      <c r="T556" s="1501">
        <v>9</v>
      </c>
      <c r="U556" s="1670">
        <f>+S556*0.09</f>
        <v>81450</v>
      </c>
      <c r="V556" s="18">
        <f t="shared" si="141"/>
        <v>823550</v>
      </c>
      <c r="W556" s="18">
        <f t="shared" si="142"/>
        <v>823550</v>
      </c>
      <c r="X556" s="47">
        <f t="shared" si="143"/>
        <v>823550</v>
      </c>
      <c r="Y556" s="792" t="s">
        <v>102</v>
      </c>
      <c r="Z556" s="18">
        <f t="shared" si="144"/>
        <v>823550</v>
      </c>
      <c r="AA556" s="494">
        <v>0.3</v>
      </c>
      <c r="AB556" s="415">
        <f>+Z556*AA556/100</f>
        <v>2470.65</v>
      </c>
      <c r="AC556" s="350"/>
      <c r="AD556" s="350"/>
      <c r="AE556" s="350"/>
      <c r="AF556" s="350"/>
    </row>
    <row r="557" spans="1:32" s="457" customFormat="1" ht="18" customHeight="1" x14ac:dyDescent="0.2">
      <c r="A557" s="75"/>
      <c r="B557" s="45"/>
      <c r="C557" s="32"/>
      <c r="D557" s="804"/>
      <c r="E557" s="27"/>
      <c r="F557" s="291"/>
      <c r="G557" s="45"/>
      <c r="H557" s="257"/>
      <c r="I557" s="299"/>
      <c r="J557" s="305"/>
      <c r="K557" s="304"/>
      <c r="L557" s="45">
        <v>4</v>
      </c>
      <c r="M557" s="61">
        <v>504</v>
      </c>
      <c r="N557" s="50" t="s">
        <v>74</v>
      </c>
      <c r="O557" s="50">
        <v>3</v>
      </c>
      <c r="P557" s="257">
        <v>252</v>
      </c>
      <c r="Q557" s="62" t="s">
        <v>75</v>
      </c>
      <c r="R557" s="672">
        <v>3100</v>
      </c>
      <c r="S557" s="47">
        <f t="shared" si="138"/>
        <v>781200</v>
      </c>
      <c r="T557" s="1501">
        <v>14</v>
      </c>
      <c r="U557" s="1670">
        <f>+S557*0.18</f>
        <v>140616</v>
      </c>
      <c r="V557" s="18">
        <f t="shared" si="141"/>
        <v>640584</v>
      </c>
      <c r="W557" s="18">
        <f t="shared" si="142"/>
        <v>640584</v>
      </c>
      <c r="X557" s="47">
        <f t="shared" si="143"/>
        <v>640584</v>
      </c>
      <c r="Y557" s="792" t="s">
        <v>102</v>
      </c>
      <c r="Z557" s="18">
        <f t="shared" si="144"/>
        <v>640584</v>
      </c>
      <c r="AA557" s="494">
        <v>0.3</v>
      </c>
      <c r="AB557" s="415">
        <f>+Z557*AA557/100</f>
        <v>1921.7519999999997</v>
      </c>
      <c r="AC557" s="350"/>
      <c r="AD557" s="350"/>
      <c r="AE557" s="350"/>
      <c r="AF557" s="350"/>
    </row>
    <row r="558" spans="1:32" s="457" customFormat="1" ht="18" customHeight="1" x14ac:dyDescent="0.2">
      <c r="A558" s="75"/>
      <c r="B558" s="75"/>
      <c r="C558" s="129"/>
      <c r="D558" s="238"/>
      <c r="E558" s="145"/>
      <c r="F558" s="467"/>
      <c r="G558" s="61"/>
      <c r="H558" s="173"/>
      <c r="I558" s="77"/>
      <c r="J558" s="107"/>
      <c r="K558" s="78"/>
      <c r="L558" s="61"/>
      <c r="M558" s="61"/>
      <c r="N558" s="61"/>
      <c r="O558" s="61"/>
      <c r="P558" s="173"/>
      <c r="Q558" s="196"/>
      <c r="R558" s="408"/>
      <c r="S558" s="150"/>
      <c r="T558" s="109"/>
      <c r="U558" s="121"/>
      <c r="V558" s="121"/>
      <c r="W558" s="121"/>
      <c r="X558" s="121"/>
      <c r="Y558" s="121"/>
      <c r="Z558" s="121"/>
      <c r="AA558" s="1427"/>
      <c r="AB558" s="410"/>
      <c r="AC558" s="350"/>
      <c r="AD558" s="350"/>
      <c r="AE558" s="350"/>
      <c r="AF558" s="350"/>
    </row>
    <row r="559" spans="1:32" s="457" customFormat="1" ht="18" customHeight="1" x14ac:dyDescent="0.2">
      <c r="A559" s="75"/>
      <c r="B559" s="75"/>
      <c r="C559" s="174"/>
      <c r="D559" s="88"/>
      <c r="E559" s="88"/>
      <c r="F559" s="418"/>
      <c r="G559" s="75"/>
      <c r="H559" s="188"/>
      <c r="I559" s="77"/>
      <c r="J559" s="107"/>
      <c r="K559" s="78"/>
      <c r="L559" s="75"/>
      <c r="M559" s="75"/>
      <c r="N559" s="75"/>
      <c r="O559" s="75"/>
      <c r="P559" s="188"/>
      <c r="Q559" s="174"/>
      <c r="R559" s="413"/>
      <c r="S559" s="914"/>
      <c r="T559" s="109"/>
      <c r="U559" s="121"/>
      <c r="V559" s="121"/>
      <c r="W559" s="121"/>
      <c r="X559" s="121"/>
      <c r="Y559" s="121"/>
      <c r="Z559" s="150"/>
      <c r="AA559" s="1044"/>
      <c r="AB559" s="410"/>
      <c r="AC559" s="350"/>
      <c r="AD559" s="350"/>
      <c r="AE559" s="350"/>
      <c r="AF559" s="350"/>
    </row>
    <row r="560" spans="1:32" s="457" customFormat="1" ht="18" customHeight="1" x14ac:dyDescent="0.2">
      <c r="A560" s="75"/>
      <c r="B560" s="75"/>
      <c r="C560" s="174"/>
      <c r="D560" s="88"/>
      <c r="E560" s="88"/>
      <c r="F560" s="418"/>
      <c r="G560" s="75"/>
      <c r="H560" s="188"/>
      <c r="I560" s="77"/>
      <c r="J560" s="107"/>
      <c r="K560" s="78"/>
      <c r="L560" s="75"/>
      <c r="M560" s="75"/>
      <c r="N560" s="75"/>
      <c r="O560" s="75"/>
      <c r="P560" s="120"/>
      <c r="Q560" s="174"/>
      <c r="R560" s="413"/>
      <c r="S560" s="914"/>
      <c r="T560" s="109"/>
      <c r="U560" s="121"/>
      <c r="V560" s="121"/>
      <c r="W560" s="121"/>
      <c r="X560" s="121"/>
      <c r="Y560" s="121"/>
      <c r="Z560" s="914"/>
      <c r="AA560" s="1044"/>
      <c r="AB560" s="410"/>
      <c r="AC560" s="350"/>
      <c r="AD560" s="350"/>
      <c r="AE560" s="350"/>
      <c r="AF560" s="350"/>
    </row>
    <row r="561" spans="1:32" s="457" customFormat="1" ht="18" customHeight="1" x14ac:dyDescent="0.2">
      <c r="A561" s="75"/>
      <c r="B561" s="75"/>
      <c r="C561" s="174"/>
      <c r="D561" s="88"/>
      <c r="E561" s="88"/>
      <c r="F561" s="418"/>
      <c r="G561" s="75"/>
      <c r="H561" s="188"/>
      <c r="I561" s="77"/>
      <c r="J561" s="107"/>
      <c r="K561" s="78"/>
      <c r="L561" s="75"/>
      <c r="M561" s="75"/>
      <c r="N561" s="75"/>
      <c r="O561" s="75"/>
      <c r="P561" s="188"/>
      <c r="Q561" s="174"/>
      <c r="R561" s="413"/>
      <c r="S561" s="914"/>
      <c r="T561" s="109"/>
      <c r="U561" s="121"/>
      <c r="V561" s="121"/>
      <c r="W561" s="121"/>
      <c r="X561" s="121"/>
      <c r="Y561" s="121"/>
      <c r="Z561" s="914"/>
      <c r="AA561" s="1044"/>
      <c r="AB561" s="416"/>
      <c r="AC561" s="350"/>
      <c r="AD561" s="350"/>
      <c r="AE561" s="350"/>
      <c r="AF561" s="350"/>
    </row>
    <row r="562" spans="1:32" s="457" customFormat="1" ht="18" customHeight="1" x14ac:dyDescent="0.2">
      <c r="A562" s="75"/>
      <c r="B562" s="75"/>
      <c r="C562" s="174"/>
      <c r="D562" s="88"/>
      <c r="E562" s="88"/>
      <c r="F562" s="418"/>
      <c r="G562" s="75"/>
      <c r="H562" s="188"/>
      <c r="I562" s="77"/>
      <c r="J562" s="107"/>
      <c r="K562" s="78"/>
      <c r="L562" s="75"/>
      <c r="M562" s="75"/>
      <c r="N562" s="75"/>
      <c r="O562" s="75"/>
      <c r="P562" s="188"/>
      <c r="Q562" s="174"/>
      <c r="R562" s="413"/>
      <c r="S562" s="914"/>
      <c r="T562" s="109"/>
      <c r="U562" s="121"/>
      <c r="V562" s="121"/>
      <c r="W562" s="121"/>
      <c r="X562" s="121"/>
      <c r="Y562" s="121"/>
      <c r="Z562" s="914"/>
      <c r="AA562" s="1044"/>
      <c r="AB562" s="416"/>
      <c r="AC562" s="350"/>
      <c r="AD562" s="350"/>
      <c r="AE562" s="350"/>
      <c r="AF562" s="350"/>
    </row>
    <row r="563" spans="1:32" s="457" customFormat="1" ht="18" customHeight="1" x14ac:dyDescent="0.2">
      <c r="A563" s="75"/>
      <c r="B563" s="75"/>
      <c r="C563" s="174"/>
      <c r="D563" s="88"/>
      <c r="E563" s="88"/>
      <c r="F563" s="418"/>
      <c r="G563" s="75"/>
      <c r="H563" s="188"/>
      <c r="I563" s="77"/>
      <c r="J563" s="107"/>
      <c r="K563" s="78"/>
      <c r="L563" s="75"/>
      <c r="M563" s="75"/>
      <c r="N563" s="75"/>
      <c r="O563" s="75"/>
      <c r="P563" s="188"/>
      <c r="Q563" s="174"/>
      <c r="R563" s="413"/>
      <c r="S563" s="914"/>
      <c r="T563" s="109"/>
      <c r="U563" s="121"/>
      <c r="V563" s="121"/>
      <c r="W563" s="121"/>
      <c r="X563" s="121"/>
      <c r="Y563" s="121"/>
      <c r="Z563" s="914"/>
      <c r="AA563" s="1044"/>
      <c r="AB563" s="416"/>
      <c r="AC563" s="350"/>
      <c r="AD563" s="350"/>
      <c r="AE563" s="350"/>
      <c r="AF563" s="350"/>
    </row>
    <row r="564" spans="1:32" s="457" customFormat="1" ht="18" customHeight="1" x14ac:dyDescent="0.2">
      <c r="A564" s="75"/>
      <c r="B564" s="75"/>
      <c r="C564" s="174"/>
      <c r="D564" s="88"/>
      <c r="E564" s="88"/>
      <c r="F564" s="418"/>
      <c r="G564" s="75"/>
      <c r="H564" s="188"/>
      <c r="I564" s="77"/>
      <c r="J564" s="107"/>
      <c r="K564" s="78"/>
      <c r="L564" s="75"/>
      <c r="M564" s="75"/>
      <c r="N564" s="75"/>
      <c r="O564" s="75"/>
      <c r="P564" s="188"/>
      <c r="Q564" s="174"/>
      <c r="R564" s="413"/>
      <c r="S564" s="914"/>
      <c r="T564" s="109"/>
      <c r="U564" s="121"/>
      <c r="V564" s="121"/>
      <c r="W564" s="121"/>
      <c r="X564" s="121"/>
      <c r="Y564" s="121"/>
      <c r="Z564" s="914"/>
      <c r="AA564" s="1044"/>
      <c r="AB564" s="416"/>
      <c r="AC564" s="350"/>
      <c r="AD564" s="350"/>
      <c r="AE564" s="350"/>
      <c r="AF564" s="350"/>
    </row>
    <row r="565" spans="1:32" s="457" customFormat="1" ht="18" customHeight="1" x14ac:dyDescent="0.2">
      <c r="A565" s="75"/>
      <c r="B565" s="75"/>
      <c r="C565" s="174"/>
      <c r="D565" s="88"/>
      <c r="E565" s="88"/>
      <c r="F565" s="418"/>
      <c r="G565" s="75"/>
      <c r="H565" s="188"/>
      <c r="I565" s="77"/>
      <c r="J565" s="107"/>
      <c r="K565" s="78"/>
      <c r="L565" s="75"/>
      <c r="M565" s="75"/>
      <c r="N565" s="75"/>
      <c r="O565" s="75"/>
      <c r="P565" s="188"/>
      <c r="Q565" s="174"/>
      <c r="R565" s="413"/>
      <c r="S565" s="914"/>
      <c r="T565" s="109"/>
      <c r="U565" s="121"/>
      <c r="V565" s="121"/>
      <c r="W565" s="121"/>
      <c r="X565" s="121"/>
      <c r="Y565" s="121"/>
      <c r="Z565" s="914"/>
      <c r="AA565" s="1044"/>
      <c r="AB565" s="416"/>
      <c r="AC565" s="350"/>
      <c r="AD565" s="350"/>
      <c r="AE565" s="350"/>
      <c r="AF565" s="350"/>
    </row>
    <row r="566" spans="1:32" s="457" customFormat="1" ht="18" customHeight="1" x14ac:dyDescent="0.2">
      <c r="A566" s="145"/>
      <c r="B566" s="177"/>
      <c r="C566" s="177"/>
      <c r="D566" s="145"/>
      <c r="E566" s="145"/>
      <c r="F566" s="145"/>
      <c r="G566" s="145"/>
      <c r="H566" s="147"/>
      <c r="I566" s="107"/>
      <c r="J566" s="178"/>
      <c r="K566" s="107"/>
      <c r="L566" s="145"/>
      <c r="M566" s="145"/>
      <c r="N566" s="145"/>
      <c r="O566" s="145"/>
      <c r="P566" s="147"/>
      <c r="Q566" s="148"/>
      <c r="R566" s="437"/>
      <c r="S566" s="107"/>
      <c r="T566" s="179"/>
      <c r="U566" s="178"/>
      <c r="V566" s="107"/>
      <c r="W566" s="107"/>
      <c r="X566" s="470"/>
      <c r="Y566" s="470"/>
      <c r="Z566" s="471"/>
      <c r="AA566" s="471"/>
      <c r="AB566" s="466"/>
      <c r="AC566" s="350"/>
      <c r="AD566" s="350"/>
      <c r="AE566" s="350"/>
      <c r="AF566" s="350"/>
    </row>
    <row r="567" spans="1:32" s="457" customFormat="1" ht="18" customHeight="1" x14ac:dyDescent="0.2">
      <c r="A567" s="88"/>
      <c r="B567" s="180"/>
      <c r="C567" s="180"/>
      <c r="D567" s="88"/>
      <c r="E567" s="88"/>
      <c r="F567" s="88"/>
      <c r="G567" s="88"/>
      <c r="H567" s="120"/>
      <c r="I567" s="121"/>
      <c r="J567" s="181"/>
      <c r="K567" s="121"/>
      <c r="L567" s="88"/>
      <c r="M567" s="88"/>
      <c r="N567" s="88"/>
      <c r="O567" s="88"/>
      <c r="P567" s="88"/>
      <c r="Q567" s="129"/>
      <c r="R567" s="445"/>
      <c r="S567" s="121"/>
      <c r="T567" s="182"/>
      <c r="U567" s="181"/>
      <c r="V567" s="121"/>
      <c r="W567" s="121"/>
      <c r="X567" s="472"/>
      <c r="Y567" s="472"/>
      <c r="Z567" s="473"/>
      <c r="AA567" s="473"/>
      <c r="AB567" s="410"/>
      <c r="AC567" s="351"/>
      <c r="AD567" s="351"/>
      <c r="AE567" s="351"/>
      <c r="AF567" s="351"/>
    </row>
    <row r="568" spans="1:32" s="597" customFormat="1" ht="18" customHeight="1" x14ac:dyDescent="0.2">
      <c r="A568" s="1850"/>
      <c r="B568" s="1850"/>
      <c r="C568" s="1850"/>
      <c r="D568" s="1850"/>
      <c r="E568" s="1850"/>
      <c r="F568" s="1850"/>
      <c r="G568" s="1850"/>
      <c r="H568" s="1851"/>
      <c r="I568" s="1852"/>
      <c r="J568" s="1853"/>
      <c r="K568" s="1852"/>
      <c r="L568" s="1852"/>
      <c r="M568" s="1852"/>
      <c r="N568" s="1852"/>
      <c r="O568" s="1852"/>
      <c r="P568" s="1852"/>
      <c r="Q568" s="1852"/>
      <c r="R568" s="1854"/>
      <c r="S568" s="1852"/>
      <c r="T568" s="1855"/>
      <c r="U568" s="1853"/>
      <c r="V568" s="1852"/>
      <c r="W568" s="1852"/>
      <c r="X568" s="1856"/>
      <c r="Y568" s="1856"/>
      <c r="Z568" s="1857"/>
      <c r="AA568" s="1857"/>
      <c r="AB568" s="1847">
        <f>SUM(AB554:AB567)</f>
        <v>5750.0453520000001</v>
      </c>
      <c r="AC568" s="1861"/>
      <c r="AD568" s="1861"/>
      <c r="AE568" s="1861"/>
      <c r="AF568" s="1861"/>
    </row>
    <row r="569" spans="1:32" s="457" customFormat="1" ht="18" customHeight="1" x14ac:dyDescent="0.2">
      <c r="A569" s="2737" t="s">
        <v>76</v>
      </c>
      <c r="B569" s="2737"/>
      <c r="C569" s="2738" t="s">
        <v>77</v>
      </c>
      <c r="D569" s="2738"/>
      <c r="E569" s="2738"/>
      <c r="F569" s="2738"/>
      <c r="G569" s="2738"/>
      <c r="H569" s="2738"/>
      <c r="I569" s="457" t="s">
        <v>78</v>
      </c>
      <c r="AB569" s="478"/>
    </row>
    <row r="570" spans="1:32" s="457" customFormat="1" ht="18" customHeight="1" x14ac:dyDescent="0.2">
      <c r="B570" s="479"/>
      <c r="I570" s="457" t="s">
        <v>79</v>
      </c>
      <c r="AB570" s="478"/>
    </row>
    <row r="571" spans="1:32" s="457" customFormat="1" ht="18" customHeight="1" x14ac:dyDescent="0.2">
      <c r="B571" s="479"/>
      <c r="I571" s="457" t="s">
        <v>80</v>
      </c>
      <c r="AB571" s="478"/>
    </row>
    <row r="572" spans="1:32" s="457" customFormat="1" ht="18" customHeight="1" x14ac:dyDescent="0.2">
      <c r="B572" s="479"/>
      <c r="I572" s="457" t="s">
        <v>81</v>
      </c>
      <c r="AB572" s="478"/>
    </row>
    <row r="573" spans="1:32" s="457" customFormat="1" ht="18" customHeight="1" x14ac:dyDescent="0.2">
      <c r="B573" s="479"/>
      <c r="I573" s="457" t="s">
        <v>88</v>
      </c>
      <c r="AB573" s="478"/>
    </row>
    <row r="574" spans="1:32" s="457" customFormat="1" ht="18" customHeight="1" x14ac:dyDescent="0.2">
      <c r="A574" s="455"/>
      <c r="B574" s="455"/>
      <c r="C574" s="455"/>
      <c r="D574" s="455"/>
      <c r="E574" s="455"/>
      <c r="F574" s="455"/>
      <c r="G574" s="455"/>
      <c r="H574" s="455"/>
      <c r="I574" s="455"/>
      <c r="J574" s="455"/>
      <c r="K574" s="455"/>
      <c r="L574" s="455"/>
      <c r="M574" s="455"/>
      <c r="N574" s="455"/>
      <c r="O574" s="455"/>
      <c r="P574" s="455"/>
      <c r="Q574" s="455"/>
      <c r="R574" s="455"/>
      <c r="S574" s="455"/>
      <c r="T574" s="455"/>
      <c r="U574" s="455"/>
      <c r="V574" s="455"/>
      <c r="W574" s="455"/>
      <c r="X574" s="455"/>
      <c r="Y574" s="455"/>
      <c r="Z574" s="455"/>
      <c r="AA574" s="2705" t="s">
        <v>0</v>
      </c>
      <c r="AB574" s="2705"/>
      <c r="AC574" s="455"/>
      <c r="AD574" s="455"/>
      <c r="AE574" s="455"/>
      <c r="AF574" s="455"/>
    </row>
    <row r="575" spans="1:32" s="457" customFormat="1" ht="18" customHeight="1" x14ac:dyDescent="0.2">
      <c r="A575" s="2706" t="s">
        <v>1</v>
      </c>
      <c r="B575" s="2706"/>
      <c r="C575" s="2706"/>
      <c r="D575" s="2706"/>
      <c r="E575" s="2706"/>
      <c r="F575" s="2706"/>
      <c r="G575" s="2706"/>
      <c r="H575" s="2706"/>
      <c r="I575" s="2706"/>
      <c r="J575" s="2706"/>
      <c r="K575" s="2706"/>
      <c r="L575" s="2706"/>
      <c r="M575" s="2706"/>
      <c r="N575" s="2706"/>
      <c r="O575" s="2706"/>
      <c r="P575" s="2706"/>
      <c r="Q575" s="2706"/>
      <c r="R575" s="2706"/>
      <c r="S575" s="2706"/>
      <c r="T575" s="2706"/>
      <c r="U575" s="2706"/>
      <c r="V575" s="2706"/>
      <c r="W575" s="2706"/>
      <c r="X575" s="2706"/>
      <c r="Y575" s="2706"/>
      <c r="Z575" s="2706"/>
      <c r="AA575" s="2706"/>
      <c r="AB575" s="2706"/>
      <c r="AC575" s="610"/>
      <c r="AD575" s="610"/>
      <c r="AE575" s="610"/>
      <c r="AF575" s="610"/>
    </row>
    <row r="576" spans="1:32" s="457" customFormat="1" ht="18" customHeight="1" x14ac:dyDescent="0.2">
      <c r="A576" s="2704" t="s">
        <v>505</v>
      </c>
      <c r="B576" s="2704"/>
      <c r="C576" s="2704"/>
      <c r="D576" s="2704"/>
      <c r="E576" s="2704"/>
      <c r="F576" s="2704"/>
      <c r="G576" s="2704"/>
      <c r="H576" s="2704"/>
      <c r="I576" s="2704"/>
      <c r="J576" s="2704"/>
      <c r="K576" s="2704"/>
      <c r="L576" s="2704"/>
      <c r="M576" s="2704"/>
      <c r="N576" s="2704"/>
      <c r="O576" s="2704"/>
      <c r="P576" s="2704"/>
      <c r="Q576" s="2704"/>
      <c r="R576" s="2704"/>
      <c r="S576" s="2704"/>
      <c r="T576" s="2704"/>
      <c r="U576" s="2704"/>
      <c r="V576" s="2704"/>
      <c r="W576" s="2704"/>
      <c r="X576" s="2704"/>
      <c r="Y576" s="2704"/>
      <c r="Z576" s="2704"/>
      <c r="AA576" s="2704"/>
      <c r="AB576" s="2704"/>
      <c r="AC576" s="611"/>
      <c r="AD576" s="611"/>
      <c r="AE576" s="611"/>
      <c r="AF576" s="611"/>
    </row>
    <row r="577" spans="1:32" s="457" customFormat="1" ht="18" customHeight="1" x14ac:dyDescent="0.2">
      <c r="A577" s="2686" t="s">
        <v>2</v>
      </c>
      <c r="B577" s="360"/>
      <c r="C577" s="2686" t="s">
        <v>3</v>
      </c>
      <c r="D577" s="360"/>
      <c r="E577" s="360"/>
      <c r="F577" s="2693" t="s">
        <v>4</v>
      </c>
      <c r="G577" s="2693"/>
      <c r="H577" s="2693"/>
      <c r="I577" s="2694"/>
      <c r="J577" s="2694"/>
      <c r="K577" s="2695"/>
      <c r="L577" s="361"/>
      <c r="M577" s="2679" t="s">
        <v>5</v>
      </c>
      <c r="N577" s="2679"/>
      <c r="O577" s="2679"/>
      <c r="P577" s="2679"/>
      <c r="Q577" s="2696"/>
      <c r="R577" s="2696"/>
      <c r="S577" s="2696"/>
      <c r="T577" s="2696"/>
      <c r="U577" s="2696"/>
      <c r="V577" s="2697"/>
      <c r="W577" s="362" t="s">
        <v>6</v>
      </c>
      <c r="X577" s="363" t="s">
        <v>7</v>
      </c>
      <c r="Y577" s="364"/>
      <c r="Z577" s="364"/>
      <c r="AA577" s="363"/>
      <c r="AB577" s="458"/>
      <c r="AC577" s="612" t="s">
        <v>8</v>
      </c>
      <c r="AD577" s="613"/>
      <c r="AE577" s="613"/>
      <c r="AF577" s="614"/>
    </row>
    <row r="578" spans="1:32" s="457" customFormat="1" ht="18" customHeight="1" x14ac:dyDescent="0.2">
      <c r="A578" s="2687"/>
      <c r="B578" s="367"/>
      <c r="C578" s="2687"/>
      <c r="D578" s="366" t="s">
        <v>9</v>
      </c>
      <c r="E578" s="366" t="s">
        <v>10</v>
      </c>
      <c r="F578" s="2698" t="s">
        <v>11</v>
      </c>
      <c r="G578" s="2694"/>
      <c r="H578" s="2695"/>
      <c r="I578" s="360"/>
      <c r="J578" s="449" t="s">
        <v>12</v>
      </c>
      <c r="K578" s="360"/>
      <c r="L578" s="2679" t="s">
        <v>2</v>
      </c>
      <c r="M578" s="370"/>
      <c r="N578" s="370"/>
      <c r="O578" s="370"/>
      <c r="P578" s="371"/>
      <c r="Q578" s="459" t="s">
        <v>13</v>
      </c>
      <c r="R578" s="370" t="s">
        <v>12</v>
      </c>
      <c r="S578" s="370" t="s">
        <v>6</v>
      </c>
      <c r="T578" s="2682" t="s">
        <v>14</v>
      </c>
      <c r="U578" s="2683"/>
      <c r="V578" s="375" t="s">
        <v>7</v>
      </c>
      <c r="W578" s="376" t="s">
        <v>15</v>
      </c>
      <c r="X578" s="377" t="s">
        <v>16</v>
      </c>
      <c r="Y578" s="377" t="s">
        <v>17</v>
      </c>
      <c r="Z578" s="377" t="s">
        <v>18</v>
      </c>
      <c r="AA578" s="377"/>
      <c r="AB578" s="460" t="s">
        <v>19</v>
      </c>
      <c r="AC578" s="615" t="s">
        <v>20</v>
      </c>
      <c r="AD578" s="616"/>
      <c r="AE578" s="617" t="s">
        <v>21</v>
      </c>
      <c r="AF578" s="618" t="s">
        <v>22</v>
      </c>
    </row>
    <row r="579" spans="1:32" s="457" customFormat="1" ht="18" customHeight="1" x14ac:dyDescent="0.2">
      <c r="A579" s="2687"/>
      <c r="B579" s="366" t="s">
        <v>23</v>
      </c>
      <c r="C579" s="2687"/>
      <c r="D579" s="366" t="s">
        <v>24</v>
      </c>
      <c r="E579" s="366" t="s">
        <v>25</v>
      </c>
      <c r="F579" s="2699"/>
      <c r="G579" s="2700"/>
      <c r="H579" s="2701"/>
      <c r="I579" s="366" t="s">
        <v>26</v>
      </c>
      <c r="J579" s="380" t="s">
        <v>15</v>
      </c>
      <c r="K579" s="380" t="s">
        <v>6</v>
      </c>
      <c r="L579" s="2680"/>
      <c r="M579" s="381" t="s">
        <v>27</v>
      </c>
      <c r="N579" s="381" t="s">
        <v>10</v>
      </c>
      <c r="O579" s="381" t="s">
        <v>10</v>
      </c>
      <c r="P579" s="385" t="s">
        <v>28</v>
      </c>
      <c r="Q579" s="461" t="s">
        <v>29</v>
      </c>
      <c r="R579" s="385" t="s">
        <v>15</v>
      </c>
      <c r="S579" s="385" t="s">
        <v>15</v>
      </c>
      <c r="T579" s="2684"/>
      <c r="U579" s="2685"/>
      <c r="V579" s="375" t="s">
        <v>30</v>
      </c>
      <c r="W579" s="376" t="s">
        <v>31</v>
      </c>
      <c r="X579" s="377" t="s">
        <v>30</v>
      </c>
      <c r="Y579" s="377" t="s">
        <v>32</v>
      </c>
      <c r="Z579" s="377" t="s">
        <v>7</v>
      </c>
      <c r="AA579" s="377" t="s">
        <v>33</v>
      </c>
      <c r="AB579" s="460" t="s">
        <v>34</v>
      </c>
      <c r="AC579" s="615" t="s">
        <v>35</v>
      </c>
      <c r="AD579" s="617" t="s">
        <v>36</v>
      </c>
      <c r="AE579" s="617" t="s">
        <v>37</v>
      </c>
      <c r="AF579" s="618" t="s">
        <v>38</v>
      </c>
    </row>
    <row r="580" spans="1:32" s="457" customFormat="1" ht="18" customHeight="1" x14ac:dyDescent="0.2">
      <c r="A580" s="2687"/>
      <c r="B580" s="366" t="s">
        <v>39</v>
      </c>
      <c r="C580" s="2687"/>
      <c r="D580" s="366" t="s">
        <v>40</v>
      </c>
      <c r="E580" s="366" t="s">
        <v>41</v>
      </c>
      <c r="F580" s="2686" t="s">
        <v>42</v>
      </c>
      <c r="G580" s="2686" t="s">
        <v>43</v>
      </c>
      <c r="H580" s="2688" t="s">
        <v>44</v>
      </c>
      <c r="I580" s="366" t="s">
        <v>45</v>
      </c>
      <c r="J580" s="380" t="s">
        <v>46</v>
      </c>
      <c r="K580" s="380" t="s">
        <v>47</v>
      </c>
      <c r="L580" s="2680"/>
      <c r="M580" s="381" t="s">
        <v>30</v>
      </c>
      <c r="N580" s="381" t="s">
        <v>30</v>
      </c>
      <c r="O580" s="381" t="s">
        <v>25</v>
      </c>
      <c r="P580" s="385" t="s">
        <v>30</v>
      </c>
      <c r="Q580" s="461" t="s">
        <v>48</v>
      </c>
      <c r="R580" s="385" t="s">
        <v>49</v>
      </c>
      <c r="S580" s="385" t="s">
        <v>30</v>
      </c>
      <c r="T580" s="374" t="s">
        <v>50</v>
      </c>
      <c r="U580" s="374" t="s">
        <v>13</v>
      </c>
      <c r="V580" s="375" t="s">
        <v>51</v>
      </c>
      <c r="W580" s="376" t="s">
        <v>52</v>
      </c>
      <c r="X580" s="377" t="s">
        <v>53</v>
      </c>
      <c r="Y580" s="377" t="s">
        <v>54</v>
      </c>
      <c r="Z580" s="377" t="s">
        <v>55</v>
      </c>
      <c r="AA580" s="377" t="s">
        <v>56</v>
      </c>
      <c r="AB580" s="460" t="s">
        <v>57</v>
      </c>
      <c r="AC580" s="617" t="s">
        <v>58</v>
      </c>
      <c r="AD580" s="617" t="s">
        <v>59</v>
      </c>
      <c r="AE580" s="617" t="s">
        <v>59</v>
      </c>
      <c r="AF580" s="618" t="s">
        <v>60</v>
      </c>
    </row>
    <row r="581" spans="1:32" s="457" customFormat="1" ht="18" customHeight="1" x14ac:dyDescent="0.2">
      <c r="A581" s="2687"/>
      <c r="B581" s="366" t="s">
        <v>61</v>
      </c>
      <c r="C581" s="2687"/>
      <c r="D581" s="366" t="s">
        <v>62</v>
      </c>
      <c r="E581" s="366" t="s">
        <v>63</v>
      </c>
      <c r="F581" s="2687"/>
      <c r="G581" s="2687"/>
      <c r="H581" s="2689"/>
      <c r="I581" s="366" t="s">
        <v>64</v>
      </c>
      <c r="J581" s="380" t="s">
        <v>59</v>
      </c>
      <c r="K581" s="380" t="s">
        <v>59</v>
      </c>
      <c r="L581" s="2680"/>
      <c r="M581" s="381"/>
      <c r="N581" s="381"/>
      <c r="O581" s="381" t="s">
        <v>41</v>
      </c>
      <c r="P581" s="385" t="s">
        <v>65</v>
      </c>
      <c r="Q581" s="461" t="s">
        <v>66</v>
      </c>
      <c r="R581" s="385" t="s">
        <v>67</v>
      </c>
      <c r="S581" s="385" t="s">
        <v>59</v>
      </c>
      <c r="T581" s="375" t="s">
        <v>68</v>
      </c>
      <c r="U581" s="375" t="s">
        <v>14</v>
      </c>
      <c r="V581" s="375" t="s">
        <v>14</v>
      </c>
      <c r="W581" s="376" t="s">
        <v>30</v>
      </c>
      <c r="X581" s="388" t="s">
        <v>69</v>
      </c>
      <c r="Y581" s="388" t="s">
        <v>70</v>
      </c>
      <c r="Z581" s="377" t="s">
        <v>71</v>
      </c>
      <c r="AA581" s="377" t="s">
        <v>72</v>
      </c>
      <c r="AB581" s="460" t="s">
        <v>59</v>
      </c>
      <c r="AC581" s="617" t="s">
        <v>59</v>
      </c>
      <c r="AD581" s="617"/>
      <c r="AE581" s="617"/>
      <c r="AF581" s="618" t="s">
        <v>59</v>
      </c>
    </row>
    <row r="582" spans="1:32" s="457" customFormat="1" ht="18" customHeight="1" x14ac:dyDescent="0.2">
      <c r="A582" s="2692"/>
      <c r="B582" s="390"/>
      <c r="C582" s="2692"/>
      <c r="D582" s="390"/>
      <c r="E582" s="389"/>
      <c r="F582" s="390"/>
      <c r="G582" s="390"/>
      <c r="H582" s="391"/>
      <c r="I582" s="389"/>
      <c r="J582" s="393"/>
      <c r="K582" s="393"/>
      <c r="L582" s="2681"/>
      <c r="M582" s="394"/>
      <c r="N582" s="394"/>
      <c r="O582" s="394" t="s">
        <v>63</v>
      </c>
      <c r="P582" s="394"/>
      <c r="Q582" s="450" t="s">
        <v>72</v>
      </c>
      <c r="R582" s="398" t="s">
        <v>59</v>
      </c>
      <c r="S582" s="398"/>
      <c r="T582" s="398" t="s">
        <v>73</v>
      </c>
      <c r="U582" s="398" t="s">
        <v>59</v>
      </c>
      <c r="V582" s="399" t="s">
        <v>59</v>
      </c>
      <c r="W582" s="400" t="s">
        <v>59</v>
      </c>
      <c r="X582" s="401" t="s">
        <v>59</v>
      </c>
      <c r="Y582" s="401" t="s">
        <v>59</v>
      </c>
      <c r="Z582" s="401" t="s">
        <v>59</v>
      </c>
      <c r="AA582" s="402"/>
      <c r="AB582" s="462"/>
      <c r="AC582" s="625"/>
      <c r="AD582" s="625"/>
      <c r="AE582" s="625"/>
      <c r="AF582" s="626"/>
    </row>
    <row r="583" spans="1:32" s="457" customFormat="1" ht="18" customHeight="1" x14ac:dyDescent="0.25">
      <c r="A583" s="53">
        <v>1</v>
      </c>
      <c r="B583" s="333">
        <v>19584</v>
      </c>
      <c r="C583" s="41">
        <v>209</v>
      </c>
      <c r="D583" s="41" t="s">
        <v>83</v>
      </c>
      <c r="E583" s="15">
        <v>3</v>
      </c>
      <c r="F583" s="41">
        <v>1</v>
      </c>
      <c r="G583" s="41">
        <v>3</v>
      </c>
      <c r="H583" s="267">
        <v>53</v>
      </c>
      <c r="I583" s="77">
        <f t="shared" ref="I583:I584" si="145">F583*400+G583*100+H583</f>
        <v>753</v>
      </c>
      <c r="J583" s="306">
        <v>2650</v>
      </c>
      <c r="K583" s="297">
        <f>I583*J583</f>
        <v>1995450</v>
      </c>
      <c r="L583" s="45"/>
      <c r="M583" s="82"/>
      <c r="N583" s="1468"/>
      <c r="O583" s="16"/>
      <c r="P583" s="319"/>
      <c r="Q583" s="62"/>
      <c r="R583" s="672"/>
      <c r="S583" s="296"/>
      <c r="T583" s="298"/>
      <c r="U583" s="299"/>
      <c r="V583" s="299"/>
      <c r="W583" s="18">
        <f t="shared" ref="W583" si="146">K583+V583</f>
        <v>1995450</v>
      </c>
      <c r="X583" s="47">
        <f>W583</f>
        <v>1995450</v>
      </c>
      <c r="Y583" s="792" t="s">
        <v>89</v>
      </c>
      <c r="Z583" s="296">
        <v>0</v>
      </c>
      <c r="AA583" s="494">
        <v>0.02</v>
      </c>
      <c r="AB583" s="465">
        <f>+Z583*AA583/100</f>
        <v>0</v>
      </c>
      <c r="AC583" s="602"/>
      <c r="AD583" s="603">
        <f>AB613-AC583</f>
        <v>546</v>
      </c>
      <c r="AE583" s="603">
        <f>IF(AD583&lt;=0,0,AD583*25/100)</f>
        <v>136.5</v>
      </c>
      <c r="AF583" s="603">
        <f>IF(AC583+AE583&gt;AB613,AB613,AC583+AE583)</f>
        <v>136.5</v>
      </c>
    </row>
    <row r="584" spans="1:32" s="457" customFormat="1" ht="18" customHeight="1" x14ac:dyDescent="0.2">
      <c r="A584" s="75"/>
      <c r="B584" s="45"/>
      <c r="C584" s="62"/>
      <c r="D584" s="27"/>
      <c r="E584" s="27"/>
      <c r="F584" s="15">
        <v>0</v>
      </c>
      <c r="G584" s="15">
        <v>0</v>
      </c>
      <c r="H584" s="284">
        <v>25</v>
      </c>
      <c r="I584" s="77">
        <f t="shared" si="145"/>
        <v>25</v>
      </c>
      <c r="J584" s="306">
        <v>2650</v>
      </c>
      <c r="K584" s="297">
        <f>I584*J584</f>
        <v>66250</v>
      </c>
      <c r="L584" s="45"/>
      <c r="M584" s="75"/>
      <c r="N584" s="61" t="s">
        <v>228</v>
      </c>
      <c r="O584" s="50"/>
      <c r="P584" s="19"/>
      <c r="Q584" s="62"/>
      <c r="R584" s="743"/>
      <c r="S584" s="299"/>
      <c r="T584" s="298"/>
      <c r="U584" s="299"/>
      <c r="V584" s="299"/>
      <c r="W584" s="18">
        <f t="shared" ref="W584" si="147">K584+V584</f>
        <v>66250</v>
      </c>
      <c r="X584" s="47">
        <f>W584</f>
        <v>66250</v>
      </c>
      <c r="Y584" s="792"/>
      <c r="Z584" s="18">
        <f t="shared" ref="Z584" si="148">+X584</f>
        <v>66250</v>
      </c>
      <c r="AA584" s="494">
        <v>0.3</v>
      </c>
      <c r="AB584" s="416">
        <f>+Z584*AA584/100</f>
        <v>198.75</v>
      </c>
      <c r="AC584" s="350"/>
      <c r="AD584" s="350"/>
      <c r="AE584" s="350"/>
      <c r="AF584" s="350"/>
    </row>
    <row r="585" spans="1:32" s="457" customFormat="1" ht="18" customHeight="1" x14ac:dyDescent="0.2">
      <c r="A585" s="145"/>
      <c r="B585" s="177"/>
      <c r="C585" s="177"/>
      <c r="D585" s="145"/>
      <c r="E585" s="145"/>
      <c r="F585" s="145"/>
      <c r="G585" s="145"/>
      <c r="H585" s="147"/>
      <c r="I585" s="107"/>
      <c r="J585" s="178"/>
      <c r="K585" s="107"/>
      <c r="L585" s="145"/>
      <c r="M585" s="145"/>
      <c r="N585" s="145"/>
      <c r="O585" s="145"/>
      <c r="P585" s="147"/>
      <c r="Q585" s="148"/>
      <c r="R585" s="437"/>
      <c r="S585" s="107"/>
      <c r="T585" s="179"/>
      <c r="U585" s="178"/>
      <c r="V585" s="107"/>
      <c r="W585" s="107"/>
      <c r="X585" s="470"/>
      <c r="Y585" s="470"/>
      <c r="Z585" s="471"/>
      <c r="AA585" s="471"/>
      <c r="AB585" s="466"/>
      <c r="AC585" s="350"/>
      <c r="AD585" s="350"/>
      <c r="AE585" s="350"/>
      <c r="AF585" s="350"/>
    </row>
    <row r="586" spans="1:32" s="457" customFormat="1" ht="18" customHeight="1" x14ac:dyDescent="0.2">
      <c r="A586" s="145"/>
      <c r="B586" s="177"/>
      <c r="C586" s="177"/>
      <c r="D586" s="145"/>
      <c r="E586" s="145"/>
      <c r="F586" s="145"/>
      <c r="G586" s="145"/>
      <c r="H586" s="147"/>
      <c r="I586" s="107"/>
      <c r="J586" s="178"/>
      <c r="K586" s="107"/>
      <c r="L586" s="145"/>
      <c r="M586" s="145"/>
      <c r="N586" s="145"/>
      <c r="O586" s="145"/>
      <c r="P586" s="147"/>
      <c r="Q586" s="148"/>
      <c r="R586" s="437"/>
      <c r="S586" s="107"/>
      <c r="T586" s="179"/>
      <c r="U586" s="178"/>
      <c r="V586" s="107"/>
      <c r="W586" s="107"/>
      <c r="X586" s="470"/>
      <c r="Y586" s="470"/>
      <c r="Z586" s="471"/>
      <c r="AA586" s="471"/>
      <c r="AB586" s="466"/>
      <c r="AC586" s="350"/>
      <c r="AD586" s="350"/>
      <c r="AE586" s="350"/>
      <c r="AF586" s="350"/>
    </row>
    <row r="587" spans="1:32" s="457" customFormat="1" ht="18" customHeight="1" x14ac:dyDescent="0.2">
      <c r="A587" s="145"/>
      <c r="B587" s="177"/>
      <c r="C587" s="177"/>
      <c r="D587" s="145"/>
      <c r="E587" s="145"/>
      <c r="F587" s="145"/>
      <c r="G587" s="145"/>
      <c r="H587" s="147"/>
      <c r="I587" s="107"/>
      <c r="J587" s="178"/>
      <c r="K587" s="107"/>
      <c r="L587" s="145"/>
      <c r="M587" s="145"/>
      <c r="N587" s="145"/>
      <c r="O587" s="145"/>
      <c r="P587" s="147"/>
      <c r="Q587" s="148"/>
      <c r="R587" s="437"/>
      <c r="S587" s="107"/>
      <c r="T587" s="179"/>
      <c r="U587" s="178"/>
      <c r="V587" s="107"/>
      <c r="W587" s="107"/>
      <c r="X587" s="470"/>
      <c r="Y587" s="470"/>
      <c r="Z587" s="471"/>
      <c r="AA587" s="471"/>
      <c r="AB587" s="466"/>
      <c r="AC587" s="350"/>
      <c r="AD587" s="350"/>
      <c r="AE587" s="350"/>
      <c r="AF587" s="350"/>
    </row>
    <row r="588" spans="1:32" s="457" customFormat="1" ht="18" customHeight="1" x14ac:dyDescent="0.2">
      <c r="A588" s="145"/>
      <c r="B588" s="177"/>
      <c r="C588" s="177"/>
      <c r="D588" s="145"/>
      <c r="E588" s="145"/>
      <c r="F588" s="145"/>
      <c r="G588" s="145"/>
      <c r="H588" s="147"/>
      <c r="I588" s="107"/>
      <c r="J588" s="178"/>
      <c r="K588" s="107"/>
      <c r="L588" s="145"/>
      <c r="M588" s="145"/>
      <c r="N588" s="145"/>
      <c r="O588" s="145"/>
      <c r="P588" s="147"/>
      <c r="Q588" s="148"/>
      <c r="R588" s="437"/>
      <c r="S588" s="107"/>
      <c r="T588" s="179"/>
      <c r="U588" s="178"/>
      <c r="V588" s="107"/>
      <c r="W588" s="107"/>
      <c r="X588" s="470"/>
      <c r="Y588" s="470"/>
      <c r="Z588" s="471"/>
      <c r="AA588" s="471"/>
      <c r="AB588" s="466"/>
      <c r="AC588" s="350"/>
      <c r="AD588" s="350"/>
      <c r="AE588" s="350"/>
      <c r="AF588" s="350"/>
    </row>
    <row r="589" spans="1:32" s="457" customFormat="1" ht="18" customHeight="1" x14ac:dyDescent="0.2">
      <c r="A589" s="145"/>
      <c r="B589" s="177"/>
      <c r="C589" s="177"/>
      <c r="D589" s="145"/>
      <c r="E589" s="145"/>
      <c r="F589" s="145"/>
      <c r="G589" s="145"/>
      <c r="H589" s="147"/>
      <c r="I589" s="107"/>
      <c r="J589" s="178"/>
      <c r="K589" s="107"/>
      <c r="L589" s="145"/>
      <c r="M589" s="145"/>
      <c r="N589" s="145"/>
      <c r="O589" s="145"/>
      <c r="P589" s="147"/>
      <c r="Q589" s="148"/>
      <c r="R589" s="437"/>
      <c r="S589" s="107"/>
      <c r="T589" s="179"/>
      <c r="U589" s="178"/>
      <c r="V589" s="107"/>
      <c r="W589" s="107"/>
      <c r="X589" s="470"/>
      <c r="Y589" s="470"/>
      <c r="Z589" s="471"/>
      <c r="AA589" s="471"/>
      <c r="AB589" s="466"/>
      <c r="AC589" s="350"/>
      <c r="AD589" s="350"/>
      <c r="AE589" s="350"/>
      <c r="AF589" s="350"/>
    </row>
    <row r="590" spans="1:32" s="457" customFormat="1" ht="18" customHeight="1" x14ac:dyDescent="0.2">
      <c r="A590" s="145"/>
      <c r="B590" s="177"/>
      <c r="C590" s="177"/>
      <c r="D590" s="145"/>
      <c r="E590" s="145"/>
      <c r="F590" s="145"/>
      <c r="G590" s="145"/>
      <c r="H590" s="147"/>
      <c r="I590" s="107"/>
      <c r="J590" s="178"/>
      <c r="K590" s="107"/>
      <c r="L590" s="145"/>
      <c r="M590" s="145"/>
      <c r="N590" s="145"/>
      <c r="O590" s="145"/>
      <c r="P590" s="147"/>
      <c r="Q590" s="148"/>
      <c r="R590" s="437"/>
      <c r="S590" s="107"/>
      <c r="T590" s="179"/>
      <c r="U590" s="178"/>
      <c r="V590" s="107"/>
      <c r="W590" s="107"/>
      <c r="X590" s="470"/>
      <c r="Y590" s="470"/>
      <c r="Z590" s="471"/>
      <c r="AA590" s="471"/>
      <c r="AB590" s="466"/>
      <c r="AC590" s="350"/>
      <c r="AD590" s="350"/>
      <c r="AE590" s="350"/>
      <c r="AF590" s="350"/>
    </row>
    <row r="591" spans="1:32" s="457" customFormat="1" ht="18" customHeight="1" x14ac:dyDescent="0.2">
      <c r="A591" s="145"/>
      <c r="B591" s="177"/>
      <c r="C591" s="177"/>
      <c r="D591" s="145"/>
      <c r="E591" s="145"/>
      <c r="F591" s="145"/>
      <c r="G591" s="145"/>
      <c r="H591" s="147"/>
      <c r="I591" s="107"/>
      <c r="J591" s="178"/>
      <c r="K591" s="107"/>
      <c r="L591" s="145"/>
      <c r="M591" s="145"/>
      <c r="N591" s="145"/>
      <c r="O591" s="145"/>
      <c r="P591" s="147"/>
      <c r="Q591" s="148"/>
      <c r="R591" s="437"/>
      <c r="S591" s="107"/>
      <c r="T591" s="179"/>
      <c r="U591" s="178"/>
      <c r="V591" s="107"/>
      <c r="W591" s="107"/>
      <c r="X591" s="470"/>
      <c r="Y591" s="470"/>
      <c r="Z591" s="471"/>
      <c r="AA591" s="471"/>
      <c r="AB591" s="466"/>
      <c r="AC591" s="350"/>
      <c r="AD591" s="350"/>
      <c r="AE591" s="350"/>
      <c r="AF591" s="350"/>
    </row>
    <row r="592" spans="1:32" s="457" customFormat="1" ht="18" customHeight="1" x14ac:dyDescent="0.2">
      <c r="A592" s="145"/>
      <c r="B592" s="177"/>
      <c r="C592" s="177"/>
      <c r="D592" s="145"/>
      <c r="E592" s="145"/>
      <c r="F592" s="145"/>
      <c r="G592" s="145"/>
      <c r="H592" s="147"/>
      <c r="I592" s="107"/>
      <c r="J592" s="178"/>
      <c r="K592" s="107"/>
      <c r="L592" s="145"/>
      <c r="M592" s="145"/>
      <c r="N592" s="145"/>
      <c r="O592" s="145"/>
      <c r="P592" s="147"/>
      <c r="Q592" s="148"/>
      <c r="R592" s="437"/>
      <c r="S592" s="107"/>
      <c r="T592" s="179"/>
      <c r="U592" s="178"/>
      <c r="V592" s="107"/>
      <c r="W592" s="107"/>
      <c r="X592" s="470"/>
      <c r="Y592" s="470"/>
      <c r="Z592" s="471"/>
      <c r="AA592" s="471"/>
      <c r="AB592" s="466"/>
      <c r="AC592" s="350"/>
      <c r="AD592" s="350"/>
      <c r="AE592" s="350"/>
      <c r="AF592" s="350"/>
    </row>
    <row r="593" spans="1:32" s="457" customFormat="1" ht="18" customHeight="1" x14ac:dyDescent="0.2">
      <c r="A593" s="145"/>
      <c r="B593" s="177"/>
      <c r="C593" s="177"/>
      <c r="D593" s="145"/>
      <c r="E593" s="145"/>
      <c r="F593" s="145"/>
      <c r="G593" s="145"/>
      <c r="H593" s="147"/>
      <c r="I593" s="107"/>
      <c r="J593" s="178"/>
      <c r="K593" s="107"/>
      <c r="L593" s="145"/>
      <c r="M593" s="145"/>
      <c r="N593" s="145"/>
      <c r="O593" s="145"/>
      <c r="P593" s="147"/>
      <c r="Q593" s="148"/>
      <c r="R593" s="437"/>
      <c r="S593" s="107"/>
      <c r="T593" s="179"/>
      <c r="U593" s="178"/>
      <c r="V593" s="107"/>
      <c r="W593" s="107"/>
      <c r="X593" s="470"/>
      <c r="Y593" s="470"/>
      <c r="Z593" s="471"/>
      <c r="AA593" s="471"/>
      <c r="AB593" s="466"/>
      <c r="AC593" s="350"/>
      <c r="AD593" s="350"/>
      <c r="AE593" s="350"/>
      <c r="AF593" s="350"/>
    </row>
    <row r="594" spans="1:32" s="457" customFormat="1" ht="18" customHeight="1" x14ac:dyDescent="0.2">
      <c r="A594" s="145"/>
      <c r="B594" s="177"/>
      <c r="C594" s="177"/>
      <c r="D594" s="145"/>
      <c r="E594" s="145"/>
      <c r="F594" s="145"/>
      <c r="G594" s="145"/>
      <c r="H594" s="147"/>
      <c r="I594" s="107"/>
      <c r="J594" s="178"/>
      <c r="K594" s="107"/>
      <c r="L594" s="145"/>
      <c r="M594" s="145"/>
      <c r="N594" s="145"/>
      <c r="O594" s="145"/>
      <c r="P594" s="147"/>
      <c r="Q594" s="148"/>
      <c r="R594" s="437"/>
      <c r="S594" s="107"/>
      <c r="T594" s="179"/>
      <c r="U594" s="178"/>
      <c r="V594" s="107"/>
      <c r="W594" s="107"/>
      <c r="X594" s="470"/>
      <c r="Y594" s="470"/>
      <c r="Z594" s="471"/>
      <c r="AA594" s="471"/>
      <c r="AB594" s="466"/>
      <c r="AC594" s="350"/>
      <c r="AD594" s="350"/>
      <c r="AE594" s="350"/>
      <c r="AF594" s="350"/>
    </row>
    <row r="595" spans="1:32" s="457" customFormat="1" ht="18" customHeight="1" x14ac:dyDescent="0.2">
      <c r="A595" s="145"/>
      <c r="B595" s="177"/>
      <c r="C595" s="177"/>
      <c r="D595" s="145"/>
      <c r="E595" s="145"/>
      <c r="F595" s="145"/>
      <c r="G595" s="145"/>
      <c r="H595" s="147"/>
      <c r="I595" s="107"/>
      <c r="J595" s="178"/>
      <c r="K595" s="107"/>
      <c r="L595" s="145"/>
      <c r="M595" s="145"/>
      <c r="N595" s="145"/>
      <c r="O595" s="145"/>
      <c r="P595" s="147"/>
      <c r="Q595" s="148"/>
      <c r="R595" s="437"/>
      <c r="S595" s="107"/>
      <c r="T595" s="179"/>
      <c r="U595" s="178"/>
      <c r="V595" s="107"/>
      <c r="W595" s="107"/>
      <c r="X595" s="470"/>
      <c r="Y595" s="470"/>
      <c r="Z595" s="471"/>
      <c r="AA595" s="471"/>
      <c r="AB595" s="466"/>
      <c r="AC595" s="350"/>
      <c r="AD595" s="350"/>
      <c r="AE595" s="350"/>
      <c r="AF595" s="350"/>
    </row>
    <row r="596" spans="1:32" s="457" customFormat="1" ht="18" customHeight="1" x14ac:dyDescent="0.2">
      <c r="A596" s="145"/>
      <c r="B596" s="177"/>
      <c r="C596" s="177"/>
      <c r="D596" s="145"/>
      <c r="E596" s="145"/>
      <c r="F596" s="145"/>
      <c r="G596" s="145"/>
      <c r="H596" s="147"/>
      <c r="I596" s="107"/>
      <c r="J596" s="178"/>
      <c r="K596" s="107"/>
      <c r="L596" s="145"/>
      <c r="M596" s="145"/>
      <c r="N596" s="145"/>
      <c r="O596" s="145"/>
      <c r="P596" s="147"/>
      <c r="Q596" s="148"/>
      <c r="R596" s="437"/>
      <c r="S596" s="107"/>
      <c r="T596" s="179"/>
      <c r="U596" s="178"/>
      <c r="V596" s="107"/>
      <c r="W596" s="107"/>
      <c r="X596" s="470"/>
      <c r="Y596" s="470"/>
      <c r="Z596" s="471"/>
      <c r="AA596" s="471"/>
      <c r="AB596" s="466"/>
      <c r="AC596" s="350"/>
      <c r="AD596" s="350"/>
      <c r="AE596" s="350"/>
      <c r="AF596" s="350"/>
    </row>
    <row r="597" spans="1:32" s="457" customFormat="1" ht="18" customHeight="1" x14ac:dyDescent="0.2">
      <c r="A597" s="88"/>
      <c r="B597" s="180"/>
      <c r="C597" s="180"/>
      <c r="D597" s="88"/>
      <c r="E597" s="88"/>
      <c r="F597" s="88"/>
      <c r="G597" s="88"/>
      <c r="H597" s="120"/>
      <c r="I597" s="121"/>
      <c r="J597" s="181"/>
      <c r="K597" s="121"/>
      <c r="L597" s="88"/>
      <c r="M597" s="88"/>
      <c r="N597" s="88"/>
      <c r="O597" s="88"/>
      <c r="P597" s="88"/>
      <c r="Q597" s="129"/>
      <c r="R597" s="445"/>
      <c r="S597" s="121"/>
      <c r="T597" s="182"/>
      <c r="U597" s="181"/>
      <c r="V597" s="121"/>
      <c r="W597" s="121"/>
      <c r="X597" s="472"/>
      <c r="Y597" s="472"/>
      <c r="Z597" s="473"/>
      <c r="AA597" s="473"/>
      <c r="AB597" s="410"/>
      <c r="AC597" s="351"/>
      <c r="AD597" s="351"/>
      <c r="AE597" s="351"/>
      <c r="AF597" s="351"/>
    </row>
    <row r="598" spans="1:32" s="597" customFormat="1" ht="18" customHeight="1" x14ac:dyDescent="0.2">
      <c r="A598" s="1850"/>
      <c r="B598" s="1850"/>
      <c r="C598" s="1850"/>
      <c r="D598" s="1850"/>
      <c r="E598" s="1850"/>
      <c r="F598" s="1850"/>
      <c r="G598" s="1850"/>
      <c r="H598" s="1851"/>
      <c r="I598" s="1852"/>
      <c r="J598" s="1853"/>
      <c r="K598" s="1852"/>
      <c r="L598" s="1852"/>
      <c r="M598" s="1852"/>
      <c r="N598" s="1852"/>
      <c r="O598" s="1852"/>
      <c r="P598" s="1852"/>
      <c r="Q598" s="1852"/>
      <c r="R598" s="1854"/>
      <c r="S598" s="1852"/>
      <c r="T598" s="1855"/>
      <c r="U598" s="1853"/>
      <c r="V598" s="1852"/>
      <c r="W598" s="1852"/>
      <c r="X598" s="1856"/>
      <c r="Y598" s="1856"/>
      <c r="Z598" s="1857"/>
      <c r="AA598" s="1857"/>
      <c r="AB598" s="1847">
        <f>SUM(AB583:AB597)</f>
        <v>198.75</v>
      </c>
      <c r="AC598" s="1861"/>
      <c r="AD598" s="1861"/>
      <c r="AE598" s="1861"/>
      <c r="AF598" s="1861"/>
    </row>
    <row r="599" spans="1:32" s="457" customFormat="1" ht="18" customHeight="1" x14ac:dyDescent="0.2">
      <c r="A599" s="2737" t="s">
        <v>76</v>
      </c>
      <c r="B599" s="2737"/>
      <c r="C599" s="2738" t="s">
        <v>77</v>
      </c>
      <c r="D599" s="2738"/>
      <c r="E599" s="2738"/>
      <c r="F599" s="2738"/>
      <c r="G599" s="2738"/>
      <c r="H599" s="2738"/>
      <c r="I599" s="457" t="s">
        <v>78</v>
      </c>
      <c r="AB599" s="478"/>
    </row>
    <row r="600" spans="1:32" s="457" customFormat="1" ht="18" customHeight="1" x14ac:dyDescent="0.2">
      <c r="B600" s="479"/>
      <c r="I600" s="457" t="s">
        <v>79</v>
      </c>
      <c r="AB600" s="478"/>
    </row>
    <row r="601" spans="1:32" s="457" customFormat="1" ht="18" customHeight="1" x14ac:dyDescent="0.2">
      <c r="B601" s="479"/>
      <c r="I601" s="457" t="s">
        <v>80</v>
      </c>
      <c r="AB601" s="478"/>
    </row>
    <row r="602" spans="1:32" s="457" customFormat="1" ht="18" customHeight="1" x14ac:dyDescent="0.2">
      <c r="B602" s="479"/>
      <c r="I602" s="457" t="s">
        <v>81</v>
      </c>
      <c r="AB602" s="478"/>
    </row>
    <row r="603" spans="1:32" s="457" customFormat="1" ht="18" customHeight="1" x14ac:dyDescent="0.2">
      <c r="B603" s="479"/>
      <c r="I603" s="457" t="s">
        <v>88</v>
      </c>
      <c r="AB603" s="478"/>
    </row>
    <row r="604" spans="1:32" s="457" customFormat="1" ht="18" customHeight="1" x14ac:dyDescent="0.2">
      <c r="A604" s="455"/>
      <c r="B604" s="455"/>
      <c r="C604" s="455"/>
      <c r="D604" s="455"/>
      <c r="E604" s="455"/>
      <c r="F604" s="455"/>
      <c r="G604" s="455"/>
      <c r="H604" s="455"/>
      <c r="I604" s="455"/>
      <c r="J604" s="455"/>
      <c r="K604" s="455"/>
      <c r="L604" s="455"/>
      <c r="M604" s="455"/>
      <c r="N604" s="455"/>
      <c r="O604" s="455"/>
      <c r="P604" s="455"/>
      <c r="Q604" s="455"/>
      <c r="R604" s="455"/>
      <c r="S604" s="455"/>
      <c r="T604" s="455"/>
      <c r="U604" s="455"/>
      <c r="V604" s="455"/>
      <c r="W604" s="455"/>
      <c r="X604" s="455"/>
      <c r="Y604" s="455"/>
      <c r="Z604" s="455"/>
      <c r="AA604" s="2705" t="s">
        <v>0</v>
      </c>
      <c r="AB604" s="2705"/>
      <c r="AC604" s="455"/>
      <c r="AD604" s="455"/>
      <c r="AE604" s="455"/>
      <c r="AF604" s="455"/>
    </row>
    <row r="605" spans="1:32" s="457" customFormat="1" ht="18" customHeight="1" x14ac:dyDescent="0.2">
      <c r="A605" s="2706" t="s">
        <v>1</v>
      </c>
      <c r="B605" s="2706"/>
      <c r="C605" s="2706"/>
      <c r="D605" s="2706"/>
      <c r="E605" s="2706"/>
      <c r="F605" s="2706"/>
      <c r="G605" s="2706"/>
      <c r="H605" s="2706"/>
      <c r="I605" s="2706"/>
      <c r="J605" s="2706"/>
      <c r="K605" s="2706"/>
      <c r="L605" s="2706"/>
      <c r="M605" s="2706"/>
      <c r="N605" s="2706"/>
      <c r="O605" s="2706"/>
      <c r="P605" s="2706"/>
      <c r="Q605" s="2706"/>
      <c r="R605" s="2706"/>
      <c r="S605" s="2706"/>
      <c r="T605" s="2706"/>
      <c r="U605" s="2706"/>
      <c r="V605" s="2706"/>
      <c r="W605" s="2706"/>
      <c r="X605" s="2706"/>
      <c r="Y605" s="2706"/>
      <c r="Z605" s="2706"/>
      <c r="AA605" s="2706"/>
      <c r="AB605" s="2706"/>
      <c r="AC605" s="610"/>
      <c r="AD605" s="610"/>
      <c r="AE605" s="610"/>
      <c r="AF605" s="610"/>
    </row>
    <row r="606" spans="1:32" s="457" customFormat="1" ht="18" customHeight="1" x14ac:dyDescent="0.2">
      <c r="A606" s="2704" t="s">
        <v>506</v>
      </c>
      <c r="B606" s="2704"/>
      <c r="C606" s="2704"/>
      <c r="D606" s="2704"/>
      <c r="E606" s="2704"/>
      <c r="F606" s="2704"/>
      <c r="G606" s="2704"/>
      <c r="H606" s="2704"/>
      <c r="I606" s="2704"/>
      <c r="J606" s="2704"/>
      <c r="K606" s="2704"/>
      <c r="L606" s="2704"/>
      <c r="M606" s="2704"/>
      <c r="N606" s="2704"/>
      <c r="O606" s="2704"/>
      <c r="P606" s="2704"/>
      <c r="Q606" s="2704"/>
      <c r="R606" s="2704"/>
      <c r="S606" s="2704"/>
      <c r="T606" s="2704"/>
      <c r="U606" s="2704"/>
      <c r="V606" s="2704"/>
      <c r="W606" s="2704"/>
      <c r="X606" s="2704"/>
      <c r="Y606" s="2704"/>
      <c r="Z606" s="2704"/>
      <c r="AA606" s="2704"/>
      <c r="AB606" s="2704"/>
      <c r="AC606" s="611"/>
      <c r="AD606" s="611"/>
      <c r="AE606" s="611"/>
      <c r="AF606" s="611"/>
    </row>
    <row r="607" spans="1:32" s="457" customFormat="1" ht="18" customHeight="1" x14ac:dyDescent="0.2">
      <c r="A607" s="2686" t="s">
        <v>2</v>
      </c>
      <c r="B607" s="360"/>
      <c r="C607" s="2686" t="s">
        <v>3</v>
      </c>
      <c r="D607" s="360"/>
      <c r="E607" s="360"/>
      <c r="F607" s="2693" t="s">
        <v>4</v>
      </c>
      <c r="G607" s="2693"/>
      <c r="H607" s="2693"/>
      <c r="I607" s="2694"/>
      <c r="J607" s="2694"/>
      <c r="K607" s="2695"/>
      <c r="L607" s="361"/>
      <c r="M607" s="2679" t="s">
        <v>5</v>
      </c>
      <c r="N607" s="2679"/>
      <c r="O607" s="2679"/>
      <c r="P607" s="2679"/>
      <c r="Q607" s="2696"/>
      <c r="R607" s="2696"/>
      <c r="S607" s="2696"/>
      <c r="T607" s="2696"/>
      <c r="U607" s="2696"/>
      <c r="V607" s="2697"/>
      <c r="W607" s="362" t="s">
        <v>6</v>
      </c>
      <c r="X607" s="363" t="s">
        <v>7</v>
      </c>
      <c r="Y607" s="364"/>
      <c r="Z607" s="364"/>
      <c r="AA607" s="363"/>
      <c r="AB607" s="458"/>
      <c r="AC607" s="612" t="s">
        <v>8</v>
      </c>
      <c r="AD607" s="613"/>
      <c r="AE607" s="613"/>
      <c r="AF607" s="614"/>
    </row>
    <row r="608" spans="1:32" s="457" customFormat="1" ht="18" customHeight="1" x14ac:dyDescent="0.2">
      <c r="A608" s="2687"/>
      <c r="B608" s="367"/>
      <c r="C608" s="2687"/>
      <c r="D608" s="366" t="s">
        <v>9</v>
      </c>
      <c r="E608" s="366" t="s">
        <v>10</v>
      </c>
      <c r="F608" s="2698" t="s">
        <v>11</v>
      </c>
      <c r="G608" s="2694"/>
      <c r="H608" s="2695"/>
      <c r="I608" s="360"/>
      <c r="J608" s="449" t="s">
        <v>12</v>
      </c>
      <c r="K608" s="360"/>
      <c r="L608" s="2679" t="s">
        <v>2</v>
      </c>
      <c r="M608" s="370"/>
      <c r="N608" s="370"/>
      <c r="O608" s="370"/>
      <c r="P608" s="371"/>
      <c r="Q608" s="459" t="s">
        <v>13</v>
      </c>
      <c r="R608" s="370" t="s">
        <v>12</v>
      </c>
      <c r="S608" s="370" t="s">
        <v>6</v>
      </c>
      <c r="T608" s="2682" t="s">
        <v>14</v>
      </c>
      <c r="U608" s="2683"/>
      <c r="V608" s="375" t="s">
        <v>7</v>
      </c>
      <c r="W608" s="376" t="s">
        <v>15</v>
      </c>
      <c r="X608" s="377" t="s">
        <v>16</v>
      </c>
      <c r="Y608" s="377" t="s">
        <v>17</v>
      </c>
      <c r="Z608" s="377" t="s">
        <v>18</v>
      </c>
      <c r="AA608" s="377"/>
      <c r="AB608" s="460" t="s">
        <v>19</v>
      </c>
      <c r="AC608" s="615" t="s">
        <v>20</v>
      </c>
      <c r="AD608" s="616"/>
      <c r="AE608" s="617" t="s">
        <v>21</v>
      </c>
      <c r="AF608" s="618" t="s">
        <v>22</v>
      </c>
    </row>
    <row r="609" spans="1:32" s="457" customFormat="1" ht="18" customHeight="1" x14ac:dyDescent="0.2">
      <c r="A609" s="2687"/>
      <c r="B609" s="366" t="s">
        <v>23</v>
      </c>
      <c r="C609" s="2687"/>
      <c r="D609" s="366" t="s">
        <v>24</v>
      </c>
      <c r="E609" s="366" t="s">
        <v>25</v>
      </c>
      <c r="F609" s="2699"/>
      <c r="G609" s="2700"/>
      <c r="H609" s="2701"/>
      <c r="I609" s="366" t="s">
        <v>26</v>
      </c>
      <c r="J609" s="380" t="s">
        <v>15</v>
      </c>
      <c r="K609" s="380" t="s">
        <v>6</v>
      </c>
      <c r="L609" s="2680"/>
      <c r="M609" s="381" t="s">
        <v>27</v>
      </c>
      <c r="N609" s="381" t="s">
        <v>10</v>
      </c>
      <c r="O609" s="381" t="s">
        <v>10</v>
      </c>
      <c r="P609" s="385" t="s">
        <v>28</v>
      </c>
      <c r="Q609" s="461" t="s">
        <v>29</v>
      </c>
      <c r="R609" s="385" t="s">
        <v>15</v>
      </c>
      <c r="S609" s="385" t="s">
        <v>15</v>
      </c>
      <c r="T609" s="2684"/>
      <c r="U609" s="2685"/>
      <c r="V609" s="375" t="s">
        <v>30</v>
      </c>
      <c r="W609" s="376" t="s">
        <v>31</v>
      </c>
      <c r="X609" s="377" t="s">
        <v>30</v>
      </c>
      <c r="Y609" s="377" t="s">
        <v>32</v>
      </c>
      <c r="Z609" s="377" t="s">
        <v>7</v>
      </c>
      <c r="AA609" s="377" t="s">
        <v>33</v>
      </c>
      <c r="AB609" s="460" t="s">
        <v>34</v>
      </c>
      <c r="AC609" s="615" t="s">
        <v>35</v>
      </c>
      <c r="AD609" s="617" t="s">
        <v>36</v>
      </c>
      <c r="AE609" s="617" t="s">
        <v>37</v>
      </c>
      <c r="AF609" s="618" t="s">
        <v>38</v>
      </c>
    </row>
    <row r="610" spans="1:32" s="457" customFormat="1" ht="18" customHeight="1" x14ac:dyDescent="0.2">
      <c r="A610" s="2687"/>
      <c r="B610" s="366" t="s">
        <v>39</v>
      </c>
      <c r="C610" s="2687"/>
      <c r="D610" s="366" t="s">
        <v>40</v>
      </c>
      <c r="E610" s="366" t="s">
        <v>41</v>
      </c>
      <c r="F610" s="2686" t="s">
        <v>42</v>
      </c>
      <c r="G610" s="2686" t="s">
        <v>43</v>
      </c>
      <c r="H610" s="2688" t="s">
        <v>44</v>
      </c>
      <c r="I610" s="366" t="s">
        <v>45</v>
      </c>
      <c r="J610" s="380" t="s">
        <v>46</v>
      </c>
      <c r="K610" s="380" t="s">
        <v>47</v>
      </c>
      <c r="L610" s="2680"/>
      <c r="M610" s="381" t="s">
        <v>30</v>
      </c>
      <c r="N610" s="381" t="s">
        <v>30</v>
      </c>
      <c r="O610" s="381" t="s">
        <v>25</v>
      </c>
      <c r="P610" s="385" t="s">
        <v>30</v>
      </c>
      <c r="Q610" s="461" t="s">
        <v>48</v>
      </c>
      <c r="R610" s="385" t="s">
        <v>49</v>
      </c>
      <c r="S610" s="385" t="s">
        <v>30</v>
      </c>
      <c r="T610" s="374" t="s">
        <v>50</v>
      </c>
      <c r="U610" s="374" t="s">
        <v>13</v>
      </c>
      <c r="V610" s="375" t="s">
        <v>51</v>
      </c>
      <c r="W610" s="376" t="s">
        <v>52</v>
      </c>
      <c r="X610" s="377" t="s">
        <v>53</v>
      </c>
      <c r="Y610" s="377" t="s">
        <v>54</v>
      </c>
      <c r="Z610" s="377" t="s">
        <v>55</v>
      </c>
      <c r="AA610" s="377" t="s">
        <v>56</v>
      </c>
      <c r="AB610" s="460" t="s">
        <v>57</v>
      </c>
      <c r="AC610" s="617" t="s">
        <v>58</v>
      </c>
      <c r="AD610" s="617" t="s">
        <v>59</v>
      </c>
      <c r="AE610" s="617" t="s">
        <v>59</v>
      </c>
      <c r="AF610" s="618" t="s">
        <v>60</v>
      </c>
    </row>
    <row r="611" spans="1:32" s="457" customFormat="1" ht="18" customHeight="1" x14ac:dyDescent="0.2">
      <c r="A611" s="2687"/>
      <c r="B611" s="366" t="s">
        <v>61</v>
      </c>
      <c r="C611" s="2687"/>
      <c r="D611" s="366" t="s">
        <v>62</v>
      </c>
      <c r="E611" s="366" t="s">
        <v>63</v>
      </c>
      <c r="F611" s="2687"/>
      <c r="G611" s="2687"/>
      <c r="H611" s="2689"/>
      <c r="I611" s="366" t="s">
        <v>64</v>
      </c>
      <c r="J611" s="380" t="s">
        <v>59</v>
      </c>
      <c r="K611" s="380" t="s">
        <v>59</v>
      </c>
      <c r="L611" s="2680"/>
      <c r="M611" s="381"/>
      <c r="N611" s="381"/>
      <c r="O611" s="381" t="s">
        <v>41</v>
      </c>
      <c r="P611" s="385" t="s">
        <v>65</v>
      </c>
      <c r="Q611" s="461" t="s">
        <v>66</v>
      </c>
      <c r="R611" s="385" t="s">
        <v>67</v>
      </c>
      <c r="S611" s="385" t="s">
        <v>59</v>
      </c>
      <c r="T611" s="375" t="s">
        <v>68</v>
      </c>
      <c r="U611" s="375" t="s">
        <v>14</v>
      </c>
      <c r="V611" s="375" t="s">
        <v>14</v>
      </c>
      <c r="W611" s="376" t="s">
        <v>30</v>
      </c>
      <c r="X611" s="388" t="s">
        <v>69</v>
      </c>
      <c r="Y611" s="388" t="s">
        <v>70</v>
      </c>
      <c r="Z611" s="377" t="s">
        <v>71</v>
      </c>
      <c r="AA611" s="377" t="s">
        <v>72</v>
      </c>
      <c r="AB611" s="460" t="s">
        <v>59</v>
      </c>
      <c r="AC611" s="617" t="s">
        <v>59</v>
      </c>
      <c r="AD611" s="617"/>
      <c r="AE611" s="617"/>
      <c r="AF611" s="618" t="s">
        <v>59</v>
      </c>
    </row>
    <row r="612" spans="1:32" s="457" customFormat="1" ht="18" customHeight="1" x14ac:dyDescent="0.2">
      <c r="A612" s="2692"/>
      <c r="B612" s="390"/>
      <c r="C612" s="2692"/>
      <c r="D612" s="390"/>
      <c r="E612" s="389"/>
      <c r="F612" s="390"/>
      <c r="G612" s="390"/>
      <c r="H612" s="391"/>
      <c r="I612" s="389"/>
      <c r="J612" s="393"/>
      <c r="K612" s="393"/>
      <c r="L612" s="2681"/>
      <c r="M612" s="394"/>
      <c r="N612" s="394"/>
      <c r="O612" s="394" t="s">
        <v>63</v>
      </c>
      <c r="P612" s="394"/>
      <c r="Q612" s="450" t="s">
        <v>72</v>
      </c>
      <c r="R612" s="398" t="s">
        <v>59</v>
      </c>
      <c r="S612" s="398"/>
      <c r="T612" s="398" t="s">
        <v>73</v>
      </c>
      <c r="U612" s="398" t="s">
        <v>59</v>
      </c>
      <c r="V612" s="399" t="s">
        <v>59</v>
      </c>
      <c r="W612" s="400" t="s">
        <v>59</v>
      </c>
      <c r="X612" s="401" t="s">
        <v>59</v>
      </c>
      <c r="Y612" s="401" t="s">
        <v>59</v>
      </c>
      <c r="Z612" s="401" t="s">
        <v>59</v>
      </c>
      <c r="AA612" s="402"/>
      <c r="AB612" s="462"/>
      <c r="AC612" s="625"/>
      <c r="AD612" s="625"/>
      <c r="AE612" s="625"/>
      <c r="AF612" s="626"/>
    </row>
    <row r="613" spans="1:32" s="457" customFormat="1" ht="18" customHeight="1" x14ac:dyDescent="0.25">
      <c r="A613" s="53">
        <v>1</v>
      </c>
      <c r="B613" s="333">
        <v>30879</v>
      </c>
      <c r="C613" s="41">
        <v>780</v>
      </c>
      <c r="D613" s="41" t="s">
        <v>215</v>
      </c>
      <c r="E613" s="41">
        <v>4</v>
      </c>
      <c r="F613" s="41">
        <v>0</v>
      </c>
      <c r="G613" s="41">
        <v>0</v>
      </c>
      <c r="H613" s="267">
        <v>91</v>
      </c>
      <c r="I613" s="77">
        <f t="shared" ref="I613:I614" si="149">F613*400+G613*100+H613</f>
        <v>91</v>
      </c>
      <c r="J613" s="310">
        <v>1000</v>
      </c>
      <c r="K613" s="297">
        <f>I613*J613</f>
        <v>91000</v>
      </c>
      <c r="L613" s="45"/>
      <c r="M613" s="61"/>
      <c r="N613" s="50"/>
      <c r="O613" s="50"/>
      <c r="P613" s="19"/>
      <c r="Q613" s="62"/>
      <c r="R613" s="672"/>
      <c r="S613" s="296"/>
      <c r="T613" s="298"/>
      <c r="U613" s="299"/>
      <c r="V613" s="299"/>
      <c r="W613" s="18">
        <f t="shared" ref="W613" si="150">K613+V613</f>
        <v>91000</v>
      </c>
      <c r="X613" s="47">
        <f>W613</f>
        <v>91000</v>
      </c>
      <c r="Y613" s="792"/>
      <c r="Z613" s="18">
        <f t="shared" ref="Z613" si="151">+X613</f>
        <v>91000</v>
      </c>
      <c r="AA613" s="494">
        <v>0.6</v>
      </c>
      <c r="AB613" s="406">
        <f>+Z613*AA613/100</f>
        <v>546</v>
      </c>
      <c r="AC613" s="602"/>
      <c r="AD613" s="603">
        <f>AB643-AC613</f>
        <v>492</v>
      </c>
      <c r="AE613" s="603">
        <f>IF(AD613&lt;=0,0,AD613*25/100)</f>
        <v>123</v>
      </c>
      <c r="AF613" s="603">
        <f>IF(AC613+AE613&gt;AB643,AB643,AC613+AE613)</f>
        <v>123</v>
      </c>
    </row>
    <row r="614" spans="1:32" s="457" customFormat="1" ht="18" customHeight="1" x14ac:dyDescent="0.25">
      <c r="A614" s="61">
        <v>2</v>
      </c>
      <c r="B614" s="287">
        <v>30880</v>
      </c>
      <c r="C614" s="15">
        <v>781</v>
      </c>
      <c r="D614" s="15" t="s">
        <v>215</v>
      </c>
      <c r="E614" s="15">
        <v>4</v>
      </c>
      <c r="F614" s="15">
        <v>0</v>
      </c>
      <c r="G614" s="15">
        <v>0</v>
      </c>
      <c r="H614" s="284">
        <v>78</v>
      </c>
      <c r="I614" s="77">
        <f t="shared" si="149"/>
        <v>78</v>
      </c>
      <c r="J614" s="306">
        <v>1000</v>
      </c>
      <c r="K614" s="297">
        <f>I614*J614</f>
        <v>78000</v>
      </c>
      <c r="L614" s="45"/>
      <c r="M614" s="61"/>
      <c r="N614" s="50"/>
      <c r="O614" s="50"/>
      <c r="P614" s="19"/>
      <c r="Q614" s="62"/>
      <c r="R614" s="672"/>
      <c r="S614" s="296"/>
      <c r="T614" s="298"/>
      <c r="U614" s="299"/>
      <c r="V614" s="299"/>
      <c r="W614" s="18">
        <f t="shared" ref="W614" si="152">K614+V614</f>
        <v>78000</v>
      </c>
      <c r="X614" s="47">
        <f>W614</f>
        <v>78000</v>
      </c>
      <c r="Y614" s="792"/>
      <c r="Z614" s="18">
        <f t="shared" ref="Z614" si="153">+X614</f>
        <v>78000</v>
      </c>
      <c r="AA614" s="494">
        <v>0.6</v>
      </c>
      <c r="AB614" s="415">
        <f>+Z614*AA614/100</f>
        <v>468</v>
      </c>
      <c r="AC614" s="350"/>
      <c r="AD614" s="350"/>
      <c r="AE614" s="350"/>
      <c r="AF614" s="350"/>
    </row>
    <row r="615" spans="1:32" s="457" customFormat="1" ht="18" customHeight="1" x14ac:dyDescent="0.2">
      <c r="A615" s="75"/>
      <c r="B615" s="88"/>
      <c r="C615" s="88"/>
      <c r="D615" s="88"/>
      <c r="E615" s="88"/>
      <c r="F615" s="88"/>
      <c r="G615" s="88"/>
      <c r="H615" s="495"/>
      <c r="I615" s="77"/>
      <c r="J615" s="107"/>
      <c r="K615" s="78"/>
      <c r="L615" s="75"/>
      <c r="M615" s="61"/>
      <c r="N615" s="61"/>
      <c r="O615" s="61"/>
      <c r="P615" s="173"/>
      <c r="Q615" s="174"/>
      <c r="R615" s="408"/>
      <c r="S615" s="77"/>
      <c r="T615" s="135"/>
      <c r="U615" s="74"/>
      <c r="V615" s="74"/>
      <c r="W615" s="77"/>
      <c r="X615" s="74"/>
      <c r="Y615" s="676"/>
      <c r="Z615" s="77"/>
      <c r="AA615" s="409"/>
      <c r="AB615" s="410"/>
      <c r="AC615" s="350"/>
      <c r="AD615" s="350"/>
      <c r="AE615" s="350"/>
      <c r="AF615" s="350"/>
    </row>
    <row r="616" spans="1:32" s="457" customFormat="1" ht="18" customHeight="1" x14ac:dyDescent="0.2">
      <c r="A616" s="145"/>
      <c r="B616" s="177"/>
      <c r="C616" s="177"/>
      <c r="D616" s="145"/>
      <c r="E616" s="145"/>
      <c r="F616" s="145"/>
      <c r="G616" s="145"/>
      <c r="H616" s="147"/>
      <c r="I616" s="107"/>
      <c r="J616" s="178"/>
      <c r="K616" s="107"/>
      <c r="L616" s="145"/>
      <c r="M616" s="145"/>
      <c r="N616" s="145"/>
      <c r="O616" s="145"/>
      <c r="P616" s="147"/>
      <c r="Q616" s="148"/>
      <c r="R616" s="437"/>
      <c r="S616" s="77"/>
      <c r="T616" s="179"/>
      <c r="U616" s="178"/>
      <c r="V616" s="107"/>
      <c r="W616" s="107"/>
      <c r="X616" s="470"/>
      <c r="Y616" s="470"/>
      <c r="Z616" s="471"/>
      <c r="AA616" s="471"/>
      <c r="AB616" s="466"/>
      <c r="AC616" s="350"/>
      <c r="AD616" s="350"/>
      <c r="AE616" s="350"/>
      <c r="AF616" s="350"/>
    </row>
    <row r="617" spans="1:32" s="457" customFormat="1" ht="18" customHeight="1" x14ac:dyDescent="0.2">
      <c r="A617" s="145"/>
      <c r="B617" s="177"/>
      <c r="C617" s="177"/>
      <c r="D617" s="145"/>
      <c r="E617" s="145"/>
      <c r="F617" s="145"/>
      <c r="G617" s="145"/>
      <c r="H617" s="147"/>
      <c r="I617" s="107"/>
      <c r="J617" s="178"/>
      <c r="K617" s="107"/>
      <c r="L617" s="145"/>
      <c r="M617" s="145"/>
      <c r="N617" s="145"/>
      <c r="O617" s="145"/>
      <c r="P617" s="147"/>
      <c r="Q617" s="148"/>
      <c r="R617" s="437"/>
      <c r="S617" s="77"/>
      <c r="T617" s="179"/>
      <c r="U617" s="178"/>
      <c r="V617" s="107"/>
      <c r="W617" s="107"/>
      <c r="X617" s="470"/>
      <c r="Y617" s="470"/>
      <c r="Z617" s="471"/>
      <c r="AA617" s="471"/>
      <c r="AB617" s="466"/>
      <c r="AC617" s="350"/>
      <c r="AD617" s="350"/>
      <c r="AE617" s="350"/>
      <c r="AF617" s="350"/>
    </row>
    <row r="618" spans="1:32" s="457" customFormat="1" ht="18" customHeight="1" x14ac:dyDescent="0.2">
      <c r="A618" s="145"/>
      <c r="B618" s="177"/>
      <c r="C618" s="177"/>
      <c r="D618" s="145"/>
      <c r="E618" s="145"/>
      <c r="F618" s="145"/>
      <c r="G618" s="145"/>
      <c r="H618" s="147"/>
      <c r="I618" s="107"/>
      <c r="J618" s="178"/>
      <c r="K618" s="107"/>
      <c r="L618" s="145"/>
      <c r="M618" s="145"/>
      <c r="N618" s="145"/>
      <c r="O618" s="145"/>
      <c r="P618" s="147"/>
      <c r="Q618" s="148"/>
      <c r="R618" s="437"/>
      <c r="S618" s="107"/>
      <c r="T618" s="179"/>
      <c r="U618" s="178"/>
      <c r="V618" s="107"/>
      <c r="W618" s="107"/>
      <c r="X618" s="470"/>
      <c r="Y618" s="470"/>
      <c r="Z618" s="471"/>
      <c r="AA618" s="471"/>
      <c r="AB618" s="466"/>
      <c r="AC618" s="350"/>
      <c r="AD618" s="350"/>
      <c r="AE618" s="350"/>
      <c r="AF618" s="350"/>
    </row>
    <row r="619" spans="1:32" s="457" customFormat="1" ht="18" customHeight="1" x14ac:dyDescent="0.2">
      <c r="A619" s="145"/>
      <c r="B619" s="177"/>
      <c r="C619" s="177"/>
      <c r="D619" s="145"/>
      <c r="E619" s="145"/>
      <c r="F619" s="145"/>
      <c r="G619" s="145"/>
      <c r="H619" s="147"/>
      <c r="I619" s="107"/>
      <c r="J619" s="178"/>
      <c r="K619" s="107"/>
      <c r="L619" s="145"/>
      <c r="M619" s="145"/>
      <c r="N619" s="145"/>
      <c r="O619" s="145"/>
      <c r="P619" s="147"/>
      <c r="Q619" s="148"/>
      <c r="R619" s="437"/>
      <c r="S619" s="107"/>
      <c r="T619" s="179"/>
      <c r="U619" s="178"/>
      <c r="V619" s="107"/>
      <c r="W619" s="107"/>
      <c r="X619" s="470"/>
      <c r="Y619" s="470"/>
      <c r="Z619" s="471"/>
      <c r="AA619" s="471"/>
      <c r="AB619" s="466"/>
      <c r="AC619" s="350"/>
      <c r="AD619" s="350"/>
      <c r="AE619" s="350"/>
      <c r="AF619" s="350"/>
    </row>
    <row r="620" spans="1:32" s="457" customFormat="1" ht="18" customHeight="1" x14ac:dyDescent="0.2">
      <c r="A620" s="145"/>
      <c r="B620" s="177"/>
      <c r="C620" s="177"/>
      <c r="D620" s="145"/>
      <c r="E620" s="145"/>
      <c r="F620" s="145"/>
      <c r="G620" s="145"/>
      <c r="H620" s="147"/>
      <c r="I620" s="107"/>
      <c r="J620" s="178"/>
      <c r="K620" s="107"/>
      <c r="L620" s="145"/>
      <c r="M620" s="145"/>
      <c r="N620" s="145"/>
      <c r="O620" s="145"/>
      <c r="P620" s="147"/>
      <c r="Q620" s="148"/>
      <c r="R620" s="437"/>
      <c r="S620" s="107"/>
      <c r="T620" s="179"/>
      <c r="U620" s="178"/>
      <c r="V620" s="107"/>
      <c r="W620" s="107"/>
      <c r="X620" s="470"/>
      <c r="Y620" s="470"/>
      <c r="Z620" s="471"/>
      <c r="AA620" s="471"/>
      <c r="AB620" s="466"/>
      <c r="AC620" s="350"/>
      <c r="AD620" s="350"/>
      <c r="AE620" s="350"/>
      <c r="AF620" s="350"/>
    </row>
    <row r="621" spans="1:32" s="457" customFormat="1" ht="18" customHeight="1" x14ac:dyDescent="0.2">
      <c r="A621" s="145"/>
      <c r="B621" s="177"/>
      <c r="C621" s="177"/>
      <c r="D621" s="145"/>
      <c r="E621" s="145"/>
      <c r="F621" s="145"/>
      <c r="G621" s="145"/>
      <c r="H621" s="147"/>
      <c r="I621" s="107"/>
      <c r="J621" s="178"/>
      <c r="K621" s="107"/>
      <c r="L621" s="145"/>
      <c r="M621" s="145"/>
      <c r="N621" s="145"/>
      <c r="O621" s="145"/>
      <c r="P621" s="147"/>
      <c r="Q621" s="148"/>
      <c r="R621" s="437"/>
      <c r="S621" s="107"/>
      <c r="T621" s="179"/>
      <c r="U621" s="178"/>
      <c r="V621" s="107"/>
      <c r="W621" s="107"/>
      <c r="X621" s="470"/>
      <c r="Y621" s="470"/>
      <c r="Z621" s="471"/>
      <c r="AA621" s="471"/>
      <c r="AB621" s="466"/>
      <c r="AC621" s="350"/>
      <c r="AD621" s="350"/>
      <c r="AE621" s="350"/>
      <c r="AF621" s="350"/>
    </row>
    <row r="622" spans="1:32" s="457" customFormat="1" ht="18" customHeight="1" x14ac:dyDescent="0.2">
      <c r="A622" s="145"/>
      <c r="B622" s="177"/>
      <c r="C622" s="177"/>
      <c r="D622" s="145"/>
      <c r="E622" s="145"/>
      <c r="F622" s="145"/>
      <c r="G622" s="145"/>
      <c r="H622" s="147"/>
      <c r="I622" s="107"/>
      <c r="J622" s="178"/>
      <c r="K622" s="107"/>
      <c r="L622" s="145"/>
      <c r="M622" s="145"/>
      <c r="N622" s="145"/>
      <c r="O622" s="145"/>
      <c r="P622" s="147"/>
      <c r="Q622" s="148"/>
      <c r="R622" s="437"/>
      <c r="S622" s="107"/>
      <c r="T622" s="179"/>
      <c r="U622" s="178"/>
      <c r="V622" s="107"/>
      <c r="W622" s="107"/>
      <c r="X622" s="470"/>
      <c r="Y622" s="470"/>
      <c r="Z622" s="471"/>
      <c r="AA622" s="471"/>
      <c r="AB622" s="466"/>
      <c r="AC622" s="350"/>
      <c r="AD622" s="350"/>
      <c r="AE622" s="350"/>
      <c r="AF622" s="350"/>
    </row>
    <row r="623" spans="1:32" s="457" customFormat="1" ht="18" customHeight="1" x14ac:dyDescent="0.2">
      <c r="A623" s="145"/>
      <c r="B623" s="177"/>
      <c r="C623" s="177"/>
      <c r="D623" s="145"/>
      <c r="E623" s="145"/>
      <c r="F623" s="145"/>
      <c r="G623" s="145"/>
      <c r="H623" s="147"/>
      <c r="I623" s="107"/>
      <c r="J623" s="178"/>
      <c r="K623" s="107"/>
      <c r="L623" s="145"/>
      <c r="M623" s="145"/>
      <c r="N623" s="145"/>
      <c r="O623" s="145"/>
      <c r="P623" s="147"/>
      <c r="Q623" s="148"/>
      <c r="R623" s="437"/>
      <c r="S623" s="107"/>
      <c r="T623" s="179"/>
      <c r="U623" s="178"/>
      <c r="V623" s="107"/>
      <c r="W623" s="107"/>
      <c r="X623" s="470"/>
      <c r="Y623" s="470"/>
      <c r="Z623" s="471"/>
      <c r="AA623" s="471"/>
      <c r="AB623" s="466"/>
      <c r="AC623" s="350"/>
      <c r="AD623" s="350"/>
      <c r="AE623" s="350"/>
      <c r="AF623" s="350"/>
    </row>
    <row r="624" spans="1:32" s="457" customFormat="1" ht="18" customHeight="1" x14ac:dyDescent="0.2">
      <c r="A624" s="145"/>
      <c r="B624" s="177"/>
      <c r="C624" s="177"/>
      <c r="D624" s="145"/>
      <c r="E624" s="145"/>
      <c r="F624" s="145"/>
      <c r="G624" s="145"/>
      <c r="H624" s="147"/>
      <c r="I624" s="107"/>
      <c r="J624" s="178"/>
      <c r="K624" s="107"/>
      <c r="L624" s="145"/>
      <c r="M624" s="145"/>
      <c r="N624" s="145"/>
      <c r="O624" s="145"/>
      <c r="P624" s="147"/>
      <c r="Q624" s="148"/>
      <c r="R624" s="437"/>
      <c r="S624" s="107"/>
      <c r="T624" s="179"/>
      <c r="U624" s="178"/>
      <c r="V624" s="107"/>
      <c r="W624" s="107"/>
      <c r="X624" s="470"/>
      <c r="Y624" s="470"/>
      <c r="Z624" s="471"/>
      <c r="AA624" s="471"/>
      <c r="AB624" s="466"/>
      <c r="AC624" s="350"/>
      <c r="AD624" s="350"/>
      <c r="AE624" s="350"/>
      <c r="AF624" s="350"/>
    </row>
    <row r="625" spans="1:32" s="457" customFormat="1" ht="18" customHeight="1" x14ac:dyDescent="0.2">
      <c r="A625" s="145"/>
      <c r="B625" s="177"/>
      <c r="C625" s="177"/>
      <c r="D625" s="145"/>
      <c r="E625" s="145"/>
      <c r="F625" s="145"/>
      <c r="G625" s="145"/>
      <c r="H625" s="147"/>
      <c r="I625" s="107"/>
      <c r="J625" s="178"/>
      <c r="K625" s="107"/>
      <c r="L625" s="145"/>
      <c r="M625" s="145"/>
      <c r="N625" s="145"/>
      <c r="O625" s="145"/>
      <c r="P625" s="147"/>
      <c r="Q625" s="148"/>
      <c r="R625" s="437"/>
      <c r="S625" s="107"/>
      <c r="T625" s="179"/>
      <c r="U625" s="178"/>
      <c r="V625" s="107"/>
      <c r="W625" s="107"/>
      <c r="X625" s="470"/>
      <c r="Y625" s="470"/>
      <c r="Z625" s="471"/>
      <c r="AA625" s="471"/>
      <c r="AB625" s="466"/>
      <c r="AC625" s="350"/>
      <c r="AD625" s="350"/>
      <c r="AE625" s="350"/>
      <c r="AF625" s="350"/>
    </row>
    <row r="626" spans="1:32" s="457" customFormat="1" ht="18" customHeight="1" x14ac:dyDescent="0.2">
      <c r="A626" s="145"/>
      <c r="B626" s="177"/>
      <c r="C626" s="177"/>
      <c r="D626" s="145"/>
      <c r="E626" s="145"/>
      <c r="F626" s="145"/>
      <c r="G626" s="145"/>
      <c r="H626" s="147"/>
      <c r="I626" s="107"/>
      <c r="J626" s="178"/>
      <c r="K626" s="107"/>
      <c r="L626" s="145"/>
      <c r="M626" s="145"/>
      <c r="N626" s="145"/>
      <c r="O626" s="145"/>
      <c r="P626" s="147"/>
      <c r="Q626" s="148"/>
      <c r="R626" s="437"/>
      <c r="S626" s="107"/>
      <c r="T626" s="179"/>
      <c r="U626" s="178"/>
      <c r="V626" s="107"/>
      <c r="W626" s="107"/>
      <c r="X626" s="470"/>
      <c r="Y626" s="470"/>
      <c r="Z626" s="471"/>
      <c r="AA626" s="471"/>
      <c r="AB626" s="466"/>
      <c r="AC626" s="350"/>
      <c r="AD626" s="350"/>
      <c r="AE626" s="350"/>
      <c r="AF626" s="350"/>
    </row>
    <row r="627" spans="1:32" s="457" customFormat="1" ht="18" customHeight="1" x14ac:dyDescent="0.2">
      <c r="A627" s="88"/>
      <c r="B627" s="180"/>
      <c r="C627" s="180"/>
      <c r="D627" s="88"/>
      <c r="E627" s="88"/>
      <c r="F627" s="88"/>
      <c r="G627" s="88"/>
      <c r="H627" s="120"/>
      <c r="I627" s="121"/>
      <c r="J627" s="181"/>
      <c r="K627" s="121"/>
      <c r="L627" s="88"/>
      <c r="M627" s="88"/>
      <c r="N627" s="88"/>
      <c r="O627" s="88"/>
      <c r="P627" s="88"/>
      <c r="Q627" s="129"/>
      <c r="R627" s="445"/>
      <c r="S627" s="121"/>
      <c r="T627" s="182"/>
      <c r="U627" s="181"/>
      <c r="V627" s="121"/>
      <c r="W627" s="121"/>
      <c r="X627" s="472"/>
      <c r="Y627" s="472"/>
      <c r="Z627" s="473"/>
      <c r="AA627" s="473"/>
      <c r="AB627" s="410"/>
      <c r="AC627" s="351"/>
      <c r="AD627" s="351"/>
      <c r="AE627" s="351"/>
      <c r="AF627" s="351"/>
    </row>
    <row r="628" spans="1:32" s="597" customFormat="1" ht="18" customHeight="1" x14ac:dyDescent="0.2">
      <c r="A628" s="1850"/>
      <c r="B628" s="1850"/>
      <c r="C628" s="1850"/>
      <c r="D628" s="1850"/>
      <c r="E628" s="1850"/>
      <c r="F628" s="1850"/>
      <c r="G628" s="1850"/>
      <c r="H628" s="1851"/>
      <c r="I628" s="1852"/>
      <c r="J628" s="1853"/>
      <c r="K628" s="1852"/>
      <c r="L628" s="1852"/>
      <c r="M628" s="1852"/>
      <c r="N628" s="1852"/>
      <c r="O628" s="1852"/>
      <c r="P628" s="1852"/>
      <c r="Q628" s="1852"/>
      <c r="R628" s="1854"/>
      <c r="S628" s="1852"/>
      <c r="T628" s="1855"/>
      <c r="U628" s="1853"/>
      <c r="V628" s="1852"/>
      <c r="W628" s="1852"/>
      <c r="X628" s="1856"/>
      <c r="Y628" s="1856"/>
      <c r="Z628" s="1857"/>
      <c r="AA628" s="1857"/>
      <c r="AB628" s="1847">
        <f>SUM(AB613:AB627)</f>
        <v>1014</v>
      </c>
      <c r="AC628" s="1861"/>
      <c r="AD628" s="1861"/>
      <c r="AE628" s="1861"/>
      <c r="AF628" s="1861"/>
    </row>
    <row r="629" spans="1:32" s="457" customFormat="1" ht="18" customHeight="1" x14ac:dyDescent="0.2">
      <c r="A629" s="2737" t="s">
        <v>76</v>
      </c>
      <c r="B629" s="2737"/>
      <c r="C629" s="2738" t="s">
        <v>77</v>
      </c>
      <c r="D629" s="2738"/>
      <c r="E629" s="2738"/>
      <c r="F629" s="2738"/>
      <c r="G629" s="2738"/>
      <c r="H629" s="2738"/>
      <c r="I629" s="457" t="s">
        <v>78</v>
      </c>
      <c r="AB629" s="478"/>
    </row>
    <row r="630" spans="1:32" s="457" customFormat="1" ht="18" customHeight="1" x14ac:dyDescent="0.2">
      <c r="B630" s="479"/>
      <c r="I630" s="457" t="s">
        <v>79</v>
      </c>
      <c r="AB630" s="478"/>
    </row>
    <row r="631" spans="1:32" s="457" customFormat="1" ht="18" customHeight="1" x14ac:dyDescent="0.2">
      <c r="B631" s="479"/>
      <c r="I631" s="457" t="s">
        <v>80</v>
      </c>
      <c r="AB631" s="478"/>
    </row>
    <row r="632" spans="1:32" s="457" customFormat="1" ht="18" customHeight="1" x14ac:dyDescent="0.2">
      <c r="B632" s="479"/>
      <c r="I632" s="457" t="s">
        <v>81</v>
      </c>
      <c r="AB632" s="478"/>
    </row>
    <row r="633" spans="1:32" s="457" customFormat="1" ht="18" customHeight="1" x14ac:dyDescent="0.2">
      <c r="B633" s="479"/>
      <c r="I633" s="457" t="s">
        <v>88</v>
      </c>
      <c r="AB633" s="478"/>
    </row>
    <row r="634" spans="1:32" s="457" customFormat="1" ht="18" customHeight="1" x14ac:dyDescent="0.2">
      <c r="A634" s="455"/>
      <c r="B634" s="455"/>
      <c r="C634" s="455"/>
      <c r="D634" s="455"/>
      <c r="E634" s="455"/>
      <c r="F634" s="455"/>
      <c r="G634" s="455"/>
      <c r="H634" s="455"/>
      <c r="I634" s="455"/>
      <c r="J634" s="455"/>
      <c r="K634" s="455"/>
      <c r="L634" s="455"/>
      <c r="M634" s="455"/>
      <c r="N634" s="455"/>
      <c r="O634" s="455"/>
      <c r="P634" s="455"/>
      <c r="Q634" s="455"/>
      <c r="R634" s="455"/>
      <c r="S634" s="455"/>
      <c r="T634" s="455"/>
      <c r="U634" s="455"/>
      <c r="V634" s="455"/>
      <c r="W634" s="455"/>
      <c r="X634" s="455"/>
      <c r="Y634" s="455"/>
      <c r="Z634" s="455"/>
      <c r="AA634" s="2705" t="s">
        <v>0</v>
      </c>
      <c r="AB634" s="2705"/>
      <c r="AC634" s="455"/>
      <c r="AD634" s="455"/>
      <c r="AE634" s="455"/>
      <c r="AF634" s="455"/>
    </row>
    <row r="635" spans="1:32" s="457" customFormat="1" ht="18" customHeight="1" x14ac:dyDescent="0.2">
      <c r="A635" s="2706" t="s">
        <v>1</v>
      </c>
      <c r="B635" s="2706"/>
      <c r="C635" s="2706"/>
      <c r="D635" s="2706"/>
      <c r="E635" s="2706"/>
      <c r="F635" s="2706"/>
      <c r="G635" s="2706"/>
      <c r="H635" s="2706"/>
      <c r="I635" s="2706"/>
      <c r="J635" s="2706"/>
      <c r="K635" s="2706"/>
      <c r="L635" s="2706"/>
      <c r="M635" s="2706"/>
      <c r="N635" s="2706"/>
      <c r="O635" s="2706"/>
      <c r="P635" s="2706"/>
      <c r="Q635" s="2706"/>
      <c r="R635" s="2706"/>
      <c r="S635" s="2706"/>
      <c r="T635" s="2706"/>
      <c r="U635" s="2706"/>
      <c r="V635" s="2706"/>
      <c r="W635" s="2706"/>
      <c r="X635" s="2706"/>
      <c r="Y635" s="2706"/>
      <c r="Z635" s="2706"/>
      <c r="AA635" s="2706"/>
      <c r="AB635" s="2706"/>
      <c r="AC635" s="610"/>
      <c r="AD635" s="610"/>
      <c r="AE635" s="610"/>
      <c r="AF635" s="610"/>
    </row>
    <row r="636" spans="1:32" s="457" customFormat="1" ht="18" customHeight="1" x14ac:dyDescent="0.2">
      <c r="A636" s="2704" t="s">
        <v>507</v>
      </c>
      <c r="B636" s="2704"/>
      <c r="C636" s="2704"/>
      <c r="D636" s="2704"/>
      <c r="E636" s="2704"/>
      <c r="F636" s="2704"/>
      <c r="G636" s="2704"/>
      <c r="H636" s="2704"/>
      <c r="I636" s="2704"/>
      <c r="J636" s="2704"/>
      <c r="K636" s="2704"/>
      <c r="L636" s="2704"/>
      <c r="M636" s="2704"/>
      <c r="N636" s="2704"/>
      <c r="O636" s="2704"/>
      <c r="P636" s="2704"/>
      <c r="Q636" s="2704"/>
      <c r="R636" s="2704"/>
      <c r="S636" s="2704"/>
      <c r="T636" s="2704"/>
      <c r="U636" s="2704"/>
      <c r="V636" s="2704"/>
      <c r="W636" s="2704"/>
      <c r="X636" s="2704"/>
      <c r="Y636" s="2704"/>
      <c r="Z636" s="2704"/>
      <c r="AA636" s="2704"/>
      <c r="AB636" s="2704"/>
      <c r="AC636" s="611"/>
      <c r="AD636" s="611"/>
      <c r="AE636" s="611"/>
      <c r="AF636" s="611"/>
    </row>
    <row r="637" spans="1:32" s="457" customFormat="1" ht="18" customHeight="1" x14ac:dyDescent="0.2">
      <c r="A637" s="2686" t="s">
        <v>2</v>
      </c>
      <c r="B637" s="360"/>
      <c r="C637" s="2686" t="s">
        <v>3</v>
      </c>
      <c r="D637" s="360"/>
      <c r="E637" s="360"/>
      <c r="F637" s="2693" t="s">
        <v>4</v>
      </c>
      <c r="G637" s="2693"/>
      <c r="H637" s="2693"/>
      <c r="I637" s="2694"/>
      <c r="J637" s="2694"/>
      <c r="K637" s="2695"/>
      <c r="L637" s="361"/>
      <c r="M637" s="2679" t="s">
        <v>5</v>
      </c>
      <c r="N637" s="2679"/>
      <c r="O637" s="2679"/>
      <c r="P637" s="2679"/>
      <c r="Q637" s="2696"/>
      <c r="R637" s="2696"/>
      <c r="S637" s="2696"/>
      <c r="T637" s="2696"/>
      <c r="U637" s="2696"/>
      <c r="V637" s="2697"/>
      <c r="W637" s="362" t="s">
        <v>6</v>
      </c>
      <c r="X637" s="363" t="s">
        <v>7</v>
      </c>
      <c r="Y637" s="364"/>
      <c r="Z637" s="364"/>
      <c r="AA637" s="363"/>
      <c r="AB637" s="458"/>
      <c r="AC637" s="612" t="s">
        <v>8</v>
      </c>
      <c r="AD637" s="613"/>
      <c r="AE637" s="613"/>
      <c r="AF637" s="614"/>
    </row>
    <row r="638" spans="1:32" s="457" customFormat="1" ht="18" customHeight="1" x14ac:dyDescent="0.2">
      <c r="A638" s="2687"/>
      <c r="B638" s="367"/>
      <c r="C638" s="2687"/>
      <c r="D638" s="366" t="s">
        <v>9</v>
      </c>
      <c r="E638" s="366" t="s">
        <v>10</v>
      </c>
      <c r="F638" s="2698" t="s">
        <v>11</v>
      </c>
      <c r="G638" s="2694"/>
      <c r="H638" s="2695"/>
      <c r="I638" s="360"/>
      <c r="J638" s="449" t="s">
        <v>12</v>
      </c>
      <c r="K638" s="360"/>
      <c r="L638" s="2679" t="s">
        <v>2</v>
      </c>
      <c r="M638" s="370"/>
      <c r="N638" s="370"/>
      <c r="O638" s="370"/>
      <c r="P638" s="371"/>
      <c r="Q638" s="459" t="s">
        <v>13</v>
      </c>
      <c r="R638" s="370" t="s">
        <v>12</v>
      </c>
      <c r="S638" s="370" t="s">
        <v>6</v>
      </c>
      <c r="T638" s="2682" t="s">
        <v>14</v>
      </c>
      <c r="U638" s="2683"/>
      <c r="V638" s="375" t="s">
        <v>7</v>
      </c>
      <c r="W638" s="376" t="s">
        <v>15</v>
      </c>
      <c r="X638" s="377" t="s">
        <v>16</v>
      </c>
      <c r="Y638" s="377" t="s">
        <v>17</v>
      </c>
      <c r="Z638" s="377" t="s">
        <v>18</v>
      </c>
      <c r="AA638" s="377"/>
      <c r="AB638" s="460" t="s">
        <v>19</v>
      </c>
      <c r="AC638" s="615" t="s">
        <v>20</v>
      </c>
      <c r="AD638" s="616"/>
      <c r="AE638" s="617" t="s">
        <v>21</v>
      </c>
      <c r="AF638" s="618" t="s">
        <v>22</v>
      </c>
    </row>
    <row r="639" spans="1:32" s="457" customFormat="1" ht="18" customHeight="1" x14ac:dyDescent="0.2">
      <c r="A639" s="2687"/>
      <c r="B639" s="366" t="s">
        <v>23</v>
      </c>
      <c r="C639" s="2687"/>
      <c r="D639" s="366" t="s">
        <v>24</v>
      </c>
      <c r="E639" s="366" t="s">
        <v>25</v>
      </c>
      <c r="F639" s="2699"/>
      <c r="G639" s="2700"/>
      <c r="H639" s="2701"/>
      <c r="I639" s="366" t="s">
        <v>26</v>
      </c>
      <c r="J639" s="380" t="s">
        <v>15</v>
      </c>
      <c r="K639" s="380" t="s">
        <v>6</v>
      </c>
      <c r="L639" s="2680"/>
      <c r="M639" s="381" t="s">
        <v>27</v>
      </c>
      <c r="N639" s="381" t="s">
        <v>10</v>
      </c>
      <c r="O639" s="381" t="s">
        <v>10</v>
      </c>
      <c r="P639" s="385" t="s">
        <v>28</v>
      </c>
      <c r="Q639" s="461" t="s">
        <v>29</v>
      </c>
      <c r="R639" s="385" t="s">
        <v>15</v>
      </c>
      <c r="S639" s="385" t="s">
        <v>15</v>
      </c>
      <c r="T639" s="2684"/>
      <c r="U639" s="2685"/>
      <c r="V639" s="375" t="s">
        <v>30</v>
      </c>
      <c r="W639" s="376" t="s">
        <v>31</v>
      </c>
      <c r="X639" s="377" t="s">
        <v>30</v>
      </c>
      <c r="Y639" s="377" t="s">
        <v>32</v>
      </c>
      <c r="Z639" s="377" t="s">
        <v>7</v>
      </c>
      <c r="AA639" s="377" t="s">
        <v>33</v>
      </c>
      <c r="AB639" s="460" t="s">
        <v>34</v>
      </c>
      <c r="AC639" s="615" t="s">
        <v>35</v>
      </c>
      <c r="AD639" s="617" t="s">
        <v>36</v>
      </c>
      <c r="AE639" s="617" t="s">
        <v>37</v>
      </c>
      <c r="AF639" s="618" t="s">
        <v>38</v>
      </c>
    </row>
    <row r="640" spans="1:32" s="457" customFormat="1" ht="18" customHeight="1" x14ac:dyDescent="0.2">
      <c r="A640" s="2687"/>
      <c r="B640" s="366" t="s">
        <v>39</v>
      </c>
      <c r="C640" s="2687"/>
      <c r="D640" s="366" t="s">
        <v>40</v>
      </c>
      <c r="E640" s="366" t="s">
        <v>41</v>
      </c>
      <c r="F640" s="2686" t="s">
        <v>42</v>
      </c>
      <c r="G640" s="2686" t="s">
        <v>43</v>
      </c>
      <c r="H640" s="2688" t="s">
        <v>44</v>
      </c>
      <c r="I640" s="366" t="s">
        <v>45</v>
      </c>
      <c r="J640" s="380" t="s">
        <v>46</v>
      </c>
      <c r="K640" s="380" t="s">
        <v>47</v>
      </c>
      <c r="L640" s="2680"/>
      <c r="M640" s="381" t="s">
        <v>30</v>
      </c>
      <c r="N640" s="381" t="s">
        <v>30</v>
      </c>
      <c r="O640" s="381" t="s">
        <v>25</v>
      </c>
      <c r="P640" s="385" t="s">
        <v>30</v>
      </c>
      <c r="Q640" s="461" t="s">
        <v>48</v>
      </c>
      <c r="R640" s="385" t="s">
        <v>49</v>
      </c>
      <c r="S640" s="385" t="s">
        <v>30</v>
      </c>
      <c r="T640" s="374" t="s">
        <v>50</v>
      </c>
      <c r="U640" s="374" t="s">
        <v>13</v>
      </c>
      <c r="V640" s="375" t="s">
        <v>51</v>
      </c>
      <c r="W640" s="376" t="s">
        <v>52</v>
      </c>
      <c r="X640" s="377" t="s">
        <v>53</v>
      </c>
      <c r="Y640" s="377" t="s">
        <v>54</v>
      </c>
      <c r="Z640" s="377" t="s">
        <v>55</v>
      </c>
      <c r="AA640" s="377" t="s">
        <v>56</v>
      </c>
      <c r="AB640" s="460" t="s">
        <v>57</v>
      </c>
      <c r="AC640" s="617" t="s">
        <v>58</v>
      </c>
      <c r="AD640" s="617" t="s">
        <v>59</v>
      </c>
      <c r="AE640" s="617" t="s">
        <v>59</v>
      </c>
      <c r="AF640" s="618" t="s">
        <v>60</v>
      </c>
    </row>
    <row r="641" spans="1:32" s="457" customFormat="1" ht="18" customHeight="1" x14ac:dyDescent="0.2">
      <c r="A641" s="2687"/>
      <c r="B641" s="366" t="s">
        <v>61</v>
      </c>
      <c r="C641" s="2687"/>
      <c r="D641" s="366" t="s">
        <v>62</v>
      </c>
      <c r="E641" s="366" t="s">
        <v>63</v>
      </c>
      <c r="F641" s="2687"/>
      <c r="G641" s="2687"/>
      <c r="H641" s="2689"/>
      <c r="I641" s="366" t="s">
        <v>64</v>
      </c>
      <c r="J641" s="380" t="s">
        <v>59</v>
      </c>
      <c r="K641" s="380" t="s">
        <v>59</v>
      </c>
      <c r="L641" s="2680"/>
      <c r="M641" s="381"/>
      <c r="N641" s="381"/>
      <c r="O641" s="381" t="s">
        <v>41</v>
      </c>
      <c r="P641" s="385" t="s">
        <v>65</v>
      </c>
      <c r="Q641" s="461" t="s">
        <v>66</v>
      </c>
      <c r="R641" s="385" t="s">
        <v>67</v>
      </c>
      <c r="S641" s="385" t="s">
        <v>59</v>
      </c>
      <c r="T641" s="375" t="s">
        <v>68</v>
      </c>
      <c r="U641" s="375" t="s">
        <v>14</v>
      </c>
      <c r="V641" s="375" t="s">
        <v>14</v>
      </c>
      <c r="W641" s="376" t="s">
        <v>30</v>
      </c>
      <c r="X641" s="388" t="s">
        <v>69</v>
      </c>
      <c r="Y641" s="388" t="s">
        <v>70</v>
      </c>
      <c r="Z641" s="377" t="s">
        <v>71</v>
      </c>
      <c r="AA641" s="377" t="s">
        <v>72</v>
      </c>
      <c r="AB641" s="460" t="s">
        <v>59</v>
      </c>
      <c r="AC641" s="617" t="s">
        <v>59</v>
      </c>
      <c r="AD641" s="617"/>
      <c r="AE641" s="617"/>
      <c r="AF641" s="618" t="s">
        <v>59</v>
      </c>
    </row>
    <row r="642" spans="1:32" s="457" customFormat="1" ht="18" customHeight="1" x14ac:dyDescent="0.2">
      <c r="A642" s="2692"/>
      <c r="B642" s="390"/>
      <c r="C642" s="2692"/>
      <c r="D642" s="390"/>
      <c r="E642" s="389"/>
      <c r="F642" s="390"/>
      <c r="G642" s="390"/>
      <c r="H642" s="391"/>
      <c r="I642" s="389"/>
      <c r="J642" s="393"/>
      <c r="K642" s="393"/>
      <c r="L642" s="2681"/>
      <c r="M642" s="394"/>
      <c r="N642" s="394"/>
      <c r="O642" s="394" t="s">
        <v>63</v>
      </c>
      <c r="P642" s="394"/>
      <c r="Q642" s="450" t="s">
        <v>72</v>
      </c>
      <c r="R642" s="398" t="s">
        <v>59</v>
      </c>
      <c r="S642" s="398"/>
      <c r="T642" s="398" t="s">
        <v>73</v>
      </c>
      <c r="U642" s="398" t="s">
        <v>59</v>
      </c>
      <c r="V642" s="399" t="s">
        <v>59</v>
      </c>
      <c r="W642" s="400" t="s">
        <v>59</v>
      </c>
      <c r="X642" s="401" t="s">
        <v>59</v>
      </c>
      <c r="Y642" s="401" t="s">
        <v>59</v>
      </c>
      <c r="Z642" s="401" t="s">
        <v>59</v>
      </c>
      <c r="AA642" s="402"/>
      <c r="AB642" s="462"/>
      <c r="AC642" s="625"/>
      <c r="AD642" s="625"/>
      <c r="AE642" s="625"/>
      <c r="AF642" s="626"/>
    </row>
    <row r="643" spans="1:32" s="457" customFormat="1" ht="18" customHeight="1" x14ac:dyDescent="0.2">
      <c r="A643" s="53">
        <v>1</v>
      </c>
      <c r="B643" s="41">
        <v>30881</v>
      </c>
      <c r="C643" s="41">
        <v>782</v>
      </c>
      <c r="D643" s="41" t="s">
        <v>215</v>
      </c>
      <c r="E643" s="15">
        <v>4</v>
      </c>
      <c r="F643" s="41">
        <v>0</v>
      </c>
      <c r="G643" s="41">
        <v>0</v>
      </c>
      <c r="H643" s="267">
        <v>82</v>
      </c>
      <c r="I643" s="77">
        <f t="shared" ref="I643" si="154">F643*400+G643*100+H643</f>
        <v>82</v>
      </c>
      <c r="J643" s="306">
        <v>1000</v>
      </c>
      <c r="K643" s="297">
        <f>I643*J643</f>
        <v>82000</v>
      </c>
      <c r="L643" s="45"/>
      <c r="M643" s="82"/>
      <c r="N643" s="41"/>
      <c r="O643" s="50"/>
      <c r="P643" s="41"/>
      <c r="Q643" s="62"/>
      <c r="R643" s="672"/>
      <c r="S643" s="296"/>
      <c r="T643" s="298"/>
      <c r="U643" s="299"/>
      <c r="V643" s="299"/>
      <c r="W643" s="18">
        <f t="shared" ref="W643" si="155">K643+V643</f>
        <v>82000</v>
      </c>
      <c r="X643" s="47">
        <f>W643</f>
        <v>82000</v>
      </c>
      <c r="Y643" s="792"/>
      <c r="Z643" s="18">
        <f t="shared" ref="Z643" si="156">+X643</f>
        <v>82000</v>
      </c>
      <c r="AA643" s="494">
        <v>0.6</v>
      </c>
      <c r="AB643" s="406">
        <f>+Z643*AA643/100</f>
        <v>492</v>
      </c>
      <c r="AC643" s="602"/>
      <c r="AD643" s="603">
        <f>AB680-AC643</f>
        <v>0</v>
      </c>
      <c r="AE643" s="603">
        <f>IF(AD643&lt;=0,0,AD643*25/100)</f>
        <v>0</v>
      </c>
      <c r="AF643" s="603">
        <f>IF(AC643+AE643&gt;AB680,AB680,AC643+AE643)</f>
        <v>0</v>
      </c>
    </row>
    <row r="644" spans="1:32" s="457" customFormat="1" ht="18" customHeight="1" x14ac:dyDescent="0.2">
      <c r="A644" s="1304"/>
      <c r="B644" s="88"/>
      <c r="C644" s="88"/>
      <c r="D644" s="88"/>
      <c r="E644" s="88"/>
      <c r="F644" s="88"/>
      <c r="G644" s="88"/>
      <c r="H644" s="495"/>
      <c r="I644" s="74"/>
      <c r="J644" s="121"/>
      <c r="K644" s="159"/>
      <c r="L644" s="75"/>
      <c r="M644" s="75"/>
      <c r="N644" s="75"/>
      <c r="O644" s="75"/>
      <c r="P644" s="188"/>
      <c r="Q644" s="174"/>
      <c r="R644" s="413"/>
      <c r="S644" s="74"/>
      <c r="T644" s="135"/>
      <c r="U644" s="74"/>
      <c r="V644" s="74"/>
      <c r="W644" s="74"/>
      <c r="X644" s="74"/>
      <c r="Y644" s="606"/>
      <c r="Z644" s="74"/>
      <c r="AA644" s="414"/>
      <c r="AB644" s="466"/>
      <c r="AC644" s="350"/>
      <c r="AD644" s="350"/>
      <c r="AE644" s="350"/>
      <c r="AF644" s="350"/>
    </row>
    <row r="645" spans="1:32" s="457" customFormat="1" ht="18" customHeight="1" x14ac:dyDescent="0.2">
      <c r="A645" s="145"/>
      <c r="B645" s="177"/>
      <c r="C645" s="177"/>
      <c r="D645" s="145"/>
      <c r="E645" s="145"/>
      <c r="F645" s="145"/>
      <c r="G645" s="145"/>
      <c r="H645" s="147"/>
      <c r="I645" s="107"/>
      <c r="J645" s="178"/>
      <c r="K645" s="107"/>
      <c r="L645" s="145"/>
      <c r="M645" s="145"/>
      <c r="N645" s="145"/>
      <c r="O645" s="145"/>
      <c r="P645" s="147"/>
      <c r="Q645" s="148"/>
      <c r="R645" s="437"/>
      <c r="S645" s="107"/>
      <c r="T645" s="179"/>
      <c r="U645" s="178"/>
      <c r="V645" s="107"/>
      <c r="W645" s="107"/>
      <c r="X645" s="470"/>
      <c r="Y645" s="470"/>
      <c r="Z645" s="471"/>
      <c r="AA645" s="471"/>
      <c r="AB645" s="466"/>
      <c r="AC645" s="350"/>
      <c r="AD645" s="350"/>
      <c r="AE645" s="350"/>
      <c r="AF645" s="350"/>
    </row>
    <row r="646" spans="1:32" s="457" customFormat="1" ht="18" customHeight="1" x14ac:dyDescent="0.2">
      <c r="A646" s="145"/>
      <c r="B646" s="177"/>
      <c r="C646" s="177"/>
      <c r="D646" s="145"/>
      <c r="E646" s="145"/>
      <c r="F646" s="145"/>
      <c r="G646" s="145"/>
      <c r="H646" s="147"/>
      <c r="I646" s="107"/>
      <c r="J646" s="178"/>
      <c r="K646" s="107"/>
      <c r="L646" s="145"/>
      <c r="M646" s="145"/>
      <c r="N646" s="145"/>
      <c r="O646" s="145"/>
      <c r="P646" s="147"/>
      <c r="Q646" s="148"/>
      <c r="R646" s="437"/>
      <c r="S646" s="107"/>
      <c r="T646" s="179"/>
      <c r="U646" s="178"/>
      <c r="V646" s="107"/>
      <c r="W646" s="107"/>
      <c r="X646" s="470"/>
      <c r="Y646" s="470"/>
      <c r="Z646" s="471"/>
      <c r="AA646" s="471"/>
      <c r="AB646" s="466"/>
      <c r="AC646" s="350"/>
      <c r="AD646" s="350"/>
      <c r="AE646" s="350"/>
      <c r="AF646" s="350"/>
    </row>
    <row r="647" spans="1:32" s="457" customFormat="1" ht="18" customHeight="1" x14ac:dyDescent="0.2">
      <c r="A647" s="145"/>
      <c r="B647" s="177"/>
      <c r="C647" s="177"/>
      <c r="D647" s="145"/>
      <c r="E647" s="145"/>
      <c r="F647" s="145"/>
      <c r="G647" s="145"/>
      <c r="H647" s="147"/>
      <c r="I647" s="107"/>
      <c r="J647" s="178"/>
      <c r="K647" s="107"/>
      <c r="L647" s="145"/>
      <c r="M647" s="145"/>
      <c r="N647" s="145"/>
      <c r="O647" s="145"/>
      <c r="P647" s="147"/>
      <c r="Q647" s="148"/>
      <c r="R647" s="437"/>
      <c r="S647" s="107"/>
      <c r="T647" s="179"/>
      <c r="U647" s="178"/>
      <c r="V647" s="107"/>
      <c r="W647" s="107"/>
      <c r="X647" s="470"/>
      <c r="Y647" s="470"/>
      <c r="Z647" s="471"/>
      <c r="AA647" s="471"/>
      <c r="AB647" s="466"/>
      <c r="AC647" s="350"/>
      <c r="AD647" s="350"/>
      <c r="AE647" s="350"/>
      <c r="AF647" s="350"/>
    </row>
    <row r="648" spans="1:32" s="457" customFormat="1" ht="18" customHeight="1" x14ac:dyDescent="0.2">
      <c r="A648" s="145"/>
      <c r="B648" s="177"/>
      <c r="C648" s="177"/>
      <c r="D648" s="145"/>
      <c r="E648" s="145"/>
      <c r="F648" s="145"/>
      <c r="G648" s="145"/>
      <c r="H648" s="147"/>
      <c r="I648" s="107"/>
      <c r="J648" s="178"/>
      <c r="K648" s="107"/>
      <c r="L648" s="145"/>
      <c r="M648" s="145"/>
      <c r="N648" s="145"/>
      <c r="O648" s="145"/>
      <c r="P648" s="147"/>
      <c r="Q648" s="148"/>
      <c r="R648" s="437"/>
      <c r="S648" s="107"/>
      <c r="T648" s="179"/>
      <c r="U648" s="178"/>
      <c r="V648" s="107"/>
      <c r="W648" s="107"/>
      <c r="X648" s="470"/>
      <c r="Y648" s="470"/>
      <c r="Z648" s="471"/>
      <c r="AA648" s="471"/>
      <c r="AB648" s="466"/>
      <c r="AC648" s="350"/>
      <c r="AD648" s="350"/>
      <c r="AE648" s="350"/>
      <c r="AF648" s="350"/>
    </row>
    <row r="649" spans="1:32" s="457" customFormat="1" ht="18" customHeight="1" x14ac:dyDescent="0.2">
      <c r="A649" s="145"/>
      <c r="B649" s="177"/>
      <c r="C649" s="177"/>
      <c r="D649" s="145"/>
      <c r="E649" s="145"/>
      <c r="F649" s="145"/>
      <c r="G649" s="145"/>
      <c r="H649" s="147"/>
      <c r="I649" s="107"/>
      <c r="J649" s="178"/>
      <c r="K649" s="107"/>
      <c r="L649" s="145"/>
      <c r="M649" s="145"/>
      <c r="N649" s="145"/>
      <c r="O649" s="145"/>
      <c r="P649" s="147"/>
      <c r="Q649" s="148"/>
      <c r="R649" s="437"/>
      <c r="S649" s="107"/>
      <c r="T649" s="179"/>
      <c r="U649" s="178"/>
      <c r="V649" s="107"/>
      <c r="W649" s="107"/>
      <c r="X649" s="470"/>
      <c r="Y649" s="470"/>
      <c r="Z649" s="471"/>
      <c r="AA649" s="471"/>
      <c r="AB649" s="466"/>
      <c r="AC649" s="350"/>
      <c r="AD649" s="350"/>
      <c r="AE649" s="350"/>
      <c r="AF649" s="350"/>
    </row>
    <row r="650" spans="1:32" s="457" customFormat="1" ht="18" customHeight="1" x14ac:dyDescent="0.2">
      <c r="A650" s="145"/>
      <c r="B650" s="177"/>
      <c r="C650" s="177"/>
      <c r="D650" s="145"/>
      <c r="E650" s="145"/>
      <c r="F650" s="145"/>
      <c r="G650" s="145"/>
      <c r="H650" s="147"/>
      <c r="I650" s="107"/>
      <c r="J650" s="178"/>
      <c r="K650" s="107"/>
      <c r="L650" s="145"/>
      <c r="M650" s="145"/>
      <c r="N650" s="145"/>
      <c r="O650" s="145"/>
      <c r="P650" s="147"/>
      <c r="Q650" s="148"/>
      <c r="R650" s="437"/>
      <c r="S650" s="107"/>
      <c r="T650" s="179"/>
      <c r="U650" s="178"/>
      <c r="V650" s="107"/>
      <c r="W650" s="107"/>
      <c r="X650" s="470"/>
      <c r="Y650" s="470"/>
      <c r="Z650" s="471"/>
      <c r="AA650" s="471"/>
      <c r="AB650" s="466"/>
      <c r="AC650" s="350"/>
      <c r="AD650" s="350"/>
      <c r="AE650" s="350"/>
      <c r="AF650" s="350"/>
    </row>
    <row r="651" spans="1:32" s="457" customFormat="1" ht="18" customHeight="1" x14ac:dyDescent="0.2">
      <c r="A651" s="145"/>
      <c r="B651" s="177"/>
      <c r="C651" s="177"/>
      <c r="D651" s="145"/>
      <c r="E651" s="145"/>
      <c r="F651" s="145"/>
      <c r="G651" s="145"/>
      <c r="H651" s="147"/>
      <c r="I651" s="107"/>
      <c r="J651" s="178"/>
      <c r="K651" s="107"/>
      <c r="L651" s="145"/>
      <c r="M651" s="145"/>
      <c r="N651" s="145"/>
      <c r="O651" s="145"/>
      <c r="P651" s="147"/>
      <c r="Q651" s="148"/>
      <c r="R651" s="437"/>
      <c r="S651" s="107"/>
      <c r="T651" s="179"/>
      <c r="U651" s="178"/>
      <c r="V651" s="107"/>
      <c r="W651" s="107"/>
      <c r="X651" s="470"/>
      <c r="Y651" s="470"/>
      <c r="Z651" s="471"/>
      <c r="AA651" s="471"/>
      <c r="AB651" s="466"/>
      <c r="AC651" s="350"/>
      <c r="AD651" s="350"/>
      <c r="AE651" s="350"/>
      <c r="AF651" s="350"/>
    </row>
    <row r="652" spans="1:32" s="457" customFormat="1" ht="18" customHeight="1" x14ac:dyDescent="0.2">
      <c r="A652" s="145"/>
      <c r="B652" s="177"/>
      <c r="C652" s="177"/>
      <c r="D652" s="145"/>
      <c r="E652" s="145"/>
      <c r="F652" s="145"/>
      <c r="G652" s="145"/>
      <c r="H652" s="147"/>
      <c r="I652" s="107"/>
      <c r="J652" s="178"/>
      <c r="K652" s="107"/>
      <c r="L652" s="145"/>
      <c r="M652" s="145"/>
      <c r="N652" s="145"/>
      <c r="O652" s="145"/>
      <c r="P652" s="147"/>
      <c r="Q652" s="148"/>
      <c r="R652" s="437"/>
      <c r="S652" s="107"/>
      <c r="T652" s="179"/>
      <c r="U652" s="178"/>
      <c r="V652" s="107"/>
      <c r="W652" s="107"/>
      <c r="X652" s="470"/>
      <c r="Y652" s="470"/>
      <c r="Z652" s="471"/>
      <c r="AA652" s="471"/>
      <c r="AB652" s="466"/>
      <c r="AC652" s="350"/>
      <c r="AD652" s="350"/>
      <c r="AE652" s="350"/>
      <c r="AF652" s="350"/>
    </row>
    <row r="653" spans="1:32" s="457" customFormat="1" ht="18" customHeight="1" x14ac:dyDescent="0.2">
      <c r="A653" s="145"/>
      <c r="B653" s="177"/>
      <c r="C653" s="177"/>
      <c r="D653" s="145"/>
      <c r="E653" s="145"/>
      <c r="F653" s="145"/>
      <c r="G653" s="145"/>
      <c r="H653" s="147"/>
      <c r="I653" s="107"/>
      <c r="J653" s="178"/>
      <c r="K653" s="107"/>
      <c r="L653" s="145"/>
      <c r="M653" s="145"/>
      <c r="N653" s="145"/>
      <c r="O653" s="145"/>
      <c r="P653" s="147"/>
      <c r="Q653" s="148"/>
      <c r="R653" s="437"/>
      <c r="S653" s="107"/>
      <c r="T653" s="179"/>
      <c r="U653" s="178"/>
      <c r="V653" s="107"/>
      <c r="W653" s="107"/>
      <c r="X653" s="470"/>
      <c r="Y653" s="470"/>
      <c r="Z653" s="471"/>
      <c r="AA653" s="471"/>
      <c r="AB653" s="466"/>
      <c r="AC653" s="350"/>
      <c r="AD653" s="350"/>
      <c r="AE653" s="350"/>
      <c r="AF653" s="350"/>
    </row>
    <row r="654" spans="1:32" s="457" customFormat="1" ht="18" customHeight="1" x14ac:dyDescent="0.2">
      <c r="A654" s="145"/>
      <c r="B654" s="177"/>
      <c r="C654" s="177"/>
      <c r="D654" s="145"/>
      <c r="E654" s="145"/>
      <c r="F654" s="145"/>
      <c r="G654" s="145"/>
      <c r="H654" s="147"/>
      <c r="I654" s="107"/>
      <c r="J654" s="178"/>
      <c r="K654" s="107"/>
      <c r="L654" s="145"/>
      <c r="M654" s="145"/>
      <c r="N654" s="145"/>
      <c r="O654" s="145"/>
      <c r="P654" s="147"/>
      <c r="Q654" s="148"/>
      <c r="R654" s="437"/>
      <c r="S654" s="107"/>
      <c r="T654" s="179"/>
      <c r="U654" s="178"/>
      <c r="V654" s="107"/>
      <c r="W654" s="107"/>
      <c r="X654" s="470"/>
      <c r="Y654" s="470"/>
      <c r="Z654" s="471"/>
      <c r="AA654" s="471"/>
      <c r="AB654" s="466"/>
      <c r="AC654" s="350"/>
      <c r="AD654" s="350"/>
      <c r="AE654" s="350"/>
      <c r="AF654" s="350"/>
    </row>
    <row r="655" spans="1:32" s="457" customFormat="1" ht="18" customHeight="1" x14ac:dyDescent="0.2">
      <c r="A655" s="145"/>
      <c r="B655" s="177"/>
      <c r="C655" s="177"/>
      <c r="D655" s="145"/>
      <c r="E655" s="145"/>
      <c r="F655" s="145"/>
      <c r="G655" s="145"/>
      <c r="H655" s="147"/>
      <c r="I655" s="107"/>
      <c r="J655" s="178"/>
      <c r="K655" s="107"/>
      <c r="L655" s="145"/>
      <c r="M655" s="145"/>
      <c r="N655" s="145"/>
      <c r="O655" s="145"/>
      <c r="P655" s="147"/>
      <c r="Q655" s="148"/>
      <c r="R655" s="437"/>
      <c r="S655" s="107"/>
      <c r="T655" s="179"/>
      <c r="U655" s="178"/>
      <c r="V655" s="107"/>
      <c r="W655" s="107"/>
      <c r="X655" s="470"/>
      <c r="Y655" s="470"/>
      <c r="Z655" s="471"/>
      <c r="AA655" s="471"/>
      <c r="AB655" s="466"/>
      <c r="AC655" s="350"/>
      <c r="AD655" s="350"/>
      <c r="AE655" s="350"/>
      <c r="AF655" s="350"/>
    </row>
    <row r="656" spans="1:32" s="457" customFormat="1" ht="18" customHeight="1" x14ac:dyDescent="0.2">
      <c r="A656" s="145"/>
      <c r="B656" s="177"/>
      <c r="C656" s="177"/>
      <c r="D656" s="145"/>
      <c r="E656" s="145"/>
      <c r="F656" s="145"/>
      <c r="G656" s="145"/>
      <c r="H656" s="147"/>
      <c r="I656" s="107"/>
      <c r="J656" s="178"/>
      <c r="K656" s="107"/>
      <c r="L656" s="145"/>
      <c r="M656" s="145"/>
      <c r="N656" s="145"/>
      <c r="O656" s="145"/>
      <c r="P656" s="147"/>
      <c r="Q656" s="148"/>
      <c r="R656" s="437"/>
      <c r="S656" s="107"/>
      <c r="T656" s="179"/>
      <c r="U656" s="178"/>
      <c r="V656" s="107"/>
      <c r="W656" s="107"/>
      <c r="X656" s="470"/>
      <c r="Y656" s="470"/>
      <c r="Z656" s="471"/>
      <c r="AA656" s="471"/>
      <c r="AB656" s="466"/>
      <c r="AC656" s="350"/>
      <c r="AD656" s="350"/>
      <c r="AE656" s="350"/>
      <c r="AF656" s="350"/>
    </row>
    <row r="657" spans="1:32" s="457" customFormat="1" ht="18" customHeight="1" x14ac:dyDescent="0.2">
      <c r="A657" s="88"/>
      <c r="B657" s="180"/>
      <c r="C657" s="180"/>
      <c r="D657" s="88"/>
      <c r="E657" s="88"/>
      <c r="F657" s="88"/>
      <c r="G657" s="88"/>
      <c r="H657" s="120"/>
      <c r="I657" s="121"/>
      <c r="J657" s="181"/>
      <c r="K657" s="121"/>
      <c r="L657" s="88"/>
      <c r="M657" s="88"/>
      <c r="N657" s="88"/>
      <c r="O657" s="88"/>
      <c r="P657" s="88"/>
      <c r="Q657" s="129"/>
      <c r="R657" s="445"/>
      <c r="S657" s="121"/>
      <c r="T657" s="182"/>
      <c r="U657" s="181"/>
      <c r="V657" s="121"/>
      <c r="W657" s="121"/>
      <c r="X657" s="472"/>
      <c r="Y657" s="472"/>
      <c r="Z657" s="473"/>
      <c r="AA657" s="473"/>
      <c r="AB657" s="410"/>
      <c r="AC657" s="351"/>
      <c r="AD657" s="351"/>
      <c r="AE657" s="351"/>
      <c r="AF657" s="351"/>
    </row>
    <row r="658" spans="1:32" s="597" customFormat="1" ht="18" customHeight="1" x14ac:dyDescent="0.2">
      <c r="A658" s="1850"/>
      <c r="B658" s="1850"/>
      <c r="C658" s="1850"/>
      <c r="D658" s="1850"/>
      <c r="E658" s="1850"/>
      <c r="F658" s="1850"/>
      <c r="G658" s="1850"/>
      <c r="H658" s="1851"/>
      <c r="I658" s="1852"/>
      <c r="J658" s="1853"/>
      <c r="K658" s="1852"/>
      <c r="L658" s="1852"/>
      <c r="M658" s="1852"/>
      <c r="N658" s="1852"/>
      <c r="O658" s="1852"/>
      <c r="P658" s="1852"/>
      <c r="Q658" s="1852"/>
      <c r="R658" s="1854"/>
      <c r="S658" s="1852"/>
      <c r="T658" s="1855"/>
      <c r="U658" s="1853"/>
      <c r="V658" s="1852"/>
      <c r="W658" s="1852"/>
      <c r="X658" s="1856"/>
      <c r="Y658" s="1856"/>
      <c r="Z658" s="1857"/>
      <c r="AA658" s="1857"/>
      <c r="AB658" s="1847">
        <f>SUM(AB643:AB657)</f>
        <v>492</v>
      </c>
      <c r="AC658" s="1861"/>
      <c r="AD658" s="1861"/>
      <c r="AE658" s="1861"/>
      <c r="AF658" s="1861"/>
    </row>
    <row r="659" spans="1:32" s="457" customFormat="1" ht="18" customHeight="1" x14ac:dyDescent="0.2">
      <c r="A659" s="2737" t="s">
        <v>76</v>
      </c>
      <c r="B659" s="2737"/>
      <c r="C659" s="2738" t="s">
        <v>77</v>
      </c>
      <c r="D659" s="2738"/>
      <c r="E659" s="2738"/>
      <c r="F659" s="2738"/>
      <c r="G659" s="2738"/>
      <c r="H659" s="2738"/>
      <c r="I659" s="457" t="s">
        <v>78</v>
      </c>
      <c r="AB659" s="478"/>
    </row>
    <row r="660" spans="1:32" s="457" customFormat="1" ht="18" customHeight="1" x14ac:dyDescent="0.2">
      <c r="B660" s="479"/>
      <c r="I660" s="457" t="s">
        <v>79</v>
      </c>
      <c r="AB660" s="478"/>
    </row>
    <row r="661" spans="1:32" s="457" customFormat="1" ht="18" customHeight="1" x14ac:dyDescent="0.2">
      <c r="B661" s="479"/>
      <c r="I661" s="457" t="s">
        <v>80</v>
      </c>
      <c r="AB661" s="478"/>
    </row>
    <row r="662" spans="1:32" s="457" customFormat="1" ht="18" customHeight="1" x14ac:dyDescent="0.2">
      <c r="B662" s="479"/>
      <c r="I662" s="457" t="s">
        <v>81</v>
      </c>
      <c r="AB662" s="478"/>
    </row>
    <row r="663" spans="1:32" s="457" customFormat="1" ht="18" customHeight="1" x14ac:dyDescent="0.2">
      <c r="B663" s="479"/>
      <c r="I663" s="457" t="s">
        <v>88</v>
      </c>
      <c r="AB663" s="478"/>
    </row>
    <row r="664" spans="1:32" s="457" customFormat="1" ht="18" customHeight="1" x14ac:dyDescent="0.2">
      <c r="A664" s="455"/>
      <c r="B664" s="455"/>
      <c r="C664" s="455"/>
      <c r="D664" s="455"/>
      <c r="E664" s="455"/>
      <c r="F664" s="455"/>
      <c r="G664" s="455"/>
      <c r="H664" s="455"/>
      <c r="I664" s="455"/>
      <c r="J664" s="455"/>
      <c r="K664" s="455"/>
      <c r="L664" s="455"/>
      <c r="M664" s="455"/>
      <c r="N664" s="455"/>
      <c r="O664" s="455"/>
      <c r="P664" s="455"/>
      <c r="Q664" s="455"/>
      <c r="R664" s="455"/>
      <c r="S664" s="455"/>
      <c r="T664" s="455"/>
      <c r="U664" s="455"/>
      <c r="V664" s="455"/>
      <c r="W664" s="455"/>
      <c r="X664" s="455"/>
      <c r="Y664" s="455"/>
      <c r="Z664" s="455"/>
      <c r="AA664" s="2705" t="s">
        <v>0</v>
      </c>
      <c r="AB664" s="2705"/>
      <c r="AC664" s="455"/>
      <c r="AD664" s="455"/>
      <c r="AE664" s="455"/>
      <c r="AF664" s="455"/>
    </row>
    <row r="665" spans="1:32" s="457" customFormat="1" ht="18" customHeight="1" x14ac:dyDescent="0.2">
      <c r="A665" s="2706" t="s">
        <v>1</v>
      </c>
      <c r="B665" s="2706"/>
      <c r="C665" s="2706"/>
      <c r="D665" s="2706"/>
      <c r="E665" s="2706"/>
      <c r="F665" s="2706"/>
      <c r="G665" s="2706"/>
      <c r="H665" s="2706"/>
      <c r="I665" s="2706"/>
      <c r="J665" s="2706"/>
      <c r="K665" s="2706"/>
      <c r="L665" s="2706"/>
      <c r="M665" s="2706"/>
      <c r="N665" s="2706"/>
      <c r="O665" s="2706"/>
      <c r="P665" s="2706"/>
      <c r="Q665" s="2706"/>
      <c r="R665" s="2706"/>
      <c r="S665" s="2706"/>
      <c r="T665" s="2706"/>
      <c r="U665" s="2706"/>
      <c r="V665" s="2706"/>
      <c r="W665" s="2706"/>
      <c r="X665" s="2706"/>
      <c r="Y665" s="2706"/>
      <c r="Z665" s="2706"/>
      <c r="AA665" s="2706"/>
      <c r="AB665" s="2706"/>
      <c r="AC665" s="610"/>
      <c r="AD665" s="610"/>
      <c r="AE665" s="610"/>
      <c r="AF665" s="610"/>
    </row>
    <row r="666" spans="1:32" s="457" customFormat="1" ht="18" customHeight="1" x14ac:dyDescent="0.2">
      <c r="A666" s="2704" t="s">
        <v>350</v>
      </c>
      <c r="B666" s="2704"/>
      <c r="C666" s="2704"/>
      <c r="D666" s="2704"/>
      <c r="E666" s="2704"/>
      <c r="F666" s="2704"/>
      <c r="G666" s="2704"/>
      <c r="H666" s="2704"/>
      <c r="I666" s="2704"/>
      <c r="J666" s="2704"/>
      <c r="K666" s="2704"/>
      <c r="L666" s="2704"/>
      <c r="M666" s="2704"/>
      <c r="N666" s="2704"/>
      <c r="O666" s="2704"/>
      <c r="P666" s="2704"/>
      <c r="Q666" s="2704"/>
      <c r="R666" s="2704"/>
      <c r="S666" s="2704"/>
      <c r="T666" s="2704"/>
      <c r="U666" s="2704"/>
      <c r="V666" s="2704"/>
      <c r="W666" s="2704"/>
      <c r="X666" s="2704"/>
      <c r="Y666" s="2704"/>
      <c r="Z666" s="2704"/>
      <c r="AA666" s="2704"/>
      <c r="AB666" s="2704"/>
      <c r="AC666" s="611"/>
      <c r="AD666" s="611"/>
      <c r="AE666" s="611"/>
      <c r="AF666" s="611"/>
    </row>
    <row r="667" spans="1:32" s="457" customFormat="1" ht="18" customHeight="1" x14ac:dyDescent="0.2">
      <c r="A667" s="2686" t="s">
        <v>2</v>
      </c>
      <c r="B667" s="360"/>
      <c r="C667" s="2686" t="s">
        <v>3</v>
      </c>
      <c r="D667" s="360"/>
      <c r="E667" s="360"/>
      <c r="F667" s="2693" t="s">
        <v>4</v>
      </c>
      <c r="G667" s="2693"/>
      <c r="H667" s="2693"/>
      <c r="I667" s="2694"/>
      <c r="J667" s="2694"/>
      <c r="K667" s="2695"/>
      <c r="L667" s="361"/>
      <c r="M667" s="2679" t="s">
        <v>5</v>
      </c>
      <c r="N667" s="2679"/>
      <c r="O667" s="2679"/>
      <c r="P667" s="2679"/>
      <c r="Q667" s="2696"/>
      <c r="R667" s="2696"/>
      <c r="S667" s="2696"/>
      <c r="T667" s="2696"/>
      <c r="U667" s="2696"/>
      <c r="V667" s="2697"/>
      <c r="W667" s="362" t="s">
        <v>6</v>
      </c>
      <c r="X667" s="363" t="s">
        <v>7</v>
      </c>
      <c r="Y667" s="364"/>
      <c r="Z667" s="364"/>
      <c r="AA667" s="363"/>
      <c r="AB667" s="458"/>
      <c r="AC667" s="612" t="s">
        <v>8</v>
      </c>
      <c r="AD667" s="613"/>
      <c r="AE667" s="613"/>
      <c r="AF667" s="614"/>
    </row>
    <row r="668" spans="1:32" s="457" customFormat="1" ht="18" customHeight="1" x14ac:dyDescent="0.2">
      <c r="A668" s="2687"/>
      <c r="B668" s="367"/>
      <c r="C668" s="2687"/>
      <c r="D668" s="366" t="s">
        <v>9</v>
      </c>
      <c r="E668" s="366" t="s">
        <v>10</v>
      </c>
      <c r="F668" s="2698" t="s">
        <v>11</v>
      </c>
      <c r="G668" s="2694"/>
      <c r="H668" s="2695"/>
      <c r="I668" s="360"/>
      <c r="J668" s="449" t="s">
        <v>12</v>
      </c>
      <c r="K668" s="360"/>
      <c r="L668" s="2679" t="s">
        <v>2</v>
      </c>
      <c r="M668" s="370"/>
      <c r="N668" s="370"/>
      <c r="O668" s="370"/>
      <c r="P668" s="371"/>
      <c r="Q668" s="459" t="s">
        <v>13</v>
      </c>
      <c r="R668" s="370" t="s">
        <v>12</v>
      </c>
      <c r="S668" s="370" t="s">
        <v>6</v>
      </c>
      <c r="T668" s="2682" t="s">
        <v>14</v>
      </c>
      <c r="U668" s="2683"/>
      <c r="V668" s="375" t="s">
        <v>7</v>
      </c>
      <c r="W668" s="376" t="s">
        <v>15</v>
      </c>
      <c r="X668" s="377" t="s">
        <v>16</v>
      </c>
      <c r="Y668" s="377" t="s">
        <v>17</v>
      </c>
      <c r="Z668" s="377" t="s">
        <v>18</v>
      </c>
      <c r="AA668" s="377"/>
      <c r="AB668" s="460" t="s">
        <v>19</v>
      </c>
      <c r="AC668" s="615" t="s">
        <v>20</v>
      </c>
      <c r="AD668" s="616"/>
      <c r="AE668" s="617" t="s">
        <v>21</v>
      </c>
      <c r="AF668" s="618" t="s">
        <v>22</v>
      </c>
    </row>
    <row r="669" spans="1:32" s="457" customFormat="1" ht="18" customHeight="1" x14ac:dyDescent="0.2">
      <c r="A669" s="2687"/>
      <c r="B669" s="366" t="s">
        <v>23</v>
      </c>
      <c r="C669" s="2687"/>
      <c r="D669" s="366" t="s">
        <v>24</v>
      </c>
      <c r="E669" s="366" t="s">
        <v>25</v>
      </c>
      <c r="F669" s="2699"/>
      <c r="G669" s="2700"/>
      <c r="H669" s="2701"/>
      <c r="I669" s="366" t="s">
        <v>26</v>
      </c>
      <c r="J669" s="380" t="s">
        <v>15</v>
      </c>
      <c r="K669" s="380" t="s">
        <v>6</v>
      </c>
      <c r="L669" s="2680"/>
      <c r="M669" s="381" t="s">
        <v>27</v>
      </c>
      <c r="N669" s="381" t="s">
        <v>10</v>
      </c>
      <c r="O669" s="381" t="s">
        <v>10</v>
      </c>
      <c r="P669" s="385" t="s">
        <v>28</v>
      </c>
      <c r="Q669" s="461" t="s">
        <v>29</v>
      </c>
      <c r="R669" s="385" t="s">
        <v>15</v>
      </c>
      <c r="S669" s="385" t="s">
        <v>15</v>
      </c>
      <c r="T669" s="2684"/>
      <c r="U669" s="2685"/>
      <c r="V669" s="375" t="s">
        <v>30</v>
      </c>
      <c r="W669" s="376" t="s">
        <v>31</v>
      </c>
      <c r="X669" s="377" t="s">
        <v>30</v>
      </c>
      <c r="Y669" s="377" t="s">
        <v>32</v>
      </c>
      <c r="Z669" s="377" t="s">
        <v>7</v>
      </c>
      <c r="AA669" s="377" t="s">
        <v>33</v>
      </c>
      <c r="AB669" s="460" t="s">
        <v>34</v>
      </c>
      <c r="AC669" s="615" t="s">
        <v>35</v>
      </c>
      <c r="AD669" s="617" t="s">
        <v>36</v>
      </c>
      <c r="AE669" s="617" t="s">
        <v>37</v>
      </c>
      <c r="AF669" s="618" t="s">
        <v>38</v>
      </c>
    </row>
    <row r="670" spans="1:32" s="457" customFormat="1" ht="18" customHeight="1" x14ac:dyDescent="0.2">
      <c r="A670" s="2687"/>
      <c r="B670" s="366" t="s">
        <v>39</v>
      </c>
      <c r="C670" s="2687"/>
      <c r="D670" s="366" t="s">
        <v>40</v>
      </c>
      <c r="E670" s="366" t="s">
        <v>41</v>
      </c>
      <c r="F670" s="2686" t="s">
        <v>42</v>
      </c>
      <c r="G670" s="2686" t="s">
        <v>43</v>
      </c>
      <c r="H670" s="2688" t="s">
        <v>44</v>
      </c>
      <c r="I670" s="366" t="s">
        <v>45</v>
      </c>
      <c r="J670" s="380" t="s">
        <v>46</v>
      </c>
      <c r="K670" s="380" t="s">
        <v>47</v>
      </c>
      <c r="L670" s="2680"/>
      <c r="M670" s="381" t="s">
        <v>30</v>
      </c>
      <c r="N670" s="381" t="s">
        <v>30</v>
      </c>
      <c r="O670" s="381" t="s">
        <v>25</v>
      </c>
      <c r="P670" s="385" t="s">
        <v>30</v>
      </c>
      <c r="Q670" s="461" t="s">
        <v>48</v>
      </c>
      <c r="R670" s="385" t="s">
        <v>49</v>
      </c>
      <c r="S670" s="385" t="s">
        <v>30</v>
      </c>
      <c r="T670" s="374" t="s">
        <v>50</v>
      </c>
      <c r="U670" s="374" t="s">
        <v>13</v>
      </c>
      <c r="V670" s="375" t="s">
        <v>51</v>
      </c>
      <c r="W670" s="376" t="s">
        <v>52</v>
      </c>
      <c r="X670" s="377" t="s">
        <v>53</v>
      </c>
      <c r="Y670" s="377" t="s">
        <v>54</v>
      </c>
      <c r="Z670" s="377" t="s">
        <v>55</v>
      </c>
      <c r="AA670" s="377" t="s">
        <v>56</v>
      </c>
      <c r="AB670" s="460" t="s">
        <v>57</v>
      </c>
      <c r="AC670" s="617" t="s">
        <v>58</v>
      </c>
      <c r="AD670" s="617" t="s">
        <v>59</v>
      </c>
      <c r="AE670" s="617" t="s">
        <v>59</v>
      </c>
      <c r="AF670" s="618" t="s">
        <v>60</v>
      </c>
    </row>
    <row r="671" spans="1:32" s="457" customFormat="1" ht="18" customHeight="1" x14ac:dyDescent="0.2">
      <c r="A671" s="2687"/>
      <c r="B671" s="366" t="s">
        <v>61</v>
      </c>
      <c r="C671" s="2687"/>
      <c r="D671" s="366" t="s">
        <v>62</v>
      </c>
      <c r="E671" s="366" t="s">
        <v>63</v>
      </c>
      <c r="F671" s="2687"/>
      <c r="G671" s="2687"/>
      <c r="H671" s="2689"/>
      <c r="I671" s="366" t="s">
        <v>64</v>
      </c>
      <c r="J671" s="380" t="s">
        <v>59</v>
      </c>
      <c r="K671" s="380" t="s">
        <v>59</v>
      </c>
      <c r="L671" s="2680"/>
      <c r="M671" s="381"/>
      <c r="N671" s="381"/>
      <c r="O671" s="381" t="s">
        <v>41</v>
      </c>
      <c r="P671" s="385" t="s">
        <v>65</v>
      </c>
      <c r="Q671" s="461" t="s">
        <v>66</v>
      </c>
      <c r="R671" s="385" t="s">
        <v>67</v>
      </c>
      <c r="S671" s="385" t="s">
        <v>59</v>
      </c>
      <c r="T671" s="375" t="s">
        <v>68</v>
      </c>
      <c r="U671" s="375" t="s">
        <v>14</v>
      </c>
      <c r="V671" s="375" t="s">
        <v>14</v>
      </c>
      <c r="W671" s="376" t="s">
        <v>30</v>
      </c>
      <c r="X671" s="388" t="s">
        <v>69</v>
      </c>
      <c r="Y671" s="388" t="s">
        <v>70</v>
      </c>
      <c r="Z671" s="377" t="s">
        <v>71</v>
      </c>
      <c r="AA671" s="377" t="s">
        <v>72</v>
      </c>
      <c r="AB671" s="460" t="s">
        <v>59</v>
      </c>
      <c r="AC671" s="617" t="s">
        <v>59</v>
      </c>
      <c r="AD671" s="617"/>
      <c r="AE671" s="617"/>
      <c r="AF671" s="618" t="s">
        <v>59</v>
      </c>
    </row>
    <row r="672" spans="1:32" s="457" customFormat="1" ht="18" customHeight="1" x14ac:dyDescent="0.2">
      <c r="A672" s="2692"/>
      <c r="B672" s="390"/>
      <c r="C672" s="2692"/>
      <c r="D672" s="390"/>
      <c r="E672" s="389"/>
      <c r="F672" s="390"/>
      <c r="G672" s="390"/>
      <c r="H672" s="391"/>
      <c r="I672" s="389"/>
      <c r="J672" s="393"/>
      <c r="K672" s="393"/>
      <c r="L672" s="2681"/>
      <c r="M672" s="394"/>
      <c r="N672" s="394"/>
      <c r="O672" s="394" t="s">
        <v>63</v>
      </c>
      <c r="P672" s="394"/>
      <c r="Q672" s="450" t="s">
        <v>72</v>
      </c>
      <c r="R672" s="398" t="s">
        <v>59</v>
      </c>
      <c r="S672" s="398"/>
      <c r="T672" s="398" t="s">
        <v>73</v>
      </c>
      <c r="U672" s="398" t="s">
        <v>59</v>
      </c>
      <c r="V672" s="399" t="s">
        <v>59</v>
      </c>
      <c r="W672" s="400" t="s">
        <v>59</v>
      </c>
      <c r="X672" s="401" t="s">
        <v>59</v>
      </c>
      <c r="Y672" s="401" t="s">
        <v>59</v>
      </c>
      <c r="Z672" s="401" t="s">
        <v>59</v>
      </c>
      <c r="AA672" s="402"/>
      <c r="AB672" s="462"/>
      <c r="AC672" s="625"/>
      <c r="AD672" s="625"/>
      <c r="AE672" s="625"/>
      <c r="AF672" s="626"/>
    </row>
    <row r="673" spans="1:32" s="457" customFormat="1" ht="18" customHeight="1" x14ac:dyDescent="0.25">
      <c r="A673" s="75">
        <v>2</v>
      </c>
      <c r="B673" s="273">
        <v>44872</v>
      </c>
      <c r="C673" s="27">
        <v>1204</v>
      </c>
      <c r="D673" s="27" t="s">
        <v>215</v>
      </c>
      <c r="E673" s="27">
        <v>4</v>
      </c>
      <c r="F673" s="27">
        <v>0</v>
      </c>
      <c r="G673" s="27">
        <v>1</v>
      </c>
      <c r="H673" s="557">
        <v>8</v>
      </c>
      <c r="I673" s="77">
        <f t="shared" ref="I673" si="157">F673*400+G673*100+H673</f>
        <v>108</v>
      </c>
      <c r="J673" s="306">
        <v>430</v>
      </c>
      <c r="K673" s="297">
        <f>I673*J673</f>
        <v>46440</v>
      </c>
      <c r="L673" s="45"/>
      <c r="M673" s="61"/>
      <c r="N673" s="50"/>
      <c r="O673" s="50"/>
      <c r="P673" s="19"/>
      <c r="Q673" s="62"/>
      <c r="R673" s="672"/>
      <c r="S673" s="296"/>
      <c r="T673" s="298"/>
      <c r="U673" s="299"/>
      <c r="V673" s="299"/>
      <c r="W673" s="18">
        <f t="shared" ref="W673" si="158">K673+V673</f>
        <v>46440</v>
      </c>
      <c r="X673" s="47">
        <f>W673</f>
        <v>46440</v>
      </c>
      <c r="Y673" s="792"/>
      <c r="Z673" s="18">
        <f t="shared" ref="Z673" si="159">+X673</f>
        <v>46440</v>
      </c>
      <c r="AA673" s="494">
        <v>0.6</v>
      </c>
      <c r="AB673" s="406">
        <f>+Z673*AA673/100</f>
        <v>278.64</v>
      </c>
      <c r="AC673" s="602"/>
      <c r="AD673" s="603">
        <f>AB710-AC673</f>
        <v>0</v>
      </c>
      <c r="AE673" s="603">
        <f>IF(AD673&lt;=0,0,AD673*25/100)</f>
        <v>0</v>
      </c>
      <c r="AF673" s="603">
        <f>IF(AC673+AE673&gt;AB710,AB710,AC673+AE673)</f>
        <v>0</v>
      </c>
    </row>
    <row r="674" spans="1:32" s="457" customFormat="1" ht="18" customHeight="1" x14ac:dyDescent="0.2">
      <c r="A674" s="145"/>
      <c r="B674" s="177"/>
      <c r="C674" s="177"/>
      <c r="D674" s="145"/>
      <c r="E674" s="145"/>
      <c r="F674" s="145"/>
      <c r="G674" s="145"/>
      <c r="H674" s="147"/>
      <c r="I674" s="107"/>
      <c r="J674" s="178"/>
      <c r="K674" s="107"/>
      <c r="L674" s="145"/>
      <c r="M674" s="145"/>
      <c r="N674" s="145"/>
      <c r="O674" s="145"/>
      <c r="P674" s="147"/>
      <c r="Q674" s="148"/>
      <c r="R674" s="437"/>
      <c r="S674" s="107"/>
      <c r="T674" s="1064"/>
      <c r="U674" s="178"/>
      <c r="V674" s="107"/>
      <c r="W674" s="107"/>
      <c r="X674" s="470"/>
      <c r="Y674" s="470"/>
      <c r="Z674" s="471"/>
      <c r="AA674" s="471"/>
      <c r="AB674" s="466"/>
      <c r="AC674" s="350"/>
      <c r="AD674" s="350"/>
      <c r="AE674" s="350"/>
      <c r="AF674" s="350"/>
    </row>
    <row r="675" spans="1:32" s="457" customFormat="1" ht="18" customHeight="1" x14ac:dyDescent="0.2">
      <c r="A675" s="145"/>
      <c r="B675" s="177"/>
      <c r="C675" s="177"/>
      <c r="D675" s="145"/>
      <c r="E675" s="145"/>
      <c r="F675" s="145"/>
      <c r="G675" s="145"/>
      <c r="H675" s="147"/>
      <c r="I675" s="107"/>
      <c r="J675" s="178"/>
      <c r="K675" s="107"/>
      <c r="L675" s="145"/>
      <c r="M675" s="145"/>
      <c r="N675" s="145"/>
      <c r="O675" s="145"/>
      <c r="P675" s="147"/>
      <c r="Q675" s="148"/>
      <c r="R675" s="437"/>
      <c r="S675" s="107"/>
      <c r="T675" s="179"/>
      <c r="U675" s="178"/>
      <c r="V675" s="107"/>
      <c r="W675" s="107"/>
      <c r="X675" s="470"/>
      <c r="Y675" s="470"/>
      <c r="Z675" s="471"/>
      <c r="AA675" s="471"/>
      <c r="AB675" s="466"/>
      <c r="AC675" s="350"/>
      <c r="AD675" s="350"/>
      <c r="AE675" s="350"/>
      <c r="AF675" s="350"/>
    </row>
    <row r="676" spans="1:32" s="457" customFormat="1" ht="18" customHeight="1" x14ac:dyDescent="0.2">
      <c r="A676" s="145"/>
      <c r="B676" s="177"/>
      <c r="C676" s="177"/>
      <c r="D676" s="145"/>
      <c r="E676" s="145"/>
      <c r="F676" s="145"/>
      <c r="G676" s="145"/>
      <c r="H676" s="147"/>
      <c r="I676" s="107"/>
      <c r="J676" s="178"/>
      <c r="K676" s="107"/>
      <c r="L676" s="145"/>
      <c r="M676" s="145"/>
      <c r="N676" s="145"/>
      <c r="O676" s="145"/>
      <c r="P676" s="147"/>
      <c r="Q676" s="148"/>
      <c r="R676" s="437"/>
      <c r="S676" s="107"/>
      <c r="T676" s="179"/>
      <c r="U676" s="178"/>
      <c r="V676" s="107"/>
      <c r="W676" s="107"/>
      <c r="X676" s="470"/>
      <c r="Y676" s="470"/>
      <c r="Z676" s="471"/>
      <c r="AA676" s="471"/>
      <c r="AB676" s="466"/>
      <c r="AC676" s="350"/>
      <c r="AD676" s="350"/>
      <c r="AE676" s="350"/>
      <c r="AF676" s="350"/>
    </row>
    <row r="677" spans="1:32" s="457" customFormat="1" ht="18" customHeight="1" x14ac:dyDescent="0.2">
      <c r="A677" s="145"/>
      <c r="B677" s="177"/>
      <c r="C677" s="177"/>
      <c r="D677" s="145"/>
      <c r="E677" s="145"/>
      <c r="F677" s="145"/>
      <c r="G677" s="145"/>
      <c r="H677" s="147"/>
      <c r="I677" s="107"/>
      <c r="J677" s="178"/>
      <c r="K677" s="107"/>
      <c r="L677" s="145"/>
      <c r="M677" s="145"/>
      <c r="N677" s="145"/>
      <c r="O677" s="145"/>
      <c r="P677" s="147"/>
      <c r="Q677" s="148"/>
      <c r="R677" s="437"/>
      <c r="S677" s="107"/>
      <c r="T677" s="179"/>
      <c r="U677" s="178"/>
      <c r="V677" s="107"/>
      <c r="W677" s="107"/>
      <c r="X677" s="470"/>
      <c r="Y677" s="470"/>
      <c r="Z677" s="471"/>
      <c r="AA677" s="471"/>
      <c r="AB677" s="466"/>
      <c r="AC677" s="350"/>
      <c r="AD677" s="350"/>
      <c r="AE677" s="350"/>
      <c r="AF677" s="350"/>
    </row>
    <row r="678" spans="1:32" s="457" customFormat="1" ht="18" customHeight="1" x14ac:dyDescent="0.2">
      <c r="A678" s="145"/>
      <c r="B678" s="177"/>
      <c r="C678" s="177"/>
      <c r="D678" s="145"/>
      <c r="E678" s="145"/>
      <c r="F678" s="145"/>
      <c r="G678" s="145"/>
      <c r="H678" s="147"/>
      <c r="I678" s="107"/>
      <c r="J678" s="178"/>
      <c r="K678" s="107"/>
      <c r="L678" s="145"/>
      <c r="M678" s="145"/>
      <c r="N678" s="145"/>
      <c r="O678" s="145"/>
      <c r="P678" s="147"/>
      <c r="Q678" s="148"/>
      <c r="R678" s="437"/>
      <c r="S678" s="107"/>
      <c r="T678" s="179"/>
      <c r="U678" s="178"/>
      <c r="V678" s="107"/>
      <c r="W678" s="107"/>
      <c r="X678" s="470"/>
      <c r="Y678" s="470"/>
      <c r="Z678" s="471"/>
      <c r="AA678" s="471"/>
      <c r="AB678" s="466"/>
      <c r="AC678" s="350"/>
      <c r="AD678" s="350"/>
      <c r="AE678" s="350"/>
      <c r="AF678" s="350"/>
    </row>
    <row r="679" spans="1:32" s="457" customFormat="1" ht="18" customHeight="1" x14ac:dyDescent="0.2">
      <c r="A679" s="145"/>
      <c r="B679" s="177"/>
      <c r="C679" s="177"/>
      <c r="D679" s="145"/>
      <c r="E679" s="145"/>
      <c r="F679" s="145"/>
      <c r="G679" s="145"/>
      <c r="H679" s="147"/>
      <c r="I679" s="107"/>
      <c r="J679" s="178"/>
      <c r="K679" s="107"/>
      <c r="L679" s="145"/>
      <c r="M679" s="145"/>
      <c r="N679" s="1745" t="s">
        <v>351</v>
      </c>
      <c r="O679" s="145"/>
      <c r="P679" s="147"/>
      <c r="Q679" s="148"/>
      <c r="R679" s="437"/>
      <c r="S679" s="107"/>
      <c r="T679" s="179"/>
      <c r="U679" s="178"/>
      <c r="V679" s="107"/>
      <c r="W679" s="107"/>
      <c r="X679" s="470"/>
      <c r="Y679" s="470"/>
      <c r="Z679" s="471"/>
      <c r="AA679" s="471"/>
      <c r="AB679" s="466"/>
      <c r="AC679" s="350"/>
      <c r="AD679" s="350"/>
      <c r="AE679" s="350"/>
      <c r="AF679" s="350"/>
    </row>
    <row r="680" spans="1:32" s="457" customFormat="1" ht="18" customHeight="1" x14ac:dyDescent="0.25">
      <c r="A680" s="75">
        <v>1</v>
      </c>
      <c r="B680" s="273">
        <v>30899</v>
      </c>
      <c r="C680" s="27">
        <v>789</v>
      </c>
      <c r="D680" s="27" t="s">
        <v>215</v>
      </c>
      <c r="E680" s="27">
        <v>1</v>
      </c>
      <c r="F680" s="27">
        <v>0</v>
      </c>
      <c r="G680" s="27">
        <v>1</v>
      </c>
      <c r="H680" s="557">
        <v>48</v>
      </c>
      <c r="I680" s="77">
        <f t="shared" ref="I680:I681" si="160">F680*400+G680*100+H680</f>
        <v>148</v>
      </c>
      <c r="J680" s="306">
        <v>700</v>
      </c>
      <c r="K680" s="297">
        <f>I680*J680</f>
        <v>103600</v>
      </c>
      <c r="L680" s="2021" t="s">
        <v>508</v>
      </c>
      <c r="M680" s="61"/>
      <c r="N680" s="50"/>
      <c r="O680" s="50"/>
      <c r="P680" s="19"/>
      <c r="Q680" s="62"/>
      <c r="R680" s="672"/>
      <c r="S680" s="296"/>
      <c r="T680" s="298"/>
      <c r="U680" s="299"/>
      <c r="V680" s="299"/>
      <c r="W680" s="296"/>
      <c r="X680" s="299"/>
      <c r="Y680" s="792"/>
      <c r="Z680" s="296"/>
      <c r="AA680" s="494"/>
      <c r="AB680" s="465"/>
      <c r="AC680" s="602"/>
      <c r="AD680" s="603"/>
      <c r="AE680" s="603"/>
      <c r="AF680" s="603"/>
    </row>
    <row r="681" spans="1:32" s="457" customFormat="1" ht="18" customHeight="1" x14ac:dyDescent="0.25">
      <c r="A681" s="75">
        <v>3</v>
      </c>
      <c r="B681" s="273">
        <v>44874</v>
      </c>
      <c r="C681" s="27">
        <v>1206</v>
      </c>
      <c r="D681" s="27" t="s">
        <v>215</v>
      </c>
      <c r="E681" s="27">
        <v>4</v>
      </c>
      <c r="F681" s="27">
        <v>0</v>
      </c>
      <c r="G681" s="27">
        <v>1</v>
      </c>
      <c r="H681" s="557">
        <v>50</v>
      </c>
      <c r="I681" s="77">
        <f t="shared" si="160"/>
        <v>150</v>
      </c>
      <c r="J681" s="306">
        <v>880</v>
      </c>
      <c r="K681" s="297">
        <f>I681*J681</f>
        <v>132000</v>
      </c>
      <c r="L681" s="2022" t="s">
        <v>353</v>
      </c>
      <c r="M681" s="61"/>
      <c r="N681" s="50"/>
      <c r="O681" s="50"/>
      <c r="P681" s="19"/>
      <c r="Q681" s="62"/>
      <c r="R681" s="672"/>
      <c r="S681" s="296"/>
      <c r="T681" s="298"/>
      <c r="U681" s="299"/>
      <c r="V681" s="299"/>
      <c r="W681" s="296"/>
      <c r="X681" s="299"/>
      <c r="Y681" s="792"/>
      <c r="Z681" s="296"/>
      <c r="AA681" s="494"/>
      <c r="AB681" s="416"/>
      <c r="AC681" s="350"/>
      <c r="AD681" s="350"/>
      <c r="AE681" s="350"/>
      <c r="AF681" s="350"/>
    </row>
    <row r="682" spans="1:32" s="457" customFormat="1" ht="18" customHeight="1" x14ac:dyDescent="0.2">
      <c r="A682" s="145"/>
      <c r="B682" s="177"/>
      <c r="C682" s="177"/>
      <c r="D682" s="145"/>
      <c r="E682" s="145"/>
      <c r="F682" s="145"/>
      <c r="G682" s="145"/>
      <c r="H682" s="147"/>
      <c r="I682" s="107"/>
      <c r="J682" s="178"/>
      <c r="K682" s="107"/>
      <c r="L682" s="145"/>
      <c r="M682" s="145"/>
      <c r="N682" s="145"/>
      <c r="O682" s="145"/>
      <c r="P682" s="147"/>
      <c r="Q682" s="148"/>
      <c r="R682" s="437"/>
      <c r="S682" s="107"/>
      <c r="T682" s="179"/>
      <c r="U682" s="178"/>
      <c r="V682" s="107"/>
      <c r="W682" s="107"/>
      <c r="X682" s="470"/>
      <c r="Y682" s="470"/>
      <c r="Z682" s="471"/>
      <c r="AA682" s="471"/>
      <c r="AB682" s="466"/>
      <c r="AC682" s="350"/>
      <c r="AD682" s="350"/>
      <c r="AE682" s="350"/>
      <c r="AF682" s="350"/>
    </row>
    <row r="683" spans="1:32" s="457" customFormat="1" ht="18" customHeight="1" x14ac:dyDescent="0.2">
      <c r="A683" s="1703"/>
      <c r="B683" s="177"/>
      <c r="C683" s="177"/>
      <c r="D683" s="1703"/>
      <c r="E683" s="1703"/>
      <c r="F683" s="1703"/>
      <c r="G683" s="1703"/>
      <c r="H683" s="1707"/>
      <c r="I683" s="1705"/>
      <c r="J683" s="178"/>
      <c r="K683" s="1705"/>
      <c r="L683" s="1703"/>
      <c r="M683" s="1703"/>
      <c r="N683" s="1703"/>
      <c r="O683" s="1703"/>
      <c r="P683" s="1707"/>
      <c r="Q683" s="1704"/>
      <c r="R683" s="437"/>
      <c r="S683" s="1705"/>
      <c r="T683" s="179"/>
      <c r="U683" s="178"/>
      <c r="V683" s="1705"/>
      <c r="W683" s="1705"/>
      <c r="X683" s="470"/>
      <c r="Y683" s="470"/>
      <c r="Z683" s="471"/>
      <c r="AA683" s="471"/>
      <c r="AB683" s="466"/>
      <c r="AC683" s="350"/>
      <c r="AD683" s="350"/>
      <c r="AE683" s="350"/>
      <c r="AF683" s="350"/>
    </row>
    <row r="684" spans="1:32" s="457" customFormat="1" ht="18" customHeight="1" x14ac:dyDescent="0.2">
      <c r="A684" s="1955"/>
      <c r="B684" s="177"/>
      <c r="C684" s="177"/>
      <c r="D684" s="1955"/>
      <c r="E684" s="1955"/>
      <c r="F684" s="1955"/>
      <c r="G684" s="1955"/>
      <c r="H684" s="1958"/>
      <c r="I684" s="1957"/>
      <c r="J684" s="178"/>
      <c r="K684" s="1957"/>
      <c r="L684" s="1955"/>
      <c r="M684" s="1955"/>
      <c r="N684" s="1955"/>
      <c r="O684" s="1955"/>
      <c r="P684" s="1958"/>
      <c r="Q684" s="1956"/>
      <c r="R684" s="437"/>
      <c r="S684" s="1957"/>
      <c r="T684" s="179"/>
      <c r="U684" s="178"/>
      <c r="V684" s="1957"/>
      <c r="W684" s="1957"/>
      <c r="X684" s="470"/>
      <c r="Y684" s="470"/>
      <c r="Z684" s="471"/>
      <c r="AA684" s="471"/>
      <c r="AB684" s="466"/>
      <c r="AC684" s="350"/>
      <c r="AD684" s="350"/>
      <c r="AE684" s="350"/>
      <c r="AF684" s="350"/>
    </row>
    <row r="685" spans="1:32" s="457" customFormat="1" ht="18" customHeight="1" x14ac:dyDescent="0.2">
      <c r="A685" s="1955"/>
      <c r="B685" s="177"/>
      <c r="C685" s="177"/>
      <c r="D685" s="1955"/>
      <c r="E685" s="1955"/>
      <c r="F685" s="1955"/>
      <c r="G685" s="1955"/>
      <c r="H685" s="1958"/>
      <c r="I685" s="1957"/>
      <c r="J685" s="178"/>
      <c r="K685" s="1957"/>
      <c r="L685" s="1955"/>
      <c r="M685" s="1955"/>
      <c r="N685" s="1955"/>
      <c r="O685" s="1955"/>
      <c r="P685" s="1958"/>
      <c r="Q685" s="1956"/>
      <c r="R685" s="437"/>
      <c r="S685" s="1957"/>
      <c r="T685" s="179"/>
      <c r="U685" s="178"/>
      <c r="V685" s="1957"/>
      <c r="W685" s="1957"/>
      <c r="X685" s="470"/>
      <c r="Y685" s="470"/>
      <c r="Z685" s="471"/>
      <c r="AA685" s="471"/>
      <c r="AB685" s="466"/>
      <c r="AC685" s="350"/>
      <c r="AD685" s="350"/>
      <c r="AE685" s="350"/>
      <c r="AF685" s="350"/>
    </row>
    <row r="686" spans="1:32" s="457" customFormat="1" ht="18" customHeight="1" x14ac:dyDescent="0.2">
      <c r="A686" s="1703"/>
      <c r="B686" s="177"/>
      <c r="C686" s="177"/>
      <c r="D686" s="1703"/>
      <c r="E686" s="1703"/>
      <c r="F686" s="1703"/>
      <c r="G686" s="1703"/>
      <c r="H686" s="1707"/>
      <c r="I686" s="1705"/>
      <c r="J686" s="178"/>
      <c r="K686" s="1705"/>
      <c r="L686" s="1703"/>
      <c r="M686" s="1703"/>
      <c r="N686" s="1703"/>
      <c r="O686" s="1703"/>
      <c r="P686" s="1707"/>
      <c r="Q686" s="1704"/>
      <c r="R686" s="437"/>
      <c r="S686" s="1705"/>
      <c r="T686" s="179"/>
      <c r="U686" s="178"/>
      <c r="V686" s="1705"/>
      <c r="W686" s="1705"/>
      <c r="X686" s="470"/>
      <c r="Y686" s="470"/>
      <c r="Z686" s="471"/>
      <c r="AA686" s="471"/>
      <c r="AB686" s="466"/>
      <c r="AC686" s="350"/>
      <c r="AD686" s="350"/>
      <c r="AE686" s="350"/>
      <c r="AF686" s="350"/>
    </row>
    <row r="687" spans="1:32" s="457" customFormat="1" ht="18" customHeight="1" x14ac:dyDescent="0.2">
      <c r="A687" s="1955"/>
      <c r="B687" s="177"/>
      <c r="C687" s="177"/>
      <c r="D687" s="1955"/>
      <c r="E687" s="1955"/>
      <c r="F687" s="1955"/>
      <c r="G687" s="1955"/>
      <c r="H687" s="1958"/>
      <c r="I687" s="1957"/>
      <c r="J687" s="178"/>
      <c r="K687" s="1957"/>
      <c r="L687" s="1955"/>
      <c r="M687" s="1955"/>
      <c r="N687" s="1955"/>
      <c r="O687" s="1955"/>
      <c r="P687" s="1958"/>
      <c r="Q687" s="1956"/>
      <c r="R687" s="437"/>
      <c r="S687" s="1957"/>
      <c r="T687" s="179"/>
      <c r="U687" s="178"/>
      <c r="V687" s="1957"/>
      <c r="W687" s="1957"/>
      <c r="X687" s="470"/>
      <c r="Y687" s="470"/>
      <c r="Z687" s="471"/>
      <c r="AA687" s="471"/>
      <c r="AB687" s="466"/>
      <c r="AC687" s="350"/>
      <c r="AD687" s="350"/>
      <c r="AE687" s="350"/>
      <c r="AF687" s="350"/>
    </row>
    <row r="688" spans="1:32" s="457" customFormat="1" ht="18" customHeight="1" x14ac:dyDescent="0.2">
      <c r="A688" s="145"/>
      <c r="B688" s="177"/>
      <c r="C688" s="177"/>
      <c r="D688" s="145"/>
      <c r="E688" s="145"/>
      <c r="F688" s="145"/>
      <c r="G688" s="145"/>
      <c r="H688" s="147"/>
      <c r="I688" s="107"/>
      <c r="J688" s="178"/>
      <c r="K688" s="107"/>
      <c r="L688" s="145"/>
      <c r="M688" s="145"/>
      <c r="N688" s="145"/>
      <c r="O688" s="145"/>
      <c r="P688" s="147"/>
      <c r="Q688" s="148"/>
      <c r="R688" s="437"/>
      <c r="S688" s="107"/>
      <c r="T688" s="179"/>
      <c r="U688" s="178"/>
      <c r="V688" s="107"/>
      <c r="W688" s="107"/>
      <c r="X688" s="470"/>
      <c r="Y688" s="470"/>
      <c r="Z688" s="471"/>
      <c r="AA688" s="471"/>
      <c r="AB688" s="466"/>
      <c r="AC688" s="350"/>
      <c r="AD688" s="350"/>
      <c r="AE688" s="350"/>
      <c r="AF688" s="350"/>
    </row>
    <row r="689" spans="1:32" s="457" customFormat="1" ht="18" customHeight="1" x14ac:dyDescent="0.2">
      <c r="A689" s="145"/>
      <c r="B689" s="177"/>
      <c r="C689" s="177"/>
      <c r="D689" s="145"/>
      <c r="E689" s="145"/>
      <c r="F689" s="145"/>
      <c r="G689" s="145"/>
      <c r="H689" s="147"/>
      <c r="I689" s="107"/>
      <c r="J689" s="178"/>
      <c r="K689" s="107"/>
      <c r="L689" s="145"/>
      <c r="M689" s="145"/>
      <c r="N689" s="145"/>
      <c r="O689" s="145"/>
      <c r="P689" s="147"/>
      <c r="Q689" s="148"/>
      <c r="R689" s="437"/>
      <c r="S689" s="107"/>
      <c r="T689" s="179"/>
      <c r="U689" s="178"/>
      <c r="V689" s="107"/>
      <c r="W689" s="107"/>
      <c r="X689" s="470"/>
      <c r="Y689" s="470"/>
      <c r="Z689" s="471"/>
      <c r="AA689" s="471"/>
      <c r="AB689" s="466"/>
      <c r="AC689" s="350"/>
      <c r="AD689" s="350"/>
      <c r="AE689" s="350"/>
      <c r="AF689" s="350"/>
    </row>
    <row r="690" spans="1:32" s="457" customFormat="1" ht="18" customHeight="1" x14ac:dyDescent="0.2">
      <c r="A690" s="88"/>
      <c r="B690" s="180"/>
      <c r="C690" s="180"/>
      <c r="D690" s="88"/>
      <c r="E690" s="88"/>
      <c r="F690" s="88"/>
      <c r="G690" s="88"/>
      <c r="H690" s="120"/>
      <c r="I690" s="121"/>
      <c r="J690" s="181"/>
      <c r="K690" s="121"/>
      <c r="L690" s="88"/>
      <c r="M690" s="88"/>
      <c r="N690" s="88"/>
      <c r="O690" s="88"/>
      <c r="P690" s="88"/>
      <c r="Q690" s="129"/>
      <c r="R690" s="445"/>
      <c r="S690" s="121"/>
      <c r="T690" s="182"/>
      <c r="U690" s="181"/>
      <c r="V690" s="121"/>
      <c r="W690" s="121"/>
      <c r="X690" s="472"/>
      <c r="Y690" s="472"/>
      <c r="Z690" s="473"/>
      <c r="AA690" s="473"/>
      <c r="AB690" s="410"/>
      <c r="AC690" s="351"/>
      <c r="AD690" s="351"/>
      <c r="AE690" s="351"/>
      <c r="AF690" s="351"/>
    </row>
    <row r="691" spans="1:32" s="597" customFormat="1" ht="18" customHeight="1" x14ac:dyDescent="0.2">
      <c r="A691" s="1850"/>
      <c r="B691" s="1850"/>
      <c r="C691" s="1850"/>
      <c r="D691" s="1850"/>
      <c r="E691" s="1850"/>
      <c r="F691" s="1850"/>
      <c r="G691" s="1850"/>
      <c r="H691" s="1851"/>
      <c r="I691" s="1852"/>
      <c r="J691" s="1853"/>
      <c r="K691" s="1852"/>
      <c r="L691" s="1852"/>
      <c r="M691" s="1852"/>
      <c r="N691" s="1852"/>
      <c r="O691" s="1852"/>
      <c r="P691" s="1852"/>
      <c r="Q691" s="1852"/>
      <c r="R691" s="1854"/>
      <c r="S691" s="1852"/>
      <c r="T691" s="1855"/>
      <c r="U691" s="1853"/>
      <c r="V691" s="1852"/>
      <c r="W691" s="1852"/>
      <c r="X691" s="1856"/>
      <c r="Y691" s="1856"/>
      <c r="Z691" s="1857"/>
      <c r="AA691" s="1857"/>
      <c r="AB691" s="1847">
        <f>SUM(AB673:AB690)</f>
        <v>278.64</v>
      </c>
      <c r="AC691" s="1861"/>
      <c r="AD691" s="1861"/>
      <c r="AE691" s="1861"/>
      <c r="AF691" s="1861"/>
    </row>
    <row r="692" spans="1:32" s="457" customFormat="1" ht="18" customHeight="1" x14ac:dyDescent="0.2">
      <c r="A692" s="2737" t="s">
        <v>76</v>
      </c>
      <c r="B692" s="2737"/>
      <c r="C692" s="2738" t="s">
        <v>77</v>
      </c>
      <c r="D692" s="2738"/>
      <c r="E692" s="2738"/>
      <c r="F692" s="2738"/>
      <c r="G692" s="2738"/>
      <c r="H692" s="2738"/>
      <c r="I692" s="457" t="s">
        <v>78</v>
      </c>
      <c r="AB692" s="478"/>
    </row>
    <row r="693" spans="1:32" s="457" customFormat="1" ht="18" customHeight="1" x14ac:dyDescent="0.2">
      <c r="B693" s="479"/>
      <c r="I693" s="457" t="s">
        <v>79</v>
      </c>
      <c r="AB693" s="478"/>
    </row>
    <row r="694" spans="1:32" s="457" customFormat="1" ht="18" customHeight="1" x14ac:dyDescent="0.2">
      <c r="B694" s="479"/>
      <c r="I694" s="457" t="s">
        <v>80</v>
      </c>
      <c r="AB694" s="478"/>
    </row>
    <row r="695" spans="1:32" s="457" customFormat="1" ht="18" customHeight="1" x14ac:dyDescent="0.2">
      <c r="B695" s="479"/>
      <c r="I695" s="457" t="s">
        <v>81</v>
      </c>
      <c r="AB695" s="478"/>
    </row>
    <row r="696" spans="1:32" s="457" customFormat="1" ht="18" customHeight="1" x14ac:dyDescent="0.2">
      <c r="B696" s="479"/>
      <c r="I696" s="457" t="s">
        <v>88</v>
      </c>
      <c r="AB696" s="478"/>
    </row>
    <row r="697" spans="1:32" s="457" customFormat="1" ht="18" customHeight="1" x14ac:dyDescent="0.2">
      <c r="B697" s="479"/>
      <c r="I697" s="457" t="s">
        <v>88</v>
      </c>
      <c r="AB697" s="478"/>
    </row>
    <row r="698" spans="1:32" s="457" customFormat="1" ht="18" customHeight="1" x14ac:dyDescent="0.2">
      <c r="A698" s="2706" t="s">
        <v>1</v>
      </c>
      <c r="B698" s="2706"/>
      <c r="C698" s="2706"/>
      <c r="D698" s="2706"/>
      <c r="E698" s="2706"/>
      <c r="F698" s="2706"/>
      <c r="G698" s="2706"/>
      <c r="H698" s="2706"/>
      <c r="I698" s="2706"/>
      <c r="J698" s="2706"/>
      <c r="K698" s="2706"/>
      <c r="L698" s="2706"/>
      <c r="M698" s="2706"/>
      <c r="N698" s="2706"/>
      <c r="O698" s="2706"/>
      <c r="P698" s="2706"/>
      <c r="Q698" s="2706"/>
      <c r="R698" s="2706"/>
      <c r="S698" s="2706"/>
      <c r="T698" s="2706"/>
      <c r="U698" s="2706"/>
      <c r="V698" s="2706"/>
      <c r="W698" s="2706"/>
      <c r="X698" s="2706"/>
      <c r="Y698" s="2706"/>
      <c r="Z698" s="2706"/>
      <c r="AA698" s="2706"/>
      <c r="AB698" s="2706"/>
      <c r="AC698" s="610"/>
      <c r="AD698" s="610"/>
      <c r="AE698" s="610"/>
      <c r="AF698" s="610"/>
    </row>
    <row r="699" spans="1:32" s="457" customFormat="1" ht="18" customHeight="1" x14ac:dyDescent="0.2">
      <c r="A699" s="2741" t="s">
        <v>352</v>
      </c>
      <c r="B699" s="2741"/>
      <c r="C699" s="2741"/>
      <c r="D699" s="2741"/>
      <c r="E699" s="2741"/>
      <c r="F699" s="2741"/>
      <c r="G699" s="2741"/>
      <c r="H699" s="2741"/>
      <c r="I699" s="2741"/>
      <c r="J699" s="2741"/>
      <c r="K699" s="2741"/>
      <c r="L699" s="2741"/>
      <c r="M699" s="2741"/>
      <c r="N699" s="2741"/>
      <c r="O699" s="2741"/>
      <c r="P699" s="2741"/>
      <c r="Q699" s="2741"/>
      <c r="R699" s="2741"/>
      <c r="S699" s="2741"/>
      <c r="T699" s="2741"/>
      <c r="U699" s="2741"/>
      <c r="V699" s="2741"/>
      <c r="W699" s="2741"/>
      <c r="X699" s="2741"/>
      <c r="Y699" s="2741"/>
      <c r="Z699" s="2741"/>
      <c r="AA699" s="2741"/>
      <c r="AB699" s="2741"/>
      <c r="AC699" s="611"/>
      <c r="AD699" s="611"/>
      <c r="AE699" s="611"/>
      <c r="AF699" s="611"/>
    </row>
    <row r="700" spans="1:32" s="457" customFormat="1" ht="18" customHeight="1" x14ac:dyDescent="0.2">
      <c r="A700" s="2686" t="s">
        <v>2</v>
      </c>
      <c r="B700" s="360"/>
      <c r="C700" s="2686" t="s">
        <v>3</v>
      </c>
      <c r="D700" s="360"/>
      <c r="E700" s="360"/>
      <c r="F700" s="2693" t="s">
        <v>4</v>
      </c>
      <c r="G700" s="2693"/>
      <c r="H700" s="2693"/>
      <c r="I700" s="2694"/>
      <c r="J700" s="2694"/>
      <c r="K700" s="2695"/>
      <c r="L700" s="361"/>
      <c r="M700" s="2679" t="s">
        <v>5</v>
      </c>
      <c r="N700" s="2679"/>
      <c r="O700" s="2679"/>
      <c r="P700" s="2679"/>
      <c r="Q700" s="2696"/>
      <c r="R700" s="2696"/>
      <c r="S700" s="2696"/>
      <c r="T700" s="2696"/>
      <c r="U700" s="2696"/>
      <c r="V700" s="2697"/>
      <c r="W700" s="362" t="s">
        <v>6</v>
      </c>
      <c r="X700" s="363" t="s">
        <v>7</v>
      </c>
      <c r="Y700" s="364"/>
      <c r="Z700" s="364"/>
      <c r="AA700" s="363"/>
      <c r="AB700" s="458"/>
      <c r="AC700" s="612" t="s">
        <v>8</v>
      </c>
      <c r="AD700" s="613"/>
      <c r="AE700" s="613"/>
      <c r="AF700" s="614"/>
    </row>
    <row r="701" spans="1:32" s="457" customFormat="1" ht="18" customHeight="1" x14ac:dyDescent="0.2">
      <c r="A701" s="2687"/>
      <c r="B701" s="367"/>
      <c r="C701" s="2687"/>
      <c r="D701" s="1694" t="s">
        <v>9</v>
      </c>
      <c r="E701" s="1694" t="s">
        <v>10</v>
      </c>
      <c r="F701" s="2698" t="s">
        <v>11</v>
      </c>
      <c r="G701" s="2694"/>
      <c r="H701" s="2695"/>
      <c r="I701" s="360"/>
      <c r="J701" s="1693" t="s">
        <v>12</v>
      </c>
      <c r="K701" s="360"/>
      <c r="L701" s="2679" t="s">
        <v>2</v>
      </c>
      <c r="M701" s="1699"/>
      <c r="N701" s="1699"/>
      <c r="O701" s="1699"/>
      <c r="P701" s="371"/>
      <c r="Q701" s="459" t="s">
        <v>13</v>
      </c>
      <c r="R701" s="1699" t="s">
        <v>12</v>
      </c>
      <c r="S701" s="1699" t="s">
        <v>6</v>
      </c>
      <c r="T701" s="2682" t="s">
        <v>14</v>
      </c>
      <c r="U701" s="2683"/>
      <c r="V701" s="375" t="s">
        <v>7</v>
      </c>
      <c r="W701" s="376" t="s">
        <v>15</v>
      </c>
      <c r="X701" s="377" t="s">
        <v>16</v>
      </c>
      <c r="Y701" s="377" t="s">
        <v>17</v>
      </c>
      <c r="Z701" s="377" t="s">
        <v>18</v>
      </c>
      <c r="AA701" s="377"/>
      <c r="AB701" s="460" t="s">
        <v>19</v>
      </c>
      <c r="AC701" s="615" t="s">
        <v>20</v>
      </c>
      <c r="AD701" s="616"/>
      <c r="AE701" s="617" t="s">
        <v>21</v>
      </c>
      <c r="AF701" s="618" t="s">
        <v>22</v>
      </c>
    </row>
    <row r="702" spans="1:32" s="457" customFormat="1" ht="18" customHeight="1" x14ac:dyDescent="0.2">
      <c r="A702" s="2687"/>
      <c r="B702" s="1694" t="s">
        <v>23</v>
      </c>
      <c r="C702" s="2687"/>
      <c r="D702" s="1694" t="s">
        <v>24</v>
      </c>
      <c r="E702" s="1694" t="s">
        <v>25</v>
      </c>
      <c r="F702" s="2699"/>
      <c r="G702" s="2700"/>
      <c r="H702" s="2701"/>
      <c r="I702" s="1694" t="s">
        <v>26</v>
      </c>
      <c r="J702" s="1698" t="s">
        <v>15</v>
      </c>
      <c r="K702" s="1698" t="s">
        <v>6</v>
      </c>
      <c r="L702" s="2680"/>
      <c r="M702" s="1700" t="s">
        <v>27</v>
      </c>
      <c r="N702" s="1700" t="s">
        <v>10</v>
      </c>
      <c r="O702" s="1700" t="s">
        <v>10</v>
      </c>
      <c r="P702" s="385" t="s">
        <v>28</v>
      </c>
      <c r="Q702" s="461" t="s">
        <v>29</v>
      </c>
      <c r="R702" s="385" t="s">
        <v>15</v>
      </c>
      <c r="S702" s="385" t="s">
        <v>15</v>
      </c>
      <c r="T702" s="2684"/>
      <c r="U702" s="2685"/>
      <c r="V702" s="375" t="s">
        <v>30</v>
      </c>
      <c r="W702" s="376" t="s">
        <v>31</v>
      </c>
      <c r="X702" s="377" t="s">
        <v>30</v>
      </c>
      <c r="Y702" s="377" t="s">
        <v>32</v>
      </c>
      <c r="Z702" s="377" t="s">
        <v>7</v>
      </c>
      <c r="AA702" s="377" t="s">
        <v>33</v>
      </c>
      <c r="AB702" s="460" t="s">
        <v>34</v>
      </c>
      <c r="AC702" s="615" t="s">
        <v>35</v>
      </c>
      <c r="AD702" s="617" t="s">
        <v>36</v>
      </c>
      <c r="AE702" s="617" t="s">
        <v>37</v>
      </c>
      <c r="AF702" s="618" t="s">
        <v>38</v>
      </c>
    </row>
    <row r="703" spans="1:32" s="457" customFormat="1" ht="18" customHeight="1" x14ac:dyDescent="0.2">
      <c r="A703" s="2687"/>
      <c r="B703" s="1694" t="s">
        <v>39</v>
      </c>
      <c r="C703" s="2687"/>
      <c r="D703" s="1694" t="s">
        <v>40</v>
      </c>
      <c r="E703" s="1694" t="s">
        <v>41</v>
      </c>
      <c r="F703" s="2686" t="s">
        <v>42</v>
      </c>
      <c r="G703" s="2686" t="s">
        <v>43</v>
      </c>
      <c r="H703" s="2688" t="s">
        <v>44</v>
      </c>
      <c r="I703" s="1694" t="s">
        <v>45</v>
      </c>
      <c r="J703" s="1698" t="s">
        <v>46</v>
      </c>
      <c r="K703" s="1698" t="s">
        <v>47</v>
      </c>
      <c r="L703" s="2680"/>
      <c r="M703" s="1700" t="s">
        <v>30</v>
      </c>
      <c r="N703" s="1700" t="s">
        <v>30</v>
      </c>
      <c r="O703" s="1700" t="s">
        <v>25</v>
      </c>
      <c r="P703" s="385" t="s">
        <v>30</v>
      </c>
      <c r="Q703" s="461" t="s">
        <v>48</v>
      </c>
      <c r="R703" s="385" t="s">
        <v>49</v>
      </c>
      <c r="S703" s="385" t="s">
        <v>30</v>
      </c>
      <c r="T703" s="1697" t="s">
        <v>50</v>
      </c>
      <c r="U703" s="1697" t="s">
        <v>13</v>
      </c>
      <c r="V703" s="375" t="s">
        <v>51</v>
      </c>
      <c r="W703" s="376" t="s">
        <v>52</v>
      </c>
      <c r="X703" s="377" t="s">
        <v>53</v>
      </c>
      <c r="Y703" s="377" t="s">
        <v>54</v>
      </c>
      <c r="Z703" s="377" t="s">
        <v>55</v>
      </c>
      <c r="AA703" s="377" t="s">
        <v>56</v>
      </c>
      <c r="AB703" s="460" t="s">
        <v>57</v>
      </c>
      <c r="AC703" s="617" t="s">
        <v>58</v>
      </c>
      <c r="AD703" s="617" t="s">
        <v>59</v>
      </c>
      <c r="AE703" s="617" t="s">
        <v>59</v>
      </c>
      <c r="AF703" s="618" t="s">
        <v>60</v>
      </c>
    </row>
    <row r="704" spans="1:32" s="457" customFormat="1" ht="18" customHeight="1" x14ac:dyDescent="0.2">
      <c r="A704" s="2687"/>
      <c r="B704" s="1694" t="s">
        <v>61</v>
      </c>
      <c r="C704" s="2687"/>
      <c r="D704" s="1694" t="s">
        <v>62</v>
      </c>
      <c r="E704" s="1694" t="s">
        <v>63</v>
      </c>
      <c r="F704" s="2687"/>
      <c r="G704" s="2687"/>
      <c r="H704" s="2689"/>
      <c r="I704" s="1694" t="s">
        <v>64</v>
      </c>
      <c r="J704" s="1698" t="s">
        <v>59</v>
      </c>
      <c r="K704" s="1698" t="s">
        <v>59</v>
      </c>
      <c r="L704" s="2680"/>
      <c r="M704" s="1700"/>
      <c r="N704" s="1700"/>
      <c r="O704" s="1700" t="s">
        <v>41</v>
      </c>
      <c r="P704" s="385" t="s">
        <v>65</v>
      </c>
      <c r="Q704" s="461" t="s">
        <v>66</v>
      </c>
      <c r="R704" s="385" t="s">
        <v>67</v>
      </c>
      <c r="S704" s="385" t="s">
        <v>59</v>
      </c>
      <c r="T704" s="375" t="s">
        <v>68</v>
      </c>
      <c r="U704" s="375" t="s">
        <v>14</v>
      </c>
      <c r="V704" s="375" t="s">
        <v>14</v>
      </c>
      <c r="W704" s="376" t="s">
        <v>30</v>
      </c>
      <c r="X704" s="388" t="s">
        <v>69</v>
      </c>
      <c r="Y704" s="388" t="s">
        <v>70</v>
      </c>
      <c r="Z704" s="377" t="s">
        <v>71</v>
      </c>
      <c r="AA704" s="377" t="s">
        <v>72</v>
      </c>
      <c r="AB704" s="460" t="s">
        <v>59</v>
      </c>
      <c r="AC704" s="617" t="s">
        <v>59</v>
      </c>
      <c r="AD704" s="617"/>
      <c r="AE704" s="617"/>
      <c r="AF704" s="618" t="s">
        <v>59</v>
      </c>
    </row>
    <row r="705" spans="1:32" s="457" customFormat="1" ht="18" customHeight="1" x14ac:dyDescent="0.2">
      <c r="A705" s="2692"/>
      <c r="B705" s="390"/>
      <c r="C705" s="2692"/>
      <c r="D705" s="390"/>
      <c r="E705" s="1695"/>
      <c r="F705" s="390"/>
      <c r="G705" s="390"/>
      <c r="H705" s="391"/>
      <c r="I705" s="1695"/>
      <c r="J705" s="393"/>
      <c r="K705" s="393"/>
      <c r="L705" s="2681"/>
      <c r="M705" s="1701"/>
      <c r="N705" s="1701"/>
      <c r="O705" s="1701" t="s">
        <v>63</v>
      </c>
      <c r="P705" s="1701"/>
      <c r="Q705" s="1696" t="s">
        <v>72</v>
      </c>
      <c r="R705" s="398" t="s">
        <v>59</v>
      </c>
      <c r="S705" s="398"/>
      <c r="T705" s="398" t="s">
        <v>73</v>
      </c>
      <c r="U705" s="398" t="s">
        <v>59</v>
      </c>
      <c r="V705" s="399" t="s">
        <v>59</v>
      </c>
      <c r="W705" s="400" t="s">
        <v>59</v>
      </c>
      <c r="X705" s="401" t="s">
        <v>59</v>
      </c>
      <c r="Y705" s="401" t="s">
        <v>59</v>
      </c>
      <c r="Z705" s="401" t="s">
        <v>59</v>
      </c>
      <c r="AA705" s="402"/>
      <c r="AB705" s="462"/>
      <c r="AC705" s="625"/>
      <c r="AD705" s="625"/>
      <c r="AE705" s="625"/>
      <c r="AF705" s="626"/>
    </row>
    <row r="706" spans="1:32" s="457" customFormat="1" ht="18" customHeight="1" x14ac:dyDescent="0.25">
      <c r="A706" s="75">
        <v>1</v>
      </c>
      <c r="B706" s="273">
        <v>44874</v>
      </c>
      <c r="C706" s="27">
        <v>1206</v>
      </c>
      <c r="D706" s="27" t="s">
        <v>215</v>
      </c>
      <c r="E706" s="27">
        <v>4</v>
      </c>
      <c r="F706" s="1649">
        <v>0</v>
      </c>
      <c r="G706" s="1649">
        <v>1</v>
      </c>
      <c r="H706" s="1661">
        <v>50</v>
      </c>
      <c r="I706" s="77">
        <f t="shared" ref="I706" si="161">F706*400+G706*100+H706</f>
        <v>150</v>
      </c>
      <c r="J706" s="306">
        <v>880</v>
      </c>
      <c r="K706" s="297">
        <f>I706*J706</f>
        <v>132000</v>
      </c>
      <c r="L706" s="45">
        <v>1</v>
      </c>
      <c r="M706" s="61"/>
      <c r="N706" s="50"/>
      <c r="O706" s="50">
        <v>4</v>
      </c>
      <c r="P706" s="19"/>
      <c r="Q706" s="62"/>
      <c r="R706" s="672"/>
      <c r="S706" s="296"/>
      <c r="T706" s="298"/>
      <c r="U706" s="299"/>
      <c r="V706" s="299"/>
      <c r="W706" s="18">
        <f t="shared" ref="W706" si="162">K706+V706</f>
        <v>132000</v>
      </c>
      <c r="X706" s="47">
        <f>W706</f>
        <v>132000</v>
      </c>
      <c r="Y706" s="792"/>
      <c r="Z706" s="18">
        <f t="shared" ref="Z706" si="163">+X706</f>
        <v>132000</v>
      </c>
      <c r="AA706" s="494">
        <v>0.3</v>
      </c>
      <c r="AB706" s="406">
        <f>+Z706*AA706/100</f>
        <v>396</v>
      </c>
      <c r="AC706" s="602"/>
      <c r="AD706" s="603">
        <f>AB743-AC706</f>
        <v>0</v>
      </c>
      <c r="AE706" s="603">
        <f>IF(AD706&lt;=0,0,AD706*25/100)</f>
        <v>0</v>
      </c>
      <c r="AF706" s="603">
        <f>IF(AC706+AE706&gt;AB743,AB743,AC706+AE706)</f>
        <v>0</v>
      </c>
    </row>
    <row r="707" spans="1:32" s="457" customFormat="1" ht="18" customHeight="1" x14ac:dyDescent="0.2">
      <c r="A707" s="1703"/>
      <c r="B707" s="177"/>
      <c r="C707" s="177"/>
      <c r="D707" s="1703"/>
      <c r="E707" s="1703"/>
      <c r="F707" s="1703"/>
      <c r="G707" s="1703"/>
      <c r="H707" s="1707"/>
      <c r="I707" s="1705"/>
      <c r="J707" s="178"/>
      <c r="K707" s="1705"/>
      <c r="L707" s="1703"/>
      <c r="M707" s="1703"/>
      <c r="N707" s="1703"/>
      <c r="O707" s="1703"/>
      <c r="P707" s="1707"/>
      <c r="Q707" s="1704"/>
      <c r="R707" s="437"/>
      <c r="S707" s="1705"/>
      <c r="T707" s="1064"/>
      <c r="U707" s="178"/>
      <c r="V707" s="1705"/>
      <c r="W707" s="1705"/>
      <c r="X707" s="470"/>
      <c r="Y707" s="470"/>
      <c r="Z707" s="471"/>
      <c r="AA707" s="471"/>
      <c r="AB707" s="466"/>
      <c r="AC707" s="350"/>
      <c r="AD707" s="350"/>
      <c r="AE707" s="350"/>
      <c r="AF707" s="350"/>
    </row>
    <row r="708" spans="1:32" s="457" customFormat="1" ht="18" customHeight="1" x14ac:dyDescent="0.2">
      <c r="A708" s="1703"/>
      <c r="B708" s="177"/>
      <c r="C708" s="177"/>
      <c r="D708" s="1703"/>
      <c r="E708" s="1703"/>
      <c r="F708" s="1703"/>
      <c r="G708" s="1703"/>
      <c r="H708" s="1707"/>
      <c r="I708" s="1705"/>
      <c r="J708" s="178"/>
      <c r="K708" s="1705"/>
      <c r="L708" s="1703"/>
      <c r="M708" s="1703"/>
      <c r="N708" s="1703"/>
      <c r="O708" s="1703"/>
      <c r="P708" s="1707"/>
      <c r="Q708" s="1704"/>
      <c r="R708" s="437"/>
      <c r="S708" s="1705"/>
      <c r="T708" s="179"/>
      <c r="U708" s="178"/>
      <c r="V708" s="1705"/>
      <c r="W708" s="1705"/>
      <c r="X708" s="470"/>
      <c r="Y708" s="470"/>
      <c r="Z708" s="471"/>
      <c r="AA708" s="471"/>
      <c r="AB708" s="466"/>
      <c r="AC708" s="350"/>
      <c r="AD708" s="350"/>
      <c r="AE708" s="350"/>
      <c r="AF708" s="350"/>
    </row>
    <row r="709" spans="1:32" s="457" customFormat="1" ht="18" customHeight="1" x14ac:dyDescent="0.2">
      <c r="A709" s="1703"/>
      <c r="B709" s="177"/>
      <c r="C709" s="177"/>
      <c r="D709" s="1703"/>
      <c r="E709" s="1703"/>
      <c r="F709" s="1703"/>
      <c r="G709" s="1703"/>
      <c r="H709" s="1707"/>
      <c r="I709" s="1705"/>
      <c r="J709" s="178"/>
      <c r="K709" s="1705"/>
      <c r="L709" s="1703"/>
      <c r="M709" s="1703"/>
      <c r="N709" s="1703"/>
      <c r="O709" s="1703"/>
      <c r="P709" s="1707"/>
      <c r="Q709" s="1704"/>
      <c r="R709" s="437"/>
      <c r="S709" s="1705"/>
      <c r="T709" s="179"/>
      <c r="U709" s="178"/>
      <c r="V709" s="1705"/>
      <c r="W709" s="1705"/>
      <c r="X709" s="470"/>
      <c r="Y709" s="470"/>
      <c r="Z709" s="471"/>
      <c r="AA709" s="471"/>
      <c r="AB709" s="466"/>
      <c r="AC709" s="350"/>
      <c r="AD709" s="350"/>
      <c r="AE709" s="350"/>
      <c r="AF709" s="350"/>
    </row>
    <row r="710" spans="1:32" s="457" customFormat="1" ht="18" customHeight="1" x14ac:dyDescent="0.2">
      <c r="A710" s="1703"/>
      <c r="B710" s="177"/>
      <c r="C710" s="177"/>
      <c r="D710" s="1703"/>
      <c r="E710" s="1703"/>
      <c r="F710" s="1703"/>
      <c r="G710" s="1703"/>
      <c r="H710" s="1707"/>
      <c r="I710" s="1705"/>
      <c r="J710" s="178"/>
      <c r="K710" s="1705"/>
      <c r="L710" s="1703"/>
      <c r="M710" s="1703"/>
      <c r="N710" s="1703"/>
      <c r="O710" s="1703"/>
      <c r="P710" s="1707"/>
      <c r="Q710" s="1704"/>
      <c r="R710" s="437"/>
      <c r="S710" s="1705"/>
      <c r="T710" s="179"/>
      <c r="U710" s="178"/>
      <c r="V710" s="1705"/>
      <c r="W710" s="1705"/>
      <c r="X710" s="470"/>
      <c r="Y710" s="470"/>
      <c r="Z710" s="471"/>
      <c r="AA710" s="471"/>
      <c r="AB710" s="466"/>
      <c r="AC710" s="350"/>
      <c r="AD710" s="350"/>
      <c r="AE710" s="350"/>
      <c r="AF710" s="350"/>
    </row>
    <row r="711" spans="1:32" s="457" customFormat="1" ht="18" customHeight="1" x14ac:dyDescent="0.2">
      <c r="A711" s="1703"/>
      <c r="B711" s="177"/>
      <c r="C711" s="177"/>
      <c r="D711" s="1703"/>
      <c r="E711" s="1703"/>
      <c r="F711" s="1703"/>
      <c r="G711" s="1703"/>
      <c r="H711" s="1707"/>
      <c r="I711" s="1705"/>
      <c r="J711" s="178"/>
      <c r="K711" s="1705"/>
      <c r="L711" s="1703"/>
      <c r="M711" s="1703"/>
      <c r="N711" s="1703"/>
      <c r="O711" s="1703"/>
      <c r="P711" s="1707"/>
      <c r="Q711" s="1704"/>
      <c r="R711" s="437"/>
      <c r="S711" s="1705"/>
      <c r="T711" s="179"/>
      <c r="U711" s="178"/>
      <c r="V711" s="1705"/>
      <c r="W711" s="1705"/>
      <c r="X711" s="470"/>
      <c r="Y711" s="470"/>
      <c r="Z711" s="471"/>
      <c r="AA711" s="471"/>
      <c r="AB711" s="466"/>
      <c r="AC711" s="350"/>
      <c r="AD711" s="350"/>
      <c r="AE711" s="350"/>
      <c r="AF711" s="350"/>
    </row>
    <row r="712" spans="1:32" s="457" customFormat="1" ht="18" customHeight="1" x14ac:dyDescent="0.2">
      <c r="A712" s="1703"/>
      <c r="B712" s="177"/>
      <c r="C712" s="177"/>
      <c r="D712" s="1703"/>
      <c r="E712" s="1703"/>
      <c r="F712" s="1703"/>
      <c r="G712" s="1703"/>
      <c r="H712" s="1707"/>
      <c r="I712" s="1705"/>
      <c r="J712" s="178"/>
      <c r="K712" s="1705"/>
      <c r="L712" s="1703"/>
      <c r="M712" s="1703"/>
      <c r="N712" s="1745"/>
      <c r="O712" s="1703"/>
      <c r="P712" s="1707"/>
      <c r="Q712" s="1704"/>
      <c r="R712" s="437"/>
      <c r="S712" s="1705"/>
      <c r="T712" s="179"/>
      <c r="U712" s="178"/>
      <c r="V712" s="1705"/>
      <c r="W712" s="1705"/>
      <c r="X712" s="470"/>
      <c r="Y712" s="470"/>
      <c r="Z712" s="471"/>
      <c r="AA712" s="471"/>
      <c r="AB712" s="466"/>
      <c r="AC712" s="350"/>
      <c r="AD712" s="350"/>
      <c r="AE712" s="350"/>
      <c r="AF712" s="350"/>
    </row>
    <row r="713" spans="1:32" s="457" customFormat="1" ht="18" customHeight="1" x14ac:dyDescent="0.2">
      <c r="A713" s="1703"/>
      <c r="B713" s="177"/>
      <c r="C713" s="177"/>
      <c r="D713" s="1703"/>
      <c r="E713" s="1703"/>
      <c r="F713" s="1703"/>
      <c r="G713" s="1703"/>
      <c r="H713" s="1707"/>
      <c r="I713" s="1705"/>
      <c r="J713" s="178"/>
      <c r="K713" s="1705"/>
      <c r="L713" s="1703"/>
      <c r="M713" s="1703"/>
      <c r="N713" s="1703"/>
      <c r="O713" s="1703"/>
      <c r="P713" s="1707"/>
      <c r="Q713" s="1704"/>
      <c r="R713" s="437"/>
      <c r="S713" s="1705"/>
      <c r="T713" s="179"/>
      <c r="U713" s="178"/>
      <c r="V713" s="1705"/>
      <c r="W713" s="1705"/>
      <c r="X713" s="470"/>
      <c r="Y713" s="470"/>
      <c r="Z713" s="471"/>
      <c r="AA713" s="471"/>
      <c r="AB713" s="466"/>
      <c r="AC713" s="350"/>
      <c r="AD713" s="350"/>
      <c r="AE713" s="350"/>
      <c r="AF713" s="350"/>
    </row>
    <row r="714" spans="1:32" s="457" customFormat="1" ht="18" customHeight="1" x14ac:dyDescent="0.2">
      <c r="A714" s="1703"/>
      <c r="B714" s="177"/>
      <c r="C714" s="177"/>
      <c r="D714" s="1703"/>
      <c r="E714" s="1703"/>
      <c r="F714" s="1703"/>
      <c r="G714" s="1703"/>
      <c r="H714" s="1707"/>
      <c r="I714" s="1705"/>
      <c r="J714" s="178"/>
      <c r="K714" s="1705"/>
      <c r="L714" s="1703"/>
      <c r="M714" s="1703"/>
      <c r="N714" s="1703"/>
      <c r="O714" s="1703"/>
      <c r="P714" s="1707"/>
      <c r="Q714" s="1704"/>
      <c r="R714" s="437"/>
      <c r="S714" s="1705"/>
      <c r="T714" s="179"/>
      <c r="U714" s="178"/>
      <c r="V714" s="1705"/>
      <c r="W714" s="1705"/>
      <c r="X714" s="470"/>
      <c r="Y714" s="470"/>
      <c r="Z714" s="471"/>
      <c r="AA714" s="471"/>
      <c r="AB714" s="466"/>
      <c r="AC714" s="350"/>
      <c r="AD714" s="350"/>
      <c r="AE714" s="350"/>
      <c r="AF714" s="350"/>
    </row>
    <row r="715" spans="1:32" s="457" customFormat="1" ht="18" customHeight="1" x14ac:dyDescent="0.2">
      <c r="A715" s="1703"/>
      <c r="B715" s="177"/>
      <c r="C715" s="177"/>
      <c r="D715" s="1703"/>
      <c r="E715" s="1703"/>
      <c r="F715" s="1703"/>
      <c r="G715" s="1703"/>
      <c r="H715" s="1707"/>
      <c r="I715" s="1705"/>
      <c r="J715" s="178"/>
      <c r="K715" s="1705"/>
      <c r="L715" s="1703"/>
      <c r="M715" s="1703"/>
      <c r="N715" s="1703"/>
      <c r="O715" s="1703"/>
      <c r="P715" s="1707"/>
      <c r="Q715" s="1704"/>
      <c r="R715" s="437"/>
      <c r="S715" s="1705"/>
      <c r="T715" s="179"/>
      <c r="U715" s="178"/>
      <c r="V715" s="1705"/>
      <c r="W715" s="1705"/>
      <c r="X715" s="470"/>
      <c r="Y715" s="470"/>
      <c r="Z715" s="471"/>
      <c r="AA715" s="471"/>
      <c r="AB715" s="466"/>
      <c r="AC715" s="350"/>
      <c r="AD715" s="350"/>
      <c r="AE715" s="350"/>
      <c r="AF715" s="350"/>
    </row>
    <row r="716" spans="1:32" s="457" customFormat="1" ht="18" customHeight="1" x14ac:dyDescent="0.2">
      <c r="A716" s="1703"/>
      <c r="B716" s="177"/>
      <c r="C716" s="177"/>
      <c r="D716" s="1703"/>
      <c r="E716" s="1703"/>
      <c r="F716" s="1703"/>
      <c r="G716" s="1703"/>
      <c r="H716" s="1707"/>
      <c r="I716" s="1705"/>
      <c r="J716" s="178"/>
      <c r="K716" s="1705"/>
      <c r="L716" s="1703"/>
      <c r="M716" s="1703"/>
      <c r="N716" s="1703"/>
      <c r="O716" s="1703"/>
      <c r="P716" s="1707"/>
      <c r="Q716" s="1704"/>
      <c r="R716" s="437"/>
      <c r="S716" s="1705"/>
      <c r="T716" s="179"/>
      <c r="U716" s="178"/>
      <c r="V716" s="1705"/>
      <c r="W716" s="1705"/>
      <c r="X716" s="470"/>
      <c r="Y716" s="470"/>
      <c r="Z716" s="471"/>
      <c r="AA716" s="471"/>
      <c r="AB716" s="466"/>
      <c r="AC716" s="350"/>
      <c r="AD716" s="350"/>
      <c r="AE716" s="350"/>
      <c r="AF716" s="350"/>
    </row>
    <row r="717" spans="1:32" s="457" customFormat="1" ht="18" customHeight="1" x14ac:dyDescent="0.2">
      <c r="A717" s="1703"/>
      <c r="B717" s="177"/>
      <c r="C717" s="177"/>
      <c r="D717" s="1703"/>
      <c r="E717" s="1703"/>
      <c r="F717" s="1703"/>
      <c r="G717" s="1703"/>
      <c r="H717" s="1707"/>
      <c r="I717" s="1705"/>
      <c r="J717" s="178"/>
      <c r="K717" s="1705"/>
      <c r="L717" s="1703"/>
      <c r="M717" s="1703"/>
      <c r="N717" s="1703"/>
      <c r="O717" s="1703"/>
      <c r="P717" s="1707"/>
      <c r="Q717" s="1704"/>
      <c r="R717" s="437"/>
      <c r="S717" s="1705"/>
      <c r="T717" s="179"/>
      <c r="U717" s="178"/>
      <c r="V717" s="1705"/>
      <c r="W717" s="1705"/>
      <c r="X717" s="470"/>
      <c r="Y717" s="470"/>
      <c r="Z717" s="471"/>
      <c r="AA717" s="471"/>
      <c r="AB717" s="466"/>
      <c r="AC717" s="350"/>
      <c r="AD717" s="350"/>
      <c r="AE717" s="350"/>
      <c r="AF717" s="350"/>
    </row>
    <row r="718" spans="1:32" s="457" customFormat="1" ht="18" customHeight="1" x14ac:dyDescent="0.2">
      <c r="A718" s="88"/>
      <c r="B718" s="180"/>
      <c r="C718" s="180"/>
      <c r="D718" s="88"/>
      <c r="E718" s="88"/>
      <c r="F718" s="88"/>
      <c r="G718" s="88"/>
      <c r="H718" s="120"/>
      <c r="I718" s="121"/>
      <c r="J718" s="181"/>
      <c r="K718" s="121"/>
      <c r="L718" s="88"/>
      <c r="M718" s="88"/>
      <c r="N718" s="88"/>
      <c r="O718" s="88"/>
      <c r="P718" s="88"/>
      <c r="Q718" s="129"/>
      <c r="R718" s="445"/>
      <c r="S718" s="121"/>
      <c r="T718" s="182"/>
      <c r="U718" s="181"/>
      <c r="V718" s="121"/>
      <c r="W718" s="121"/>
      <c r="X718" s="472"/>
      <c r="Y718" s="472"/>
      <c r="Z718" s="473"/>
      <c r="AA718" s="473"/>
      <c r="AB718" s="410"/>
      <c r="AC718" s="351"/>
      <c r="AD718" s="351"/>
      <c r="AE718" s="351"/>
      <c r="AF718" s="351"/>
    </row>
    <row r="719" spans="1:32" s="457" customFormat="1" ht="18" customHeight="1" x14ac:dyDescent="0.2">
      <c r="A719" s="183"/>
      <c r="B719" s="183"/>
      <c r="C719" s="183"/>
      <c r="D719" s="183"/>
      <c r="E719" s="183"/>
      <c r="F719" s="183"/>
      <c r="G719" s="183"/>
      <c r="H719" s="184"/>
      <c r="I719" s="185"/>
      <c r="J719" s="186"/>
      <c r="K719" s="185"/>
      <c r="L719" s="185"/>
      <c r="M719" s="185"/>
      <c r="N719" s="185"/>
      <c r="O719" s="185"/>
      <c r="P719" s="185"/>
      <c r="Q719" s="185"/>
      <c r="R719" s="438"/>
      <c r="S719" s="185"/>
      <c r="T719" s="187"/>
      <c r="U719" s="186"/>
      <c r="V719" s="185"/>
      <c r="W719" s="185"/>
      <c r="X719" s="474"/>
      <c r="Y719" s="474"/>
      <c r="Z719" s="475"/>
      <c r="AA719" s="475"/>
      <c r="AB719" s="476">
        <f>SUM(AB706:AB718)</f>
        <v>396</v>
      </c>
      <c r="AC719" s="349"/>
      <c r="AD719" s="349"/>
      <c r="AE719" s="349"/>
      <c r="AF719" s="349"/>
    </row>
    <row r="720" spans="1:32" s="457" customFormat="1" ht="18" customHeight="1" x14ac:dyDescent="0.2">
      <c r="A720" s="2737" t="s">
        <v>76</v>
      </c>
      <c r="B720" s="2737"/>
      <c r="C720" s="2738" t="s">
        <v>77</v>
      </c>
      <c r="D720" s="2738"/>
      <c r="E720" s="2738"/>
      <c r="F720" s="2738"/>
      <c r="G720" s="2738"/>
      <c r="H720" s="2738"/>
      <c r="I720" s="457" t="s">
        <v>78</v>
      </c>
      <c r="AB720" s="478"/>
    </row>
    <row r="721" spans="1:32" s="457" customFormat="1" ht="18" customHeight="1" x14ac:dyDescent="0.2">
      <c r="B721" s="479"/>
      <c r="I721" s="457" t="s">
        <v>79</v>
      </c>
      <c r="AB721" s="478"/>
    </row>
    <row r="722" spans="1:32" s="457" customFormat="1" ht="18" customHeight="1" x14ac:dyDescent="0.2">
      <c r="B722" s="479"/>
      <c r="I722" s="457" t="s">
        <v>80</v>
      </c>
      <c r="AB722" s="478"/>
    </row>
    <row r="723" spans="1:32" s="457" customFormat="1" ht="18" customHeight="1" x14ac:dyDescent="0.2">
      <c r="B723" s="479"/>
      <c r="I723" s="457" t="s">
        <v>81</v>
      </c>
      <c r="AB723" s="478"/>
    </row>
    <row r="724" spans="1:32" s="457" customFormat="1" ht="18" customHeight="1" x14ac:dyDescent="0.2">
      <c r="B724" s="479"/>
      <c r="I724" s="457" t="s">
        <v>88</v>
      </c>
      <c r="AB724" s="478"/>
    </row>
    <row r="725" spans="1:32" s="457" customFormat="1" ht="18" customHeight="1" x14ac:dyDescent="0.2">
      <c r="A725" s="455"/>
      <c r="B725" s="455"/>
      <c r="C725" s="455"/>
      <c r="D725" s="455"/>
      <c r="E725" s="455"/>
      <c r="F725" s="455"/>
      <c r="G725" s="455"/>
      <c r="H725" s="455"/>
      <c r="I725" s="455"/>
      <c r="J725" s="455"/>
      <c r="K725" s="455"/>
      <c r="L725" s="455"/>
      <c r="M725" s="455"/>
      <c r="N725" s="455"/>
      <c r="O725" s="455"/>
      <c r="P725" s="455"/>
      <c r="Q725" s="455"/>
      <c r="R725" s="455"/>
      <c r="S725" s="455"/>
      <c r="T725" s="455"/>
      <c r="U725" s="455"/>
      <c r="V725" s="455"/>
      <c r="W725" s="455"/>
      <c r="X725" s="455"/>
      <c r="Y725" s="455"/>
      <c r="Z725" s="455"/>
      <c r="AA725" s="2705" t="s">
        <v>0</v>
      </c>
      <c r="AB725" s="2705"/>
      <c r="AC725" s="455"/>
      <c r="AD725" s="455"/>
      <c r="AE725" s="455"/>
      <c r="AF725" s="455"/>
    </row>
    <row r="726" spans="1:32" s="457" customFormat="1" ht="18" customHeight="1" x14ac:dyDescent="0.2">
      <c r="A726" s="2706" t="s">
        <v>1</v>
      </c>
      <c r="B726" s="2706"/>
      <c r="C726" s="2706"/>
      <c r="D726" s="2706"/>
      <c r="E726" s="2706"/>
      <c r="F726" s="2706"/>
      <c r="G726" s="2706"/>
      <c r="H726" s="2706"/>
      <c r="I726" s="2706"/>
      <c r="J726" s="2706"/>
      <c r="K726" s="2706"/>
      <c r="L726" s="2706"/>
      <c r="M726" s="2706"/>
      <c r="N726" s="2706"/>
      <c r="O726" s="2706"/>
      <c r="P726" s="2706"/>
      <c r="Q726" s="2706"/>
      <c r="R726" s="2706"/>
      <c r="S726" s="2706"/>
      <c r="T726" s="2706"/>
      <c r="U726" s="2706"/>
      <c r="V726" s="2706"/>
      <c r="W726" s="2706"/>
      <c r="X726" s="2706"/>
      <c r="Y726" s="2706"/>
      <c r="Z726" s="2706"/>
      <c r="AA726" s="2706"/>
      <c r="AB726" s="2706"/>
      <c r="AC726" s="610"/>
      <c r="AD726" s="610"/>
      <c r="AE726" s="610"/>
      <c r="AF726" s="610"/>
    </row>
    <row r="727" spans="1:32" s="457" customFormat="1" ht="18" customHeight="1" x14ac:dyDescent="0.2">
      <c r="A727" s="2704" t="s">
        <v>509</v>
      </c>
      <c r="B727" s="2704"/>
      <c r="C727" s="2704"/>
      <c r="D727" s="2704"/>
      <c r="E727" s="2704"/>
      <c r="F727" s="2704"/>
      <c r="G727" s="2704"/>
      <c r="H727" s="2704"/>
      <c r="I727" s="2704"/>
      <c r="J727" s="2704"/>
      <c r="K727" s="2704"/>
      <c r="L727" s="2704"/>
      <c r="M727" s="2704"/>
      <c r="N727" s="2704"/>
      <c r="O727" s="2704"/>
      <c r="P727" s="2704"/>
      <c r="Q727" s="2704"/>
      <c r="R727" s="2704"/>
      <c r="S727" s="2704"/>
      <c r="T727" s="2704"/>
      <c r="U727" s="2704"/>
      <c r="V727" s="2704"/>
      <c r="W727" s="2704"/>
      <c r="X727" s="2704"/>
      <c r="Y727" s="2704"/>
      <c r="Z727" s="2704"/>
      <c r="AA727" s="2704"/>
      <c r="AB727" s="2704"/>
      <c r="AC727" s="611"/>
      <c r="AD727" s="611"/>
      <c r="AE727" s="611"/>
      <c r="AF727" s="611"/>
    </row>
    <row r="728" spans="1:32" s="457" customFormat="1" ht="18" customHeight="1" x14ac:dyDescent="0.2">
      <c r="A728" s="2686" t="s">
        <v>2</v>
      </c>
      <c r="B728" s="360"/>
      <c r="C728" s="2686" t="s">
        <v>3</v>
      </c>
      <c r="D728" s="360"/>
      <c r="E728" s="360"/>
      <c r="F728" s="2693" t="s">
        <v>4</v>
      </c>
      <c r="G728" s="2693"/>
      <c r="H728" s="2693"/>
      <c r="I728" s="2694"/>
      <c r="J728" s="2694"/>
      <c r="K728" s="2695"/>
      <c r="L728" s="361"/>
      <c r="M728" s="2679" t="s">
        <v>5</v>
      </c>
      <c r="N728" s="2679"/>
      <c r="O728" s="2679"/>
      <c r="P728" s="2679"/>
      <c r="Q728" s="2696"/>
      <c r="R728" s="2696"/>
      <c r="S728" s="2696"/>
      <c r="T728" s="2696"/>
      <c r="U728" s="2696"/>
      <c r="V728" s="2697"/>
      <c r="W728" s="362" t="s">
        <v>6</v>
      </c>
      <c r="X728" s="363" t="s">
        <v>7</v>
      </c>
      <c r="Y728" s="364"/>
      <c r="Z728" s="364"/>
      <c r="AA728" s="363"/>
      <c r="AB728" s="458"/>
      <c r="AC728" s="612" t="s">
        <v>8</v>
      </c>
      <c r="AD728" s="613"/>
      <c r="AE728" s="613"/>
      <c r="AF728" s="614"/>
    </row>
    <row r="729" spans="1:32" s="457" customFormat="1" ht="18" customHeight="1" x14ac:dyDescent="0.2">
      <c r="A729" s="2687"/>
      <c r="B729" s="367"/>
      <c r="C729" s="2687"/>
      <c r="D729" s="366" t="s">
        <v>9</v>
      </c>
      <c r="E729" s="366" t="s">
        <v>10</v>
      </c>
      <c r="F729" s="2698" t="s">
        <v>11</v>
      </c>
      <c r="G729" s="2694"/>
      <c r="H729" s="2695"/>
      <c r="I729" s="360"/>
      <c r="J729" s="449" t="s">
        <v>12</v>
      </c>
      <c r="K729" s="360"/>
      <c r="L729" s="2679" t="s">
        <v>2</v>
      </c>
      <c r="M729" s="370"/>
      <c r="N729" s="370"/>
      <c r="O729" s="370"/>
      <c r="P729" s="371"/>
      <c r="Q729" s="459" t="s">
        <v>13</v>
      </c>
      <c r="R729" s="370" t="s">
        <v>12</v>
      </c>
      <c r="S729" s="370" t="s">
        <v>6</v>
      </c>
      <c r="T729" s="2682" t="s">
        <v>14</v>
      </c>
      <c r="U729" s="2683"/>
      <c r="V729" s="375" t="s">
        <v>7</v>
      </c>
      <c r="W729" s="376" t="s">
        <v>15</v>
      </c>
      <c r="X729" s="377" t="s">
        <v>16</v>
      </c>
      <c r="Y729" s="377" t="s">
        <v>17</v>
      </c>
      <c r="Z729" s="377" t="s">
        <v>18</v>
      </c>
      <c r="AA729" s="377"/>
      <c r="AB729" s="460" t="s">
        <v>19</v>
      </c>
      <c r="AC729" s="615" t="s">
        <v>20</v>
      </c>
      <c r="AD729" s="616"/>
      <c r="AE729" s="617" t="s">
        <v>21</v>
      </c>
      <c r="AF729" s="618" t="s">
        <v>22</v>
      </c>
    </row>
    <row r="730" spans="1:32" s="457" customFormat="1" ht="18" customHeight="1" x14ac:dyDescent="0.2">
      <c r="A730" s="2687"/>
      <c r="B730" s="366" t="s">
        <v>23</v>
      </c>
      <c r="C730" s="2687"/>
      <c r="D730" s="366" t="s">
        <v>24</v>
      </c>
      <c r="E730" s="366" t="s">
        <v>25</v>
      </c>
      <c r="F730" s="2699"/>
      <c r="G730" s="2700"/>
      <c r="H730" s="2701"/>
      <c r="I730" s="366" t="s">
        <v>26</v>
      </c>
      <c r="J730" s="380" t="s">
        <v>15</v>
      </c>
      <c r="K730" s="380" t="s">
        <v>6</v>
      </c>
      <c r="L730" s="2680"/>
      <c r="M730" s="381" t="s">
        <v>27</v>
      </c>
      <c r="N730" s="381" t="s">
        <v>10</v>
      </c>
      <c r="O730" s="381" t="s">
        <v>10</v>
      </c>
      <c r="P730" s="385" t="s">
        <v>28</v>
      </c>
      <c r="Q730" s="461" t="s">
        <v>29</v>
      </c>
      <c r="R730" s="385" t="s">
        <v>15</v>
      </c>
      <c r="S730" s="385" t="s">
        <v>15</v>
      </c>
      <c r="T730" s="2684"/>
      <c r="U730" s="2685"/>
      <c r="V730" s="375" t="s">
        <v>30</v>
      </c>
      <c r="W730" s="376" t="s">
        <v>31</v>
      </c>
      <c r="X730" s="377" t="s">
        <v>30</v>
      </c>
      <c r="Y730" s="377" t="s">
        <v>32</v>
      </c>
      <c r="Z730" s="377" t="s">
        <v>7</v>
      </c>
      <c r="AA730" s="377" t="s">
        <v>33</v>
      </c>
      <c r="AB730" s="460" t="s">
        <v>34</v>
      </c>
      <c r="AC730" s="615" t="s">
        <v>35</v>
      </c>
      <c r="AD730" s="617" t="s">
        <v>36</v>
      </c>
      <c r="AE730" s="617" t="s">
        <v>37</v>
      </c>
      <c r="AF730" s="618" t="s">
        <v>38</v>
      </c>
    </row>
    <row r="731" spans="1:32" s="457" customFormat="1" ht="18" customHeight="1" x14ac:dyDescent="0.2">
      <c r="A731" s="2687"/>
      <c r="B731" s="366" t="s">
        <v>39</v>
      </c>
      <c r="C731" s="2687"/>
      <c r="D731" s="366" t="s">
        <v>40</v>
      </c>
      <c r="E731" s="366" t="s">
        <v>41</v>
      </c>
      <c r="F731" s="2686" t="s">
        <v>42</v>
      </c>
      <c r="G731" s="2686" t="s">
        <v>43</v>
      </c>
      <c r="H731" s="2688" t="s">
        <v>44</v>
      </c>
      <c r="I731" s="366" t="s">
        <v>45</v>
      </c>
      <c r="J731" s="380" t="s">
        <v>46</v>
      </c>
      <c r="K731" s="380" t="s">
        <v>47</v>
      </c>
      <c r="L731" s="2680"/>
      <c r="M731" s="381" t="s">
        <v>30</v>
      </c>
      <c r="N731" s="381" t="s">
        <v>30</v>
      </c>
      <c r="O731" s="381" t="s">
        <v>25</v>
      </c>
      <c r="P731" s="385" t="s">
        <v>30</v>
      </c>
      <c r="Q731" s="461" t="s">
        <v>48</v>
      </c>
      <c r="R731" s="385" t="s">
        <v>49</v>
      </c>
      <c r="S731" s="385" t="s">
        <v>30</v>
      </c>
      <c r="T731" s="374" t="s">
        <v>50</v>
      </c>
      <c r="U731" s="374" t="s">
        <v>13</v>
      </c>
      <c r="V731" s="375" t="s">
        <v>51</v>
      </c>
      <c r="W731" s="376" t="s">
        <v>52</v>
      </c>
      <c r="X731" s="377" t="s">
        <v>53</v>
      </c>
      <c r="Y731" s="377" t="s">
        <v>54</v>
      </c>
      <c r="Z731" s="377" t="s">
        <v>55</v>
      </c>
      <c r="AA731" s="377" t="s">
        <v>56</v>
      </c>
      <c r="AB731" s="460" t="s">
        <v>57</v>
      </c>
      <c r="AC731" s="617" t="s">
        <v>58</v>
      </c>
      <c r="AD731" s="617" t="s">
        <v>59</v>
      </c>
      <c r="AE731" s="617" t="s">
        <v>59</v>
      </c>
      <c r="AF731" s="618" t="s">
        <v>60</v>
      </c>
    </row>
    <row r="732" spans="1:32" s="457" customFormat="1" ht="18" customHeight="1" x14ac:dyDescent="0.2">
      <c r="A732" s="2687"/>
      <c r="B732" s="366" t="s">
        <v>61</v>
      </c>
      <c r="C732" s="2687"/>
      <c r="D732" s="366" t="s">
        <v>62</v>
      </c>
      <c r="E732" s="366" t="s">
        <v>63</v>
      </c>
      <c r="F732" s="2687"/>
      <c r="G732" s="2687"/>
      <c r="H732" s="2689"/>
      <c r="I732" s="366" t="s">
        <v>64</v>
      </c>
      <c r="J732" s="380" t="s">
        <v>59</v>
      </c>
      <c r="K732" s="380" t="s">
        <v>59</v>
      </c>
      <c r="L732" s="2680"/>
      <c r="M732" s="381"/>
      <c r="N732" s="381"/>
      <c r="O732" s="381" t="s">
        <v>41</v>
      </c>
      <c r="P732" s="385" t="s">
        <v>65</v>
      </c>
      <c r="Q732" s="461" t="s">
        <v>66</v>
      </c>
      <c r="R732" s="385" t="s">
        <v>67</v>
      </c>
      <c r="S732" s="385" t="s">
        <v>59</v>
      </c>
      <c r="T732" s="375" t="s">
        <v>68</v>
      </c>
      <c r="U732" s="375" t="s">
        <v>14</v>
      </c>
      <c r="V732" s="375" t="s">
        <v>14</v>
      </c>
      <c r="W732" s="376" t="s">
        <v>30</v>
      </c>
      <c r="X732" s="388" t="s">
        <v>69</v>
      </c>
      <c r="Y732" s="388" t="s">
        <v>70</v>
      </c>
      <c r="Z732" s="377" t="s">
        <v>71</v>
      </c>
      <c r="AA732" s="377" t="s">
        <v>72</v>
      </c>
      <c r="AB732" s="460" t="s">
        <v>59</v>
      </c>
      <c r="AC732" s="617" t="s">
        <v>59</v>
      </c>
      <c r="AD732" s="617"/>
      <c r="AE732" s="617"/>
      <c r="AF732" s="618" t="s">
        <v>59</v>
      </c>
    </row>
    <row r="733" spans="1:32" s="457" customFormat="1" ht="18" customHeight="1" x14ac:dyDescent="0.2">
      <c r="A733" s="2692"/>
      <c r="B733" s="390"/>
      <c r="C733" s="2692"/>
      <c r="D733" s="390"/>
      <c r="E733" s="389"/>
      <c r="F733" s="390"/>
      <c r="G733" s="390"/>
      <c r="H733" s="391"/>
      <c r="I733" s="389"/>
      <c r="J733" s="393"/>
      <c r="K733" s="393"/>
      <c r="L733" s="2681"/>
      <c r="M733" s="394"/>
      <c r="N733" s="394"/>
      <c r="O733" s="394" t="s">
        <v>63</v>
      </c>
      <c r="P733" s="394"/>
      <c r="Q733" s="450" t="s">
        <v>72</v>
      </c>
      <c r="R733" s="398" t="s">
        <v>59</v>
      </c>
      <c r="S733" s="398"/>
      <c r="T733" s="398" t="s">
        <v>73</v>
      </c>
      <c r="U733" s="398" t="s">
        <v>59</v>
      </c>
      <c r="V733" s="399" t="s">
        <v>59</v>
      </c>
      <c r="W733" s="400" t="s">
        <v>59</v>
      </c>
      <c r="X733" s="401" t="s">
        <v>59</v>
      </c>
      <c r="Y733" s="401" t="s">
        <v>59</v>
      </c>
      <c r="Z733" s="401" t="s">
        <v>59</v>
      </c>
      <c r="AA733" s="402"/>
      <c r="AB733" s="462"/>
      <c r="AC733" s="625"/>
      <c r="AD733" s="625"/>
      <c r="AE733" s="625"/>
      <c r="AF733" s="626"/>
    </row>
    <row r="734" spans="1:32" s="457" customFormat="1" ht="18" customHeight="1" x14ac:dyDescent="0.25">
      <c r="A734" s="53">
        <v>1</v>
      </c>
      <c r="B734" s="333">
        <v>22679</v>
      </c>
      <c r="C734" s="41">
        <v>636</v>
      </c>
      <c r="D734" s="41" t="s">
        <v>215</v>
      </c>
      <c r="E734" s="41">
        <v>1</v>
      </c>
      <c r="F734" s="41">
        <v>2</v>
      </c>
      <c r="G734" s="41">
        <v>3</v>
      </c>
      <c r="H734" s="267">
        <v>61.9</v>
      </c>
      <c r="I734" s="77">
        <f t="shared" ref="I734:I739" si="164">F734*400+G734*100+H734</f>
        <v>1161.9000000000001</v>
      </c>
      <c r="J734" s="310">
        <v>280</v>
      </c>
      <c r="K734" s="297">
        <f>I734*J734</f>
        <v>325332</v>
      </c>
      <c r="L734" s="16"/>
      <c r="M734" s="82"/>
      <c r="N734" s="41"/>
      <c r="O734" s="16"/>
      <c r="P734" s="41"/>
      <c r="Q734" s="1017"/>
      <c r="R734" s="741"/>
      <c r="S734" s="302"/>
      <c r="T734" s="309"/>
      <c r="U734" s="302"/>
      <c r="V734" s="302"/>
      <c r="W734" s="18">
        <f t="shared" ref="W734" si="165">K734+V734</f>
        <v>325332</v>
      </c>
      <c r="X734" s="47">
        <f>W734</f>
        <v>325332</v>
      </c>
      <c r="Y734" s="792"/>
      <c r="Z734" s="18">
        <f t="shared" ref="Z734" si="166">+X734</f>
        <v>325332</v>
      </c>
      <c r="AA734" s="494">
        <v>0.01</v>
      </c>
      <c r="AB734" s="465">
        <f>+Z734*AA734/100</f>
        <v>32.533200000000001</v>
      </c>
      <c r="AC734" s="602"/>
      <c r="AD734" s="603" t="e">
        <f>#REF!-AC734</f>
        <v>#REF!</v>
      </c>
      <c r="AE734" s="603" t="e">
        <f>IF(AD734&lt;=0,0,AD734*25/100)</f>
        <v>#REF!</v>
      </c>
      <c r="AF734" s="603" t="e">
        <f>IF(AC734+AE734&gt;#REF!,#REF!,AC734+AE734)</f>
        <v>#REF!</v>
      </c>
    </row>
    <row r="735" spans="1:32" s="457" customFormat="1" ht="18" customHeight="1" x14ac:dyDescent="0.25">
      <c r="A735" s="75">
        <v>2</v>
      </c>
      <c r="B735" s="273">
        <v>22678</v>
      </c>
      <c r="C735" s="27">
        <v>635</v>
      </c>
      <c r="D735" s="27" t="s">
        <v>215</v>
      </c>
      <c r="E735" s="27">
        <v>1</v>
      </c>
      <c r="F735" s="27">
        <v>4</v>
      </c>
      <c r="G735" s="27">
        <v>3</v>
      </c>
      <c r="H735" s="557">
        <v>32.200000000000003</v>
      </c>
      <c r="I735" s="77">
        <f t="shared" si="164"/>
        <v>1932.2</v>
      </c>
      <c r="J735" s="305">
        <v>280</v>
      </c>
      <c r="K735" s="297">
        <f t="shared" ref="K735:K738" si="167">I735*J735</f>
        <v>541016</v>
      </c>
      <c r="L735" s="45"/>
      <c r="M735" s="88"/>
      <c r="N735" s="27"/>
      <c r="O735" s="45"/>
      <c r="P735" s="27"/>
      <c r="Q735" s="32"/>
      <c r="R735" s="672"/>
      <c r="S735" s="296"/>
      <c r="T735" s="300"/>
      <c r="U735" s="296"/>
      <c r="V735" s="296"/>
      <c r="W735" s="18">
        <f t="shared" ref="W735:W738" si="168">K735+V735</f>
        <v>541016</v>
      </c>
      <c r="X735" s="47">
        <f t="shared" ref="X735:X738" si="169">W735</f>
        <v>541016</v>
      </c>
      <c r="Y735" s="792"/>
      <c r="Z735" s="18">
        <f t="shared" ref="Z735:Z738" si="170">+X735</f>
        <v>541016</v>
      </c>
      <c r="AA735" s="494">
        <v>0.01</v>
      </c>
      <c r="AB735" s="410">
        <f>+Z735*AA735/100</f>
        <v>54.101599999999998</v>
      </c>
      <c r="AC735" s="603"/>
      <c r="AD735" s="603" t="e">
        <f>#REF!-AC735</f>
        <v>#REF!</v>
      </c>
      <c r="AE735" s="603" t="e">
        <f>IF(AD735&lt;=0,0,AD735*25/100)</f>
        <v>#REF!</v>
      </c>
      <c r="AF735" s="603" t="e">
        <f>IF(AC735+AE735&gt;#REF!,#REF!,AC735+AE735)</f>
        <v>#REF!</v>
      </c>
    </row>
    <row r="736" spans="1:32" s="457" customFormat="1" ht="18" customHeight="1" x14ac:dyDescent="0.25">
      <c r="A736" s="75">
        <v>3</v>
      </c>
      <c r="B736" s="273">
        <v>1960</v>
      </c>
      <c r="C736" s="27">
        <v>147</v>
      </c>
      <c r="D736" s="27" t="s">
        <v>215</v>
      </c>
      <c r="E736" s="27">
        <v>1</v>
      </c>
      <c r="F736" s="27">
        <v>5</v>
      </c>
      <c r="G736" s="27">
        <v>2</v>
      </c>
      <c r="H736" s="557">
        <v>31.9</v>
      </c>
      <c r="I736" s="77">
        <f t="shared" si="164"/>
        <v>2231.9</v>
      </c>
      <c r="J736" s="305">
        <v>280</v>
      </c>
      <c r="K736" s="297">
        <f t="shared" si="167"/>
        <v>624932</v>
      </c>
      <c r="L736" s="45"/>
      <c r="M736" s="88"/>
      <c r="N736" s="27"/>
      <c r="O736" s="45"/>
      <c r="P736" s="27"/>
      <c r="Q736" s="32"/>
      <c r="R736" s="672"/>
      <c r="S736" s="296"/>
      <c r="T736" s="298"/>
      <c r="U736" s="299"/>
      <c r="V736" s="299"/>
      <c r="W736" s="18">
        <f t="shared" si="168"/>
        <v>624932</v>
      </c>
      <c r="X736" s="47">
        <f t="shared" si="169"/>
        <v>624932</v>
      </c>
      <c r="Y736" s="792"/>
      <c r="Z736" s="18">
        <f t="shared" si="170"/>
        <v>624932</v>
      </c>
      <c r="AA736" s="494">
        <v>0.01</v>
      </c>
      <c r="AB736" s="410">
        <f>+Z736*AA736/100</f>
        <v>62.493199999999995</v>
      </c>
      <c r="AC736" s="350"/>
      <c r="AD736" s="350"/>
      <c r="AE736" s="350"/>
      <c r="AF736" s="350"/>
    </row>
    <row r="737" spans="1:32" s="457" customFormat="1" ht="18" customHeight="1" x14ac:dyDescent="0.25">
      <c r="A737" s="75">
        <v>4</v>
      </c>
      <c r="B737" s="269">
        <v>22677</v>
      </c>
      <c r="C737" s="62" t="s">
        <v>236</v>
      </c>
      <c r="D737" s="27" t="s">
        <v>215</v>
      </c>
      <c r="E737" s="27">
        <v>1</v>
      </c>
      <c r="F737" s="27">
        <v>4</v>
      </c>
      <c r="G737" s="27">
        <v>3</v>
      </c>
      <c r="H737" s="557">
        <v>47.7</v>
      </c>
      <c r="I737" s="77">
        <f t="shared" si="164"/>
        <v>1947.7</v>
      </c>
      <c r="J737" s="305">
        <v>280</v>
      </c>
      <c r="K737" s="297">
        <f t="shared" si="167"/>
        <v>545356</v>
      </c>
      <c r="L737" s="45"/>
      <c r="M737" s="88"/>
      <c r="N737" s="27"/>
      <c r="O737" s="45"/>
      <c r="P737" s="27"/>
      <c r="Q737" s="32"/>
      <c r="R737" s="672"/>
      <c r="S737" s="296"/>
      <c r="T737" s="298"/>
      <c r="U737" s="299"/>
      <c r="V737" s="299"/>
      <c r="W737" s="18">
        <f t="shared" si="168"/>
        <v>545356</v>
      </c>
      <c r="X737" s="47">
        <f t="shared" si="169"/>
        <v>545356</v>
      </c>
      <c r="Y737" s="792"/>
      <c r="Z737" s="18">
        <f t="shared" si="170"/>
        <v>545356</v>
      </c>
      <c r="AA737" s="494">
        <v>0.01</v>
      </c>
      <c r="AB737" s="410">
        <f>+Z737*AA737/100</f>
        <v>54.535600000000002</v>
      </c>
      <c r="AC737" s="350"/>
      <c r="AD737" s="350"/>
      <c r="AE737" s="350"/>
      <c r="AF737" s="350"/>
    </row>
    <row r="738" spans="1:32" s="457" customFormat="1" ht="18" customHeight="1" x14ac:dyDescent="0.25">
      <c r="A738" s="61">
        <v>5</v>
      </c>
      <c r="B738" s="273">
        <v>22875</v>
      </c>
      <c r="C738" s="27">
        <v>654</v>
      </c>
      <c r="D738" s="27" t="s">
        <v>215</v>
      </c>
      <c r="E738" s="27">
        <v>4</v>
      </c>
      <c r="F738" s="27">
        <v>0</v>
      </c>
      <c r="G738" s="27">
        <v>0</v>
      </c>
      <c r="H738" s="557">
        <v>48.9</v>
      </c>
      <c r="I738" s="77">
        <f t="shared" si="164"/>
        <v>48.9</v>
      </c>
      <c r="J738" s="305">
        <v>2300</v>
      </c>
      <c r="K738" s="297">
        <f t="shared" si="167"/>
        <v>112470</v>
      </c>
      <c r="L738" s="45"/>
      <c r="M738" s="88"/>
      <c r="N738" s="27"/>
      <c r="O738" s="45"/>
      <c r="P738" s="27"/>
      <c r="Q738" s="32"/>
      <c r="R738" s="743"/>
      <c r="S738" s="299"/>
      <c r="T738" s="298"/>
      <c r="U738" s="299"/>
      <c r="V738" s="299"/>
      <c r="W738" s="18">
        <f t="shared" si="168"/>
        <v>112470</v>
      </c>
      <c r="X738" s="47">
        <f t="shared" si="169"/>
        <v>112470</v>
      </c>
      <c r="Y738" s="792"/>
      <c r="Z738" s="18">
        <f t="shared" si="170"/>
        <v>112470</v>
      </c>
      <c r="AA738" s="670">
        <v>0.6</v>
      </c>
      <c r="AB738" s="1463">
        <f>+Z738*AA738/100</f>
        <v>674.82</v>
      </c>
      <c r="AC738" s="650"/>
      <c r="AD738" s="350"/>
      <c r="AE738" s="350"/>
      <c r="AF738" s="350"/>
    </row>
    <row r="739" spans="1:32" s="457" customFormat="1" ht="18" customHeight="1" x14ac:dyDescent="0.2">
      <c r="A739" s="145"/>
      <c r="B739" s="177"/>
      <c r="C739" s="177"/>
      <c r="D739" s="145"/>
      <c r="E739" s="145"/>
      <c r="F739" s="145"/>
      <c r="G739" s="145"/>
      <c r="H739" s="147"/>
      <c r="I739" s="77">
        <f t="shared" si="164"/>
        <v>0</v>
      </c>
      <c r="J739" s="178"/>
      <c r="K739" s="107"/>
      <c r="L739" s="145"/>
      <c r="M739" s="145"/>
      <c r="N739" s="145"/>
      <c r="O739" s="145"/>
      <c r="P739" s="147"/>
      <c r="Q739" s="148"/>
      <c r="R739" s="437"/>
      <c r="S739" s="107"/>
      <c r="T739" s="179"/>
      <c r="U739" s="178"/>
      <c r="V739" s="107"/>
      <c r="W739" s="107"/>
      <c r="X739" s="470"/>
      <c r="Y739" s="470"/>
      <c r="Z739" s="471"/>
      <c r="AA739" s="471"/>
      <c r="AB739" s="466"/>
      <c r="AC739" s="350"/>
      <c r="AD739" s="350"/>
      <c r="AE739" s="350"/>
      <c r="AF739" s="350"/>
    </row>
    <row r="740" spans="1:32" s="457" customFormat="1" ht="18" customHeight="1" x14ac:dyDescent="0.2">
      <c r="A740" s="145"/>
      <c r="B740" s="177"/>
      <c r="C740" s="177"/>
      <c r="D740" s="145"/>
      <c r="E740" s="145"/>
      <c r="F740" s="145"/>
      <c r="G740" s="145"/>
      <c r="H740" s="147"/>
      <c r="I740" s="107"/>
      <c r="J740" s="178"/>
      <c r="K740" s="107"/>
      <c r="L740" s="145"/>
      <c r="M740" s="145"/>
      <c r="N740" s="145"/>
      <c r="O740" s="145"/>
      <c r="P740" s="147"/>
      <c r="Q740" s="148"/>
      <c r="R740" s="437"/>
      <c r="S740" s="107"/>
      <c r="T740" s="179"/>
      <c r="U740" s="178"/>
      <c r="V740" s="107"/>
      <c r="W740" s="107"/>
      <c r="X740" s="470"/>
      <c r="Y740" s="470"/>
      <c r="Z740" s="471"/>
      <c r="AA740" s="471"/>
      <c r="AB740" s="466"/>
      <c r="AC740" s="350"/>
      <c r="AD740" s="350"/>
      <c r="AE740" s="350"/>
      <c r="AF740" s="350"/>
    </row>
    <row r="741" spans="1:32" s="457" customFormat="1" ht="18" customHeight="1" x14ac:dyDescent="0.2">
      <c r="A741" s="145"/>
      <c r="B741" s="177"/>
      <c r="C741" s="177"/>
      <c r="D741" s="145"/>
      <c r="E741" s="145"/>
      <c r="F741" s="145"/>
      <c r="G741" s="145"/>
      <c r="H741" s="147"/>
      <c r="I741" s="107"/>
      <c r="J741" s="178"/>
      <c r="K741" s="107"/>
      <c r="L741" s="145"/>
      <c r="M741" s="145"/>
      <c r="N741" s="145"/>
      <c r="O741" s="145"/>
      <c r="P741" s="147"/>
      <c r="Q741" s="148"/>
      <c r="R741" s="437"/>
      <c r="S741" s="107"/>
      <c r="T741" s="179"/>
      <c r="U741" s="178"/>
      <c r="V741" s="107"/>
      <c r="W741" s="107"/>
      <c r="X741" s="470"/>
      <c r="Y741" s="470"/>
      <c r="Z741" s="471"/>
      <c r="AA741" s="471"/>
      <c r="AB741" s="466"/>
      <c r="AC741" s="350"/>
      <c r="AD741" s="350"/>
      <c r="AE741" s="350"/>
      <c r="AF741" s="350"/>
    </row>
    <row r="742" spans="1:32" s="457" customFormat="1" ht="18" customHeight="1" x14ac:dyDescent="0.2">
      <c r="A742" s="145"/>
      <c r="B742" s="177"/>
      <c r="C742" s="177"/>
      <c r="D742" s="145"/>
      <c r="E742" s="145"/>
      <c r="F742" s="145"/>
      <c r="G742" s="145"/>
      <c r="H742" s="147"/>
      <c r="I742" s="107"/>
      <c r="J742" s="178"/>
      <c r="K742" s="107"/>
      <c r="L742" s="145"/>
      <c r="M742" s="145"/>
      <c r="N742" s="145"/>
      <c r="O742" s="145"/>
      <c r="P742" s="147"/>
      <c r="Q742" s="148"/>
      <c r="R742" s="437"/>
      <c r="S742" s="107"/>
      <c r="T742" s="179"/>
      <c r="U742" s="178"/>
      <c r="V742" s="107"/>
      <c r="W742" s="107"/>
      <c r="X742" s="470"/>
      <c r="Y742" s="470"/>
      <c r="Z742" s="471"/>
      <c r="AA742" s="471"/>
      <c r="AB742" s="466"/>
      <c r="AC742" s="350"/>
      <c r="AD742" s="350"/>
      <c r="AE742" s="350"/>
      <c r="AF742" s="350"/>
    </row>
    <row r="743" spans="1:32" s="457" customFormat="1" ht="18" customHeight="1" x14ac:dyDescent="0.2">
      <c r="A743" s="145"/>
      <c r="B743" s="177"/>
      <c r="C743" s="177"/>
      <c r="D743" s="145"/>
      <c r="E743" s="145"/>
      <c r="F743" s="145"/>
      <c r="G743" s="145"/>
      <c r="H743" s="147"/>
      <c r="I743" s="107"/>
      <c r="J743" s="178"/>
      <c r="K743" s="107"/>
      <c r="L743" s="145"/>
      <c r="M743" s="145"/>
      <c r="N743" s="145"/>
      <c r="O743" s="145"/>
      <c r="P743" s="147"/>
      <c r="Q743" s="148"/>
      <c r="R743" s="437"/>
      <c r="S743" s="107"/>
      <c r="T743" s="179"/>
      <c r="U743" s="178"/>
      <c r="V743" s="107"/>
      <c r="W743" s="107"/>
      <c r="X743" s="470"/>
      <c r="Y743" s="470"/>
      <c r="Z743" s="471"/>
      <c r="AA743" s="471"/>
      <c r="AB743" s="466"/>
      <c r="AC743" s="350"/>
      <c r="AD743" s="350"/>
      <c r="AE743" s="350"/>
      <c r="AF743" s="350"/>
    </row>
    <row r="744" spans="1:32" s="457" customFormat="1" ht="18" customHeight="1" x14ac:dyDescent="0.2">
      <c r="A744" s="145"/>
      <c r="B744" s="177"/>
      <c r="C744" s="177"/>
      <c r="D744" s="145"/>
      <c r="E744" s="145"/>
      <c r="F744" s="145"/>
      <c r="G744" s="145"/>
      <c r="H744" s="147"/>
      <c r="I744" s="107"/>
      <c r="J744" s="178"/>
      <c r="K744" s="107"/>
      <c r="L744" s="145"/>
      <c r="M744" s="145"/>
      <c r="N744" s="145"/>
      <c r="O744" s="145"/>
      <c r="P744" s="147"/>
      <c r="Q744" s="148"/>
      <c r="R744" s="437"/>
      <c r="S744" s="107"/>
      <c r="T744" s="179"/>
      <c r="U744" s="178"/>
      <c r="V744" s="107"/>
      <c r="W744" s="107"/>
      <c r="X744" s="470"/>
      <c r="Y744" s="470"/>
      <c r="Z744" s="471"/>
      <c r="AA744" s="471"/>
      <c r="AB744" s="466"/>
      <c r="AC744" s="350"/>
      <c r="AD744" s="350"/>
      <c r="AE744" s="350"/>
      <c r="AF744" s="350"/>
    </row>
    <row r="745" spans="1:32" s="457" customFormat="1" ht="18" customHeight="1" x14ac:dyDescent="0.2">
      <c r="A745" s="145"/>
      <c r="B745" s="177"/>
      <c r="C745" s="177"/>
      <c r="D745" s="145"/>
      <c r="E745" s="145"/>
      <c r="F745" s="145"/>
      <c r="G745" s="145"/>
      <c r="H745" s="147"/>
      <c r="I745" s="107"/>
      <c r="J745" s="178"/>
      <c r="K745" s="107"/>
      <c r="L745" s="145"/>
      <c r="M745" s="145"/>
      <c r="N745" s="145"/>
      <c r="O745" s="145"/>
      <c r="P745" s="147"/>
      <c r="Q745" s="148"/>
      <c r="R745" s="437"/>
      <c r="S745" s="107"/>
      <c r="T745" s="179"/>
      <c r="U745" s="178"/>
      <c r="V745" s="107"/>
      <c r="W745" s="107"/>
      <c r="X745" s="470"/>
      <c r="Y745" s="470"/>
      <c r="Z745" s="471"/>
      <c r="AA745" s="471"/>
      <c r="AB745" s="466"/>
      <c r="AC745" s="350"/>
      <c r="AD745" s="350"/>
      <c r="AE745" s="350"/>
      <c r="AF745" s="350"/>
    </row>
    <row r="746" spans="1:32" s="457" customFormat="1" ht="18" customHeight="1" x14ac:dyDescent="0.2">
      <c r="A746" s="145"/>
      <c r="B746" s="177"/>
      <c r="C746" s="177"/>
      <c r="D746" s="145"/>
      <c r="E746" s="145"/>
      <c r="F746" s="145"/>
      <c r="G746" s="145"/>
      <c r="H746" s="147"/>
      <c r="I746" s="107"/>
      <c r="J746" s="178"/>
      <c r="K746" s="107"/>
      <c r="L746" s="145"/>
      <c r="M746" s="145"/>
      <c r="N746" s="145"/>
      <c r="O746" s="145"/>
      <c r="P746" s="147"/>
      <c r="Q746" s="148"/>
      <c r="R746" s="437"/>
      <c r="S746" s="107"/>
      <c r="T746" s="179"/>
      <c r="U746" s="178"/>
      <c r="V746" s="107"/>
      <c r="W746" s="107"/>
      <c r="X746" s="470"/>
      <c r="Y746" s="470"/>
      <c r="Z746" s="471"/>
      <c r="AA746" s="471"/>
      <c r="AB746" s="466"/>
      <c r="AC746" s="350"/>
      <c r="AD746" s="350"/>
      <c r="AE746" s="350"/>
      <c r="AF746" s="350"/>
    </row>
    <row r="747" spans="1:32" s="457" customFormat="1" ht="18" customHeight="1" x14ac:dyDescent="0.2">
      <c r="A747" s="145"/>
      <c r="B747" s="177"/>
      <c r="C747" s="177"/>
      <c r="D747" s="145"/>
      <c r="E747" s="145"/>
      <c r="F747" s="145"/>
      <c r="G747" s="145"/>
      <c r="H747" s="147"/>
      <c r="I747" s="107"/>
      <c r="J747" s="178"/>
      <c r="K747" s="107"/>
      <c r="L747" s="145"/>
      <c r="M747" s="145"/>
      <c r="N747" s="145"/>
      <c r="O747" s="145"/>
      <c r="P747" s="147"/>
      <c r="Q747" s="148"/>
      <c r="R747" s="437"/>
      <c r="S747" s="107"/>
      <c r="T747" s="179"/>
      <c r="U747" s="178"/>
      <c r="V747" s="107"/>
      <c r="W747" s="107"/>
      <c r="X747" s="470"/>
      <c r="Y747" s="470"/>
      <c r="Z747" s="471"/>
      <c r="AA747" s="471"/>
      <c r="AB747" s="466"/>
      <c r="AC747" s="350"/>
      <c r="AD747" s="350"/>
      <c r="AE747" s="350"/>
      <c r="AF747" s="350"/>
    </row>
    <row r="748" spans="1:32" s="457" customFormat="1" ht="18" customHeight="1" x14ac:dyDescent="0.2">
      <c r="A748" s="88"/>
      <c r="B748" s="180"/>
      <c r="C748" s="180"/>
      <c r="D748" s="88"/>
      <c r="E748" s="88"/>
      <c r="F748" s="88"/>
      <c r="G748" s="88"/>
      <c r="H748" s="120"/>
      <c r="I748" s="121"/>
      <c r="J748" s="181"/>
      <c r="K748" s="121"/>
      <c r="L748" s="88"/>
      <c r="M748" s="88"/>
      <c r="N748" s="88"/>
      <c r="O748" s="88"/>
      <c r="P748" s="88"/>
      <c r="Q748" s="129"/>
      <c r="R748" s="445"/>
      <c r="S748" s="121"/>
      <c r="T748" s="182"/>
      <c r="U748" s="181"/>
      <c r="V748" s="121"/>
      <c r="W748" s="121"/>
      <c r="X748" s="472"/>
      <c r="Y748" s="472"/>
      <c r="Z748" s="473"/>
      <c r="AA748" s="473"/>
      <c r="AB748" s="410"/>
      <c r="AC748" s="351"/>
      <c r="AD748" s="351"/>
      <c r="AE748" s="351"/>
      <c r="AF748" s="351"/>
    </row>
    <row r="749" spans="1:32" s="597" customFormat="1" ht="18" customHeight="1" x14ac:dyDescent="0.2">
      <c r="A749" s="1850"/>
      <c r="B749" s="1850"/>
      <c r="C749" s="1850"/>
      <c r="D749" s="1850"/>
      <c r="E749" s="1850"/>
      <c r="F749" s="1850"/>
      <c r="G749" s="1850"/>
      <c r="H749" s="1851"/>
      <c r="I749" s="1852"/>
      <c r="J749" s="1853"/>
      <c r="K749" s="1852"/>
      <c r="L749" s="1852"/>
      <c r="M749" s="1852"/>
      <c r="N749" s="1852"/>
      <c r="O749" s="1852"/>
      <c r="P749" s="1852"/>
      <c r="Q749" s="1852"/>
      <c r="R749" s="1854"/>
      <c r="S749" s="1852"/>
      <c r="T749" s="1855"/>
      <c r="U749" s="1853"/>
      <c r="V749" s="1852"/>
      <c r="W749" s="1852"/>
      <c r="X749" s="1856"/>
      <c r="Y749" s="1856"/>
      <c r="Z749" s="1857"/>
      <c r="AA749" s="1857"/>
      <c r="AB749" s="1847">
        <f>SUM(AB734:AB748)</f>
        <v>878.48360000000002</v>
      </c>
      <c r="AC749" s="1861"/>
      <c r="AD749" s="1861"/>
      <c r="AE749" s="1861"/>
      <c r="AF749" s="1861"/>
    </row>
    <row r="750" spans="1:32" s="457" customFormat="1" ht="18" customHeight="1" x14ac:dyDescent="0.2">
      <c r="A750" s="2737" t="s">
        <v>76</v>
      </c>
      <c r="B750" s="2737"/>
      <c r="C750" s="2738" t="s">
        <v>77</v>
      </c>
      <c r="D750" s="2738"/>
      <c r="E750" s="2738"/>
      <c r="F750" s="2738"/>
      <c r="G750" s="2738"/>
      <c r="H750" s="2738"/>
      <c r="I750" s="457" t="s">
        <v>78</v>
      </c>
      <c r="AB750" s="478"/>
    </row>
    <row r="751" spans="1:32" s="457" customFormat="1" ht="18" customHeight="1" x14ac:dyDescent="0.2">
      <c r="B751" s="479"/>
      <c r="I751" s="457" t="s">
        <v>79</v>
      </c>
      <c r="AB751" s="478"/>
    </row>
    <row r="752" spans="1:32" s="457" customFormat="1" ht="18" customHeight="1" x14ac:dyDescent="0.2">
      <c r="B752" s="479"/>
      <c r="I752" s="457" t="s">
        <v>80</v>
      </c>
      <c r="AB752" s="478"/>
    </row>
    <row r="753" spans="1:32" s="457" customFormat="1" ht="18" customHeight="1" x14ac:dyDescent="0.2">
      <c r="B753" s="479"/>
      <c r="I753" s="457" t="s">
        <v>81</v>
      </c>
      <c r="AB753" s="478"/>
    </row>
    <row r="754" spans="1:32" s="457" customFormat="1" ht="18" customHeight="1" x14ac:dyDescent="0.2">
      <c r="B754" s="479"/>
      <c r="I754" s="457" t="s">
        <v>88</v>
      </c>
      <c r="AB754" s="478"/>
    </row>
    <row r="755" spans="1:32" s="457" customFormat="1" ht="18" customHeight="1" x14ac:dyDescent="0.2">
      <c r="A755" s="455"/>
      <c r="B755" s="455"/>
      <c r="C755" s="455"/>
      <c r="D755" s="455"/>
      <c r="E755" s="455"/>
      <c r="F755" s="455"/>
      <c r="G755" s="455"/>
      <c r="H755" s="455"/>
      <c r="I755" s="455"/>
      <c r="J755" s="455"/>
      <c r="K755" s="455"/>
      <c r="L755" s="455"/>
      <c r="M755" s="455"/>
      <c r="N755" s="455"/>
      <c r="O755" s="455"/>
      <c r="P755" s="455"/>
      <c r="Q755" s="455"/>
      <c r="R755" s="455"/>
      <c r="S755" s="455"/>
      <c r="T755" s="455"/>
      <c r="U755" s="455"/>
      <c r="V755" s="455"/>
      <c r="W755" s="455"/>
      <c r="X755" s="455"/>
      <c r="Y755" s="455"/>
      <c r="Z755" s="455"/>
      <c r="AA755" s="2705" t="s">
        <v>0</v>
      </c>
      <c r="AB755" s="2705"/>
      <c r="AC755" s="455"/>
      <c r="AD755" s="455"/>
      <c r="AE755" s="455"/>
      <c r="AF755" s="455"/>
    </row>
    <row r="756" spans="1:32" s="457" customFormat="1" ht="18" customHeight="1" x14ac:dyDescent="0.2">
      <c r="A756" s="2706" t="s">
        <v>1</v>
      </c>
      <c r="B756" s="2706"/>
      <c r="C756" s="2706"/>
      <c r="D756" s="2706"/>
      <c r="E756" s="2706"/>
      <c r="F756" s="2706"/>
      <c r="G756" s="2706"/>
      <c r="H756" s="2706"/>
      <c r="I756" s="2706"/>
      <c r="J756" s="2706"/>
      <c r="K756" s="2706"/>
      <c r="L756" s="2706"/>
      <c r="M756" s="2706"/>
      <c r="N756" s="2706"/>
      <c r="O756" s="2706"/>
      <c r="P756" s="2706"/>
      <c r="Q756" s="2706"/>
      <c r="R756" s="2706"/>
      <c r="S756" s="2706"/>
      <c r="T756" s="2706"/>
      <c r="U756" s="2706"/>
      <c r="V756" s="2706"/>
      <c r="W756" s="2706"/>
      <c r="X756" s="2706"/>
      <c r="Y756" s="2706"/>
      <c r="Z756" s="2706"/>
      <c r="AA756" s="2706"/>
      <c r="AB756" s="2706"/>
      <c r="AC756" s="610"/>
      <c r="AD756" s="610"/>
      <c r="AE756" s="610"/>
      <c r="AF756" s="610"/>
    </row>
    <row r="757" spans="1:32" s="457" customFormat="1" ht="18" customHeight="1" x14ac:dyDescent="0.2">
      <c r="A757" s="2704" t="s">
        <v>488</v>
      </c>
      <c r="B757" s="2704"/>
      <c r="C757" s="2704"/>
      <c r="D757" s="2704"/>
      <c r="E757" s="2704"/>
      <c r="F757" s="2704"/>
      <c r="G757" s="2704"/>
      <c r="H757" s="2704"/>
      <c r="I757" s="2704"/>
      <c r="J757" s="2704"/>
      <c r="K757" s="2704"/>
      <c r="L757" s="2704"/>
      <c r="M757" s="2704"/>
      <c r="N757" s="2704"/>
      <c r="O757" s="2704"/>
      <c r="P757" s="2704"/>
      <c r="Q757" s="2704"/>
      <c r="R757" s="2704"/>
      <c r="S757" s="2704"/>
      <c r="T757" s="2704"/>
      <c r="U757" s="2704"/>
      <c r="V757" s="2704"/>
      <c r="W757" s="2704"/>
      <c r="X757" s="2704"/>
      <c r="Y757" s="2704"/>
      <c r="Z757" s="2704"/>
      <c r="AA757" s="2704"/>
      <c r="AB757" s="2704"/>
      <c r="AC757" s="611"/>
      <c r="AD757" s="611"/>
      <c r="AE757" s="611"/>
      <c r="AF757" s="611"/>
    </row>
    <row r="758" spans="1:32" s="457" customFormat="1" ht="18" customHeight="1" x14ac:dyDescent="0.2">
      <c r="A758" s="2686" t="s">
        <v>2</v>
      </c>
      <c r="B758" s="360"/>
      <c r="C758" s="2686" t="s">
        <v>3</v>
      </c>
      <c r="D758" s="360"/>
      <c r="E758" s="360"/>
      <c r="F758" s="2693" t="s">
        <v>4</v>
      </c>
      <c r="G758" s="2693"/>
      <c r="H758" s="2693"/>
      <c r="I758" s="2694"/>
      <c r="J758" s="2694"/>
      <c r="K758" s="2695"/>
      <c r="L758" s="361"/>
      <c r="M758" s="2679" t="s">
        <v>5</v>
      </c>
      <c r="N758" s="2679"/>
      <c r="O758" s="2679"/>
      <c r="P758" s="2679"/>
      <c r="Q758" s="2696"/>
      <c r="R758" s="2696"/>
      <c r="S758" s="2696"/>
      <c r="T758" s="2696"/>
      <c r="U758" s="2696"/>
      <c r="V758" s="2697"/>
      <c r="W758" s="362" t="s">
        <v>6</v>
      </c>
      <c r="X758" s="363" t="s">
        <v>7</v>
      </c>
      <c r="Y758" s="364"/>
      <c r="Z758" s="364"/>
      <c r="AA758" s="363"/>
      <c r="AB758" s="458"/>
      <c r="AC758" s="612" t="s">
        <v>8</v>
      </c>
      <c r="AD758" s="613"/>
      <c r="AE758" s="613"/>
      <c r="AF758" s="614"/>
    </row>
    <row r="759" spans="1:32" s="457" customFormat="1" ht="18" customHeight="1" x14ac:dyDescent="0.2">
      <c r="A759" s="2687"/>
      <c r="B759" s="367"/>
      <c r="C759" s="2687"/>
      <c r="D759" s="366" t="s">
        <v>9</v>
      </c>
      <c r="E759" s="366" t="s">
        <v>10</v>
      </c>
      <c r="F759" s="2698" t="s">
        <v>11</v>
      </c>
      <c r="G759" s="2694"/>
      <c r="H759" s="2695"/>
      <c r="I759" s="360"/>
      <c r="J759" s="449" t="s">
        <v>12</v>
      </c>
      <c r="K759" s="360"/>
      <c r="L759" s="2679" t="s">
        <v>2</v>
      </c>
      <c r="M759" s="370"/>
      <c r="N759" s="370"/>
      <c r="O759" s="370"/>
      <c r="P759" s="371"/>
      <c r="Q759" s="459" t="s">
        <v>13</v>
      </c>
      <c r="R759" s="370" t="s">
        <v>12</v>
      </c>
      <c r="S759" s="370" t="s">
        <v>6</v>
      </c>
      <c r="T759" s="2682" t="s">
        <v>14</v>
      </c>
      <c r="U759" s="2683"/>
      <c r="V759" s="375" t="s">
        <v>7</v>
      </c>
      <c r="W759" s="376" t="s">
        <v>15</v>
      </c>
      <c r="X759" s="377" t="s">
        <v>16</v>
      </c>
      <c r="Y759" s="377" t="s">
        <v>17</v>
      </c>
      <c r="Z759" s="377" t="s">
        <v>18</v>
      </c>
      <c r="AA759" s="377"/>
      <c r="AB759" s="460" t="s">
        <v>19</v>
      </c>
      <c r="AC759" s="615" t="s">
        <v>20</v>
      </c>
      <c r="AD759" s="616"/>
      <c r="AE759" s="617" t="s">
        <v>21</v>
      </c>
      <c r="AF759" s="618" t="s">
        <v>22</v>
      </c>
    </row>
    <row r="760" spans="1:32" s="457" customFormat="1" ht="18" customHeight="1" x14ac:dyDescent="0.2">
      <c r="A760" s="2687"/>
      <c r="B760" s="366" t="s">
        <v>23</v>
      </c>
      <c r="C760" s="2687"/>
      <c r="D760" s="366" t="s">
        <v>24</v>
      </c>
      <c r="E760" s="366" t="s">
        <v>25</v>
      </c>
      <c r="F760" s="2699"/>
      <c r="G760" s="2700"/>
      <c r="H760" s="2701"/>
      <c r="I760" s="366" t="s">
        <v>26</v>
      </c>
      <c r="J760" s="380" t="s">
        <v>15</v>
      </c>
      <c r="K760" s="380" t="s">
        <v>6</v>
      </c>
      <c r="L760" s="2680"/>
      <c r="M760" s="381" t="s">
        <v>27</v>
      </c>
      <c r="N760" s="381" t="s">
        <v>10</v>
      </c>
      <c r="O760" s="381" t="s">
        <v>10</v>
      </c>
      <c r="P760" s="385" t="s">
        <v>28</v>
      </c>
      <c r="Q760" s="461" t="s">
        <v>29</v>
      </c>
      <c r="R760" s="385" t="s">
        <v>15</v>
      </c>
      <c r="S760" s="385" t="s">
        <v>15</v>
      </c>
      <c r="T760" s="2684"/>
      <c r="U760" s="2685"/>
      <c r="V760" s="375" t="s">
        <v>30</v>
      </c>
      <c r="W760" s="376" t="s">
        <v>31</v>
      </c>
      <c r="X760" s="377" t="s">
        <v>30</v>
      </c>
      <c r="Y760" s="377" t="s">
        <v>32</v>
      </c>
      <c r="Z760" s="377" t="s">
        <v>7</v>
      </c>
      <c r="AA760" s="377" t="s">
        <v>33</v>
      </c>
      <c r="AB760" s="460" t="s">
        <v>34</v>
      </c>
      <c r="AC760" s="615" t="s">
        <v>35</v>
      </c>
      <c r="AD760" s="617" t="s">
        <v>36</v>
      </c>
      <c r="AE760" s="617" t="s">
        <v>37</v>
      </c>
      <c r="AF760" s="618" t="s">
        <v>38</v>
      </c>
    </row>
    <row r="761" spans="1:32" s="457" customFormat="1" ht="18" customHeight="1" x14ac:dyDescent="0.2">
      <c r="A761" s="2687"/>
      <c r="B761" s="366" t="s">
        <v>39</v>
      </c>
      <c r="C761" s="2687"/>
      <c r="D761" s="366" t="s">
        <v>40</v>
      </c>
      <c r="E761" s="366" t="s">
        <v>41</v>
      </c>
      <c r="F761" s="2686" t="s">
        <v>42</v>
      </c>
      <c r="G761" s="2686" t="s">
        <v>43</v>
      </c>
      <c r="H761" s="2688" t="s">
        <v>44</v>
      </c>
      <c r="I761" s="366" t="s">
        <v>45</v>
      </c>
      <c r="J761" s="380" t="s">
        <v>46</v>
      </c>
      <c r="K761" s="380" t="s">
        <v>47</v>
      </c>
      <c r="L761" s="2680"/>
      <c r="M761" s="381" t="s">
        <v>30</v>
      </c>
      <c r="N761" s="381" t="s">
        <v>30</v>
      </c>
      <c r="O761" s="381" t="s">
        <v>25</v>
      </c>
      <c r="P761" s="385" t="s">
        <v>30</v>
      </c>
      <c r="Q761" s="461" t="s">
        <v>48</v>
      </c>
      <c r="R761" s="385" t="s">
        <v>49</v>
      </c>
      <c r="S761" s="385" t="s">
        <v>30</v>
      </c>
      <c r="T761" s="374" t="s">
        <v>50</v>
      </c>
      <c r="U761" s="374" t="s">
        <v>13</v>
      </c>
      <c r="V761" s="375" t="s">
        <v>51</v>
      </c>
      <c r="W761" s="376" t="s">
        <v>52</v>
      </c>
      <c r="X761" s="377" t="s">
        <v>53</v>
      </c>
      <c r="Y761" s="377" t="s">
        <v>54</v>
      </c>
      <c r="Z761" s="377" t="s">
        <v>55</v>
      </c>
      <c r="AA761" s="377" t="s">
        <v>56</v>
      </c>
      <c r="AB761" s="460" t="s">
        <v>57</v>
      </c>
      <c r="AC761" s="617" t="s">
        <v>58</v>
      </c>
      <c r="AD761" s="617" t="s">
        <v>59</v>
      </c>
      <c r="AE761" s="617" t="s">
        <v>59</v>
      </c>
      <c r="AF761" s="618" t="s">
        <v>60</v>
      </c>
    </row>
    <row r="762" spans="1:32" s="457" customFormat="1" ht="18" customHeight="1" x14ac:dyDescent="0.2">
      <c r="A762" s="2687"/>
      <c r="B762" s="366" t="s">
        <v>61</v>
      </c>
      <c r="C762" s="2687"/>
      <c r="D762" s="366" t="s">
        <v>62</v>
      </c>
      <c r="E762" s="366" t="s">
        <v>63</v>
      </c>
      <c r="F762" s="2687"/>
      <c r="G762" s="2687"/>
      <c r="H762" s="2689"/>
      <c r="I762" s="366" t="s">
        <v>64</v>
      </c>
      <c r="J762" s="380" t="s">
        <v>59</v>
      </c>
      <c r="K762" s="380" t="s">
        <v>59</v>
      </c>
      <c r="L762" s="2680"/>
      <c r="M762" s="381"/>
      <c r="N762" s="381"/>
      <c r="O762" s="381" t="s">
        <v>41</v>
      </c>
      <c r="P762" s="385" t="s">
        <v>65</v>
      </c>
      <c r="Q762" s="461" t="s">
        <v>66</v>
      </c>
      <c r="R762" s="385" t="s">
        <v>67</v>
      </c>
      <c r="S762" s="385" t="s">
        <v>59</v>
      </c>
      <c r="T762" s="375" t="s">
        <v>68</v>
      </c>
      <c r="U762" s="375" t="s">
        <v>14</v>
      </c>
      <c r="V762" s="375" t="s">
        <v>14</v>
      </c>
      <c r="W762" s="376" t="s">
        <v>30</v>
      </c>
      <c r="X762" s="388" t="s">
        <v>69</v>
      </c>
      <c r="Y762" s="388" t="s">
        <v>70</v>
      </c>
      <c r="Z762" s="377" t="s">
        <v>71</v>
      </c>
      <c r="AA762" s="377" t="s">
        <v>72</v>
      </c>
      <c r="AB762" s="460" t="s">
        <v>59</v>
      </c>
      <c r="AC762" s="617" t="s">
        <v>59</v>
      </c>
      <c r="AD762" s="617"/>
      <c r="AE762" s="617"/>
      <c r="AF762" s="618" t="s">
        <v>59</v>
      </c>
    </row>
    <row r="763" spans="1:32" s="457" customFormat="1" ht="18" customHeight="1" x14ac:dyDescent="0.2">
      <c r="A763" s="2692"/>
      <c r="B763" s="390"/>
      <c r="C763" s="2692"/>
      <c r="D763" s="390"/>
      <c r="E763" s="389"/>
      <c r="F763" s="390"/>
      <c r="G763" s="390"/>
      <c r="H763" s="391"/>
      <c r="I763" s="389"/>
      <c r="J763" s="393"/>
      <c r="K763" s="393"/>
      <c r="L763" s="2681"/>
      <c r="M763" s="394"/>
      <c r="N763" s="394"/>
      <c r="O763" s="394" t="s">
        <v>63</v>
      </c>
      <c r="P763" s="394"/>
      <c r="Q763" s="450" t="s">
        <v>72</v>
      </c>
      <c r="R763" s="398" t="s">
        <v>59</v>
      </c>
      <c r="S763" s="398"/>
      <c r="T763" s="398" t="s">
        <v>73</v>
      </c>
      <c r="U763" s="398" t="s">
        <v>59</v>
      </c>
      <c r="V763" s="399" t="s">
        <v>59</v>
      </c>
      <c r="W763" s="400" t="s">
        <v>59</v>
      </c>
      <c r="X763" s="401" t="s">
        <v>59</v>
      </c>
      <c r="Y763" s="401" t="s">
        <v>59</v>
      </c>
      <c r="Z763" s="401" t="s">
        <v>59</v>
      </c>
      <c r="AA763" s="402"/>
      <c r="AB763" s="462"/>
      <c r="AC763" s="625"/>
      <c r="AD763" s="625"/>
      <c r="AE763" s="625"/>
      <c r="AF763" s="626"/>
    </row>
    <row r="764" spans="1:32" s="457" customFormat="1" ht="18" customHeight="1" x14ac:dyDescent="0.2">
      <c r="A764" s="53">
        <v>1</v>
      </c>
      <c r="B764" s="95">
        <v>1974</v>
      </c>
      <c r="C764" s="82">
        <v>337</v>
      </c>
      <c r="D764" s="82" t="s">
        <v>212</v>
      </c>
      <c r="E764" s="82">
        <v>4</v>
      </c>
      <c r="F764" s="82">
        <v>0</v>
      </c>
      <c r="G764" s="1986">
        <v>0</v>
      </c>
      <c r="H764" s="463">
        <v>96</v>
      </c>
      <c r="I764" s="70">
        <f>F764*400+G764*100+96</f>
        <v>96</v>
      </c>
      <c r="J764" s="123">
        <v>750</v>
      </c>
      <c r="K764" s="124">
        <f>J764*I764</f>
        <v>72000</v>
      </c>
      <c r="L764" s="82">
        <v>83</v>
      </c>
      <c r="M764" s="82">
        <v>103</v>
      </c>
      <c r="N764" s="82" t="s">
        <v>74</v>
      </c>
      <c r="O764" s="82">
        <v>2</v>
      </c>
      <c r="P764" s="82">
        <v>108</v>
      </c>
      <c r="Q764" s="770" t="s">
        <v>75</v>
      </c>
      <c r="R764" s="443">
        <v>9050</v>
      </c>
      <c r="S764" s="47">
        <f t="shared" ref="S764" si="171">+P764*R764</f>
        <v>977400</v>
      </c>
      <c r="T764" s="2023">
        <v>19</v>
      </c>
      <c r="U764" s="1670">
        <f>+S764*0.28</f>
        <v>273672</v>
      </c>
      <c r="V764" s="18">
        <f t="shared" ref="V764" si="172">+S764-U764</f>
        <v>703728</v>
      </c>
      <c r="W764" s="18">
        <f t="shared" ref="W764" si="173">K764+V764</f>
        <v>775728</v>
      </c>
      <c r="X764" s="47">
        <f>W764*Q764/100</f>
        <v>775728</v>
      </c>
      <c r="Y764" s="123">
        <v>0</v>
      </c>
      <c r="Z764" s="123">
        <f>X764</f>
        <v>775728</v>
      </c>
      <c r="AA764" s="464">
        <v>0.02</v>
      </c>
      <c r="AB764" s="123">
        <f>+Z764*AA764/100</f>
        <v>155.1456</v>
      </c>
      <c r="AC764" s="602"/>
      <c r="AD764" s="603" t="e">
        <f>#REF!-AC764</f>
        <v>#REF!</v>
      </c>
      <c r="AE764" s="603" t="e">
        <f>IF(AD764&lt;=0,0,AD764*25/100)</f>
        <v>#REF!</v>
      </c>
      <c r="AF764" s="603" t="e">
        <f>IF(AC764+AE764&gt;#REF!,#REF!,AC764+AE764)</f>
        <v>#REF!</v>
      </c>
    </row>
    <row r="765" spans="1:32" s="457" customFormat="1" ht="18" customHeight="1" x14ac:dyDescent="0.2">
      <c r="A765" s="145"/>
      <c r="B765" s="196"/>
      <c r="C765" s="196"/>
      <c r="D765" s="145"/>
      <c r="E765" s="145"/>
      <c r="F765" s="145">
        <v>3</v>
      </c>
      <c r="G765" s="145">
        <v>3</v>
      </c>
      <c r="H765" s="173">
        <v>0</v>
      </c>
      <c r="I765" s="70">
        <f>F765*400+G765*100+96</f>
        <v>1596</v>
      </c>
      <c r="J765" s="123">
        <v>750</v>
      </c>
      <c r="K765" s="124">
        <f>J765*I765</f>
        <v>1197000</v>
      </c>
      <c r="L765" s="145"/>
      <c r="M765" s="145"/>
      <c r="N765" s="145"/>
      <c r="O765" s="145"/>
      <c r="P765" s="147"/>
      <c r="Q765" s="148"/>
      <c r="R765" s="437"/>
      <c r="S765" s="107"/>
      <c r="T765" s="179"/>
      <c r="U765" s="178"/>
      <c r="V765" s="107"/>
      <c r="W765" s="18">
        <f t="shared" ref="W765" si="174">K765+V765</f>
        <v>1197000</v>
      </c>
      <c r="X765" s="47">
        <f>W765</f>
        <v>1197000</v>
      </c>
      <c r="Y765" s="470" t="s">
        <v>87</v>
      </c>
      <c r="Z765" s="471">
        <v>0</v>
      </c>
      <c r="AA765" s="764">
        <v>0.01</v>
      </c>
      <c r="AB765" s="123">
        <f>+Z765*AA765/100</f>
        <v>0</v>
      </c>
      <c r="AC765" s="350"/>
      <c r="AD765" s="350"/>
      <c r="AE765" s="350"/>
      <c r="AF765" s="350"/>
    </row>
    <row r="766" spans="1:32" s="457" customFormat="1" ht="18" customHeight="1" x14ac:dyDescent="0.2">
      <c r="A766" s="145"/>
      <c r="B766" s="177"/>
      <c r="C766" s="177"/>
      <c r="D766" s="145"/>
      <c r="E766" s="145"/>
      <c r="F766" s="145"/>
      <c r="G766" s="145"/>
      <c r="H766" s="147"/>
      <c r="I766" s="107"/>
      <c r="J766" s="178"/>
      <c r="K766" s="107"/>
      <c r="L766" s="145"/>
      <c r="M766" s="145"/>
      <c r="N766" s="145"/>
      <c r="O766" s="145"/>
      <c r="P766" s="147"/>
      <c r="Q766" s="148"/>
      <c r="R766" s="437"/>
      <c r="S766" s="107"/>
      <c r="T766" s="179"/>
      <c r="U766" s="178"/>
      <c r="V766" s="107"/>
      <c r="W766" s="107"/>
      <c r="X766" s="470"/>
      <c r="Y766" s="470"/>
      <c r="Z766" s="471"/>
      <c r="AA766" s="471"/>
      <c r="AB766" s="415"/>
      <c r="AC766" s="350"/>
      <c r="AD766" s="350"/>
      <c r="AE766" s="350"/>
      <c r="AF766" s="350"/>
    </row>
    <row r="767" spans="1:32" s="457" customFormat="1" ht="18" customHeight="1" x14ac:dyDescent="0.2">
      <c r="A767" s="145"/>
      <c r="B767" s="177"/>
      <c r="C767" s="177"/>
      <c r="D767" s="145"/>
      <c r="E767" s="145"/>
      <c r="F767" s="145"/>
      <c r="G767" s="145"/>
      <c r="H767" s="147"/>
      <c r="I767" s="107"/>
      <c r="J767" s="178"/>
      <c r="K767" s="107"/>
      <c r="L767" s="145"/>
      <c r="M767" s="145"/>
      <c r="N767" s="145"/>
      <c r="O767" s="145"/>
      <c r="P767" s="147"/>
      <c r="Q767" s="148"/>
      <c r="R767" s="437"/>
      <c r="S767" s="107"/>
      <c r="T767" s="179"/>
      <c r="U767" s="178"/>
      <c r="V767" s="107"/>
      <c r="W767" s="107"/>
      <c r="X767" s="470"/>
      <c r="Y767" s="470"/>
      <c r="Z767" s="471"/>
      <c r="AA767" s="471"/>
      <c r="AB767" s="415"/>
      <c r="AC767" s="350"/>
      <c r="AD767" s="350"/>
      <c r="AE767" s="350"/>
      <c r="AF767" s="350"/>
    </row>
    <row r="768" spans="1:32" s="457" customFormat="1" ht="18" customHeight="1" x14ac:dyDescent="0.2">
      <c r="A768" s="145"/>
      <c r="B768" s="177"/>
      <c r="C768" s="177"/>
      <c r="D768" s="145"/>
      <c r="E768" s="145"/>
      <c r="F768" s="145"/>
      <c r="G768" s="145"/>
      <c r="H768" s="147"/>
      <c r="I768" s="107"/>
      <c r="J768" s="178"/>
      <c r="K768" s="107"/>
      <c r="L768" s="145"/>
      <c r="M768" s="145"/>
      <c r="N768" s="145"/>
      <c r="O768" s="145"/>
      <c r="P768" s="147"/>
      <c r="Q768" s="148"/>
      <c r="R768" s="437"/>
      <c r="S768" s="107"/>
      <c r="T768" s="179"/>
      <c r="U768" s="178"/>
      <c r="V768" s="107"/>
      <c r="W768" s="107"/>
      <c r="X768" s="470"/>
      <c r="Y768" s="470"/>
      <c r="Z768" s="471"/>
      <c r="AA768" s="471"/>
      <c r="AB768" s="415"/>
      <c r="AC768" s="350"/>
      <c r="AD768" s="350"/>
      <c r="AE768" s="350"/>
      <c r="AF768" s="350"/>
    </row>
    <row r="769" spans="1:32" s="457" customFormat="1" ht="18" customHeight="1" x14ac:dyDescent="0.2">
      <c r="A769" s="145"/>
      <c r="B769" s="177"/>
      <c r="C769" s="177"/>
      <c r="D769" s="145"/>
      <c r="E769" s="145"/>
      <c r="F769" s="145"/>
      <c r="G769" s="145"/>
      <c r="H769" s="147"/>
      <c r="I769" s="107"/>
      <c r="J769" s="178"/>
      <c r="K769" s="107"/>
      <c r="L769" s="145"/>
      <c r="M769" s="145"/>
      <c r="N769" s="145"/>
      <c r="O769" s="145"/>
      <c r="P769" s="147"/>
      <c r="Q769" s="148"/>
      <c r="R769" s="437"/>
      <c r="S769" s="107"/>
      <c r="T769" s="179"/>
      <c r="U769" s="178"/>
      <c r="V769" s="107"/>
      <c r="W769" s="107"/>
      <c r="X769" s="470"/>
      <c r="Y769" s="470"/>
      <c r="Z769" s="471"/>
      <c r="AA769" s="471"/>
      <c r="AB769" s="410"/>
      <c r="AC769" s="350"/>
      <c r="AD769" s="350"/>
      <c r="AE769" s="350"/>
      <c r="AF769" s="350"/>
    </row>
    <row r="770" spans="1:32" s="457" customFormat="1" ht="18" customHeight="1" x14ac:dyDescent="0.2">
      <c r="A770" s="145"/>
      <c r="B770" s="177"/>
      <c r="C770" s="177"/>
      <c r="D770" s="145"/>
      <c r="E770" s="145"/>
      <c r="F770" s="145"/>
      <c r="G770" s="145"/>
      <c r="H770" s="147"/>
      <c r="I770" s="107"/>
      <c r="J770" s="178"/>
      <c r="K770" s="107"/>
      <c r="L770" s="145"/>
      <c r="M770" s="145"/>
      <c r="N770" s="145"/>
      <c r="O770" s="145"/>
      <c r="P770" s="147"/>
      <c r="Q770" s="148"/>
      <c r="R770" s="437"/>
      <c r="S770" s="107"/>
      <c r="T770" s="179"/>
      <c r="U770" s="178"/>
      <c r="V770" s="107"/>
      <c r="W770" s="107"/>
      <c r="X770" s="470"/>
      <c r="Y770" s="470"/>
      <c r="Z770" s="471"/>
      <c r="AA770" s="471"/>
      <c r="AB770" s="410"/>
      <c r="AC770" s="350"/>
      <c r="AD770" s="350"/>
      <c r="AE770" s="350"/>
      <c r="AF770" s="350"/>
    </row>
    <row r="771" spans="1:32" s="457" customFormat="1" ht="18" customHeight="1" x14ac:dyDescent="0.2">
      <c r="A771" s="145"/>
      <c r="B771" s="177"/>
      <c r="C771" s="177"/>
      <c r="D771" s="145"/>
      <c r="E771" s="145"/>
      <c r="F771" s="145"/>
      <c r="G771" s="145"/>
      <c r="H771" s="147"/>
      <c r="I771" s="107"/>
      <c r="J771" s="178"/>
      <c r="K771" s="107"/>
      <c r="L771" s="145"/>
      <c r="M771" s="145"/>
      <c r="N771" s="145"/>
      <c r="O771" s="145"/>
      <c r="P771" s="147"/>
      <c r="Q771" s="148"/>
      <c r="R771" s="437"/>
      <c r="S771" s="107"/>
      <c r="T771" s="179"/>
      <c r="U771" s="178"/>
      <c r="V771" s="107"/>
      <c r="W771" s="107"/>
      <c r="X771" s="470"/>
      <c r="Y771" s="470"/>
      <c r="Z771" s="471"/>
      <c r="AA771" s="471"/>
      <c r="AB771" s="410"/>
      <c r="AC771" s="350"/>
      <c r="AD771" s="350"/>
      <c r="AE771" s="350"/>
      <c r="AF771" s="350"/>
    </row>
    <row r="772" spans="1:32" s="457" customFormat="1" ht="18" customHeight="1" x14ac:dyDescent="0.2">
      <c r="A772" s="145"/>
      <c r="B772" s="177"/>
      <c r="C772" s="177"/>
      <c r="D772" s="145"/>
      <c r="E772" s="145"/>
      <c r="F772" s="145"/>
      <c r="G772" s="145"/>
      <c r="H772" s="147"/>
      <c r="I772" s="107"/>
      <c r="J772" s="178"/>
      <c r="K772" s="107"/>
      <c r="L772" s="145"/>
      <c r="M772" s="145"/>
      <c r="N772" s="145"/>
      <c r="O772" s="145"/>
      <c r="P772" s="147"/>
      <c r="Q772" s="148"/>
      <c r="R772" s="437"/>
      <c r="S772" s="107"/>
      <c r="T772" s="179"/>
      <c r="U772" s="178"/>
      <c r="V772" s="107"/>
      <c r="W772" s="107"/>
      <c r="X772" s="470"/>
      <c r="Y772" s="470"/>
      <c r="Z772" s="471"/>
      <c r="AA772" s="471"/>
      <c r="AB772" s="416"/>
      <c r="AC772" s="350"/>
      <c r="AD772" s="350"/>
      <c r="AE772" s="350"/>
      <c r="AF772" s="350"/>
    </row>
    <row r="773" spans="1:32" s="457" customFormat="1" ht="18" customHeight="1" x14ac:dyDescent="0.2">
      <c r="A773" s="145"/>
      <c r="B773" s="177"/>
      <c r="C773" s="177"/>
      <c r="D773" s="145"/>
      <c r="E773" s="145"/>
      <c r="F773" s="145"/>
      <c r="G773" s="145"/>
      <c r="H773" s="147"/>
      <c r="I773" s="107"/>
      <c r="J773" s="178"/>
      <c r="K773" s="107"/>
      <c r="L773" s="145"/>
      <c r="M773" s="145"/>
      <c r="N773" s="145"/>
      <c r="O773" s="145"/>
      <c r="P773" s="147"/>
      <c r="Q773" s="148"/>
      <c r="R773" s="437"/>
      <c r="S773" s="107"/>
      <c r="T773" s="179"/>
      <c r="U773" s="178"/>
      <c r="V773" s="107"/>
      <c r="W773" s="107"/>
      <c r="X773" s="470"/>
      <c r="Y773" s="470"/>
      <c r="Z773" s="471"/>
      <c r="AA773" s="471"/>
      <c r="AB773" s="416"/>
      <c r="AC773" s="350"/>
      <c r="AD773" s="350"/>
      <c r="AE773" s="350"/>
      <c r="AF773" s="350"/>
    </row>
    <row r="774" spans="1:32" s="457" customFormat="1" ht="18" customHeight="1" x14ac:dyDescent="0.2">
      <c r="A774" s="145"/>
      <c r="B774" s="177"/>
      <c r="C774" s="177"/>
      <c r="D774" s="145"/>
      <c r="E774" s="145"/>
      <c r="F774" s="145"/>
      <c r="G774" s="145"/>
      <c r="H774" s="147"/>
      <c r="I774" s="107"/>
      <c r="J774" s="178"/>
      <c r="K774" s="107"/>
      <c r="L774" s="145"/>
      <c r="M774" s="145"/>
      <c r="N774" s="145"/>
      <c r="O774" s="145"/>
      <c r="P774" s="147"/>
      <c r="Q774" s="148"/>
      <c r="R774" s="437"/>
      <c r="S774" s="107"/>
      <c r="T774" s="179"/>
      <c r="U774" s="178"/>
      <c r="V774" s="107"/>
      <c r="W774" s="107"/>
      <c r="X774" s="470"/>
      <c r="Y774" s="470"/>
      <c r="Z774" s="471"/>
      <c r="AA774" s="471"/>
      <c r="AB774" s="416"/>
      <c r="AC774" s="350"/>
      <c r="AD774" s="350"/>
      <c r="AE774" s="350"/>
      <c r="AF774" s="350"/>
    </row>
    <row r="775" spans="1:32" s="457" customFormat="1" ht="18" customHeight="1" x14ac:dyDescent="0.2">
      <c r="A775" s="145"/>
      <c r="B775" s="177"/>
      <c r="C775" s="177"/>
      <c r="D775" s="145"/>
      <c r="E775" s="145"/>
      <c r="F775" s="145"/>
      <c r="G775" s="145"/>
      <c r="H775" s="147"/>
      <c r="I775" s="107"/>
      <c r="J775" s="178"/>
      <c r="K775" s="107"/>
      <c r="L775" s="145"/>
      <c r="M775" s="145"/>
      <c r="N775" s="145"/>
      <c r="O775" s="145"/>
      <c r="P775" s="147"/>
      <c r="Q775" s="148"/>
      <c r="R775" s="437"/>
      <c r="S775" s="107"/>
      <c r="T775" s="179"/>
      <c r="U775" s="178"/>
      <c r="V775" s="107"/>
      <c r="W775" s="107"/>
      <c r="X775" s="470"/>
      <c r="Y775" s="470"/>
      <c r="Z775" s="471"/>
      <c r="AA775" s="471"/>
      <c r="AB775" s="416"/>
      <c r="AC775" s="350"/>
      <c r="AD775" s="350"/>
      <c r="AE775" s="350"/>
      <c r="AF775" s="350"/>
    </row>
    <row r="776" spans="1:32" s="457" customFormat="1" ht="18" customHeight="1" x14ac:dyDescent="0.2">
      <c r="A776" s="145"/>
      <c r="B776" s="177"/>
      <c r="C776" s="177"/>
      <c r="D776" s="145"/>
      <c r="E776" s="145"/>
      <c r="F776" s="145"/>
      <c r="G776" s="145"/>
      <c r="H776" s="147"/>
      <c r="I776" s="107"/>
      <c r="J776" s="178"/>
      <c r="K776" s="107"/>
      <c r="L776" s="145"/>
      <c r="M776" s="145"/>
      <c r="N776" s="145"/>
      <c r="O776" s="145"/>
      <c r="P776" s="147"/>
      <c r="Q776" s="148"/>
      <c r="R776" s="437"/>
      <c r="S776" s="107"/>
      <c r="T776" s="179"/>
      <c r="U776" s="178"/>
      <c r="V776" s="107"/>
      <c r="W776" s="107"/>
      <c r="X776" s="470"/>
      <c r="Y776" s="470"/>
      <c r="Z776" s="471"/>
      <c r="AA776" s="471"/>
      <c r="AB776" s="410"/>
      <c r="AC776" s="350"/>
      <c r="AD776" s="350"/>
      <c r="AE776" s="350"/>
      <c r="AF776" s="350"/>
    </row>
    <row r="777" spans="1:32" s="457" customFormat="1" ht="18" customHeight="1" x14ac:dyDescent="0.2">
      <c r="A777" s="145"/>
      <c r="B777" s="177"/>
      <c r="C777" s="177"/>
      <c r="D777" s="145"/>
      <c r="E777" s="145"/>
      <c r="F777" s="145"/>
      <c r="G777" s="145"/>
      <c r="H777" s="147"/>
      <c r="I777" s="107"/>
      <c r="J777" s="178"/>
      <c r="K777" s="107"/>
      <c r="L777" s="145"/>
      <c r="M777" s="145"/>
      <c r="N777" s="145"/>
      <c r="O777" s="145"/>
      <c r="P777" s="147"/>
      <c r="Q777" s="148"/>
      <c r="R777" s="437"/>
      <c r="S777" s="107"/>
      <c r="T777" s="179"/>
      <c r="U777" s="178"/>
      <c r="V777" s="107"/>
      <c r="W777" s="107"/>
      <c r="X777" s="470"/>
      <c r="Y777" s="470"/>
      <c r="Z777" s="471"/>
      <c r="AA777" s="471"/>
      <c r="AB777" s="410"/>
      <c r="AC777" s="350"/>
      <c r="AD777" s="350"/>
      <c r="AE777" s="350"/>
      <c r="AF777" s="350"/>
    </row>
    <row r="778" spans="1:32" s="457" customFormat="1" ht="18" customHeight="1" x14ac:dyDescent="0.2">
      <c r="A778" s="88"/>
      <c r="B778" s="180"/>
      <c r="C778" s="180"/>
      <c r="D778" s="88"/>
      <c r="E778" s="88"/>
      <c r="F778" s="88"/>
      <c r="G778" s="88"/>
      <c r="H778" s="120"/>
      <c r="I778" s="121"/>
      <c r="J778" s="181"/>
      <c r="K778" s="121"/>
      <c r="L778" s="88"/>
      <c r="M778" s="88"/>
      <c r="N778" s="88"/>
      <c r="O778" s="88"/>
      <c r="P778" s="88"/>
      <c r="Q778" s="129"/>
      <c r="R778" s="445"/>
      <c r="S778" s="121"/>
      <c r="T778" s="182"/>
      <c r="U778" s="181"/>
      <c r="V778" s="121"/>
      <c r="W778" s="121"/>
      <c r="X778" s="472"/>
      <c r="Y778" s="472"/>
      <c r="Z778" s="473"/>
      <c r="AA778" s="473"/>
      <c r="AB778" s="410"/>
      <c r="AC778" s="351"/>
      <c r="AD778" s="351"/>
      <c r="AE778" s="351"/>
      <c r="AF778" s="351"/>
    </row>
    <row r="779" spans="1:32" s="597" customFormat="1" ht="18" customHeight="1" x14ac:dyDescent="0.2">
      <c r="A779" s="1850"/>
      <c r="B779" s="1850"/>
      <c r="C779" s="1850"/>
      <c r="D779" s="1850"/>
      <c r="E779" s="1850"/>
      <c r="F779" s="1850"/>
      <c r="G779" s="1850"/>
      <c r="H779" s="1851"/>
      <c r="I779" s="1852"/>
      <c r="J779" s="1853"/>
      <c r="K779" s="1852"/>
      <c r="L779" s="1852"/>
      <c r="M779" s="1852"/>
      <c r="N779" s="1852"/>
      <c r="O779" s="1852"/>
      <c r="P779" s="1852"/>
      <c r="Q779" s="1852"/>
      <c r="R779" s="1854"/>
      <c r="S779" s="1852"/>
      <c r="T779" s="1855"/>
      <c r="U779" s="1853"/>
      <c r="V779" s="1852"/>
      <c r="W779" s="1852"/>
      <c r="X779" s="1856"/>
      <c r="Y779" s="1856"/>
      <c r="Z779" s="1857"/>
      <c r="AA779" s="1857"/>
      <c r="AB779" s="1849">
        <f>SUM(AB764:AB778)</f>
        <v>155.1456</v>
      </c>
      <c r="AC779" s="1861"/>
      <c r="AD779" s="1861"/>
      <c r="AE779" s="1861"/>
      <c r="AF779" s="1861"/>
    </row>
    <row r="780" spans="1:32" s="457" customFormat="1" ht="18" customHeight="1" x14ac:dyDescent="0.2">
      <c r="A780" s="2737" t="s">
        <v>76</v>
      </c>
      <c r="B780" s="2737"/>
      <c r="C780" s="2738" t="s">
        <v>77</v>
      </c>
      <c r="D780" s="2738"/>
      <c r="E780" s="2738"/>
      <c r="F780" s="2738"/>
      <c r="G780" s="2738"/>
      <c r="H780" s="2738"/>
      <c r="I780" s="457" t="s">
        <v>78</v>
      </c>
      <c r="AB780" s="478"/>
    </row>
    <row r="781" spans="1:32" s="457" customFormat="1" ht="18" customHeight="1" x14ac:dyDescent="0.2">
      <c r="B781" s="479"/>
      <c r="I781" s="457" t="s">
        <v>79</v>
      </c>
      <c r="AB781" s="478"/>
    </row>
    <row r="782" spans="1:32" s="457" customFormat="1" ht="18" customHeight="1" x14ac:dyDescent="0.2">
      <c r="B782" s="479"/>
      <c r="I782" s="457" t="s">
        <v>80</v>
      </c>
      <c r="AB782" s="478"/>
    </row>
    <row r="783" spans="1:32" s="457" customFormat="1" ht="18" customHeight="1" x14ac:dyDescent="0.2">
      <c r="B783" s="479"/>
      <c r="I783" s="457" t="s">
        <v>81</v>
      </c>
      <c r="AB783" s="478"/>
    </row>
    <row r="784" spans="1:32" s="457" customFormat="1" ht="18" customHeight="1" x14ac:dyDescent="0.2">
      <c r="B784" s="479"/>
      <c r="I784" s="457" t="s">
        <v>88</v>
      </c>
      <c r="AB784" s="478"/>
    </row>
    <row r="785" spans="1:32" s="457" customFormat="1" ht="18" customHeight="1" x14ac:dyDescent="0.2">
      <c r="A785" s="455"/>
      <c r="B785" s="455"/>
      <c r="C785" s="455"/>
      <c r="D785" s="455"/>
      <c r="E785" s="455"/>
      <c r="F785" s="455"/>
      <c r="G785" s="455"/>
      <c r="H785" s="455"/>
      <c r="I785" s="455"/>
      <c r="J785" s="455"/>
      <c r="K785" s="455"/>
      <c r="L785" s="455"/>
      <c r="M785" s="455"/>
      <c r="N785" s="455"/>
      <c r="O785" s="455"/>
      <c r="P785" s="455"/>
      <c r="Q785" s="455"/>
      <c r="R785" s="455"/>
      <c r="S785" s="455"/>
      <c r="T785" s="455"/>
      <c r="U785" s="455"/>
      <c r="V785" s="455"/>
      <c r="W785" s="455"/>
      <c r="X785" s="455"/>
      <c r="Y785" s="455"/>
      <c r="Z785" s="455"/>
      <c r="AA785" s="2705" t="s">
        <v>0</v>
      </c>
      <c r="AB785" s="2705"/>
      <c r="AC785" s="455"/>
      <c r="AD785" s="455"/>
      <c r="AE785" s="455"/>
      <c r="AF785" s="455"/>
    </row>
    <row r="786" spans="1:32" s="457" customFormat="1" ht="18" customHeight="1" x14ac:dyDescent="0.2">
      <c r="A786" s="2706" t="s">
        <v>1</v>
      </c>
      <c r="B786" s="2706"/>
      <c r="C786" s="2706"/>
      <c r="D786" s="2706"/>
      <c r="E786" s="2706"/>
      <c r="F786" s="2706"/>
      <c r="G786" s="2706"/>
      <c r="H786" s="2706"/>
      <c r="I786" s="2706"/>
      <c r="J786" s="2706"/>
      <c r="K786" s="2706"/>
      <c r="L786" s="2706"/>
      <c r="M786" s="2706"/>
      <c r="N786" s="2706"/>
      <c r="O786" s="2706"/>
      <c r="P786" s="2706"/>
      <c r="Q786" s="2706"/>
      <c r="R786" s="2706"/>
      <c r="S786" s="2706"/>
      <c r="T786" s="2706"/>
      <c r="U786" s="2706"/>
      <c r="V786" s="2706"/>
      <c r="W786" s="2706"/>
      <c r="X786" s="2706"/>
      <c r="Y786" s="2706"/>
      <c r="Z786" s="2706"/>
      <c r="AA786" s="2706"/>
      <c r="AB786" s="2706"/>
      <c r="AC786" s="610"/>
      <c r="AD786" s="610"/>
      <c r="AE786" s="610"/>
      <c r="AF786" s="610"/>
    </row>
    <row r="787" spans="1:32" s="457" customFormat="1" ht="18" customHeight="1" x14ac:dyDescent="0.2">
      <c r="A787" s="2704" t="s">
        <v>510</v>
      </c>
      <c r="B787" s="2704"/>
      <c r="C787" s="2704"/>
      <c r="D787" s="2704"/>
      <c r="E787" s="2704"/>
      <c r="F787" s="2704"/>
      <c r="G787" s="2704"/>
      <c r="H787" s="2704"/>
      <c r="I787" s="2704"/>
      <c r="J787" s="2704"/>
      <c r="K787" s="2704"/>
      <c r="L787" s="2704"/>
      <c r="M787" s="2704"/>
      <c r="N787" s="2704"/>
      <c r="O787" s="2704"/>
      <c r="P787" s="2704"/>
      <c r="Q787" s="2704"/>
      <c r="R787" s="2704"/>
      <c r="S787" s="2704"/>
      <c r="T787" s="2704"/>
      <c r="U787" s="2704"/>
      <c r="V787" s="2704"/>
      <c r="W787" s="2704"/>
      <c r="X787" s="2704"/>
      <c r="Y787" s="2704"/>
      <c r="Z787" s="2704"/>
      <c r="AA787" s="2704"/>
      <c r="AB787" s="2704"/>
      <c r="AC787" s="611"/>
      <c r="AD787" s="611"/>
      <c r="AE787" s="611"/>
      <c r="AF787" s="611"/>
    </row>
    <row r="788" spans="1:32" s="457" customFormat="1" ht="18" customHeight="1" x14ac:dyDescent="0.2">
      <c r="A788" s="2686" t="s">
        <v>2</v>
      </c>
      <c r="B788" s="360"/>
      <c r="C788" s="2686" t="s">
        <v>3</v>
      </c>
      <c r="D788" s="360"/>
      <c r="E788" s="360"/>
      <c r="F788" s="2693" t="s">
        <v>4</v>
      </c>
      <c r="G788" s="2693"/>
      <c r="H788" s="2693"/>
      <c r="I788" s="2694"/>
      <c r="J788" s="2694"/>
      <c r="K788" s="2695"/>
      <c r="L788" s="361"/>
      <c r="M788" s="2679" t="s">
        <v>5</v>
      </c>
      <c r="N788" s="2679"/>
      <c r="O788" s="2679"/>
      <c r="P788" s="2679"/>
      <c r="Q788" s="2696"/>
      <c r="R788" s="2696"/>
      <c r="S788" s="2696"/>
      <c r="T788" s="2696"/>
      <c r="U788" s="2696"/>
      <c r="V788" s="2697"/>
      <c r="W788" s="362" t="s">
        <v>6</v>
      </c>
      <c r="X788" s="363" t="s">
        <v>7</v>
      </c>
      <c r="Y788" s="364"/>
      <c r="Z788" s="364"/>
      <c r="AA788" s="363"/>
      <c r="AB788" s="458"/>
      <c r="AC788" s="612" t="s">
        <v>8</v>
      </c>
      <c r="AD788" s="613"/>
      <c r="AE788" s="613"/>
      <c r="AF788" s="614"/>
    </row>
    <row r="789" spans="1:32" s="457" customFormat="1" ht="18" customHeight="1" x14ac:dyDescent="0.2">
      <c r="A789" s="2687"/>
      <c r="B789" s="367"/>
      <c r="C789" s="2687"/>
      <c r="D789" s="366" t="s">
        <v>9</v>
      </c>
      <c r="E789" s="366" t="s">
        <v>10</v>
      </c>
      <c r="F789" s="2698" t="s">
        <v>11</v>
      </c>
      <c r="G789" s="2694"/>
      <c r="H789" s="2695"/>
      <c r="I789" s="360"/>
      <c r="J789" s="449" t="s">
        <v>12</v>
      </c>
      <c r="K789" s="360"/>
      <c r="L789" s="2734" t="s">
        <v>2</v>
      </c>
      <c r="M789" s="370"/>
      <c r="N789" s="370"/>
      <c r="O789" s="370"/>
      <c r="P789" s="371"/>
      <c r="Q789" s="459" t="s">
        <v>13</v>
      </c>
      <c r="R789" s="370" t="s">
        <v>12</v>
      </c>
      <c r="S789" s="370" t="s">
        <v>6</v>
      </c>
      <c r="T789" s="2682" t="s">
        <v>14</v>
      </c>
      <c r="U789" s="2683"/>
      <c r="V789" s="375" t="s">
        <v>7</v>
      </c>
      <c r="W789" s="376" t="s">
        <v>15</v>
      </c>
      <c r="X789" s="377" t="s">
        <v>16</v>
      </c>
      <c r="Y789" s="377" t="s">
        <v>17</v>
      </c>
      <c r="Z789" s="377" t="s">
        <v>18</v>
      </c>
      <c r="AA789" s="377"/>
      <c r="AB789" s="460" t="s">
        <v>19</v>
      </c>
      <c r="AC789" s="615" t="s">
        <v>20</v>
      </c>
      <c r="AD789" s="616"/>
      <c r="AE789" s="617" t="s">
        <v>21</v>
      </c>
      <c r="AF789" s="618" t="s">
        <v>22</v>
      </c>
    </row>
    <row r="790" spans="1:32" s="457" customFormat="1" ht="18" customHeight="1" x14ac:dyDescent="0.2">
      <c r="A790" s="2687"/>
      <c r="B790" s="366" t="s">
        <v>23</v>
      </c>
      <c r="C790" s="2687"/>
      <c r="D790" s="366" t="s">
        <v>24</v>
      </c>
      <c r="E790" s="366" t="s">
        <v>25</v>
      </c>
      <c r="F790" s="2699"/>
      <c r="G790" s="2700"/>
      <c r="H790" s="2701"/>
      <c r="I790" s="366" t="s">
        <v>26</v>
      </c>
      <c r="J790" s="380" t="s">
        <v>15</v>
      </c>
      <c r="K790" s="380" t="s">
        <v>6</v>
      </c>
      <c r="L790" s="2735"/>
      <c r="M790" s="381" t="s">
        <v>27</v>
      </c>
      <c r="N790" s="381" t="s">
        <v>10</v>
      </c>
      <c r="O790" s="381" t="s">
        <v>10</v>
      </c>
      <c r="P790" s="385" t="s">
        <v>28</v>
      </c>
      <c r="Q790" s="461" t="s">
        <v>29</v>
      </c>
      <c r="R790" s="385" t="s">
        <v>15</v>
      </c>
      <c r="S790" s="385" t="s">
        <v>15</v>
      </c>
      <c r="T790" s="2684"/>
      <c r="U790" s="2685"/>
      <c r="V790" s="375" t="s">
        <v>30</v>
      </c>
      <c r="W790" s="376" t="s">
        <v>31</v>
      </c>
      <c r="X790" s="377" t="s">
        <v>30</v>
      </c>
      <c r="Y790" s="377" t="s">
        <v>32</v>
      </c>
      <c r="Z790" s="377" t="s">
        <v>7</v>
      </c>
      <c r="AA790" s="377" t="s">
        <v>33</v>
      </c>
      <c r="AB790" s="460" t="s">
        <v>34</v>
      </c>
      <c r="AC790" s="615" t="s">
        <v>35</v>
      </c>
      <c r="AD790" s="617" t="s">
        <v>36</v>
      </c>
      <c r="AE790" s="617" t="s">
        <v>37</v>
      </c>
      <c r="AF790" s="618" t="s">
        <v>38</v>
      </c>
    </row>
    <row r="791" spans="1:32" s="457" customFormat="1" ht="18" customHeight="1" x14ac:dyDescent="0.2">
      <c r="A791" s="2687"/>
      <c r="B791" s="366" t="s">
        <v>39</v>
      </c>
      <c r="C791" s="2687"/>
      <c r="D791" s="366" t="s">
        <v>40</v>
      </c>
      <c r="E791" s="366" t="s">
        <v>41</v>
      </c>
      <c r="F791" s="2686" t="s">
        <v>42</v>
      </c>
      <c r="G791" s="2686" t="s">
        <v>43</v>
      </c>
      <c r="H791" s="2688" t="s">
        <v>44</v>
      </c>
      <c r="I791" s="366" t="s">
        <v>45</v>
      </c>
      <c r="J791" s="380" t="s">
        <v>46</v>
      </c>
      <c r="K791" s="380" t="s">
        <v>47</v>
      </c>
      <c r="L791" s="2735"/>
      <c r="M791" s="381" t="s">
        <v>30</v>
      </c>
      <c r="N791" s="381" t="s">
        <v>30</v>
      </c>
      <c r="O791" s="381" t="s">
        <v>25</v>
      </c>
      <c r="P791" s="385" t="s">
        <v>30</v>
      </c>
      <c r="Q791" s="461" t="s">
        <v>48</v>
      </c>
      <c r="R791" s="385" t="s">
        <v>49</v>
      </c>
      <c r="S791" s="385" t="s">
        <v>30</v>
      </c>
      <c r="T791" s="374" t="s">
        <v>50</v>
      </c>
      <c r="U791" s="374" t="s">
        <v>13</v>
      </c>
      <c r="V791" s="375" t="s">
        <v>51</v>
      </c>
      <c r="W791" s="376" t="s">
        <v>52</v>
      </c>
      <c r="X791" s="377" t="s">
        <v>53</v>
      </c>
      <c r="Y791" s="377" t="s">
        <v>54</v>
      </c>
      <c r="Z791" s="377" t="s">
        <v>55</v>
      </c>
      <c r="AA791" s="377" t="s">
        <v>56</v>
      </c>
      <c r="AB791" s="460" t="s">
        <v>57</v>
      </c>
      <c r="AC791" s="617" t="s">
        <v>58</v>
      </c>
      <c r="AD791" s="617" t="s">
        <v>59</v>
      </c>
      <c r="AE791" s="617" t="s">
        <v>59</v>
      </c>
      <c r="AF791" s="618" t="s">
        <v>60</v>
      </c>
    </row>
    <row r="792" spans="1:32" s="457" customFormat="1" ht="18" customHeight="1" x14ac:dyDescent="0.2">
      <c r="A792" s="2687"/>
      <c r="B792" s="366" t="s">
        <v>61</v>
      </c>
      <c r="C792" s="2687"/>
      <c r="D792" s="366" t="s">
        <v>62</v>
      </c>
      <c r="E792" s="366" t="s">
        <v>63</v>
      </c>
      <c r="F792" s="2687"/>
      <c r="G792" s="2687"/>
      <c r="H792" s="2689"/>
      <c r="I792" s="366" t="s">
        <v>64</v>
      </c>
      <c r="J792" s="380" t="s">
        <v>59</v>
      </c>
      <c r="K792" s="380" t="s">
        <v>59</v>
      </c>
      <c r="L792" s="2735"/>
      <c r="M792" s="381"/>
      <c r="N792" s="381"/>
      <c r="O792" s="381" t="s">
        <v>41</v>
      </c>
      <c r="P792" s="385" t="s">
        <v>65</v>
      </c>
      <c r="Q792" s="461" t="s">
        <v>66</v>
      </c>
      <c r="R792" s="385" t="s">
        <v>67</v>
      </c>
      <c r="S792" s="385" t="s">
        <v>59</v>
      </c>
      <c r="T792" s="375" t="s">
        <v>68</v>
      </c>
      <c r="U792" s="375" t="s">
        <v>14</v>
      </c>
      <c r="V792" s="375" t="s">
        <v>14</v>
      </c>
      <c r="W792" s="376" t="s">
        <v>30</v>
      </c>
      <c r="X792" s="388" t="s">
        <v>69</v>
      </c>
      <c r="Y792" s="388" t="s">
        <v>70</v>
      </c>
      <c r="Z792" s="377" t="s">
        <v>71</v>
      </c>
      <c r="AA792" s="377" t="s">
        <v>72</v>
      </c>
      <c r="AB792" s="460" t="s">
        <v>59</v>
      </c>
      <c r="AC792" s="617" t="s">
        <v>59</v>
      </c>
      <c r="AD792" s="617"/>
      <c r="AE792" s="617"/>
      <c r="AF792" s="618" t="s">
        <v>59</v>
      </c>
    </row>
    <row r="793" spans="1:32" s="457" customFormat="1" ht="18" customHeight="1" x14ac:dyDescent="0.2">
      <c r="A793" s="2692"/>
      <c r="B793" s="390"/>
      <c r="C793" s="2692"/>
      <c r="D793" s="390"/>
      <c r="E793" s="389"/>
      <c r="F793" s="390"/>
      <c r="G793" s="390"/>
      <c r="H793" s="391"/>
      <c r="I793" s="389"/>
      <c r="J793" s="393"/>
      <c r="K793" s="393"/>
      <c r="L793" s="2736"/>
      <c r="M793" s="394"/>
      <c r="N793" s="394"/>
      <c r="O793" s="394" t="s">
        <v>63</v>
      </c>
      <c r="P793" s="394"/>
      <c r="Q793" s="450" t="s">
        <v>72</v>
      </c>
      <c r="R793" s="398" t="s">
        <v>59</v>
      </c>
      <c r="S793" s="398"/>
      <c r="T793" s="398" t="s">
        <v>73</v>
      </c>
      <c r="U793" s="398" t="s">
        <v>59</v>
      </c>
      <c r="V793" s="399" t="s">
        <v>59</v>
      </c>
      <c r="W793" s="400" t="s">
        <v>59</v>
      </c>
      <c r="X793" s="401" t="s">
        <v>59</v>
      </c>
      <c r="Y793" s="401" t="s">
        <v>59</v>
      </c>
      <c r="Z793" s="401" t="s">
        <v>59</v>
      </c>
      <c r="AA793" s="402"/>
      <c r="AB793" s="462"/>
      <c r="AC793" s="625"/>
      <c r="AD793" s="625"/>
      <c r="AE793" s="625"/>
      <c r="AF793" s="626"/>
    </row>
    <row r="794" spans="1:32" s="457" customFormat="1" ht="18" customHeight="1" x14ac:dyDescent="0.2">
      <c r="A794" s="53">
        <v>1</v>
      </c>
      <c r="B794" s="95">
        <v>18018</v>
      </c>
      <c r="C794" s="82">
        <v>312</v>
      </c>
      <c r="D794" s="82" t="s">
        <v>215</v>
      </c>
      <c r="E794" s="82">
        <v>4</v>
      </c>
      <c r="F794" s="82">
        <v>0</v>
      </c>
      <c r="G794" s="82">
        <v>1</v>
      </c>
      <c r="H794" s="463">
        <v>44</v>
      </c>
      <c r="I794" s="70">
        <f>F794*400+G794*100+H794</f>
        <v>144</v>
      </c>
      <c r="J794" s="123">
        <v>940</v>
      </c>
      <c r="K794" s="124">
        <f>SUM(I794*J794)</f>
        <v>135360</v>
      </c>
      <c r="L794" s="53"/>
      <c r="M794" s="53"/>
      <c r="N794" s="53"/>
      <c r="O794" s="53"/>
      <c r="P794" s="1123"/>
      <c r="Q794" s="197"/>
      <c r="R794" s="444"/>
      <c r="S794" s="70"/>
      <c r="T794" s="1124"/>
      <c r="U794" s="70">
        <f>S794*T794/100</f>
        <v>0</v>
      </c>
      <c r="V794" s="70">
        <f>SUM(S794-U794)</f>
        <v>0</v>
      </c>
      <c r="W794" s="70">
        <f>K794+V794</f>
        <v>135360</v>
      </c>
      <c r="X794" s="70">
        <f>W794</f>
        <v>135360</v>
      </c>
      <c r="Y794" s="945">
        <v>0</v>
      </c>
      <c r="Z794" s="70">
        <f>X794</f>
        <v>135360</v>
      </c>
      <c r="AA794" s="464">
        <v>0.3</v>
      </c>
      <c r="AB794" s="1412">
        <f>+Z794*AA794/100</f>
        <v>406.08</v>
      </c>
      <c r="AC794" s="602"/>
      <c r="AD794" s="603" t="e">
        <f>#REF!-AC794</f>
        <v>#REF!</v>
      </c>
      <c r="AE794" s="603" t="e">
        <f>IF(AD794&lt;=0,0,AD794*25/100)</f>
        <v>#REF!</v>
      </c>
      <c r="AF794" s="603" t="e">
        <f>IF(AC794+AE794&gt;#REF!,#REF!,AC794+AE794)</f>
        <v>#REF!</v>
      </c>
    </row>
    <row r="795" spans="1:32" s="457" customFormat="1" ht="18" customHeight="1" x14ac:dyDescent="0.2">
      <c r="A795" s="75">
        <v>2</v>
      </c>
      <c r="B795" s="85">
        <v>18019</v>
      </c>
      <c r="C795" s="88">
        <v>313</v>
      </c>
      <c r="D795" s="88" t="s">
        <v>215</v>
      </c>
      <c r="E795" s="88">
        <v>4</v>
      </c>
      <c r="F795" s="88">
        <v>7</v>
      </c>
      <c r="G795" s="88">
        <v>0</v>
      </c>
      <c r="H795" s="495">
        <v>75</v>
      </c>
      <c r="I795" s="74">
        <f>F795*400+G795*100+H795</f>
        <v>2875</v>
      </c>
      <c r="J795" s="121">
        <v>1250</v>
      </c>
      <c r="K795" s="159">
        <f>SUM(I795*J795)</f>
        <v>3593750</v>
      </c>
      <c r="L795" s="75"/>
      <c r="M795" s="75"/>
      <c r="N795" s="75"/>
      <c r="O795" s="75"/>
      <c r="P795" s="188"/>
      <c r="Q795" s="174"/>
      <c r="R795" s="413"/>
      <c r="S795" s="74"/>
      <c r="T795" s="135"/>
      <c r="U795" s="74">
        <f>S795*T795/100</f>
        <v>0</v>
      </c>
      <c r="V795" s="74">
        <f>SUM(S795-U795)</f>
        <v>0</v>
      </c>
      <c r="W795" s="74">
        <f>K795+V795</f>
        <v>3593750</v>
      </c>
      <c r="X795" s="74">
        <f>W795</f>
        <v>3593750</v>
      </c>
      <c r="Y795" s="606">
        <v>0</v>
      </c>
      <c r="Z795" s="74">
        <f>X795-Y795</f>
        <v>3593750</v>
      </c>
      <c r="AA795" s="414">
        <v>0.3</v>
      </c>
      <c r="AB795" s="1412">
        <f>+Z795*AA795/100</f>
        <v>10781.25</v>
      </c>
      <c r="AC795" s="602"/>
      <c r="AD795" s="603" t="e">
        <f>#REF!-AC795</f>
        <v>#REF!</v>
      </c>
      <c r="AE795" s="603" t="e">
        <f>IF(AD795&lt;=0,0,AD795*25/100)</f>
        <v>#REF!</v>
      </c>
      <c r="AF795" s="603" t="e">
        <f>IF(AC795+AE795&gt;#REF!,#REF!,AC795+AE795)</f>
        <v>#REF!</v>
      </c>
    </row>
    <row r="796" spans="1:32" s="457" customFormat="1" ht="18" customHeight="1" x14ac:dyDescent="0.2">
      <c r="A796" s="75">
        <v>3</v>
      </c>
      <c r="B796" s="85">
        <v>18020</v>
      </c>
      <c r="C796" s="88">
        <v>314</v>
      </c>
      <c r="D796" s="88" t="s">
        <v>215</v>
      </c>
      <c r="E796" s="88">
        <v>1</v>
      </c>
      <c r="F796" s="88">
        <v>7</v>
      </c>
      <c r="G796" s="88">
        <v>0</v>
      </c>
      <c r="H796" s="495">
        <v>49</v>
      </c>
      <c r="I796" s="74">
        <f>F796*400+G796*100+H796</f>
        <v>2849</v>
      </c>
      <c r="J796" s="121">
        <v>1250</v>
      </c>
      <c r="K796" s="159">
        <f>SUM(I796*J796)</f>
        <v>3561250</v>
      </c>
      <c r="L796" s="75"/>
      <c r="M796" s="75"/>
      <c r="N796" s="75"/>
      <c r="O796" s="75"/>
      <c r="P796" s="188"/>
      <c r="Q796" s="174"/>
      <c r="R796" s="413"/>
      <c r="S796" s="74"/>
      <c r="T796" s="135"/>
      <c r="U796" s="74">
        <f>S796*T796/100</f>
        <v>0</v>
      </c>
      <c r="V796" s="74">
        <f>SUM(S796-U796)</f>
        <v>0</v>
      </c>
      <c r="W796" s="74">
        <f>K796+V796</f>
        <v>3561250</v>
      </c>
      <c r="X796" s="74">
        <f>W796</f>
        <v>3561250</v>
      </c>
      <c r="Y796" s="606" t="s">
        <v>87</v>
      </c>
      <c r="Z796" s="74">
        <v>0</v>
      </c>
      <c r="AA796" s="414">
        <v>0.01</v>
      </c>
      <c r="AB796" s="1412">
        <f>+Z796*AA796/100</f>
        <v>0</v>
      </c>
      <c r="AC796" s="350"/>
      <c r="AD796" s="719"/>
      <c r="AE796" s="719"/>
      <c r="AF796" s="719"/>
    </row>
    <row r="797" spans="1:32" s="457" customFormat="1" ht="18" customHeight="1" x14ac:dyDescent="0.2">
      <c r="A797" s="145"/>
      <c r="B797" s="177"/>
      <c r="C797" s="177"/>
      <c r="D797" s="145"/>
      <c r="E797" s="145"/>
      <c r="F797" s="145"/>
      <c r="G797" s="145"/>
      <c r="H797" s="147"/>
      <c r="I797" s="107"/>
      <c r="J797" s="178"/>
      <c r="K797" s="107"/>
      <c r="L797" s="145"/>
      <c r="M797" s="145"/>
      <c r="N797" s="145"/>
      <c r="O797" s="145"/>
      <c r="P797" s="147"/>
      <c r="Q797" s="148"/>
      <c r="R797" s="437"/>
      <c r="S797" s="107"/>
      <c r="T797" s="179"/>
      <c r="U797" s="178"/>
      <c r="V797" s="107"/>
      <c r="W797" s="107"/>
      <c r="X797" s="470"/>
      <c r="Y797" s="470"/>
      <c r="Z797" s="471"/>
      <c r="AA797" s="471"/>
      <c r="AB797" s="466"/>
      <c r="AC797" s="350"/>
      <c r="AD797" s="350"/>
      <c r="AE797" s="350"/>
      <c r="AF797" s="350"/>
    </row>
    <row r="798" spans="1:32" s="457" customFormat="1" ht="18" customHeight="1" x14ac:dyDescent="0.2">
      <c r="A798" s="145"/>
      <c r="B798" s="177"/>
      <c r="C798" s="177"/>
      <c r="D798" s="145"/>
      <c r="E798" s="145"/>
      <c r="F798" s="145"/>
      <c r="G798" s="145"/>
      <c r="H798" s="147"/>
      <c r="I798" s="107"/>
      <c r="J798" s="178"/>
      <c r="K798" s="107"/>
      <c r="L798" s="145"/>
      <c r="M798" s="145"/>
      <c r="N798" s="145"/>
      <c r="O798" s="145"/>
      <c r="P798" s="147"/>
      <c r="Q798" s="148"/>
      <c r="R798" s="437"/>
      <c r="S798" s="107"/>
      <c r="T798" s="179"/>
      <c r="U798" s="178"/>
      <c r="V798" s="107"/>
      <c r="W798" s="107"/>
      <c r="X798" s="470"/>
      <c r="Y798" s="470"/>
      <c r="Z798" s="471"/>
      <c r="AA798" s="471"/>
      <c r="AB798" s="466"/>
      <c r="AC798" s="350"/>
      <c r="AD798" s="350"/>
      <c r="AE798" s="350"/>
      <c r="AF798" s="350"/>
    </row>
    <row r="799" spans="1:32" s="457" customFormat="1" ht="18" customHeight="1" x14ac:dyDescent="0.2">
      <c r="A799" s="145"/>
      <c r="B799" s="177"/>
      <c r="C799" s="177"/>
      <c r="D799" s="145"/>
      <c r="E799" s="145"/>
      <c r="F799" s="145"/>
      <c r="G799" s="145"/>
      <c r="H799" s="147"/>
      <c r="I799" s="107"/>
      <c r="J799" s="178"/>
      <c r="K799" s="107"/>
      <c r="L799" s="145"/>
      <c r="M799" s="145"/>
      <c r="N799" s="145"/>
      <c r="O799" s="145"/>
      <c r="P799" s="147"/>
      <c r="Q799" s="148"/>
      <c r="R799" s="437"/>
      <c r="S799" s="107"/>
      <c r="T799" s="179"/>
      <c r="U799" s="178"/>
      <c r="V799" s="107"/>
      <c r="W799" s="107"/>
      <c r="X799" s="470"/>
      <c r="Y799" s="470"/>
      <c r="Z799" s="471"/>
      <c r="AA799" s="471"/>
      <c r="AB799" s="466"/>
      <c r="AC799" s="350"/>
      <c r="AD799" s="350"/>
      <c r="AE799" s="350"/>
      <c r="AF799" s="350"/>
    </row>
    <row r="800" spans="1:32" s="457" customFormat="1" ht="18" customHeight="1" x14ac:dyDescent="0.2">
      <c r="A800" s="145"/>
      <c r="B800" s="177"/>
      <c r="C800" s="177"/>
      <c r="D800" s="145"/>
      <c r="E800" s="145"/>
      <c r="F800" s="145"/>
      <c r="G800" s="145"/>
      <c r="H800" s="147"/>
      <c r="I800" s="107"/>
      <c r="J800" s="178"/>
      <c r="K800" s="107"/>
      <c r="L800" s="145"/>
      <c r="M800" s="145"/>
      <c r="N800" s="145"/>
      <c r="O800" s="145"/>
      <c r="P800" s="147"/>
      <c r="Q800" s="148"/>
      <c r="R800" s="437"/>
      <c r="S800" s="107"/>
      <c r="T800" s="179"/>
      <c r="U800" s="178"/>
      <c r="V800" s="107"/>
      <c r="W800" s="107"/>
      <c r="X800" s="470"/>
      <c r="Y800" s="470"/>
      <c r="Z800" s="471"/>
      <c r="AA800" s="471"/>
      <c r="AB800" s="466"/>
      <c r="AC800" s="350"/>
      <c r="AD800" s="350"/>
      <c r="AE800" s="350"/>
      <c r="AF800" s="350"/>
    </row>
    <row r="801" spans="1:32" s="457" customFormat="1" ht="18" customHeight="1" x14ac:dyDescent="0.2">
      <c r="A801" s="145"/>
      <c r="B801" s="177"/>
      <c r="C801" s="177"/>
      <c r="D801" s="145"/>
      <c r="E801" s="145"/>
      <c r="F801" s="145"/>
      <c r="G801" s="145"/>
      <c r="H801" s="147"/>
      <c r="I801" s="107"/>
      <c r="J801" s="178"/>
      <c r="K801" s="107"/>
      <c r="L801" s="145"/>
      <c r="M801" s="145"/>
      <c r="N801" s="145"/>
      <c r="O801" s="145"/>
      <c r="P801" s="147"/>
      <c r="Q801" s="148"/>
      <c r="R801" s="437"/>
      <c r="S801" s="107"/>
      <c r="T801" s="179"/>
      <c r="U801" s="178"/>
      <c r="V801" s="107"/>
      <c r="W801" s="107"/>
      <c r="X801" s="470"/>
      <c r="Y801" s="470"/>
      <c r="Z801" s="471"/>
      <c r="AA801" s="471"/>
      <c r="AB801" s="466"/>
      <c r="AC801" s="350"/>
      <c r="AD801" s="350"/>
      <c r="AE801" s="350"/>
      <c r="AF801" s="350"/>
    </row>
    <row r="802" spans="1:32" s="457" customFormat="1" ht="18" customHeight="1" x14ac:dyDescent="0.2">
      <c r="A802" s="145"/>
      <c r="B802" s="177"/>
      <c r="C802" s="177"/>
      <c r="D802" s="145"/>
      <c r="E802" s="145"/>
      <c r="F802" s="145"/>
      <c r="G802" s="145"/>
      <c r="H802" s="147"/>
      <c r="I802" s="107"/>
      <c r="J802" s="178"/>
      <c r="K802" s="107"/>
      <c r="L802" s="145"/>
      <c r="M802" s="145"/>
      <c r="N802" s="145"/>
      <c r="O802" s="145"/>
      <c r="P802" s="147"/>
      <c r="Q802" s="148"/>
      <c r="R802" s="437"/>
      <c r="S802" s="107"/>
      <c r="T802" s="179"/>
      <c r="U802" s="178"/>
      <c r="V802" s="107"/>
      <c r="W802" s="107"/>
      <c r="X802" s="470"/>
      <c r="Y802" s="470"/>
      <c r="Z802" s="471"/>
      <c r="AA802" s="471"/>
      <c r="AB802" s="466"/>
      <c r="AC802" s="350"/>
      <c r="AD802" s="350"/>
      <c r="AE802" s="350"/>
      <c r="AF802" s="350"/>
    </row>
    <row r="803" spans="1:32" s="457" customFormat="1" ht="18" customHeight="1" x14ac:dyDescent="0.2">
      <c r="A803" s="145"/>
      <c r="B803" s="177"/>
      <c r="C803" s="177"/>
      <c r="D803" s="145"/>
      <c r="E803" s="145"/>
      <c r="F803" s="145"/>
      <c r="G803" s="145"/>
      <c r="H803" s="147"/>
      <c r="I803" s="107"/>
      <c r="J803" s="178"/>
      <c r="K803" s="107"/>
      <c r="L803" s="145"/>
      <c r="M803" s="145"/>
      <c r="N803" s="145"/>
      <c r="O803" s="145"/>
      <c r="P803" s="147"/>
      <c r="Q803" s="148"/>
      <c r="R803" s="437"/>
      <c r="S803" s="107"/>
      <c r="T803" s="179"/>
      <c r="U803" s="178"/>
      <c r="V803" s="107"/>
      <c r="W803" s="107"/>
      <c r="X803" s="470"/>
      <c r="Y803" s="470"/>
      <c r="Z803" s="471"/>
      <c r="AA803" s="471"/>
      <c r="AB803" s="466"/>
      <c r="AC803" s="350"/>
      <c r="AD803" s="350"/>
      <c r="AE803" s="350"/>
      <c r="AF803" s="350"/>
    </row>
    <row r="804" spans="1:32" s="457" customFormat="1" ht="18" customHeight="1" x14ac:dyDescent="0.2">
      <c r="A804" s="145"/>
      <c r="B804" s="177"/>
      <c r="C804" s="177"/>
      <c r="D804" s="145"/>
      <c r="E804" s="145"/>
      <c r="F804" s="145"/>
      <c r="G804" s="145"/>
      <c r="H804" s="147"/>
      <c r="I804" s="107"/>
      <c r="J804" s="178"/>
      <c r="K804" s="107"/>
      <c r="L804" s="145"/>
      <c r="M804" s="145"/>
      <c r="N804" s="145"/>
      <c r="O804" s="145"/>
      <c r="P804" s="147"/>
      <c r="Q804" s="148"/>
      <c r="R804" s="437"/>
      <c r="S804" s="107"/>
      <c r="T804" s="179"/>
      <c r="U804" s="178"/>
      <c r="V804" s="107"/>
      <c r="W804" s="107"/>
      <c r="X804" s="470"/>
      <c r="Y804" s="470"/>
      <c r="Z804" s="471"/>
      <c r="AA804" s="471"/>
      <c r="AB804" s="466"/>
      <c r="AC804" s="350"/>
      <c r="AD804" s="350"/>
      <c r="AE804" s="350"/>
      <c r="AF804" s="350"/>
    </row>
    <row r="805" spans="1:32" s="457" customFormat="1" ht="18" customHeight="1" x14ac:dyDescent="0.2">
      <c r="A805" s="145"/>
      <c r="B805" s="177"/>
      <c r="C805" s="177"/>
      <c r="D805" s="145"/>
      <c r="E805" s="145"/>
      <c r="F805" s="145"/>
      <c r="G805" s="145"/>
      <c r="H805" s="147"/>
      <c r="I805" s="107"/>
      <c r="J805" s="178"/>
      <c r="K805" s="107"/>
      <c r="L805" s="145"/>
      <c r="M805" s="145"/>
      <c r="N805" s="145"/>
      <c r="O805" s="145"/>
      <c r="P805" s="147"/>
      <c r="Q805" s="148"/>
      <c r="R805" s="437"/>
      <c r="S805" s="107"/>
      <c r="T805" s="179"/>
      <c r="U805" s="178"/>
      <c r="V805" s="107"/>
      <c r="W805" s="107"/>
      <c r="X805" s="470"/>
      <c r="Y805" s="470"/>
      <c r="Z805" s="471"/>
      <c r="AA805" s="471"/>
      <c r="AB805" s="466"/>
      <c r="AC805" s="350"/>
      <c r="AD805" s="350"/>
      <c r="AE805" s="350"/>
      <c r="AF805" s="350"/>
    </row>
    <row r="806" spans="1:32" s="457" customFormat="1" ht="18" customHeight="1" x14ac:dyDescent="0.2">
      <c r="A806" s="145"/>
      <c r="B806" s="177"/>
      <c r="C806" s="177"/>
      <c r="D806" s="145"/>
      <c r="E806" s="145"/>
      <c r="F806" s="145"/>
      <c r="G806" s="145"/>
      <c r="H806" s="147"/>
      <c r="I806" s="107"/>
      <c r="J806" s="178"/>
      <c r="K806" s="107"/>
      <c r="L806" s="145"/>
      <c r="M806" s="145"/>
      <c r="N806" s="145"/>
      <c r="O806" s="145"/>
      <c r="P806" s="147"/>
      <c r="Q806" s="148"/>
      <c r="R806" s="437"/>
      <c r="S806" s="107"/>
      <c r="T806" s="179"/>
      <c r="U806" s="178"/>
      <c r="V806" s="107"/>
      <c r="W806" s="107"/>
      <c r="X806" s="470"/>
      <c r="Y806" s="470"/>
      <c r="Z806" s="471"/>
      <c r="AA806" s="471"/>
      <c r="AB806" s="466"/>
      <c r="AC806" s="350"/>
      <c r="AD806" s="350"/>
      <c r="AE806" s="350"/>
      <c r="AF806" s="350"/>
    </row>
    <row r="807" spans="1:32" s="457" customFormat="1" ht="18" customHeight="1" x14ac:dyDescent="0.2">
      <c r="A807" s="145"/>
      <c r="B807" s="177"/>
      <c r="C807" s="177"/>
      <c r="D807" s="145"/>
      <c r="E807" s="145"/>
      <c r="F807" s="145"/>
      <c r="G807" s="145"/>
      <c r="H807" s="147"/>
      <c r="I807" s="107"/>
      <c r="J807" s="178"/>
      <c r="K807" s="107"/>
      <c r="L807" s="145"/>
      <c r="M807" s="145"/>
      <c r="N807" s="145"/>
      <c r="O807" s="145"/>
      <c r="P807" s="147"/>
      <c r="Q807" s="148"/>
      <c r="R807" s="437"/>
      <c r="S807" s="107"/>
      <c r="T807" s="179"/>
      <c r="U807" s="178"/>
      <c r="V807" s="107"/>
      <c r="W807" s="107"/>
      <c r="X807" s="470"/>
      <c r="Y807" s="470"/>
      <c r="Z807" s="471"/>
      <c r="AA807" s="471"/>
      <c r="AB807" s="466"/>
      <c r="AC807" s="350"/>
      <c r="AD807" s="350"/>
      <c r="AE807" s="350"/>
      <c r="AF807" s="350"/>
    </row>
    <row r="808" spans="1:32" s="457" customFormat="1" ht="18" customHeight="1" x14ac:dyDescent="0.2">
      <c r="A808" s="88"/>
      <c r="B808" s="180"/>
      <c r="C808" s="180"/>
      <c r="D808" s="88"/>
      <c r="E808" s="88"/>
      <c r="F808" s="88"/>
      <c r="G808" s="88"/>
      <c r="H808" s="120"/>
      <c r="I808" s="121"/>
      <c r="J808" s="181"/>
      <c r="K808" s="121"/>
      <c r="L808" s="88"/>
      <c r="M808" s="88"/>
      <c r="N808" s="88"/>
      <c r="O808" s="88"/>
      <c r="P808" s="88"/>
      <c r="Q808" s="129"/>
      <c r="R808" s="445"/>
      <c r="S808" s="121"/>
      <c r="T808" s="182"/>
      <c r="U808" s="181"/>
      <c r="V808" s="121"/>
      <c r="W808" s="121"/>
      <c r="X808" s="472"/>
      <c r="Y808" s="472"/>
      <c r="Z808" s="473"/>
      <c r="AA808" s="473"/>
      <c r="AB808" s="410"/>
      <c r="AC808" s="351"/>
      <c r="AD808" s="351"/>
      <c r="AE808" s="351"/>
      <c r="AF808" s="351"/>
    </row>
    <row r="809" spans="1:32" s="597" customFormat="1" ht="18" customHeight="1" x14ac:dyDescent="0.2">
      <c r="A809" s="1850"/>
      <c r="B809" s="1850"/>
      <c r="C809" s="1850"/>
      <c r="D809" s="1850"/>
      <c r="E809" s="1850"/>
      <c r="F809" s="1850"/>
      <c r="G809" s="1850"/>
      <c r="H809" s="1851"/>
      <c r="I809" s="1852"/>
      <c r="J809" s="1853"/>
      <c r="K809" s="1852"/>
      <c r="L809" s="1852"/>
      <c r="M809" s="1852"/>
      <c r="N809" s="1852"/>
      <c r="O809" s="1852"/>
      <c r="P809" s="1852"/>
      <c r="Q809" s="1852"/>
      <c r="R809" s="1854"/>
      <c r="S809" s="1852"/>
      <c r="T809" s="1855"/>
      <c r="U809" s="1853"/>
      <c r="V809" s="1852"/>
      <c r="W809" s="1852"/>
      <c r="X809" s="1856"/>
      <c r="Y809" s="1856"/>
      <c r="Z809" s="1857"/>
      <c r="AA809" s="1857"/>
      <c r="AB809" s="1847">
        <f>SUM(AB794:AB808)</f>
        <v>11187.33</v>
      </c>
      <c r="AC809" s="1861"/>
      <c r="AD809" s="1861"/>
      <c r="AE809" s="1861"/>
      <c r="AF809" s="1861"/>
    </row>
    <row r="810" spans="1:32" s="457" customFormat="1" ht="18" customHeight="1" x14ac:dyDescent="0.2">
      <c r="A810" s="2737" t="s">
        <v>76</v>
      </c>
      <c r="B810" s="2737"/>
      <c r="C810" s="2738" t="s">
        <v>77</v>
      </c>
      <c r="D810" s="2738"/>
      <c r="E810" s="2738"/>
      <c r="F810" s="2738"/>
      <c r="G810" s="2738"/>
      <c r="H810" s="2738"/>
      <c r="I810" s="457" t="s">
        <v>78</v>
      </c>
      <c r="AB810" s="478"/>
    </row>
    <row r="811" spans="1:32" s="457" customFormat="1" ht="18" customHeight="1" x14ac:dyDescent="0.2">
      <c r="B811" s="479"/>
      <c r="I811" s="457" t="s">
        <v>79</v>
      </c>
      <c r="AB811" s="478"/>
    </row>
    <row r="812" spans="1:32" s="457" customFormat="1" ht="18" customHeight="1" x14ac:dyDescent="0.2">
      <c r="B812" s="479"/>
      <c r="I812" s="457" t="s">
        <v>80</v>
      </c>
      <c r="AB812" s="478"/>
    </row>
    <row r="813" spans="1:32" s="457" customFormat="1" ht="18" customHeight="1" x14ac:dyDescent="0.2">
      <c r="B813" s="479"/>
      <c r="I813" s="457" t="s">
        <v>81</v>
      </c>
      <c r="AB813" s="478"/>
    </row>
    <row r="814" spans="1:32" s="457" customFormat="1" ht="18" customHeight="1" x14ac:dyDescent="0.2">
      <c r="B814" s="479"/>
      <c r="I814" s="457" t="s">
        <v>88</v>
      </c>
      <c r="AB814" s="478"/>
    </row>
    <row r="815" spans="1:32" s="457" customFormat="1" ht="18" customHeight="1" x14ac:dyDescent="0.2">
      <c r="A815" s="455"/>
      <c r="B815" s="455"/>
      <c r="C815" s="455"/>
      <c r="D815" s="455"/>
      <c r="E815" s="455"/>
      <c r="F815" s="455"/>
      <c r="G815" s="455"/>
      <c r="H815" s="455"/>
      <c r="I815" s="455"/>
      <c r="J815" s="455"/>
      <c r="K815" s="455"/>
      <c r="L815" s="455"/>
      <c r="M815" s="455"/>
      <c r="N815" s="455"/>
      <c r="O815" s="455"/>
      <c r="P815" s="455"/>
      <c r="Q815" s="455"/>
      <c r="R815" s="455"/>
      <c r="S815" s="455"/>
      <c r="T815" s="455"/>
      <c r="U815" s="455"/>
      <c r="V815" s="455"/>
      <c r="W815" s="455"/>
      <c r="X815" s="455"/>
      <c r="Y815" s="455"/>
      <c r="Z815" s="455"/>
      <c r="AA815" s="2705" t="s">
        <v>0</v>
      </c>
      <c r="AB815" s="2705"/>
    </row>
    <row r="816" spans="1:32" s="457" customFormat="1" ht="18" customHeight="1" x14ac:dyDescent="0.2">
      <c r="A816" s="2706" t="s">
        <v>1</v>
      </c>
      <c r="B816" s="2706"/>
      <c r="C816" s="2706"/>
      <c r="D816" s="2706"/>
      <c r="E816" s="2706"/>
      <c r="F816" s="2706"/>
      <c r="G816" s="2706"/>
      <c r="H816" s="2706"/>
      <c r="I816" s="2706"/>
      <c r="J816" s="2706"/>
      <c r="K816" s="2706"/>
      <c r="L816" s="2706"/>
      <c r="M816" s="2706"/>
      <c r="N816" s="2706"/>
      <c r="O816" s="2706"/>
      <c r="P816" s="2706"/>
      <c r="Q816" s="2706"/>
      <c r="R816" s="2706"/>
      <c r="S816" s="2706"/>
      <c r="T816" s="2706"/>
      <c r="U816" s="2706"/>
      <c r="V816" s="2706"/>
      <c r="W816" s="2706"/>
      <c r="X816" s="2706"/>
      <c r="Y816" s="2706"/>
      <c r="Z816" s="2706"/>
      <c r="AA816" s="2706"/>
      <c r="AB816" s="2706"/>
    </row>
    <row r="817" spans="1:28" s="457" customFormat="1" ht="18" customHeight="1" x14ac:dyDescent="0.2">
      <c r="A817" s="2704" t="s">
        <v>511</v>
      </c>
      <c r="B817" s="2704"/>
      <c r="C817" s="2704"/>
      <c r="D817" s="2704"/>
      <c r="E817" s="2704"/>
      <c r="F817" s="2704"/>
      <c r="G817" s="2704"/>
      <c r="H817" s="2704"/>
      <c r="I817" s="2704"/>
      <c r="J817" s="2704"/>
      <c r="K817" s="2704"/>
      <c r="L817" s="2704"/>
      <c r="M817" s="2704"/>
      <c r="N817" s="2704"/>
      <c r="O817" s="2704"/>
      <c r="P817" s="2704"/>
      <c r="Q817" s="2704"/>
      <c r="R817" s="2704"/>
      <c r="S817" s="2704"/>
      <c r="T817" s="2704"/>
      <c r="U817" s="2704"/>
      <c r="V817" s="2704"/>
      <c r="W817" s="2704"/>
      <c r="X817" s="2704"/>
      <c r="Y817" s="2704"/>
      <c r="Z817" s="2704"/>
      <c r="AA817" s="2704"/>
      <c r="AB817" s="2704"/>
    </row>
    <row r="818" spans="1:28" s="457" customFormat="1" ht="18" customHeight="1" x14ac:dyDescent="0.2">
      <c r="A818" s="2686" t="s">
        <v>2</v>
      </c>
      <c r="B818" s="360"/>
      <c r="C818" s="2686" t="s">
        <v>3</v>
      </c>
      <c r="D818" s="360"/>
      <c r="E818" s="360"/>
      <c r="F818" s="2693" t="s">
        <v>4</v>
      </c>
      <c r="G818" s="2693"/>
      <c r="H818" s="2693"/>
      <c r="I818" s="2694"/>
      <c r="J818" s="2694"/>
      <c r="K818" s="2695"/>
      <c r="L818" s="361"/>
      <c r="M818" s="2679" t="s">
        <v>5</v>
      </c>
      <c r="N818" s="2679"/>
      <c r="O818" s="2679"/>
      <c r="P818" s="2679"/>
      <c r="Q818" s="2696"/>
      <c r="R818" s="2696"/>
      <c r="S818" s="2696"/>
      <c r="T818" s="2696"/>
      <c r="U818" s="2696"/>
      <c r="V818" s="2697"/>
      <c r="W818" s="362" t="s">
        <v>6</v>
      </c>
      <c r="X818" s="363" t="s">
        <v>7</v>
      </c>
      <c r="Y818" s="364"/>
      <c r="Z818" s="364"/>
      <c r="AA818" s="363"/>
      <c r="AB818" s="458"/>
    </row>
    <row r="819" spans="1:28" s="457" customFormat="1" ht="18" customHeight="1" x14ac:dyDescent="0.2">
      <c r="A819" s="2687"/>
      <c r="B819" s="367"/>
      <c r="C819" s="2687"/>
      <c r="D819" s="366" t="s">
        <v>9</v>
      </c>
      <c r="E819" s="366" t="s">
        <v>10</v>
      </c>
      <c r="F819" s="2698" t="s">
        <v>11</v>
      </c>
      <c r="G819" s="2694"/>
      <c r="H819" s="2695"/>
      <c r="I819" s="360"/>
      <c r="J819" s="449" t="s">
        <v>12</v>
      </c>
      <c r="K819" s="360"/>
      <c r="L819" s="2679" t="s">
        <v>2</v>
      </c>
      <c r="M819" s="370"/>
      <c r="N819" s="370"/>
      <c r="O819" s="370"/>
      <c r="P819" s="371"/>
      <c r="Q819" s="459" t="s">
        <v>13</v>
      </c>
      <c r="R819" s="370" t="s">
        <v>12</v>
      </c>
      <c r="S819" s="370" t="s">
        <v>6</v>
      </c>
      <c r="T819" s="2682" t="s">
        <v>14</v>
      </c>
      <c r="U819" s="2683"/>
      <c r="V819" s="375" t="s">
        <v>7</v>
      </c>
      <c r="W819" s="376" t="s">
        <v>15</v>
      </c>
      <c r="X819" s="377" t="s">
        <v>16</v>
      </c>
      <c r="Y819" s="377" t="s">
        <v>17</v>
      </c>
      <c r="Z819" s="377" t="s">
        <v>18</v>
      </c>
      <c r="AA819" s="377"/>
      <c r="AB819" s="460" t="s">
        <v>19</v>
      </c>
    </row>
    <row r="820" spans="1:28" s="457" customFormat="1" ht="18" customHeight="1" x14ac:dyDescent="0.2">
      <c r="A820" s="2687"/>
      <c r="B820" s="366" t="s">
        <v>23</v>
      </c>
      <c r="C820" s="2687"/>
      <c r="D820" s="366" t="s">
        <v>24</v>
      </c>
      <c r="E820" s="366" t="s">
        <v>25</v>
      </c>
      <c r="F820" s="2699"/>
      <c r="G820" s="2700"/>
      <c r="H820" s="2701"/>
      <c r="I820" s="366" t="s">
        <v>26</v>
      </c>
      <c r="J820" s="380" t="s">
        <v>15</v>
      </c>
      <c r="K820" s="380" t="s">
        <v>6</v>
      </c>
      <c r="L820" s="2680"/>
      <c r="M820" s="381" t="s">
        <v>27</v>
      </c>
      <c r="N820" s="381" t="s">
        <v>10</v>
      </c>
      <c r="O820" s="381" t="s">
        <v>10</v>
      </c>
      <c r="P820" s="385" t="s">
        <v>28</v>
      </c>
      <c r="Q820" s="461" t="s">
        <v>29</v>
      </c>
      <c r="R820" s="385" t="s">
        <v>15</v>
      </c>
      <c r="S820" s="385" t="s">
        <v>15</v>
      </c>
      <c r="T820" s="2684"/>
      <c r="U820" s="2685"/>
      <c r="V820" s="375" t="s">
        <v>30</v>
      </c>
      <c r="W820" s="376" t="s">
        <v>31</v>
      </c>
      <c r="X820" s="377" t="s">
        <v>30</v>
      </c>
      <c r="Y820" s="377" t="s">
        <v>32</v>
      </c>
      <c r="Z820" s="377" t="s">
        <v>7</v>
      </c>
      <c r="AA820" s="377" t="s">
        <v>33</v>
      </c>
      <c r="AB820" s="460" t="s">
        <v>34</v>
      </c>
    </row>
    <row r="821" spans="1:28" s="457" customFormat="1" ht="18" customHeight="1" x14ac:dyDescent="0.2">
      <c r="A821" s="2687"/>
      <c r="B821" s="366" t="s">
        <v>39</v>
      </c>
      <c r="C821" s="2687"/>
      <c r="D821" s="366" t="s">
        <v>40</v>
      </c>
      <c r="E821" s="366" t="s">
        <v>41</v>
      </c>
      <c r="F821" s="2686" t="s">
        <v>42</v>
      </c>
      <c r="G821" s="2686" t="s">
        <v>43</v>
      </c>
      <c r="H821" s="2688" t="s">
        <v>44</v>
      </c>
      <c r="I821" s="366" t="s">
        <v>45</v>
      </c>
      <c r="J821" s="380" t="s">
        <v>46</v>
      </c>
      <c r="K821" s="380" t="s">
        <v>47</v>
      </c>
      <c r="L821" s="2680"/>
      <c r="M821" s="381" t="s">
        <v>30</v>
      </c>
      <c r="N821" s="381" t="s">
        <v>30</v>
      </c>
      <c r="O821" s="381" t="s">
        <v>25</v>
      </c>
      <c r="P821" s="385" t="s">
        <v>30</v>
      </c>
      <c r="Q821" s="461" t="s">
        <v>48</v>
      </c>
      <c r="R821" s="385" t="s">
        <v>49</v>
      </c>
      <c r="S821" s="385" t="s">
        <v>30</v>
      </c>
      <c r="T821" s="374" t="s">
        <v>50</v>
      </c>
      <c r="U821" s="374" t="s">
        <v>13</v>
      </c>
      <c r="V821" s="375" t="s">
        <v>51</v>
      </c>
      <c r="W821" s="376" t="s">
        <v>52</v>
      </c>
      <c r="X821" s="377" t="s">
        <v>53</v>
      </c>
      <c r="Y821" s="377" t="s">
        <v>54</v>
      </c>
      <c r="Z821" s="377" t="s">
        <v>55</v>
      </c>
      <c r="AA821" s="377" t="s">
        <v>56</v>
      </c>
      <c r="AB821" s="460" t="s">
        <v>57</v>
      </c>
    </row>
    <row r="822" spans="1:28" s="457" customFormat="1" ht="18" customHeight="1" x14ac:dyDescent="0.2">
      <c r="A822" s="2687"/>
      <c r="B822" s="366" t="s">
        <v>61</v>
      </c>
      <c r="C822" s="2687"/>
      <c r="D822" s="366" t="s">
        <v>62</v>
      </c>
      <c r="E822" s="366" t="s">
        <v>63</v>
      </c>
      <c r="F822" s="2687"/>
      <c r="G822" s="2687"/>
      <c r="H822" s="2689"/>
      <c r="I822" s="366" t="s">
        <v>64</v>
      </c>
      <c r="J822" s="380" t="s">
        <v>59</v>
      </c>
      <c r="K822" s="380" t="s">
        <v>59</v>
      </c>
      <c r="L822" s="2680"/>
      <c r="M822" s="381"/>
      <c r="N822" s="381"/>
      <c r="O822" s="381" t="s">
        <v>41</v>
      </c>
      <c r="P822" s="385" t="s">
        <v>65</v>
      </c>
      <c r="Q822" s="461" t="s">
        <v>66</v>
      </c>
      <c r="R822" s="385" t="s">
        <v>67</v>
      </c>
      <c r="S822" s="385" t="s">
        <v>59</v>
      </c>
      <c r="T822" s="375" t="s">
        <v>68</v>
      </c>
      <c r="U822" s="375" t="s">
        <v>14</v>
      </c>
      <c r="V822" s="375" t="s">
        <v>14</v>
      </c>
      <c r="W822" s="376" t="s">
        <v>30</v>
      </c>
      <c r="X822" s="388" t="s">
        <v>69</v>
      </c>
      <c r="Y822" s="388" t="s">
        <v>70</v>
      </c>
      <c r="Z822" s="377" t="s">
        <v>71</v>
      </c>
      <c r="AA822" s="377" t="s">
        <v>72</v>
      </c>
      <c r="AB822" s="460" t="s">
        <v>59</v>
      </c>
    </row>
    <row r="823" spans="1:28" s="457" customFormat="1" ht="18" customHeight="1" x14ac:dyDescent="0.2">
      <c r="A823" s="2692"/>
      <c r="B823" s="390"/>
      <c r="C823" s="2692"/>
      <c r="D823" s="390"/>
      <c r="E823" s="389"/>
      <c r="F823" s="390"/>
      <c r="G823" s="390"/>
      <c r="H823" s="391"/>
      <c r="I823" s="389"/>
      <c r="J823" s="393"/>
      <c r="K823" s="393"/>
      <c r="L823" s="2681"/>
      <c r="M823" s="394"/>
      <c r="N823" s="394"/>
      <c r="O823" s="394" t="s">
        <v>63</v>
      </c>
      <c r="P823" s="394"/>
      <c r="Q823" s="450" t="s">
        <v>72</v>
      </c>
      <c r="R823" s="398" t="s">
        <v>59</v>
      </c>
      <c r="S823" s="398"/>
      <c r="T823" s="398" t="s">
        <v>73</v>
      </c>
      <c r="U823" s="398" t="s">
        <v>59</v>
      </c>
      <c r="V823" s="399" t="s">
        <v>59</v>
      </c>
      <c r="W823" s="400" t="s">
        <v>59</v>
      </c>
      <c r="X823" s="401" t="s">
        <v>59</v>
      </c>
      <c r="Y823" s="401" t="s">
        <v>59</v>
      </c>
      <c r="Z823" s="401" t="s">
        <v>59</v>
      </c>
      <c r="AA823" s="402"/>
      <c r="AB823" s="462"/>
    </row>
    <row r="824" spans="1:28" s="457" customFormat="1" ht="18" customHeight="1" x14ac:dyDescent="0.2">
      <c r="A824" s="53">
        <v>1</v>
      </c>
      <c r="B824" s="95">
        <v>1950</v>
      </c>
      <c r="C824" s="82">
        <v>104</v>
      </c>
      <c r="D824" s="82" t="s">
        <v>215</v>
      </c>
      <c r="E824" s="145">
        <v>2</v>
      </c>
      <c r="F824" s="82">
        <v>0</v>
      </c>
      <c r="G824" s="82">
        <v>2</v>
      </c>
      <c r="H824" s="463">
        <v>53</v>
      </c>
      <c r="I824" s="77">
        <f>F824*400+G824*100+H824</f>
        <v>253</v>
      </c>
      <c r="J824" s="107">
        <v>1750</v>
      </c>
      <c r="K824" s="78">
        <f>SUM(I824*J824)</f>
        <v>442750</v>
      </c>
      <c r="L824" s="75">
        <v>1</v>
      </c>
      <c r="M824" s="82">
        <v>103</v>
      </c>
      <c r="N824" s="82" t="s">
        <v>74</v>
      </c>
      <c r="O824" s="53">
        <v>2</v>
      </c>
      <c r="P824" s="358">
        <f>8*16</f>
        <v>128</v>
      </c>
      <c r="Q824" s="197" t="s">
        <v>75</v>
      </c>
      <c r="R824" s="444">
        <v>9050</v>
      </c>
      <c r="S824" s="70">
        <f>+P824*R824</f>
        <v>1158400</v>
      </c>
      <c r="T824" s="69">
        <v>11</v>
      </c>
      <c r="U824" s="71">
        <f>+S824*0.12</f>
        <v>139008</v>
      </c>
      <c r="V824" s="70">
        <f>+S824-U824</f>
        <v>1019392</v>
      </c>
      <c r="W824" s="70">
        <f>K824+V824</f>
        <v>1462142</v>
      </c>
      <c r="X824" s="123">
        <f>W824</f>
        <v>1462142</v>
      </c>
      <c r="Y824" s="82" t="s">
        <v>87</v>
      </c>
      <c r="Z824" s="123"/>
      <c r="AA824" s="409">
        <v>0.02</v>
      </c>
      <c r="AB824" s="465">
        <f>+Z824*AA824/100</f>
        <v>0</v>
      </c>
    </row>
    <row r="825" spans="1:28" s="457" customFormat="1" ht="18" customHeight="1" x14ac:dyDescent="0.2">
      <c r="A825" s="61"/>
      <c r="B825" s="241"/>
      <c r="C825" s="196"/>
      <c r="D825" s="145"/>
      <c r="E825" s="145"/>
      <c r="F825" s="467"/>
      <c r="G825" s="61"/>
      <c r="H825" s="173"/>
      <c r="I825" s="77"/>
      <c r="J825" s="107"/>
      <c r="K825" s="78"/>
      <c r="L825" s="61">
        <v>2</v>
      </c>
      <c r="M825" s="145">
        <v>103</v>
      </c>
      <c r="N825" s="145" t="s">
        <v>74</v>
      </c>
      <c r="O825" s="61">
        <v>2</v>
      </c>
      <c r="P825" s="177">
        <f>6*12</f>
        <v>72</v>
      </c>
      <c r="Q825" s="196" t="s">
        <v>75</v>
      </c>
      <c r="R825" s="408">
        <v>9050</v>
      </c>
      <c r="S825" s="77">
        <f>+P825*R825</f>
        <v>651600</v>
      </c>
      <c r="T825" s="146">
        <v>5</v>
      </c>
      <c r="U825" s="117">
        <f>+S825*0.05</f>
        <v>32580</v>
      </c>
      <c r="V825" s="77">
        <f>+S825-U825</f>
        <v>619020</v>
      </c>
      <c r="W825" s="74">
        <f>K825+V825</f>
        <v>619020</v>
      </c>
      <c r="X825" s="121">
        <f>W825</f>
        <v>619020</v>
      </c>
      <c r="Y825" s="145"/>
      <c r="Z825" s="107">
        <f>+X825</f>
        <v>619020</v>
      </c>
      <c r="AA825" s="409">
        <v>0.02</v>
      </c>
      <c r="AB825" s="466">
        <f>+Z825*AA825/100</f>
        <v>123.804</v>
      </c>
    </row>
    <row r="826" spans="1:28" s="457" customFormat="1" ht="18" customHeight="1" x14ac:dyDescent="0.2">
      <c r="A826" s="61"/>
      <c r="B826" s="242"/>
      <c r="C826" s="174"/>
      <c r="D826" s="88"/>
      <c r="E826" s="88"/>
      <c r="F826" s="418"/>
      <c r="G826" s="75"/>
      <c r="H826" s="188"/>
      <c r="I826" s="74"/>
      <c r="J826" s="121"/>
      <c r="K826" s="159"/>
      <c r="L826" s="75">
        <v>3</v>
      </c>
      <c r="M826" s="75">
        <v>513</v>
      </c>
      <c r="N826" s="75" t="s">
        <v>74</v>
      </c>
      <c r="O826" s="75">
        <v>3</v>
      </c>
      <c r="P826" s="188">
        <f>12*5</f>
        <v>60</v>
      </c>
      <c r="Q826" s="174" t="s">
        <v>75</v>
      </c>
      <c r="R826" s="440">
        <v>6250</v>
      </c>
      <c r="S826" s="159">
        <f>+P826*R826</f>
        <v>375000</v>
      </c>
      <c r="T826" s="115">
        <v>6</v>
      </c>
      <c r="U826" s="128">
        <f>+S826*0.06</f>
        <v>22500</v>
      </c>
      <c r="V826" s="74">
        <f>+S826-U826</f>
        <v>352500</v>
      </c>
      <c r="W826" s="74">
        <f>K826+V826</f>
        <v>352500</v>
      </c>
      <c r="X826" s="121">
        <f>W826</f>
        <v>352500</v>
      </c>
      <c r="Y826" s="88"/>
      <c r="Z826" s="121">
        <f>+X826</f>
        <v>352500</v>
      </c>
      <c r="AA826" s="414">
        <v>0.3</v>
      </c>
      <c r="AB826" s="410">
        <f>+Z826*AA826/100</f>
        <v>1057.5</v>
      </c>
    </row>
    <row r="827" spans="1:28" s="457" customFormat="1" ht="18" customHeight="1" x14ac:dyDescent="0.25">
      <c r="A827" s="61"/>
      <c r="B827" s="273">
        <v>1959</v>
      </c>
      <c r="C827" s="27">
        <v>123</v>
      </c>
      <c r="D827" s="27" t="s">
        <v>215</v>
      </c>
      <c r="E827" s="27">
        <v>1</v>
      </c>
      <c r="F827" s="27">
        <v>0</v>
      </c>
      <c r="G827" s="27">
        <v>0</v>
      </c>
      <c r="H827" s="557">
        <v>99</v>
      </c>
      <c r="I827" s="47">
        <f>F827*400+G827*100+H827</f>
        <v>99</v>
      </c>
      <c r="J827" s="30">
        <v>610</v>
      </c>
      <c r="K827" s="49">
        <f>SUM(I827*J827)</f>
        <v>60390</v>
      </c>
      <c r="L827" s="75"/>
      <c r="M827" s="88"/>
      <c r="N827" s="88"/>
      <c r="O827" s="75"/>
      <c r="P827" s="180"/>
      <c r="Q827" s="174"/>
      <c r="R827" s="440"/>
      <c r="S827" s="159"/>
      <c r="T827" s="88"/>
      <c r="U827" s="121"/>
      <c r="V827" s="74"/>
      <c r="W827" s="73">
        <f>+K827+V827</f>
        <v>60390</v>
      </c>
      <c r="X827" s="73">
        <f>W827</f>
        <v>60390</v>
      </c>
      <c r="Y827" s="30" t="s">
        <v>89</v>
      </c>
      <c r="Z827" s="73">
        <v>0</v>
      </c>
      <c r="AA827" s="414">
        <v>0.01</v>
      </c>
      <c r="AB827" s="410"/>
    </row>
    <row r="828" spans="1:28" s="457" customFormat="1" ht="18" customHeight="1" x14ac:dyDescent="0.2">
      <c r="A828" s="75"/>
      <c r="B828" s="75"/>
      <c r="C828" s="174"/>
      <c r="D828" s="88"/>
      <c r="E828" s="88"/>
      <c r="F828" s="418"/>
      <c r="G828" s="75"/>
      <c r="H828" s="188"/>
      <c r="I828" s="74"/>
      <c r="J828" s="121"/>
      <c r="K828" s="159"/>
      <c r="L828" s="75"/>
      <c r="M828" s="88"/>
      <c r="N828" s="88"/>
      <c r="O828" s="75"/>
      <c r="P828" s="180"/>
      <c r="Q828" s="174"/>
      <c r="R828" s="440"/>
      <c r="S828" s="159"/>
      <c r="T828" s="88"/>
      <c r="U828" s="74"/>
      <c r="V828" s="74"/>
      <c r="W828" s="74"/>
      <c r="X828" s="74"/>
      <c r="Y828" s="121"/>
      <c r="Z828" s="121"/>
      <c r="AA828" s="469"/>
      <c r="AB828" s="410"/>
    </row>
    <row r="829" spans="1:28" s="457" customFormat="1" ht="18" customHeight="1" x14ac:dyDescent="0.2">
      <c r="A829" s="145"/>
      <c r="B829" s="177"/>
      <c r="C829" s="177"/>
      <c r="D829" s="145"/>
      <c r="E829" s="145"/>
      <c r="F829" s="145"/>
      <c r="G829" s="145"/>
      <c r="H829" s="147"/>
      <c r="I829" s="107"/>
      <c r="J829" s="178"/>
      <c r="K829" s="107"/>
      <c r="L829" s="145"/>
      <c r="M829" s="145"/>
      <c r="N829" s="145"/>
      <c r="O829" s="145"/>
      <c r="P829" s="147"/>
      <c r="Q829" s="148"/>
      <c r="R829" s="437"/>
      <c r="S829" s="199"/>
      <c r="T829" s="179"/>
      <c r="U829" s="178"/>
      <c r="V829" s="107"/>
      <c r="W829" s="107"/>
      <c r="X829" s="470"/>
      <c r="Y829" s="470"/>
      <c r="Z829" s="471"/>
      <c r="AA829" s="471"/>
      <c r="AB829" s="466"/>
    </row>
    <row r="830" spans="1:28" s="457" customFormat="1" ht="18" customHeight="1" x14ac:dyDescent="0.2">
      <c r="A830" s="145"/>
      <c r="B830" s="177"/>
      <c r="C830" s="177"/>
      <c r="D830" s="145"/>
      <c r="E830" s="145"/>
      <c r="F830" s="145"/>
      <c r="G830" s="145"/>
      <c r="H830" s="147"/>
      <c r="I830" s="107"/>
      <c r="J830" s="178"/>
      <c r="K830" s="107"/>
      <c r="L830" s="145"/>
      <c r="M830" s="145"/>
      <c r="N830" s="145"/>
      <c r="O830" s="145"/>
      <c r="P830" s="147"/>
      <c r="Q830" s="148"/>
      <c r="R830" s="437"/>
      <c r="S830" s="199"/>
      <c r="T830" s="179"/>
      <c r="U830" s="178"/>
      <c r="V830" s="107"/>
      <c r="W830" s="107"/>
      <c r="X830" s="470"/>
      <c r="Y830" s="470"/>
      <c r="Z830" s="471"/>
      <c r="AA830" s="471"/>
      <c r="AB830" s="466"/>
    </row>
    <row r="831" spans="1:28" s="457" customFormat="1" ht="18" customHeight="1" x14ac:dyDescent="0.2">
      <c r="A831" s="145"/>
      <c r="B831" s="177"/>
      <c r="C831" s="177"/>
      <c r="D831" s="145"/>
      <c r="E831" s="145"/>
      <c r="F831" s="145"/>
      <c r="G831" s="145"/>
      <c r="H831" s="147"/>
      <c r="I831" s="107"/>
      <c r="J831" s="178"/>
      <c r="K831" s="107"/>
      <c r="L831" s="145"/>
      <c r="M831" s="145"/>
      <c r="N831" s="145"/>
      <c r="O831" s="145"/>
      <c r="P831" s="147"/>
      <c r="Q831" s="148"/>
      <c r="R831" s="437"/>
      <c r="S831" s="199"/>
      <c r="T831" s="179"/>
      <c r="U831" s="178"/>
      <c r="V831" s="107"/>
      <c r="W831" s="107"/>
      <c r="X831" s="470"/>
      <c r="Y831" s="470"/>
      <c r="Z831" s="471"/>
      <c r="AA831" s="471"/>
      <c r="AB831" s="466"/>
    </row>
    <row r="832" spans="1:28" s="457" customFormat="1" ht="18" customHeight="1" x14ac:dyDescent="0.2">
      <c r="A832" s="145"/>
      <c r="B832" s="177"/>
      <c r="C832" s="177"/>
      <c r="D832" s="145"/>
      <c r="E832" s="145"/>
      <c r="F832" s="145"/>
      <c r="G832" s="145"/>
      <c r="H832" s="147"/>
      <c r="I832" s="107"/>
      <c r="J832" s="178"/>
      <c r="K832" s="107"/>
      <c r="L832" s="145"/>
      <c r="M832" s="145"/>
      <c r="N832" s="145"/>
      <c r="O832" s="145"/>
      <c r="P832" s="147"/>
      <c r="Q832" s="148"/>
      <c r="R832" s="437"/>
      <c r="S832" s="199"/>
      <c r="T832" s="179"/>
      <c r="U832" s="178"/>
      <c r="V832" s="107"/>
      <c r="W832" s="107"/>
      <c r="X832" s="470"/>
      <c r="Y832" s="470"/>
      <c r="Z832" s="471"/>
      <c r="AA832" s="471"/>
      <c r="AB832" s="466"/>
    </row>
    <row r="833" spans="1:28" s="457" customFormat="1" ht="18" customHeight="1" x14ac:dyDescent="0.2">
      <c r="A833" s="145"/>
      <c r="B833" s="177"/>
      <c r="C833" s="177"/>
      <c r="D833" s="145"/>
      <c r="E833" s="145"/>
      <c r="F833" s="145"/>
      <c r="G833" s="145"/>
      <c r="H833" s="147"/>
      <c r="I833" s="107"/>
      <c r="J833" s="178"/>
      <c r="K833" s="107"/>
      <c r="L833" s="145"/>
      <c r="M833" s="145"/>
      <c r="N833" s="145"/>
      <c r="O833" s="145"/>
      <c r="P833" s="147"/>
      <c r="Q833" s="148"/>
      <c r="R833" s="437"/>
      <c r="S833" s="107"/>
      <c r="T833" s="179"/>
      <c r="U833" s="178"/>
      <c r="V833" s="107"/>
      <c r="W833" s="107"/>
      <c r="X833" s="470"/>
      <c r="Y833" s="470"/>
      <c r="Z833" s="471"/>
      <c r="AA833" s="471"/>
      <c r="AB833" s="466"/>
    </row>
    <row r="834" spans="1:28" s="457" customFormat="1" ht="18" customHeight="1" x14ac:dyDescent="0.2">
      <c r="A834" s="145"/>
      <c r="B834" s="177"/>
      <c r="C834" s="177"/>
      <c r="D834" s="145"/>
      <c r="E834" s="145"/>
      <c r="F834" s="145"/>
      <c r="G834" s="145"/>
      <c r="H834" s="147"/>
      <c r="I834" s="107"/>
      <c r="J834" s="178"/>
      <c r="K834" s="107"/>
      <c r="L834" s="145"/>
      <c r="M834" s="145"/>
      <c r="N834" s="145"/>
      <c r="O834" s="145"/>
      <c r="P834" s="147"/>
      <c r="Q834" s="148"/>
      <c r="R834" s="437"/>
      <c r="S834" s="107"/>
      <c r="T834" s="179"/>
      <c r="U834" s="178"/>
      <c r="V834" s="107"/>
      <c r="W834" s="107"/>
      <c r="X834" s="470"/>
      <c r="Y834" s="470"/>
      <c r="Z834" s="471"/>
      <c r="AA834" s="471"/>
      <c r="AB834" s="466"/>
    </row>
    <row r="835" spans="1:28" s="457" customFormat="1" ht="18" customHeight="1" x14ac:dyDescent="0.2">
      <c r="A835" s="145"/>
      <c r="B835" s="177"/>
      <c r="C835" s="177"/>
      <c r="D835" s="145"/>
      <c r="E835" s="145"/>
      <c r="F835" s="145"/>
      <c r="G835" s="145"/>
      <c r="H835" s="147"/>
      <c r="I835" s="107"/>
      <c r="J835" s="178"/>
      <c r="K835" s="107"/>
      <c r="L835" s="145"/>
      <c r="M835" s="145"/>
      <c r="N835" s="145"/>
      <c r="O835" s="145"/>
      <c r="P835" s="147"/>
      <c r="Q835" s="148"/>
      <c r="R835" s="437"/>
      <c r="S835" s="107"/>
      <c r="T835" s="179"/>
      <c r="U835" s="178"/>
      <c r="V835" s="107"/>
      <c r="W835" s="107"/>
      <c r="X835" s="470"/>
      <c r="Y835" s="470"/>
      <c r="Z835" s="471"/>
      <c r="AA835" s="471"/>
      <c r="AB835" s="466"/>
    </row>
    <row r="836" spans="1:28" s="457" customFormat="1" ht="18" customHeight="1" x14ac:dyDescent="0.2">
      <c r="A836" s="145"/>
      <c r="B836" s="177"/>
      <c r="C836" s="177"/>
      <c r="D836" s="145"/>
      <c r="E836" s="145"/>
      <c r="F836" s="145"/>
      <c r="G836" s="145"/>
      <c r="H836" s="147"/>
      <c r="I836" s="107"/>
      <c r="J836" s="178"/>
      <c r="K836" s="107"/>
      <c r="L836" s="145"/>
      <c r="M836" s="145"/>
      <c r="N836" s="145"/>
      <c r="O836" s="145"/>
      <c r="P836" s="147"/>
      <c r="Q836" s="148"/>
      <c r="R836" s="437"/>
      <c r="S836" s="107"/>
      <c r="T836" s="179"/>
      <c r="U836" s="178"/>
      <c r="V836" s="107"/>
      <c r="W836" s="107"/>
      <c r="X836" s="470"/>
      <c r="Y836" s="470"/>
      <c r="Z836" s="471"/>
      <c r="AA836" s="471"/>
      <c r="AB836" s="466"/>
    </row>
    <row r="837" spans="1:28" s="457" customFormat="1" ht="18" customHeight="1" x14ac:dyDescent="0.2">
      <c r="A837" s="145"/>
      <c r="B837" s="177"/>
      <c r="C837" s="177"/>
      <c r="D837" s="145"/>
      <c r="E837" s="145"/>
      <c r="F837" s="145"/>
      <c r="G837" s="145"/>
      <c r="H837" s="147"/>
      <c r="I837" s="107"/>
      <c r="J837" s="178"/>
      <c r="K837" s="107"/>
      <c r="L837" s="145"/>
      <c r="M837" s="145"/>
      <c r="N837" s="145"/>
      <c r="O837" s="145"/>
      <c r="P837" s="147"/>
      <c r="Q837" s="148"/>
      <c r="R837" s="437"/>
      <c r="S837" s="107"/>
      <c r="T837" s="179"/>
      <c r="U837" s="178"/>
      <c r="V837" s="107"/>
      <c r="W837" s="107"/>
      <c r="X837" s="470"/>
      <c r="Y837" s="470"/>
      <c r="Z837" s="471"/>
      <c r="AA837" s="471"/>
      <c r="AB837" s="466"/>
    </row>
    <row r="838" spans="1:28" s="457" customFormat="1" ht="18" customHeight="1" x14ac:dyDescent="0.2">
      <c r="A838" s="88"/>
      <c r="B838" s="180"/>
      <c r="C838" s="180"/>
      <c r="D838" s="88"/>
      <c r="E838" s="88"/>
      <c r="F838" s="88"/>
      <c r="G838" s="88"/>
      <c r="H838" s="120"/>
      <c r="I838" s="121"/>
      <c r="J838" s="181"/>
      <c r="K838" s="121"/>
      <c r="L838" s="88"/>
      <c r="M838" s="88"/>
      <c r="N838" s="88"/>
      <c r="O838" s="88"/>
      <c r="P838" s="88"/>
      <c r="Q838" s="129"/>
      <c r="R838" s="445"/>
      <c r="S838" s="121"/>
      <c r="T838" s="182"/>
      <c r="U838" s="181"/>
      <c r="V838" s="121"/>
      <c r="W838" s="121"/>
      <c r="X838" s="472"/>
      <c r="Y838" s="472"/>
      <c r="Z838" s="473"/>
      <c r="AA838" s="473"/>
      <c r="AB838" s="410"/>
    </row>
    <row r="839" spans="1:28" s="597" customFormat="1" ht="18" customHeight="1" x14ac:dyDescent="0.2">
      <c r="A839" s="1850"/>
      <c r="B839" s="1850"/>
      <c r="C839" s="1850"/>
      <c r="D839" s="1850"/>
      <c r="E839" s="1850"/>
      <c r="F839" s="1850"/>
      <c r="G839" s="1850"/>
      <c r="H839" s="1851"/>
      <c r="I839" s="1852"/>
      <c r="J839" s="1853"/>
      <c r="K839" s="1852"/>
      <c r="L839" s="1852"/>
      <c r="M839" s="1852"/>
      <c r="N839" s="1852"/>
      <c r="O839" s="1852"/>
      <c r="P839" s="1852"/>
      <c r="Q839" s="1852"/>
      <c r="R839" s="1854"/>
      <c r="S839" s="1852"/>
      <c r="T839" s="1855"/>
      <c r="U839" s="1853"/>
      <c r="V839" s="1852"/>
      <c r="W839" s="1852"/>
      <c r="X839" s="1856"/>
      <c r="Y839" s="1856"/>
      <c r="Z839" s="1857"/>
      <c r="AA839" s="1857"/>
      <c r="AB839" s="1847">
        <f>SUM(AB824:AB838)</f>
        <v>1181.3040000000001</v>
      </c>
    </row>
    <row r="840" spans="1:28" s="457" customFormat="1" ht="18" customHeight="1" x14ac:dyDescent="0.2">
      <c r="A840" s="2737" t="s">
        <v>76</v>
      </c>
      <c r="B840" s="2737"/>
      <c r="C840" s="2738" t="s">
        <v>77</v>
      </c>
      <c r="D840" s="2738"/>
      <c r="E840" s="2738"/>
      <c r="F840" s="2738"/>
      <c r="G840" s="2738"/>
      <c r="H840" s="2738"/>
      <c r="I840" s="457" t="s">
        <v>78</v>
      </c>
      <c r="AB840" s="478"/>
    </row>
    <row r="841" spans="1:28" s="457" customFormat="1" ht="18" customHeight="1" x14ac:dyDescent="0.2">
      <c r="B841" s="479"/>
      <c r="I841" s="457" t="s">
        <v>79</v>
      </c>
      <c r="AB841" s="478"/>
    </row>
    <row r="842" spans="1:28" s="457" customFormat="1" ht="18" customHeight="1" x14ac:dyDescent="0.2">
      <c r="B842" s="479"/>
      <c r="I842" s="457" t="s">
        <v>80</v>
      </c>
      <c r="AB842" s="478"/>
    </row>
    <row r="843" spans="1:28" s="457" customFormat="1" ht="18" customHeight="1" x14ac:dyDescent="0.2">
      <c r="B843" s="479"/>
      <c r="I843" s="457" t="s">
        <v>81</v>
      </c>
      <c r="AB843" s="478"/>
    </row>
    <row r="844" spans="1:28" s="457" customFormat="1" ht="18" customHeight="1" x14ac:dyDescent="0.2">
      <c r="B844" s="479"/>
      <c r="I844" s="457" t="s">
        <v>88</v>
      </c>
      <c r="AB844" s="478"/>
    </row>
    <row r="845" spans="1:28" s="457" customFormat="1" ht="18" customHeight="1" x14ac:dyDescent="0.2">
      <c r="A845" s="455"/>
      <c r="B845" s="455"/>
      <c r="C845" s="455"/>
      <c r="D845" s="455"/>
      <c r="E845" s="455"/>
      <c r="F845" s="455"/>
      <c r="G845" s="455"/>
      <c r="H845" s="455"/>
      <c r="I845" s="455"/>
      <c r="J845" s="455"/>
      <c r="K845" s="455"/>
      <c r="L845" s="455"/>
      <c r="M845" s="455"/>
      <c r="N845" s="455"/>
      <c r="O845" s="455"/>
      <c r="P845" s="455"/>
      <c r="Q845" s="455"/>
      <c r="R845" s="455"/>
      <c r="S845" s="455"/>
      <c r="T845" s="455"/>
      <c r="U845" s="455"/>
      <c r="V845" s="455"/>
      <c r="W845" s="455"/>
      <c r="X845" s="455"/>
      <c r="Y845" s="455"/>
      <c r="Z845" s="455"/>
      <c r="AA845" s="2705" t="s">
        <v>0</v>
      </c>
      <c r="AB845" s="2705"/>
    </row>
    <row r="846" spans="1:28" s="457" customFormat="1" ht="18" customHeight="1" x14ac:dyDescent="0.2">
      <c r="A846" s="2706" t="s">
        <v>1</v>
      </c>
      <c r="B846" s="2706"/>
      <c r="C846" s="2706"/>
      <c r="D846" s="2706"/>
      <c r="E846" s="2706"/>
      <c r="F846" s="2706"/>
      <c r="G846" s="2706"/>
      <c r="H846" s="2706"/>
      <c r="I846" s="2706"/>
      <c r="J846" s="2706"/>
      <c r="K846" s="2706"/>
      <c r="L846" s="2706"/>
      <c r="M846" s="2706"/>
      <c r="N846" s="2706"/>
      <c r="O846" s="2706"/>
      <c r="P846" s="2706"/>
      <c r="Q846" s="2706"/>
      <c r="R846" s="2706"/>
      <c r="S846" s="2706"/>
      <c r="T846" s="2706"/>
      <c r="U846" s="2706"/>
      <c r="V846" s="2706"/>
      <c r="W846" s="2706"/>
      <c r="X846" s="2706"/>
      <c r="Y846" s="2706"/>
      <c r="Z846" s="2706"/>
      <c r="AA846" s="2706"/>
      <c r="AB846" s="2706"/>
    </row>
    <row r="847" spans="1:28" s="457" customFormat="1" ht="18" customHeight="1" x14ac:dyDescent="0.2">
      <c r="A847" s="2704" t="s">
        <v>512</v>
      </c>
      <c r="B847" s="2704"/>
      <c r="C847" s="2704"/>
      <c r="D847" s="2704"/>
      <c r="E847" s="2704"/>
      <c r="F847" s="2704"/>
      <c r="G847" s="2704"/>
      <c r="H847" s="2704"/>
      <c r="I847" s="2704"/>
      <c r="J847" s="2704"/>
      <c r="K847" s="2704"/>
      <c r="L847" s="2704"/>
      <c r="M847" s="2704"/>
      <c r="N847" s="2704"/>
      <c r="O847" s="2704"/>
      <c r="P847" s="2704"/>
      <c r="Q847" s="2704"/>
      <c r="R847" s="2704"/>
      <c r="S847" s="2704"/>
      <c r="T847" s="2704"/>
      <c r="U847" s="2704"/>
      <c r="V847" s="2704"/>
      <c r="W847" s="2704"/>
      <c r="X847" s="2704"/>
      <c r="Y847" s="2704"/>
      <c r="Z847" s="2704"/>
      <c r="AA847" s="2704"/>
      <c r="AB847" s="2704"/>
    </row>
    <row r="848" spans="1:28" s="457" customFormat="1" ht="18" customHeight="1" x14ac:dyDescent="0.2">
      <c r="A848" s="2686" t="s">
        <v>2</v>
      </c>
      <c r="B848" s="360"/>
      <c r="C848" s="2686" t="s">
        <v>3</v>
      </c>
      <c r="D848" s="360"/>
      <c r="E848" s="360"/>
      <c r="F848" s="2693" t="s">
        <v>4</v>
      </c>
      <c r="G848" s="2693"/>
      <c r="H848" s="2693"/>
      <c r="I848" s="2694"/>
      <c r="J848" s="2694"/>
      <c r="K848" s="2695"/>
      <c r="L848" s="361"/>
      <c r="M848" s="2679" t="s">
        <v>5</v>
      </c>
      <c r="N848" s="2679"/>
      <c r="O848" s="2679"/>
      <c r="P848" s="2679"/>
      <c r="Q848" s="2696"/>
      <c r="R848" s="2696"/>
      <c r="S848" s="2696"/>
      <c r="T848" s="2696"/>
      <c r="U848" s="2696"/>
      <c r="V848" s="2697"/>
      <c r="W848" s="362" t="s">
        <v>6</v>
      </c>
      <c r="X848" s="363" t="s">
        <v>7</v>
      </c>
      <c r="Y848" s="364"/>
      <c r="Z848" s="364"/>
      <c r="AA848" s="363"/>
      <c r="AB848" s="458"/>
    </row>
    <row r="849" spans="1:28" s="457" customFormat="1" ht="18" customHeight="1" x14ac:dyDescent="0.2">
      <c r="A849" s="2687"/>
      <c r="B849" s="367"/>
      <c r="C849" s="2687"/>
      <c r="D849" s="366" t="s">
        <v>9</v>
      </c>
      <c r="E849" s="366" t="s">
        <v>10</v>
      </c>
      <c r="F849" s="2698" t="s">
        <v>11</v>
      </c>
      <c r="G849" s="2694"/>
      <c r="H849" s="2695"/>
      <c r="I849" s="360"/>
      <c r="J849" s="449" t="s">
        <v>12</v>
      </c>
      <c r="K849" s="360"/>
      <c r="L849" s="2679" t="s">
        <v>2</v>
      </c>
      <c r="M849" s="370"/>
      <c r="N849" s="370"/>
      <c r="O849" s="370"/>
      <c r="P849" s="371"/>
      <c r="Q849" s="459" t="s">
        <v>13</v>
      </c>
      <c r="R849" s="370" t="s">
        <v>12</v>
      </c>
      <c r="S849" s="370" t="s">
        <v>6</v>
      </c>
      <c r="T849" s="2682" t="s">
        <v>14</v>
      </c>
      <c r="U849" s="2683"/>
      <c r="V849" s="375" t="s">
        <v>7</v>
      </c>
      <c r="W849" s="376" t="s">
        <v>15</v>
      </c>
      <c r="X849" s="377" t="s">
        <v>16</v>
      </c>
      <c r="Y849" s="377" t="s">
        <v>17</v>
      </c>
      <c r="Z849" s="377" t="s">
        <v>18</v>
      </c>
      <c r="AA849" s="377"/>
      <c r="AB849" s="460" t="s">
        <v>19</v>
      </c>
    </row>
    <row r="850" spans="1:28" s="457" customFormat="1" ht="18" customHeight="1" x14ac:dyDescent="0.2">
      <c r="A850" s="2687"/>
      <c r="B850" s="366" t="s">
        <v>23</v>
      </c>
      <c r="C850" s="2687"/>
      <c r="D850" s="366" t="s">
        <v>24</v>
      </c>
      <c r="E850" s="366" t="s">
        <v>25</v>
      </c>
      <c r="F850" s="2699"/>
      <c r="G850" s="2700"/>
      <c r="H850" s="2701"/>
      <c r="I850" s="366" t="s">
        <v>26</v>
      </c>
      <c r="J850" s="380" t="s">
        <v>15</v>
      </c>
      <c r="K850" s="380" t="s">
        <v>6</v>
      </c>
      <c r="L850" s="2680"/>
      <c r="M850" s="381" t="s">
        <v>27</v>
      </c>
      <c r="N850" s="381" t="s">
        <v>10</v>
      </c>
      <c r="O850" s="381" t="s">
        <v>10</v>
      </c>
      <c r="P850" s="385" t="s">
        <v>28</v>
      </c>
      <c r="Q850" s="461" t="s">
        <v>29</v>
      </c>
      <c r="R850" s="385" t="s">
        <v>15</v>
      </c>
      <c r="S850" s="385" t="s">
        <v>15</v>
      </c>
      <c r="T850" s="2684"/>
      <c r="U850" s="2685"/>
      <c r="V850" s="375" t="s">
        <v>30</v>
      </c>
      <c r="W850" s="376" t="s">
        <v>31</v>
      </c>
      <c r="X850" s="377" t="s">
        <v>30</v>
      </c>
      <c r="Y850" s="377" t="s">
        <v>32</v>
      </c>
      <c r="Z850" s="377" t="s">
        <v>7</v>
      </c>
      <c r="AA850" s="377" t="s">
        <v>33</v>
      </c>
      <c r="AB850" s="460" t="s">
        <v>34</v>
      </c>
    </row>
    <row r="851" spans="1:28" s="457" customFormat="1" ht="18" customHeight="1" x14ac:dyDescent="0.2">
      <c r="A851" s="2687"/>
      <c r="B851" s="366" t="s">
        <v>39</v>
      </c>
      <c r="C851" s="2687"/>
      <c r="D851" s="366" t="s">
        <v>40</v>
      </c>
      <c r="E851" s="366" t="s">
        <v>41</v>
      </c>
      <c r="F851" s="2686" t="s">
        <v>42</v>
      </c>
      <c r="G851" s="2686" t="s">
        <v>43</v>
      </c>
      <c r="H851" s="2688" t="s">
        <v>44</v>
      </c>
      <c r="I851" s="366" t="s">
        <v>45</v>
      </c>
      <c r="J851" s="380" t="s">
        <v>46</v>
      </c>
      <c r="K851" s="380" t="s">
        <v>47</v>
      </c>
      <c r="L851" s="2680"/>
      <c r="M851" s="381" t="s">
        <v>30</v>
      </c>
      <c r="N851" s="381" t="s">
        <v>30</v>
      </c>
      <c r="O851" s="381" t="s">
        <v>25</v>
      </c>
      <c r="P851" s="385" t="s">
        <v>30</v>
      </c>
      <c r="Q851" s="461" t="s">
        <v>48</v>
      </c>
      <c r="R851" s="385" t="s">
        <v>49</v>
      </c>
      <c r="S851" s="385" t="s">
        <v>30</v>
      </c>
      <c r="T851" s="374" t="s">
        <v>50</v>
      </c>
      <c r="U851" s="374" t="s">
        <v>13</v>
      </c>
      <c r="V851" s="375" t="s">
        <v>51</v>
      </c>
      <c r="W851" s="376" t="s">
        <v>52</v>
      </c>
      <c r="X851" s="377" t="s">
        <v>53</v>
      </c>
      <c r="Y851" s="377" t="s">
        <v>54</v>
      </c>
      <c r="Z851" s="377" t="s">
        <v>55</v>
      </c>
      <c r="AA851" s="377" t="s">
        <v>56</v>
      </c>
      <c r="AB851" s="460" t="s">
        <v>57</v>
      </c>
    </row>
    <row r="852" spans="1:28" s="457" customFormat="1" ht="18" customHeight="1" x14ac:dyDescent="0.2">
      <c r="A852" s="2687"/>
      <c r="B852" s="366" t="s">
        <v>61</v>
      </c>
      <c r="C852" s="2687"/>
      <c r="D852" s="366" t="s">
        <v>62</v>
      </c>
      <c r="E852" s="366" t="s">
        <v>63</v>
      </c>
      <c r="F852" s="2687"/>
      <c r="G852" s="2687"/>
      <c r="H852" s="2689"/>
      <c r="I852" s="366" t="s">
        <v>64</v>
      </c>
      <c r="J852" s="380" t="s">
        <v>59</v>
      </c>
      <c r="K852" s="380" t="s">
        <v>59</v>
      </c>
      <c r="L852" s="2680"/>
      <c r="M852" s="381"/>
      <c r="N852" s="381"/>
      <c r="O852" s="381" t="s">
        <v>41</v>
      </c>
      <c r="P852" s="385" t="s">
        <v>65</v>
      </c>
      <c r="Q852" s="461" t="s">
        <v>66</v>
      </c>
      <c r="R852" s="385" t="s">
        <v>67</v>
      </c>
      <c r="S852" s="385" t="s">
        <v>59</v>
      </c>
      <c r="T852" s="375" t="s">
        <v>68</v>
      </c>
      <c r="U852" s="375" t="s">
        <v>14</v>
      </c>
      <c r="V852" s="375" t="s">
        <v>14</v>
      </c>
      <c r="W852" s="376" t="s">
        <v>30</v>
      </c>
      <c r="X852" s="388" t="s">
        <v>69</v>
      </c>
      <c r="Y852" s="388" t="s">
        <v>70</v>
      </c>
      <c r="Z852" s="377" t="s">
        <v>71</v>
      </c>
      <c r="AA852" s="377" t="s">
        <v>72</v>
      </c>
      <c r="AB852" s="460" t="s">
        <v>59</v>
      </c>
    </row>
    <row r="853" spans="1:28" s="457" customFormat="1" ht="18" customHeight="1" x14ac:dyDescent="0.2">
      <c r="A853" s="2692"/>
      <c r="B853" s="390"/>
      <c r="C853" s="2692"/>
      <c r="D853" s="390"/>
      <c r="E853" s="389"/>
      <c r="F853" s="390"/>
      <c r="G853" s="390"/>
      <c r="H853" s="391"/>
      <c r="I853" s="389"/>
      <c r="J853" s="393"/>
      <c r="K853" s="393"/>
      <c r="L853" s="2681"/>
      <c r="M853" s="394"/>
      <c r="N853" s="394"/>
      <c r="O853" s="394" t="s">
        <v>63</v>
      </c>
      <c r="P853" s="394"/>
      <c r="Q853" s="450" t="s">
        <v>72</v>
      </c>
      <c r="R853" s="398" t="s">
        <v>59</v>
      </c>
      <c r="S853" s="398"/>
      <c r="T853" s="398" t="s">
        <v>73</v>
      </c>
      <c r="U853" s="398" t="s">
        <v>59</v>
      </c>
      <c r="V853" s="399" t="s">
        <v>59</v>
      </c>
      <c r="W853" s="400" t="s">
        <v>59</v>
      </c>
      <c r="X853" s="401" t="s">
        <v>59</v>
      </c>
      <c r="Y853" s="401" t="s">
        <v>59</v>
      </c>
      <c r="Z853" s="401" t="s">
        <v>59</v>
      </c>
      <c r="AA853" s="402"/>
      <c r="AB853" s="462"/>
    </row>
    <row r="854" spans="1:28" s="457" customFormat="1" ht="18" customHeight="1" x14ac:dyDescent="0.2">
      <c r="A854" s="53">
        <v>1</v>
      </c>
      <c r="B854" s="95">
        <v>19415</v>
      </c>
      <c r="C854" s="82">
        <v>161</v>
      </c>
      <c r="D854" s="82" t="s">
        <v>215</v>
      </c>
      <c r="E854" s="82">
        <v>4</v>
      </c>
      <c r="F854" s="82">
        <v>0</v>
      </c>
      <c r="G854" s="82">
        <v>0</v>
      </c>
      <c r="H854" s="463">
        <v>72</v>
      </c>
      <c r="I854" s="70">
        <f>F854*400+G854*100+H854</f>
        <v>72</v>
      </c>
      <c r="J854" s="123">
        <v>2300</v>
      </c>
      <c r="K854" s="124">
        <f>SUM(I854*J854)</f>
        <v>165600</v>
      </c>
      <c r="L854" s="53"/>
      <c r="M854" s="82"/>
      <c r="N854" s="82"/>
      <c r="O854" s="53"/>
      <c r="P854" s="358"/>
      <c r="Q854" s="197"/>
      <c r="R854" s="444"/>
      <c r="S854" s="70"/>
      <c r="T854" s="82"/>
      <c r="U854" s="70"/>
      <c r="V854" s="70"/>
      <c r="W854" s="70">
        <f>K854+V854</f>
        <v>165600</v>
      </c>
      <c r="X854" s="70">
        <f>W854</f>
        <v>165600</v>
      </c>
      <c r="Y854" s="82"/>
      <c r="Z854" s="123">
        <f>+X854</f>
        <v>165600</v>
      </c>
      <c r="AA854" s="464">
        <v>0.6</v>
      </c>
      <c r="AB854" s="465">
        <f>+Z854*AA854/100</f>
        <v>993.6</v>
      </c>
    </row>
    <row r="855" spans="1:28" s="457" customFormat="1" ht="18" customHeight="1" x14ac:dyDescent="0.2">
      <c r="A855" s="75"/>
      <c r="B855" s="88"/>
      <c r="C855" s="88"/>
      <c r="D855" s="88"/>
      <c r="E855" s="88"/>
      <c r="F855" s="88"/>
      <c r="G855" s="88"/>
      <c r="H855" s="495"/>
      <c r="I855" s="74"/>
      <c r="J855" s="121"/>
      <c r="K855" s="159"/>
      <c r="L855" s="75"/>
      <c r="M855" s="88"/>
      <c r="N855" s="88"/>
      <c r="O855" s="75"/>
      <c r="P855" s="180"/>
      <c r="Q855" s="174"/>
      <c r="R855" s="413"/>
      <c r="S855" s="74"/>
      <c r="T855" s="88"/>
      <c r="U855" s="74"/>
      <c r="V855" s="74"/>
      <c r="W855" s="74"/>
      <c r="X855" s="74"/>
      <c r="Y855" s="88"/>
      <c r="Z855" s="121"/>
      <c r="AA855" s="414"/>
      <c r="AB855" s="410"/>
    </row>
    <row r="856" spans="1:28" s="457" customFormat="1" ht="18" customHeight="1" x14ac:dyDescent="0.2">
      <c r="A856" s="61"/>
      <c r="B856" s="145"/>
      <c r="C856" s="145"/>
      <c r="D856" s="145"/>
      <c r="E856" s="145"/>
      <c r="F856" s="145"/>
      <c r="G856" s="145"/>
      <c r="H856" s="407"/>
      <c r="I856" s="77"/>
      <c r="J856" s="107"/>
      <c r="K856" s="78"/>
      <c r="L856" s="61"/>
      <c r="M856" s="145"/>
      <c r="N856" s="145"/>
      <c r="O856" s="61"/>
      <c r="P856" s="177"/>
      <c r="Q856" s="196"/>
      <c r="R856" s="408"/>
      <c r="S856" s="77"/>
      <c r="T856" s="145"/>
      <c r="U856" s="77"/>
      <c r="V856" s="77"/>
      <c r="W856" s="77"/>
      <c r="X856" s="77"/>
      <c r="Y856" s="145"/>
      <c r="Z856" s="107"/>
      <c r="AA856" s="409"/>
      <c r="AB856" s="466"/>
    </row>
    <row r="857" spans="1:28" s="457" customFormat="1" ht="18" customHeight="1" x14ac:dyDescent="0.2">
      <c r="A857" s="61"/>
      <c r="B857" s="145"/>
      <c r="C857" s="145"/>
      <c r="D857" s="145"/>
      <c r="E857" s="145"/>
      <c r="F857" s="145"/>
      <c r="G857" s="145"/>
      <c r="H857" s="407"/>
      <c r="I857" s="77"/>
      <c r="J857" s="107"/>
      <c r="K857" s="78"/>
      <c r="L857" s="61"/>
      <c r="M857" s="145"/>
      <c r="N857" s="145"/>
      <c r="O857" s="61"/>
      <c r="P857" s="177"/>
      <c r="Q857" s="196"/>
      <c r="R857" s="408"/>
      <c r="S857" s="77"/>
      <c r="T857" s="145"/>
      <c r="U857" s="77"/>
      <c r="V857" s="77"/>
      <c r="W857" s="77"/>
      <c r="X857" s="77"/>
      <c r="Y857" s="145"/>
      <c r="Z857" s="107"/>
      <c r="AA857" s="409"/>
      <c r="AB857" s="466"/>
    </row>
    <row r="858" spans="1:28" s="457" customFormat="1" ht="18" customHeight="1" x14ac:dyDescent="0.2">
      <c r="A858" s="75"/>
      <c r="B858" s="61"/>
      <c r="C858" s="196"/>
      <c r="D858" s="88"/>
      <c r="E858" s="88"/>
      <c r="F858" s="467"/>
      <c r="G858" s="61"/>
      <c r="H858" s="173"/>
      <c r="I858" s="77"/>
      <c r="J858" s="107"/>
      <c r="K858" s="78"/>
      <c r="L858" s="61"/>
      <c r="M858" s="145"/>
      <c r="N858" s="145"/>
      <c r="O858" s="61"/>
      <c r="P858" s="177"/>
      <c r="Q858" s="196"/>
      <c r="R858" s="408"/>
      <c r="S858" s="1404"/>
      <c r="T858" s="88"/>
      <c r="U858" s="77"/>
      <c r="V858" s="74"/>
      <c r="W858" s="74"/>
      <c r="X858" s="74"/>
      <c r="Y858" s="121"/>
      <c r="Z858" s="121"/>
      <c r="AA858" s="469"/>
      <c r="AB858" s="466"/>
    </row>
    <row r="859" spans="1:28" s="457" customFormat="1" ht="18" customHeight="1" x14ac:dyDescent="0.2">
      <c r="A859" s="145"/>
      <c r="B859" s="177"/>
      <c r="C859" s="177"/>
      <c r="D859" s="145"/>
      <c r="E859" s="145"/>
      <c r="F859" s="145"/>
      <c r="G859" s="145"/>
      <c r="H859" s="147"/>
      <c r="I859" s="107"/>
      <c r="J859" s="178"/>
      <c r="K859" s="107"/>
      <c r="L859" s="145"/>
      <c r="M859" s="145"/>
      <c r="N859" s="145"/>
      <c r="O859" s="145"/>
      <c r="P859" s="147"/>
      <c r="Q859" s="148"/>
      <c r="R859" s="437"/>
      <c r="S859" s="107"/>
      <c r="T859" s="179"/>
      <c r="U859" s="178"/>
      <c r="V859" s="107"/>
      <c r="W859" s="107"/>
      <c r="X859" s="470"/>
      <c r="Y859" s="470"/>
      <c r="Z859" s="471"/>
      <c r="AA859" s="471"/>
      <c r="AB859" s="466"/>
    </row>
    <row r="860" spans="1:28" s="457" customFormat="1" ht="18" customHeight="1" x14ac:dyDescent="0.2">
      <c r="A860" s="145"/>
      <c r="B860" s="177"/>
      <c r="C860" s="177"/>
      <c r="D860" s="145"/>
      <c r="E860" s="145"/>
      <c r="F860" s="145"/>
      <c r="G860" s="145"/>
      <c r="H860" s="147"/>
      <c r="I860" s="107"/>
      <c r="J860" s="178"/>
      <c r="K860" s="107"/>
      <c r="L860" s="145"/>
      <c r="M860" s="145"/>
      <c r="N860" s="145"/>
      <c r="O860" s="145"/>
      <c r="P860" s="147"/>
      <c r="Q860" s="148"/>
      <c r="R860" s="437"/>
      <c r="S860" s="107"/>
      <c r="T860" s="179"/>
      <c r="U860" s="178"/>
      <c r="V860" s="107"/>
      <c r="W860" s="107"/>
      <c r="X860" s="470"/>
      <c r="Y860" s="470"/>
      <c r="Z860" s="471"/>
      <c r="AA860" s="471"/>
      <c r="AB860" s="466"/>
    </row>
    <row r="861" spans="1:28" s="457" customFormat="1" ht="18" customHeight="1" x14ac:dyDescent="0.2">
      <c r="A861" s="145"/>
      <c r="B861" s="177"/>
      <c r="C861" s="177"/>
      <c r="D861" s="145"/>
      <c r="E861" s="145"/>
      <c r="F861" s="145"/>
      <c r="G861" s="145"/>
      <c r="H861" s="147"/>
      <c r="I861" s="107"/>
      <c r="J861" s="178"/>
      <c r="K861" s="107"/>
      <c r="L861" s="145"/>
      <c r="M861" s="145"/>
      <c r="N861" s="145"/>
      <c r="O861" s="145"/>
      <c r="P861" s="147"/>
      <c r="Q861" s="148"/>
      <c r="R861" s="437"/>
      <c r="S861" s="107"/>
      <c r="T861" s="179"/>
      <c r="U861" s="178"/>
      <c r="V861" s="107"/>
      <c r="W861" s="107"/>
      <c r="X861" s="470"/>
      <c r="Y861" s="470"/>
      <c r="Z861" s="471"/>
      <c r="AA861" s="471"/>
      <c r="AB861" s="466"/>
    </row>
    <row r="862" spans="1:28" s="457" customFormat="1" ht="18" customHeight="1" x14ac:dyDescent="0.2">
      <c r="A862" s="145"/>
      <c r="B862" s="177"/>
      <c r="C862" s="177"/>
      <c r="D862" s="145"/>
      <c r="E862" s="145"/>
      <c r="F862" s="145"/>
      <c r="G862" s="145"/>
      <c r="H862" s="147"/>
      <c r="I862" s="107"/>
      <c r="J862" s="178"/>
      <c r="K862" s="107"/>
      <c r="L862" s="145"/>
      <c r="M862" s="145"/>
      <c r="N862" s="145"/>
      <c r="O862" s="145"/>
      <c r="P862" s="147"/>
      <c r="Q862" s="148"/>
      <c r="R862" s="437"/>
      <c r="S862" s="107"/>
      <c r="T862" s="179"/>
      <c r="U862" s="178"/>
      <c r="V862" s="107"/>
      <c r="W862" s="107"/>
      <c r="X862" s="470"/>
      <c r="Y862" s="470"/>
      <c r="Z862" s="471"/>
      <c r="AA862" s="471"/>
      <c r="AB862" s="466"/>
    </row>
    <row r="863" spans="1:28" s="457" customFormat="1" ht="18" customHeight="1" x14ac:dyDescent="0.2">
      <c r="A863" s="145"/>
      <c r="B863" s="177"/>
      <c r="C863" s="177"/>
      <c r="D863" s="145"/>
      <c r="E863" s="145"/>
      <c r="F863" s="145"/>
      <c r="G863" s="145"/>
      <c r="H863" s="147"/>
      <c r="I863" s="107"/>
      <c r="J863" s="178"/>
      <c r="K863" s="107"/>
      <c r="L863" s="145"/>
      <c r="M863" s="145"/>
      <c r="N863" s="145"/>
      <c r="O863" s="145"/>
      <c r="P863" s="147"/>
      <c r="Q863" s="148"/>
      <c r="R863" s="437"/>
      <c r="S863" s="107"/>
      <c r="T863" s="179"/>
      <c r="U863" s="178"/>
      <c r="V863" s="107"/>
      <c r="W863" s="107"/>
      <c r="X863" s="470"/>
      <c r="Y863" s="470"/>
      <c r="Z863" s="471"/>
      <c r="AA863" s="471"/>
      <c r="AB863" s="466"/>
    </row>
    <row r="864" spans="1:28" s="457" customFormat="1" ht="18" customHeight="1" x14ac:dyDescent="0.2">
      <c r="A864" s="145"/>
      <c r="B864" s="177"/>
      <c r="C864" s="177"/>
      <c r="D864" s="145"/>
      <c r="E864" s="145"/>
      <c r="F864" s="145"/>
      <c r="G864" s="145"/>
      <c r="H864" s="147"/>
      <c r="I864" s="107"/>
      <c r="J864" s="178"/>
      <c r="K864" s="107"/>
      <c r="L864" s="145"/>
      <c r="M864" s="145"/>
      <c r="N864" s="145"/>
      <c r="O864" s="145"/>
      <c r="P864" s="147"/>
      <c r="Q864" s="148"/>
      <c r="R864" s="437"/>
      <c r="S864" s="107"/>
      <c r="T864" s="179"/>
      <c r="U864" s="178"/>
      <c r="V864" s="107"/>
      <c r="W864" s="107"/>
      <c r="X864" s="470"/>
      <c r="Y864" s="470"/>
      <c r="Z864" s="471"/>
      <c r="AA864" s="471"/>
      <c r="AB864" s="466"/>
    </row>
    <row r="865" spans="1:28" s="457" customFormat="1" ht="18" customHeight="1" x14ac:dyDescent="0.2">
      <c r="A865" s="145"/>
      <c r="B865" s="177"/>
      <c r="C865" s="177"/>
      <c r="D865" s="145"/>
      <c r="E865" s="145"/>
      <c r="F865" s="145"/>
      <c r="G865" s="145"/>
      <c r="H865" s="147"/>
      <c r="I865" s="107"/>
      <c r="J865" s="178"/>
      <c r="K865" s="107"/>
      <c r="L865" s="145"/>
      <c r="M865" s="145"/>
      <c r="N865" s="145"/>
      <c r="O865" s="145"/>
      <c r="P865" s="147"/>
      <c r="Q865" s="148"/>
      <c r="R865" s="437"/>
      <c r="S865" s="107"/>
      <c r="T865" s="179"/>
      <c r="U865" s="178"/>
      <c r="V865" s="107"/>
      <c r="W865" s="107"/>
      <c r="X865" s="470"/>
      <c r="Y865" s="470"/>
      <c r="Z865" s="471"/>
      <c r="AA865" s="471"/>
      <c r="AB865" s="466"/>
    </row>
    <row r="866" spans="1:28" s="457" customFormat="1" ht="18" customHeight="1" x14ac:dyDescent="0.2">
      <c r="A866" s="145"/>
      <c r="B866" s="177"/>
      <c r="C866" s="177"/>
      <c r="D866" s="145"/>
      <c r="E866" s="145"/>
      <c r="F866" s="145"/>
      <c r="G866" s="145"/>
      <c r="H866" s="147"/>
      <c r="I866" s="107"/>
      <c r="J866" s="178"/>
      <c r="K866" s="107"/>
      <c r="L866" s="145"/>
      <c r="M866" s="145"/>
      <c r="N866" s="145"/>
      <c r="O866" s="145"/>
      <c r="P866" s="147"/>
      <c r="Q866" s="148"/>
      <c r="R866" s="437"/>
      <c r="S866" s="107"/>
      <c r="T866" s="179"/>
      <c r="U866" s="178"/>
      <c r="V866" s="107"/>
      <c r="W866" s="107"/>
      <c r="X866" s="470"/>
      <c r="Y866" s="470"/>
      <c r="Z866" s="471"/>
      <c r="AA866" s="471"/>
      <c r="AB866" s="466"/>
    </row>
    <row r="867" spans="1:28" s="457" customFormat="1" ht="18" customHeight="1" x14ac:dyDescent="0.2">
      <c r="A867" s="145"/>
      <c r="B867" s="177"/>
      <c r="C867" s="177"/>
      <c r="D867" s="145"/>
      <c r="E867" s="145"/>
      <c r="F867" s="145"/>
      <c r="G867" s="145"/>
      <c r="H867" s="147"/>
      <c r="I867" s="107"/>
      <c r="J867" s="178"/>
      <c r="K867" s="107"/>
      <c r="L867" s="145"/>
      <c r="M867" s="145"/>
      <c r="N867" s="145"/>
      <c r="O867" s="145"/>
      <c r="P867" s="147"/>
      <c r="Q867" s="148"/>
      <c r="R867" s="437"/>
      <c r="S867" s="107"/>
      <c r="T867" s="179"/>
      <c r="U867" s="178"/>
      <c r="V867" s="107"/>
      <c r="W867" s="107"/>
      <c r="X867" s="470"/>
      <c r="Y867" s="470"/>
      <c r="Z867" s="471"/>
      <c r="AA867" s="471"/>
      <c r="AB867" s="466"/>
    </row>
    <row r="868" spans="1:28" s="457" customFormat="1" ht="18" customHeight="1" x14ac:dyDescent="0.2">
      <c r="A868" s="88"/>
      <c r="B868" s="180"/>
      <c r="C868" s="180"/>
      <c r="D868" s="88"/>
      <c r="E868" s="88"/>
      <c r="F868" s="88"/>
      <c r="G868" s="88"/>
      <c r="H868" s="120"/>
      <c r="I868" s="121"/>
      <c r="J868" s="181"/>
      <c r="K868" s="121"/>
      <c r="L868" s="88"/>
      <c r="M868" s="88"/>
      <c r="N868" s="88"/>
      <c r="O868" s="88"/>
      <c r="P868" s="88"/>
      <c r="Q868" s="129"/>
      <c r="R868" s="445"/>
      <c r="S868" s="121"/>
      <c r="T868" s="182"/>
      <c r="U868" s="181"/>
      <c r="V868" s="121"/>
      <c r="W868" s="121"/>
      <c r="X868" s="472"/>
      <c r="Y868" s="472"/>
      <c r="Z868" s="473"/>
      <c r="AA868" s="473"/>
      <c r="AB868" s="410"/>
    </row>
    <row r="869" spans="1:28" s="597" customFormat="1" ht="18" customHeight="1" x14ac:dyDescent="0.2">
      <c r="A869" s="1850"/>
      <c r="B869" s="1850"/>
      <c r="C869" s="1850"/>
      <c r="D869" s="1850"/>
      <c r="E869" s="1850"/>
      <c r="F869" s="1850"/>
      <c r="G869" s="1850"/>
      <c r="H869" s="1851"/>
      <c r="I869" s="1852"/>
      <c r="J869" s="1853"/>
      <c r="K869" s="1852"/>
      <c r="L869" s="1852"/>
      <c r="M869" s="1852"/>
      <c r="N869" s="1852"/>
      <c r="O869" s="1852"/>
      <c r="P869" s="1852"/>
      <c r="Q869" s="1852"/>
      <c r="R869" s="1854"/>
      <c r="S869" s="1852"/>
      <c r="T869" s="1855"/>
      <c r="U869" s="1853"/>
      <c r="V869" s="1852"/>
      <c r="W869" s="1852"/>
      <c r="X869" s="1856"/>
      <c r="Y869" s="1856"/>
      <c r="Z869" s="1857"/>
      <c r="AA869" s="1857"/>
      <c r="AB869" s="1847">
        <f>SUM(AB854:AB868)</f>
        <v>993.6</v>
      </c>
    </row>
    <row r="870" spans="1:28" s="457" customFormat="1" ht="18" customHeight="1" x14ac:dyDescent="0.2">
      <c r="A870" s="2737" t="s">
        <v>76</v>
      </c>
      <c r="B870" s="2737"/>
      <c r="C870" s="2738" t="s">
        <v>77</v>
      </c>
      <c r="D870" s="2738"/>
      <c r="E870" s="2738"/>
      <c r="F870" s="2738"/>
      <c r="G870" s="2738"/>
      <c r="H870" s="2738"/>
      <c r="I870" s="457" t="s">
        <v>78</v>
      </c>
      <c r="AB870" s="478"/>
    </row>
    <row r="871" spans="1:28" s="457" customFormat="1" ht="18" customHeight="1" x14ac:dyDescent="0.2">
      <c r="B871" s="479"/>
      <c r="I871" s="457" t="s">
        <v>79</v>
      </c>
      <c r="AB871" s="478"/>
    </row>
    <row r="872" spans="1:28" s="457" customFormat="1" ht="18" customHeight="1" x14ac:dyDescent="0.2">
      <c r="B872" s="479"/>
      <c r="I872" s="457" t="s">
        <v>80</v>
      </c>
      <c r="AB872" s="478"/>
    </row>
    <row r="873" spans="1:28" s="457" customFormat="1" ht="18" customHeight="1" x14ac:dyDescent="0.2">
      <c r="B873" s="479"/>
      <c r="I873" s="457" t="s">
        <v>81</v>
      </c>
      <c r="AB873" s="478"/>
    </row>
    <row r="874" spans="1:28" s="457" customFormat="1" ht="18" customHeight="1" x14ac:dyDescent="0.2">
      <c r="B874" s="479"/>
      <c r="I874" s="457" t="s">
        <v>88</v>
      </c>
      <c r="AB874" s="478"/>
    </row>
    <row r="875" spans="1:28" s="457" customFormat="1" ht="18" customHeight="1" x14ac:dyDescent="0.2">
      <c r="A875" s="455"/>
      <c r="B875" s="455"/>
      <c r="C875" s="455"/>
      <c r="D875" s="455"/>
      <c r="E875" s="455"/>
      <c r="F875" s="455"/>
      <c r="G875" s="455"/>
      <c r="H875" s="455"/>
      <c r="I875" s="455"/>
      <c r="J875" s="455"/>
      <c r="K875" s="455"/>
      <c r="L875" s="455"/>
      <c r="M875" s="455"/>
      <c r="N875" s="455"/>
      <c r="O875" s="455"/>
      <c r="P875" s="455"/>
      <c r="Q875" s="455"/>
      <c r="R875" s="455"/>
      <c r="S875" s="455"/>
      <c r="T875" s="455"/>
      <c r="U875" s="455"/>
      <c r="V875" s="455"/>
      <c r="W875" s="455"/>
      <c r="X875" s="455"/>
      <c r="Y875" s="455"/>
      <c r="Z875" s="455"/>
      <c r="AA875" s="2705" t="s">
        <v>0</v>
      </c>
      <c r="AB875" s="2705"/>
    </row>
    <row r="876" spans="1:28" s="457" customFormat="1" ht="18" customHeight="1" x14ac:dyDescent="0.2">
      <c r="A876" s="2706" t="s">
        <v>1</v>
      </c>
      <c r="B876" s="2706"/>
      <c r="C876" s="2706"/>
      <c r="D876" s="2706"/>
      <c r="E876" s="2706"/>
      <c r="F876" s="2706"/>
      <c r="G876" s="2706"/>
      <c r="H876" s="2706"/>
      <c r="I876" s="2706"/>
      <c r="J876" s="2706"/>
      <c r="K876" s="2706"/>
      <c r="L876" s="2706"/>
      <c r="M876" s="2706"/>
      <c r="N876" s="2706"/>
      <c r="O876" s="2706"/>
      <c r="P876" s="2706"/>
      <c r="Q876" s="2706"/>
      <c r="R876" s="2706"/>
      <c r="S876" s="2706"/>
      <c r="T876" s="2706"/>
      <c r="U876" s="2706"/>
      <c r="V876" s="2706"/>
      <c r="W876" s="2706"/>
      <c r="X876" s="2706"/>
      <c r="Y876" s="2706"/>
      <c r="Z876" s="2706"/>
      <c r="AA876" s="2706"/>
      <c r="AB876" s="2706"/>
    </row>
    <row r="877" spans="1:28" s="457" customFormat="1" ht="18" customHeight="1" x14ac:dyDescent="0.2">
      <c r="A877" s="2704" t="s">
        <v>513</v>
      </c>
      <c r="B877" s="2704"/>
      <c r="C877" s="2704"/>
      <c r="D877" s="2704"/>
      <c r="E877" s="2704"/>
      <c r="F877" s="2704"/>
      <c r="G877" s="2704"/>
      <c r="H877" s="2704"/>
      <c r="I877" s="2704"/>
      <c r="J877" s="2704"/>
      <c r="K877" s="2704"/>
      <c r="L877" s="2704"/>
      <c r="M877" s="2704"/>
      <c r="N877" s="2704"/>
      <c r="O877" s="2704"/>
      <c r="P877" s="2704"/>
      <c r="Q877" s="2704"/>
      <c r="R877" s="2704"/>
      <c r="S877" s="2704"/>
      <c r="T877" s="2704"/>
      <c r="U877" s="2704"/>
      <c r="V877" s="2704"/>
      <c r="W877" s="2704"/>
      <c r="X877" s="2704"/>
      <c r="Y877" s="2704"/>
      <c r="Z877" s="2704"/>
      <c r="AA877" s="2704"/>
      <c r="AB877" s="2704"/>
    </row>
    <row r="878" spans="1:28" s="457" customFormat="1" ht="18" customHeight="1" x14ac:dyDescent="0.2">
      <c r="A878" s="2686" t="s">
        <v>2</v>
      </c>
      <c r="B878" s="360"/>
      <c r="C878" s="2686" t="s">
        <v>3</v>
      </c>
      <c r="D878" s="360"/>
      <c r="E878" s="360"/>
      <c r="F878" s="2693" t="s">
        <v>4</v>
      </c>
      <c r="G878" s="2693"/>
      <c r="H878" s="2693"/>
      <c r="I878" s="2694"/>
      <c r="J878" s="2694"/>
      <c r="K878" s="2695"/>
      <c r="L878" s="361"/>
      <c r="M878" s="2679" t="s">
        <v>5</v>
      </c>
      <c r="N878" s="2679"/>
      <c r="O878" s="2679"/>
      <c r="P878" s="2679"/>
      <c r="Q878" s="2696"/>
      <c r="R878" s="2696"/>
      <c r="S878" s="2696"/>
      <c r="T878" s="2696"/>
      <c r="U878" s="2696"/>
      <c r="V878" s="2697"/>
      <c r="W878" s="362" t="s">
        <v>6</v>
      </c>
      <c r="X878" s="363" t="s">
        <v>7</v>
      </c>
      <c r="Y878" s="364"/>
      <c r="Z878" s="364"/>
      <c r="AA878" s="363"/>
      <c r="AB878" s="458"/>
    </row>
    <row r="879" spans="1:28" s="457" customFormat="1" ht="18" customHeight="1" x14ac:dyDescent="0.2">
      <c r="A879" s="2687"/>
      <c r="B879" s="367"/>
      <c r="C879" s="2687"/>
      <c r="D879" s="366" t="s">
        <v>9</v>
      </c>
      <c r="E879" s="366" t="s">
        <v>10</v>
      </c>
      <c r="F879" s="2698" t="s">
        <v>11</v>
      </c>
      <c r="G879" s="2694"/>
      <c r="H879" s="2695"/>
      <c r="I879" s="360"/>
      <c r="J879" s="449" t="s">
        <v>12</v>
      </c>
      <c r="K879" s="360"/>
      <c r="L879" s="2679" t="s">
        <v>2</v>
      </c>
      <c r="M879" s="370"/>
      <c r="N879" s="370"/>
      <c r="O879" s="370"/>
      <c r="P879" s="371"/>
      <c r="Q879" s="459" t="s">
        <v>13</v>
      </c>
      <c r="R879" s="370" t="s">
        <v>12</v>
      </c>
      <c r="S879" s="370" t="s">
        <v>6</v>
      </c>
      <c r="T879" s="2682" t="s">
        <v>14</v>
      </c>
      <c r="U879" s="2683"/>
      <c r="V879" s="375" t="s">
        <v>7</v>
      </c>
      <c r="W879" s="376" t="s">
        <v>15</v>
      </c>
      <c r="X879" s="377" t="s">
        <v>16</v>
      </c>
      <c r="Y879" s="377" t="s">
        <v>17</v>
      </c>
      <c r="Z879" s="377" t="s">
        <v>18</v>
      </c>
      <c r="AA879" s="377"/>
      <c r="AB879" s="460" t="s">
        <v>19</v>
      </c>
    </row>
    <row r="880" spans="1:28" s="457" customFormat="1" ht="18" customHeight="1" x14ac:dyDescent="0.2">
      <c r="A880" s="2687"/>
      <c r="B880" s="366" t="s">
        <v>23</v>
      </c>
      <c r="C880" s="2687"/>
      <c r="D880" s="366" t="s">
        <v>24</v>
      </c>
      <c r="E880" s="366" t="s">
        <v>25</v>
      </c>
      <c r="F880" s="2699"/>
      <c r="G880" s="2700"/>
      <c r="H880" s="2701"/>
      <c r="I880" s="366" t="s">
        <v>26</v>
      </c>
      <c r="J880" s="380" t="s">
        <v>15</v>
      </c>
      <c r="K880" s="380" t="s">
        <v>6</v>
      </c>
      <c r="L880" s="2680"/>
      <c r="M880" s="381" t="s">
        <v>27</v>
      </c>
      <c r="N880" s="381" t="s">
        <v>10</v>
      </c>
      <c r="O880" s="381" t="s">
        <v>10</v>
      </c>
      <c r="P880" s="385" t="s">
        <v>28</v>
      </c>
      <c r="Q880" s="461" t="s">
        <v>29</v>
      </c>
      <c r="R880" s="385" t="s">
        <v>15</v>
      </c>
      <c r="S880" s="385" t="s">
        <v>15</v>
      </c>
      <c r="T880" s="2684"/>
      <c r="U880" s="2685"/>
      <c r="V880" s="375" t="s">
        <v>30</v>
      </c>
      <c r="W880" s="376" t="s">
        <v>31</v>
      </c>
      <c r="X880" s="377" t="s">
        <v>30</v>
      </c>
      <c r="Y880" s="377" t="s">
        <v>32</v>
      </c>
      <c r="Z880" s="377" t="s">
        <v>7</v>
      </c>
      <c r="AA880" s="377" t="s">
        <v>33</v>
      </c>
      <c r="AB880" s="460" t="s">
        <v>34</v>
      </c>
    </row>
    <row r="881" spans="1:28" s="457" customFormat="1" ht="18" customHeight="1" x14ac:dyDescent="0.2">
      <c r="A881" s="2687"/>
      <c r="B881" s="366" t="s">
        <v>39</v>
      </c>
      <c r="C881" s="2687"/>
      <c r="D881" s="366" t="s">
        <v>40</v>
      </c>
      <c r="E881" s="366" t="s">
        <v>41</v>
      </c>
      <c r="F881" s="2686" t="s">
        <v>42</v>
      </c>
      <c r="G881" s="2686" t="s">
        <v>43</v>
      </c>
      <c r="H881" s="2688" t="s">
        <v>44</v>
      </c>
      <c r="I881" s="366" t="s">
        <v>45</v>
      </c>
      <c r="J881" s="380" t="s">
        <v>46</v>
      </c>
      <c r="K881" s="380" t="s">
        <v>47</v>
      </c>
      <c r="L881" s="2680"/>
      <c r="M881" s="381" t="s">
        <v>30</v>
      </c>
      <c r="N881" s="381" t="s">
        <v>30</v>
      </c>
      <c r="O881" s="381" t="s">
        <v>25</v>
      </c>
      <c r="P881" s="385" t="s">
        <v>30</v>
      </c>
      <c r="Q881" s="461" t="s">
        <v>48</v>
      </c>
      <c r="R881" s="385" t="s">
        <v>49</v>
      </c>
      <c r="S881" s="385" t="s">
        <v>30</v>
      </c>
      <c r="T881" s="374" t="s">
        <v>50</v>
      </c>
      <c r="U881" s="374" t="s">
        <v>13</v>
      </c>
      <c r="V881" s="375" t="s">
        <v>51</v>
      </c>
      <c r="W881" s="376" t="s">
        <v>52</v>
      </c>
      <c r="X881" s="377" t="s">
        <v>53</v>
      </c>
      <c r="Y881" s="377" t="s">
        <v>54</v>
      </c>
      <c r="Z881" s="377" t="s">
        <v>55</v>
      </c>
      <c r="AA881" s="377" t="s">
        <v>56</v>
      </c>
      <c r="AB881" s="460" t="s">
        <v>57</v>
      </c>
    </row>
    <row r="882" spans="1:28" s="457" customFormat="1" ht="18" customHeight="1" x14ac:dyDescent="0.2">
      <c r="A882" s="2687"/>
      <c r="B882" s="366" t="s">
        <v>61</v>
      </c>
      <c r="C882" s="2687"/>
      <c r="D882" s="366" t="s">
        <v>62</v>
      </c>
      <c r="E882" s="366" t="s">
        <v>63</v>
      </c>
      <c r="F882" s="2687"/>
      <c r="G882" s="2687"/>
      <c r="H882" s="2689"/>
      <c r="I882" s="366" t="s">
        <v>64</v>
      </c>
      <c r="J882" s="380" t="s">
        <v>59</v>
      </c>
      <c r="K882" s="380" t="s">
        <v>59</v>
      </c>
      <c r="L882" s="2680"/>
      <c r="M882" s="381"/>
      <c r="N882" s="381"/>
      <c r="O882" s="381" t="s">
        <v>41</v>
      </c>
      <c r="P882" s="385" t="s">
        <v>65</v>
      </c>
      <c r="Q882" s="461" t="s">
        <v>66</v>
      </c>
      <c r="R882" s="385" t="s">
        <v>67</v>
      </c>
      <c r="S882" s="385" t="s">
        <v>59</v>
      </c>
      <c r="T882" s="375" t="s">
        <v>68</v>
      </c>
      <c r="U882" s="375" t="s">
        <v>14</v>
      </c>
      <c r="V882" s="375" t="s">
        <v>14</v>
      </c>
      <c r="W882" s="376" t="s">
        <v>30</v>
      </c>
      <c r="X882" s="388" t="s">
        <v>69</v>
      </c>
      <c r="Y882" s="388" t="s">
        <v>70</v>
      </c>
      <c r="Z882" s="377" t="s">
        <v>71</v>
      </c>
      <c r="AA882" s="377" t="s">
        <v>72</v>
      </c>
      <c r="AB882" s="460" t="s">
        <v>59</v>
      </c>
    </row>
    <row r="883" spans="1:28" s="457" customFormat="1" ht="18" customHeight="1" x14ac:dyDescent="0.2">
      <c r="A883" s="2692"/>
      <c r="B883" s="390"/>
      <c r="C883" s="2692"/>
      <c r="D883" s="390"/>
      <c r="E883" s="389"/>
      <c r="F883" s="390"/>
      <c r="G883" s="390"/>
      <c r="H883" s="391"/>
      <c r="I883" s="389"/>
      <c r="J883" s="393"/>
      <c r="K883" s="393"/>
      <c r="L883" s="2681"/>
      <c r="M883" s="394"/>
      <c r="N883" s="394"/>
      <c r="O883" s="394" t="s">
        <v>63</v>
      </c>
      <c r="P883" s="394"/>
      <c r="Q883" s="450" t="s">
        <v>72</v>
      </c>
      <c r="R883" s="398" t="s">
        <v>59</v>
      </c>
      <c r="S883" s="398"/>
      <c r="T883" s="398" t="s">
        <v>73</v>
      </c>
      <c r="U883" s="398" t="s">
        <v>59</v>
      </c>
      <c r="V883" s="399" t="s">
        <v>59</v>
      </c>
      <c r="W883" s="400" t="s">
        <v>59</v>
      </c>
      <c r="X883" s="401" t="s">
        <v>59</v>
      </c>
      <c r="Y883" s="401" t="s">
        <v>59</v>
      </c>
      <c r="Z883" s="401" t="s">
        <v>59</v>
      </c>
      <c r="AA883" s="402"/>
      <c r="AB883" s="462"/>
    </row>
    <row r="884" spans="1:28" s="457" customFormat="1" ht="18" customHeight="1" x14ac:dyDescent="0.2">
      <c r="A884" s="82">
        <v>1</v>
      </c>
      <c r="B884" s="700">
        <v>45620</v>
      </c>
      <c r="C884" s="82">
        <v>1285</v>
      </c>
      <c r="D884" s="82" t="s">
        <v>215</v>
      </c>
      <c r="E884" s="82">
        <v>4</v>
      </c>
      <c r="F884" s="740">
        <v>0</v>
      </c>
      <c r="G884" s="82">
        <v>1</v>
      </c>
      <c r="H884" s="82">
        <v>21.9</v>
      </c>
      <c r="I884" s="70">
        <f>F884*400+G884*100+H884</f>
        <v>121.9</v>
      </c>
      <c r="J884" s="123">
        <v>7800</v>
      </c>
      <c r="K884" s="124">
        <f>SUM(I884*J884)</f>
        <v>950820</v>
      </c>
      <c r="L884" s="53"/>
      <c r="M884" s="82"/>
      <c r="N884" s="82"/>
      <c r="O884" s="53"/>
      <c r="P884" s="358"/>
      <c r="Q884" s="197"/>
      <c r="R884" s="444"/>
      <c r="S884" s="70"/>
      <c r="T884" s="82"/>
      <c r="U884" s="70"/>
      <c r="V884" s="70"/>
      <c r="W884" s="70">
        <f>K884+V884</f>
        <v>950820</v>
      </c>
      <c r="X884" s="70">
        <f>W884</f>
        <v>950820</v>
      </c>
      <c r="Y884" s="82">
        <v>0</v>
      </c>
      <c r="Z884" s="123">
        <f>+X884</f>
        <v>950820</v>
      </c>
      <c r="AA884" s="464">
        <v>0.3</v>
      </c>
      <c r="AB884" s="465">
        <f>+Z884*AA884/100</f>
        <v>2852.46</v>
      </c>
    </row>
    <row r="885" spans="1:28" s="457" customFormat="1" ht="18" customHeight="1" x14ac:dyDescent="0.2">
      <c r="A885" s="145">
        <v>2</v>
      </c>
      <c r="B885" s="786">
        <v>46521</v>
      </c>
      <c r="C885" s="239">
        <v>1286</v>
      </c>
      <c r="D885" s="88" t="s">
        <v>215</v>
      </c>
      <c r="E885" s="88">
        <v>4</v>
      </c>
      <c r="F885" s="418">
        <v>0</v>
      </c>
      <c r="G885" s="88">
        <v>1</v>
      </c>
      <c r="H885" s="88">
        <v>44.3</v>
      </c>
      <c r="I885" s="74">
        <f t="shared" ref="I885:I891" si="175">F885*400+G885*100+H885</f>
        <v>144.30000000000001</v>
      </c>
      <c r="J885" s="121">
        <v>2300</v>
      </c>
      <c r="K885" s="159">
        <f t="shared" ref="K885:K891" si="176">SUM(I885*J885)</f>
        <v>331890</v>
      </c>
      <c r="L885" s="75"/>
      <c r="M885" s="88"/>
      <c r="N885" s="88"/>
      <c r="O885" s="75"/>
      <c r="P885" s="180"/>
      <c r="Q885" s="174"/>
      <c r="R885" s="413"/>
      <c r="S885" s="74"/>
      <c r="T885" s="88"/>
      <c r="U885" s="74"/>
      <c r="V885" s="74"/>
      <c r="W885" s="74">
        <f t="shared" ref="W885:W891" si="177">K885+V885</f>
        <v>331890</v>
      </c>
      <c r="X885" s="74">
        <f t="shared" ref="X885:X891" si="178">W885</f>
        <v>331890</v>
      </c>
      <c r="Y885" s="88">
        <v>0</v>
      </c>
      <c r="Z885" s="121">
        <f t="shared" ref="Z885:Z891" si="179">+X885</f>
        <v>331890</v>
      </c>
      <c r="AA885" s="414">
        <v>0.3</v>
      </c>
      <c r="AB885" s="410">
        <f t="shared" ref="AB885:AB891" si="180">+Z885*AA885/100</f>
        <v>995.67</v>
      </c>
    </row>
    <row r="886" spans="1:28" s="457" customFormat="1" ht="18" customHeight="1" x14ac:dyDescent="0.2">
      <c r="A886" s="145">
        <v>3</v>
      </c>
      <c r="B886" s="411">
        <v>46522</v>
      </c>
      <c r="C886" s="88">
        <v>1287</v>
      </c>
      <c r="D886" s="88" t="s">
        <v>215</v>
      </c>
      <c r="E886" s="88">
        <v>4</v>
      </c>
      <c r="F886" s="418">
        <v>0</v>
      </c>
      <c r="G886" s="88">
        <v>1</v>
      </c>
      <c r="H886" s="418">
        <v>23.3</v>
      </c>
      <c r="I886" s="74">
        <f t="shared" si="175"/>
        <v>123.3</v>
      </c>
      <c r="J886" s="121">
        <v>2300</v>
      </c>
      <c r="K886" s="159">
        <f t="shared" si="176"/>
        <v>283590</v>
      </c>
      <c r="L886" s="75"/>
      <c r="M886" s="88"/>
      <c r="N886" s="88"/>
      <c r="O886" s="75"/>
      <c r="P886" s="180"/>
      <c r="Q886" s="174"/>
      <c r="R886" s="413"/>
      <c r="S886" s="74"/>
      <c r="T886" s="88"/>
      <c r="U886" s="74"/>
      <c r="V886" s="74"/>
      <c r="W886" s="74">
        <f t="shared" si="177"/>
        <v>283590</v>
      </c>
      <c r="X886" s="74">
        <f t="shared" si="178"/>
        <v>283590</v>
      </c>
      <c r="Y886" s="88">
        <v>0</v>
      </c>
      <c r="Z886" s="121">
        <f t="shared" si="179"/>
        <v>283590</v>
      </c>
      <c r="AA886" s="414">
        <v>0.3</v>
      </c>
      <c r="AB886" s="410">
        <f t="shared" si="180"/>
        <v>850.77</v>
      </c>
    </row>
    <row r="887" spans="1:28" s="457" customFormat="1" ht="18" customHeight="1" x14ac:dyDescent="0.2">
      <c r="A887" s="88">
        <v>4</v>
      </c>
      <c r="B887" s="786">
        <v>46523</v>
      </c>
      <c r="C887" s="88">
        <v>1288</v>
      </c>
      <c r="D887" s="88" t="s">
        <v>215</v>
      </c>
      <c r="E887" s="88">
        <v>4</v>
      </c>
      <c r="F887" s="88">
        <v>0</v>
      </c>
      <c r="G887" s="88">
        <v>1</v>
      </c>
      <c r="H887" s="88">
        <v>33.799999999999997</v>
      </c>
      <c r="I887" s="74">
        <f t="shared" si="175"/>
        <v>133.80000000000001</v>
      </c>
      <c r="J887" s="121">
        <v>2300</v>
      </c>
      <c r="K887" s="159">
        <f t="shared" si="176"/>
        <v>307740</v>
      </c>
      <c r="L887" s="75"/>
      <c r="M887" s="88"/>
      <c r="N887" s="88"/>
      <c r="O887" s="75"/>
      <c r="P887" s="180"/>
      <c r="Q887" s="174"/>
      <c r="R887" s="440"/>
      <c r="S887" s="159"/>
      <c r="T887" s="88"/>
      <c r="U887" s="74"/>
      <c r="V887" s="74"/>
      <c r="W887" s="74">
        <f t="shared" si="177"/>
        <v>307740</v>
      </c>
      <c r="X887" s="74">
        <f t="shared" si="178"/>
        <v>307740</v>
      </c>
      <c r="Y887" s="88">
        <v>0</v>
      </c>
      <c r="Z887" s="121">
        <f t="shared" si="179"/>
        <v>307740</v>
      </c>
      <c r="AA887" s="414">
        <v>0.3</v>
      </c>
      <c r="AB887" s="410">
        <f t="shared" si="180"/>
        <v>923.22</v>
      </c>
    </row>
    <row r="888" spans="1:28" s="457" customFormat="1" ht="18" customHeight="1" x14ac:dyDescent="0.2">
      <c r="A888" s="88">
        <v>5</v>
      </c>
      <c r="B888" s="786">
        <v>46524</v>
      </c>
      <c r="C888" s="88">
        <v>1289</v>
      </c>
      <c r="D888" s="88" t="s">
        <v>215</v>
      </c>
      <c r="E888" s="88">
        <v>4</v>
      </c>
      <c r="F888" s="88">
        <v>0</v>
      </c>
      <c r="G888" s="88">
        <v>1</v>
      </c>
      <c r="H888" s="88">
        <v>38.1</v>
      </c>
      <c r="I888" s="74">
        <f t="shared" si="175"/>
        <v>138.1</v>
      </c>
      <c r="J888" s="121">
        <v>2300</v>
      </c>
      <c r="K888" s="159">
        <f t="shared" si="176"/>
        <v>317630</v>
      </c>
      <c r="L888" s="75"/>
      <c r="M888" s="88"/>
      <c r="N888" s="88"/>
      <c r="O888" s="75"/>
      <c r="P888" s="180"/>
      <c r="Q888" s="174"/>
      <c r="R888" s="440"/>
      <c r="S888" s="159"/>
      <c r="T888" s="88"/>
      <c r="U888" s="74"/>
      <c r="V888" s="74"/>
      <c r="W888" s="74">
        <f t="shared" si="177"/>
        <v>317630</v>
      </c>
      <c r="X888" s="74">
        <f t="shared" si="178"/>
        <v>317630</v>
      </c>
      <c r="Y888" s="88">
        <v>0</v>
      </c>
      <c r="Z888" s="121">
        <f t="shared" si="179"/>
        <v>317630</v>
      </c>
      <c r="AA888" s="414">
        <v>0.3</v>
      </c>
      <c r="AB888" s="410">
        <f t="shared" si="180"/>
        <v>952.89</v>
      </c>
    </row>
    <row r="889" spans="1:28" s="457" customFormat="1" ht="18" customHeight="1" x14ac:dyDescent="0.2">
      <c r="A889" s="88">
        <v>6</v>
      </c>
      <c r="B889" s="85">
        <v>46525</v>
      </c>
      <c r="C889" s="88">
        <v>1290</v>
      </c>
      <c r="D889" s="88" t="s">
        <v>215</v>
      </c>
      <c r="E889" s="88">
        <v>4</v>
      </c>
      <c r="F889" s="88">
        <v>0</v>
      </c>
      <c r="G889" s="88">
        <v>1</v>
      </c>
      <c r="H889" s="88">
        <v>43.8</v>
      </c>
      <c r="I889" s="74">
        <f t="shared" si="175"/>
        <v>143.80000000000001</v>
      </c>
      <c r="J889" s="121">
        <v>2300</v>
      </c>
      <c r="K889" s="159">
        <f t="shared" si="176"/>
        <v>330740</v>
      </c>
      <c r="L889" s="88"/>
      <c r="M889" s="88"/>
      <c r="N889" s="88"/>
      <c r="O889" s="88"/>
      <c r="P889" s="120"/>
      <c r="Q889" s="129"/>
      <c r="R889" s="413"/>
      <c r="S889" s="121"/>
      <c r="T889" s="182"/>
      <c r="U889" s="181"/>
      <c r="V889" s="121"/>
      <c r="W889" s="74">
        <f t="shared" si="177"/>
        <v>330740</v>
      </c>
      <c r="X889" s="74">
        <f t="shared" si="178"/>
        <v>330740</v>
      </c>
      <c r="Y889" s="88">
        <v>0</v>
      </c>
      <c r="Z889" s="121">
        <f t="shared" si="179"/>
        <v>330740</v>
      </c>
      <c r="AA889" s="414">
        <v>0.3</v>
      </c>
      <c r="AB889" s="410">
        <f t="shared" si="180"/>
        <v>992.22</v>
      </c>
    </row>
    <row r="890" spans="1:28" s="457" customFormat="1" ht="18" customHeight="1" x14ac:dyDescent="0.2">
      <c r="A890" s="88">
        <v>7</v>
      </c>
      <c r="B890" s="85">
        <v>46526</v>
      </c>
      <c r="C890" s="418">
        <v>1291</v>
      </c>
      <c r="D890" s="88" t="s">
        <v>215</v>
      </c>
      <c r="E890" s="88">
        <v>4</v>
      </c>
      <c r="F890" s="88">
        <v>0</v>
      </c>
      <c r="G890" s="88">
        <v>1</v>
      </c>
      <c r="H890" s="418">
        <v>46.4</v>
      </c>
      <c r="I890" s="74">
        <f t="shared" si="175"/>
        <v>146.4</v>
      </c>
      <c r="J890" s="121">
        <v>2300</v>
      </c>
      <c r="K890" s="159">
        <f t="shared" si="176"/>
        <v>336720</v>
      </c>
      <c r="L890" s="88"/>
      <c r="M890" s="88"/>
      <c r="N890" s="88"/>
      <c r="O890" s="88"/>
      <c r="P890" s="120"/>
      <c r="Q890" s="129"/>
      <c r="R890" s="445"/>
      <c r="S890" s="121"/>
      <c r="T890" s="182"/>
      <c r="U890" s="181"/>
      <c r="V890" s="121"/>
      <c r="W890" s="74">
        <f t="shared" si="177"/>
        <v>336720</v>
      </c>
      <c r="X890" s="74">
        <f t="shared" si="178"/>
        <v>336720</v>
      </c>
      <c r="Y890" s="88">
        <v>0</v>
      </c>
      <c r="Z890" s="121">
        <f t="shared" si="179"/>
        <v>336720</v>
      </c>
      <c r="AA890" s="414">
        <v>0.3</v>
      </c>
      <c r="AB890" s="410">
        <f t="shared" si="180"/>
        <v>1010.16</v>
      </c>
    </row>
    <row r="891" spans="1:28" s="457" customFormat="1" ht="18" customHeight="1" x14ac:dyDescent="0.2">
      <c r="A891" s="88">
        <v>8</v>
      </c>
      <c r="B891" s="85">
        <v>1932</v>
      </c>
      <c r="C891" s="418">
        <v>118</v>
      </c>
      <c r="D891" s="88" t="s">
        <v>215</v>
      </c>
      <c r="E891" s="88">
        <v>4</v>
      </c>
      <c r="F891" s="418">
        <v>0</v>
      </c>
      <c r="G891" s="88">
        <v>3</v>
      </c>
      <c r="H891" s="418">
        <v>1.2</v>
      </c>
      <c r="I891" s="74">
        <f t="shared" si="175"/>
        <v>301.2</v>
      </c>
      <c r="J891" s="121">
        <v>2300</v>
      </c>
      <c r="K891" s="159">
        <f t="shared" si="176"/>
        <v>692760</v>
      </c>
      <c r="L891" s="88"/>
      <c r="M891" s="88"/>
      <c r="N891" s="88"/>
      <c r="O891" s="88"/>
      <c r="P891" s="120"/>
      <c r="Q891" s="129"/>
      <c r="R891" s="445"/>
      <c r="S891" s="121"/>
      <c r="T891" s="182"/>
      <c r="U891" s="181"/>
      <c r="V891" s="121"/>
      <c r="W891" s="77">
        <f t="shared" si="177"/>
        <v>692760</v>
      </c>
      <c r="X891" s="77">
        <f t="shared" si="178"/>
        <v>692760</v>
      </c>
      <c r="Y891" s="145">
        <v>0</v>
      </c>
      <c r="Z891" s="107">
        <f t="shared" si="179"/>
        <v>692760</v>
      </c>
      <c r="AA891" s="409">
        <v>0.3</v>
      </c>
      <c r="AB891" s="466">
        <f t="shared" si="180"/>
        <v>2078.2800000000002</v>
      </c>
    </row>
    <row r="892" spans="1:28" s="457" customFormat="1" ht="18" customHeight="1" x14ac:dyDescent="0.2">
      <c r="A892" s="145"/>
      <c r="B892" s="177"/>
      <c r="C892" s="177"/>
      <c r="D892" s="145"/>
      <c r="E892" s="145"/>
      <c r="F892" s="145"/>
      <c r="G892" s="145"/>
      <c r="H892" s="147"/>
      <c r="I892" s="107"/>
      <c r="J892" s="178"/>
      <c r="K892" s="107"/>
      <c r="L892" s="145"/>
      <c r="M892" s="145"/>
      <c r="N892" s="145"/>
      <c r="O892" s="145"/>
      <c r="P892" s="147"/>
      <c r="Q892" s="148"/>
      <c r="R892" s="437"/>
      <c r="S892" s="107"/>
      <c r="T892" s="179"/>
      <c r="U892" s="178"/>
      <c r="V892" s="107"/>
      <c r="W892" s="107"/>
      <c r="X892" s="470"/>
      <c r="Y892" s="470"/>
      <c r="Z892" s="471"/>
      <c r="AA892" s="471"/>
      <c r="AB892" s="466"/>
    </row>
    <row r="893" spans="1:28" s="457" customFormat="1" ht="18" customHeight="1" x14ac:dyDescent="0.2">
      <c r="A893" s="145"/>
      <c r="B893" s="177"/>
      <c r="C893" s="177"/>
      <c r="D893" s="145"/>
      <c r="E893" s="145"/>
      <c r="F893" s="145"/>
      <c r="G893" s="145"/>
      <c r="H893" s="147"/>
      <c r="I893" s="107"/>
      <c r="J893" s="178"/>
      <c r="K893" s="107"/>
      <c r="L893" s="145"/>
      <c r="M893" s="145"/>
      <c r="N893" s="145"/>
      <c r="O893" s="145"/>
      <c r="P893" s="147"/>
      <c r="Q893" s="148"/>
      <c r="R893" s="437"/>
      <c r="S893" s="107"/>
      <c r="T893" s="179"/>
      <c r="U893" s="178"/>
      <c r="V893" s="107"/>
      <c r="W893" s="107"/>
      <c r="X893" s="470"/>
      <c r="Y893" s="470"/>
      <c r="Z893" s="471"/>
      <c r="AA893" s="471"/>
      <c r="AB893" s="466"/>
    </row>
    <row r="894" spans="1:28" s="457" customFormat="1" ht="18" customHeight="1" x14ac:dyDescent="0.2">
      <c r="A894" s="145"/>
      <c r="B894" s="177"/>
      <c r="C894" s="177"/>
      <c r="D894" s="145"/>
      <c r="E894" s="145"/>
      <c r="F894" s="145"/>
      <c r="G894" s="145"/>
      <c r="H894" s="147"/>
      <c r="I894" s="107"/>
      <c r="J894" s="178"/>
      <c r="K894" s="107"/>
      <c r="L894" s="145"/>
      <c r="M894" s="145"/>
      <c r="N894" s="145"/>
      <c r="O894" s="145"/>
      <c r="P894" s="147"/>
      <c r="Q894" s="148"/>
      <c r="R894" s="437"/>
      <c r="S894" s="107"/>
      <c r="T894" s="179"/>
      <c r="U894" s="178"/>
      <c r="V894" s="107"/>
      <c r="W894" s="107"/>
      <c r="X894" s="470"/>
      <c r="Y894" s="470"/>
      <c r="Z894" s="471"/>
      <c r="AA894" s="471"/>
      <c r="AB894" s="466"/>
    </row>
    <row r="895" spans="1:28" s="457" customFormat="1" ht="18" customHeight="1" x14ac:dyDescent="0.2">
      <c r="A895" s="145"/>
      <c r="B895" s="177"/>
      <c r="C895" s="177"/>
      <c r="D895" s="145"/>
      <c r="E895" s="145"/>
      <c r="F895" s="145"/>
      <c r="G895" s="145"/>
      <c r="H895" s="147"/>
      <c r="I895" s="107"/>
      <c r="J895" s="178"/>
      <c r="K895" s="107"/>
      <c r="L895" s="145"/>
      <c r="M895" s="145"/>
      <c r="N895" s="145"/>
      <c r="O895" s="145"/>
      <c r="P895" s="147"/>
      <c r="Q895" s="148"/>
      <c r="R895" s="437"/>
      <c r="S895" s="107"/>
      <c r="T895" s="179"/>
      <c r="U895" s="178"/>
      <c r="V895" s="107"/>
      <c r="W895" s="107"/>
      <c r="X895" s="470"/>
      <c r="Y895" s="470"/>
      <c r="Z895" s="471"/>
      <c r="AA895" s="471"/>
      <c r="AB895" s="466"/>
    </row>
    <row r="896" spans="1:28" s="457" customFormat="1" ht="18" customHeight="1" x14ac:dyDescent="0.2">
      <c r="A896" s="145"/>
      <c r="B896" s="177"/>
      <c r="C896" s="177"/>
      <c r="D896" s="145"/>
      <c r="E896" s="145"/>
      <c r="F896" s="145"/>
      <c r="G896" s="145"/>
      <c r="H896" s="147"/>
      <c r="I896" s="107"/>
      <c r="J896" s="178"/>
      <c r="K896" s="107"/>
      <c r="L896" s="145"/>
      <c r="M896" s="145"/>
      <c r="N896" s="145"/>
      <c r="O896" s="145"/>
      <c r="P896" s="147"/>
      <c r="Q896" s="148"/>
      <c r="R896" s="437"/>
      <c r="S896" s="107"/>
      <c r="T896" s="179"/>
      <c r="U896" s="178"/>
      <c r="V896" s="107"/>
      <c r="W896" s="107"/>
      <c r="X896" s="470"/>
      <c r="Y896" s="470"/>
      <c r="Z896" s="471"/>
      <c r="AA896" s="471"/>
      <c r="AB896" s="466"/>
    </row>
    <row r="897" spans="1:28" s="457" customFormat="1" ht="18" customHeight="1" x14ac:dyDescent="0.2">
      <c r="A897" s="88"/>
      <c r="B897" s="177"/>
      <c r="C897" s="177"/>
      <c r="D897" s="145"/>
      <c r="E897" s="145"/>
      <c r="F897" s="145"/>
      <c r="G897" s="145"/>
      <c r="H897" s="147"/>
      <c r="I897" s="107"/>
      <c r="J897" s="178"/>
      <c r="K897" s="107"/>
      <c r="L897" s="145"/>
      <c r="M897" s="145"/>
      <c r="N897" s="145"/>
      <c r="O897" s="145"/>
      <c r="P897" s="147"/>
      <c r="Q897" s="148"/>
      <c r="R897" s="437"/>
      <c r="S897" s="107"/>
      <c r="T897" s="179"/>
      <c r="U897" s="178"/>
      <c r="V897" s="107"/>
      <c r="W897" s="107"/>
      <c r="X897" s="470"/>
      <c r="Y897" s="470"/>
      <c r="Z897" s="471"/>
      <c r="AA897" s="471"/>
      <c r="AB897" s="466"/>
    </row>
    <row r="898" spans="1:28" s="457" customFormat="1" ht="18" customHeight="1" x14ac:dyDescent="0.2">
      <c r="A898" s="648"/>
      <c r="B898" s="180"/>
      <c r="C898" s="180"/>
      <c r="D898" s="88"/>
      <c r="E898" s="88"/>
      <c r="F898" s="88"/>
      <c r="G898" s="88"/>
      <c r="H898" s="120"/>
      <c r="I898" s="121"/>
      <c r="J898" s="181"/>
      <c r="K898" s="121"/>
      <c r="L898" s="88"/>
      <c r="M898" s="88"/>
      <c r="N898" s="88"/>
      <c r="O898" s="88"/>
      <c r="P898" s="88"/>
      <c r="Q898" s="129"/>
      <c r="R898" s="445"/>
      <c r="S898" s="121"/>
      <c r="T898" s="182"/>
      <c r="U898" s="181"/>
      <c r="V898" s="121"/>
      <c r="W898" s="121"/>
      <c r="X898" s="472"/>
      <c r="Y898" s="472"/>
      <c r="Z898" s="473"/>
      <c r="AA898" s="473"/>
      <c r="AB898" s="410"/>
    </row>
    <row r="899" spans="1:28" s="597" customFormat="1" ht="18" customHeight="1" x14ac:dyDescent="0.2">
      <c r="A899" s="1850"/>
      <c r="B899" s="1850"/>
      <c r="C899" s="1850"/>
      <c r="D899" s="1850"/>
      <c r="E899" s="1850"/>
      <c r="F899" s="1850"/>
      <c r="G899" s="1850"/>
      <c r="H899" s="1851"/>
      <c r="I899" s="1852"/>
      <c r="J899" s="1853"/>
      <c r="K899" s="1852"/>
      <c r="L899" s="1852"/>
      <c r="M899" s="1852"/>
      <c r="N899" s="1852"/>
      <c r="O899" s="1852"/>
      <c r="P899" s="1852"/>
      <c r="Q899" s="1852"/>
      <c r="R899" s="1854"/>
      <c r="S899" s="1852"/>
      <c r="T899" s="1855"/>
      <c r="U899" s="1853"/>
      <c r="V899" s="1852"/>
      <c r="W899" s="1852"/>
      <c r="X899" s="1856"/>
      <c r="Y899" s="1856"/>
      <c r="Z899" s="1857"/>
      <c r="AA899" s="1857"/>
      <c r="AB899" s="1847">
        <f>SUM(AB884:AB898)</f>
        <v>10655.670000000002</v>
      </c>
    </row>
    <row r="900" spans="1:28" s="457" customFormat="1" ht="18" customHeight="1" x14ac:dyDescent="0.2">
      <c r="B900" s="477" t="s">
        <v>76</v>
      </c>
      <c r="C900" s="2738" t="s">
        <v>77</v>
      </c>
      <c r="D900" s="2738"/>
      <c r="E900" s="2738"/>
      <c r="F900" s="2738"/>
      <c r="G900" s="2738"/>
      <c r="H900" s="2738"/>
      <c r="I900" s="457" t="s">
        <v>78</v>
      </c>
      <c r="AB900" s="478"/>
    </row>
    <row r="901" spans="1:28" s="457" customFormat="1" ht="18" customHeight="1" x14ac:dyDescent="0.2">
      <c r="B901" s="479"/>
      <c r="I901" s="457" t="s">
        <v>79</v>
      </c>
      <c r="AB901" s="478"/>
    </row>
    <row r="902" spans="1:28" s="457" customFormat="1" ht="18" customHeight="1" x14ac:dyDescent="0.2">
      <c r="B902" s="479"/>
      <c r="I902" s="457" t="s">
        <v>80</v>
      </c>
      <c r="AB902" s="478"/>
    </row>
    <row r="903" spans="1:28" s="457" customFormat="1" ht="18" customHeight="1" x14ac:dyDescent="0.2">
      <c r="B903" s="479"/>
      <c r="I903" s="457" t="s">
        <v>81</v>
      </c>
      <c r="AB903" s="478"/>
    </row>
    <row r="904" spans="1:28" s="457" customFormat="1" ht="18" customHeight="1" x14ac:dyDescent="0.2">
      <c r="B904" s="479"/>
      <c r="I904" s="457" t="s">
        <v>88</v>
      </c>
      <c r="AB904" s="478"/>
    </row>
    <row r="905" spans="1:28" s="457" customFormat="1" ht="18" customHeight="1" x14ac:dyDescent="0.2">
      <c r="A905" s="455"/>
      <c r="B905" s="455"/>
      <c r="C905" s="455"/>
      <c r="D905" s="455"/>
      <c r="E905" s="455"/>
      <c r="F905" s="455"/>
      <c r="G905" s="455"/>
      <c r="H905" s="455"/>
      <c r="I905" s="455"/>
      <c r="J905" s="455"/>
      <c r="K905" s="455"/>
      <c r="L905" s="455"/>
      <c r="M905" s="455"/>
      <c r="N905" s="455"/>
      <c r="O905" s="455"/>
      <c r="P905" s="455"/>
      <c r="Q905" s="455"/>
      <c r="R905" s="455"/>
      <c r="S905" s="455"/>
      <c r="T905" s="455"/>
      <c r="U905" s="455"/>
      <c r="V905" s="455"/>
      <c r="W905" s="455"/>
      <c r="X905" s="455"/>
      <c r="Y905" s="455"/>
      <c r="Z905" s="455"/>
      <c r="AA905" s="2705" t="s">
        <v>0</v>
      </c>
      <c r="AB905" s="2705"/>
    </row>
    <row r="906" spans="1:28" s="457" customFormat="1" ht="18" customHeight="1" x14ac:dyDescent="0.2">
      <c r="A906" s="2706" t="s">
        <v>1</v>
      </c>
      <c r="B906" s="2706"/>
      <c r="C906" s="2706"/>
      <c r="D906" s="2706"/>
      <c r="E906" s="2706"/>
      <c r="F906" s="2706"/>
      <c r="G906" s="2706"/>
      <c r="H906" s="2706"/>
      <c r="I906" s="2706"/>
      <c r="J906" s="2706"/>
      <c r="K906" s="2706"/>
      <c r="L906" s="2706"/>
      <c r="M906" s="2706"/>
      <c r="N906" s="2706"/>
      <c r="O906" s="2706"/>
      <c r="P906" s="2706"/>
      <c r="Q906" s="2706"/>
      <c r="R906" s="2706"/>
      <c r="S906" s="2706"/>
      <c r="T906" s="2706"/>
      <c r="U906" s="2706"/>
      <c r="V906" s="2706"/>
      <c r="W906" s="2706"/>
      <c r="X906" s="2706"/>
      <c r="Y906" s="2706"/>
      <c r="Z906" s="2706"/>
      <c r="AA906" s="2706"/>
      <c r="AB906" s="2706"/>
    </row>
    <row r="907" spans="1:28" s="457" customFormat="1" ht="18" customHeight="1" x14ac:dyDescent="0.2">
      <c r="A907" s="2704" t="s">
        <v>514</v>
      </c>
      <c r="B907" s="2704"/>
      <c r="C907" s="2704"/>
      <c r="D907" s="2704"/>
      <c r="E907" s="2704"/>
      <c r="F907" s="2704"/>
      <c r="G907" s="2704"/>
      <c r="H907" s="2704"/>
      <c r="I907" s="2704"/>
      <c r="J907" s="2704"/>
      <c r="K907" s="2704"/>
      <c r="L907" s="2704"/>
      <c r="M907" s="2704"/>
      <c r="N907" s="2704"/>
      <c r="O907" s="2704"/>
      <c r="P907" s="2704"/>
      <c r="Q907" s="2704"/>
      <c r="R907" s="2704"/>
      <c r="S907" s="2704"/>
      <c r="T907" s="2704"/>
      <c r="U907" s="2704"/>
      <c r="V907" s="2704"/>
      <c r="W907" s="2704"/>
      <c r="X907" s="2704"/>
      <c r="Y907" s="2704"/>
      <c r="Z907" s="2704"/>
      <c r="AA907" s="2704"/>
      <c r="AB907" s="2704"/>
    </row>
    <row r="908" spans="1:28" s="457" customFormat="1" ht="18" customHeight="1" x14ac:dyDescent="0.2">
      <c r="A908" s="2686" t="s">
        <v>2</v>
      </c>
      <c r="B908" s="360"/>
      <c r="C908" s="2686" t="s">
        <v>3</v>
      </c>
      <c r="D908" s="360"/>
      <c r="E908" s="360"/>
      <c r="F908" s="2693" t="s">
        <v>4</v>
      </c>
      <c r="G908" s="2693"/>
      <c r="H908" s="2693"/>
      <c r="I908" s="2694"/>
      <c r="J908" s="2694"/>
      <c r="K908" s="2695"/>
      <c r="L908" s="361"/>
      <c r="M908" s="2679" t="s">
        <v>5</v>
      </c>
      <c r="N908" s="2679"/>
      <c r="O908" s="2679"/>
      <c r="P908" s="2679"/>
      <c r="Q908" s="2696"/>
      <c r="R908" s="2696"/>
      <c r="S908" s="2696"/>
      <c r="T908" s="2696"/>
      <c r="U908" s="2696"/>
      <c r="V908" s="2697"/>
      <c r="W908" s="362" t="s">
        <v>6</v>
      </c>
      <c r="X908" s="363" t="s">
        <v>7</v>
      </c>
      <c r="Y908" s="364"/>
      <c r="Z908" s="364"/>
      <c r="AA908" s="363"/>
      <c r="AB908" s="458"/>
    </row>
    <row r="909" spans="1:28" s="457" customFormat="1" ht="18" customHeight="1" x14ac:dyDescent="0.2">
      <c r="A909" s="2687"/>
      <c r="B909" s="367"/>
      <c r="C909" s="2687"/>
      <c r="D909" s="366" t="s">
        <v>9</v>
      </c>
      <c r="E909" s="366" t="s">
        <v>10</v>
      </c>
      <c r="F909" s="2698" t="s">
        <v>11</v>
      </c>
      <c r="G909" s="2694"/>
      <c r="H909" s="2695"/>
      <c r="I909" s="360"/>
      <c r="J909" s="449" t="s">
        <v>12</v>
      </c>
      <c r="K909" s="360"/>
      <c r="L909" s="2679" t="s">
        <v>2</v>
      </c>
      <c r="M909" s="370"/>
      <c r="N909" s="370"/>
      <c r="O909" s="370"/>
      <c r="P909" s="371"/>
      <c r="Q909" s="459" t="s">
        <v>13</v>
      </c>
      <c r="R909" s="370" t="s">
        <v>12</v>
      </c>
      <c r="S909" s="370" t="s">
        <v>6</v>
      </c>
      <c r="T909" s="2682" t="s">
        <v>14</v>
      </c>
      <c r="U909" s="2683"/>
      <c r="V909" s="375" t="s">
        <v>7</v>
      </c>
      <c r="W909" s="376" t="s">
        <v>15</v>
      </c>
      <c r="X909" s="377" t="s">
        <v>16</v>
      </c>
      <c r="Y909" s="377" t="s">
        <v>17</v>
      </c>
      <c r="Z909" s="377" t="s">
        <v>18</v>
      </c>
      <c r="AA909" s="377"/>
      <c r="AB909" s="460" t="s">
        <v>19</v>
      </c>
    </row>
    <row r="910" spans="1:28" s="457" customFormat="1" ht="18" customHeight="1" x14ac:dyDescent="0.2">
      <c r="A910" s="2687"/>
      <c r="B910" s="366" t="s">
        <v>23</v>
      </c>
      <c r="C910" s="2687"/>
      <c r="D910" s="366" t="s">
        <v>24</v>
      </c>
      <c r="E910" s="366" t="s">
        <v>25</v>
      </c>
      <c r="F910" s="2699"/>
      <c r="G910" s="2700"/>
      <c r="H910" s="2701"/>
      <c r="I910" s="366" t="s">
        <v>26</v>
      </c>
      <c r="J910" s="380" t="s">
        <v>15</v>
      </c>
      <c r="K910" s="380" t="s">
        <v>6</v>
      </c>
      <c r="L910" s="2680"/>
      <c r="M910" s="381" t="s">
        <v>27</v>
      </c>
      <c r="N910" s="381" t="s">
        <v>10</v>
      </c>
      <c r="O910" s="381" t="s">
        <v>10</v>
      </c>
      <c r="P910" s="385" t="s">
        <v>28</v>
      </c>
      <c r="Q910" s="461" t="s">
        <v>29</v>
      </c>
      <c r="R910" s="385" t="s">
        <v>15</v>
      </c>
      <c r="S910" s="385" t="s">
        <v>15</v>
      </c>
      <c r="T910" s="2684"/>
      <c r="U910" s="2685"/>
      <c r="V910" s="375" t="s">
        <v>30</v>
      </c>
      <c r="W910" s="376" t="s">
        <v>31</v>
      </c>
      <c r="X910" s="377" t="s">
        <v>30</v>
      </c>
      <c r="Y910" s="377" t="s">
        <v>32</v>
      </c>
      <c r="Z910" s="377" t="s">
        <v>7</v>
      </c>
      <c r="AA910" s="377" t="s">
        <v>33</v>
      </c>
      <c r="AB910" s="460" t="s">
        <v>34</v>
      </c>
    </row>
    <row r="911" spans="1:28" s="457" customFormat="1" ht="18" customHeight="1" x14ac:dyDescent="0.2">
      <c r="A911" s="2687"/>
      <c r="B911" s="366" t="s">
        <v>39</v>
      </c>
      <c r="C911" s="2687"/>
      <c r="D911" s="366" t="s">
        <v>40</v>
      </c>
      <c r="E911" s="366" t="s">
        <v>41</v>
      </c>
      <c r="F911" s="2686" t="s">
        <v>42</v>
      </c>
      <c r="G911" s="2686" t="s">
        <v>43</v>
      </c>
      <c r="H911" s="2688" t="s">
        <v>44</v>
      </c>
      <c r="I911" s="366" t="s">
        <v>45</v>
      </c>
      <c r="J911" s="380" t="s">
        <v>46</v>
      </c>
      <c r="K911" s="380" t="s">
        <v>47</v>
      </c>
      <c r="L911" s="2680"/>
      <c r="M911" s="381" t="s">
        <v>30</v>
      </c>
      <c r="N911" s="381" t="s">
        <v>30</v>
      </c>
      <c r="O911" s="381" t="s">
        <v>25</v>
      </c>
      <c r="P911" s="385" t="s">
        <v>30</v>
      </c>
      <c r="Q911" s="461" t="s">
        <v>48</v>
      </c>
      <c r="R911" s="385" t="s">
        <v>49</v>
      </c>
      <c r="S911" s="385" t="s">
        <v>30</v>
      </c>
      <c r="T911" s="374" t="s">
        <v>50</v>
      </c>
      <c r="U911" s="374" t="s">
        <v>13</v>
      </c>
      <c r="V911" s="375" t="s">
        <v>51</v>
      </c>
      <c r="W911" s="376" t="s">
        <v>52</v>
      </c>
      <c r="X911" s="377" t="s">
        <v>53</v>
      </c>
      <c r="Y911" s="377" t="s">
        <v>54</v>
      </c>
      <c r="Z911" s="377" t="s">
        <v>55</v>
      </c>
      <c r="AA911" s="377" t="s">
        <v>56</v>
      </c>
      <c r="AB911" s="460" t="s">
        <v>57</v>
      </c>
    </row>
    <row r="912" spans="1:28" s="457" customFormat="1" ht="18" customHeight="1" x14ac:dyDescent="0.2">
      <c r="A912" s="2687"/>
      <c r="B912" s="366" t="s">
        <v>61</v>
      </c>
      <c r="C912" s="2687"/>
      <c r="D912" s="366" t="s">
        <v>62</v>
      </c>
      <c r="E912" s="366" t="s">
        <v>63</v>
      </c>
      <c r="F912" s="2687"/>
      <c r="G912" s="2687"/>
      <c r="H912" s="2689"/>
      <c r="I912" s="366" t="s">
        <v>64</v>
      </c>
      <c r="J912" s="380" t="s">
        <v>59</v>
      </c>
      <c r="K912" s="380" t="s">
        <v>59</v>
      </c>
      <c r="L912" s="2680"/>
      <c r="M912" s="381"/>
      <c r="N912" s="381"/>
      <c r="O912" s="381" t="s">
        <v>41</v>
      </c>
      <c r="P912" s="385" t="s">
        <v>65</v>
      </c>
      <c r="Q912" s="461" t="s">
        <v>66</v>
      </c>
      <c r="R912" s="385" t="s">
        <v>67</v>
      </c>
      <c r="S912" s="385" t="s">
        <v>59</v>
      </c>
      <c r="T912" s="375" t="s">
        <v>68</v>
      </c>
      <c r="U912" s="375" t="s">
        <v>14</v>
      </c>
      <c r="V912" s="375" t="s">
        <v>14</v>
      </c>
      <c r="W912" s="376" t="s">
        <v>30</v>
      </c>
      <c r="X912" s="388" t="s">
        <v>69</v>
      </c>
      <c r="Y912" s="388" t="s">
        <v>70</v>
      </c>
      <c r="Z912" s="377" t="s">
        <v>71</v>
      </c>
      <c r="AA912" s="377" t="s">
        <v>72</v>
      </c>
      <c r="AB912" s="460" t="s">
        <v>59</v>
      </c>
    </row>
    <row r="913" spans="1:28" s="457" customFormat="1" ht="18" customHeight="1" x14ac:dyDescent="0.2">
      <c r="A913" s="2692"/>
      <c r="B913" s="390"/>
      <c r="C913" s="2692"/>
      <c r="D913" s="390"/>
      <c r="E913" s="389"/>
      <c r="F913" s="390"/>
      <c r="G913" s="390"/>
      <c r="H913" s="391"/>
      <c r="I913" s="389"/>
      <c r="J913" s="393"/>
      <c r="K913" s="393"/>
      <c r="L913" s="2681"/>
      <c r="M913" s="394"/>
      <c r="N913" s="394"/>
      <c r="O913" s="394" t="s">
        <v>63</v>
      </c>
      <c r="P913" s="394"/>
      <c r="Q913" s="450" t="s">
        <v>72</v>
      </c>
      <c r="R913" s="398" t="s">
        <v>59</v>
      </c>
      <c r="S913" s="398"/>
      <c r="T913" s="398" t="s">
        <v>73</v>
      </c>
      <c r="U913" s="398" t="s">
        <v>59</v>
      </c>
      <c r="V913" s="399" t="s">
        <v>59</v>
      </c>
      <c r="W913" s="400" t="s">
        <v>59</v>
      </c>
      <c r="X913" s="401" t="s">
        <v>59</v>
      </c>
      <c r="Y913" s="401" t="s">
        <v>59</v>
      </c>
      <c r="Z913" s="401" t="s">
        <v>59</v>
      </c>
      <c r="AA913" s="402"/>
      <c r="AB913" s="462"/>
    </row>
    <row r="914" spans="1:28" s="457" customFormat="1" ht="18" customHeight="1" x14ac:dyDescent="0.2">
      <c r="A914" s="82">
        <v>1</v>
      </c>
      <c r="B914" s="95">
        <v>30877</v>
      </c>
      <c r="C914" s="82">
        <v>778</v>
      </c>
      <c r="D914" s="82" t="s">
        <v>215</v>
      </c>
      <c r="E914" s="82">
        <v>3</v>
      </c>
      <c r="F914" s="740">
        <v>0</v>
      </c>
      <c r="G914" s="82">
        <v>1</v>
      </c>
      <c r="H914" s="82">
        <v>48</v>
      </c>
      <c r="I914" s="70">
        <f>F914*400+G914*100+H914</f>
        <v>148</v>
      </c>
      <c r="J914" s="123">
        <v>14500</v>
      </c>
      <c r="K914" s="198">
        <f>SUM(I914*J914)</f>
        <v>2146000</v>
      </c>
      <c r="L914" s="61"/>
      <c r="M914" s="145"/>
      <c r="N914" s="145"/>
      <c r="O914" s="61"/>
      <c r="P914" s="177"/>
      <c r="Q914" s="196"/>
      <c r="R914" s="408"/>
      <c r="S914" s="123"/>
      <c r="T914" s="145"/>
      <c r="U914" s="107"/>
      <c r="V914" s="77"/>
      <c r="W914" s="77">
        <f>K914+V914</f>
        <v>2146000</v>
      </c>
      <c r="X914" s="77">
        <f>L914+W914</f>
        <v>2146000</v>
      </c>
      <c r="Y914" s="145">
        <v>0</v>
      </c>
      <c r="Z914" s="107">
        <f>+X914</f>
        <v>2146000</v>
      </c>
      <c r="AA914" s="409">
        <v>0</v>
      </c>
      <c r="AB914" s="466">
        <v>0</v>
      </c>
    </row>
    <row r="915" spans="1:28" s="457" customFormat="1" ht="18" customHeight="1" x14ac:dyDescent="0.2">
      <c r="A915" s="145"/>
      <c r="B915" s="75"/>
      <c r="C915" s="88"/>
      <c r="D915" s="145"/>
      <c r="E915" s="145">
        <v>2</v>
      </c>
      <c r="F915" s="467">
        <v>0</v>
      </c>
      <c r="G915" s="145">
        <v>0</v>
      </c>
      <c r="H915" s="145">
        <v>68</v>
      </c>
      <c r="I915" s="195">
        <f>F915*400+G915*100+H915</f>
        <v>68</v>
      </c>
      <c r="J915" s="150">
        <v>14500</v>
      </c>
      <c r="K915" s="121">
        <f>SUM(I915*J915)</f>
        <v>986000</v>
      </c>
      <c r="L915" s="61">
        <v>1</v>
      </c>
      <c r="M915" s="145">
        <v>103</v>
      </c>
      <c r="N915" s="145" t="s">
        <v>74</v>
      </c>
      <c r="O915" s="61">
        <v>2</v>
      </c>
      <c r="P915" s="177">
        <f>6*6</f>
        <v>36</v>
      </c>
      <c r="Q915" s="196" t="s">
        <v>75</v>
      </c>
      <c r="R915" s="408">
        <v>9050</v>
      </c>
      <c r="S915" s="195">
        <f>+P915*R915</f>
        <v>325800</v>
      </c>
      <c r="T915" s="146">
        <v>7</v>
      </c>
      <c r="U915" s="108">
        <f>+S915*0.07</f>
        <v>22806.000000000004</v>
      </c>
      <c r="V915" s="77">
        <f>+S915-U915</f>
        <v>302994</v>
      </c>
      <c r="W915" s="77">
        <f>K915+V915</f>
        <v>1288994</v>
      </c>
      <c r="X915" s="77">
        <f>W915</f>
        <v>1288994</v>
      </c>
      <c r="Y915" s="145">
        <v>0</v>
      </c>
      <c r="Z915" s="107">
        <f>+X915</f>
        <v>1288994</v>
      </c>
      <c r="AA915" s="409">
        <v>0.02</v>
      </c>
      <c r="AB915" s="466">
        <f>+Z915*AA915/100</f>
        <v>257.79880000000003</v>
      </c>
    </row>
    <row r="916" spans="1:28" s="457" customFormat="1" ht="18" customHeight="1" x14ac:dyDescent="0.2">
      <c r="A916" s="145"/>
      <c r="B916" s="239"/>
      <c r="C916" s="239"/>
      <c r="D916" s="88"/>
      <c r="E916" s="88">
        <v>2</v>
      </c>
      <c r="F916" s="418">
        <v>0</v>
      </c>
      <c r="G916" s="88">
        <v>0</v>
      </c>
      <c r="H916" s="88">
        <v>80</v>
      </c>
      <c r="I916" s="121">
        <f>F916*400+G916*100+H916</f>
        <v>80</v>
      </c>
      <c r="J916" s="121">
        <v>14500</v>
      </c>
      <c r="K916" s="190">
        <f>SUM(I916*J916)</f>
        <v>1160000</v>
      </c>
      <c r="L916" s="75">
        <v>2</v>
      </c>
      <c r="M916" s="88">
        <v>401</v>
      </c>
      <c r="N916" s="88" t="s">
        <v>74</v>
      </c>
      <c r="O916" s="75">
        <v>2</v>
      </c>
      <c r="P916" s="180">
        <f>3.5*11</f>
        <v>38.5</v>
      </c>
      <c r="Q916" s="174" t="s">
        <v>75</v>
      </c>
      <c r="R916" s="413">
        <v>8000</v>
      </c>
      <c r="S916" s="121">
        <f>+P916*R916</f>
        <v>308000</v>
      </c>
      <c r="T916" s="115">
        <v>7</v>
      </c>
      <c r="U916" s="108">
        <f>+S916*0.07</f>
        <v>21560.000000000004</v>
      </c>
      <c r="V916" s="77">
        <f>+S916-U916</f>
        <v>286440</v>
      </c>
      <c r="W916" s="77">
        <f>K916+V916</f>
        <v>1446440</v>
      </c>
      <c r="X916" s="77">
        <f>W916</f>
        <v>1446440</v>
      </c>
      <c r="Y916" s="145">
        <v>0</v>
      </c>
      <c r="Z916" s="107">
        <f>+X916</f>
        <v>1446440</v>
      </c>
      <c r="AA916" s="409">
        <v>0.02</v>
      </c>
      <c r="AB916" s="466">
        <f>+Z916*AA916/100</f>
        <v>289.28800000000001</v>
      </c>
    </row>
    <row r="917" spans="1:28" s="457" customFormat="1" ht="18" customHeight="1" x14ac:dyDescent="0.2">
      <c r="A917" s="145"/>
      <c r="B917" s="418"/>
      <c r="C917" s="88"/>
      <c r="D917" s="88"/>
      <c r="E917" s="88"/>
      <c r="F917" s="418"/>
      <c r="G917" s="88"/>
      <c r="H917" s="418"/>
      <c r="I917" s="77"/>
      <c r="J917" s="107"/>
      <c r="K917" s="78"/>
      <c r="L917" s="75"/>
      <c r="M917" s="88"/>
      <c r="N917" s="88"/>
      <c r="O917" s="75"/>
      <c r="P917" s="180"/>
      <c r="Q917" s="174"/>
      <c r="R917" s="440"/>
      <c r="S917" s="159"/>
      <c r="T917" s="88"/>
      <c r="U917" s="74"/>
      <c r="V917" s="74"/>
      <c r="W917" s="74"/>
      <c r="X917" s="74"/>
      <c r="Y917" s="88"/>
      <c r="Z917" s="121"/>
      <c r="AA917" s="414"/>
      <c r="AB917" s="410"/>
    </row>
    <row r="918" spans="1:28" s="457" customFormat="1" ht="18" customHeight="1" x14ac:dyDescent="0.2">
      <c r="A918" s="88"/>
      <c r="B918" s="239"/>
      <c r="C918" s="88"/>
      <c r="D918" s="88"/>
      <c r="E918" s="88"/>
      <c r="F918" s="88"/>
      <c r="G918" s="88"/>
      <c r="H918" s="88"/>
      <c r="I918" s="74"/>
      <c r="J918" s="121"/>
      <c r="K918" s="159"/>
      <c r="L918" s="88"/>
      <c r="M918" s="88"/>
      <c r="N918" s="88"/>
      <c r="O918" s="88"/>
      <c r="P918" s="120"/>
      <c r="Q918" s="129"/>
      <c r="R918" s="413"/>
      <c r="S918" s="121"/>
      <c r="T918" s="182"/>
      <c r="U918" s="181"/>
      <c r="V918" s="121"/>
      <c r="W918" s="74"/>
      <c r="X918" s="74"/>
      <c r="Y918" s="88"/>
      <c r="Z918" s="121"/>
      <c r="AA918" s="414"/>
      <c r="AB918" s="410"/>
    </row>
    <row r="919" spans="1:28" s="457" customFormat="1" ht="18" customHeight="1" x14ac:dyDescent="0.2">
      <c r="A919" s="88"/>
      <c r="B919" s="239"/>
      <c r="C919" s="88"/>
      <c r="D919" s="88"/>
      <c r="E919" s="88"/>
      <c r="F919" s="88"/>
      <c r="G919" s="88"/>
      <c r="H919" s="88"/>
      <c r="I919" s="74"/>
      <c r="J919" s="121"/>
      <c r="K919" s="159"/>
      <c r="L919" s="88"/>
      <c r="M919" s="88"/>
      <c r="N919" s="88"/>
      <c r="O919" s="88"/>
      <c r="P919" s="120"/>
      <c r="Q919" s="129"/>
      <c r="R919" s="445"/>
      <c r="S919" s="121"/>
      <c r="T919" s="182"/>
      <c r="U919" s="181"/>
      <c r="V919" s="121"/>
      <c r="W919" s="74"/>
      <c r="X919" s="74"/>
      <c r="Y919" s="88"/>
      <c r="Z919" s="121"/>
      <c r="AA919" s="414"/>
      <c r="AB919" s="410"/>
    </row>
    <row r="920" spans="1:28" s="457" customFormat="1" ht="18" customHeight="1" x14ac:dyDescent="0.2">
      <c r="A920" s="88"/>
      <c r="B920" s="88"/>
      <c r="C920" s="88"/>
      <c r="D920" s="88"/>
      <c r="E920" s="88"/>
      <c r="F920" s="88"/>
      <c r="G920" s="88"/>
      <c r="H920" s="88"/>
      <c r="I920" s="74"/>
      <c r="J920" s="121"/>
      <c r="K920" s="159"/>
      <c r="L920" s="88"/>
      <c r="M920" s="88"/>
      <c r="N920" s="88"/>
      <c r="O920" s="88"/>
      <c r="P920" s="120"/>
      <c r="Q920" s="129"/>
      <c r="R920" s="445"/>
      <c r="S920" s="121"/>
      <c r="T920" s="182"/>
      <c r="U920" s="181"/>
      <c r="V920" s="121"/>
      <c r="W920" s="77"/>
      <c r="X920" s="77"/>
      <c r="Y920" s="145"/>
      <c r="Z920" s="107"/>
      <c r="AA920" s="409"/>
      <c r="AB920" s="466"/>
    </row>
    <row r="921" spans="1:28" s="457" customFormat="1" ht="18" customHeight="1" x14ac:dyDescent="0.2">
      <c r="A921" s="88"/>
      <c r="B921" s="88"/>
      <c r="C921" s="418"/>
      <c r="D921" s="88"/>
      <c r="E921" s="88"/>
      <c r="F921" s="88"/>
      <c r="G921" s="88"/>
      <c r="H921" s="418"/>
      <c r="I921" s="74"/>
      <c r="J921" s="121"/>
      <c r="K921" s="159"/>
      <c r="L921" s="145"/>
      <c r="M921" s="145"/>
      <c r="N921" s="145"/>
      <c r="O921" s="145"/>
      <c r="P921" s="147"/>
      <c r="Q921" s="148"/>
      <c r="R921" s="437"/>
      <c r="S921" s="107"/>
      <c r="T921" s="179"/>
      <c r="U921" s="178"/>
      <c r="V921" s="107"/>
      <c r="W921" s="107"/>
      <c r="X921" s="470"/>
      <c r="Y921" s="470"/>
      <c r="Z921" s="471"/>
      <c r="AA921" s="471"/>
      <c r="AB921" s="466"/>
    </row>
    <row r="922" spans="1:28" s="457" customFormat="1" ht="18" customHeight="1" x14ac:dyDescent="0.2">
      <c r="A922" s="88"/>
      <c r="B922" s="88"/>
      <c r="C922" s="418"/>
      <c r="D922" s="88"/>
      <c r="E922" s="88"/>
      <c r="F922" s="418"/>
      <c r="G922" s="88"/>
      <c r="H922" s="418"/>
      <c r="I922" s="74"/>
      <c r="J922" s="121"/>
      <c r="K922" s="159"/>
      <c r="L922" s="145"/>
      <c r="M922" s="145"/>
      <c r="N922" s="145"/>
      <c r="O922" s="145"/>
      <c r="P922" s="147"/>
      <c r="Q922" s="148"/>
      <c r="R922" s="437"/>
      <c r="S922" s="107"/>
      <c r="T922" s="179"/>
      <c r="U922" s="178"/>
      <c r="V922" s="107"/>
      <c r="W922" s="107"/>
      <c r="X922" s="470"/>
      <c r="Y922" s="470"/>
      <c r="Z922" s="471"/>
      <c r="AA922" s="471"/>
      <c r="AB922" s="466"/>
    </row>
    <row r="923" spans="1:28" s="457" customFormat="1" ht="18" customHeight="1" x14ac:dyDescent="0.2">
      <c r="A923" s="145"/>
      <c r="B923" s="177"/>
      <c r="C923" s="177"/>
      <c r="D923" s="145"/>
      <c r="E923" s="145"/>
      <c r="F923" s="145"/>
      <c r="G923" s="145"/>
      <c r="H923" s="147"/>
      <c r="I923" s="107"/>
      <c r="J923" s="178"/>
      <c r="K923" s="107"/>
      <c r="L923" s="145"/>
      <c r="M923" s="145"/>
      <c r="N923" s="145"/>
      <c r="O923" s="145"/>
      <c r="P923" s="147"/>
      <c r="Q923" s="148"/>
      <c r="R923" s="437"/>
      <c r="S923" s="107"/>
      <c r="T923" s="179"/>
      <c r="U923" s="178"/>
      <c r="V923" s="107"/>
      <c r="W923" s="107"/>
      <c r="X923" s="470"/>
      <c r="Y923" s="470"/>
      <c r="Z923" s="471"/>
      <c r="AA923" s="471"/>
      <c r="AB923" s="466"/>
    </row>
    <row r="924" spans="1:28" s="457" customFormat="1" ht="18" customHeight="1" x14ac:dyDescent="0.2">
      <c r="A924" s="145"/>
      <c r="B924" s="177"/>
      <c r="C924" s="177"/>
      <c r="D924" s="145"/>
      <c r="E924" s="145"/>
      <c r="F924" s="145"/>
      <c r="G924" s="145"/>
      <c r="H924" s="147"/>
      <c r="I924" s="107"/>
      <c r="J924" s="178"/>
      <c r="K924" s="107"/>
      <c r="L924" s="145"/>
      <c r="M924" s="145"/>
      <c r="N924" s="145"/>
      <c r="O924" s="145"/>
      <c r="P924" s="147"/>
      <c r="Q924" s="148"/>
      <c r="R924" s="437"/>
      <c r="S924" s="107"/>
      <c r="T924" s="179"/>
      <c r="U924" s="178"/>
      <c r="V924" s="107"/>
      <c r="W924" s="107"/>
      <c r="X924" s="470"/>
      <c r="Y924" s="470"/>
      <c r="Z924" s="471"/>
      <c r="AA924" s="471"/>
      <c r="AB924" s="466"/>
    </row>
    <row r="925" spans="1:28" s="457" customFormat="1" ht="18" customHeight="1" x14ac:dyDescent="0.2">
      <c r="A925" s="145"/>
      <c r="B925" s="177"/>
      <c r="C925" s="177"/>
      <c r="D925" s="145"/>
      <c r="E925" s="145"/>
      <c r="F925" s="145"/>
      <c r="G925" s="145"/>
      <c r="H925" s="147"/>
      <c r="I925" s="107"/>
      <c r="J925" s="178"/>
      <c r="K925" s="107"/>
      <c r="L925" s="145"/>
      <c r="M925" s="145"/>
      <c r="N925" s="145"/>
      <c r="O925" s="145"/>
      <c r="P925" s="147"/>
      <c r="Q925" s="148"/>
      <c r="R925" s="437"/>
      <c r="S925" s="107"/>
      <c r="T925" s="179"/>
      <c r="U925" s="178"/>
      <c r="V925" s="107"/>
      <c r="W925" s="107"/>
      <c r="X925" s="470"/>
      <c r="Y925" s="470"/>
      <c r="Z925" s="471"/>
      <c r="AA925" s="471"/>
      <c r="AB925" s="466"/>
    </row>
    <row r="926" spans="1:28" s="457" customFormat="1" ht="18" customHeight="1" x14ac:dyDescent="0.2">
      <c r="A926" s="145"/>
      <c r="B926" s="177"/>
      <c r="C926" s="177"/>
      <c r="D926" s="145"/>
      <c r="E926" s="145"/>
      <c r="F926" s="145"/>
      <c r="G926" s="145"/>
      <c r="H926" s="147"/>
      <c r="I926" s="107"/>
      <c r="J926" s="178"/>
      <c r="K926" s="107"/>
      <c r="L926" s="145"/>
      <c r="M926" s="145"/>
      <c r="N926" s="145"/>
      <c r="O926" s="145"/>
      <c r="P926" s="147"/>
      <c r="Q926" s="148"/>
      <c r="R926" s="437"/>
      <c r="S926" s="107"/>
      <c r="T926" s="179"/>
      <c r="U926" s="178"/>
      <c r="V926" s="107"/>
      <c r="W926" s="107"/>
      <c r="X926" s="470"/>
      <c r="Y926" s="470"/>
      <c r="Z926" s="471"/>
      <c r="AA926" s="471"/>
      <c r="AB926" s="466"/>
    </row>
    <row r="927" spans="1:28" s="457" customFormat="1" ht="18" customHeight="1" x14ac:dyDescent="0.2">
      <c r="A927" s="88"/>
      <c r="B927" s="177"/>
      <c r="C927" s="177"/>
      <c r="D927" s="145"/>
      <c r="E927" s="145"/>
      <c r="F927" s="145"/>
      <c r="G927" s="145"/>
      <c r="H927" s="147"/>
      <c r="I927" s="107"/>
      <c r="J927" s="178"/>
      <c r="K927" s="107"/>
      <c r="L927" s="145"/>
      <c r="M927" s="145"/>
      <c r="N927" s="145"/>
      <c r="O927" s="145"/>
      <c r="P927" s="147"/>
      <c r="Q927" s="148"/>
      <c r="R927" s="437"/>
      <c r="S927" s="107"/>
      <c r="T927" s="179"/>
      <c r="U927" s="178"/>
      <c r="V927" s="107"/>
      <c r="W927" s="107"/>
      <c r="X927" s="470"/>
      <c r="Y927" s="470"/>
      <c r="Z927" s="471"/>
      <c r="AA927" s="471"/>
      <c r="AB927" s="466"/>
    </row>
    <row r="928" spans="1:28" s="457" customFormat="1" ht="18" customHeight="1" x14ac:dyDescent="0.2">
      <c r="A928" s="648"/>
      <c r="B928" s="180"/>
      <c r="C928" s="180"/>
      <c r="D928" s="88"/>
      <c r="E928" s="88"/>
      <c r="F928" s="88"/>
      <c r="G928" s="88"/>
      <c r="H928" s="120"/>
      <c r="I928" s="121"/>
      <c r="J928" s="181"/>
      <c r="K928" s="121"/>
      <c r="L928" s="88"/>
      <c r="M928" s="88"/>
      <c r="N928" s="88"/>
      <c r="O928" s="88"/>
      <c r="P928" s="88"/>
      <c r="Q928" s="129"/>
      <c r="R928" s="445"/>
      <c r="S928" s="121"/>
      <c r="T928" s="182"/>
      <c r="U928" s="181"/>
      <c r="V928" s="121"/>
      <c r="W928" s="121"/>
      <c r="X928" s="472"/>
      <c r="Y928" s="472"/>
      <c r="Z928" s="473"/>
      <c r="AA928" s="473"/>
      <c r="AB928" s="410"/>
    </row>
    <row r="929" spans="1:28" s="597" customFormat="1" ht="18" customHeight="1" x14ac:dyDescent="0.2">
      <c r="A929" s="1850"/>
      <c r="B929" s="1850"/>
      <c r="C929" s="1850"/>
      <c r="D929" s="1850"/>
      <c r="E929" s="1850"/>
      <c r="F929" s="1850"/>
      <c r="G929" s="1850"/>
      <c r="H929" s="1851"/>
      <c r="I929" s="1852"/>
      <c r="J929" s="1853"/>
      <c r="K929" s="1852"/>
      <c r="L929" s="1852"/>
      <c r="M929" s="1852"/>
      <c r="N929" s="1852"/>
      <c r="O929" s="1852"/>
      <c r="P929" s="1852"/>
      <c r="Q929" s="1852"/>
      <c r="R929" s="1854"/>
      <c r="S929" s="1852"/>
      <c r="T929" s="1855"/>
      <c r="U929" s="1853"/>
      <c r="V929" s="1852"/>
      <c r="W929" s="1852"/>
      <c r="X929" s="1856"/>
      <c r="Y929" s="1856"/>
      <c r="Z929" s="1857"/>
      <c r="AA929" s="1857"/>
      <c r="AB929" s="1847">
        <f>SUM(AB915:AB928)</f>
        <v>547.08680000000004</v>
      </c>
    </row>
    <row r="930" spans="1:28" s="457" customFormat="1" ht="18" customHeight="1" x14ac:dyDescent="0.2">
      <c r="B930" s="477" t="s">
        <v>76</v>
      </c>
      <c r="C930" s="2738" t="s">
        <v>77</v>
      </c>
      <c r="D930" s="2738"/>
      <c r="E930" s="2738"/>
      <c r="F930" s="2738"/>
      <c r="G930" s="2738"/>
      <c r="H930" s="2738"/>
      <c r="I930" s="457" t="s">
        <v>78</v>
      </c>
      <c r="AB930" s="478"/>
    </row>
    <row r="931" spans="1:28" s="457" customFormat="1" ht="18" customHeight="1" x14ac:dyDescent="0.2">
      <c r="B931" s="479"/>
      <c r="I931" s="457" t="s">
        <v>79</v>
      </c>
      <c r="AB931" s="478"/>
    </row>
    <row r="932" spans="1:28" s="457" customFormat="1" ht="18" customHeight="1" x14ac:dyDescent="0.2">
      <c r="B932" s="479"/>
      <c r="I932" s="457" t="s">
        <v>80</v>
      </c>
      <c r="AB932" s="478"/>
    </row>
    <row r="933" spans="1:28" s="457" customFormat="1" ht="18" customHeight="1" x14ac:dyDescent="0.2">
      <c r="B933" s="479"/>
      <c r="I933" s="457" t="s">
        <v>81</v>
      </c>
      <c r="AB933" s="478"/>
    </row>
    <row r="934" spans="1:28" s="457" customFormat="1" ht="18" customHeight="1" x14ac:dyDescent="0.2">
      <c r="B934" s="479"/>
      <c r="I934" s="457" t="s">
        <v>88</v>
      </c>
      <c r="AB934" s="478"/>
    </row>
    <row r="935" spans="1:28" s="457" customFormat="1" ht="18" customHeight="1" x14ac:dyDescent="0.2">
      <c r="A935" s="455"/>
      <c r="B935" s="455"/>
      <c r="C935" s="455"/>
      <c r="D935" s="455"/>
      <c r="E935" s="455"/>
      <c r="F935" s="455"/>
      <c r="G935" s="455"/>
      <c r="H935" s="455"/>
      <c r="I935" s="455"/>
      <c r="J935" s="455"/>
      <c r="K935" s="455"/>
      <c r="L935" s="455"/>
      <c r="M935" s="455"/>
      <c r="N935" s="455"/>
      <c r="O935" s="455"/>
      <c r="P935" s="455"/>
      <c r="Q935" s="455"/>
      <c r="R935" s="455"/>
      <c r="S935" s="455"/>
      <c r="T935" s="455"/>
      <c r="U935" s="455"/>
      <c r="V935" s="455"/>
      <c r="W935" s="455"/>
      <c r="X935" s="455"/>
      <c r="Y935" s="455"/>
      <c r="Z935" s="455"/>
      <c r="AA935" s="2705" t="s">
        <v>0</v>
      </c>
      <c r="AB935" s="2705"/>
    </row>
    <row r="936" spans="1:28" s="457" customFormat="1" ht="18" customHeight="1" x14ac:dyDescent="0.2">
      <c r="A936" s="2706" t="s">
        <v>1</v>
      </c>
      <c r="B936" s="2706"/>
      <c r="C936" s="2706"/>
      <c r="D936" s="2706"/>
      <c r="E936" s="2706"/>
      <c r="F936" s="2706"/>
      <c r="G936" s="2706"/>
      <c r="H936" s="2706"/>
      <c r="I936" s="2706"/>
      <c r="J936" s="2706"/>
      <c r="K936" s="2706"/>
      <c r="L936" s="2706"/>
      <c r="M936" s="2706"/>
      <c r="N936" s="2706"/>
      <c r="O936" s="2706"/>
      <c r="P936" s="2706"/>
      <c r="Q936" s="2706"/>
      <c r="R936" s="2706"/>
      <c r="S936" s="2706"/>
      <c r="T936" s="2706"/>
      <c r="U936" s="2706"/>
      <c r="V936" s="2706"/>
      <c r="W936" s="2706"/>
      <c r="X936" s="2706"/>
      <c r="Y936" s="2706"/>
      <c r="Z936" s="2706"/>
      <c r="AA936" s="2706"/>
      <c r="AB936" s="2706"/>
    </row>
    <row r="937" spans="1:28" s="457" customFormat="1" ht="18" customHeight="1" x14ac:dyDescent="0.2">
      <c r="A937" s="2704" t="s">
        <v>515</v>
      </c>
      <c r="B937" s="2704"/>
      <c r="C937" s="2704"/>
      <c r="D937" s="2704"/>
      <c r="E937" s="2704"/>
      <c r="F937" s="2704"/>
      <c r="G937" s="2704"/>
      <c r="H937" s="2704"/>
      <c r="I937" s="2704"/>
      <c r="J937" s="2704"/>
      <c r="K937" s="2704"/>
      <c r="L937" s="2704"/>
      <c r="M937" s="2704"/>
      <c r="N937" s="2704"/>
      <c r="O937" s="2704"/>
      <c r="P937" s="2704"/>
      <c r="Q937" s="2704"/>
      <c r="R937" s="2704"/>
      <c r="S937" s="2704"/>
      <c r="T937" s="2704"/>
      <c r="U937" s="2704"/>
      <c r="V937" s="2704"/>
      <c r="W937" s="2704"/>
      <c r="X937" s="2704"/>
      <c r="Y937" s="2704"/>
      <c r="Z937" s="2704"/>
      <c r="AA937" s="2704"/>
      <c r="AB937" s="2704"/>
    </row>
    <row r="938" spans="1:28" s="457" customFormat="1" ht="18" customHeight="1" x14ac:dyDescent="0.2">
      <c r="A938" s="2686" t="s">
        <v>2</v>
      </c>
      <c r="B938" s="360"/>
      <c r="C938" s="2686" t="s">
        <v>3</v>
      </c>
      <c r="D938" s="360"/>
      <c r="E938" s="360"/>
      <c r="F938" s="2693" t="s">
        <v>4</v>
      </c>
      <c r="G938" s="2693"/>
      <c r="H938" s="2693"/>
      <c r="I938" s="2694"/>
      <c r="J938" s="2694"/>
      <c r="K938" s="2695"/>
      <c r="L938" s="361"/>
      <c r="M938" s="2679" t="s">
        <v>5</v>
      </c>
      <c r="N938" s="2679"/>
      <c r="O938" s="2679"/>
      <c r="P938" s="2679"/>
      <c r="Q938" s="2696"/>
      <c r="R938" s="2696"/>
      <c r="S938" s="2696"/>
      <c r="T938" s="2696"/>
      <c r="U938" s="2696"/>
      <c r="V938" s="2697"/>
      <c r="W938" s="362" t="s">
        <v>6</v>
      </c>
      <c r="X938" s="363" t="s">
        <v>7</v>
      </c>
      <c r="Y938" s="364"/>
      <c r="Z938" s="364"/>
      <c r="AA938" s="363"/>
      <c r="AB938" s="458"/>
    </row>
    <row r="939" spans="1:28" s="457" customFormat="1" ht="18" customHeight="1" x14ac:dyDescent="0.2">
      <c r="A939" s="2687"/>
      <c r="B939" s="367"/>
      <c r="C939" s="2687"/>
      <c r="D939" s="366" t="s">
        <v>9</v>
      </c>
      <c r="E939" s="366" t="s">
        <v>10</v>
      </c>
      <c r="F939" s="2698" t="s">
        <v>11</v>
      </c>
      <c r="G939" s="2694"/>
      <c r="H939" s="2695"/>
      <c r="I939" s="360"/>
      <c r="J939" s="449" t="s">
        <v>12</v>
      </c>
      <c r="K939" s="360"/>
      <c r="L939" s="2679" t="s">
        <v>2</v>
      </c>
      <c r="M939" s="370"/>
      <c r="N939" s="370"/>
      <c r="O939" s="370"/>
      <c r="P939" s="371"/>
      <c r="Q939" s="459" t="s">
        <v>13</v>
      </c>
      <c r="R939" s="370" t="s">
        <v>12</v>
      </c>
      <c r="S939" s="370" t="s">
        <v>6</v>
      </c>
      <c r="T939" s="2682" t="s">
        <v>14</v>
      </c>
      <c r="U939" s="2683"/>
      <c r="V939" s="375" t="s">
        <v>7</v>
      </c>
      <c r="W939" s="376" t="s">
        <v>15</v>
      </c>
      <c r="X939" s="377" t="s">
        <v>16</v>
      </c>
      <c r="Y939" s="377" t="s">
        <v>17</v>
      </c>
      <c r="Z939" s="377" t="s">
        <v>18</v>
      </c>
      <c r="AA939" s="377"/>
      <c r="AB939" s="460" t="s">
        <v>19</v>
      </c>
    </row>
    <row r="940" spans="1:28" s="457" customFormat="1" ht="18" customHeight="1" x14ac:dyDescent="0.2">
      <c r="A940" s="2687"/>
      <c r="B940" s="366" t="s">
        <v>23</v>
      </c>
      <c r="C940" s="2687"/>
      <c r="D940" s="366" t="s">
        <v>24</v>
      </c>
      <c r="E940" s="366" t="s">
        <v>25</v>
      </c>
      <c r="F940" s="2699"/>
      <c r="G940" s="2700"/>
      <c r="H940" s="2701"/>
      <c r="I940" s="366" t="s">
        <v>26</v>
      </c>
      <c r="J940" s="380" t="s">
        <v>15</v>
      </c>
      <c r="K940" s="380" t="s">
        <v>6</v>
      </c>
      <c r="L940" s="2680"/>
      <c r="M940" s="381" t="s">
        <v>27</v>
      </c>
      <c r="N940" s="381" t="s">
        <v>10</v>
      </c>
      <c r="O940" s="381" t="s">
        <v>10</v>
      </c>
      <c r="P940" s="385" t="s">
        <v>28</v>
      </c>
      <c r="Q940" s="461" t="s">
        <v>29</v>
      </c>
      <c r="R940" s="385" t="s">
        <v>15</v>
      </c>
      <c r="S940" s="385" t="s">
        <v>15</v>
      </c>
      <c r="T940" s="2684"/>
      <c r="U940" s="2685"/>
      <c r="V940" s="375" t="s">
        <v>30</v>
      </c>
      <c r="W940" s="376" t="s">
        <v>31</v>
      </c>
      <c r="X940" s="377" t="s">
        <v>30</v>
      </c>
      <c r="Y940" s="377" t="s">
        <v>32</v>
      </c>
      <c r="Z940" s="377" t="s">
        <v>7</v>
      </c>
      <c r="AA940" s="377" t="s">
        <v>33</v>
      </c>
      <c r="AB940" s="460" t="s">
        <v>34</v>
      </c>
    </row>
    <row r="941" spans="1:28" s="457" customFormat="1" ht="18" customHeight="1" x14ac:dyDescent="0.2">
      <c r="A941" s="2687"/>
      <c r="B941" s="366" t="s">
        <v>39</v>
      </c>
      <c r="C941" s="2687"/>
      <c r="D941" s="366" t="s">
        <v>40</v>
      </c>
      <c r="E941" s="366" t="s">
        <v>41</v>
      </c>
      <c r="F941" s="2686" t="s">
        <v>42</v>
      </c>
      <c r="G941" s="2686" t="s">
        <v>43</v>
      </c>
      <c r="H941" s="2688" t="s">
        <v>44</v>
      </c>
      <c r="I941" s="366" t="s">
        <v>45</v>
      </c>
      <c r="J941" s="380" t="s">
        <v>46</v>
      </c>
      <c r="K941" s="380" t="s">
        <v>47</v>
      </c>
      <c r="L941" s="2680"/>
      <c r="M941" s="381" t="s">
        <v>30</v>
      </c>
      <c r="N941" s="381" t="s">
        <v>30</v>
      </c>
      <c r="O941" s="381" t="s">
        <v>25</v>
      </c>
      <c r="P941" s="385" t="s">
        <v>30</v>
      </c>
      <c r="Q941" s="461" t="s">
        <v>48</v>
      </c>
      <c r="R941" s="385" t="s">
        <v>49</v>
      </c>
      <c r="S941" s="385" t="s">
        <v>30</v>
      </c>
      <c r="T941" s="374" t="s">
        <v>50</v>
      </c>
      <c r="U941" s="374" t="s">
        <v>13</v>
      </c>
      <c r="V941" s="375" t="s">
        <v>51</v>
      </c>
      <c r="W941" s="376" t="s">
        <v>52</v>
      </c>
      <c r="X941" s="377" t="s">
        <v>53</v>
      </c>
      <c r="Y941" s="377" t="s">
        <v>54</v>
      </c>
      <c r="Z941" s="377" t="s">
        <v>55</v>
      </c>
      <c r="AA941" s="377" t="s">
        <v>56</v>
      </c>
      <c r="AB941" s="460" t="s">
        <v>57</v>
      </c>
    </row>
    <row r="942" spans="1:28" s="457" customFormat="1" ht="18" customHeight="1" x14ac:dyDescent="0.2">
      <c r="A942" s="2687"/>
      <c r="B942" s="366" t="s">
        <v>61</v>
      </c>
      <c r="C942" s="2687"/>
      <c r="D942" s="366" t="s">
        <v>62</v>
      </c>
      <c r="E942" s="366" t="s">
        <v>63</v>
      </c>
      <c r="F942" s="2687"/>
      <c r="G942" s="2687"/>
      <c r="H942" s="2689"/>
      <c r="I942" s="366" t="s">
        <v>64</v>
      </c>
      <c r="J942" s="380" t="s">
        <v>59</v>
      </c>
      <c r="K942" s="380" t="s">
        <v>59</v>
      </c>
      <c r="L942" s="2680"/>
      <c r="M942" s="381"/>
      <c r="N942" s="381"/>
      <c r="O942" s="381" t="s">
        <v>41</v>
      </c>
      <c r="P942" s="385" t="s">
        <v>65</v>
      </c>
      <c r="Q942" s="461" t="s">
        <v>66</v>
      </c>
      <c r="R942" s="385" t="s">
        <v>67</v>
      </c>
      <c r="S942" s="385" t="s">
        <v>59</v>
      </c>
      <c r="T942" s="375" t="s">
        <v>68</v>
      </c>
      <c r="U942" s="375" t="s">
        <v>14</v>
      </c>
      <c r="V942" s="375" t="s">
        <v>14</v>
      </c>
      <c r="W942" s="376" t="s">
        <v>30</v>
      </c>
      <c r="X942" s="388" t="s">
        <v>69</v>
      </c>
      <c r="Y942" s="388" t="s">
        <v>70</v>
      </c>
      <c r="Z942" s="377" t="s">
        <v>71</v>
      </c>
      <c r="AA942" s="377" t="s">
        <v>72</v>
      </c>
      <c r="AB942" s="460" t="s">
        <v>59</v>
      </c>
    </row>
    <row r="943" spans="1:28" s="457" customFormat="1" ht="18" customHeight="1" x14ac:dyDescent="0.2">
      <c r="A943" s="2692"/>
      <c r="B943" s="390"/>
      <c r="C943" s="2692"/>
      <c r="D943" s="390"/>
      <c r="E943" s="389"/>
      <c r="F943" s="390"/>
      <c r="G943" s="390"/>
      <c r="H943" s="391"/>
      <c r="I943" s="389"/>
      <c r="J943" s="393"/>
      <c r="K943" s="393"/>
      <c r="L943" s="2681"/>
      <c r="M943" s="394"/>
      <c r="N943" s="394"/>
      <c r="O943" s="394" t="s">
        <v>63</v>
      </c>
      <c r="P943" s="394"/>
      <c r="Q943" s="450" t="s">
        <v>72</v>
      </c>
      <c r="R943" s="398" t="s">
        <v>59</v>
      </c>
      <c r="S943" s="398"/>
      <c r="T943" s="398" t="s">
        <v>73</v>
      </c>
      <c r="U943" s="398" t="s">
        <v>59</v>
      </c>
      <c r="V943" s="399" t="s">
        <v>59</v>
      </c>
      <c r="W943" s="400" t="s">
        <v>59</v>
      </c>
      <c r="X943" s="401" t="s">
        <v>59</v>
      </c>
      <c r="Y943" s="401" t="s">
        <v>59</v>
      </c>
      <c r="Z943" s="401" t="s">
        <v>59</v>
      </c>
      <c r="AA943" s="402"/>
      <c r="AB943" s="462"/>
    </row>
    <row r="944" spans="1:28" s="457" customFormat="1" ht="18" customHeight="1" x14ac:dyDescent="0.2">
      <c r="A944" s="82">
        <v>1</v>
      </c>
      <c r="B944" s="95">
        <v>30401</v>
      </c>
      <c r="C944" s="82">
        <v>757</v>
      </c>
      <c r="D944" s="82" t="s">
        <v>215</v>
      </c>
      <c r="E944" s="82">
        <v>3</v>
      </c>
      <c r="F944" s="740">
        <v>0</v>
      </c>
      <c r="G944" s="82">
        <v>1</v>
      </c>
      <c r="H944" s="82">
        <v>87</v>
      </c>
      <c r="I944" s="121">
        <f>F944*400+G944*100+H944</f>
        <v>187</v>
      </c>
      <c r="J944" s="123">
        <v>1000</v>
      </c>
      <c r="K944" s="123">
        <f>J944*I944</f>
        <v>187000</v>
      </c>
      <c r="L944" s="61"/>
      <c r="M944" s="145"/>
      <c r="N944" s="145"/>
      <c r="O944" s="61"/>
      <c r="P944" s="177"/>
      <c r="Q944" s="196"/>
      <c r="R944" s="408"/>
      <c r="S944" s="123"/>
      <c r="T944" s="145"/>
      <c r="U944" s="107"/>
      <c r="V944" s="77"/>
      <c r="W944" s="77">
        <f>K944</f>
        <v>187000</v>
      </c>
      <c r="X944" s="77">
        <f>W944</f>
        <v>187000</v>
      </c>
      <c r="Y944" s="145"/>
      <c r="Z944" s="107">
        <f>X944</f>
        <v>187000</v>
      </c>
      <c r="AA944" s="409">
        <v>0.3</v>
      </c>
      <c r="AB944" s="466">
        <f>Z944*AA944/100</f>
        <v>561</v>
      </c>
    </row>
    <row r="945" spans="1:28" s="457" customFormat="1" ht="18" customHeight="1" x14ac:dyDescent="0.2">
      <c r="A945" s="145">
        <v>2</v>
      </c>
      <c r="B945" s="242">
        <v>30838</v>
      </c>
      <c r="C945" s="88">
        <v>765</v>
      </c>
      <c r="D945" s="145"/>
      <c r="E945" s="145">
        <v>3</v>
      </c>
      <c r="F945" s="467">
        <v>0</v>
      </c>
      <c r="G945" s="145">
        <v>0</v>
      </c>
      <c r="H945" s="145">
        <v>96</v>
      </c>
      <c r="I945" s="121">
        <f>F945*400+G945*100+H945</f>
        <v>96</v>
      </c>
      <c r="J945" s="150">
        <v>1000</v>
      </c>
      <c r="K945" s="121">
        <f>J945*I945</f>
        <v>96000</v>
      </c>
      <c r="L945" s="61"/>
      <c r="M945" s="145"/>
      <c r="N945" s="145"/>
      <c r="O945" s="61"/>
      <c r="P945" s="177"/>
      <c r="Q945" s="196"/>
      <c r="R945" s="408"/>
      <c r="S945" s="195"/>
      <c r="T945" s="145"/>
      <c r="U945" s="107"/>
      <c r="V945" s="77"/>
      <c r="W945" s="77">
        <f>K945</f>
        <v>96000</v>
      </c>
      <c r="X945" s="77">
        <f>W945</f>
        <v>96000</v>
      </c>
      <c r="Y945" s="145"/>
      <c r="Z945" s="107">
        <f>X945</f>
        <v>96000</v>
      </c>
      <c r="AA945" s="409">
        <v>0.3</v>
      </c>
      <c r="AB945" s="466">
        <f>+Z945*AA945/100</f>
        <v>288</v>
      </c>
    </row>
    <row r="946" spans="1:28" s="457" customFormat="1" ht="18" customHeight="1" x14ac:dyDescent="0.2">
      <c r="A946" s="145"/>
      <c r="B946" s="239"/>
      <c r="C946" s="239"/>
      <c r="D946" s="88"/>
      <c r="E946" s="88"/>
      <c r="F946" s="418"/>
      <c r="G946" s="88"/>
      <c r="H946" s="88"/>
      <c r="I946" s="121"/>
      <c r="J946" s="121"/>
      <c r="K946" s="190"/>
      <c r="L946" s="75"/>
      <c r="M946" s="88"/>
      <c r="N946" s="88"/>
      <c r="O946" s="75"/>
      <c r="P946" s="180"/>
      <c r="Q946" s="174"/>
      <c r="R946" s="413"/>
      <c r="S946" s="121"/>
      <c r="T946" s="88"/>
      <c r="U946" s="77"/>
      <c r="V946" s="77"/>
      <c r="W946" s="77"/>
      <c r="X946" s="77"/>
      <c r="Y946" s="145"/>
      <c r="Z946" s="107"/>
      <c r="AA946" s="409"/>
      <c r="AB946" s="466"/>
    </row>
    <row r="947" spans="1:28" s="457" customFormat="1" ht="18" customHeight="1" x14ac:dyDescent="0.2">
      <c r="A947" s="145"/>
      <c r="B947" s="418"/>
      <c r="C947" s="88"/>
      <c r="D947" s="88"/>
      <c r="E947" s="88"/>
      <c r="F947" s="418"/>
      <c r="G947" s="88"/>
      <c r="H947" s="418"/>
      <c r="I947" s="77"/>
      <c r="J947" s="107"/>
      <c r="K947" s="78"/>
      <c r="L947" s="75"/>
      <c r="M947" s="88"/>
      <c r="N947" s="88"/>
      <c r="O947" s="75"/>
      <c r="P947" s="180"/>
      <c r="Q947" s="174"/>
      <c r="R947" s="440"/>
      <c r="S947" s="159"/>
      <c r="T947" s="88"/>
      <c r="U947" s="74"/>
      <c r="V947" s="74"/>
      <c r="W947" s="74"/>
      <c r="X947" s="74"/>
      <c r="Y947" s="88"/>
      <c r="Z947" s="121"/>
      <c r="AA947" s="414"/>
      <c r="AB947" s="410"/>
    </row>
    <row r="948" spans="1:28" s="457" customFormat="1" ht="18" customHeight="1" x14ac:dyDescent="0.2">
      <c r="A948" s="88"/>
      <c r="B948" s="239"/>
      <c r="C948" s="88"/>
      <c r="D948" s="88"/>
      <c r="E948" s="88"/>
      <c r="F948" s="88"/>
      <c r="G948" s="88"/>
      <c r="H948" s="88"/>
      <c r="I948" s="74"/>
      <c r="J948" s="121"/>
      <c r="K948" s="159"/>
      <c r="L948" s="88"/>
      <c r="M948" s="88"/>
      <c r="N948" s="88"/>
      <c r="O948" s="88"/>
      <c r="P948" s="120"/>
      <c r="Q948" s="129"/>
      <c r="R948" s="413"/>
      <c r="S948" s="121"/>
      <c r="T948" s="182"/>
      <c r="U948" s="181"/>
      <c r="V948" s="121"/>
      <c r="W948" s="74"/>
      <c r="X948" s="74"/>
      <c r="Y948" s="88"/>
      <c r="Z948" s="121"/>
      <c r="AA948" s="414"/>
      <c r="AB948" s="410"/>
    </row>
    <row r="949" spans="1:28" s="457" customFormat="1" ht="18" customHeight="1" x14ac:dyDescent="0.2">
      <c r="A949" s="88"/>
      <c r="B949" s="239"/>
      <c r="C949" s="88"/>
      <c r="D949" s="88"/>
      <c r="E949" s="88"/>
      <c r="F949" s="88"/>
      <c r="G949" s="88"/>
      <c r="H949" s="88"/>
      <c r="I949" s="74"/>
      <c r="J949" s="121"/>
      <c r="K949" s="159"/>
      <c r="L949" s="88"/>
      <c r="M949" s="88"/>
      <c r="N949" s="88"/>
      <c r="O949" s="88"/>
      <c r="P949" s="120"/>
      <c r="Q949" s="129"/>
      <c r="R949" s="445"/>
      <c r="S949" s="121"/>
      <c r="T949" s="182"/>
      <c r="U949" s="181"/>
      <c r="V949" s="121"/>
      <c r="W949" s="74"/>
      <c r="X949" s="74"/>
      <c r="Y949" s="88"/>
      <c r="Z949" s="121"/>
      <c r="AA949" s="414"/>
      <c r="AB949" s="410"/>
    </row>
    <row r="950" spans="1:28" s="457" customFormat="1" ht="18" customHeight="1" x14ac:dyDescent="0.2">
      <c r="A950" s="88"/>
      <c r="B950" s="88"/>
      <c r="C950" s="88"/>
      <c r="D950" s="88"/>
      <c r="E950" s="88"/>
      <c r="F950" s="88"/>
      <c r="G950" s="88"/>
      <c r="H950" s="88"/>
      <c r="I950" s="74"/>
      <c r="J950" s="121"/>
      <c r="K950" s="159"/>
      <c r="L950" s="88"/>
      <c r="M950" s="88"/>
      <c r="N950" s="88"/>
      <c r="O950" s="88"/>
      <c r="P950" s="120"/>
      <c r="Q950" s="129"/>
      <c r="R950" s="445"/>
      <c r="S950" s="121"/>
      <c r="T950" s="182"/>
      <c r="U950" s="181"/>
      <c r="V950" s="121"/>
      <c r="W950" s="77"/>
      <c r="X950" s="77"/>
      <c r="Y950" s="145"/>
      <c r="Z950" s="107"/>
      <c r="AA950" s="409"/>
      <c r="AB950" s="466"/>
    </row>
    <row r="951" spans="1:28" s="457" customFormat="1" ht="18" customHeight="1" x14ac:dyDescent="0.2">
      <c r="A951" s="88"/>
      <c r="B951" s="88"/>
      <c r="C951" s="418"/>
      <c r="D951" s="88"/>
      <c r="E951" s="88"/>
      <c r="F951" s="88"/>
      <c r="G951" s="88"/>
      <c r="H951" s="418"/>
      <c r="I951" s="74"/>
      <c r="J951" s="121"/>
      <c r="K951" s="159"/>
      <c r="L951" s="145"/>
      <c r="M951" s="145"/>
      <c r="N951" s="145"/>
      <c r="O951" s="145"/>
      <c r="P951" s="147"/>
      <c r="Q951" s="148"/>
      <c r="R951" s="437"/>
      <c r="S951" s="107"/>
      <c r="T951" s="179"/>
      <c r="U951" s="178"/>
      <c r="V951" s="107"/>
      <c r="W951" s="107"/>
      <c r="X951" s="470"/>
      <c r="Y951" s="470"/>
      <c r="Z951" s="471"/>
      <c r="AA951" s="471"/>
      <c r="AB951" s="466"/>
    </row>
    <row r="952" spans="1:28" s="457" customFormat="1" ht="18" customHeight="1" x14ac:dyDescent="0.2">
      <c r="A952" s="88"/>
      <c r="B952" s="88"/>
      <c r="C952" s="418"/>
      <c r="D952" s="88"/>
      <c r="E952" s="88"/>
      <c r="F952" s="418"/>
      <c r="G952" s="88"/>
      <c r="H952" s="418"/>
      <c r="I952" s="74"/>
      <c r="J952" s="121"/>
      <c r="K952" s="159"/>
      <c r="L952" s="145"/>
      <c r="M952" s="145"/>
      <c r="N952" s="145"/>
      <c r="O952" s="145"/>
      <c r="P952" s="147"/>
      <c r="Q952" s="148"/>
      <c r="R952" s="437"/>
      <c r="S952" s="107"/>
      <c r="T952" s="179"/>
      <c r="U952" s="178"/>
      <c r="V952" s="107"/>
      <c r="W952" s="107"/>
      <c r="X952" s="470"/>
      <c r="Y952" s="470"/>
      <c r="Z952" s="471"/>
      <c r="AA952" s="471"/>
      <c r="AB952" s="466"/>
    </row>
    <row r="953" spans="1:28" s="457" customFormat="1" ht="18" customHeight="1" x14ac:dyDescent="0.2">
      <c r="A953" s="145"/>
      <c r="B953" s="177"/>
      <c r="C953" s="177"/>
      <c r="D953" s="145"/>
      <c r="E953" s="145"/>
      <c r="F953" s="145"/>
      <c r="G953" s="145"/>
      <c r="H953" s="147"/>
      <c r="I953" s="107"/>
      <c r="J953" s="178"/>
      <c r="K953" s="107"/>
      <c r="L953" s="145"/>
      <c r="M953" s="145"/>
      <c r="N953" s="145"/>
      <c r="O953" s="145"/>
      <c r="P953" s="147"/>
      <c r="Q953" s="148"/>
      <c r="R953" s="437"/>
      <c r="S953" s="107"/>
      <c r="T953" s="179"/>
      <c r="U953" s="178"/>
      <c r="V953" s="107"/>
      <c r="W953" s="107"/>
      <c r="X953" s="470"/>
      <c r="Y953" s="470"/>
      <c r="Z953" s="471"/>
      <c r="AA953" s="471"/>
      <c r="AB953" s="466"/>
    </row>
    <row r="954" spans="1:28" s="457" customFormat="1" ht="18" customHeight="1" x14ac:dyDescent="0.2">
      <c r="A954" s="145"/>
      <c r="B954" s="177"/>
      <c r="C954" s="177"/>
      <c r="D954" s="145"/>
      <c r="E954" s="145"/>
      <c r="F954" s="145"/>
      <c r="G954" s="145"/>
      <c r="H954" s="147"/>
      <c r="I954" s="107"/>
      <c r="J954" s="178"/>
      <c r="K954" s="107"/>
      <c r="L954" s="145"/>
      <c r="M954" s="145"/>
      <c r="N954" s="145"/>
      <c r="O954" s="145"/>
      <c r="P954" s="147"/>
      <c r="Q954" s="148"/>
      <c r="R954" s="437"/>
      <c r="S954" s="107"/>
      <c r="T954" s="179"/>
      <c r="U954" s="178"/>
      <c r="V954" s="107"/>
      <c r="W954" s="107"/>
      <c r="X954" s="470"/>
      <c r="Y954" s="470"/>
      <c r="Z954" s="471"/>
      <c r="AA954" s="471"/>
      <c r="AB954" s="466"/>
    </row>
    <row r="955" spans="1:28" s="457" customFormat="1" ht="18" customHeight="1" x14ac:dyDescent="0.2">
      <c r="A955" s="145"/>
      <c r="B955" s="177"/>
      <c r="C955" s="177"/>
      <c r="D955" s="145"/>
      <c r="E955" s="145"/>
      <c r="F955" s="145"/>
      <c r="G955" s="145"/>
      <c r="H955" s="147"/>
      <c r="I955" s="107"/>
      <c r="J955" s="178"/>
      <c r="K955" s="107"/>
      <c r="L955" s="145"/>
      <c r="M955" s="145"/>
      <c r="N955" s="145"/>
      <c r="O955" s="145"/>
      <c r="P955" s="147"/>
      <c r="Q955" s="148"/>
      <c r="R955" s="437"/>
      <c r="S955" s="107"/>
      <c r="T955" s="179"/>
      <c r="U955" s="178"/>
      <c r="V955" s="107"/>
      <c r="W955" s="107"/>
      <c r="X955" s="470"/>
      <c r="Y955" s="470"/>
      <c r="Z955" s="471"/>
      <c r="AA955" s="471"/>
      <c r="AB955" s="466"/>
    </row>
    <row r="956" spans="1:28" s="457" customFormat="1" ht="18" customHeight="1" x14ac:dyDescent="0.2">
      <c r="A956" s="145"/>
      <c r="B956" s="177"/>
      <c r="C956" s="177"/>
      <c r="D956" s="145"/>
      <c r="E956" s="145"/>
      <c r="F956" s="145"/>
      <c r="G956" s="145"/>
      <c r="H956" s="147"/>
      <c r="I956" s="107"/>
      <c r="J956" s="178"/>
      <c r="K956" s="107"/>
      <c r="L956" s="145"/>
      <c r="M956" s="145"/>
      <c r="N956" s="145"/>
      <c r="O956" s="145"/>
      <c r="P956" s="147"/>
      <c r="Q956" s="148"/>
      <c r="R956" s="437"/>
      <c r="S956" s="107"/>
      <c r="T956" s="179"/>
      <c r="U956" s="178"/>
      <c r="V956" s="107"/>
      <c r="W956" s="107"/>
      <c r="X956" s="470"/>
      <c r="Y956" s="470"/>
      <c r="Z956" s="471"/>
      <c r="AA956" s="471"/>
      <c r="AB956" s="466"/>
    </row>
    <row r="957" spans="1:28" s="457" customFormat="1" ht="18" customHeight="1" x14ac:dyDescent="0.2">
      <c r="A957" s="88"/>
      <c r="B957" s="177"/>
      <c r="C957" s="177"/>
      <c r="D957" s="145"/>
      <c r="E957" s="145"/>
      <c r="F957" s="145"/>
      <c r="G957" s="145"/>
      <c r="H957" s="147"/>
      <c r="I957" s="107"/>
      <c r="J957" s="178"/>
      <c r="K957" s="107"/>
      <c r="L957" s="145"/>
      <c r="M957" s="145"/>
      <c r="N957" s="145"/>
      <c r="O957" s="145"/>
      <c r="P957" s="147"/>
      <c r="Q957" s="148"/>
      <c r="R957" s="437"/>
      <c r="S957" s="107"/>
      <c r="T957" s="179"/>
      <c r="U957" s="178"/>
      <c r="V957" s="107"/>
      <c r="W957" s="107"/>
      <c r="X957" s="470"/>
      <c r="Y957" s="470"/>
      <c r="Z957" s="471"/>
      <c r="AA957" s="471"/>
      <c r="AB957" s="466"/>
    </row>
    <row r="958" spans="1:28" s="457" customFormat="1" ht="18" customHeight="1" x14ac:dyDescent="0.2">
      <c r="A958" s="648"/>
      <c r="B958" s="180"/>
      <c r="C958" s="180"/>
      <c r="D958" s="88"/>
      <c r="E958" s="88"/>
      <c r="F958" s="88"/>
      <c r="G958" s="88"/>
      <c r="H958" s="120"/>
      <c r="I958" s="121"/>
      <c r="J958" s="181"/>
      <c r="K958" s="121"/>
      <c r="L958" s="88"/>
      <c r="M958" s="88"/>
      <c r="N958" s="88"/>
      <c r="O958" s="88"/>
      <c r="P958" s="88"/>
      <c r="Q958" s="129"/>
      <c r="R958" s="445"/>
      <c r="S958" s="121"/>
      <c r="T958" s="182"/>
      <c r="U958" s="181"/>
      <c r="V958" s="121"/>
      <c r="W958" s="121"/>
      <c r="X958" s="472"/>
      <c r="Y958" s="472"/>
      <c r="Z958" s="473"/>
      <c r="AA958" s="473"/>
      <c r="AB958" s="410"/>
    </row>
    <row r="959" spans="1:28" s="597" customFormat="1" ht="18" customHeight="1" x14ac:dyDescent="0.2">
      <c r="A959" s="1850"/>
      <c r="B959" s="1850"/>
      <c r="C959" s="1850"/>
      <c r="D959" s="1850"/>
      <c r="E959" s="1850"/>
      <c r="F959" s="1850"/>
      <c r="G959" s="1850"/>
      <c r="H959" s="1851"/>
      <c r="I959" s="1852"/>
      <c r="J959" s="1853"/>
      <c r="K959" s="1852"/>
      <c r="L959" s="1852"/>
      <c r="M959" s="1852"/>
      <c r="N959" s="1852"/>
      <c r="O959" s="1852"/>
      <c r="P959" s="1852"/>
      <c r="Q959" s="1852"/>
      <c r="R959" s="1854"/>
      <c r="S959" s="1852"/>
      <c r="T959" s="1855"/>
      <c r="U959" s="1853"/>
      <c r="V959" s="1852"/>
      <c r="W959" s="1852"/>
      <c r="X959" s="1856"/>
      <c r="Y959" s="1856"/>
      <c r="Z959" s="1857"/>
      <c r="AA959" s="1857"/>
      <c r="AB959" s="1847">
        <f>SUM(AB944:AB958)</f>
        <v>849</v>
      </c>
    </row>
    <row r="960" spans="1:28" s="457" customFormat="1" ht="18" customHeight="1" x14ac:dyDescent="0.2">
      <c r="B960" s="477" t="s">
        <v>76</v>
      </c>
      <c r="C960" s="2738" t="s">
        <v>77</v>
      </c>
      <c r="D960" s="2738"/>
      <c r="E960" s="2738"/>
      <c r="F960" s="2738"/>
      <c r="G960" s="2738"/>
      <c r="H960" s="2738"/>
      <c r="I960" s="457" t="s">
        <v>78</v>
      </c>
      <c r="AB960" s="478"/>
    </row>
    <row r="961" spans="1:28" s="457" customFormat="1" ht="18" customHeight="1" x14ac:dyDescent="0.2">
      <c r="B961" s="479"/>
      <c r="I961" s="457" t="s">
        <v>79</v>
      </c>
      <c r="AB961" s="478"/>
    </row>
    <row r="962" spans="1:28" s="457" customFormat="1" ht="18" customHeight="1" x14ac:dyDescent="0.2">
      <c r="B962" s="479"/>
      <c r="I962" s="457" t="s">
        <v>80</v>
      </c>
      <c r="AB962" s="478"/>
    </row>
    <row r="963" spans="1:28" s="457" customFormat="1" ht="18" customHeight="1" x14ac:dyDescent="0.2">
      <c r="B963" s="479"/>
      <c r="I963" s="457" t="s">
        <v>81</v>
      </c>
      <c r="AB963" s="478"/>
    </row>
    <row r="964" spans="1:28" s="457" customFormat="1" ht="18" customHeight="1" x14ac:dyDescent="0.2">
      <c r="B964" s="479"/>
      <c r="I964" s="457" t="s">
        <v>88</v>
      </c>
      <c r="AB964" s="478"/>
    </row>
    <row r="965" spans="1:28" s="457" customFormat="1" ht="18" customHeight="1" x14ac:dyDescent="0.2">
      <c r="A965" s="455"/>
      <c r="B965" s="455"/>
      <c r="C965" s="455"/>
      <c r="D965" s="455"/>
      <c r="E965" s="455"/>
      <c r="F965" s="455"/>
      <c r="G965" s="455"/>
      <c r="H965" s="455"/>
      <c r="I965" s="455"/>
      <c r="J965" s="455"/>
      <c r="K965" s="455"/>
      <c r="L965" s="455"/>
      <c r="M965" s="455"/>
      <c r="N965" s="455"/>
      <c r="O965" s="455"/>
      <c r="P965" s="455"/>
      <c r="Q965" s="455"/>
      <c r="R965" s="455"/>
      <c r="S965" s="455"/>
      <c r="T965" s="455"/>
      <c r="U965" s="455"/>
      <c r="V965" s="455"/>
      <c r="W965" s="455"/>
      <c r="X965" s="455"/>
      <c r="Y965" s="455"/>
      <c r="Z965" s="455"/>
      <c r="AA965" s="2705" t="s">
        <v>0</v>
      </c>
      <c r="AB965" s="2705"/>
    </row>
    <row r="966" spans="1:28" s="457" customFormat="1" ht="18" customHeight="1" x14ac:dyDescent="0.2">
      <c r="A966" s="2706" t="s">
        <v>1</v>
      </c>
      <c r="B966" s="2706"/>
      <c r="C966" s="2706"/>
      <c r="D966" s="2706"/>
      <c r="E966" s="2706"/>
      <c r="F966" s="2706"/>
      <c r="G966" s="2706"/>
      <c r="H966" s="2706"/>
      <c r="I966" s="2706"/>
      <c r="J966" s="2706"/>
      <c r="K966" s="2706"/>
      <c r="L966" s="2706"/>
      <c r="M966" s="2706"/>
      <c r="N966" s="2706"/>
      <c r="O966" s="2706"/>
      <c r="P966" s="2706"/>
      <c r="Q966" s="2706"/>
      <c r="R966" s="2706"/>
      <c r="S966" s="2706"/>
      <c r="T966" s="2706"/>
      <c r="U966" s="2706"/>
      <c r="V966" s="2706"/>
      <c r="W966" s="2706"/>
      <c r="X966" s="2706"/>
      <c r="Y966" s="2706"/>
      <c r="Z966" s="2706"/>
      <c r="AA966" s="2706"/>
      <c r="AB966" s="2706"/>
    </row>
    <row r="967" spans="1:28" s="457" customFormat="1" ht="18" customHeight="1" x14ac:dyDescent="0.2">
      <c r="A967" s="2704" t="s">
        <v>516</v>
      </c>
      <c r="B967" s="2704"/>
      <c r="C967" s="2704"/>
      <c r="D967" s="2704"/>
      <c r="E967" s="2704"/>
      <c r="F967" s="2704"/>
      <c r="G967" s="2704"/>
      <c r="H967" s="2704"/>
      <c r="I967" s="2704"/>
      <c r="J967" s="2704"/>
      <c r="K967" s="2704"/>
      <c r="L967" s="2704"/>
      <c r="M967" s="2704"/>
      <c r="N967" s="2704"/>
      <c r="O967" s="2704"/>
      <c r="P967" s="2704"/>
      <c r="Q967" s="2704"/>
      <c r="R967" s="2704"/>
      <c r="S967" s="2704"/>
      <c r="T967" s="2704"/>
      <c r="U967" s="2704"/>
      <c r="V967" s="2704"/>
      <c r="W967" s="2704"/>
      <c r="X967" s="2704"/>
      <c r="Y967" s="2704"/>
      <c r="Z967" s="2704"/>
      <c r="AA967" s="2704"/>
      <c r="AB967" s="2704"/>
    </row>
    <row r="968" spans="1:28" s="457" customFormat="1" ht="18" customHeight="1" x14ac:dyDescent="0.2">
      <c r="A968" s="2686" t="s">
        <v>2</v>
      </c>
      <c r="B968" s="360"/>
      <c r="C968" s="2686" t="s">
        <v>3</v>
      </c>
      <c r="D968" s="360"/>
      <c r="E968" s="360"/>
      <c r="F968" s="2693" t="s">
        <v>4</v>
      </c>
      <c r="G968" s="2693"/>
      <c r="H968" s="2693"/>
      <c r="I968" s="2694"/>
      <c r="J968" s="2694"/>
      <c r="K968" s="2695"/>
      <c r="L968" s="361"/>
      <c r="M968" s="2679" t="s">
        <v>5</v>
      </c>
      <c r="N968" s="2679"/>
      <c r="O968" s="2679"/>
      <c r="P968" s="2679"/>
      <c r="Q968" s="2696"/>
      <c r="R968" s="2696"/>
      <c r="S968" s="2696"/>
      <c r="T968" s="2696"/>
      <c r="U968" s="2696"/>
      <c r="V968" s="2697"/>
      <c r="W968" s="362" t="s">
        <v>6</v>
      </c>
      <c r="X968" s="363" t="s">
        <v>7</v>
      </c>
      <c r="Y968" s="364"/>
      <c r="Z968" s="364"/>
      <c r="AA968" s="363"/>
      <c r="AB968" s="458"/>
    </row>
    <row r="969" spans="1:28" s="457" customFormat="1" ht="18" customHeight="1" x14ac:dyDescent="0.2">
      <c r="A969" s="2687"/>
      <c r="B969" s="367"/>
      <c r="C969" s="2687"/>
      <c r="D969" s="366" t="s">
        <v>9</v>
      </c>
      <c r="E969" s="366" t="s">
        <v>10</v>
      </c>
      <c r="F969" s="2698" t="s">
        <v>11</v>
      </c>
      <c r="G969" s="2694"/>
      <c r="H969" s="2695"/>
      <c r="I969" s="360"/>
      <c r="J969" s="449" t="s">
        <v>12</v>
      </c>
      <c r="K969" s="360"/>
      <c r="L969" s="2679" t="s">
        <v>2</v>
      </c>
      <c r="M969" s="370"/>
      <c r="N969" s="370"/>
      <c r="O969" s="370"/>
      <c r="P969" s="371"/>
      <c r="Q969" s="459" t="s">
        <v>13</v>
      </c>
      <c r="R969" s="370" t="s">
        <v>12</v>
      </c>
      <c r="S969" s="370" t="s">
        <v>6</v>
      </c>
      <c r="T969" s="2682" t="s">
        <v>14</v>
      </c>
      <c r="U969" s="2683"/>
      <c r="V969" s="375" t="s">
        <v>7</v>
      </c>
      <c r="W969" s="376" t="s">
        <v>15</v>
      </c>
      <c r="X969" s="377" t="s">
        <v>16</v>
      </c>
      <c r="Y969" s="377" t="s">
        <v>17</v>
      </c>
      <c r="Z969" s="377" t="s">
        <v>18</v>
      </c>
      <c r="AA969" s="377"/>
      <c r="AB969" s="460" t="s">
        <v>19</v>
      </c>
    </row>
    <row r="970" spans="1:28" s="457" customFormat="1" ht="18" customHeight="1" x14ac:dyDescent="0.2">
      <c r="A970" s="2687"/>
      <c r="B970" s="366" t="s">
        <v>23</v>
      </c>
      <c r="C970" s="2687"/>
      <c r="D970" s="366" t="s">
        <v>24</v>
      </c>
      <c r="E970" s="366" t="s">
        <v>25</v>
      </c>
      <c r="F970" s="2699"/>
      <c r="G970" s="2700"/>
      <c r="H970" s="2701"/>
      <c r="I970" s="366" t="s">
        <v>26</v>
      </c>
      <c r="J970" s="380" t="s">
        <v>15</v>
      </c>
      <c r="K970" s="380" t="s">
        <v>6</v>
      </c>
      <c r="L970" s="2680"/>
      <c r="M970" s="381" t="s">
        <v>27</v>
      </c>
      <c r="N970" s="381" t="s">
        <v>10</v>
      </c>
      <c r="O970" s="381" t="s">
        <v>10</v>
      </c>
      <c r="P970" s="385" t="s">
        <v>28</v>
      </c>
      <c r="Q970" s="461" t="s">
        <v>29</v>
      </c>
      <c r="R970" s="385" t="s">
        <v>15</v>
      </c>
      <c r="S970" s="385" t="s">
        <v>15</v>
      </c>
      <c r="T970" s="2684"/>
      <c r="U970" s="2685"/>
      <c r="V970" s="375" t="s">
        <v>30</v>
      </c>
      <c r="W970" s="376" t="s">
        <v>31</v>
      </c>
      <c r="X970" s="377" t="s">
        <v>30</v>
      </c>
      <c r="Y970" s="377" t="s">
        <v>32</v>
      </c>
      <c r="Z970" s="377" t="s">
        <v>7</v>
      </c>
      <c r="AA970" s="377" t="s">
        <v>33</v>
      </c>
      <c r="AB970" s="460" t="s">
        <v>34</v>
      </c>
    </row>
    <row r="971" spans="1:28" s="457" customFormat="1" ht="18" customHeight="1" x14ac:dyDescent="0.2">
      <c r="A971" s="2687"/>
      <c r="B971" s="366" t="s">
        <v>39</v>
      </c>
      <c r="C971" s="2687"/>
      <c r="D971" s="366" t="s">
        <v>40</v>
      </c>
      <c r="E971" s="366" t="s">
        <v>41</v>
      </c>
      <c r="F971" s="2686" t="s">
        <v>42</v>
      </c>
      <c r="G971" s="2686" t="s">
        <v>43</v>
      </c>
      <c r="H971" s="2688" t="s">
        <v>44</v>
      </c>
      <c r="I971" s="366" t="s">
        <v>45</v>
      </c>
      <c r="J971" s="380" t="s">
        <v>46</v>
      </c>
      <c r="K971" s="380" t="s">
        <v>47</v>
      </c>
      <c r="L971" s="2680"/>
      <c r="M971" s="381" t="s">
        <v>30</v>
      </c>
      <c r="N971" s="381" t="s">
        <v>30</v>
      </c>
      <c r="O971" s="381" t="s">
        <v>25</v>
      </c>
      <c r="P971" s="385" t="s">
        <v>30</v>
      </c>
      <c r="Q971" s="461" t="s">
        <v>48</v>
      </c>
      <c r="R971" s="385" t="s">
        <v>49</v>
      </c>
      <c r="S971" s="385" t="s">
        <v>30</v>
      </c>
      <c r="T971" s="374" t="s">
        <v>50</v>
      </c>
      <c r="U971" s="374" t="s">
        <v>13</v>
      </c>
      <c r="V971" s="375" t="s">
        <v>51</v>
      </c>
      <c r="W971" s="376" t="s">
        <v>52</v>
      </c>
      <c r="X971" s="377" t="s">
        <v>53</v>
      </c>
      <c r="Y971" s="377" t="s">
        <v>54</v>
      </c>
      <c r="Z971" s="377" t="s">
        <v>55</v>
      </c>
      <c r="AA971" s="377" t="s">
        <v>56</v>
      </c>
      <c r="AB971" s="460" t="s">
        <v>57</v>
      </c>
    </row>
    <row r="972" spans="1:28" s="457" customFormat="1" ht="18" customHeight="1" x14ac:dyDescent="0.2">
      <c r="A972" s="2687"/>
      <c r="B972" s="366" t="s">
        <v>61</v>
      </c>
      <c r="C972" s="2687"/>
      <c r="D972" s="366" t="s">
        <v>62</v>
      </c>
      <c r="E972" s="366" t="s">
        <v>63</v>
      </c>
      <c r="F972" s="2687"/>
      <c r="G972" s="2687"/>
      <c r="H972" s="2689"/>
      <c r="I972" s="366" t="s">
        <v>64</v>
      </c>
      <c r="J972" s="380" t="s">
        <v>59</v>
      </c>
      <c r="K972" s="380" t="s">
        <v>59</v>
      </c>
      <c r="L972" s="2680"/>
      <c r="M972" s="381"/>
      <c r="N972" s="381"/>
      <c r="O972" s="381" t="s">
        <v>41</v>
      </c>
      <c r="P972" s="385" t="s">
        <v>65</v>
      </c>
      <c r="Q972" s="461" t="s">
        <v>66</v>
      </c>
      <c r="R972" s="385" t="s">
        <v>67</v>
      </c>
      <c r="S972" s="385" t="s">
        <v>59</v>
      </c>
      <c r="T972" s="375" t="s">
        <v>68</v>
      </c>
      <c r="U972" s="375" t="s">
        <v>14</v>
      </c>
      <c r="V972" s="375" t="s">
        <v>14</v>
      </c>
      <c r="W972" s="376" t="s">
        <v>30</v>
      </c>
      <c r="X972" s="388" t="s">
        <v>69</v>
      </c>
      <c r="Y972" s="388" t="s">
        <v>70</v>
      </c>
      <c r="Z972" s="377" t="s">
        <v>71</v>
      </c>
      <c r="AA972" s="377" t="s">
        <v>72</v>
      </c>
      <c r="AB972" s="460" t="s">
        <v>59</v>
      </c>
    </row>
    <row r="973" spans="1:28" s="457" customFormat="1" ht="18" customHeight="1" x14ac:dyDescent="0.2">
      <c r="A973" s="2692"/>
      <c r="B973" s="390"/>
      <c r="C973" s="2692"/>
      <c r="D973" s="390"/>
      <c r="E973" s="389"/>
      <c r="F973" s="390"/>
      <c r="G973" s="390"/>
      <c r="H973" s="391"/>
      <c r="I973" s="389"/>
      <c r="J973" s="393"/>
      <c r="K973" s="393"/>
      <c r="L973" s="2681"/>
      <c r="M973" s="394"/>
      <c r="N973" s="394"/>
      <c r="O973" s="394" t="s">
        <v>63</v>
      </c>
      <c r="P973" s="394"/>
      <c r="Q973" s="450" t="s">
        <v>72</v>
      </c>
      <c r="R973" s="398" t="s">
        <v>59</v>
      </c>
      <c r="S973" s="398"/>
      <c r="T973" s="398" t="s">
        <v>73</v>
      </c>
      <c r="U973" s="398" t="s">
        <v>59</v>
      </c>
      <c r="V973" s="399" t="s">
        <v>59</v>
      </c>
      <c r="W973" s="400" t="s">
        <v>59</v>
      </c>
      <c r="X973" s="401" t="s">
        <v>59</v>
      </c>
      <c r="Y973" s="401" t="s">
        <v>59</v>
      </c>
      <c r="Z973" s="401" t="s">
        <v>59</v>
      </c>
      <c r="AA973" s="402"/>
      <c r="AB973" s="462"/>
    </row>
    <row r="974" spans="1:28" s="457" customFormat="1" ht="18" customHeight="1" x14ac:dyDescent="0.2">
      <c r="A974" s="82">
        <v>1</v>
      </c>
      <c r="B974" s="95">
        <v>67013</v>
      </c>
      <c r="C974" s="82">
        <v>3114</v>
      </c>
      <c r="D974" s="82" t="s">
        <v>215</v>
      </c>
      <c r="E974" s="82">
        <v>3</v>
      </c>
      <c r="F974" s="740">
        <v>0</v>
      </c>
      <c r="G974" s="82">
        <v>1</v>
      </c>
      <c r="H974" s="82">
        <v>20</v>
      </c>
      <c r="I974" s="121">
        <f>F974*400+G974*100+H974</f>
        <v>120</v>
      </c>
      <c r="J974" s="123">
        <v>1000</v>
      </c>
      <c r="K974" s="121">
        <f>J974*I974</f>
        <v>120000</v>
      </c>
      <c r="L974" s="61"/>
      <c r="M974" s="145"/>
      <c r="N974" s="145"/>
      <c r="O974" s="61"/>
      <c r="P974" s="177"/>
      <c r="Q974" s="196"/>
      <c r="R974" s="408"/>
      <c r="S974" s="123"/>
      <c r="T974" s="145"/>
      <c r="U974" s="107"/>
      <c r="V974" s="77"/>
      <c r="W974" s="77">
        <f>K974</f>
        <v>120000</v>
      </c>
      <c r="X974" s="77">
        <f>W974</f>
        <v>120000</v>
      </c>
      <c r="Y974" s="145"/>
      <c r="Z974" s="107">
        <f>X974</f>
        <v>120000</v>
      </c>
      <c r="AA974" s="409">
        <v>0.3</v>
      </c>
      <c r="AB974" s="466">
        <f>Z974*AA974/100</f>
        <v>360</v>
      </c>
    </row>
    <row r="975" spans="1:28" s="457" customFormat="1" ht="18" customHeight="1" x14ac:dyDescent="0.2">
      <c r="A975" s="145"/>
      <c r="B975" s="75"/>
      <c r="C975" s="88"/>
      <c r="D975" s="145"/>
      <c r="E975" s="145"/>
      <c r="F975" s="467"/>
      <c r="G975" s="145"/>
      <c r="H975" s="145"/>
      <c r="I975" s="195"/>
      <c r="J975" s="150"/>
      <c r="K975" s="121"/>
      <c r="L975" s="61"/>
      <c r="M975" s="145"/>
      <c r="N975" s="145"/>
      <c r="O975" s="61"/>
      <c r="P975" s="177"/>
      <c r="Q975" s="196"/>
      <c r="R975" s="408"/>
      <c r="S975" s="195"/>
      <c r="T975" s="145"/>
      <c r="U975" s="107"/>
      <c r="V975" s="77"/>
      <c r="W975" s="77"/>
      <c r="X975" s="77"/>
      <c r="Y975" s="145"/>
      <c r="Z975" s="107"/>
      <c r="AA975" s="409"/>
      <c r="AB975" s="466"/>
    </row>
    <row r="976" spans="1:28" s="457" customFormat="1" ht="18" customHeight="1" x14ac:dyDescent="0.2">
      <c r="A976" s="145"/>
      <c r="B976" s="239"/>
      <c r="C976" s="239"/>
      <c r="D976" s="88"/>
      <c r="E976" s="88"/>
      <c r="F976" s="418"/>
      <c r="G976" s="88"/>
      <c r="H976" s="88"/>
      <c r="I976" s="121"/>
      <c r="J976" s="121"/>
      <c r="K976" s="190"/>
      <c r="L976" s="75"/>
      <c r="M976" s="88"/>
      <c r="N976" s="88"/>
      <c r="O976" s="75"/>
      <c r="P976" s="180"/>
      <c r="Q976" s="174"/>
      <c r="R976" s="413"/>
      <c r="S976" s="121"/>
      <c r="T976" s="88"/>
      <c r="U976" s="77"/>
      <c r="V976" s="77"/>
      <c r="W976" s="77"/>
      <c r="X976" s="77"/>
      <c r="Y976" s="145"/>
      <c r="Z976" s="107"/>
      <c r="AA976" s="409"/>
      <c r="AB976" s="466"/>
    </row>
    <row r="977" spans="1:28" s="457" customFormat="1" ht="18" customHeight="1" x14ac:dyDescent="0.2">
      <c r="A977" s="145"/>
      <c r="B977" s="418"/>
      <c r="C977" s="88"/>
      <c r="D977" s="88"/>
      <c r="E977" s="88"/>
      <c r="F977" s="418"/>
      <c r="G977" s="88"/>
      <c r="H977" s="418"/>
      <c r="I977" s="77"/>
      <c r="J977" s="107"/>
      <c r="K977" s="78"/>
      <c r="L977" s="75"/>
      <c r="M977" s="88"/>
      <c r="N977" s="88"/>
      <c r="O977" s="75"/>
      <c r="P977" s="180"/>
      <c r="Q977" s="174"/>
      <c r="R977" s="440"/>
      <c r="S977" s="159"/>
      <c r="T977" s="88"/>
      <c r="U977" s="74"/>
      <c r="V977" s="74"/>
      <c r="W977" s="74"/>
      <c r="X977" s="74"/>
      <c r="Y977" s="88"/>
      <c r="Z977" s="121"/>
      <c r="AA977" s="414"/>
      <c r="AB977" s="410"/>
    </row>
    <row r="978" spans="1:28" s="457" customFormat="1" ht="18" customHeight="1" x14ac:dyDescent="0.2">
      <c r="A978" s="88"/>
      <c r="B978" s="239"/>
      <c r="C978" s="88"/>
      <c r="D978" s="88"/>
      <c r="E978" s="88"/>
      <c r="F978" s="88"/>
      <c r="G978" s="88"/>
      <c r="H978" s="88"/>
      <c r="I978" s="74"/>
      <c r="J978" s="121"/>
      <c r="K978" s="159"/>
      <c r="L978" s="88"/>
      <c r="M978" s="88"/>
      <c r="N978" s="88"/>
      <c r="O978" s="88"/>
      <c r="P978" s="120"/>
      <c r="Q978" s="129"/>
      <c r="R978" s="413"/>
      <c r="S978" s="121"/>
      <c r="T978" s="182"/>
      <c r="U978" s="181"/>
      <c r="V978" s="121"/>
      <c r="W978" s="74"/>
      <c r="X978" s="74"/>
      <c r="Y978" s="88"/>
      <c r="Z978" s="121"/>
      <c r="AA978" s="414"/>
      <c r="AB978" s="410"/>
    </row>
    <row r="979" spans="1:28" s="457" customFormat="1" ht="18" customHeight="1" x14ac:dyDescent="0.2">
      <c r="A979" s="88"/>
      <c r="B979" s="239"/>
      <c r="C979" s="88"/>
      <c r="D979" s="88"/>
      <c r="E979" s="88"/>
      <c r="F979" s="88"/>
      <c r="G979" s="88"/>
      <c r="H979" s="88"/>
      <c r="I979" s="74"/>
      <c r="J979" s="121"/>
      <c r="K979" s="159"/>
      <c r="L979" s="88"/>
      <c r="M979" s="88"/>
      <c r="N979" s="88"/>
      <c r="O979" s="88"/>
      <c r="P979" s="120"/>
      <c r="Q979" s="129"/>
      <c r="R979" s="445"/>
      <c r="S979" s="121"/>
      <c r="T979" s="182"/>
      <c r="U979" s="181"/>
      <c r="V979" s="121"/>
      <c r="W979" s="74"/>
      <c r="X979" s="74"/>
      <c r="Y979" s="88"/>
      <c r="Z979" s="121"/>
      <c r="AA979" s="414"/>
      <c r="AB979" s="410"/>
    </row>
    <row r="980" spans="1:28" s="457" customFormat="1" ht="18" customHeight="1" x14ac:dyDescent="0.2">
      <c r="A980" s="88"/>
      <c r="B980" s="88"/>
      <c r="C980" s="88"/>
      <c r="D980" s="88"/>
      <c r="E980" s="88"/>
      <c r="F980" s="88"/>
      <c r="G980" s="88"/>
      <c r="H980" s="88"/>
      <c r="I980" s="74"/>
      <c r="J980" s="121"/>
      <c r="K980" s="159"/>
      <c r="L980" s="88"/>
      <c r="M980" s="88"/>
      <c r="N980" s="88"/>
      <c r="O980" s="88"/>
      <c r="P980" s="120"/>
      <c r="Q980" s="129"/>
      <c r="R980" s="445"/>
      <c r="S980" s="121"/>
      <c r="T980" s="182"/>
      <c r="U980" s="181"/>
      <c r="V980" s="121"/>
      <c r="W980" s="77"/>
      <c r="X980" s="77"/>
      <c r="Y980" s="145"/>
      <c r="Z980" s="107"/>
      <c r="AA980" s="409"/>
      <c r="AB980" s="466"/>
    </row>
    <row r="981" spans="1:28" s="457" customFormat="1" ht="18" customHeight="1" x14ac:dyDescent="0.2">
      <c r="A981" s="88"/>
      <c r="B981" s="88"/>
      <c r="C981" s="418"/>
      <c r="D981" s="88"/>
      <c r="E981" s="88"/>
      <c r="F981" s="88"/>
      <c r="G981" s="88"/>
      <c r="H981" s="418"/>
      <c r="I981" s="74"/>
      <c r="J981" s="121"/>
      <c r="K981" s="159"/>
      <c r="L981" s="145"/>
      <c r="M981" s="145"/>
      <c r="N981" s="145"/>
      <c r="O981" s="145"/>
      <c r="P981" s="147"/>
      <c r="Q981" s="148"/>
      <c r="R981" s="437"/>
      <c r="S981" s="107"/>
      <c r="T981" s="179"/>
      <c r="U981" s="178"/>
      <c r="V981" s="107"/>
      <c r="W981" s="107"/>
      <c r="X981" s="470"/>
      <c r="Y981" s="470"/>
      <c r="Z981" s="471"/>
      <c r="AA981" s="471"/>
      <c r="AB981" s="466"/>
    </row>
    <row r="982" spans="1:28" s="457" customFormat="1" ht="18" customHeight="1" x14ac:dyDescent="0.2">
      <c r="A982" s="88"/>
      <c r="B982" s="88"/>
      <c r="C982" s="418"/>
      <c r="D982" s="88"/>
      <c r="E982" s="88"/>
      <c r="F982" s="418"/>
      <c r="G982" s="88"/>
      <c r="H982" s="418"/>
      <c r="I982" s="74"/>
      <c r="J982" s="121"/>
      <c r="K982" s="159"/>
      <c r="L982" s="145"/>
      <c r="M982" s="145"/>
      <c r="N982" s="145"/>
      <c r="O982" s="145"/>
      <c r="P982" s="147"/>
      <c r="Q982" s="148"/>
      <c r="R982" s="437"/>
      <c r="S982" s="107"/>
      <c r="T982" s="179"/>
      <c r="U982" s="178"/>
      <c r="V982" s="107"/>
      <c r="W982" s="107"/>
      <c r="X982" s="470"/>
      <c r="Y982" s="470"/>
      <c r="Z982" s="471"/>
      <c r="AA982" s="471"/>
      <c r="AB982" s="466"/>
    </row>
    <row r="983" spans="1:28" s="457" customFormat="1" ht="18" customHeight="1" x14ac:dyDescent="0.2">
      <c r="A983" s="145"/>
      <c r="B983" s="177"/>
      <c r="C983" s="177"/>
      <c r="D983" s="145"/>
      <c r="E983" s="145"/>
      <c r="F983" s="145"/>
      <c r="G983" s="145"/>
      <c r="H983" s="147"/>
      <c r="I983" s="107"/>
      <c r="J983" s="178"/>
      <c r="K983" s="107"/>
      <c r="L983" s="145"/>
      <c r="M983" s="145"/>
      <c r="N983" s="145"/>
      <c r="O983" s="145"/>
      <c r="P983" s="147"/>
      <c r="Q983" s="148"/>
      <c r="R983" s="437"/>
      <c r="S983" s="107"/>
      <c r="T983" s="179"/>
      <c r="U983" s="178"/>
      <c r="V983" s="107"/>
      <c r="W983" s="107"/>
      <c r="X983" s="470"/>
      <c r="Y983" s="470"/>
      <c r="Z983" s="471"/>
      <c r="AA983" s="471"/>
      <c r="AB983" s="466"/>
    </row>
    <row r="984" spans="1:28" s="457" customFormat="1" ht="18" customHeight="1" x14ac:dyDescent="0.2">
      <c r="A984" s="145"/>
      <c r="B984" s="177"/>
      <c r="C984" s="177"/>
      <c r="D984" s="145"/>
      <c r="E984" s="145"/>
      <c r="F984" s="145"/>
      <c r="G984" s="145"/>
      <c r="H984" s="147"/>
      <c r="I984" s="107"/>
      <c r="J984" s="178"/>
      <c r="K984" s="107"/>
      <c r="L984" s="145"/>
      <c r="M984" s="145"/>
      <c r="N984" s="145"/>
      <c r="O984" s="145"/>
      <c r="P984" s="147"/>
      <c r="Q984" s="148"/>
      <c r="R984" s="437"/>
      <c r="S984" s="107"/>
      <c r="T984" s="179"/>
      <c r="U984" s="178"/>
      <c r="V984" s="107"/>
      <c r="W984" s="107"/>
      <c r="X984" s="470"/>
      <c r="Y984" s="470"/>
      <c r="Z984" s="471"/>
      <c r="AA984" s="471"/>
      <c r="AB984" s="466"/>
    </row>
    <row r="985" spans="1:28" s="457" customFormat="1" ht="18" customHeight="1" x14ac:dyDescent="0.2">
      <c r="A985" s="1950"/>
      <c r="B985" s="177"/>
      <c r="C985" s="177"/>
      <c r="D985" s="1950"/>
      <c r="E985" s="1950"/>
      <c r="F985" s="1950"/>
      <c r="G985" s="1950"/>
      <c r="H985" s="1953"/>
      <c r="I985" s="1951"/>
      <c r="J985" s="178"/>
      <c r="K985" s="1951"/>
      <c r="L985" s="1950"/>
      <c r="M985" s="1950"/>
      <c r="N985" s="1950"/>
      <c r="O985" s="1950"/>
      <c r="P985" s="1953"/>
      <c r="Q985" s="1952"/>
      <c r="R985" s="437"/>
      <c r="S985" s="1951"/>
      <c r="T985" s="179"/>
      <c r="U985" s="178"/>
      <c r="V985" s="1951"/>
      <c r="W985" s="1951"/>
      <c r="X985" s="470"/>
      <c r="Y985" s="470"/>
      <c r="Z985" s="471"/>
      <c r="AA985" s="471"/>
      <c r="AB985" s="466"/>
    </row>
    <row r="986" spans="1:28" s="457" customFormat="1" ht="18" customHeight="1" x14ac:dyDescent="0.2">
      <c r="A986" s="145"/>
      <c r="B986" s="177"/>
      <c r="C986" s="177"/>
      <c r="D986" s="145"/>
      <c r="E986" s="145"/>
      <c r="F986" s="145"/>
      <c r="G986" s="145"/>
      <c r="H986" s="147"/>
      <c r="I986" s="107"/>
      <c r="J986" s="178"/>
      <c r="K986" s="107"/>
      <c r="L986" s="145"/>
      <c r="M986" s="145"/>
      <c r="N986" s="145"/>
      <c r="O986" s="145"/>
      <c r="P986" s="147"/>
      <c r="Q986" s="148"/>
      <c r="R986" s="437"/>
      <c r="S986" s="107"/>
      <c r="T986" s="179"/>
      <c r="U986" s="178"/>
      <c r="V986" s="107"/>
      <c r="W986" s="107"/>
      <c r="X986" s="470"/>
      <c r="Y986" s="470"/>
      <c r="Z986" s="471"/>
      <c r="AA986" s="471"/>
      <c r="AB986" s="466"/>
    </row>
    <row r="987" spans="1:28" s="457" customFormat="1" ht="18" customHeight="1" x14ac:dyDescent="0.2">
      <c r="A987" s="145"/>
      <c r="B987" s="177"/>
      <c r="C987" s="177"/>
      <c r="D987" s="145"/>
      <c r="E987" s="145"/>
      <c r="F987" s="145"/>
      <c r="G987" s="145"/>
      <c r="H987" s="147"/>
      <c r="I987" s="107"/>
      <c r="J987" s="178"/>
      <c r="K987" s="107"/>
      <c r="L987" s="145"/>
      <c r="M987" s="145"/>
      <c r="N987" s="145"/>
      <c r="O987" s="145"/>
      <c r="P987" s="147"/>
      <c r="Q987" s="148"/>
      <c r="R987" s="437"/>
      <c r="S987" s="107"/>
      <c r="T987" s="179"/>
      <c r="U987" s="178"/>
      <c r="V987" s="107"/>
      <c r="W987" s="107"/>
      <c r="X987" s="470"/>
      <c r="Y987" s="470"/>
      <c r="Z987" s="471"/>
      <c r="AA987" s="471"/>
      <c r="AB987" s="466"/>
    </row>
    <row r="988" spans="1:28" s="457" customFormat="1" ht="18" customHeight="1" x14ac:dyDescent="0.2">
      <c r="A988" s="88"/>
      <c r="B988" s="177"/>
      <c r="C988" s="177"/>
      <c r="D988" s="145"/>
      <c r="E988" s="145"/>
      <c r="F988" s="145"/>
      <c r="G988" s="145"/>
      <c r="H988" s="147"/>
      <c r="I988" s="107"/>
      <c r="J988" s="178"/>
      <c r="K988" s="107"/>
      <c r="L988" s="145"/>
      <c r="M988" s="145"/>
      <c r="N988" s="145"/>
      <c r="O988" s="145"/>
      <c r="P988" s="147"/>
      <c r="Q988" s="148"/>
      <c r="R988" s="437"/>
      <c r="S988" s="107"/>
      <c r="T988" s="179"/>
      <c r="U988" s="178"/>
      <c r="V988" s="107"/>
      <c r="W988" s="107"/>
      <c r="X988" s="470"/>
      <c r="Y988" s="470"/>
      <c r="Z988" s="471"/>
      <c r="AA988" s="471"/>
      <c r="AB988" s="466"/>
    </row>
    <row r="989" spans="1:28" s="457" customFormat="1" ht="18" customHeight="1" x14ac:dyDescent="0.2">
      <c r="A989" s="239"/>
      <c r="B989" s="177"/>
      <c r="C989" s="177"/>
      <c r="D989" s="1950"/>
      <c r="E989" s="1950"/>
      <c r="F989" s="1950"/>
      <c r="G989" s="1950"/>
      <c r="H989" s="1953"/>
      <c r="I989" s="1951"/>
      <c r="J989" s="178"/>
      <c r="K989" s="1951"/>
      <c r="L989" s="1950"/>
      <c r="M989" s="1950"/>
      <c r="N989" s="1950"/>
      <c r="O989" s="1950"/>
      <c r="P989" s="1953"/>
      <c r="Q989" s="1952"/>
      <c r="R989" s="437"/>
      <c r="S989" s="1951"/>
      <c r="T989" s="179"/>
      <c r="U989" s="178"/>
      <c r="V989" s="1951"/>
      <c r="W989" s="1951"/>
      <c r="X989" s="470"/>
      <c r="Y989" s="470"/>
      <c r="Z989" s="471"/>
      <c r="AA989" s="471"/>
      <c r="AB989" s="466"/>
    </row>
    <row r="990" spans="1:28" s="457" customFormat="1" ht="18" customHeight="1" x14ac:dyDescent="0.2">
      <c r="A990" s="648"/>
      <c r="B990" s="180"/>
      <c r="C990" s="180"/>
      <c r="D990" s="88"/>
      <c r="E990" s="88"/>
      <c r="F990" s="88"/>
      <c r="G990" s="88"/>
      <c r="H990" s="120"/>
      <c r="I990" s="121"/>
      <c r="J990" s="181"/>
      <c r="K990" s="121"/>
      <c r="L990" s="88"/>
      <c r="M990" s="88"/>
      <c r="N990" s="88"/>
      <c r="O990" s="88"/>
      <c r="P990" s="88"/>
      <c r="Q990" s="129"/>
      <c r="R990" s="445"/>
      <c r="S990" s="121"/>
      <c r="T990" s="182"/>
      <c r="U990" s="181"/>
      <c r="V990" s="121"/>
      <c r="W990" s="121"/>
      <c r="X990" s="472"/>
      <c r="Y990" s="472"/>
      <c r="Z990" s="473"/>
      <c r="AA990" s="473"/>
      <c r="AB990" s="410"/>
    </row>
    <row r="991" spans="1:28" s="597" customFormat="1" ht="18" customHeight="1" x14ac:dyDescent="0.2">
      <c r="A991" s="1850"/>
      <c r="B991" s="1850"/>
      <c r="C991" s="1850"/>
      <c r="D991" s="1850"/>
      <c r="E991" s="1850"/>
      <c r="F991" s="1850"/>
      <c r="G991" s="1850"/>
      <c r="H991" s="1851"/>
      <c r="I991" s="1852"/>
      <c r="J991" s="1853"/>
      <c r="K991" s="1852"/>
      <c r="L991" s="1852"/>
      <c r="M991" s="1852"/>
      <c r="N991" s="1852"/>
      <c r="O991" s="1852"/>
      <c r="P991" s="1852"/>
      <c r="Q991" s="1852"/>
      <c r="R991" s="1854"/>
      <c r="S991" s="1852"/>
      <c r="T991" s="1855"/>
      <c r="U991" s="1853"/>
      <c r="V991" s="1852"/>
      <c r="W991" s="1852"/>
      <c r="X991" s="1856"/>
      <c r="Y991" s="1856"/>
      <c r="Z991" s="1857"/>
      <c r="AA991" s="1857"/>
      <c r="AB991" s="1847">
        <f>SUM(AB974:AB990)</f>
        <v>360</v>
      </c>
    </row>
    <row r="992" spans="1:28" s="457" customFormat="1" ht="18" customHeight="1" x14ac:dyDescent="0.2">
      <c r="B992" s="477" t="s">
        <v>76</v>
      </c>
      <c r="C992" s="2738" t="s">
        <v>77</v>
      </c>
      <c r="D992" s="2738"/>
      <c r="E992" s="2738"/>
      <c r="F992" s="2738"/>
      <c r="G992" s="2738"/>
      <c r="H992" s="2738"/>
      <c r="I992" s="457" t="s">
        <v>78</v>
      </c>
      <c r="AB992" s="478"/>
    </row>
    <row r="993" spans="1:28" s="457" customFormat="1" ht="18" customHeight="1" x14ac:dyDescent="0.2">
      <c r="B993" s="479"/>
      <c r="I993" s="457" t="s">
        <v>79</v>
      </c>
      <c r="AB993" s="478"/>
    </row>
    <row r="994" spans="1:28" s="457" customFormat="1" ht="18" customHeight="1" x14ac:dyDescent="0.2">
      <c r="B994" s="479"/>
      <c r="I994" s="457" t="s">
        <v>80</v>
      </c>
      <c r="AB994" s="478"/>
    </row>
    <row r="995" spans="1:28" s="457" customFormat="1" ht="18" customHeight="1" x14ac:dyDescent="0.2">
      <c r="B995" s="479"/>
      <c r="I995" s="457" t="s">
        <v>81</v>
      </c>
      <c r="AB995" s="478"/>
    </row>
    <row r="996" spans="1:28" s="457" customFormat="1" ht="18" customHeight="1" x14ac:dyDescent="0.2">
      <c r="B996" s="479"/>
      <c r="I996" s="457" t="s">
        <v>88</v>
      </c>
      <c r="AB996" s="478"/>
    </row>
    <row r="997" spans="1:28" s="457" customFormat="1" ht="18" customHeight="1" x14ac:dyDescent="0.2">
      <c r="B997" s="479"/>
      <c r="AB997" s="478"/>
    </row>
    <row r="998" spans="1:28" s="457" customFormat="1" ht="18" customHeight="1" x14ac:dyDescent="0.2">
      <c r="A998" s="455"/>
      <c r="B998" s="455"/>
      <c r="C998" s="455"/>
      <c r="D998" s="455"/>
      <c r="E998" s="455"/>
      <c r="F998" s="455"/>
      <c r="G998" s="455"/>
      <c r="H998" s="455"/>
      <c r="I998" s="455"/>
      <c r="J998" s="455"/>
      <c r="K998" s="455"/>
      <c r="L998" s="455"/>
      <c r="M998" s="455"/>
      <c r="N998" s="455"/>
      <c r="O998" s="455"/>
      <c r="P998" s="455"/>
      <c r="Q998" s="455"/>
      <c r="R998" s="455"/>
      <c r="S998" s="455"/>
      <c r="T998" s="455"/>
      <c r="U998" s="455"/>
      <c r="V998" s="455"/>
      <c r="W998" s="455"/>
      <c r="X998" s="455"/>
      <c r="Y998" s="455"/>
      <c r="Z998" s="455"/>
      <c r="AA998" s="2705" t="s">
        <v>0</v>
      </c>
      <c r="AB998" s="2705"/>
    </row>
    <row r="999" spans="1:28" s="457" customFormat="1" ht="18" customHeight="1" x14ac:dyDescent="0.2">
      <c r="A999" s="2706" t="s">
        <v>1</v>
      </c>
      <c r="B999" s="2706"/>
      <c r="C999" s="2706"/>
      <c r="D999" s="2706"/>
      <c r="E999" s="2706"/>
      <c r="F999" s="2706"/>
      <c r="G999" s="2706"/>
      <c r="H999" s="2706"/>
      <c r="I999" s="2706"/>
      <c r="J999" s="2706"/>
      <c r="K999" s="2706"/>
      <c r="L999" s="2706"/>
      <c r="M999" s="2706"/>
      <c r="N999" s="2706"/>
      <c r="O999" s="2706"/>
      <c r="P999" s="2706"/>
      <c r="Q999" s="2706"/>
      <c r="R999" s="2706"/>
      <c r="S999" s="2706"/>
      <c r="T999" s="2706"/>
      <c r="U999" s="2706"/>
      <c r="V999" s="2706"/>
      <c r="W999" s="2706"/>
      <c r="X999" s="2706"/>
      <c r="Y999" s="2706"/>
      <c r="Z999" s="2706"/>
      <c r="AA999" s="2706"/>
      <c r="AB999" s="2706"/>
    </row>
    <row r="1000" spans="1:28" s="457" customFormat="1" ht="18" customHeight="1" x14ac:dyDescent="0.2">
      <c r="A1000" s="2741" t="s">
        <v>486</v>
      </c>
      <c r="B1000" s="2741"/>
      <c r="C1000" s="2741"/>
      <c r="D1000" s="2741"/>
      <c r="E1000" s="2741"/>
      <c r="F1000" s="2741"/>
      <c r="G1000" s="2741"/>
      <c r="H1000" s="2741"/>
      <c r="I1000" s="2741"/>
      <c r="J1000" s="2741"/>
      <c r="K1000" s="2741"/>
      <c r="L1000" s="2741"/>
      <c r="M1000" s="2741"/>
      <c r="N1000" s="2741"/>
      <c r="O1000" s="2741"/>
      <c r="P1000" s="2741"/>
      <c r="Q1000" s="2741"/>
      <c r="R1000" s="2741"/>
      <c r="S1000" s="2741"/>
      <c r="T1000" s="2741"/>
      <c r="U1000" s="2741"/>
      <c r="V1000" s="2741"/>
      <c r="W1000" s="2741"/>
      <c r="X1000" s="2741"/>
      <c r="Y1000" s="2741"/>
      <c r="Z1000" s="2741"/>
      <c r="AA1000" s="2741"/>
      <c r="AB1000" s="2741"/>
    </row>
    <row r="1001" spans="1:28" s="457" customFormat="1" ht="18" customHeight="1" x14ac:dyDescent="0.2">
      <c r="A1001" s="2686" t="s">
        <v>2</v>
      </c>
      <c r="B1001" s="360"/>
      <c r="C1001" s="2686" t="s">
        <v>3</v>
      </c>
      <c r="D1001" s="360"/>
      <c r="E1001" s="360"/>
      <c r="F1001" s="2693" t="s">
        <v>4</v>
      </c>
      <c r="G1001" s="2693"/>
      <c r="H1001" s="2693"/>
      <c r="I1001" s="2694"/>
      <c r="J1001" s="2694"/>
      <c r="K1001" s="2695"/>
      <c r="L1001" s="361"/>
      <c r="M1001" s="2679" t="s">
        <v>5</v>
      </c>
      <c r="N1001" s="2679"/>
      <c r="O1001" s="2679"/>
      <c r="P1001" s="2679"/>
      <c r="Q1001" s="2696"/>
      <c r="R1001" s="2696"/>
      <c r="S1001" s="2696"/>
      <c r="T1001" s="2696"/>
      <c r="U1001" s="2696"/>
      <c r="V1001" s="2697"/>
      <c r="W1001" s="362" t="s">
        <v>6</v>
      </c>
      <c r="X1001" s="363" t="s">
        <v>7</v>
      </c>
      <c r="Y1001" s="364"/>
      <c r="Z1001" s="364"/>
      <c r="AA1001" s="363"/>
      <c r="AB1001" s="458"/>
    </row>
    <row r="1002" spans="1:28" s="457" customFormat="1" ht="18" customHeight="1" x14ac:dyDescent="0.2">
      <c r="A1002" s="2687"/>
      <c r="B1002" s="367"/>
      <c r="C1002" s="2687"/>
      <c r="D1002" s="1941" t="s">
        <v>9</v>
      </c>
      <c r="E1002" s="1941" t="s">
        <v>10</v>
      </c>
      <c r="F1002" s="2698" t="s">
        <v>11</v>
      </c>
      <c r="G1002" s="2694"/>
      <c r="H1002" s="2695"/>
      <c r="I1002" s="360"/>
      <c r="J1002" s="1940" t="s">
        <v>12</v>
      </c>
      <c r="K1002" s="360"/>
      <c r="L1002" s="2679" t="s">
        <v>2</v>
      </c>
      <c r="M1002" s="1947"/>
      <c r="N1002" s="1947"/>
      <c r="O1002" s="1947"/>
      <c r="P1002" s="371"/>
      <c r="Q1002" s="459" t="s">
        <v>13</v>
      </c>
      <c r="R1002" s="1947" t="s">
        <v>12</v>
      </c>
      <c r="S1002" s="1947" t="s">
        <v>6</v>
      </c>
      <c r="T1002" s="2682" t="s">
        <v>14</v>
      </c>
      <c r="U1002" s="2683"/>
      <c r="V1002" s="375" t="s">
        <v>7</v>
      </c>
      <c r="W1002" s="376" t="s">
        <v>15</v>
      </c>
      <c r="X1002" s="377" t="s">
        <v>16</v>
      </c>
      <c r="Y1002" s="377" t="s">
        <v>17</v>
      </c>
      <c r="Z1002" s="377" t="s">
        <v>18</v>
      </c>
      <c r="AA1002" s="377"/>
      <c r="AB1002" s="460" t="s">
        <v>19</v>
      </c>
    </row>
    <row r="1003" spans="1:28" s="457" customFormat="1" ht="18" customHeight="1" x14ac:dyDescent="0.2">
      <c r="A1003" s="2687"/>
      <c r="B1003" s="1941" t="s">
        <v>23</v>
      </c>
      <c r="C1003" s="2687"/>
      <c r="D1003" s="1941" t="s">
        <v>24</v>
      </c>
      <c r="E1003" s="1941" t="s">
        <v>25</v>
      </c>
      <c r="F1003" s="2699"/>
      <c r="G1003" s="2700"/>
      <c r="H1003" s="2701"/>
      <c r="I1003" s="1941" t="s">
        <v>26</v>
      </c>
      <c r="J1003" s="1945" t="s">
        <v>15</v>
      </c>
      <c r="K1003" s="1945" t="s">
        <v>6</v>
      </c>
      <c r="L1003" s="2680"/>
      <c r="M1003" s="1948" t="s">
        <v>27</v>
      </c>
      <c r="N1003" s="1948" t="s">
        <v>10</v>
      </c>
      <c r="O1003" s="1948" t="s">
        <v>10</v>
      </c>
      <c r="P1003" s="385" t="s">
        <v>28</v>
      </c>
      <c r="Q1003" s="461" t="s">
        <v>29</v>
      </c>
      <c r="R1003" s="385" t="s">
        <v>15</v>
      </c>
      <c r="S1003" s="385" t="s">
        <v>15</v>
      </c>
      <c r="T1003" s="2684"/>
      <c r="U1003" s="2685"/>
      <c r="V1003" s="375" t="s">
        <v>30</v>
      </c>
      <c r="W1003" s="376" t="s">
        <v>31</v>
      </c>
      <c r="X1003" s="377" t="s">
        <v>30</v>
      </c>
      <c r="Y1003" s="377" t="s">
        <v>32</v>
      </c>
      <c r="Z1003" s="377" t="s">
        <v>7</v>
      </c>
      <c r="AA1003" s="377" t="s">
        <v>33</v>
      </c>
      <c r="AB1003" s="460" t="s">
        <v>34</v>
      </c>
    </row>
    <row r="1004" spans="1:28" s="457" customFormat="1" ht="18" customHeight="1" x14ac:dyDescent="0.2">
      <c r="A1004" s="2687"/>
      <c r="B1004" s="1941" t="s">
        <v>39</v>
      </c>
      <c r="C1004" s="2687"/>
      <c r="D1004" s="1941" t="s">
        <v>40</v>
      </c>
      <c r="E1004" s="1941" t="s">
        <v>41</v>
      </c>
      <c r="F1004" s="2686" t="s">
        <v>42</v>
      </c>
      <c r="G1004" s="2686" t="s">
        <v>43</v>
      </c>
      <c r="H1004" s="2688" t="s">
        <v>44</v>
      </c>
      <c r="I1004" s="1941" t="s">
        <v>45</v>
      </c>
      <c r="J1004" s="1945" t="s">
        <v>46</v>
      </c>
      <c r="K1004" s="1945" t="s">
        <v>47</v>
      </c>
      <c r="L1004" s="2680"/>
      <c r="M1004" s="1948" t="s">
        <v>30</v>
      </c>
      <c r="N1004" s="1948" t="s">
        <v>30</v>
      </c>
      <c r="O1004" s="1948" t="s">
        <v>25</v>
      </c>
      <c r="P1004" s="385" t="s">
        <v>30</v>
      </c>
      <c r="Q1004" s="461" t="s">
        <v>48</v>
      </c>
      <c r="R1004" s="385" t="s">
        <v>49</v>
      </c>
      <c r="S1004" s="385" t="s">
        <v>30</v>
      </c>
      <c r="T1004" s="1944" t="s">
        <v>50</v>
      </c>
      <c r="U1004" s="1944" t="s">
        <v>13</v>
      </c>
      <c r="V1004" s="375" t="s">
        <v>51</v>
      </c>
      <c r="W1004" s="376" t="s">
        <v>52</v>
      </c>
      <c r="X1004" s="377" t="s">
        <v>53</v>
      </c>
      <c r="Y1004" s="377" t="s">
        <v>54</v>
      </c>
      <c r="Z1004" s="377" t="s">
        <v>55</v>
      </c>
      <c r="AA1004" s="377" t="s">
        <v>56</v>
      </c>
      <c r="AB1004" s="460" t="s">
        <v>57</v>
      </c>
    </row>
    <row r="1005" spans="1:28" s="457" customFormat="1" ht="18" customHeight="1" x14ac:dyDescent="0.2">
      <c r="A1005" s="2687"/>
      <c r="B1005" s="1941" t="s">
        <v>61</v>
      </c>
      <c r="C1005" s="2687"/>
      <c r="D1005" s="1941" t="s">
        <v>62</v>
      </c>
      <c r="E1005" s="1941" t="s">
        <v>63</v>
      </c>
      <c r="F1005" s="2687"/>
      <c r="G1005" s="2687"/>
      <c r="H1005" s="2689"/>
      <c r="I1005" s="1941" t="s">
        <v>64</v>
      </c>
      <c r="J1005" s="1945" t="s">
        <v>59</v>
      </c>
      <c r="K1005" s="1945" t="s">
        <v>59</v>
      </c>
      <c r="L1005" s="2680"/>
      <c r="M1005" s="1948"/>
      <c r="N1005" s="1948"/>
      <c r="O1005" s="1948" t="s">
        <v>41</v>
      </c>
      <c r="P1005" s="385" t="s">
        <v>65</v>
      </c>
      <c r="Q1005" s="461" t="s">
        <v>66</v>
      </c>
      <c r="R1005" s="385" t="s">
        <v>67</v>
      </c>
      <c r="S1005" s="385" t="s">
        <v>59</v>
      </c>
      <c r="T1005" s="375" t="s">
        <v>68</v>
      </c>
      <c r="U1005" s="375" t="s">
        <v>14</v>
      </c>
      <c r="V1005" s="375" t="s">
        <v>14</v>
      </c>
      <c r="W1005" s="376" t="s">
        <v>30</v>
      </c>
      <c r="X1005" s="388" t="s">
        <v>69</v>
      </c>
      <c r="Y1005" s="388" t="s">
        <v>70</v>
      </c>
      <c r="Z1005" s="377" t="s">
        <v>71</v>
      </c>
      <c r="AA1005" s="377" t="s">
        <v>72</v>
      </c>
      <c r="AB1005" s="460" t="s">
        <v>59</v>
      </c>
    </row>
    <row r="1006" spans="1:28" s="457" customFormat="1" ht="18" customHeight="1" x14ac:dyDescent="0.2">
      <c r="A1006" s="2692"/>
      <c r="B1006" s="390"/>
      <c r="C1006" s="2692"/>
      <c r="D1006" s="390"/>
      <c r="E1006" s="1942"/>
      <c r="F1006" s="390"/>
      <c r="G1006" s="390"/>
      <c r="H1006" s="391"/>
      <c r="I1006" s="1942"/>
      <c r="J1006" s="393"/>
      <c r="K1006" s="393"/>
      <c r="L1006" s="2681"/>
      <c r="M1006" s="1949"/>
      <c r="N1006" s="1949"/>
      <c r="O1006" s="1949" t="s">
        <v>63</v>
      </c>
      <c r="P1006" s="1949"/>
      <c r="Q1006" s="1943" t="s">
        <v>72</v>
      </c>
      <c r="R1006" s="398" t="s">
        <v>59</v>
      </c>
      <c r="S1006" s="398"/>
      <c r="T1006" s="398" t="s">
        <v>73</v>
      </c>
      <c r="U1006" s="398" t="s">
        <v>59</v>
      </c>
      <c r="V1006" s="399" t="s">
        <v>59</v>
      </c>
      <c r="W1006" s="400" t="s">
        <v>59</v>
      </c>
      <c r="X1006" s="401" t="s">
        <v>59</v>
      </c>
      <c r="Y1006" s="401" t="s">
        <v>59</v>
      </c>
      <c r="Z1006" s="401" t="s">
        <v>59</v>
      </c>
      <c r="AA1006" s="402"/>
      <c r="AB1006" s="462"/>
    </row>
    <row r="1007" spans="1:28" s="457" customFormat="1" ht="18" customHeight="1" x14ac:dyDescent="0.2">
      <c r="A1007" s="82">
        <v>1</v>
      </c>
      <c r="B1007" s="95">
        <v>71929</v>
      </c>
      <c r="C1007" s="82">
        <v>3261</v>
      </c>
      <c r="D1007" s="82" t="s">
        <v>215</v>
      </c>
      <c r="E1007" s="82">
        <v>4</v>
      </c>
      <c r="F1007" s="740">
        <v>0</v>
      </c>
      <c r="G1007" s="82">
        <v>0</v>
      </c>
      <c r="H1007" s="82">
        <v>80</v>
      </c>
      <c r="I1007" s="70">
        <f>F1007*400+G1007*100+H1007</f>
        <v>80</v>
      </c>
      <c r="J1007" s="123">
        <v>1450</v>
      </c>
      <c r="K1007" s="124">
        <f>SUM(I1007*J1007)</f>
        <v>116000</v>
      </c>
      <c r="L1007" s="61"/>
      <c r="M1007" s="1950"/>
      <c r="N1007" s="1950"/>
      <c r="O1007" s="61"/>
      <c r="P1007" s="177"/>
      <c r="Q1007" s="196"/>
      <c r="R1007" s="408"/>
      <c r="S1007" s="123"/>
      <c r="T1007" s="1950"/>
      <c r="U1007" s="1951"/>
      <c r="V1007" s="77"/>
      <c r="W1007" s="77">
        <f>K1007</f>
        <v>116000</v>
      </c>
      <c r="X1007" s="77">
        <f>W1007</f>
        <v>116000</v>
      </c>
      <c r="Y1007" s="1950"/>
      <c r="Z1007" s="1951">
        <f>X1007</f>
        <v>116000</v>
      </c>
      <c r="AA1007" s="1954">
        <v>0.3</v>
      </c>
      <c r="AB1007" s="466">
        <f>Z1007*AA1007/100</f>
        <v>348</v>
      </c>
    </row>
    <row r="1008" spans="1:28" s="457" customFormat="1" ht="18" customHeight="1" x14ac:dyDescent="0.2">
      <c r="A1008" s="1950"/>
      <c r="B1008" s="75"/>
      <c r="C1008" s="88"/>
      <c r="D1008" s="1950"/>
      <c r="E1008" s="1950"/>
      <c r="F1008" s="467"/>
      <c r="G1008" s="1950"/>
      <c r="H1008" s="1950"/>
      <c r="I1008" s="195"/>
      <c r="J1008" s="150"/>
      <c r="K1008" s="121"/>
      <c r="L1008" s="61"/>
      <c r="M1008" s="1950"/>
      <c r="N1008" s="1950"/>
      <c r="O1008" s="61"/>
      <c r="P1008" s="177"/>
      <c r="Q1008" s="196"/>
      <c r="R1008" s="408"/>
      <c r="S1008" s="195"/>
      <c r="T1008" s="1950"/>
      <c r="U1008" s="1951"/>
      <c r="V1008" s="77"/>
      <c r="W1008" s="77"/>
      <c r="X1008" s="77"/>
      <c r="Y1008" s="1950"/>
      <c r="Z1008" s="1951"/>
      <c r="AA1008" s="1954"/>
      <c r="AB1008" s="466"/>
    </row>
    <row r="1009" spans="1:28" s="457" customFormat="1" ht="18" customHeight="1" x14ac:dyDescent="0.2">
      <c r="A1009" s="1950"/>
      <c r="B1009" s="239"/>
      <c r="C1009" s="239"/>
      <c r="D1009" s="88"/>
      <c r="E1009" s="88"/>
      <c r="F1009" s="418"/>
      <c r="G1009" s="88"/>
      <c r="H1009" s="88"/>
      <c r="I1009" s="121"/>
      <c r="J1009" s="121"/>
      <c r="K1009" s="190"/>
      <c r="L1009" s="75"/>
      <c r="M1009" s="88"/>
      <c r="N1009" s="88"/>
      <c r="O1009" s="75"/>
      <c r="P1009" s="180"/>
      <c r="Q1009" s="174"/>
      <c r="R1009" s="413"/>
      <c r="S1009" s="121"/>
      <c r="T1009" s="88"/>
      <c r="U1009" s="77"/>
      <c r="V1009" s="77"/>
      <c r="W1009" s="77"/>
      <c r="X1009" s="77"/>
      <c r="Y1009" s="1950"/>
      <c r="Z1009" s="1951"/>
      <c r="AA1009" s="1954"/>
      <c r="AB1009" s="466"/>
    </row>
    <row r="1010" spans="1:28" s="457" customFormat="1" ht="18" customHeight="1" x14ac:dyDescent="0.2">
      <c r="A1010" s="1950"/>
      <c r="B1010" s="418"/>
      <c r="C1010" s="88"/>
      <c r="D1010" s="88"/>
      <c r="E1010" s="88"/>
      <c r="F1010" s="418"/>
      <c r="G1010" s="88"/>
      <c r="H1010" s="418"/>
      <c r="I1010" s="77"/>
      <c r="J1010" s="1951"/>
      <c r="K1010" s="78"/>
      <c r="L1010" s="75"/>
      <c r="M1010" s="88"/>
      <c r="N1010" s="88"/>
      <c r="O1010" s="75"/>
      <c r="P1010" s="180"/>
      <c r="Q1010" s="174"/>
      <c r="R1010" s="440"/>
      <c r="S1010" s="159"/>
      <c r="T1010" s="88"/>
      <c r="U1010" s="74"/>
      <c r="V1010" s="74"/>
      <c r="W1010" s="74"/>
      <c r="X1010" s="74"/>
      <c r="Y1010" s="88"/>
      <c r="Z1010" s="121"/>
      <c r="AA1010" s="414"/>
      <c r="AB1010" s="410"/>
    </row>
    <row r="1011" spans="1:28" s="457" customFormat="1" ht="18" customHeight="1" x14ac:dyDescent="0.2">
      <c r="A1011" s="88"/>
      <c r="B1011" s="239"/>
      <c r="C1011" s="88"/>
      <c r="D1011" s="88"/>
      <c r="E1011" s="88"/>
      <c r="F1011" s="88"/>
      <c r="G1011" s="88"/>
      <c r="H1011" s="88"/>
      <c r="I1011" s="74"/>
      <c r="J1011" s="121"/>
      <c r="K1011" s="159"/>
      <c r="L1011" s="88"/>
      <c r="M1011" s="88"/>
      <c r="N1011" s="88"/>
      <c r="O1011" s="88"/>
      <c r="P1011" s="120"/>
      <c r="Q1011" s="129"/>
      <c r="R1011" s="413"/>
      <c r="S1011" s="121"/>
      <c r="T1011" s="182"/>
      <c r="U1011" s="181"/>
      <c r="V1011" s="121"/>
      <c r="W1011" s="74"/>
      <c r="X1011" s="74"/>
      <c r="Y1011" s="88"/>
      <c r="Z1011" s="121"/>
      <c r="AA1011" s="414"/>
      <c r="AB1011" s="410"/>
    </row>
    <row r="1012" spans="1:28" s="457" customFormat="1" ht="18" customHeight="1" x14ac:dyDescent="0.2">
      <c r="A1012" s="88"/>
      <c r="B1012" s="239"/>
      <c r="C1012" s="88"/>
      <c r="D1012" s="88"/>
      <c r="E1012" s="88"/>
      <c r="F1012" s="88"/>
      <c r="G1012" s="88"/>
      <c r="H1012" s="88"/>
      <c r="I1012" s="74"/>
      <c r="J1012" s="121"/>
      <c r="K1012" s="159"/>
      <c r="L1012" s="88"/>
      <c r="M1012" s="88"/>
      <c r="N1012" s="88"/>
      <c r="O1012" s="88"/>
      <c r="P1012" s="120"/>
      <c r="Q1012" s="129"/>
      <c r="R1012" s="445"/>
      <c r="S1012" s="121"/>
      <c r="T1012" s="182"/>
      <c r="U1012" s="181"/>
      <c r="V1012" s="121"/>
      <c r="W1012" s="74"/>
      <c r="X1012" s="74"/>
      <c r="Y1012" s="88"/>
      <c r="Z1012" s="121"/>
      <c r="AA1012" s="414"/>
      <c r="AB1012" s="410"/>
    </row>
    <row r="1013" spans="1:28" s="457" customFormat="1" ht="18" customHeight="1" x14ac:dyDescent="0.2">
      <c r="A1013" s="88"/>
      <c r="B1013" s="88"/>
      <c r="C1013" s="88"/>
      <c r="D1013" s="88"/>
      <c r="E1013" s="88"/>
      <c r="F1013" s="88"/>
      <c r="G1013" s="88"/>
      <c r="H1013" s="88"/>
      <c r="I1013" s="74"/>
      <c r="J1013" s="121"/>
      <c r="K1013" s="159"/>
      <c r="L1013" s="88"/>
      <c r="M1013" s="88"/>
      <c r="N1013" s="88"/>
      <c r="O1013" s="88"/>
      <c r="P1013" s="120"/>
      <c r="Q1013" s="129"/>
      <c r="R1013" s="445"/>
      <c r="S1013" s="121"/>
      <c r="T1013" s="182"/>
      <c r="U1013" s="181"/>
      <c r="V1013" s="121"/>
      <c r="W1013" s="77"/>
      <c r="X1013" s="77"/>
      <c r="Y1013" s="1950"/>
      <c r="Z1013" s="1951"/>
      <c r="AA1013" s="1954"/>
      <c r="AB1013" s="466"/>
    </row>
    <row r="1014" spans="1:28" s="457" customFormat="1" ht="18" customHeight="1" x14ac:dyDescent="0.2">
      <c r="A1014" s="88"/>
      <c r="B1014" s="88"/>
      <c r="C1014" s="418"/>
      <c r="D1014" s="88"/>
      <c r="E1014" s="88"/>
      <c r="F1014" s="88"/>
      <c r="G1014" s="88"/>
      <c r="H1014" s="418"/>
      <c r="I1014" s="74"/>
      <c r="J1014" s="121"/>
      <c r="K1014" s="159"/>
      <c r="L1014" s="1950"/>
      <c r="M1014" s="1950"/>
      <c r="N1014" s="1950"/>
      <c r="O1014" s="1950"/>
      <c r="P1014" s="1953"/>
      <c r="Q1014" s="1952"/>
      <c r="R1014" s="437"/>
      <c r="S1014" s="1951"/>
      <c r="T1014" s="179"/>
      <c r="U1014" s="178"/>
      <c r="V1014" s="1951"/>
      <c r="W1014" s="1951"/>
      <c r="X1014" s="470"/>
      <c r="Y1014" s="470"/>
      <c r="Z1014" s="471"/>
      <c r="AA1014" s="471"/>
      <c r="AB1014" s="466"/>
    </row>
    <row r="1015" spans="1:28" s="457" customFormat="1" ht="18" customHeight="1" x14ac:dyDescent="0.2">
      <c r="A1015" s="88"/>
      <c r="B1015" s="88"/>
      <c r="C1015" s="418"/>
      <c r="D1015" s="88"/>
      <c r="E1015" s="88"/>
      <c r="F1015" s="418"/>
      <c r="G1015" s="88"/>
      <c r="H1015" s="418"/>
      <c r="I1015" s="74"/>
      <c r="J1015" s="121"/>
      <c r="K1015" s="159"/>
      <c r="L1015" s="1950"/>
      <c r="M1015" s="1950"/>
      <c r="N1015" s="1950"/>
      <c r="O1015" s="1950"/>
      <c r="P1015" s="1953"/>
      <c r="Q1015" s="1952"/>
      <c r="R1015" s="437"/>
      <c r="S1015" s="1951"/>
      <c r="T1015" s="179"/>
      <c r="U1015" s="178"/>
      <c r="V1015" s="1951"/>
      <c r="W1015" s="1951"/>
      <c r="X1015" s="470"/>
      <c r="Y1015" s="470"/>
      <c r="Z1015" s="471"/>
      <c r="AA1015" s="471"/>
      <c r="AB1015" s="466"/>
    </row>
    <row r="1016" spans="1:28" s="457" customFormat="1" ht="18" customHeight="1" x14ac:dyDescent="0.2">
      <c r="A1016" s="1950"/>
      <c r="B1016" s="177"/>
      <c r="C1016" s="177"/>
      <c r="D1016" s="1950"/>
      <c r="E1016" s="1950"/>
      <c r="F1016" s="1950"/>
      <c r="G1016" s="1950"/>
      <c r="H1016" s="1953"/>
      <c r="I1016" s="1951"/>
      <c r="J1016" s="178"/>
      <c r="K1016" s="1951"/>
      <c r="L1016" s="1950"/>
      <c r="M1016" s="1950"/>
      <c r="N1016" s="1950"/>
      <c r="O1016" s="1950"/>
      <c r="P1016" s="1953"/>
      <c r="Q1016" s="1952"/>
      <c r="R1016" s="437"/>
      <c r="S1016" s="1951"/>
      <c r="T1016" s="179"/>
      <c r="U1016" s="178"/>
      <c r="V1016" s="1951"/>
      <c r="W1016" s="1951"/>
      <c r="X1016" s="470"/>
      <c r="Y1016" s="470"/>
      <c r="Z1016" s="471"/>
      <c r="AA1016" s="471"/>
      <c r="AB1016" s="466"/>
    </row>
    <row r="1017" spans="1:28" s="457" customFormat="1" ht="18" customHeight="1" x14ac:dyDescent="0.2">
      <c r="A1017" s="1950"/>
      <c r="B1017" s="177"/>
      <c r="C1017" s="177"/>
      <c r="D1017" s="1950"/>
      <c r="E1017" s="1950"/>
      <c r="F1017" s="1950"/>
      <c r="G1017" s="1950"/>
      <c r="H1017" s="1953"/>
      <c r="I1017" s="1951"/>
      <c r="J1017" s="178"/>
      <c r="K1017" s="1951"/>
      <c r="L1017" s="1950"/>
      <c r="M1017" s="1950"/>
      <c r="N1017" s="1950"/>
      <c r="O1017" s="1950"/>
      <c r="P1017" s="1953"/>
      <c r="Q1017" s="1952"/>
      <c r="R1017" s="437"/>
      <c r="S1017" s="1951"/>
      <c r="T1017" s="179"/>
      <c r="U1017" s="178"/>
      <c r="V1017" s="1951"/>
      <c r="W1017" s="1951"/>
      <c r="X1017" s="470"/>
      <c r="Y1017" s="470"/>
      <c r="Z1017" s="471"/>
      <c r="AA1017" s="471"/>
      <c r="AB1017" s="466"/>
    </row>
    <row r="1018" spans="1:28" s="457" customFormat="1" ht="18" customHeight="1" x14ac:dyDescent="0.2">
      <c r="A1018" s="1950"/>
      <c r="B1018" s="177"/>
      <c r="C1018" s="177"/>
      <c r="D1018" s="1950"/>
      <c r="E1018" s="1950"/>
      <c r="F1018" s="1950"/>
      <c r="G1018" s="1950"/>
      <c r="H1018" s="1953"/>
      <c r="I1018" s="1951"/>
      <c r="J1018" s="178"/>
      <c r="K1018" s="1951"/>
      <c r="L1018" s="1950"/>
      <c r="M1018" s="1950"/>
      <c r="N1018" s="1950"/>
      <c r="O1018" s="1950"/>
      <c r="P1018" s="1953"/>
      <c r="Q1018" s="1952"/>
      <c r="R1018" s="437"/>
      <c r="S1018" s="1951"/>
      <c r="T1018" s="179"/>
      <c r="U1018" s="178"/>
      <c r="V1018" s="1951"/>
      <c r="W1018" s="1951"/>
      <c r="X1018" s="470"/>
      <c r="Y1018" s="470"/>
      <c r="Z1018" s="471"/>
      <c r="AA1018" s="471"/>
      <c r="AB1018" s="466"/>
    </row>
    <row r="1019" spans="1:28" s="457" customFormat="1" ht="18" customHeight="1" x14ac:dyDescent="0.2">
      <c r="A1019" s="1950"/>
      <c r="B1019" s="177"/>
      <c r="C1019" s="177"/>
      <c r="D1019" s="1950"/>
      <c r="E1019" s="1950"/>
      <c r="F1019" s="1950"/>
      <c r="G1019" s="1950"/>
      <c r="H1019" s="1953"/>
      <c r="I1019" s="1951"/>
      <c r="J1019" s="178"/>
      <c r="K1019" s="1951"/>
      <c r="L1019" s="1950"/>
      <c r="M1019" s="1950"/>
      <c r="N1019" s="1950"/>
      <c r="O1019" s="1950"/>
      <c r="P1019" s="1953"/>
      <c r="Q1019" s="1952"/>
      <c r="R1019" s="437"/>
      <c r="S1019" s="1951"/>
      <c r="T1019" s="179"/>
      <c r="U1019" s="178"/>
      <c r="V1019" s="1951"/>
      <c r="W1019" s="1951"/>
      <c r="X1019" s="470"/>
      <c r="Y1019" s="470"/>
      <c r="Z1019" s="471"/>
      <c r="AA1019" s="471"/>
      <c r="AB1019" s="466"/>
    </row>
    <row r="1020" spans="1:28" s="457" customFormat="1" ht="18" customHeight="1" x14ac:dyDescent="0.2">
      <c r="A1020" s="88"/>
      <c r="B1020" s="177"/>
      <c r="C1020" s="177"/>
      <c r="D1020" s="1950"/>
      <c r="E1020" s="1950"/>
      <c r="F1020" s="1950"/>
      <c r="G1020" s="1950"/>
      <c r="H1020" s="1953"/>
      <c r="I1020" s="1951"/>
      <c r="J1020" s="178"/>
      <c r="K1020" s="1951"/>
      <c r="L1020" s="1950"/>
      <c r="M1020" s="1950"/>
      <c r="N1020" s="1950"/>
      <c r="O1020" s="1950"/>
      <c r="P1020" s="1953"/>
      <c r="Q1020" s="1952"/>
      <c r="R1020" s="437"/>
      <c r="S1020" s="1951"/>
      <c r="T1020" s="179"/>
      <c r="U1020" s="178"/>
      <c r="V1020" s="1951"/>
      <c r="W1020" s="1951"/>
      <c r="X1020" s="470"/>
      <c r="Y1020" s="470"/>
      <c r="Z1020" s="471"/>
      <c r="AA1020" s="471"/>
      <c r="AB1020" s="466"/>
    </row>
    <row r="1021" spans="1:28" s="457" customFormat="1" ht="18" customHeight="1" x14ac:dyDescent="0.2">
      <c r="A1021" s="648"/>
      <c r="B1021" s="180"/>
      <c r="C1021" s="180"/>
      <c r="D1021" s="88"/>
      <c r="E1021" s="88"/>
      <c r="F1021" s="88"/>
      <c r="G1021" s="88"/>
      <c r="H1021" s="120"/>
      <c r="I1021" s="121"/>
      <c r="J1021" s="181"/>
      <c r="K1021" s="121"/>
      <c r="L1021" s="88"/>
      <c r="M1021" s="88"/>
      <c r="N1021" s="88"/>
      <c r="O1021" s="88"/>
      <c r="P1021" s="88"/>
      <c r="Q1021" s="129"/>
      <c r="R1021" s="445"/>
      <c r="S1021" s="121"/>
      <c r="T1021" s="182"/>
      <c r="U1021" s="181"/>
      <c r="V1021" s="121"/>
      <c r="W1021" s="121"/>
      <c r="X1021" s="472"/>
      <c r="Y1021" s="472"/>
      <c r="Z1021" s="473"/>
      <c r="AA1021" s="473"/>
      <c r="AB1021" s="410"/>
    </row>
    <row r="1022" spans="1:28" s="597" customFormat="1" ht="18" customHeight="1" x14ac:dyDescent="0.2">
      <c r="A1022" s="1850"/>
      <c r="B1022" s="1850"/>
      <c r="C1022" s="1850"/>
      <c r="D1022" s="1850"/>
      <c r="E1022" s="1850"/>
      <c r="F1022" s="1850"/>
      <c r="G1022" s="1850"/>
      <c r="H1022" s="1851"/>
      <c r="I1022" s="1852"/>
      <c r="J1022" s="1853"/>
      <c r="K1022" s="1852"/>
      <c r="L1022" s="1852"/>
      <c r="M1022" s="1852"/>
      <c r="N1022" s="1852"/>
      <c r="O1022" s="1852"/>
      <c r="P1022" s="1852"/>
      <c r="Q1022" s="1852"/>
      <c r="R1022" s="1854"/>
      <c r="S1022" s="1852"/>
      <c r="T1022" s="1855"/>
      <c r="U1022" s="1853"/>
      <c r="V1022" s="1852"/>
      <c r="W1022" s="1852"/>
      <c r="X1022" s="1856"/>
      <c r="Y1022" s="1856"/>
      <c r="Z1022" s="1857"/>
      <c r="AA1022" s="1857"/>
      <c r="AB1022" s="1847">
        <f>SUM(AB1007:AB1021)</f>
        <v>348</v>
      </c>
    </row>
    <row r="1023" spans="1:28" s="457" customFormat="1" ht="18" customHeight="1" x14ac:dyDescent="0.2">
      <c r="B1023" s="1946" t="s">
        <v>76</v>
      </c>
      <c r="C1023" s="2738" t="s">
        <v>77</v>
      </c>
      <c r="D1023" s="2738"/>
      <c r="E1023" s="2738"/>
      <c r="F1023" s="2738"/>
      <c r="G1023" s="2738"/>
      <c r="H1023" s="2738"/>
      <c r="I1023" s="457" t="s">
        <v>78</v>
      </c>
      <c r="AB1023" s="478"/>
    </row>
    <row r="1024" spans="1:28" s="457" customFormat="1" ht="18" customHeight="1" x14ac:dyDescent="0.2">
      <c r="B1024" s="479"/>
      <c r="I1024" s="457" t="s">
        <v>79</v>
      </c>
      <c r="AB1024" s="478"/>
    </row>
    <row r="1025" spans="1:32" s="457" customFormat="1" ht="18" customHeight="1" x14ac:dyDescent="0.2">
      <c r="B1025" s="479"/>
      <c r="I1025" s="457" t="s">
        <v>80</v>
      </c>
      <c r="AB1025" s="478"/>
    </row>
    <row r="1026" spans="1:32" s="457" customFormat="1" ht="18" customHeight="1" x14ac:dyDescent="0.2">
      <c r="B1026" s="479"/>
      <c r="I1026" s="457" t="s">
        <v>81</v>
      </c>
      <c r="AB1026" s="478"/>
    </row>
    <row r="1027" spans="1:32" s="457" customFormat="1" ht="18" customHeight="1" x14ac:dyDescent="0.2">
      <c r="B1027" s="479"/>
      <c r="I1027" s="457" t="s">
        <v>88</v>
      </c>
      <c r="AB1027" s="478"/>
    </row>
    <row r="1028" spans="1:32" s="457" customFormat="1" ht="18" customHeight="1" x14ac:dyDescent="0.2">
      <c r="B1028" s="479"/>
      <c r="AB1028" s="478"/>
    </row>
    <row r="1029" spans="1:32" s="457" customFormat="1" ht="18" customHeight="1" x14ac:dyDescent="0.2">
      <c r="B1029" s="479"/>
      <c r="AB1029" s="478"/>
    </row>
    <row r="1030" spans="1:32" s="457" customFormat="1" ht="18" customHeight="1" x14ac:dyDescent="0.2">
      <c r="B1030" s="479"/>
      <c r="AB1030" s="478"/>
    </row>
    <row r="1031" spans="1:32" s="457" customFormat="1" ht="18" customHeight="1" x14ac:dyDescent="0.2">
      <c r="B1031" s="479"/>
      <c r="AB1031" s="478"/>
    </row>
    <row r="1032" spans="1:32" s="457" customFormat="1" ht="18" customHeight="1" x14ac:dyDescent="0.2">
      <c r="A1032" s="455"/>
      <c r="B1032" s="455"/>
      <c r="C1032" s="455"/>
      <c r="D1032" s="455"/>
      <c r="E1032" s="455"/>
      <c r="F1032" s="455"/>
      <c r="G1032" s="455"/>
      <c r="H1032" s="455"/>
      <c r="I1032" s="455"/>
      <c r="J1032" s="455"/>
      <c r="K1032" s="455"/>
      <c r="L1032" s="455"/>
      <c r="M1032" s="455"/>
      <c r="N1032" s="455"/>
      <c r="O1032" s="455"/>
      <c r="P1032" s="455"/>
      <c r="Q1032" s="455"/>
      <c r="R1032" s="455"/>
      <c r="S1032" s="455"/>
      <c r="T1032" s="455"/>
      <c r="U1032" s="455"/>
      <c r="V1032" s="455"/>
      <c r="W1032" s="455"/>
      <c r="X1032" s="455"/>
      <c r="Y1032" s="455"/>
      <c r="Z1032" s="455"/>
      <c r="AA1032" s="2705" t="s">
        <v>0</v>
      </c>
      <c r="AB1032" s="2705"/>
    </row>
    <row r="1033" spans="1:32" s="457" customFormat="1" ht="18" customHeight="1" x14ac:dyDescent="0.2">
      <c r="A1033" s="2706" t="s">
        <v>1</v>
      </c>
      <c r="B1033" s="2706"/>
      <c r="C1033" s="2706"/>
      <c r="D1033" s="2706"/>
      <c r="E1033" s="2706"/>
      <c r="F1033" s="2706"/>
      <c r="G1033" s="2706"/>
      <c r="H1033" s="2706"/>
      <c r="I1033" s="2706"/>
      <c r="J1033" s="2706"/>
      <c r="K1033" s="2706"/>
      <c r="L1033" s="2706"/>
      <c r="M1033" s="2706"/>
      <c r="N1033" s="2706"/>
      <c r="O1033" s="2706"/>
      <c r="P1033" s="2706"/>
      <c r="Q1033" s="2706"/>
      <c r="R1033" s="2706"/>
      <c r="S1033" s="2706"/>
      <c r="T1033" s="2706"/>
      <c r="U1033" s="2706"/>
      <c r="V1033" s="2706"/>
      <c r="W1033" s="2706"/>
      <c r="X1033" s="2706"/>
      <c r="Y1033" s="2706"/>
      <c r="Z1033" s="2706"/>
      <c r="AA1033" s="2706"/>
      <c r="AB1033" s="2706"/>
    </row>
    <row r="1034" spans="1:32" s="457" customFormat="1" ht="18" customHeight="1" x14ac:dyDescent="0.2">
      <c r="A1034" s="2819" t="s">
        <v>706</v>
      </c>
      <c r="B1034" s="2819"/>
      <c r="C1034" s="2819"/>
      <c r="D1034" s="2819"/>
      <c r="E1034" s="2819"/>
      <c r="F1034" s="2819"/>
      <c r="G1034" s="2819"/>
      <c r="H1034" s="2819"/>
      <c r="I1034" s="2819"/>
      <c r="J1034" s="2819"/>
      <c r="K1034" s="2819"/>
      <c r="L1034" s="2819"/>
      <c r="M1034" s="2819"/>
      <c r="N1034" s="2819"/>
      <c r="O1034" s="2819"/>
      <c r="P1034" s="2819"/>
      <c r="Q1034" s="2819"/>
      <c r="R1034" s="2819"/>
      <c r="S1034" s="2819"/>
      <c r="T1034" s="2819"/>
      <c r="U1034" s="2819"/>
      <c r="V1034" s="2819"/>
      <c r="W1034" s="2819"/>
      <c r="X1034" s="2819"/>
      <c r="Y1034" s="2819"/>
      <c r="Z1034" s="2819"/>
      <c r="AA1034" s="2819"/>
      <c r="AB1034" s="2819"/>
    </row>
    <row r="1035" spans="1:32" s="457" customFormat="1" ht="18" customHeight="1" x14ac:dyDescent="0.2">
      <c r="A1035" s="2686" t="s">
        <v>2</v>
      </c>
      <c r="B1035" s="360"/>
      <c r="C1035" s="2686" t="s">
        <v>3</v>
      </c>
      <c r="D1035" s="360"/>
      <c r="E1035" s="360"/>
      <c r="F1035" s="2693" t="s">
        <v>4</v>
      </c>
      <c r="G1035" s="2693"/>
      <c r="H1035" s="2693"/>
      <c r="I1035" s="2694"/>
      <c r="J1035" s="2694"/>
      <c r="K1035" s="2695"/>
      <c r="L1035" s="361"/>
      <c r="M1035" s="2679" t="s">
        <v>5</v>
      </c>
      <c r="N1035" s="2679"/>
      <c r="O1035" s="2679"/>
      <c r="P1035" s="2679"/>
      <c r="Q1035" s="2696"/>
      <c r="R1035" s="2696"/>
      <c r="S1035" s="2696"/>
      <c r="T1035" s="2696"/>
      <c r="U1035" s="2696"/>
      <c r="V1035" s="2697"/>
      <c r="W1035" s="362" t="s">
        <v>6</v>
      </c>
      <c r="X1035" s="363" t="s">
        <v>7</v>
      </c>
      <c r="Y1035" s="364"/>
      <c r="Z1035" s="364"/>
      <c r="AA1035" s="363"/>
      <c r="AB1035" s="458"/>
    </row>
    <row r="1036" spans="1:32" s="457" customFormat="1" ht="18" customHeight="1" x14ac:dyDescent="0.2">
      <c r="A1036" s="2687"/>
      <c r="B1036" s="367"/>
      <c r="C1036" s="2687"/>
      <c r="D1036" s="2405" t="s">
        <v>9</v>
      </c>
      <c r="E1036" s="2405" t="s">
        <v>10</v>
      </c>
      <c r="F1036" s="2698" t="s">
        <v>11</v>
      </c>
      <c r="G1036" s="2694"/>
      <c r="H1036" s="2695"/>
      <c r="I1036" s="360"/>
      <c r="J1036" s="2404" t="s">
        <v>12</v>
      </c>
      <c r="K1036" s="360"/>
      <c r="L1036" s="2679" t="s">
        <v>2</v>
      </c>
      <c r="M1036" s="2410"/>
      <c r="N1036" s="2410"/>
      <c r="O1036" s="2410"/>
      <c r="P1036" s="371"/>
      <c r="Q1036" s="459" t="s">
        <v>13</v>
      </c>
      <c r="R1036" s="2410" t="s">
        <v>12</v>
      </c>
      <c r="S1036" s="2410" t="s">
        <v>6</v>
      </c>
      <c r="T1036" s="2682" t="s">
        <v>14</v>
      </c>
      <c r="U1036" s="2683"/>
      <c r="V1036" s="375" t="s">
        <v>7</v>
      </c>
      <c r="W1036" s="376" t="s">
        <v>15</v>
      </c>
      <c r="X1036" s="377" t="s">
        <v>16</v>
      </c>
      <c r="Y1036" s="377" t="s">
        <v>17</v>
      </c>
      <c r="Z1036" s="377" t="s">
        <v>18</v>
      </c>
      <c r="AA1036" s="377"/>
      <c r="AB1036" s="460" t="s">
        <v>19</v>
      </c>
    </row>
    <row r="1037" spans="1:32" ht="18" customHeight="1" x14ac:dyDescent="0.2">
      <c r="A1037" s="2687"/>
      <c r="B1037" s="2405" t="s">
        <v>23</v>
      </c>
      <c r="C1037" s="2687"/>
      <c r="D1037" s="2405" t="s">
        <v>24</v>
      </c>
      <c r="E1037" s="2405" t="s">
        <v>25</v>
      </c>
      <c r="F1037" s="2699"/>
      <c r="G1037" s="2700"/>
      <c r="H1037" s="2701"/>
      <c r="I1037" s="2405" t="s">
        <v>26</v>
      </c>
      <c r="J1037" s="2409" t="s">
        <v>15</v>
      </c>
      <c r="K1037" s="2409" t="s">
        <v>6</v>
      </c>
      <c r="L1037" s="2680"/>
      <c r="M1037" s="2411" t="s">
        <v>27</v>
      </c>
      <c r="N1037" s="2411" t="s">
        <v>10</v>
      </c>
      <c r="O1037" s="2411" t="s">
        <v>10</v>
      </c>
      <c r="P1037" s="385" t="s">
        <v>28</v>
      </c>
      <c r="Q1037" s="461" t="s">
        <v>29</v>
      </c>
      <c r="R1037" s="385" t="s">
        <v>15</v>
      </c>
      <c r="S1037" s="385" t="s">
        <v>15</v>
      </c>
      <c r="T1037" s="2684"/>
      <c r="U1037" s="2685"/>
      <c r="V1037" s="375" t="s">
        <v>30</v>
      </c>
      <c r="W1037" s="376" t="s">
        <v>31</v>
      </c>
      <c r="X1037" s="377" t="s">
        <v>30</v>
      </c>
      <c r="Y1037" s="377" t="s">
        <v>32</v>
      </c>
      <c r="Z1037" s="377" t="s">
        <v>7</v>
      </c>
      <c r="AA1037" s="377" t="s">
        <v>33</v>
      </c>
      <c r="AB1037" s="460" t="s">
        <v>34</v>
      </c>
      <c r="AC1037" s="457"/>
      <c r="AD1037" s="457"/>
      <c r="AE1037" s="457"/>
      <c r="AF1037" s="457"/>
    </row>
    <row r="1038" spans="1:32" ht="18" customHeight="1" x14ac:dyDescent="0.2">
      <c r="A1038" s="2687"/>
      <c r="B1038" s="2405" t="s">
        <v>39</v>
      </c>
      <c r="C1038" s="2687"/>
      <c r="D1038" s="2405" t="s">
        <v>40</v>
      </c>
      <c r="E1038" s="2405" t="s">
        <v>41</v>
      </c>
      <c r="F1038" s="2686" t="s">
        <v>42</v>
      </c>
      <c r="G1038" s="2686" t="s">
        <v>43</v>
      </c>
      <c r="H1038" s="2688" t="s">
        <v>44</v>
      </c>
      <c r="I1038" s="2405" t="s">
        <v>45</v>
      </c>
      <c r="J1038" s="2409" t="s">
        <v>46</v>
      </c>
      <c r="K1038" s="2409" t="s">
        <v>47</v>
      </c>
      <c r="L1038" s="2680"/>
      <c r="M1038" s="2411" t="s">
        <v>30</v>
      </c>
      <c r="N1038" s="2411" t="s">
        <v>30</v>
      </c>
      <c r="O1038" s="2411" t="s">
        <v>25</v>
      </c>
      <c r="P1038" s="385" t="s">
        <v>30</v>
      </c>
      <c r="Q1038" s="461" t="s">
        <v>48</v>
      </c>
      <c r="R1038" s="385" t="s">
        <v>49</v>
      </c>
      <c r="S1038" s="385" t="s">
        <v>30</v>
      </c>
      <c r="T1038" s="2408" t="s">
        <v>50</v>
      </c>
      <c r="U1038" s="2408" t="s">
        <v>13</v>
      </c>
      <c r="V1038" s="375" t="s">
        <v>51</v>
      </c>
      <c r="W1038" s="376" t="s">
        <v>52</v>
      </c>
      <c r="X1038" s="377" t="s">
        <v>53</v>
      </c>
      <c r="Y1038" s="377" t="s">
        <v>54</v>
      </c>
      <c r="Z1038" s="377" t="s">
        <v>55</v>
      </c>
      <c r="AA1038" s="377" t="s">
        <v>56</v>
      </c>
      <c r="AB1038" s="460" t="s">
        <v>57</v>
      </c>
      <c r="AC1038" s="457"/>
      <c r="AD1038" s="457"/>
      <c r="AE1038" s="457"/>
      <c r="AF1038" s="457"/>
    </row>
    <row r="1039" spans="1:32" ht="18" customHeight="1" x14ac:dyDescent="0.2">
      <c r="A1039" s="2687"/>
      <c r="B1039" s="2405" t="s">
        <v>61</v>
      </c>
      <c r="C1039" s="2687"/>
      <c r="D1039" s="2405" t="s">
        <v>62</v>
      </c>
      <c r="E1039" s="2405" t="s">
        <v>63</v>
      </c>
      <c r="F1039" s="2687"/>
      <c r="G1039" s="2687"/>
      <c r="H1039" s="2689"/>
      <c r="I1039" s="2405" t="s">
        <v>64</v>
      </c>
      <c r="J1039" s="2409" t="s">
        <v>59</v>
      </c>
      <c r="K1039" s="2409" t="s">
        <v>59</v>
      </c>
      <c r="L1039" s="2680"/>
      <c r="M1039" s="2411"/>
      <c r="N1039" s="2411"/>
      <c r="O1039" s="2411" t="s">
        <v>41</v>
      </c>
      <c r="P1039" s="385" t="s">
        <v>65</v>
      </c>
      <c r="Q1039" s="461" t="s">
        <v>66</v>
      </c>
      <c r="R1039" s="385" t="s">
        <v>67</v>
      </c>
      <c r="S1039" s="385" t="s">
        <v>59</v>
      </c>
      <c r="T1039" s="375" t="s">
        <v>68</v>
      </c>
      <c r="U1039" s="375" t="s">
        <v>14</v>
      </c>
      <c r="V1039" s="375" t="s">
        <v>14</v>
      </c>
      <c r="W1039" s="376" t="s">
        <v>30</v>
      </c>
      <c r="X1039" s="388" t="s">
        <v>69</v>
      </c>
      <c r="Y1039" s="388" t="s">
        <v>70</v>
      </c>
      <c r="Z1039" s="377" t="s">
        <v>71</v>
      </c>
      <c r="AA1039" s="377" t="s">
        <v>72</v>
      </c>
      <c r="AB1039" s="460" t="s">
        <v>59</v>
      </c>
      <c r="AC1039" s="457"/>
      <c r="AD1039" s="457"/>
      <c r="AE1039" s="457"/>
      <c r="AF1039" s="457"/>
    </row>
    <row r="1040" spans="1:32" s="457" customFormat="1" ht="18" customHeight="1" x14ac:dyDescent="0.2">
      <c r="A1040" s="2692"/>
      <c r="B1040" s="390"/>
      <c r="C1040" s="2692"/>
      <c r="D1040" s="390"/>
      <c r="E1040" s="2406"/>
      <c r="F1040" s="390"/>
      <c r="G1040" s="390"/>
      <c r="H1040" s="391"/>
      <c r="I1040" s="2406"/>
      <c r="J1040" s="393"/>
      <c r="K1040" s="393"/>
      <c r="L1040" s="2681"/>
      <c r="M1040" s="2412"/>
      <c r="N1040" s="2412"/>
      <c r="O1040" s="2412" t="s">
        <v>63</v>
      </c>
      <c r="P1040" s="2412"/>
      <c r="Q1040" s="2407" t="s">
        <v>72</v>
      </c>
      <c r="R1040" s="398" t="s">
        <v>59</v>
      </c>
      <c r="S1040" s="398"/>
      <c r="T1040" s="398" t="s">
        <v>73</v>
      </c>
      <c r="U1040" s="398" t="s">
        <v>59</v>
      </c>
      <c r="V1040" s="399" t="s">
        <v>59</v>
      </c>
      <c r="W1040" s="400" t="s">
        <v>59</v>
      </c>
      <c r="X1040" s="401" t="s">
        <v>59</v>
      </c>
      <c r="Y1040" s="401" t="s">
        <v>59</v>
      </c>
      <c r="Z1040" s="401" t="s">
        <v>59</v>
      </c>
      <c r="AA1040" s="402"/>
      <c r="AB1040" s="462"/>
    </row>
    <row r="1041" spans="1:28" s="457" customFormat="1" ht="18" customHeight="1" x14ac:dyDescent="0.2">
      <c r="A1041" s="53">
        <v>1</v>
      </c>
      <c r="B1041" s="53">
        <v>54614</v>
      </c>
      <c r="C1041" s="197" t="s">
        <v>704</v>
      </c>
      <c r="D1041" s="82" t="s">
        <v>215</v>
      </c>
      <c r="E1041" s="82">
        <v>2</v>
      </c>
      <c r="F1041" s="740">
        <v>0</v>
      </c>
      <c r="G1041" s="53">
        <v>0</v>
      </c>
      <c r="H1041" s="1123">
        <v>34.5</v>
      </c>
      <c r="I1041" s="70">
        <f>F1041*400+G1041*100+H1041</f>
        <v>34.5</v>
      </c>
      <c r="J1041" s="123">
        <v>700</v>
      </c>
      <c r="K1041" s="124">
        <f>SUM(I1041*J1041)</f>
        <v>24150</v>
      </c>
      <c r="L1041" s="53">
        <v>1</v>
      </c>
      <c r="M1041" s="82">
        <v>100</v>
      </c>
      <c r="N1041" s="82" t="s">
        <v>74</v>
      </c>
      <c r="O1041" s="53">
        <v>2</v>
      </c>
      <c r="P1041" s="358" t="s">
        <v>705</v>
      </c>
      <c r="Q1041" s="197" t="s">
        <v>75</v>
      </c>
      <c r="R1041" s="444">
        <v>6750</v>
      </c>
      <c r="S1041" s="2438">
        <v>907672.5</v>
      </c>
      <c r="T1041" s="82">
        <v>7</v>
      </c>
      <c r="U1041" s="70">
        <f>S1041*7/100</f>
        <v>63537.074999999997</v>
      </c>
      <c r="V1041" s="70">
        <f>S1041-U1041</f>
        <v>844135.42500000005</v>
      </c>
      <c r="W1041" s="70">
        <f>S1041-V1041</f>
        <v>63537.074999999953</v>
      </c>
      <c r="X1041" s="70">
        <f>W1041</f>
        <v>63537.074999999953</v>
      </c>
      <c r="Y1041" s="70" t="s">
        <v>125</v>
      </c>
      <c r="Z1041" s="70">
        <v>0</v>
      </c>
      <c r="AA1041" s="464">
        <v>0.02</v>
      </c>
      <c r="AB1041" s="2439">
        <f>(Z1041*AA1041)</f>
        <v>0</v>
      </c>
    </row>
    <row r="1042" spans="1:28" s="457" customFormat="1" ht="18" customHeight="1" x14ac:dyDescent="0.2">
      <c r="A1042" s="75"/>
      <c r="B1042" s="2413"/>
      <c r="C1042" s="2413"/>
      <c r="D1042" s="2413"/>
      <c r="E1042" s="2413"/>
      <c r="F1042" s="2413"/>
      <c r="G1042" s="2413"/>
      <c r="H1042" s="407"/>
      <c r="I1042" s="77"/>
      <c r="J1042" s="2415"/>
      <c r="K1042" s="78"/>
      <c r="L1042" s="61"/>
      <c r="M1042" s="2413"/>
      <c r="N1042" s="2413"/>
      <c r="O1042" s="61"/>
      <c r="P1042" s="177"/>
      <c r="Q1042" s="196"/>
      <c r="R1042" s="408"/>
      <c r="S1042" s="77"/>
      <c r="T1042" s="2413"/>
      <c r="U1042" s="77"/>
      <c r="V1042" s="77"/>
      <c r="W1042" s="77">
        <f>K1041</f>
        <v>24150</v>
      </c>
      <c r="X1042" s="77">
        <f>W1042</f>
        <v>24150</v>
      </c>
      <c r="Y1042" s="130"/>
      <c r="Z1042" s="2415">
        <f>X1042</f>
        <v>24150</v>
      </c>
      <c r="AA1042" s="2416">
        <v>0.02</v>
      </c>
      <c r="AB1042" s="466">
        <f>Z1042*AA1042/100</f>
        <v>4.83</v>
      </c>
    </row>
    <row r="1043" spans="1:28" s="457" customFormat="1" ht="18" customHeight="1" x14ac:dyDescent="0.2">
      <c r="A1043" s="75">
        <v>2</v>
      </c>
      <c r="B1043" s="2413">
        <v>34887</v>
      </c>
      <c r="C1043" s="2413">
        <v>1019</v>
      </c>
      <c r="D1043" s="2413" t="s">
        <v>215</v>
      </c>
      <c r="E1043" s="2413">
        <v>4</v>
      </c>
      <c r="F1043" s="2413">
        <v>0</v>
      </c>
      <c r="G1043" s="2413">
        <v>0</v>
      </c>
      <c r="H1043" s="407">
        <v>54.5</v>
      </c>
      <c r="I1043" s="77">
        <f>F1043*400+G1043*100+H1043</f>
        <v>54.5</v>
      </c>
      <c r="J1043" s="2415">
        <v>1000</v>
      </c>
      <c r="K1043" s="78">
        <f>SUM(I1043*J1043)</f>
        <v>54500</v>
      </c>
      <c r="L1043" s="61"/>
      <c r="M1043" s="2413"/>
      <c r="N1043" s="2413"/>
      <c r="O1043" s="61"/>
      <c r="P1043" s="177"/>
      <c r="Q1043" s="196"/>
      <c r="R1043" s="408"/>
      <c r="S1043" s="77"/>
      <c r="T1043" s="2413"/>
      <c r="U1043" s="77"/>
      <c r="V1043" s="77"/>
      <c r="W1043" s="77">
        <f>K1043+V1043</f>
        <v>54500</v>
      </c>
      <c r="X1043" s="77">
        <f>W1043</f>
        <v>54500</v>
      </c>
      <c r="Y1043" s="130"/>
      <c r="Z1043" s="2415">
        <f>+X1043</f>
        <v>54500</v>
      </c>
      <c r="AA1043" s="2416">
        <v>0.02</v>
      </c>
      <c r="AB1043" s="466">
        <f>Z1043*0.02/100</f>
        <v>10.9</v>
      </c>
    </row>
    <row r="1044" spans="1:28" s="457" customFormat="1" ht="18" customHeight="1" x14ac:dyDescent="0.2">
      <c r="A1044" s="2413"/>
      <c r="B1044" s="177"/>
      <c r="C1044" s="177"/>
      <c r="D1044" s="2413"/>
      <c r="E1044" s="2413"/>
      <c r="F1044" s="2413"/>
      <c r="G1044" s="2413"/>
      <c r="H1044" s="2417"/>
      <c r="I1044" s="2415"/>
      <c r="J1044" s="178"/>
      <c r="K1044" s="2415"/>
      <c r="L1044" s="2413"/>
      <c r="M1044" s="2413"/>
      <c r="N1044" s="2413"/>
      <c r="O1044" s="2413"/>
      <c r="P1044" s="2417"/>
      <c r="Q1044" s="2414"/>
      <c r="R1044" s="437"/>
      <c r="S1044" s="2415"/>
      <c r="T1044" s="179"/>
      <c r="U1044" s="178"/>
      <c r="V1044" s="2415"/>
      <c r="W1044" s="2415"/>
      <c r="X1044" s="470"/>
      <c r="Y1044" s="470"/>
      <c r="Z1044" s="471"/>
      <c r="AA1044" s="471"/>
      <c r="AB1044" s="466"/>
    </row>
    <row r="1045" spans="1:28" s="457" customFormat="1" ht="18" customHeight="1" x14ac:dyDescent="0.2">
      <c r="A1045" s="2413"/>
      <c r="B1045" s="177"/>
      <c r="C1045" s="177"/>
      <c r="D1045" s="2413"/>
      <c r="E1045" s="2413"/>
      <c r="F1045" s="2413"/>
      <c r="G1045" s="2413"/>
      <c r="H1045" s="2417"/>
      <c r="I1045" s="2415"/>
      <c r="J1045" s="178"/>
      <c r="K1045" s="2415"/>
      <c r="L1045" s="2413"/>
      <c r="M1045" s="2413"/>
      <c r="N1045" s="2413"/>
      <c r="O1045" s="2413"/>
      <c r="P1045" s="2417"/>
      <c r="Q1045" s="2414"/>
      <c r="R1045" s="437"/>
      <c r="S1045" s="2415"/>
      <c r="T1045" s="179"/>
      <c r="U1045" s="178"/>
      <c r="V1045" s="2415"/>
      <c r="W1045" s="2415"/>
      <c r="X1045" s="470"/>
      <c r="Y1045" s="470"/>
      <c r="Z1045" s="471"/>
      <c r="AA1045" s="471"/>
      <c r="AB1045" s="466"/>
    </row>
    <row r="1046" spans="1:28" s="457" customFormat="1" ht="18" customHeight="1" x14ac:dyDescent="0.2">
      <c r="A1046" s="2413"/>
      <c r="B1046" s="177"/>
      <c r="C1046" s="177"/>
      <c r="D1046" s="2413"/>
      <c r="E1046" s="2413"/>
      <c r="F1046" s="2413"/>
      <c r="G1046" s="2413"/>
      <c r="H1046" s="2417"/>
      <c r="I1046" s="2415"/>
      <c r="J1046" s="178"/>
      <c r="K1046" s="2415"/>
      <c r="L1046" s="2413"/>
      <c r="M1046" s="2413"/>
      <c r="N1046" s="2413"/>
      <c r="O1046" s="2413"/>
      <c r="P1046" s="2417"/>
      <c r="Q1046" s="2414"/>
      <c r="R1046" s="437"/>
      <c r="S1046" s="2415"/>
      <c r="T1046" s="179"/>
      <c r="U1046" s="178"/>
      <c r="V1046" s="2415"/>
      <c r="W1046" s="2415"/>
      <c r="X1046" s="470"/>
      <c r="Y1046" s="470"/>
      <c r="Z1046" s="471"/>
      <c r="AA1046" s="471"/>
      <c r="AB1046" s="466"/>
    </row>
    <row r="1047" spans="1:28" s="457" customFormat="1" ht="18" customHeight="1" x14ac:dyDescent="0.2">
      <c r="A1047" s="2413"/>
      <c r="B1047" s="177"/>
      <c r="C1047" s="177"/>
      <c r="D1047" s="2413"/>
      <c r="E1047" s="2413"/>
      <c r="F1047" s="2413"/>
      <c r="G1047" s="2413"/>
      <c r="H1047" s="2417"/>
      <c r="I1047" s="2415"/>
      <c r="J1047" s="178"/>
      <c r="K1047" s="2415"/>
      <c r="L1047" s="2413"/>
      <c r="M1047" s="2413"/>
      <c r="N1047" s="2413"/>
      <c r="O1047" s="2413"/>
      <c r="P1047" s="2417"/>
      <c r="Q1047" s="2414"/>
      <c r="R1047" s="437"/>
      <c r="S1047" s="2415"/>
      <c r="T1047" s="179"/>
      <c r="U1047" s="178"/>
      <c r="V1047" s="2415"/>
      <c r="W1047" s="2415"/>
      <c r="X1047" s="470"/>
      <c r="Y1047" s="470"/>
      <c r="Z1047" s="471"/>
      <c r="AA1047" s="471"/>
      <c r="AB1047" s="466"/>
    </row>
    <row r="1048" spans="1:28" s="457" customFormat="1" ht="18" customHeight="1" x14ac:dyDescent="0.2">
      <c r="A1048" s="2413"/>
      <c r="B1048" s="177"/>
      <c r="C1048" s="177"/>
      <c r="D1048" s="2413"/>
      <c r="E1048" s="2413"/>
      <c r="F1048" s="2413"/>
      <c r="G1048" s="2413"/>
      <c r="H1048" s="2417"/>
      <c r="I1048" s="2415"/>
      <c r="J1048" s="178"/>
      <c r="K1048" s="2415"/>
      <c r="L1048" s="2413"/>
      <c r="M1048" s="2413"/>
      <c r="N1048" s="2413"/>
      <c r="O1048" s="2413"/>
      <c r="P1048" s="2417"/>
      <c r="Q1048" s="2414"/>
      <c r="R1048" s="437"/>
      <c r="S1048" s="2415"/>
      <c r="T1048" s="179"/>
      <c r="U1048" s="178"/>
      <c r="V1048" s="2415"/>
      <c r="W1048" s="2415"/>
      <c r="X1048" s="470"/>
      <c r="Y1048" s="470"/>
      <c r="Z1048" s="471"/>
      <c r="AA1048" s="471"/>
      <c r="AB1048" s="466"/>
    </row>
    <row r="1049" spans="1:28" s="457" customFormat="1" ht="18" customHeight="1" x14ac:dyDescent="0.2">
      <c r="A1049" s="2413"/>
      <c r="B1049" s="177"/>
      <c r="C1049" s="177"/>
      <c r="D1049" s="2413"/>
      <c r="E1049" s="2413"/>
      <c r="F1049" s="2413"/>
      <c r="G1049" s="2413"/>
      <c r="H1049" s="2417"/>
      <c r="I1049" s="2415"/>
      <c r="J1049" s="178"/>
      <c r="K1049" s="2415"/>
      <c r="L1049" s="2413"/>
      <c r="M1049" s="2413"/>
      <c r="N1049" s="2413"/>
      <c r="O1049" s="2413"/>
      <c r="P1049" s="2417"/>
      <c r="Q1049" s="2414"/>
      <c r="R1049" s="437"/>
      <c r="S1049" s="2415"/>
      <c r="T1049" s="179"/>
      <c r="U1049" s="178"/>
      <c r="V1049" s="2415"/>
      <c r="W1049" s="2415"/>
      <c r="X1049" s="470"/>
      <c r="Y1049" s="470"/>
      <c r="Z1049" s="471"/>
      <c r="AA1049" s="471"/>
      <c r="AB1049" s="466"/>
    </row>
    <row r="1050" spans="1:28" s="457" customFormat="1" ht="18" customHeight="1" x14ac:dyDescent="0.2">
      <c r="A1050" s="2413"/>
      <c r="B1050" s="177"/>
      <c r="C1050" s="177"/>
      <c r="D1050" s="2413"/>
      <c r="E1050" s="2413"/>
      <c r="F1050" s="2413"/>
      <c r="G1050" s="2413"/>
      <c r="H1050" s="2417"/>
      <c r="I1050" s="2415"/>
      <c r="J1050" s="178"/>
      <c r="K1050" s="2415"/>
      <c r="L1050" s="2413"/>
      <c r="M1050" s="2413"/>
      <c r="N1050" s="2413"/>
      <c r="O1050" s="2413"/>
      <c r="P1050" s="2417"/>
      <c r="Q1050" s="2414"/>
      <c r="R1050" s="437"/>
      <c r="S1050" s="2415"/>
      <c r="T1050" s="179"/>
      <c r="U1050" s="178"/>
      <c r="V1050" s="2415"/>
      <c r="W1050" s="2415"/>
      <c r="X1050" s="470"/>
      <c r="Y1050" s="470"/>
      <c r="Z1050" s="471"/>
      <c r="AA1050" s="471"/>
      <c r="AB1050" s="466"/>
    </row>
    <row r="1051" spans="1:28" s="457" customFormat="1" ht="18" customHeight="1" x14ac:dyDescent="0.2">
      <c r="A1051" s="2413"/>
      <c r="B1051" s="177"/>
      <c r="C1051" s="177"/>
      <c r="D1051" s="2413"/>
      <c r="E1051" s="2413"/>
      <c r="F1051" s="2413"/>
      <c r="G1051" s="2413"/>
      <c r="H1051" s="2417"/>
      <c r="I1051" s="2415"/>
      <c r="J1051" s="178"/>
      <c r="K1051" s="2415"/>
      <c r="L1051" s="2413"/>
      <c r="M1051" s="2413"/>
      <c r="N1051" s="2413"/>
      <c r="O1051" s="2413"/>
      <c r="P1051" s="2417"/>
      <c r="Q1051" s="2414"/>
      <c r="R1051" s="437"/>
      <c r="S1051" s="2415"/>
      <c r="T1051" s="179"/>
      <c r="U1051" s="178"/>
      <c r="V1051" s="2415"/>
      <c r="W1051" s="2415"/>
      <c r="X1051" s="470"/>
      <c r="Y1051" s="470"/>
      <c r="Z1051" s="471"/>
      <c r="AA1051" s="471"/>
      <c r="AB1051" s="466"/>
    </row>
    <row r="1052" spans="1:28" s="457" customFormat="1" ht="18" customHeight="1" x14ac:dyDescent="0.2">
      <c r="A1052" s="2413"/>
      <c r="B1052" s="177"/>
      <c r="C1052" s="177"/>
      <c r="D1052" s="2413"/>
      <c r="E1052" s="2413"/>
      <c r="F1052" s="2413"/>
      <c r="G1052" s="2413"/>
      <c r="H1052" s="2417"/>
      <c r="I1052" s="2415"/>
      <c r="J1052" s="178"/>
      <c r="K1052" s="2415"/>
      <c r="L1052" s="2413"/>
      <c r="M1052" s="2413"/>
      <c r="N1052" s="2413"/>
      <c r="O1052" s="2413"/>
      <c r="P1052" s="2417"/>
      <c r="Q1052" s="2414"/>
      <c r="R1052" s="437"/>
      <c r="S1052" s="2415"/>
      <c r="T1052" s="179"/>
      <c r="U1052" s="178"/>
      <c r="V1052" s="2415"/>
      <c r="W1052" s="2415"/>
      <c r="X1052" s="470"/>
      <c r="Y1052" s="470"/>
      <c r="Z1052" s="471"/>
      <c r="AA1052" s="471"/>
      <c r="AB1052" s="466"/>
    </row>
    <row r="1053" spans="1:28" s="457" customFormat="1" ht="18" customHeight="1" x14ac:dyDescent="0.2">
      <c r="A1053" s="2413"/>
      <c r="B1053" s="177"/>
      <c r="C1053" s="177"/>
      <c r="D1053" s="2413"/>
      <c r="E1053" s="2413"/>
      <c r="F1053" s="2413"/>
      <c r="G1053" s="2413"/>
      <c r="H1053" s="2417"/>
      <c r="I1053" s="2415"/>
      <c r="J1053" s="178"/>
      <c r="K1053" s="2415"/>
      <c r="L1053" s="2413"/>
      <c r="M1053" s="2413"/>
      <c r="N1053" s="2413"/>
      <c r="O1053" s="2413"/>
      <c r="P1053" s="2417"/>
      <c r="Q1053" s="2414"/>
      <c r="R1053" s="437"/>
      <c r="S1053" s="2415"/>
      <c r="T1053" s="179"/>
      <c r="U1053" s="178"/>
      <c r="V1053" s="2415"/>
      <c r="W1053" s="2415"/>
      <c r="X1053" s="470"/>
      <c r="Y1053" s="470"/>
      <c r="Z1053" s="471"/>
      <c r="AA1053" s="471"/>
      <c r="AB1053" s="466"/>
    </row>
    <row r="1054" spans="1:28" s="457" customFormat="1" ht="18" customHeight="1" x14ac:dyDescent="0.2">
      <c r="A1054" s="2413"/>
      <c r="B1054" s="177"/>
      <c r="C1054" s="177"/>
      <c r="D1054" s="2413"/>
      <c r="E1054" s="2413"/>
      <c r="F1054" s="2413"/>
      <c r="G1054" s="2413"/>
      <c r="H1054" s="2417"/>
      <c r="I1054" s="2415"/>
      <c r="J1054" s="178"/>
      <c r="K1054" s="2415"/>
      <c r="L1054" s="2413"/>
      <c r="M1054" s="2413"/>
      <c r="N1054" s="2413"/>
      <c r="O1054" s="2413"/>
      <c r="P1054" s="2417"/>
      <c r="Q1054" s="2414"/>
      <c r="R1054" s="437"/>
      <c r="S1054" s="2415"/>
      <c r="T1054" s="179"/>
      <c r="U1054" s="178"/>
      <c r="V1054" s="2415"/>
      <c r="W1054" s="2415"/>
      <c r="X1054" s="470"/>
      <c r="Y1054" s="470"/>
      <c r="Z1054" s="471"/>
      <c r="AA1054" s="471"/>
      <c r="AB1054" s="466"/>
    </row>
    <row r="1055" spans="1:28" s="457" customFormat="1" ht="18" customHeight="1" x14ac:dyDescent="0.2">
      <c r="A1055" s="88"/>
      <c r="B1055" s="180"/>
      <c r="C1055" s="180"/>
      <c r="D1055" s="88"/>
      <c r="E1055" s="88"/>
      <c r="F1055" s="88"/>
      <c r="G1055" s="88"/>
      <c r="H1055" s="120"/>
      <c r="I1055" s="121"/>
      <c r="J1055" s="181"/>
      <c r="K1055" s="121"/>
      <c r="L1055" s="88"/>
      <c r="M1055" s="88"/>
      <c r="N1055" s="88"/>
      <c r="O1055" s="88"/>
      <c r="P1055" s="88"/>
      <c r="Q1055" s="129"/>
      <c r="R1055" s="445"/>
      <c r="S1055" s="121"/>
      <c r="T1055" s="182"/>
      <c r="U1055" s="181"/>
      <c r="V1055" s="121"/>
      <c r="W1055" s="121"/>
      <c r="X1055" s="472"/>
      <c r="Y1055" s="472"/>
      <c r="Z1055" s="473"/>
      <c r="AA1055" s="473"/>
      <c r="AB1055" s="410"/>
    </row>
    <row r="1056" spans="1:28" s="457" customFormat="1" ht="18" customHeight="1" x14ac:dyDescent="0.2">
      <c r="A1056" s="183"/>
      <c r="B1056" s="183"/>
      <c r="C1056" s="183"/>
      <c r="D1056" s="183"/>
      <c r="E1056" s="183"/>
      <c r="F1056" s="183"/>
      <c r="G1056" s="183"/>
      <c r="H1056" s="184"/>
      <c r="I1056" s="185"/>
      <c r="J1056" s="186"/>
      <c r="K1056" s="185"/>
      <c r="L1056" s="185"/>
      <c r="M1056" s="185"/>
      <c r="N1056" s="185"/>
      <c r="O1056" s="185"/>
      <c r="P1056" s="185"/>
      <c r="Q1056" s="185"/>
      <c r="R1056" s="438"/>
      <c r="S1056" s="185"/>
      <c r="T1056" s="187"/>
      <c r="U1056" s="186"/>
      <c r="V1056" s="185"/>
      <c r="W1056" s="185"/>
      <c r="X1056" s="474"/>
      <c r="Y1056" s="474"/>
      <c r="Z1056" s="475"/>
      <c r="AA1056" s="475"/>
      <c r="AB1056" s="476">
        <f>SUM(AB1041:AB1055)</f>
        <v>15.73</v>
      </c>
    </row>
    <row r="1057" spans="1:32" s="457" customFormat="1" ht="18" customHeight="1" x14ac:dyDescent="0.2">
      <c r="A1057" s="2737" t="s">
        <v>76</v>
      </c>
      <c r="B1057" s="2737"/>
      <c r="C1057" s="2738" t="s">
        <v>77</v>
      </c>
      <c r="D1057" s="2738"/>
      <c r="E1057" s="2738"/>
      <c r="F1057" s="2738"/>
      <c r="G1057" s="2738"/>
      <c r="H1057" s="2738"/>
      <c r="I1057" s="457" t="s">
        <v>78</v>
      </c>
      <c r="AB1057" s="478"/>
    </row>
    <row r="1058" spans="1:32" s="457" customFormat="1" ht="18" customHeight="1" x14ac:dyDescent="0.2">
      <c r="B1058" s="479"/>
      <c r="I1058" s="457" t="s">
        <v>79</v>
      </c>
      <c r="AB1058" s="478"/>
    </row>
    <row r="1059" spans="1:32" s="457" customFormat="1" ht="18" customHeight="1" x14ac:dyDescent="0.2">
      <c r="B1059" s="479"/>
      <c r="I1059" s="457" t="s">
        <v>80</v>
      </c>
      <c r="AB1059" s="478"/>
    </row>
    <row r="1060" spans="1:32" s="457" customFormat="1" ht="18" customHeight="1" x14ac:dyDescent="0.2">
      <c r="B1060" s="479"/>
      <c r="I1060" s="457" t="s">
        <v>81</v>
      </c>
      <c r="AB1060" s="478"/>
    </row>
    <row r="1061" spans="1:32" s="457" customFormat="1" ht="18" customHeight="1" x14ac:dyDescent="0.2">
      <c r="B1061" s="479"/>
      <c r="I1061" s="457" t="s">
        <v>88</v>
      </c>
      <c r="AB1061" s="478"/>
    </row>
    <row r="1062" spans="1:32" s="457" customFormat="1" ht="18" customHeight="1" x14ac:dyDescent="0.2">
      <c r="B1062" s="479"/>
      <c r="AB1062" s="478"/>
    </row>
    <row r="1063" spans="1:32" s="457" customFormat="1" ht="18" customHeight="1" x14ac:dyDescent="0.2">
      <c r="B1063" s="479"/>
      <c r="AB1063" s="478"/>
    </row>
    <row r="1064" spans="1:32" s="457" customFormat="1" ht="18" customHeight="1" x14ac:dyDescent="0.2">
      <c r="B1064" s="479"/>
      <c r="AB1064" s="478"/>
    </row>
    <row r="1065" spans="1:32" s="457" customFormat="1" ht="18" customHeight="1" x14ac:dyDescent="0.2">
      <c r="B1065" s="479"/>
      <c r="AB1065" s="478"/>
    </row>
    <row r="1066" spans="1:32" s="457" customFormat="1" ht="18" customHeight="1" x14ac:dyDescent="0.2">
      <c r="B1066" s="479"/>
      <c r="AB1066" s="478"/>
    </row>
    <row r="1067" spans="1:32" s="457" customFormat="1" ht="18" customHeight="1" x14ac:dyDescent="0.2">
      <c r="A1067" s="433"/>
      <c r="B1067" s="433"/>
      <c r="C1067" s="433"/>
      <c r="D1067" s="433"/>
      <c r="E1067" s="433"/>
      <c r="F1067" s="433"/>
      <c r="G1067" s="433"/>
      <c r="H1067" s="433"/>
      <c r="I1067" s="433"/>
      <c r="J1067" s="433"/>
      <c r="K1067" s="433"/>
      <c r="L1067" s="433"/>
      <c r="M1067" s="433"/>
      <c r="N1067" s="433"/>
      <c r="O1067" s="433"/>
      <c r="P1067" s="433"/>
      <c r="Q1067" s="433"/>
      <c r="R1067" s="433"/>
      <c r="S1067" s="433"/>
      <c r="T1067" s="433"/>
      <c r="U1067" s="433"/>
      <c r="V1067" s="433"/>
      <c r="W1067" s="433"/>
      <c r="X1067" s="433"/>
      <c r="Y1067" s="433"/>
      <c r="Z1067" s="433"/>
      <c r="AA1067" s="433"/>
      <c r="AB1067" s="434"/>
      <c r="AC1067" s="433"/>
      <c r="AD1067" s="433"/>
      <c r="AE1067" s="433"/>
      <c r="AF1067" s="433"/>
    </row>
    <row r="1068" spans="1:32" s="457" customFormat="1" ht="18" customHeight="1" x14ac:dyDescent="0.2">
      <c r="A1068" s="433"/>
      <c r="B1068" s="433"/>
      <c r="C1068" s="433"/>
      <c r="D1068" s="433"/>
      <c r="E1068" s="433"/>
      <c r="F1068" s="433"/>
      <c r="G1068" s="433"/>
      <c r="H1068" s="433"/>
      <c r="I1068" s="433"/>
      <c r="J1068" s="433"/>
      <c r="K1068" s="433"/>
      <c r="L1068" s="433"/>
      <c r="M1068" s="433"/>
      <c r="N1068" s="433"/>
      <c r="O1068" s="433"/>
      <c r="P1068" s="433"/>
      <c r="Q1068" s="433"/>
      <c r="R1068" s="433"/>
      <c r="S1068" s="433"/>
      <c r="T1068" s="433"/>
      <c r="U1068" s="433"/>
      <c r="V1068" s="433"/>
      <c r="W1068" s="433"/>
      <c r="X1068" s="433"/>
      <c r="Y1068" s="433"/>
      <c r="Z1068" s="433"/>
      <c r="AA1068" s="433"/>
      <c r="AB1068" s="434"/>
      <c r="AC1068" s="433"/>
      <c r="AD1068" s="433"/>
      <c r="AE1068" s="433"/>
      <c r="AF1068" s="433"/>
    </row>
    <row r="1069" spans="1:32" s="457" customFormat="1" ht="18" customHeight="1" x14ac:dyDescent="0.2">
      <c r="A1069" s="433"/>
      <c r="B1069" s="433"/>
      <c r="C1069" s="433"/>
      <c r="D1069" s="433"/>
      <c r="E1069" s="433"/>
      <c r="F1069" s="433"/>
      <c r="G1069" s="433"/>
      <c r="H1069" s="433"/>
      <c r="I1069" s="433"/>
      <c r="J1069" s="433"/>
      <c r="K1069" s="433"/>
      <c r="L1069" s="433"/>
      <c r="M1069" s="433"/>
      <c r="N1069" s="433"/>
      <c r="O1069" s="433"/>
      <c r="P1069" s="433"/>
      <c r="Q1069" s="433"/>
      <c r="R1069" s="433"/>
      <c r="S1069" s="433"/>
      <c r="T1069" s="433"/>
      <c r="U1069" s="433"/>
      <c r="V1069" s="433"/>
      <c r="W1069" s="433"/>
      <c r="X1069" s="433"/>
      <c r="Y1069" s="433"/>
      <c r="Z1069" s="433"/>
      <c r="AA1069" s="433"/>
      <c r="AB1069" s="434"/>
      <c r="AC1069" s="433"/>
      <c r="AD1069" s="433"/>
      <c r="AE1069" s="433"/>
      <c r="AF1069" s="433"/>
    </row>
  </sheetData>
  <mergeCells count="537">
    <mergeCell ref="A1057:B1057"/>
    <mergeCell ref="C1057:H1057"/>
    <mergeCell ref="AA1032:AB1032"/>
    <mergeCell ref="A1033:AB1033"/>
    <mergeCell ref="A1034:AB1034"/>
    <mergeCell ref="A1035:A1040"/>
    <mergeCell ref="C1035:C1040"/>
    <mergeCell ref="F1035:K1035"/>
    <mergeCell ref="M1035:V1035"/>
    <mergeCell ref="F1036:H1037"/>
    <mergeCell ref="L1036:L1040"/>
    <mergeCell ref="T1036:U1037"/>
    <mergeCell ref="F1038:F1039"/>
    <mergeCell ref="G1038:G1039"/>
    <mergeCell ref="H1038:H1039"/>
    <mergeCell ref="C700:C705"/>
    <mergeCell ref="F700:K700"/>
    <mergeCell ref="M700:V700"/>
    <mergeCell ref="F701:H702"/>
    <mergeCell ref="L701:L705"/>
    <mergeCell ref="T701:U702"/>
    <mergeCell ref="F703:F704"/>
    <mergeCell ref="G703:G704"/>
    <mergeCell ref="H703:H704"/>
    <mergeCell ref="C900:H900"/>
    <mergeCell ref="AA875:AB875"/>
    <mergeCell ref="A876:AB876"/>
    <mergeCell ref="A877:AB877"/>
    <mergeCell ref="A878:A883"/>
    <mergeCell ref="C878:C883"/>
    <mergeCell ref="F878:K878"/>
    <mergeCell ref="M878:V878"/>
    <mergeCell ref="F879:H880"/>
    <mergeCell ref="L879:L883"/>
    <mergeCell ref="T879:U880"/>
    <mergeCell ref="F881:F882"/>
    <mergeCell ref="G881:G882"/>
    <mergeCell ref="H881:H882"/>
    <mergeCell ref="A26:B26"/>
    <mergeCell ref="C26:H26"/>
    <mergeCell ref="AA31:AB31"/>
    <mergeCell ref="A57:B57"/>
    <mergeCell ref="C57:H57"/>
    <mergeCell ref="AA62:AB62"/>
    <mergeCell ref="A63:AB63"/>
    <mergeCell ref="A32:AB32"/>
    <mergeCell ref="A33:AB33"/>
    <mergeCell ref="A34:A39"/>
    <mergeCell ref="C34:C39"/>
    <mergeCell ref="F34:K34"/>
    <mergeCell ref="M34:V34"/>
    <mergeCell ref="F35:H36"/>
    <mergeCell ref="L35:L39"/>
    <mergeCell ref="T35:U36"/>
    <mergeCell ref="F37:F38"/>
    <mergeCell ref="AA1:AB1"/>
    <mergeCell ref="A2:AB2"/>
    <mergeCell ref="A3:AB3"/>
    <mergeCell ref="A4:A9"/>
    <mergeCell ref="C4:C9"/>
    <mergeCell ref="F4:K4"/>
    <mergeCell ref="M4:V4"/>
    <mergeCell ref="F5:H6"/>
    <mergeCell ref="L5:L9"/>
    <mergeCell ref="T5:U6"/>
    <mergeCell ref="F7:F8"/>
    <mergeCell ref="G7:G8"/>
    <mergeCell ref="H7:H8"/>
    <mergeCell ref="F66:H67"/>
    <mergeCell ref="L66:L70"/>
    <mergeCell ref="T66:U67"/>
    <mergeCell ref="F68:F69"/>
    <mergeCell ref="G68:G69"/>
    <mergeCell ref="G37:G38"/>
    <mergeCell ref="H37:H38"/>
    <mergeCell ref="H68:H69"/>
    <mergeCell ref="A64:AB64"/>
    <mergeCell ref="A65:A70"/>
    <mergeCell ref="C65:C70"/>
    <mergeCell ref="F65:K65"/>
    <mergeCell ref="M65:V65"/>
    <mergeCell ref="C97:C102"/>
    <mergeCell ref="F97:K97"/>
    <mergeCell ref="M97:V97"/>
    <mergeCell ref="F98:H99"/>
    <mergeCell ref="L98:L102"/>
    <mergeCell ref="T98:U99"/>
    <mergeCell ref="F100:F101"/>
    <mergeCell ref="G100:G101"/>
    <mergeCell ref="H100:H101"/>
    <mergeCell ref="AA76:AA77"/>
    <mergeCell ref="Z76:Z77"/>
    <mergeCell ref="P76:P77"/>
    <mergeCell ref="Q76:Q77"/>
    <mergeCell ref="U76:U77"/>
    <mergeCell ref="V76:V77"/>
    <mergeCell ref="A119:B119"/>
    <mergeCell ref="C119:H119"/>
    <mergeCell ref="A89:B89"/>
    <mergeCell ref="C89:H89"/>
    <mergeCell ref="Y76:Y77"/>
    <mergeCell ref="W76:W77"/>
    <mergeCell ref="X76:X77"/>
    <mergeCell ref="L76:L77"/>
    <mergeCell ref="M76:M77"/>
    <mergeCell ref="N76:N77"/>
    <mergeCell ref="O76:O77"/>
    <mergeCell ref="R76:R77"/>
    <mergeCell ref="S76:S77"/>
    <mergeCell ref="T76:T77"/>
    <mergeCell ref="AA94:AB94"/>
    <mergeCell ref="A95:AB95"/>
    <mergeCell ref="A96:AB96"/>
    <mergeCell ref="A97:A102"/>
    <mergeCell ref="F130:F131"/>
    <mergeCell ref="G130:G131"/>
    <mergeCell ref="H130:H131"/>
    <mergeCell ref="A149:B149"/>
    <mergeCell ref="C149:H149"/>
    <mergeCell ref="AA154:AB154"/>
    <mergeCell ref="AA124:AB124"/>
    <mergeCell ref="A125:AB125"/>
    <mergeCell ref="A126:AB126"/>
    <mergeCell ref="A127:A132"/>
    <mergeCell ref="C127:C132"/>
    <mergeCell ref="F127:K127"/>
    <mergeCell ref="M127:V127"/>
    <mergeCell ref="F128:H129"/>
    <mergeCell ref="L128:L132"/>
    <mergeCell ref="T128:U129"/>
    <mergeCell ref="G160:G161"/>
    <mergeCell ref="H160:H161"/>
    <mergeCell ref="A179:B179"/>
    <mergeCell ref="C179:H179"/>
    <mergeCell ref="A155:AB155"/>
    <mergeCell ref="A156:AB156"/>
    <mergeCell ref="A157:A162"/>
    <mergeCell ref="C157:C162"/>
    <mergeCell ref="F157:K157"/>
    <mergeCell ref="M157:V157"/>
    <mergeCell ref="F158:H159"/>
    <mergeCell ref="L158:L162"/>
    <mergeCell ref="T158:U159"/>
    <mergeCell ref="F160:F161"/>
    <mergeCell ref="AA184:AB184"/>
    <mergeCell ref="A185:AB185"/>
    <mergeCell ref="A186:AB186"/>
    <mergeCell ref="AA214:AB214"/>
    <mergeCell ref="A215:AB215"/>
    <mergeCell ref="A216:AB216"/>
    <mergeCell ref="A217:A222"/>
    <mergeCell ref="C217:C222"/>
    <mergeCell ref="F217:K217"/>
    <mergeCell ref="M217:V217"/>
    <mergeCell ref="F218:H219"/>
    <mergeCell ref="A187:A192"/>
    <mergeCell ref="C187:C192"/>
    <mergeCell ref="F187:K187"/>
    <mergeCell ref="M187:V187"/>
    <mergeCell ref="F188:H189"/>
    <mergeCell ref="L188:L192"/>
    <mergeCell ref="T188:U189"/>
    <mergeCell ref="F190:F191"/>
    <mergeCell ref="G190:G191"/>
    <mergeCell ref="H190:H191"/>
    <mergeCell ref="L218:L222"/>
    <mergeCell ref="T218:U219"/>
    <mergeCell ref="F220:F221"/>
    <mergeCell ref="G220:G221"/>
    <mergeCell ref="H220:H221"/>
    <mergeCell ref="A239:B239"/>
    <mergeCell ref="C239:H239"/>
    <mergeCell ref="A209:B209"/>
    <mergeCell ref="C209:H209"/>
    <mergeCell ref="AA244:AB244"/>
    <mergeCell ref="G250:G251"/>
    <mergeCell ref="H250:H251"/>
    <mergeCell ref="A269:B269"/>
    <mergeCell ref="C269:H269"/>
    <mergeCell ref="AA274:AB274"/>
    <mergeCell ref="A275:AB275"/>
    <mergeCell ref="A245:AB245"/>
    <mergeCell ref="A246:AB246"/>
    <mergeCell ref="A247:A252"/>
    <mergeCell ref="C247:C252"/>
    <mergeCell ref="F247:K247"/>
    <mergeCell ref="M247:V247"/>
    <mergeCell ref="F248:H249"/>
    <mergeCell ref="L248:L252"/>
    <mergeCell ref="T248:U249"/>
    <mergeCell ref="F250:F251"/>
    <mergeCell ref="H280:H281"/>
    <mergeCell ref="A299:B299"/>
    <mergeCell ref="C299:H299"/>
    <mergeCell ref="A276:AB276"/>
    <mergeCell ref="A277:A282"/>
    <mergeCell ref="C277:C282"/>
    <mergeCell ref="F277:K277"/>
    <mergeCell ref="M277:V277"/>
    <mergeCell ref="F278:H279"/>
    <mergeCell ref="L278:L282"/>
    <mergeCell ref="T278:U279"/>
    <mergeCell ref="F280:F281"/>
    <mergeCell ref="G280:G281"/>
    <mergeCell ref="AA304:AB304"/>
    <mergeCell ref="A305:AB305"/>
    <mergeCell ref="A306:AB306"/>
    <mergeCell ref="A307:A312"/>
    <mergeCell ref="C307:C312"/>
    <mergeCell ref="F307:K307"/>
    <mergeCell ref="M307:V307"/>
    <mergeCell ref="F308:H309"/>
    <mergeCell ref="L308:L312"/>
    <mergeCell ref="T308:U309"/>
    <mergeCell ref="F310:F311"/>
    <mergeCell ref="G310:G311"/>
    <mergeCell ref="H310:H311"/>
    <mergeCell ref="A329:B329"/>
    <mergeCell ref="C329:H329"/>
    <mergeCell ref="F340:F341"/>
    <mergeCell ref="G340:G341"/>
    <mergeCell ref="H340:H341"/>
    <mergeCell ref="A359:B359"/>
    <mergeCell ref="C359:H359"/>
    <mergeCell ref="AA364:AB364"/>
    <mergeCell ref="AA334:AB334"/>
    <mergeCell ref="A335:AB335"/>
    <mergeCell ref="A336:AB336"/>
    <mergeCell ref="A337:A342"/>
    <mergeCell ref="C337:C342"/>
    <mergeCell ref="F337:K337"/>
    <mergeCell ref="M337:V337"/>
    <mergeCell ref="F338:H339"/>
    <mergeCell ref="L338:L342"/>
    <mergeCell ref="T338:U339"/>
    <mergeCell ref="G370:G371"/>
    <mergeCell ref="H370:H371"/>
    <mergeCell ref="A389:B389"/>
    <mergeCell ref="C389:H389"/>
    <mergeCell ref="AA394:AB394"/>
    <mergeCell ref="A395:AB395"/>
    <mergeCell ref="A365:AB365"/>
    <mergeCell ref="A366:AB366"/>
    <mergeCell ref="A367:A372"/>
    <mergeCell ref="C367:C372"/>
    <mergeCell ref="F367:K367"/>
    <mergeCell ref="M367:V367"/>
    <mergeCell ref="F368:H369"/>
    <mergeCell ref="L368:L372"/>
    <mergeCell ref="T368:U369"/>
    <mergeCell ref="F370:F371"/>
    <mergeCell ref="AA424:AB424"/>
    <mergeCell ref="A425:AB425"/>
    <mergeCell ref="A426:AB426"/>
    <mergeCell ref="A396:AB396"/>
    <mergeCell ref="A397:A402"/>
    <mergeCell ref="C397:C402"/>
    <mergeCell ref="F397:K397"/>
    <mergeCell ref="M397:V397"/>
    <mergeCell ref="F398:H399"/>
    <mergeCell ref="L398:L402"/>
    <mergeCell ref="T398:U399"/>
    <mergeCell ref="F400:F401"/>
    <mergeCell ref="G400:G401"/>
    <mergeCell ref="M427:V427"/>
    <mergeCell ref="F428:H429"/>
    <mergeCell ref="L428:L432"/>
    <mergeCell ref="T428:U429"/>
    <mergeCell ref="F430:F431"/>
    <mergeCell ref="G430:G431"/>
    <mergeCell ref="H430:H431"/>
    <mergeCell ref="H400:H401"/>
    <mergeCell ref="A419:B419"/>
    <mergeCell ref="C419:H419"/>
    <mergeCell ref="A449:B449"/>
    <mergeCell ref="C449:H449"/>
    <mergeCell ref="F460:F461"/>
    <mergeCell ref="G460:G461"/>
    <mergeCell ref="H460:H461"/>
    <mergeCell ref="A479:B479"/>
    <mergeCell ref="C479:H479"/>
    <mergeCell ref="A427:A432"/>
    <mergeCell ref="C427:C432"/>
    <mergeCell ref="F427:K427"/>
    <mergeCell ref="AA484:AB484"/>
    <mergeCell ref="A485:AB485"/>
    <mergeCell ref="AA454:AB454"/>
    <mergeCell ref="A455:AB455"/>
    <mergeCell ref="A456:AB456"/>
    <mergeCell ref="A457:A462"/>
    <mergeCell ref="C457:C462"/>
    <mergeCell ref="F457:K457"/>
    <mergeCell ref="M457:V457"/>
    <mergeCell ref="F458:H459"/>
    <mergeCell ref="L458:L462"/>
    <mergeCell ref="T458:U459"/>
    <mergeCell ref="Y463:Y464"/>
    <mergeCell ref="AA514:AB514"/>
    <mergeCell ref="A515:AB515"/>
    <mergeCell ref="A516:AB516"/>
    <mergeCell ref="A486:AB486"/>
    <mergeCell ref="A487:A492"/>
    <mergeCell ref="C487:C492"/>
    <mergeCell ref="F487:K487"/>
    <mergeCell ref="M487:V487"/>
    <mergeCell ref="F488:H489"/>
    <mergeCell ref="L488:L492"/>
    <mergeCell ref="T488:U489"/>
    <mergeCell ref="F490:F491"/>
    <mergeCell ref="G490:G491"/>
    <mergeCell ref="M517:V517"/>
    <mergeCell ref="F518:H519"/>
    <mergeCell ref="L518:L522"/>
    <mergeCell ref="T518:U519"/>
    <mergeCell ref="F520:F521"/>
    <mergeCell ref="G520:G521"/>
    <mergeCell ref="H520:H521"/>
    <mergeCell ref="A523:A524"/>
    <mergeCell ref="H490:H491"/>
    <mergeCell ref="A509:B509"/>
    <mergeCell ref="C509:H509"/>
    <mergeCell ref="A539:B539"/>
    <mergeCell ref="C539:H539"/>
    <mergeCell ref="F550:F551"/>
    <mergeCell ref="G550:G551"/>
    <mergeCell ref="H550:H551"/>
    <mergeCell ref="A569:B569"/>
    <mergeCell ref="C569:H569"/>
    <mergeCell ref="A517:A522"/>
    <mergeCell ref="C517:C522"/>
    <mergeCell ref="F517:K517"/>
    <mergeCell ref="AA574:AB574"/>
    <mergeCell ref="AA544:AB544"/>
    <mergeCell ref="A545:AB545"/>
    <mergeCell ref="A546:AB546"/>
    <mergeCell ref="A547:A552"/>
    <mergeCell ref="C547:C552"/>
    <mergeCell ref="F547:K547"/>
    <mergeCell ref="M547:V547"/>
    <mergeCell ref="F548:H549"/>
    <mergeCell ref="L548:L552"/>
    <mergeCell ref="T548:U549"/>
    <mergeCell ref="G580:G581"/>
    <mergeCell ref="H580:H581"/>
    <mergeCell ref="A599:B599"/>
    <mergeCell ref="C599:H599"/>
    <mergeCell ref="AA604:AB604"/>
    <mergeCell ref="A605:AB605"/>
    <mergeCell ref="A575:AB575"/>
    <mergeCell ref="A576:AB576"/>
    <mergeCell ref="A577:A582"/>
    <mergeCell ref="C577:C582"/>
    <mergeCell ref="F577:K577"/>
    <mergeCell ref="M577:V577"/>
    <mergeCell ref="F578:H579"/>
    <mergeCell ref="L578:L582"/>
    <mergeCell ref="T578:U579"/>
    <mergeCell ref="F580:F581"/>
    <mergeCell ref="H610:H611"/>
    <mergeCell ref="A629:B629"/>
    <mergeCell ref="C629:H629"/>
    <mergeCell ref="AA634:AB634"/>
    <mergeCell ref="A635:AB635"/>
    <mergeCell ref="A636:AB636"/>
    <mergeCell ref="A606:AB606"/>
    <mergeCell ref="A607:A612"/>
    <mergeCell ref="C607:C612"/>
    <mergeCell ref="F607:K607"/>
    <mergeCell ref="M607:V607"/>
    <mergeCell ref="F608:H609"/>
    <mergeCell ref="L608:L612"/>
    <mergeCell ref="T608:U609"/>
    <mergeCell ref="F610:F611"/>
    <mergeCell ref="G610:G611"/>
    <mergeCell ref="A637:A642"/>
    <mergeCell ref="C637:C642"/>
    <mergeCell ref="F637:K637"/>
    <mergeCell ref="M637:V637"/>
    <mergeCell ref="F638:H639"/>
    <mergeCell ref="L638:L642"/>
    <mergeCell ref="T638:U639"/>
    <mergeCell ref="F640:F641"/>
    <mergeCell ref="G640:G641"/>
    <mergeCell ref="H640:H641"/>
    <mergeCell ref="AA725:AB725"/>
    <mergeCell ref="A726:AB726"/>
    <mergeCell ref="A692:B692"/>
    <mergeCell ref="C692:H692"/>
    <mergeCell ref="A659:B659"/>
    <mergeCell ref="C659:H659"/>
    <mergeCell ref="AA664:AB664"/>
    <mergeCell ref="A665:AB665"/>
    <mergeCell ref="A666:AB666"/>
    <mergeCell ref="A667:A672"/>
    <mergeCell ref="C667:C672"/>
    <mergeCell ref="F667:K667"/>
    <mergeCell ref="M667:V667"/>
    <mergeCell ref="F668:H669"/>
    <mergeCell ref="L668:L672"/>
    <mergeCell ref="T668:U669"/>
    <mergeCell ref="F670:F671"/>
    <mergeCell ref="G670:G671"/>
    <mergeCell ref="H670:H671"/>
    <mergeCell ref="A720:B720"/>
    <mergeCell ref="C720:H720"/>
    <mergeCell ref="A698:AB698"/>
    <mergeCell ref="A699:AB699"/>
    <mergeCell ref="A700:A705"/>
    <mergeCell ref="AA755:AB755"/>
    <mergeCell ref="A756:AB756"/>
    <mergeCell ref="H731:H732"/>
    <mergeCell ref="A750:B750"/>
    <mergeCell ref="C750:H750"/>
    <mergeCell ref="A727:AB727"/>
    <mergeCell ref="A728:A733"/>
    <mergeCell ref="C728:C733"/>
    <mergeCell ref="F728:K728"/>
    <mergeCell ref="M728:V728"/>
    <mergeCell ref="F729:H730"/>
    <mergeCell ref="L729:L733"/>
    <mergeCell ref="T729:U730"/>
    <mergeCell ref="F731:F732"/>
    <mergeCell ref="G731:G732"/>
    <mergeCell ref="H761:H762"/>
    <mergeCell ref="A780:B780"/>
    <mergeCell ref="C780:H780"/>
    <mergeCell ref="A757:AB757"/>
    <mergeCell ref="A758:A763"/>
    <mergeCell ref="C758:C763"/>
    <mergeCell ref="F758:K758"/>
    <mergeCell ref="M758:V758"/>
    <mergeCell ref="F759:H760"/>
    <mergeCell ref="L759:L763"/>
    <mergeCell ref="T759:U760"/>
    <mergeCell ref="F761:F762"/>
    <mergeCell ref="G761:G762"/>
    <mergeCell ref="AA785:AB785"/>
    <mergeCell ref="A786:AB786"/>
    <mergeCell ref="A787:AB787"/>
    <mergeCell ref="A810:B810"/>
    <mergeCell ref="C810:H810"/>
    <mergeCell ref="A788:A793"/>
    <mergeCell ref="C788:C793"/>
    <mergeCell ref="F788:K788"/>
    <mergeCell ref="M788:V788"/>
    <mergeCell ref="F789:H790"/>
    <mergeCell ref="L789:L793"/>
    <mergeCell ref="T789:U790"/>
    <mergeCell ref="F791:F792"/>
    <mergeCell ref="G791:G792"/>
    <mergeCell ref="H791:H792"/>
    <mergeCell ref="AA815:AB815"/>
    <mergeCell ref="A816:AB816"/>
    <mergeCell ref="A817:AB817"/>
    <mergeCell ref="A818:A823"/>
    <mergeCell ref="C818:C823"/>
    <mergeCell ref="F818:K818"/>
    <mergeCell ref="M818:V818"/>
    <mergeCell ref="F819:H820"/>
    <mergeCell ref="L819:L823"/>
    <mergeCell ref="T819:U820"/>
    <mergeCell ref="F821:F822"/>
    <mergeCell ref="G821:G822"/>
    <mergeCell ref="H821:H822"/>
    <mergeCell ref="AA845:AB845"/>
    <mergeCell ref="A840:B840"/>
    <mergeCell ref="C840:H840"/>
    <mergeCell ref="G851:G852"/>
    <mergeCell ref="H851:H852"/>
    <mergeCell ref="A870:B870"/>
    <mergeCell ref="C870:H870"/>
    <mergeCell ref="A846:AB846"/>
    <mergeCell ref="A847:AB847"/>
    <mergeCell ref="A848:A853"/>
    <mergeCell ref="C848:C853"/>
    <mergeCell ref="F848:K848"/>
    <mergeCell ref="M848:V848"/>
    <mergeCell ref="F849:H850"/>
    <mergeCell ref="L849:L853"/>
    <mergeCell ref="T849:U850"/>
    <mergeCell ref="F851:F852"/>
    <mergeCell ref="L939:L943"/>
    <mergeCell ref="T939:U940"/>
    <mergeCell ref="F941:F942"/>
    <mergeCell ref="G941:G942"/>
    <mergeCell ref="H941:H942"/>
    <mergeCell ref="A906:AB906"/>
    <mergeCell ref="A907:AB907"/>
    <mergeCell ref="C930:H930"/>
    <mergeCell ref="A908:A913"/>
    <mergeCell ref="C908:C913"/>
    <mergeCell ref="F908:K908"/>
    <mergeCell ref="M908:V908"/>
    <mergeCell ref="F909:H910"/>
    <mergeCell ref="L909:L913"/>
    <mergeCell ref="T909:U910"/>
    <mergeCell ref="F911:F912"/>
    <mergeCell ref="G911:G912"/>
    <mergeCell ref="H911:H912"/>
    <mergeCell ref="AA905:AB905"/>
    <mergeCell ref="C992:H992"/>
    <mergeCell ref="C960:H960"/>
    <mergeCell ref="AA965:AB965"/>
    <mergeCell ref="A966:AB966"/>
    <mergeCell ref="A967:AB967"/>
    <mergeCell ref="A968:A973"/>
    <mergeCell ref="C968:C973"/>
    <mergeCell ref="F968:K968"/>
    <mergeCell ref="M968:V968"/>
    <mergeCell ref="F969:H970"/>
    <mergeCell ref="L969:L973"/>
    <mergeCell ref="T969:U970"/>
    <mergeCell ref="F971:F972"/>
    <mergeCell ref="G971:G972"/>
    <mergeCell ref="H971:H972"/>
    <mergeCell ref="AA935:AB935"/>
    <mergeCell ref="A936:AB936"/>
    <mergeCell ref="A937:AB937"/>
    <mergeCell ref="A938:A943"/>
    <mergeCell ref="C938:C943"/>
    <mergeCell ref="F938:K938"/>
    <mergeCell ref="M938:V938"/>
    <mergeCell ref="F939:H940"/>
    <mergeCell ref="C1023:H1023"/>
    <mergeCell ref="AA998:AB998"/>
    <mergeCell ref="A999:AB999"/>
    <mergeCell ref="A1000:AB1000"/>
    <mergeCell ref="A1001:A1006"/>
    <mergeCell ref="C1001:C1006"/>
    <mergeCell ref="F1001:K1001"/>
    <mergeCell ref="M1001:V1001"/>
    <mergeCell ref="F1002:H1003"/>
    <mergeCell ref="L1002:L1006"/>
    <mergeCell ref="T1002:U1003"/>
    <mergeCell ref="F1004:F1005"/>
    <mergeCell ref="G1004:G1005"/>
    <mergeCell ref="H1004:H1005"/>
  </mergeCells>
  <pageMargins left="0.15748031496062992" right="0.19685039370078741" top="0.31496062992125984" bottom="0.31496062992125984" header="0.31496062992125984" footer="0.31496062992125984"/>
  <pageSetup paperSize="9" scale="92" orientation="landscape" r:id="rId1"/>
  <rowBreaks count="31" manualBreakCount="31">
    <brk id="30" max="16383" man="1"/>
    <brk id="61" max="16383" man="1"/>
    <brk id="93" max="16383" man="1"/>
    <brk id="123" max="16383" man="1"/>
    <brk id="153" max="16383" man="1"/>
    <brk id="183" max="16383" man="1"/>
    <brk id="213" max="16383" man="1"/>
    <brk id="243" max="16383" man="1"/>
    <brk id="273" max="16383" man="1"/>
    <brk id="303" max="16383" man="1"/>
    <brk id="333" max="16383" man="1"/>
    <brk id="363" max="16383" man="1"/>
    <brk id="393" max="16383" man="1"/>
    <brk id="423" max="16383" man="1"/>
    <brk id="453" max="16383" man="1"/>
    <brk id="483" max="16383" man="1"/>
    <brk id="513" max="16383" man="1"/>
    <brk id="543" max="16383" man="1"/>
    <brk id="573" max="16383" man="1"/>
    <brk id="603" max="16383" man="1"/>
    <brk id="633" max="16383" man="1"/>
    <brk id="663" max="16383" man="1"/>
    <brk id="724" max="16383" man="1"/>
    <brk id="754" max="16383" man="1"/>
    <brk id="784" max="16383" man="1"/>
    <brk id="814" max="16383" man="1"/>
    <brk id="844" max="16383" man="1"/>
    <brk id="874" max="16383" man="1"/>
    <brk id="904" max="16383" man="1"/>
    <brk id="934" max="16383" man="1"/>
    <brk id="964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46"/>
  <sheetViews>
    <sheetView view="pageBreakPreview" topLeftCell="I419" zoomScale="120" zoomScaleNormal="100" zoomScaleSheetLayoutView="120" workbookViewId="0">
      <selection activeCell="AH429" sqref="AH429"/>
    </sheetView>
  </sheetViews>
  <sheetFormatPr defaultColWidth="9.125" defaultRowHeight="14.25" x14ac:dyDescent="0.2"/>
  <cols>
    <col min="1" max="1" width="2.25" style="454" customWidth="1"/>
    <col min="2" max="2" width="4.625" style="454" bestFit="1" customWidth="1"/>
    <col min="3" max="3" width="4.875" style="454" bestFit="1" customWidth="1"/>
    <col min="4" max="7" width="2.5" style="454" customWidth="1"/>
    <col min="8" max="8" width="4.125" style="454" bestFit="1" customWidth="1"/>
    <col min="9" max="9" width="7" style="454" customWidth="1"/>
    <col min="10" max="10" width="6.875" style="454" bestFit="1" customWidth="1"/>
    <col min="11" max="11" width="8" style="454" customWidth="1"/>
    <col min="12" max="12" width="2.625" style="454" customWidth="1"/>
    <col min="13" max="13" width="3.125" style="454" customWidth="1"/>
    <col min="14" max="14" width="5.25" style="454" customWidth="1"/>
    <col min="15" max="15" width="2.625" style="454" customWidth="1"/>
    <col min="16" max="16" width="4.875" style="454" customWidth="1"/>
    <col min="17" max="17" width="3.625" style="454" customWidth="1"/>
    <col min="18" max="18" width="5.125" style="454" bestFit="1" customWidth="1"/>
    <col min="19" max="19" width="7.125" style="454" customWidth="1"/>
    <col min="20" max="20" width="2.625" style="454" customWidth="1"/>
    <col min="21" max="24" width="7" style="454" customWidth="1"/>
    <col min="25" max="25" width="4.375" style="454" customWidth="1"/>
    <col min="26" max="26" width="7.375" style="454" customWidth="1"/>
    <col min="27" max="27" width="3.375" style="454" customWidth="1"/>
    <col min="28" max="28" width="6.875" style="508" customWidth="1"/>
    <col min="29" max="30" width="4.25" style="454" hidden="1" customWidth="1"/>
    <col min="31" max="31" width="5" style="454" hidden="1" customWidth="1"/>
    <col min="32" max="32" width="0.375" style="454" hidden="1" customWidth="1"/>
    <col min="33" max="16384" width="9.125" style="454"/>
  </cols>
  <sheetData>
    <row r="1" spans="1:32" s="510" customFormat="1" ht="18.75" x14ac:dyDescent="0.2">
      <c r="A1" s="338"/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8"/>
      <c r="Z1" s="338"/>
      <c r="AA1" s="2774" t="s">
        <v>0</v>
      </c>
      <c r="AB1" s="2774"/>
      <c r="AC1" s="338"/>
      <c r="AD1" s="338"/>
      <c r="AE1" s="338"/>
      <c r="AF1" s="338"/>
    </row>
    <row r="2" spans="1:32" s="510" customFormat="1" ht="18.75" x14ac:dyDescent="0.2">
      <c r="A2" s="2703" t="s">
        <v>1</v>
      </c>
      <c r="B2" s="2703"/>
      <c r="C2" s="2703"/>
      <c r="D2" s="2703"/>
      <c r="E2" s="2703"/>
      <c r="F2" s="2703"/>
      <c r="G2" s="2703"/>
      <c r="H2" s="2703"/>
      <c r="I2" s="2703"/>
      <c r="J2" s="2703"/>
      <c r="K2" s="2703"/>
      <c r="L2" s="2703"/>
      <c r="M2" s="2703"/>
      <c r="N2" s="2703"/>
      <c r="O2" s="2703"/>
      <c r="P2" s="2703"/>
      <c r="Q2" s="2703"/>
      <c r="R2" s="2703"/>
      <c r="S2" s="2703"/>
      <c r="T2" s="2703"/>
      <c r="U2" s="2703"/>
      <c r="V2" s="2703"/>
      <c r="W2" s="2703"/>
      <c r="X2" s="2703"/>
      <c r="Y2" s="2703"/>
      <c r="Z2" s="2703"/>
      <c r="AA2" s="2703"/>
      <c r="AB2" s="2703"/>
      <c r="AC2" s="344"/>
      <c r="AD2" s="344"/>
      <c r="AE2" s="344"/>
      <c r="AF2" s="344"/>
    </row>
    <row r="3" spans="1:32" s="510" customFormat="1" ht="21" x14ac:dyDescent="0.2">
      <c r="A3" s="2780" t="s">
        <v>519</v>
      </c>
      <c r="B3" s="2780"/>
      <c r="C3" s="2780"/>
      <c r="D3" s="2780"/>
      <c r="E3" s="2780"/>
      <c r="F3" s="2780"/>
      <c r="G3" s="2780"/>
      <c r="H3" s="2780"/>
      <c r="I3" s="2780"/>
      <c r="J3" s="2780"/>
      <c r="K3" s="2780"/>
      <c r="L3" s="2780"/>
      <c r="M3" s="2780"/>
      <c r="N3" s="2780"/>
      <c r="O3" s="2780"/>
      <c r="P3" s="2780"/>
      <c r="Q3" s="2780"/>
      <c r="R3" s="2780"/>
      <c r="S3" s="2780"/>
      <c r="T3" s="2780"/>
      <c r="U3" s="2780"/>
      <c r="V3" s="2780"/>
      <c r="W3" s="2780"/>
      <c r="X3" s="2780"/>
      <c r="Y3" s="2780"/>
      <c r="Z3" s="2780"/>
      <c r="AA3" s="2780"/>
      <c r="AB3" s="2780"/>
      <c r="AC3" s="345"/>
      <c r="AD3" s="345"/>
      <c r="AE3" s="345"/>
      <c r="AF3" s="345"/>
    </row>
    <row r="4" spans="1:32" s="510" customFormat="1" ht="15" x14ac:dyDescent="0.25">
      <c r="A4" s="2686" t="s">
        <v>2</v>
      </c>
      <c r="B4" s="511"/>
      <c r="C4" s="2686" t="s">
        <v>3</v>
      </c>
      <c r="D4" s="511"/>
      <c r="E4" s="511"/>
      <c r="F4" s="2693" t="s">
        <v>4</v>
      </c>
      <c r="G4" s="2693"/>
      <c r="H4" s="2693"/>
      <c r="I4" s="2694"/>
      <c r="J4" s="2694"/>
      <c r="K4" s="2695"/>
      <c r="L4" s="361"/>
      <c r="M4" s="2679" t="s">
        <v>5</v>
      </c>
      <c r="N4" s="2679"/>
      <c r="O4" s="2679"/>
      <c r="P4" s="2679"/>
      <c r="Q4" s="2696"/>
      <c r="R4" s="2696"/>
      <c r="S4" s="2696"/>
      <c r="T4" s="2696"/>
      <c r="U4" s="2696"/>
      <c r="V4" s="2697"/>
      <c r="W4" s="512" t="s">
        <v>6</v>
      </c>
      <c r="X4" s="513" t="s">
        <v>7</v>
      </c>
      <c r="Y4" s="514"/>
      <c r="Z4" s="514"/>
      <c r="AA4" s="513"/>
      <c r="AB4" s="515"/>
      <c r="AC4" s="516" t="s">
        <v>8</v>
      </c>
      <c r="AD4" s="346"/>
      <c r="AE4" s="346"/>
      <c r="AF4" s="517"/>
    </row>
    <row r="5" spans="1:32" s="510" customFormat="1" x14ac:dyDescent="0.2">
      <c r="A5" s="2687"/>
      <c r="B5" s="367"/>
      <c r="C5" s="2687"/>
      <c r="D5" s="518" t="s">
        <v>9</v>
      </c>
      <c r="E5" s="519" t="s">
        <v>10</v>
      </c>
      <c r="F5" s="2698" t="s">
        <v>11</v>
      </c>
      <c r="G5" s="2694"/>
      <c r="H5" s="2695"/>
      <c r="I5" s="511"/>
      <c r="J5" s="520" t="s">
        <v>12</v>
      </c>
      <c r="K5" s="511"/>
      <c r="L5" s="2679" t="s">
        <v>2</v>
      </c>
      <c r="M5" s="521"/>
      <c r="N5" s="521"/>
      <c r="O5" s="521"/>
      <c r="P5" s="522"/>
      <c r="Q5" s="523" t="s">
        <v>13</v>
      </c>
      <c r="R5" s="524" t="s">
        <v>12</v>
      </c>
      <c r="S5" s="521" t="s">
        <v>6</v>
      </c>
      <c r="T5" s="2682" t="s">
        <v>14</v>
      </c>
      <c r="U5" s="2683"/>
      <c r="V5" s="525" t="s">
        <v>7</v>
      </c>
      <c r="W5" s="526" t="s">
        <v>15</v>
      </c>
      <c r="X5" s="527" t="s">
        <v>16</v>
      </c>
      <c r="Y5" s="527" t="s">
        <v>17</v>
      </c>
      <c r="Z5" s="527" t="s">
        <v>18</v>
      </c>
      <c r="AA5" s="377"/>
      <c r="AB5" s="378" t="s">
        <v>19</v>
      </c>
      <c r="AC5" s="528" t="s">
        <v>20</v>
      </c>
      <c r="AD5" s="529"/>
      <c r="AE5" s="347" t="s">
        <v>21</v>
      </c>
      <c r="AF5" s="340" t="s">
        <v>22</v>
      </c>
    </row>
    <row r="6" spans="1:32" s="510" customFormat="1" x14ac:dyDescent="0.2">
      <c r="A6" s="2687"/>
      <c r="B6" s="1996" t="s">
        <v>23</v>
      </c>
      <c r="C6" s="2687"/>
      <c r="D6" s="518" t="s">
        <v>24</v>
      </c>
      <c r="E6" s="519" t="s">
        <v>25</v>
      </c>
      <c r="F6" s="2699"/>
      <c r="G6" s="2700"/>
      <c r="H6" s="2701"/>
      <c r="I6" s="518" t="s">
        <v>26</v>
      </c>
      <c r="J6" s="530" t="s">
        <v>15</v>
      </c>
      <c r="K6" s="531" t="s">
        <v>6</v>
      </c>
      <c r="L6" s="2680"/>
      <c r="M6" s="532" t="s">
        <v>27</v>
      </c>
      <c r="N6" s="532" t="s">
        <v>10</v>
      </c>
      <c r="O6" s="533" t="s">
        <v>10</v>
      </c>
      <c r="P6" s="534" t="s">
        <v>28</v>
      </c>
      <c r="Q6" s="535" t="s">
        <v>29</v>
      </c>
      <c r="R6" s="534" t="s">
        <v>15</v>
      </c>
      <c r="S6" s="385" t="s">
        <v>15</v>
      </c>
      <c r="T6" s="2684"/>
      <c r="U6" s="2685"/>
      <c r="V6" s="525" t="s">
        <v>30</v>
      </c>
      <c r="W6" s="526" t="s">
        <v>31</v>
      </c>
      <c r="X6" s="527" t="s">
        <v>30</v>
      </c>
      <c r="Y6" s="527" t="s">
        <v>32</v>
      </c>
      <c r="Z6" s="527" t="s">
        <v>7</v>
      </c>
      <c r="AA6" s="377" t="s">
        <v>33</v>
      </c>
      <c r="AB6" s="378" t="s">
        <v>34</v>
      </c>
      <c r="AC6" s="528" t="s">
        <v>35</v>
      </c>
      <c r="AD6" s="347" t="s">
        <v>36</v>
      </c>
      <c r="AE6" s="347" t="s">
        <v>37</v>
      </c>
      <c r="AF6" s="340" t="s">
        <v>38</v>
      </c>
    </row>
    <row r="7" spans="1:32" s="510" customFormat="1" x14ac:dyDescent="0.2">
      <c r="A7" s="2687"/>
      <c r="B7" s="1996" t="s">
        <v>39</v>
      </c>
      <c r="C7" s="2687"/>
      <c r="D7" s="518" t="s">
        <v>40</v>
      </c>
      <c r="E7" s="519" t="s">
        <v>41</v>
      </c>
      <c r="F7" s="2686" t="s">
        <v>42</v>
      </c>
      <c r="G7" s="2686" t="s">
        <v>43</v>
      </c>
      <c r="H7" s="2688" t="s">
        <v>44</v>
      </c>
      <c r="I7" s="518" t="s">
        <v>45</v>
      </c>
      <c r="J7" s="530" t="s">
        <v>46</v>
      </c>
      <c r="K7" s="531" t="s">
        <v>47</v>
      </c>
      <c r="L7" s="2680"/>
      <c r="M7" s="532" t="s">
        <v>30</v>
      </c>
      <c r="N7" s="532" t="s">
        <v>30</v>
      </c>
      <c r="O7" s="533" t="s">
        <v>25</v>
      </c>
      <c r="P7" s="534" t="s">
        <v>30</v>
      </c>
      <c r="Q7" s="535" t="s">
        <v>48</v>
      </c>
      <c r="R7" s="534" t="s">
        <v>49</v>
      </c>
      <c r="S7" s="385" t="s">
        <v>30</v>
      </c>
      <c r="T7" s="536" t="s">
        <v>50</v>
      </c>
      <c r="U7" s="537" t="s">
        <v>13</v>
      </c>
      <c r="V7" s="525" t="s">
        <v>51</v>
      </c>
      <c r="W7" s="526" t="s">
        <v>52</v>
      </c>
      <c r="X7" s="527" t="s">
        <v>53</v>
      </c>
      <c r="Y7" s="527" t="s">
        <v>54</v>
      </c>
      <c r="Z7" s="527" t="s">
        <v>55</v>
      </c>
      <c r="AA7" s="377" t="s">
        <v>56</v>
      </c>
      <c r="AB7" s="378" t="s">
        <v>57</v>
      </c>
      <c r="AC7" s="347" t="s">
        <v>58</v>
      </c>
      <c r="AD7" s="347" t="s">
        <v>59</v>
      </c>
      <c r="AE7" s="347" t="s">
        <v>59</v>
      </c>
      <c r="AF7" s="340" t="s">
        <v>60</v>
      </c>
    </row>
    <row r="8" spans="1:32" s="510" customFormat="1" ht="15" x14ac:dyDescent="0.25">
      <c r="A8" s="2687"/>
      <c r="B8" s="1996" t="s">
        <v>61</v>
      </c>
      <c r="C8" s="2687"/>
      <c r="D8" s="518" t="s">
        <v>62</v>
      </c>
      <c r="E8" s="519" t="s">
        <v>63</v>
      </c>
      <c r="F8" s="2687"/>
      <c r="G8" s="2687"/>
      <c r="H8" s="2689"/>
      <c r="I8" s="518" t="s">
        <v>64</v>
      </c>
      <c r="J8" s="530" t="s">
        <v>59</v>
      </c>
      <c r="K8" s="531" t="s">
        <v>59</v>
      </c>
      <c r="L8" s="2680"/>
      <c r="M8" s="532"/>
      <c r="N8" s="532"/>
      <c r="O8" s="533" t="s">
        <v>41</v>
      </c>
      <c r="P8" s="534" t="s">
        <v>65</v>
      </c>
      <c r="Q8" s="535" t="s">
        <v>66</v>
      </c>
      <c r="R8" s="534" t="s">
        <v>67</v>
      </c>
      <c r="S8" s="385" t="s">
        <v>59</v>
      </c>
      <c r="T8" s="538" t="s">
        <v>68</v>
      </c>
      <c r="U8" s="525" t="s">
        <v>14</v>
      </c>
      <c r="V8" s="525" t="s">
        <v>14</v>
      </c>
      <c r="W8" s="526" t="s">
        <v>30</v>
      </c>
      <c r="X8" s="539" t="s">
        <v>69</v>
      </c>
      <c r="Y8" s="539" t="s">
        <v>70</v>
      </c>
      <c r="Z8" s="527" t="s">
        <v>71</v>
      </c>
      <c r="AA8" s="377" t="s">
        <v>72</v>
      </c>
      <c r="AB8" s="540" t="s">
        <v>59</v>
      </c>
      <c r="AC8" s="347" t="s">
        <v>59</v>
      </c>
      <c r="AD8" s="347"/>
      <c r="AE8" s="347"/>
      <c r="AF8" s="340" t="s">
        <v>59</v>
      </c>
    </row>
    <row r="9" spans="1:32" s="510" customFormat="1" x14ac:dyDescent="0.2">
      <c r="A9" s="2692"/>
      <c r="B9" s="390"/>
      <c r="C9" s="2692"/>
      <c r="D9" s="541"/>
      <c r="E9" s="542"/>
      <c r="F9" s="390"/>
      <c r="G9" s="390"/>
      <c r="H9" s="391"/>
      <c r="I9" s="542"/>
      <c r="J9" s="543"/>
      <c r="K9" s="544"/>
      <c r="L9" s="2681"/>
      <c r="M9" s="545"/>
      <c r="N9" s="545"/>
      <c r="O9" s="545" t="s">
        <v>63</v>
      </c>
      <c r="P9" s="546"/>
      <c r="Q9" s="547" t="s">
        <v>72</v>
      </c>
      <c r="R9" s="548" t="s">
        <v>59</v>
      </c>
      <c r="S9" s="549"/>
      <c r="T9" s="548" t="s">
        <v>73</v>
      </c>
      <c r="U9" s="549" t="s">
        <v>59</v>
      </c>
      <c r="V9" s="550" t="s">
        <v>59</v>
      </c>
      <c r="W9" s="551" t="s">
        <v>59</v>
      </c>
      <c r="X9" s="552" t="s">
        <v>59</v>
      </c>
      <c r="Y9" s="552" t="s">
        <v>59</v>
      </c>
      <c r="Z9" s="552" t="s">
        <v>59</v>
      </c>
      <c r="AA9" s="402"/>
      <c r="AB9" s="403"/>
      <c r="AC9" s="348"/>
      <c r="AD9" s="348"/>
      <c r="AE9" s="348"/>
      <c r="AF9" s="341"/>
    </row>
    <row r="10" spans="1:32" s="510" customFormat="1" ht="15" x14ac:dyDescent="0.25">
      <c r="A10" s="16">
        <v>1</v>
      </c>
      <c r="B10" s="333">
        <v>55450</v>
      </c>
      <c r="C10" s="41">
        <v>1668</v>
      </c>
      <c r="D10" s="259" t="s">
        <v>238</v>
      </c>
      <c r="E10" s="15">
        <v>1</v>
      </c>
      <c r="F10" s="41">
        <v>1</v>
      </c>
      <c r="G10" s="41">
        <v>0</v>
      </c>
      <c r="H10" s="267">
        <v>31.2</v>
      </c>
      <c r="I10" s="18">
        <f>F10*400+G10*100+H10</f>
        <v>431.2</v>
      </c>
      <c r="J10" s="258">
        <v>1600</v>
      </c>
      <c r="K10" s="39">
        <f>SUM(I10*J10)</f>
        <v>689920</v>
      </c>
      <c r="L10" s="45"/>
      <c r="M10" s="231"/>
      <c r="N10" s="448"/>
      <c r="O10" s="231"/>
      <c r="P10" s="448"/>
      <c r="Q10" s="62"/>
      <c r="R10" s="260"/>
      <c r="S10" s="18"/>
      <c r="T10" s="20"/>
      <c r="U10" s="47"/>
      <c r="V10" s="47"/>
      <c r="W10" s="18">
        <f>K10+V10</f>
        <v>689920</v>
      </c>
      <c r="X10" s="47">
        <f>W10</f>
        <v>689920</v>
      </c>
      <c r="Y10" s="18" t="s">
        <v>87</v>
      </c>
      <c r="Z10" s="18">
        <v>0</v>
      </c>
      <c r="AA10" s="264">
        <v>0.01</v>
      </c>
      <c r="AB10" s="554">
        <f>+Z10*AA10/100</f>
        <v>0</v>
      </c>
      <c r="AC10" s="736"/>
      <c r="AD10" s="737">
        <f>AB10-AC10</f>
        <v>0</v>
      </c>
      <c r="AE10" s="737">
        <f>IF(AD10&lt;=0,0,AD10*25/100)</f>
        <v>0</v>
      </c>
      <c r="AF10" s="737">
        <f>IF(AC10+AE10&gt;AB10,AB10,AC10+AE10)</f>
        <v>0</v>
      </c>
    </row>
    <row r="11" spans="1:32" s="510" customFormat="1" ht="15" x14ac:dyDescent="0.25">
      <c r="A11" s="50">
        <v>2</v>
      </c>
      <c r="B11" s="255">
        <v>2043</v>
      </c>
      <c r="C11" s="50">
        <v>488</v>
      </c>
      <c r="D11" s="270" t="s">
        <v>238</v>
      </c>
      <c r="E11" s="15">
        <v>2</v>
      </c>
      <c r="F11" s="796">
        <v>0</v>
      </c>
      <c r="G11" s="270">
        <v>3</v>
      </c>
      <c r="H11" s="797">
        <v>10</v>
      </c>
      <c r="I11" s="18">
        <f t="shared" ref="I11:I13" si="0">F11*400+G11*100+H11</f>
        <v>310</v>
      </c>
      <c r="J11" s="258">
        <v>1200</v>
      </c>
      <c r="K11" s="39">
        <f>SUM(I11*J11)</f>
        <v>372000</v>
      </c>
      <c r="L11" s="45">
        <v>1</v>
      </c>
      <c r="M11" s="231">
        <v>101</v>
      </c>
      <c r="N11" s="448" t="s">
        <v>74</v>
      </c>
      <c r="O11" s="231">
        <v>2</v>
      </c>
      <c r="P11" s="448">
        <v>90.26</v>
      </c>
      <c r="Q11" s="62" t="s">
        <v>75</v>
      </c>
      <c r="R11" s="260">
        <v>9050</v>
      </c>
      <c r="S11" s="18">
        <f>+P11*R11</f>
        <v>816853</v>
      </c>
      <c r="T11" s="1469">
        <v>18</v>
      </c>
      <c r="U11" s="1664">
        <f>+S11*0.26</f>
        <v>212381.78</v>
      </c>
      <c r="V11" s="47">
        <f>+S11-U11</f>
        <v>604471.22</v>
      </c>
      <c r="W11" s="18">
        <f>K11+V11</f>
        <v>976471.22</v>
      </c>
      <c r="X11" s="47">
        <f>W11</f>
        <v>976471.22</v>
      </c>
      <c r="Y11" s="18" t="s">
        <v>87</v>
      </c>
      <c r="Z11" s="18">
        <v>0</v>
      </c>
      <c r="AA11" s="264">
        <v>0.02</v>
      </c>
      <c r="AB11" s="558">
        <f>+Z11*AA11/100</f>
        <v>0</v>
      </c>
      <c r="AC11" s="559"/>
      <c r="AD11" s="559">
        <f>AB11-AC11</f>
        <v>0</v>
      </c>
      <c r="AE11" s="559">
        <f>IF(AD11&lt;=0,0,AD11*25/100)</f>
        <v>0</v>
      </c>
      <c r="AF11" s="559">
        <f>IF(AC11+AE11&gt;AB11,AB11,AC11+AE11)</f>
        <v>0</v>
      </c>
    </row>
    <row r="12" spans="1:32" s="510" customFormat="1" ht="15" x14ac:dyDescent="0.25">
      <c r="A12" s="45">
        <v>3</v>
      </c>
      <c r="B12" s="269">
        <v>63551</v>
      </c>
      <c r="C12" s="62" t="s">
        <v>239</v>
      </c>
      <c r="D12" s="15" t="s">
        <v>240</v>
      </c>
      <c r="E12" s="15">
        <v>5</v>
      </c>
      <c r="F12" s="467">
        <v>0</v>
      </c>
      <c r="G12" s="1997">
        <v>1</v>
      </c>
      <c r="H12" s="1997">
        <v>50.02</v>
      </c>
      <c r="I12" s="18">
        <f t="shared" si="0"/>
        <v>150.02000000000001</v>
      </c>
      <c r="J12" s="258">
        <v>1600</v>
      </c>
      <c r="K12" s="199">
        <f>+I12*J12</f>
        <v>240032.00000000003</v>
      </c>
      <c r="L12" s="61">
        <v>2</v>
      </c>
      <c r="M12" s="50">
        <v>106</v>
      </c>
      <c r="N12" s="50" t="s">
        <v>96</v>
      </c>
      <c r="O12" s="50">
        <v>2</v>
      </c>
      <c r="P12" s="19">
        <f>12.4*16.2</f>
        <v>200.88</v>
      </c>
      <c r="Q12" s="62" t="s">
        <v>75</v>
      </c>
      <c r="R12" s="738">
        <v>7950</v>
      </c>
      <c r="S12" s="47">
        <f>+P12*R12</f>
        <v>1596996</v>
      </c>
      <c r="T12" s="1469">
        <v>19</v>
      </c>
      <c r="U12" s="1664">
        <f>+S12*0.7</f>
        <v>1117897.2</v>
      </c>
      <c r="V12" s="18">
        <f>+S12-U12</f>
        <v>479098.80000000005</v>
      </c>
      <c r="W12" s="18">
        <f>K12+V12</f>
        <v>719130.8</v>
      </c>
      <c r="X12" s="18">
        <f>+W12</f>
        <v>719130.8</v>
      </c>
      <c r="Y12" s="18">
        <v>0</v>
      </c>
      <c r="Z12" s="18">
        <f>+X12</f>
        <v>719130.8</v>
      </c>
      <c r="AA12" s="264">
        <v>0.02</v>
      </c>
      <c r="AB12" s="570">
        <f>+Z12*AA12/100</f>
        <v>143.82616000000002</v>
      </c>
      <c r="AC12" s="559"/>
      <c r="AD12" s="559"/>
      <c r="AE12" s="559"/>
      <c r="AF12" s="559"/>
    </row>
    <row r="13" spans="1:32" s="510" customFormat="1" x14ac:dyDescent="0.2">
      <c r="A13" s="50"/>
      <c r="B13" s="50"/>
      <c r="C13" s="76"/>
      <c r="D13" s="15"/>
      <c r="E13" s="15"/>
      <c r="F13" s="467">
        <v>0</v>
      </c>
      <c r="G13" s="1997">
        <v>0</v>
      </c>
      <c r="H13" s="1997">
        <v>4.68</v>
      </c>
      <c r="I13" s="18">
        <f t="shared" si="0"/>
        <v>4.68</v>
      </c>
      <c r="J13" s="258">
        <v>1600</v>
      </c>
      <c r="K13" s="199">
        <f>+I13*J13</f>
        <v>7488</v>
      </c>
      <c r="L13" s="467">
        <v>3</v>
      </c>
      <c r="M13" s="61">
        <v>521</v>
      </c>
      <c r="N13" s="50" t="s">
        <v>74</v>
      </c>
      <c r="O13" s="50">
        <v>3</v>
      </c>
      <c r="P13" s="19">
        <f>5.35*3.5</f>
        <v>18.724999999999998</v>
      </c>
      <c r="Q13" s="76" t="s">
        <v>75</v>
      </c>
      <c r="R13" s="738">
        <v>5650</v>
      </c>
      <c r="S13" s="18">
        <f>+P13*R13</f>
        <v>105796.24999999999</v>
      </c>
      <c r="T13" s="1662">
        <v>28</v>
      </c>
      <c r="U13" s="1663">
        <f>+S13*0.46</f>
        <v>48666.274999999994</v>
      </c>
      <c r="V13" s="18">
        <f>SUM(S13-U13)</f>
        <v>57129.974999999991</v>
      </c>
      <c r="W13" s="18">
        <f>K13+V13</f>
        <v>64617.974999999991</v>
      </c>
      <c r="X13" s="18">
        <f>W13</f>
        <v>64617.974999999991</v>
      </c>
      <c r="Y13" s="18">
        <v>0</v>
      </c>
      <c r="Z13" s="18">
        <f>+X13</f>
        <v>64617.974999999991</v>
      </c>
      <c r="AA13" s="264">
        <v>0.3</v>
      </c>
      <c r="AB13" s="566">
        <f>+Z13*AA13/100</f>
        <v>193.85392499999998</v>
      </c>
      <c r="AC13" s="559"/>
      <c r="AD13" s="559"/>
      <c r="AE13" s="559"/>
      <c r="AF13" s="559"/>
    </row>
    <row r="14" spans="1:32" s="510" customFormat="1" x14ac:dyDescent="0.2">
      <c r="A14" s="15"/>
      <c r="B14" s="21"/>
      <c r="C14" s="21"/>
      <c r="D14" s="15"/>
      <c r="E14" s="15"/>
      <c r="F14" s="15"/>
      <c r="G14" s="15"/>
      <c r="H14" s="22"/>
      <c r="I14" s="23"/>
      <c r="J14" s="24"/>
      <c r="K14" s="23"/>
      <c r="L14" s="15"/>
      <c r="M14" s="15"/>
      <c r="N14" s="15"/>
      <c r="O14" s="15"/>
      <c r="P14" s="22"/>
      <c r="Q14" s="25"/>
      <c r="R14" s="563"/>
      <c r="S14" s="23"/>
      <c r="T14" s="1686"/>
      <c r="U14" s="1687"/>
      <c r="V14" s="23"/>
      <c r="W14" s="23"/>
      <c r="X14" s="564"/>
      <c r="Y14" s="564"/>
      <c r="Z14" s="565"/>
      <c r="AA14" s="565"/>
      <c r="AB14" s="566"/>
      <c r="AC14" s="559"/>
      <c r="AD14" s="559"/>
      <c r="AE14" s="559"/>
      <c r="AF14" s="559"/>
    </row>
    <row r="15" spans="1:32" s="510" customFormat="1" x14ac:dyDescent="0.2">
      <c r="A15" s="15"/>
      <c r="B15" s="21"/>
      <c r="C15" s="21"/>
      <c r="D15" s="15"/>
      <c r="E15" s="15"/>
      <c r="F15" s="15"/>
      <c r="G15" s="15"/>
      <c r="H15" s="22"/>
      <c r="I15" s="23"/>
      <c r="J15" s="24"/>
      <c r="K15" s="23"/>
      <c r="L15" s="15"/>
      <c r="M15" s="15"/>
      <c r="N15" s="15"/>
      <c r="O15" s="15"/>
      <c r="P15" s="22"/>
      <c r="Q15" s="25"/>
      <c r="R15" s="563"/>
      <c r="S15" s="23"/>
      <c r="T15" s="26"/>
      <c r="U15" s="24"/>
      <c r="V15" s="23"/>
      <c r="W15" s="23"/>
      <c r="X15" s="564"/>
      <c r="Y15" s="564"/>
      <c r="Z15" s="565"/>
      <c r="AA15" s="565"/>
      <c r="AB15" s="566"/>
      <c r="AC15" s="559"/>
      <c r="AD15" s="559"/>
      <c r="AE15" s="559"/>
      <c r="AF15" s="559"/>
    </row>
    <row r="16" spans="1:32" s="510" customFormat="1" x14ac:dyDescent="0.2">
      <c r="A16" s="15"/>
      <c r="B16" s="21"/>
      <c r="C16" s="21"/>
      <c r="D16" s="15"/>
      <c r="E16" s="15"/>
      <c r="F16" s="15"/>
      <c r="G16" s="15"/>
      <c r="H16" s="22"/>
      <c r="I16" s="23"/>
      <c r="J16" s="24"/>
      <c r="K16" s="23"/>
      <c r="L16" s="15"/>
      <c r="M16" s="15"/>
      <c r="N16" s="15"/>
      <c r="O16" s="15"/>
      <c r="P16" s="22"/>
      <c r="Q16" s="25"/>
      <c r="R16" s="563"/>
      <c r="S16" s="23"/>
      <c r="T16" s="26"/>
      <c r="U16" s="24"/>
      <c r="V16" s="23"/>
      <c r="W16" s="23"/>
      <c r="X16" s="564"/>
      <c r="Y16" s="564"/>
      <c r="Z16" s="565"/>
      <c r="AA16" s="565"/>
      <c r="AB16" s="566"/>
      <c r="AC16" s="559"/>
      <c r="AD16" s="559"/>
      <c r="AE16" s="559"/>
      <c r="AF16" s="559"/>
    </row>
    <row r="17" spans="1:32" s="510" customFormat="1" x14ac:dyDescent="0.2">
      <c r="A17" s="15"/>
      <c r="B17" s="21"/>
      <c r="C17" s="21"/>
      <c r="D17" s="15"/>
      <c r="E17" s="15"/>
      <c r="F17" s="15"/>
      <c r="G17" s="15"/>
      <c r="H17" s="22"/>
      <c r="I17" s="23"/>
      <c r="J17" s="24"/>
      <c r="K17" s="23"/>
      <c r="L17" s="15"/>
      <c r="M17" s="15"/>
      <c r="N17" s="15"/>
      <c r="O17" s="15"/>
      <c r="P17" s="22"/>
      <c r="Q17" s="25"/>
      <c r="R17" s="563"/>
      <c r="S17" s="23"/>
      <c r="T17" s="26"/>
      <c r="U17" s="24"/>
      <c r="V17" s="23"/>
      <c r="W17" s="23"/>
      <c r="X17" s="564"/>
      <c r="Y17" s="564"/>
      <c r="Z17" s="565"/>
      <c r="AA17" s="565"/>
      <c r="AB17" s="566"/>
      <c r="AC17" s="559"/>
      <c r="AD17" s="559"/>
      <c r="AE17" s="559"/>
      <c r="AF17" s="559"/>
    </row>
    <row r="18" spans="1:32" s="510" customFormat="1" x14ac:dyDescent="0.2">
      <c r="A18" s="15"/>
      <c r="B18" s="21"/>
      <c r="C18" s="21"/>
      <c r="D18" s="15"/>
      <c r="E18" s="15"/>
      <c r="F18" s="15"/>
      <c r="G18" s="15"/>
      <c r="H18" s="22"/>
      <c r="I18" s="23"/>
      <c r="J18" s="24"/>
      <c r="K18" s="23"/>
      <c r="L18" s="15"/>
      <c r="M18" s="15"/>
      <c r="N18" s="15"/>
      <c r="O18" s="15"/>
      <c r="P18" s="22"/>
      <c r="Q18" s="25"/>
      <c r="R18" s="563"/>
      <c r="S18" s="23"/>
      <c r="T18" s="26"/>
      <c r="U18" s="24"/>
      <c r="V18" s="23"/>
      <c r="W18" s="23"/>
      <c r="X18" s="564"/>
      <c r="Y18" s="564"/>
      <c r="Z18" s="565"/>
      <c r="AA18" s="565"/>
      <c r="AB18" s="566"/>
      <c r="AC18" s="559"/>
      <c r="AD18" s="559"/>
      <c r="AE18" s="559"/>
      <c r="AF18" s="559"/>
    </row>
    <row r="19" spans="1:32" s="510" customFormat="1" x14ac:dyDescent="0.2">
      <c r="A19" s="15"/>
      <c r="B19" s="21"/>
      <c r="C19" s="21"/>
      <c r="D19" s="15"/>
      <c r="E19" s="15"/>
      <c r="F19" s="15"/>
      <c r="G19" s="15"/>
      <c r="H19" s="22"/>
      <c r="I19" s="23"/>
      <c r="J19" s="24"/>
      <c r="K19" s="23"/>
      <c r="L19" s="15"/>
      <c r="M19" s="15"/>
      <c r="N19" s="15"/>
      <c r="O19" s="15"/>
      <c r="P19" s="22"/>
      <c r="Q19" s="25"/>
      <c r="R19" s="563"/>
      <c r="S19" s="23"/>
      <c r="T19" s="26"/>
      <c r="U19" s="24"/>
      <c r="V19" s="23"/>
      <c r="W19" s="23"/>
      <c r="X19" s="564"/>
      <c r="Y19" s="564"/>
      <c r="Z19" s="565"/>
      <c r="AA19" s="565"/>
      <c r="AB19" s="566"/>
      <c r="AC19" s="559"/>
      <c r="AD19" s="559"/>
      <c r="AE19" s="559"/>
      <c r="AF19" s="559"/>
    </row>
    <row r="20" spans="1:32" s="510" customFormat="1" x14ac:dyDescent="0.2">
      <c r="A20" s="15"/>
      <c r="B20" s="21"/>
      <c r="C20" s="21"/>
      <c r="D20" s="15"/>
      <c r="E20" s="15"/>
      <c r="F20" s="15"/>
      <c r="G20" s="15"/>
      <c r="H20" s="22"/>
      <c r="I20" s="23"/>
      <c r="J20" s="24"/>
      <c r="K20" s="23"/>
      <c r="L20" s="15"/>
      <c r="M20" s="15"/>
      <c r="N20" s="15"/>
      <c r="O20" s="15"/>
      <c r="P20" s="22"/>
      <c r="Q20" s="25"/>
      <c r="R20" s="563"/>
      <c r="S20" s="23"/>
      <c r="T20" s="26"/>
      <c r="U20" s="24"/>
      <c r="V20" s="23"/>
      <c r="W20" s="23"/>
      <c r="X20" s="564"/>
      <c r="Y20" s="564"/>
      <c r="Z20" s="565"/>
      <c r="AA20" s="565"/>
      <c r="AB20" s="566"/>
      <c r="AC20" s="559"/>
      <c r="AD20" s="559"/>
      <c r="AE20" s="559"/>
      <c r="AF20" s="559"/>
    </row>
    <row r="21" spans="1:32" s="510" customFormat="1" x14ac:dyDescent="0.2">
      <c r="A21" s="15"/>
      <c r="B21" s="21"/>
      <c r="C21" s="21"/>
      <c r="D21" s="15"/>
      <c r="E21" s="15"/>
      <c r="F21" s="15"/>
      <c r="G21" s="15"/>
      <c r="H21" s="22"/>
      <c r="I21" s="23"/>
      <c r="J21" s="24"/>
      <c r="K21" s="23"/>
      <c r="L21" s="15"/>
      <c r="M21" s="15"/>
      <c r="N21" s="15"/>
      <c r="O21" s="15"/>
      <c r="P21" s="22"/>
      <c r="Q21" s="25"/>
      <c r="R21" s="563"/>
      <c r="S21" s="23"/>
      <c r="T21" s="26"/>
      <c r="U21" s="24"/>
      <c r="V21" s="23"/>
      <c r="W21" s="23"/>
      <c r="X21" s="564"/>
      <c r="Y21" s="564"/>
      <c r="Z21" s="565"/>
      <c r="AA21" s="565"/>
      <c r="AB21" s="566"/>
      <c r="AC21" s="559"/>
      <c r="AD21" s="559"/>
      <c r="AE21" s="559"/>
      <c r="AF21" s="559"/>
    </row>
    <row r="22" spans="1:32" s="510" customFormat="1" x14ac:dyDescent="0.2">
      <c r="A22" s="15"/>
      <c r="B22" s="21"/>
      <c r="C22" s="21"/>
      <c r="D22" s="15"/>
      <c r="E22" s="15"/>
      <c r="F22" s="15"/>
      <c r="G22" s="15"/>
      <c r="H22" s="22"/>
      <c r="I22" s="23"/>
      <c r="J22" s="24"/>
      <c r="K22" s="23"/>
      <c r="L22" s="15"/>
      <c r="M22" s="15"/>
      <c r="N22" s="15"/>
      <c r="O22" s="15"/>
      <c r="P22" s="22"/>
      <c r="Q22" s="25"/>
      <c r="R22" s="563"/>
      <c r="S22" s="23"/>
      <c r="T22" s="26"/>
      <c r="U22" s="24"/>
      <c r="V22" s="23"/>
      <c r="W22" s="23"/>
      <c r="X22" s="564"/>
      <c r="Y22" s="564"/>
      <c r="Z22" s="565"/>
      <c r="AA22" s="565"/>
      <c r="AB22" s="566"/>
      <c r="AC22" s="559"/>
      <c r="AD22" s="559"/>
      <c r="AE22" s="559"/>
      <c r="AF22" s="559"/>
    </row>
    <row r="23" spans="1:32" s="510" customFormat="1" x14ac:dyDescent="0.2">
      <c r="A23" s="15"/>
      <c r="B23" s="21"/>
      <c r="C23" s="21"/>
      <c r="D23" s="15"/>
      <c r="E23" s="15"/>
      <c r="F23" s="15"/>
      <c r="G23" s="15"/>
      <c r="H23" s="22"/>
      <c r="I23" s="23"/>
      <c r="J23" s="24"/>
      <c r="K23" s="23"/>
      <c r="L23" s="15"/>
      <c r="M23" s="15"/>
      <c r="N23" s="15"/>
      <c r="O23" s="15"/>
      <c r="P23" s="22"/>
      <c r="Q23" s="25"/>
      <c r="R23" s="563"/>
      <c r="S23" s="23"/>
      <c r="T23" s="26"/>
      <c r="U23" s="24"/>
      <c r="V23" s="23"/>
      <c r="W23" s="23"/>
      <c r="X23" s="564"/>
      <c r="Y23" s="564"/>
      <c r="Z23" s="565"/>
      <c r="AA23" s="565"/>
      <c r="AB23" s="566"/>
      <c r="AC23" s="559"/>
      <c r="AD23" s="559"/>
      <c r="AE23" s="559"/>
      <c r="AF23" s="559"/>
    </row>
    <row r="24" spans="1:32" s="510" customFormat="1" x14ac:dyDescent="0.2">
      <c r="A24" s="15"/>
      <c r="B24" s="21"/>
      <c r="C24" s="21"/>
      <c r="D24" s="15"/>
      <c r="E24" s="15"/>
      <c r="F24" s="15"/>
      <c r="G24" s="15"/>
      <c r="H24" s="22"/>
      <c r="I24" s="23"/>
      <c r="J24" s="24"/>
      <c r="K24" s="23"/>
      <c r="L24" s="15"/>
      <c r="M24" s="15"/>
      <c r="N24" s="15"/>
      <c r="O24" s="15"/>
      <c r="P24" s="22"/>
      <c r="Q24" s="25"/>
      <c r="R24" s="563"/>
      <c r="S24" s="23"/>
      <c r="T24" s="26"/>
      <c r="U24" s="24"/>
      <c r="V24" s="23"/>
      <c r="W24" s="23"/>
      <c r="X24" s="564"/>
      <c r="Y24" s="564"/>
      <c r="Z24" s="565"/>
      <c r="AA24" s="565"/>
      <c r="AB24" s="566"/>
      <c r="AC24" s="559"/>
      <c r="AD24" s="559"/>
      <c r="AE24" s="559"/>
      <c r="AF24" s="559"/>
    </row>
    <row r="25" spans="1:32" s="510" customFormat="1" x14ac:dyDescent="0.2">
      <c r="A25" s="15"/>
      <c r="B25" s="21"/>
      <c r="C25" s="21"/>
      <c r="D25" s="15"/>
      <c r="E25" s="15"/>
      <c r="F25" s="15"/>
      <c r="G25" s="15"/>
      <c r="H25" s="22"/>
      <c r="I25" s="23"/>
      <c r="J25" s="24"/>
      <c r="K25" s="23"/>
      <c r="L25" s="15"/>
      <c r="M25" s="15"/>
      <c r="N25" s="15"/>
      <c r="O25" s="15"/>
      <c r="P25" s="22"/>
      <c r="Q25" s="25"/>
      <c r="R25" s="563"/>
      <c r="S25" s="23"/>
      <c r="T25" s="26"/>
      <c r="U25" s="24"/>
      <c r="V25" s="23"/>
      <c r="W25" s="23"/>
      <c r="X25" s="564"/>
      <c r="Y25" s="564"/>
      <c r="Z25" s="565"/>
      <c r="AA25" s="565"/>
      <c r="AB25" s="566"/>
      <c r="AC25" s="559"/>
      <c r="AD25" s="559"/>
      <c r="AE25" s="559"/>
      <c r="AF25" s="559"/>
    </row>
    <row r="26" spans="1:32" s="510" customFormat="1" x14ac:dyDescent="0.2">
      <c r="A26" s="15"/>
      <c r="B26" s="21"/>
      <c r="C26" s="21"/>
      <c r="D26" s="15"/>
      <c r="E26" s="15"/>
      <c r="F26" s="15"/>
      <c r="G26" s="15"/>
      <c r="H26" s="22"/>
      <c r="I26" s="23"/>
      <c r="J26" s="24"/>
      <c r="K26" s="23"/>
      <c r="L26" s="15"/>
      <c r="M26" s="15"/>
      <c r="N26" s="15"/>
      <c r="O26" s="15"/>
      <c r="P26" s="22"/>
      <c r="Q26" s="25"/>
      <c r="R26" s="563"/>
      <c r="S26" s="23"/>
      <c r="T26" s="26"/>
      <c r="U26" s="24"/>
      <c r="V26" s="23"/>
      <c r="W26" s="23"/>
      <c r="X26" s="564"/>
      <c r="Y26" s="564"/>
      <c r="Z26" s="565"/>
      <c r="AA26" s="565"/>
      <c r="AB26" s="566"/>
      <c r="AC26" s="559"/>
      <c r="AD26" s="559"/>
      <c r="AE26" s="559"/>
      <c r="AF26" s="559"/>
    </row>
    <row r="27" spans="1:32" s="510" customFormat="1" ht="15" x14ac:dyDescent="0.25">
      <c r="A27" s="2027"/>
      <c r="B27" s="2027"/>
      <c r="C27" s="2027"/>
      <c r="D27" s="2027"/>
      <c r="E27" s="2027"/>
      <c r="F27" s="2027"/>
      <c r="G27" s="2027"/>
      <c r="H27" s="2028"/>
      <c r="I27" s="2029"/>
      <c r="J27" s="2030"/>
      <c r="K27" s="2029"/>
      <c r="L27" s="2029"/>
      <c r="M27" s="2029"/>
      <c r="N27" s="2029"/>
      <c r="O27" s="2029"/>
      <c r="P27" s="2029"/>
      <c r="Q27" s="2029"/>
      <c r="R27" s="2031"/>
      <c r="S27" s="2029"/>
      <c r="T27" s="2032"/>
      <c r="U27" s="2030"/>
      <c r="V27" s="2029"/>
      <c r="W27" s="2029"/>
      <c r="X27" s="2033"/>
      <c r="Y27" s="2033"/>
      <c r="Z27" s="2034"/>
      <c r="AA27" s="2034"/>
      <c r="AB27" s="2035">
        <f>SUM(AB10:AB26)</f>
        <v>337.68008499999996</v>
      </c>
      <c r="AC27" s="2036"/>
      <c r="AD27" s="2036"/>
      <c r="AE27" s="2036"/>
      <c r="AF27" s="2036"/>
    </row>
    <row r="28" spans="1:32" s="510" customFormat="1" ht="15.75" x14ac:dyDescent="0.25">
      <c r="A28" s="2820" t="s">
        <v>76</v>
      </c>
      <c r="B28" s="2820"/>
      <c r="C28" s="2821" t="s">
        <v>77</v>
      </c>
      <c r="D28" s="2821"/>
      <c r="E28" s="2821"/>
      <c r="F28" s="2821"/>
      <c r="G28" s="2821"/>
      <c r="H28" s="2821"/>
      <c r="I28" s="577" t="s">
        <v>78</v>
      </c>
      <c r="J28" s="577"/>
      <c r="K28" s="577"/>
      <c r="L28" s="577"/>
      <c r="M28" s="577"/>
      <c r="N28" s="577"/>
      <c r="AB28" s="578"/>
    </row>
    <row r="29" spans="1:32" s="510" customFormat="1" ht="15.75" x14ac:dyDescent="0.25">
      <c r="A29" s="577"/>
      <c r="B29" s="579"/>
      <c r="C29" s="577"/>
      <c r="D29" s="577"/>
      <c r="E29" s="577"/>
      <c r="F29" s="577"/>
      <c r="G29" s="577"/>
      <c r="H29" s="577"/>
      <c r="I29" s="577" t="s">
        <v>79</v>
      </c>
      <c r="J29" s="577"/>
      <c r="K29" s="577"/>
      <c r="L29" s="577"/>
      <c r="M29" s="577"/>
      <c r="N29" s="577"/>
      <c r="AB29" s="578"/>
    </row>
    <row r="30" spans="1:32" s="510" customFormat="1" ht="15.75" x14ac:dyDescent="0.25">
      <c r="A30" s="577"/>
      <c r="B30" s="579"/>
      <c r="C30" s="577"/>
      <c r="D30" s="577"/>
      <c r="E30" s="577"/>
      <c r="F30" s="577"/>
      <c r="G30" s="577"/>
      <c r="H30" s="577"/>
      <c r="I30" s="577" t="s">
        <v>80</v>
      </c>
      <c r="J30" s="577"/>
      <c r="K30" s="577"/>
      <c r="L30" s="577"/>
      <c r="M30" s="577"/>
      <c r="N30" s="577"/>
      <c r="AB30" s="578"/>
    </row>
    <row r="31" spans="1:32" s="510" customFormat="1" ht="15.75" x14ac:dyDescent="0.25">
      <c r="A31" s="577"/>
      <c r="B31" s="579"/>
      <c r="C31" s="577"/>
      <c r="D31" s="577"/>
      <c r="E31" s="577"/>
      <c r="F31" s="577"/>
      <c r="G31" s="577"/>
      <c r="H31" s="577"/>
      <c r="I31" s="577" t="s">
        <v>81</v>
      </c>
      <c r="J31" s="577"/>
      <c r="K31" s="577"/>
      <c r="L31" s="577"/>
      <c r="M31" s="577"/>
      <c r="N31" s="577"/>
      <c r="AB31" s="578"/>
    </row>
    <row r="32" spans="1:32" s="510" customFormat="1" ht="15.75" x14ac:dyDescent="0.25">
      <c r="A32" s="577"/>
      <c r="B32" s="579"/>
      <c r="C32" s="577"/>
      <c r="D32" s="577"/>
      <c r="E32" s="577"/>
      <c r="F32" s="577"/>
      <c r="G32" s="577"/>
      <c r="H32" s="577"/>
      <c r="I32" s="577" t="s">
        <v>88</v>
      </c>
      <c r="J32" s="577"/>
      <c r="K32" s="577"/>
      <c r="L32" s="577"/>
      <c r="M32" s="577"/>
      <c r="N32" s="577"/>
      <c r="AB32" s="578"/>
    </row>
    <row r="33" spans="1:32" s="510" customFormat="1" ht="18.75" x14ac:dyDescent="0.2">
      <c r="A33" s="338"/>
      <c r="B33" s="338"/>
      <c r="C33" s="338"/>
      <c r="D33" s="338"/>
      <c r="E33" s="338"/>
      <c r="F33" s="338"/>
      <c r="G33" s="338"/>
      <c r="H33" s="338"/>
      <c r="I33" s="338"/>
      <c r="J33" s="338"/>
      <c r="K33" s="338"/>
      <c r="L33" s="338"/>
      <c r="M33" s="338"/>
      <c r="N33" s="338"/>
      <c r="O33" s="338"/>
      <c r="P33" s="338"/>
      <c r="Q33" s="338"/>
      <c r="R33" s="338"/>
      <c r="S33" s="338"/>
      <c r="T33" s="338"/>
      <c r="U33" s="338"/>
      <c r="V33" s="338"/>
      <c r="W33" s="338"/>
      <c r="X33" s="338"/>
      <c r="Y33" s="338"/>
      <c r="Z33" s="338"/>
      <c r="AA33" s="2774" t="s">
        <v>0</v>
      </c>
      <c r="AB33" s="2774"/>
      <c r="AC33" s="338"/>
      <c r="AD33" s="338"/>
      <c r="AE33" s="338"/>
      <c r="AF33" s="338"/>
    </row>
    <row r="34" spans="1:32" s="510" customFormat="1" ht="18.75" x14ac:dyDescent="0.2">
      <c r="A34" s="2703" t="s">
        <v>1</v>
      </c>
      <c r="B34" s="2703"/>
      <c r="C34" s="2703"/>
      <c r="D34" s="2703"/>
      <c r="E34" s="2703"/>
      <c r="F34" s="2703"/>
      <c r="G34" s="2703"/>
      <c r="H34" s="2703"/>
      <c r="I34" s="2703"/>
      <c r="J34" s="2703"/>
      <c r="K34" s="2703"/>
      <c r="L34" s="2703"/>
      <c r="M34" s="2703"/>
      <c r="N34" s="2703"/>
      <c r="O34" s="2703"/>
      <c r="P34" s="2703"/>
      <c r="Q34" s="2703"/>
      <c r="R34" s="2703"/>
      <c r="S34" s="2703"/>
      <c r="T34" s="2703"/>
      <c r="U34" s="2703"/>
      <c r="V34" s="2703"/>
      <c r="W34" s="2703"/>
      <c r="X34" s="2703"/>
      <c r="Y34" s="2703"/>
      <c r="Z34" s="2703"/>
      <c r="AA34" s="2703"/>
      <c r="AB34" s="2703"/>
      <c r="AC34" s="344"/>
      <c r="AD34" s="344"/>
      <c r="AE34" s="344"/>
      <c r="AF34" s="344"/>
    </row>
    <row r="35" spans="1:32" s="510" customFormat="1" ht="21" x14ac:dyDescent="0.2">
      <c r="A35" s="2780" t="s">
        <v>518</v>
      </c>
      <c r="B35" s="2780"/>
      <c r="C35" s="2780"/>
      <c r="D35" s="2780"/>
      <c r="E35" s="2780"/>
      <c r="F35" s="2780"/>
      <c r="G35" s="2780"/>
      <c r="H35" s="2780"/>
      <c r="I35" s="2780"/>
      <c r="J35" s="2780"/>
      <c r="K35" s="2780"/>
      <c r="L35" s="2780"/>
      <c r="M35" s="2780"/>
      <c r="N35" s="2780"/>
      <c r="O35" s="2780"/>
      <c r="P35" s="2780"/>
      <c r="Q35" s="2780"/>
      <c r="R35" s="2780"/>
      <c r="S35" s="2780"/>
      <c r="T35" s="2780"/>
      <c r="U35" s="2780"/>
      <c r="V35" s="2780"/>
      <c r="W35" s="2780"/>
      <c r="X35" s="2780"/>
      <c r="Y35" s="2780"/>
      <c r="Z35" s="2780"/>
      <c r="AA35" s="2780"/>
      <c r="AB35" s="2780"/>
      <c r="AC35" s="345"/>
      <c r="AD35" s="345"/>
      <c r="AE35" s="345"/>
      <c r="AF35" s="345"/>
    </row>
    <row r="36" spans="1:32" s="510" customFormat="1" ht="15" x14ac:dyDescent="0.25">
      <c r="A36" s="2686" t="s">
        <v>2</v>
      </c>
      <c r="B36" s="511"/>
      <c r="C36" s="2686" t="s">
        <v>3</v>
      </c>
      <c r="D36" s="511"/>
      <c r="E36" s="511"/>
      <c r="F36" s="2693" t="s">
        <v>4</v>
      </c>
      <c r="G36" s="2693"/>
      <c r="H36" s="2693"/>
      <c r="I36" s="2694"/>
      <c r="J36" s="2694"/>
      <c r="K36" s="2695"/>
      <c r="L36" s="361"/>
      <c r="M36" s="2679" t="s">
        <v>5</v>
      </c>
      <c r="N36" s="2679"/>
      <c r="O36" s="2679"/>
      <c r="P36" s="2679"/>
      <c r="Q36" s="2696"/>
      <c r="R36" s="2696"/>
      <c r="S36" s="2696"/>
      <c r="T36" s="2696"/>
      <c r="U36" s="2696"/>
      <c r="V36" s="2697"/>
      <c r="W36" s="512" t="s">
        <v>6</v>
      </c>
      <c r="X36" s="513" t="s">
        <v>7</v>
      </c>
      <c r="Y36" s="514"/>
      <c r="Z36" s="514"/>
      <c r="AA36" s="513"/>
      <c r="AB36" s="515"/>
      <c r="AC36" s="516" t="s">
        <v>8</v>
      </c>
      <c r="AD36" s="346"/>
      <c r="AE36" s="346"/>
      <c r="AF36" s="517"/>
    </row>
    <row r="37" spans="1:32" s="510" customFormat="1" x14ac:dyDescent="0.2">
      <c r="A37" s="2687"/>
      <c r="B37" s="367"/>
      <c r="C37" s="2687"/>
      <c r="D37" s="518" t="s">
        <v>9</v>
      </c>
      <c r="E37" s="519" t="s">
        <v>10</v>
      </c>
      <c r="F37" s="2698" t="s">
        <v>11</v>
      </c>
      <c r="G37" s="2694"/>
      <c r="H37" s="2695"/>
      <c r="I37" s="511"/>
      <c r="J37" s="520" t="s">
        <v>12</v>
      </c>
      <c r="K37" s="511"/>
      <c r="L37" s="2679" t="s">
        <v>2</v>
      </c>
      <c r="M37" s="521"/>
      <c r="N37" s="521"/>
      <c r="O37" s="521"/>
      <c r="P37" s="522"/>
      <c r="Q37" s="523" t="s">
        <v>13</v>
      </c>
      <c r="R37" s="524" t="s">
        <v>12</v>
      </c>
      <c r="S37" s="521" t="s">
        <v>6</v>
      </c>
      <c r="T37" s="2682" t="s">
        <v>14</v>
      </c>
      <c r="U37" s="2683"/>
      <c r="V37" s="525" t="s">
        <v>7</v>
      </c>
      <c r="W37" s="526" t="s">
        <v>15</v>
      </c>
      <c r="X37" s="527" t="s">
        <v>16</v>
      </c>
      <c r="Y37" s="527" t="s">
        <v>17</v>
      </c>
      <c r="Z37" s="527" t="s">
        <v>18</v>
      </c>
      <c r="AA37" s="377"/>
      <c r="AB37" s="378" t="s">
        <v>19</v>
      </c>
      <c r="AC37" s="528" t="s">
        <v>20</v>
      </c>
      <c r="AD37" s="529"/>
      <c r="AE37" s="347" t="s">
        <v>21</v>
      </c>
      <c r="AF37" s="340" t="s">
        <v>22</v>
      </c>
    </row>
    <row r="38" spans="1:32" s="510" customFormat="1" x14ac:dyDescent="0.2">
      <c r="A38" s="2687"/>
      <c r="B38" s="1996" t="s">
        <v>23</v>
      </c>
      <c r="C38" s="2687"/>
      <c r="D38" s="518" t="s">
        <v>24</v>
      </c>
      <c r="E38" s="519" t="s">
        <v>25</v>
      </c>
      <c r="F38" s="2699"/>
      <c r="G38" s="2700"/>
      <c r="H38" s="2701"/>
      <c r="I38" s="518" t="s">
        <v>26</v>
      </c>
      <c r="J38" s="530" t="s">
        <v>15</v>
      </c>
      <c r="K38" s="531" t="s">
        <v>6</v>
      </c>
      <c r="L38" s="2680"/>
      <c r="M38" s="532" t="s">
        <v>27</v>
      </c>
      <c r="N38" s="532" t="s">
        <v>10</v>
      </c>
      <c r="O38" s="533" t="s">
        <v>10</v>
      </c>
      <c r="P38" s="534" t="s">
        <v>28</v>
      </c>
      <c r="Q38" s="535" t="s">
        <v>29</v>
      </c>
      <c r="R38" s="534" t="s">
        <v>15</v>
      </c>
      <c r="S38" s="385" t="s">
        <v>15</v>
      </c>
      <c r="T38" s="2684"/>
      <c r="U38" s="2685"/>
      <c r="V38" s="525" t="s">
        <v>30</v>
      </c>
      <c r="W38" s="526" t="s">
        <v>31</v>
      </c>
      <c r="X38" s="527" t="s">
        <v>30</v>
      </c>
      <c r="Y38" s="527" t="s">
        <v>32</v>
      </c>
      <c r="Z38" s="527" t="s">
        <v>7</v>
      </c>
      <c r="AA38" s="377" t="s">
        <v>33</v>
      </c>
      <c r="AB38" s="378" t="s">
        <v>34</v>
      </c>
      <c r="AC38" s="528" t="s">
        <v>35</v>
      </c>
      <c r="AD38" s="347" t="s">
        <v>36</v>
      </c>
      <c r="AE38" s="347" t="s">
        <v>37</v>
      </c>
      <c r="AF38" s="340" t="s">
        <v>38</v>
      </c>
    </row>
    <row r="39" spans="1:32" s="510" customFormat="1" x14ac:dyDescent="0.2">
      <c r="A39" s="2687"/>
      <c r="B39" s="1996" t="s">
        <v>39</v>
      </c>
      <c r="C39" s="2687"/>
      <c r="D39" s="518" t="s">
        <v>40</v>
      </c>
      <c r="E39" s="519" t="s">
        <v>41</v>
      </c>
      <c r="F39" s="2686" t="s">
        <v>42</v>
      </c>
      <c r="G39" s="2686" t="s">
        <v>43</v>
      </c>
      <c r="H39" s="2688" t="s">
        <v>44</v>
      </c>
      <c r="I39" s="518" t="s">
        <v>45</v>
      </c>
      <c r="J39" s="530" t="s">
        <v>46</v>
      </c>
      <c r="K39" s="531" t="s">
        <v>47</v>
      </c>
      <c r="L39" s="2680"/>
      <c r="M39" s="532" t="s">
        <v>30</v>
      </c>
      <c r="N39" s="532" t="s">
        <v>30</v>
      </c>
      <c r="O39" s="533" t="s">
        <v>25</v>
      </c>
      <c r="P39" s="534" t="s">
        <v>30</v>
      </c>
      <c r="Q39" s="535" t="s">
        <v>48</v>
      </c>
      <c r="R39" s="534" t="s">
        <v>49</v>
      </c>
      <c r="S39" s="385" t="s">
        <v>30</v>
      </c>
      <c r="T39" s="536" t="s">
        <v>50</v>
      </c>
      <c r="U39" s="537" t="s">
        <v>13</v>
      </c>
      <c r="V39" s="525" t="s">
        <v>51</v>
      </c>
      <c r="W39" s="526" t="s">
        <v>52</v>
      </c>
      <c r="X39" s="527" t="s">
        <v>53</v>
      </c>
      <c r="Y39" s="527" t="s">
        <v>54</v>
      </c>
      <c r="Z39" s="527" t="s">
        <v>55</v>
      </c>
      <c r="AA39" s="377" t="s">
        <v>56</v>
      </c>
      <c r="AB39" s="378" t="s">
        <v>57</v>
      </c>
      <c r="AC39" s="347" t="s">
        <v>58</v>
      </c>
      <c r="AD39" s="347" t="s">
        <v>59</v>
      </c>
      <c r="AE39" s="347" t="s">
        <v>59</v>
      </c>
      <c r="AF39" s="340" t="s">
        <v>60</v>
      </c>
    </row>
    <row r="40" spans="1:32" s="510" customFormat="1" ht="15" x14ac:dyDescent="0.25">
      <c r="A40" s="2687"/>
      <c r="B40" s="1996" t="s">
        <v>61</v>
      </c>
      <c r="C40" s="2687"/>
      <c r="D40" s="518" t="s">
        <v>62</v>
      </c>
      <c r="E40" s="519" t="s">
        <v>63</v>
      </c>
      <c r="F40" s="2687"/>
      <c r="G40" s="2687"/>
      <c r="H40" s="2689"/>
      <c r="I40" s="518" t="s">
        <v>64</v>
      </c>
      <c r="J40" s="530" t="s">
        <v>59</v>
      </c>
      <c r="K40" s="531" t="s">
        <v>59</v>
      </c>
      <c r="L40" s="2680"/>
      <c r="M40" s="532"/>
      <c r="N40" s="532"/>
      <c r="O40" s="533" t="s">
        <v>41</v>
      </c>
      <c r="P40" s="534" t="s">
        <v>65</v>
      </c>
      <c r="Q40" s="535" t="s">
        <v>66</v>
      </c>
      <c r="R40" s="534" t="s">
        <v>67</v>
      </c>
      <c r="S40" s="385" t="s">
        <v>59</v>
      </c>
      <c r="T40" s="538" t="s">
        <v>68</v>
      </c>
      <c r="U40" s="525" t="s">
        <v>14</v>
      </c>
      <c r="V40" s="525" t="s">
        <v>14</v>
      </c>
      <c r="W40" s="526" t="s">
        <v>30</v>
      </c>
      <c r="X40" s="539" t="s">
        <v>69</v>
      </c>
      <c r="Y40" s="539" t="s">
        <v>70</v>
      </c>
      <c r="Z40" s="527" t="s">
        <v>71</v>
      </c>
      <c r="AA40" s="377" t="s">
        <v>72</v>
      </c>
      <c r="AB40" s="540" t="s">
        <v>59</v>
      </c>
      <c r="AC40" s="347" t="s">
        <v>59</v>
      </c>
      <c r="AD40" s="347"/>
      <c r="AE40" s="347"/>
      <c r="AF40" s="340" t="s">
        <v>59</v>
      </c>
    </row>
    <row r="41" spans="1:32" s="510" customFormat="1" x14ac:dyDescent="0.2">
      <c r="A41" s="2692"/>
      <c r="B41" s="390"/>
      <c r="C41" s="2692"/>
      <c r="D41" s="541"/>
      <c r="E41" s="542"/>
      <c r="F41" s="390"/>
      <c r="G41" s="390"/>
      <c r="H41" s="391"/>
      <c r="I41" s="542"/>
      <c r="J41" s="543"/>
      <c r="K41" s="544"/>
      <c r="L41" s="2681"/>
      <c r="M41" s="545"/>
      <c r="N41" s="545"/>
      <c r="O41" s="545" t="s">
        <v>63</v>
      </c>
      <c r="P41" s="546"/>
      <c r="Q41" s="547" t="s">
        <v>72</v>
      </c>
      <c r="R41" s="548" t="s">
        <v>59</v>
      </c>
      <c r="S41" s="549"/>
      <c r="T41" s="548" t="s">
        <v>73</v>
      </c>
      <c r="U41" s="549" t="s">
        <v>59</v>
      </c>
      <c r="V41" s="550" t="s">
        <v>59</v>
      </c>
      <c r="W41" s="551" t="s">
        <v>59</v>
      </c>
      <c r="X41" s="552" t="s">
        <v>59</v>
      </c>
      <c r="Y41" s="552" t="s">
        <v>59</v>
      </c>
      <c r="Z41" s="552" t="s">
        <v>59</v>
      </c>
      <c r="AA41" s="402"/>
      <c r="AB41" s="403"/>
      <c r="AC41" s="348"/>
      <c r="AD41" s="348"/>
      <c r="AE41" s="348"/>
      <c r="AF41" s="341"/>
    </row>
    <row r="42" spans="1:32" s="510" customFormat="1" ht="15" x14ac:dyDescent="0.25">
      <c r="A42" s="16">
        <v>1</v>
      </c>
      <c r="B42" s="333">
        <v>46284</v>
      </c>
      <c r="C42" s="41">
        <v>1383</v>
      </c>
      <c r="D42" s="41" t="s">
        <v>238</v>
      </c>
      <c r="E42" s="41">
        <v>1</v>
      </c>
      <c r="F42" s="41">
        <v>1</v>
      </c>
      <c r="G42" s="41">
        <v>0</v>
      </c>
      <c r="H42" s="267">
        <v>14.3</v>
      </c>
      <c r="I42" s="44">
        <f>F42*400+G42*100+H42</f>
        <v>414.3</v>
      </c>
      <c r="J42" s="42">
        <v>280</v>
      </c>
      <c r="K42" s="46">
        <f>SUM(I42*J42)</f>
        <v>116004</v>
      </c>
      <c r="L42" s="16"/>
      <c r="M42" s="82"/>
      <c r="N42" s="41"/>
      <c r="O42" s="16"/>
      <c r="P42" s="41"/>
      <c r="Q42" s="14"/>
      <c r="R42" s="553"/>
      <c r="S42" s="44"/>
      <c r="T42" s="57"/>
      <c r="U42" s="44"/>
      <c r="V42" s="44"/>
      <c r="W42" s="44">
        <f t="shared" ref="W42:W47" si="1">+K42</f>
        <v>116004</v>
      </c>
      <c r="X42" s="44">
        <f>+W42</f>
        <v>116004</v>
      </c>
      <c r="Y42" s="44" t="s">
        <v>87</v>
      </c>
      <c r="Z42" s="42">
        <v>0</v>
      </c>
      <c r="AA42" s="264">
        <v>0.01</v>
      </c>
      <c r="AB42" s="554">
        <f t="shared" ref="AB42:AB48" si="2">+Z42*AA42/100</f>
        <v>0</v>
      </c>
      <c r="AC42" s="754"/>
      <c r="AD42" s="576">
        <f>AB42-AC42</f>
        <v>0</v>
      </c>
      <c r="AE42" s="576">
        <f>IF(AD42&lt;=0,0,AD42*25/100)</f>
        <v>0</v>
      </c>
      <c r="AF42" s="576">
        <f>IF(AC42+AE42&gt;AB42,AB42,AC42+AE42)</f>
        <v>0</v>
      </c>
    </row>
    <row r="43" spans="1:32" s="510" customFormat="1" ht="15" x14ac:dyDescent="0.25">
      <c r="A43" s="45">
        <v>2</v>
      </c>
      <c r="B43" s="273">
        <v>46151</v>
      </c>
      <c r="C43" s="27">
        <v>1378</v>
      </c>
      <c r="D43" s="27" t="s">
        <v>238</v>
      </c>
      <c r="E43" s="27">
        <v>1</v>
      </c>
      <c r="F43" s="27">
        <v>1</v>
      </c>
      <c r="G43" s="27">
        <v>0</v>
      </c>
      <c r="H43" s="557">
        <v>14.3</v>
      </c>
      <c r="I43" s="47">
        <f t="shared" ref="I43:I48" si="3">F43*400+G43*100+H43</f>
        <v>414.3</v>
      </c>
      <c r="J43" s="30">
        <v>280</v>
      </c>
      <c r="K43" s="48">
        <f t="shared" ref="K43:K48" si="4">SUM(I43*J43)</f>
        <v>116004</v>
      </c>
      <c r="L43" s="45"/>
      <c r="M43" s="88"/>
      <c r="N43" s="27"/>
      <c r="O43" s="45"/>
      <c r="P43" s="27"/>
      <c r="Q43" s="32"/>
      <c r="R43" s="260"/>
      <c r="S43" s="18"/>
      <c r="T43" s="59"/>
      <c r="U43" s="18"/>
      <c r="V43" s="18"/>
      <c r="W43" s="18">
        <f t="shared" si="1"/>
        <v>116004</v>
      </c>
      <c r="X43" s="18">
        <f t="shared" ref="X43:X48" si="5">+W43</f>
        <v>116004</v>
      </c>
      <c r="Y43" s="18" t="s">
        <v>87</v>
      </c>
      <c r="Z43" s="18">
        <v>0</v>
      </c>
      <c r="AA43" s="264">
        <v>0.01</v>
      </c>
      <c r="AB43" s="558">
        <f t="shared" si="2"/>
        <v>0</v>
      </c>
      <c r="AC43" s="754"/>
      <c r="AD43" s="576">
        <f>AB43-AC43</f>
        <v>0</v>
      </c>
      <c r="AE43" s="576">
        <f>IF(AD43&lt;=0,0,AD43*25/100)</f>
        <v>0</v>
      </c>
      <c r="AF43" s="576">
        <f>IF(AC43+AE43&gt;AB43,AB43,AC43+AE43)</f>
        <v>0</v>
      </c>
    </row>
    <row r="44" spans="1:32" s="510" customFormat="1" ht="15" x14ac:dyDescent="0.25">
      <c r="A44" s="45">
        <v>3</v>
      </c>
      <c r="B44" s="273">
        <v>20797</v>
      </c>
      <c r="C44" s="27">
        <v>637</v>
      </c>
      <c r="D44" s="27" t="s">
        <v>238</v>
      </c>
      <c r="E44" s="27">
        <v>1</v>
      </c>
      <c r="F44" s="27">
        <v>3</v>
      </c>
      <c r="G44" s="27">
        <v>0</v>
      </c>
      <c r="H44" s="557">
        <v>21</v>
      </c>
      <c r="I44" s="47">
        <f t="shared" si="3"/>
        <v>1221</v>
      </c>
      <c r="J44" s="30">
        <v>280</v>
      </c>
      <c r="K44" s="48">
        <f t="shared" si="4"/>
        <v>341880</v>
      </c>
      <c r="L44" s="45"/>
      <c r="M44" s="88"/>
      <c r="N44" s="27"/>
      <c r="O44" s="45"/>
      <c r="P44" s="27"/>
      <c r="Q44" s="32"/>
      <c r="R44" s="260"/>
      <c r="S44" s="18"/>
      <c r="T44" s="20"/>
      <c r="U44" s="47"/>
      <c r="V44" s="47"/>
      <c r="W44" s="18">
        <f t="shared" si="1"/>
        <v>341880</v>
      </c>
      <c r="X44" s="47">
        <f t="shared" si="5"/>
        <v>341880</v>
      </c>
      <c r="Y44" s="18" t="s">
        <v>87</v>
      </c>
      <c r="Z44" s="18">
        <v>0</v>
      </c>
      <c r="AA44" s="264">
        <v>0.01</v>
      </c>
      <c r="AB44" s="558">
        <f t="shared" si="2"/>
        <v>0</v>
      </c>
      <c r="AC44" s="559"/>
      <c r="AD44" s="576"/>
      <c r="AE44" s="576"/>
      <c r="AF44" s="576"/>
    </row>
    <row r="45" spans="1:32" s="510" customFormat="1" ht="15" x14ac:dyDescent="0.25">
      <c r="A45" s="45">
        <v>4</v>
      </c>
      <c r="B45" s="287">
        <v>34164</v>
      </c>
      <c r="C45" s="15">
        <v>1047</v>
      </c>
      <c r="D45" s="15" t="s">
        <v>238</v>
      </c>
      <c r="E45" s="15">
        <v>1</v>
      </c>
      <c r="F45" s="15">
        <v>1</v>
      </c>
      <c r="G45" s="15">
        <v>0</v>
      </c>
      <c r="H45" s="284">
        <v>0</v>
      </c>
      <c r="I45" s="18">
        <f t="shared" si="3"/>
        <v>400</v>
      </c>
      <c r="J45" s="23">
        <v>280</v>
      </c>
      <c r="K45" s="39">
        <f t="shared" si="4"/>
        <v>112000</v>
      </c>
      <c r="L45" s="50"/>
      <c r="M45" s="88"/>
      <c r="N45" s="27"/>
      <c r="O45" s="45"/>
      <c r="P45" s="27"/>
      <c r="Q45" s="62"/>
      <c r="R45" s="561"/>
      <c r="S45" s="18"/>
      <c r="T45" s="20"/>
      <c r="U45" s="47"/>
      <c r="V45" s="47"/>
      <c r="W45" s="18">
        <f t="shared" si="1"/>
        <v>112000</v>
      </c>
      <c r="X45" s="47">
        <f t="shared" si="5"/>
        <v>112000</v>
      </c>
      <c r="Y45" s="18" t="s">
        <v>87</v>
      </c>
      <c r="Z45" s="18">
        <v>0</v>
      </c>
      <c r="AA45" s="264">
        <v>0.01</v>
      </c>
      <c r="AB45" s="558">
        <f t="shared" si="2"/>
        <v>0</v>
      </c>
      <c r="AC45" s="559"/>
      <c r="AD45" s="576"/>
      <c r="AE45" s="576"/>
      <c r="AF45" s="576"/>
    </row>
    <row r="46" spans="1:32" s="510" customFormat="1" ht="15" x14ac:dyDescent="0.25">
      <c r="A46" s="45">
        <v>5</v>
      </c>
      <c r="B46" s="287">
        <v>43907</v>
      </c>
      <c r="C46" s="15">
        <v>1650</v>
      </c>
      <c r="D46" s="15" t="s">
        <v>238</v>
      </c>
      <c r="E46" s="15">
        <v>1</v>
      </c>
      <c r="F46" s="15">
        <v>2</v>
      </c>
      <c r="G46" s="15">
        <v>0</v>
      </c>
      <c r="H46" s="284">
        <v>0</v>
      </c>
      <c r="I46" s="18">
        <f t="shared" si="3"/>
        <v>800</v>
      </c>
      <c r="J46" s="23">
        <v>280</v>
      </c>
      <c r="K46" s="39">
        <f t="shared" si="4"/>
        <v>224000</v>
      </c>
      <c r="L46" s="50"/>
      <c r="M46" s="88"/>
      <c r="N46" s="27"/>
      <c r="O46" s="45"/>
      <c r="P46" s="27"/>
      <c r="Q46" s="62"/>
      <c r="R46" s="561"/>
      <c r="S46" s="18"/>
      <c r="T46" s="20"/>
      <c r="U46" s="47"/>
      <c r="V46" s="47"/>
      <c r="W46" s="18">
        <f t="shared" si="1"/>
        <v>224000</v>
      </c>
      <c r="X46" s="47">
        <f t="shared" si="5"/>
        <v>224000</v>
      </c>
      <c r="Y46" s="18" t="s">
        <v>87</v>
      </c>
      <c r="Z46" s="18">
        <v>0</v>
      </c>
      <c r="AA46" s="264">
        <v>0.01</v>
      </c>
      <c r="AB46" s="558">
        <f t="shared" si="2"/>
        <v>0</v>
      </c>
      <c r="AC46" s="559"/>
      <c r="AD46" s="576"/>
      <c r="AE46" s="576"/>
      <c r="AF46" s="576"/>
    </row>
    <row r="47" spans="1:32" s="510" customFormat="1" ht="15" x14ac:dyDescent="0.25">
      <c r="A47" s="45">
        <v>6</v>
      </c>
      <c r="B47" s="287">
        <v>2491</v>
      </c>
      <c r="C47" s="15">
        <v>481</v>
      </c>
      <c r="D47" s="15" t="s">
        <v>238</v>
      </c>
      <c r="E47" s="15">
        <v>1</v>
      </c>
      <c r="F47" s="15">
        <v>5</v>
      </c>
      <c r="G47" s="15">
        <v>2</v>
      </c>
      <c r="H47" s="284">
        <v>25.9</v>
      </c>
      <c r="I47" s="18">
        <f t="shared" si="3"/>
        <v>2225.9</v>
      </c>
      <c r="J47" s="23">
        <v>280</v>
      </c>
      <c r="K47" s="39">
        <f t="shared" si="4"/>
        <v>623252</v>
      </c>
      <c r="L47" s="50"/>
      <c r="M47" s="88"/>
      <c r="N47" s="27"/>
      <c r="O47" s="45"/>
      <c r="P47" s="27"/>
      <c r="Q47" s="62"/>
      <c r="R47" s="561"/>
      <c r="S47" s="18"/>
      <c r="T47" s="20"/>
      <c r="U47" s="47"/>
      <c r="V47" s="47"/>
      <c r="W47" s="18">
        <f t="shared" si="1"/>
        <v>623252</v>
      </c>
      <c r="X47" s="47">
        <f t="shared" si="5"/>
        <v>623252</v>
      </c>
      <c r="Y47" s="18" t="s">
        <v>87</v>
      </c>
      <c r="Z47" s="18">
        <v>0</v>
      </c>
      <c r="AA47" s="264">
        <v>0.01</v>
      </c>
      <c r="AB47" s="558">
        <f t="shared" si="2"/>
        <v>0</v>
      </c>
      <c r="AC47" s="559"/>
      <c r="AD47" s="576"/>
      <c r="AE47" s="576"/>
      <c r="AF47" s="576"/>
    </row>
    <row r="48" spans="1:32" s="510" customFormat="1" ht="15" x14ac:dyDescent="0.25">
      <c r="A48" s="45">
        <v>7</v>
      </c>
      <c r="B48" s="287">
        <v>39321</v>
      </c>
      <c r="C48" s="15">
        <v>1176</v>
      </c>
      <c r="D48" s="15" t="s">
        <v>238</v>
      </c>
      <c r="E48" s="15">
        <v>2</v>
      </c>
      <c r="F48" s="15">
        <v>0</v>
      </c>
      <c r="G48" s="15">
        <v>2</v>
      </c>
      <c r="H48" s="284">
        <v>67</v>
      </c>
      <c r="I48" s="18">
        <f t="shared" si="3"/>
        <v>267</v>
      </c>
      <c r="J48" s="23">
        <v>1600</v>
      </c>
      <c r="K48" s="39">
        <f t="shared" si="4"/>
        <v>427200</v>
      </c>
      <c r="L48" s="50">
        <v>1</v>
      </c>
      <c r="M48" s="88">
        <v>401</v>
      </c>
      <c r="N48" s="27" t="s">
        <v>74</v>
      </c>
      <c r="O48" s="45">
        <v>2</v>
      </c>
      <c r="P48" s="27">
        <f>17.58*3.95</f>
        <v>69.441000000000003</v>
      </c>
      <c r="Q48" s="62" t="s">
        <v>75</v>
      </c>
      <c r="R48" s="561">
        <v>8000</v>
      </c>
      <c r="S48" s="18">
        <f>+P48*R48</f>
        <v>555528</v>
      </c>
      <c r="T48" s="1469">
        <v>8</v>
      </c>
      <c r="U48" s="1664">
        <f>+S48*0.08</f>
        <v>44442.239999999998</v>
      </c>
      <c r="V48" s="47">
        <f>+S48-U48</f>
        <v>511085.76</v>
      </c>
      <c r="W48" s="18">
        <f>+K48+V48</f>
        <v>938285.76</v>
      </c>
      <c r="X48" s="47">
        <f t="shared" si="5"/>
        <v>938285.76</v>
      </c>
      <c r="Y48" s="18"/>
      <c r="Z48" s="18">
        <f>+X48</f>
        <v>938285.76</v>
      </c>
      <c r="AA48" s="264">
        <v>0.02</v>
      </c>
      <c r="AB48" s="558">
        <f t="shared" si="2"/>
        <v>187.65715200000002</v>
      </c>
      <c r="AC48" s="559"/>
      <c r="AD48" s="559"/>
      <c r="AE48" s="559"/>
      <c r="AF48" s="559"/>
    </row>
    <row r="49" spans="1:32" s="510" customFormat="1" x14ac:dyDescent="0.2">
      <c r="A49" s="15"/>
      <c r="B49" s="21"/>
      <c r="C49" s="21"/>
      <c r="D49" s="15"/>
      <c r="E49" s="15"/>
      <c r="F49" s="15"/>
      <c r="G49" s="15"/>
      <c r="H49" s="22"/>
      <c r="I49" s="23"/>
      <c r="J49" s="24"/>
      <c r="K49" s="23"/>
      <c r="L49" s="15"/>
      <c r="M49" s="15"/>
      <c r="N49" s="15"/>
      <c r="O49" s="15"/>
      <c r="P49" s="22"/>
      <c r="Q49" s="25"/>
      <c r="R49" s="563"/>
      <c r="S49" s="23"/>
      <c r="T49" s="26"/>
      <c r="U49" s="24"/>
      <c r="V49" s="23"/>
      <c r="W49" s="23"/>
      <c r="X49" s="564"/>
      <c r="Y49" s="564"/>
      <c r="Z49" s="565"/>
      <c r="AA49" s="565"/>
      <c r="AB49" s="566"/>
      <c r="AC49" s="559"/>
      <c r="AD49" s="559"/>
      <c r="AE49" s="559"/>
      <c r="AF49" s="559"/>
    </row>
    <row r="50" spans="1:32" s="510" customFormat="1" x14ac:dyDescent="0.2">
      <c r="A50" s="15"/>
      <c r="B50" s="21"/>
      <c r="C50" s="21"/>
      <c r="D50" s="15"/>
      <c r="E50" s="15"/>
      <c r="F50" s="15"/>
      <c r="G50" s="15"/>
      <c r="H50" s="22"/>
      <c r="I50" s="23"/>
      <c r="J50" s="24"/>
      <c r="K50" s="23"/>
      <c r="L50" s="15"/>
      <c r="M50" s="15"/>
      <c r="N50" s="15"/>
      <c r="O50" s="15"/>
      <c r="P50" s="22"/>
      <c r="Q50" s="25"/>
      <c r="R50" s="563"/>
      <c r="S50" s="23"/>
      <c r="T50" s="26"/>
      <c r="U50" s="24"/>
      <c r="V50" s="23"/>
      <c r="W50" s="23"/>
      <c r="X50" s="564"/>
      <c r="Y50" s="564"/>
      <c r="Z50" s="565"/>
      <c r="AA50" s="565"/>
      <c r="AB50" s="566"/>
      <c r="AC50" s="559"/>
      <c r="AD50" s="559"/>
      <c r="AE50" s="559"/>
      <c r="AF50" s="559"/>
    </row>
    <row r="51" spans="1:32" s="510" customFormat="1" x14ac:dyDescent="0.2">
      <c r="A51" s="15"/>
      <c r="B51" s="21"/>
      <c r="C51" s="21"/>
      <c r="D51" s="15"/>
      <c r="E51" s="15"/>
      <c r="F51" s="15"/>
      <c r="G51" s="15"/>
      <c r="H51" s="22"/>
      <c r="I51" s="23"/>
      <c r="J51" s="24"/>
      <c r="K51" s="23"/>
      <c r="L51" s="15"/>
      <c r="M51" s="15"/>
      <c r="N51" s="15"/>
      <c r="O51" s="15"/>
      <c r="P51" s="22"/>
      <c r="Q51" s="25"/>
      <c r="R51" s="563"/>
      <c r="S51" s="23"/>
      <c r="T51" s="26"/>
      <c r="U51" s="24"/>
      <c r="V51" s="23"/>
      <c r="W51" s="23"/>
      <c r="X51" s="564"/>
      <c r="Y51" s="564"/>
      <c r="Z51" s="565"/>
      <c r="AA51" s="565"/>
      <c r="AB51" s="566"/>
      <c r="AC51" s="559"/>
      <c r="AD51" s="559"/>
      <c r="AE51" s="559"/>
      <c r="AF51" s="559"/>
    </row>
    <row r="52" spans="1:32" s="510" customFormat="1" x14ac:dyDescent="0.2">
      <c r="A52" s="15"/>
      <c r="B52" s="21"/>
      <c r="C52" s="21"/>
      <c r="D52" s="15"/>
      <c r="E52" s="15"/>
      <c r="F52" s="15"/>
      <c r="G52" s="15"/>
      <c r="H52" s="22"/>
      <c r="I52" s="23"/>
      <c r="J52" s="24"/>
      <c r="K52" s="23"/>
      <c r="L52" s="15"/>
      <c r="M52" s="15"/>
      <c r="N52" s="15"/>
      <c r="O52" s="15"/>
      <c r="P52" s="22"/>
      <c r="Q52" s="25"/>
      <c r="R52" s="563"/>
      <c r="S52" s="23"/>
      <c r="T52" s="26"/>
      <c r="U52" s="24"/>
      <c r="V52" s="23"/>
      <c r="W52" s="23"/>
      <c r="X52" s="564"/>
      <c r="Y52" s="564"/>
      <c r="Z52" s="565"/>
      <c r="AA52" s="565"/>
      <c r="AB52" s="566"/>
      <c r="AC52" s="559"/>
      <c r="AD52" s="559"/>
      <c r="AE52" s="559"/>
      <c r="AF52" s="559"/>
    </row>
    <row r="53" spans="1:32" s="510" customFormat="1" x14ac:dyDescent="0.2">
      <c r="A53" s="15"/>
      <c r="B53" s="21"/>
      <c r="C53" s="21"/>
      <c r="D53" s="15"/>
      <c r="E53" s="15"/>
      <c r="F53" s="15"/>
      <c r="G53" s="15"/>
      <c r="H53" s="22"/>
      <c r="I53" s="23"/>
      <c r="J53" s="24"/>
      <c r="K53" s="23"/>
      <c r="L53" s="15"/>
      <c r="M53" s="15"/>
      <c r="N53" s="15"/>
      <c r="O53" s="15"/>
      <c r="P53" s="22"/>
      <c r="Q53" s="25"/>
      <c r="R53" s="563"/>
      <c r="S53" s="23"/>
      <c r="T53" s="26"/>
      <c r="U53" s="24"/>
      <c r="V53" s="23"/>
      <c r="W53" s="23"/>
      <c r="X53" s="564"/>
      <c r="Y53" s="564"/>
      <c r="Z53" s="565"/>
      <c r="AA53" s="565"/>
      <c r="AB53" s="566"/>
      <c r="AC53" s="559"/>
      <c r="AD53" s="559"/>
      <c r="AE53" s="559"/>
      <c r="AF53" s="559"/>
    </row>
    <row r="54" spans="1:32" s="510" customFormat="1" x14ac:dyDescent="0.2">
      <c r="A54" s="15"/>
      <c r="B54" s="21"/>
      <c r="C54" s="21"/>
      <c r="D54" s="15"/>
      <c r="E54" s="15"/>
      <c r="F54" s="15"/>
      <c r="G54" s="15"/>
      <c r="H54" s="22"/>
      <c r="I54" s="23"/>
      <c r="J54" s="24"/>
      <c r="K54" s="23"/>
      <c r="L54" s="15"/>
      <c r="M54" s="15"/>
      <c r="N54" s="15"/>
      <c r="O54" s="15"/>
      <c r="P54" s="22"/>
      <c r="Q54" s="25"/>
      <c r="R54" s="563"/>
      <c r="S54" s="23"/>
      <c r="T54" s="26"/>
      <c r="U54" s="24"/>
      <c r="V54" s="23"/>
      <c r="W54" s="23"/>
      <c r="X54" s="564"/>
      <c r="Y54" s="564"/>
      <c r="Z54" s="565"/>
      <c r="AA54" s="565"/>
      <c r="AB54" s="566"/>
      <c r="AC54" s="559"/>
      <c r="AD54" s="559"/>
      <c r="AE54" s="559"/>
      <c r="AF54" s="559"/>
    </row>
    <row r="55" spans="1:32" s="510" customFormat="1" x14ac:dyDescent="0.2">
      <c r="A55" s="15"/>
      <c r="B55" s="21"/>
      <c r="C55" s="21"/>
      <c r="D55" s="15"/>
      <c r="E55" s="15"/>
      <c r="F55" s="15"/>
      <c r="G55" s="15"/>
      <c r="H55" s="22"/>
      <c r="I55" s="23"/>
      <c r="J55" s="24"/>
      <c r="K55" s="23"/>
      <c r="L55" s="15"/>
      <c r="M55" s="15"/>
      <c r="N55" s="15"/>
      <c r="O55" s="15"/>
      <c r="P55" s="22"/>
      <c r="Q55" s="25"/>
      <c r="R55" s="563"/>
      <c r="S55" s="23"/>
      <c r="T55" s="26"/>
      <c r="U55" s="24"/>
      <c r="V55" s="23"/>
      <c r="W55" s="23"/>
      <c r="X55" s="564"/>
      <c r="Y55" s="564"/>
      <c r="Z55" s="565"/>
      <c r="AA55" s="565"/>
      <c r="AB55" s="566"/>
      <c r="AC55" s="559"/>
      <c r="AD55" s="559"/>
      <c r="AE55" s="559"/>
      <c r="AF55" s="559"/>
    </row>
    <row r="56" spans="1:32" s="510" customFormat="1" x14ac:dyDescent="0.2">
      <c r="A56" s="15"/>
      <c r="B56" s="21"/>
      <c r="C56" s="21"/>
      <c r="D56" s="15"/>
      <c r="E56" s="15"/>
      <c r="F56" s="15"/>
      <c r="G56" s="15"/>
      <c r="H56" s="22"/>
      <c r="I56" s="23"/>
      <c r="J56" s="24"/>
      <c r="K56" s="23"/>
      <c r="L56" s="15"/>
      <c r="M56" s="15"/>
      <c r="N56" s="15"/>
      <c r="O56" s="15"/>
      <c r="P56" s="22"/>
      <c r="Q56" s="25"/>
      <c r="R56" s="563"/>
      <c r="S56" s="23"/>
      <c r="T56" s="26"/>
      <c r="U56" s="24"/>
      <c r="V56" s="23"/>
      <c r="W56" s="23"/>
      <c r="X56" s="564"/>
      <c r="Y56" s="564"/>
      <c r="Z56" s="565"/>
      <c r="AA56" s="565"/>
      <c r="AB56" s="566"/>
      <c r="AC56" s="559"/>
      <c r="AD56" s="559"/>
      <c r="AE56" s="559"/>
      <c r="AF56" s="559"/>
    </row>
    <row r="57" spans="1:32" s="510" customFormat="1" x14ac:dyDescent="0.2">
      <c r="A57" s="15"/>
      <c r="B57" s="21"/>
      <c r="C57" s="21"/>
      <c r="D57" s="15"/>
      <c r="E57" s="15"/>
      <c r="F57" s="15"/>
      <c r="G57" s="15"/>
      <c r="H57" s="22"/>
      <c r="I57" s="23"/>
      <c r="J57" s="24"/>
      <c r="K57" s="23"/>
      <c r="L57" s="15"/>
      <c r="M57" s="15"/>
      <c r="N57" s="15"/>
      <c r="O57" s="15"/>
      <c r="P57" s="22"/>
      <c r="Q57" s="25"/>
      <c r="R57" s="563"/>
      <c r="S57" s="23"/>
      <c r="T57" s="26"/>
      <c r="U57" s="24"/>
      <c r="V57" s="23"/>
      <c r="W57" s="23"/>
      <c r="X57" s="564"/>
      <c r="Y57" s="564"/>
      <c r="Z57" s="565"/>
      <c r="AA57" s="565"/>
      <c r="AB57" s="566"/>
      <c r="AC57" s="559"/>
      <c r="AD57" s="559"/>
      <c r="AE57" s="559"/>
      <c r="AF57" s="559"/>
    </row>
    <row r="58" spans="1:32" s="510" customFormat="1" x14ac:dyDescent="0.2">
      <c r="A58" s="27"/>
      <c r="B58" s="28"/>
      <c r="C58" s="28"/>
      <c r="D58" s="27"/>
      <c r="E58" s="27"/>
      <c r="F58" s="27"/>
      <c r="G58" s="27"/>
      <c r="H58" s="29"/>
      <c r="I58" s="30"/>
      <c r="J58" s="31"/>
      <c r="K58" s="30"/>
      <c r="L58" s="27"/>
      <c r="M58" s="27"/>
      <c r="N58" s="27"/>
      <c r="O58" s="27"/>
      <c r="P58" s="27"/>
      <c r="Q58" s="32"/>
      <c r="R58" s="567"/>
      <c r="S58" s="30"/>
      <c r="T58" s="33"/>
      <c r="U58" s="31"/>
      <c r="V58" s="30"/>
      <c r="W58" s="30"/>
      <c r="X58" s="568"/>
      <c r="Y58" s="568"/>
      <c r="Z58" s="569"/>
      <c r="AA58" s="569"/>
      <c r="AB58" s="570"/>
      <c r="AC58" s="571"/>
      <c r="AD58" s="571"/>
      <c r="AE58" s="571"/>
      <c r="AF58" s="571"/>
    </row>
    <row r="59" spans="1:32" x14ac:dyDescent="0.2">
      <c r="A59" s="2037"/>
      <c r="B59" s="2037"/>
      <c r="C59" s="2037"/>
      <c r="D59" s="2037"/>
      <c r="E59" s="2037"/>
      <c r="F59" s="2037"/>
      <c r="G59" s="2037"/>
      <c r="H59" s="2038"/>
      <c r="I59" s="2039"/>
      <c r="J59" s="2040"/>
      <c r="K59" s="2039"/>
      <c r="L59" s="2039"/>
      <c r="M59" s="2039"/>
      <c r="N59" s="2039"/>
      <c r="O59" s="2039"/>
      <c r="P59" s="2039"/>
      <c r="Q59" s="2039"/>
      <c r="R59" s="2041"/>
      <c r="S59" s="2039"/>
      <c r="T59" s="2042"/>
      <c r="U59" s="2040"/>
      <c r="V59" s="2039"/>
      <c r="W59" s="2039"/>
      <c r="X59" s="2043"/>
      <c r="Y59" s="2043"/>
      <c r="Z59" s="2044"/>
      <c r="AA59" s="2044"/>
      <c r="AB59" s="2045">
        <f>SUM(AB42:AB58)</f>
        <v>187.65715200000002</v>
      </c>
      <c r="AC59" s="2046"/>
      <c r="AD59" s="2046"/>
      <c r="AE59" s="2046"/>
      <c r="AF59" s="2046"/>
    </row>
    <row r="60" spans="1:32" s="510" customFormat="1" ht="15.75" x14ac:dyDescent="0.25">
      <c r="A60" s="2820" t="s">
        <v>76</v>
      </c>
      <c r="B60" s="2820"/>
      <c r="C60" s="2821" t="s">
        <v>77</v>
      </c>
      <c r="D60" s="2821"/>
      <c r="E60" s="2821"/>
      <c r="F60" s="2821"/>
      <c r="G60" s="2821"/>
      <c r="H60" s="2821"/>
      <c r="I60" s="577" t="s">
        <v>78</v>
      </c>
      <c r="J60" s="577"/>
      <c r="K60" s="577"/>
      <c r="L60" s="577"/>
      <c r="M60" s="577"/>
      <c r="N60" s="577"/>
      <c r="AB60" s="578"/>
    </row>
    <row r="61" spans="1:32" s="510" customFormat="1" ht="15.75" x14ac:dyDescent="0.25">
      <c r="A61" s="577"/>
      <c r="B61" s="579"/>
      <c r="C61" s="577"/>
      <c r="D61" s="577"/>
      <c r="E61" s="577"/>
      <c r="F61" s="577"/>
      <c r="G61" s="577"/>
      <c r="H61" s="577"/>
      <c r="I61" s="577" t="s">
        <v>79</v>
      </c>
      <c r="J61" s="577"/>
      <c r="K61" s="577"/>
      <c r="L61" s="577"/>
      <c r="M61" s="577"/>
      <c r="N61" s="577"/>
      <c r="AB61" s="578"/>
    </row>
    <row r="62" spans="1:32" s="510" customFormat="1" ht="15.75" x14ac:dyDescent="0.25">
      <c r="A62" s="577"/>
      <c r="B62" s="579"/>
      <c r="C62" s="577"/>
      <c r="D62" s="577"/>
      <c r="E62" s="577"/>
      <c r="F62" s="577"/>
      <c r="G62" s="577"/>
      <c r="H62" s="577"/>
      <c r="I62" s="577" t="s">
        <v>80</v>
      </c>
      <c r="J62" s="577"/>
      <c r="K62" s="577"/>
      <c r="L62" s="577"/>
      <c r="M62" s="577"/>
      <c r="N62" s="577"/>
      <c r="AB62" s="578"/>
    </row>
    <row r="63" spans="1:32" s="510" customFormat="1" ht="15.75" x14ac:dyDescent="0.25">
      <c r="A63" s="577"/>
      <c r="B63" s="579"/>
      <c r="C63" s="577"/>
      <c r="D63" s="577"/>
      <c r="E63" s="577"/>
      <c r="F63" s="577"/>
      <c r="G63" s="577"/>
      <c r="H63" s="577"/>
      <c r="I63" s="577" t="s">
        <v>81</v>
      </c>
      <c r="J63" s="577"/>
      <c r="K63" s="577"/>
      <c r="L63" s="577"/>
      <c r="M63" s="577"/>
      <c r="N63" s="577"/>
      <c r="AB63" s="578"/>
    </row>
    <row r="64" spans="1:32" s="510" customFormat="1" ht="15.75" x14ac:dyDescent="0.25">
      <c r="A64" s="577"/>
      <c r="B64" s="579"/>
      <c r="C64" s="577"/>
      <c r="D64" s="577"/>
      <c r="E64" s="577"/>
      <c r="F64" s="577"/>
      <c r="G64" s="577"/>
      <c r="H64" s="577"/>
      <c r="I64" s="577" t="s">
        <v>88</v>
      </c>
      <c r="J64" s="577"/>
      <c r="K64" s="577"/>
      <c r="L64" s="577"/>
      <c r="M64" s="577"/>
      <c r="N64" s="577"/>
      <c r="AB64" s="578"/>
    </row>
    <row r="65" spans="1:32" s="510" customFormat="1" ht="18.75" x14ac:dyDescent="0.2">
      <c r="A65" s="338"/>
      <c r="B65" s="338"/>
      <c r="C65" s="338"/>
      <c r="D65" s="338"/>
      <c r="E65" s="338"/>
      <c r="F65" s="338"/>
      <c r="G65" s="338"/>
      <c r="H65" s="338"/>
      <c r="I65" s="338"/>
      <c r="J65" s="338"/>
      <c r="K65" s="338"/>
      <c r="L65" s="338"/>
      <c r="M65" s="338"/>
      <c r="N65" s="338"/>
      <c r="O65" s="338"/>
      <c r="P65" s="338"/>
      <c r="Q65" s="338"/>
      <c r="R65" s="338"/>
      <c r="S65" s="338"/>
      <c r="T65" s="338"/>
      <c r="U65" s="338"/>
      <c r="V65" s="338"/>
      <c r="W65" s="338"/>
      <c r="X65" s="338"/>
      <c r="Y65" s="338"/>
      <c r="Z65" s="338"/>
      <c r="AA65" s="2774" t="s">
        <v>0</v>
      </c>
      <c r="AB65" s="2774"/>
      <c r="AC65" s="338"/>
      <c r="AD65" s="338"/>
      <c r="AE65" s="338"/>
      <c r="AF65" s="338"/>
    </row>
    <row r="66" spans="1:32" s="510" customFormat="1" ht="18.75" x14ac:dyDescent="0.2">
      <c r="A66" s="2703" t="s">
        <v>1</v>
      </c>
      <c r="B66" s="2703"/>
      <c r="C66" s="2703"/>
      <c r="D66" s="2703"/>
      <c r="E66" s="2703"/>
      <c r="F66" s="2703"/>
      <c r="G66" s="2703"/>
      <c r="H66" s="2703"/>
      <c r="I66" s="2703"/>
      <c r="J66" s="2703"/>
      <c r="K66" s="2703"/>
      <c r="L66" s="2703"/>
      <c r="M66" s="2703"/>
      <c r="N66" s="2703"/>
      <c r="O66" s="2703"/>
      <c r="P66" s="2703"/>
      <c r="Q66" s="2703"/>
      <c r="R66" s="2703"/>
      <c r="S66" s="2703"/>
      <c r="T66" s="2703"/>
      <c r="U66" s="2703"/>
      <c r="V66" s="2703"/>
      <c r="W66" s="2703"/>
      <c r="X66" s="2703"/>
      <c r="Y66" s="2703"/>
      <c r="Z66" s="2703"/>
      <c r="AA66" s="2703"/>
      <c r="AB66" s="2703"/>
      <c r="AC66" s="344"/>
      <c r="AD66" s="344"/>
      <c r="AE66" s="344"/>
      <c r="AF66" s="344"/>
    </row>
    <row r="67" spans="1:32" s="510" customFormat="1" ht="21" x14ac:dyDescent="0.2">
      <c r="A67" s="2780" t="s">
        <v>520</v>
      </c>
      <c r="B67" s="2780"/>
      <c r="C67" s="2780"/>
      <c r="D67" s="2780"/>
      <c r="E67" s="2780"/>
      <c r="F67" s="2780"/>
      <c r="G67" s="2780"/>
      <c r="H67" s="2780"/>
      <c r="I67" s="2780"/>
      <c r="J67" s="2780"/>
      <c r="K67" s="2780"/>
      <c r="L67" s="2780"/>
      <c r="M67" s="2780"/>
      <c r="N67" s="2780"/>
      <c r="O67" s="2780"/>
      <c r="P67" s="2780"/>
      <c r="Q67" s="2780"/>
      <c r="R67" s="2780"/>
      <c r="S67" s="2780"/>
      <c r="T67" s="2780"/>
      <c r="U67" s="2780"/>
      <c r="V67" s="2780"/>
      <c r="W67" s="2780"/>
      <c r="X67" s="2780"/>
      <c r="Y67" s="2780"/>
      <c r="Z67" s="2780"/>
      <c r="AA67" s="2780"/>
      <c r="AB67" s="2780"/>
      <c r="AC67" s="345"/>
      <c r="AD67" s="345"/>
      <c r="AE67" s="345"/>
      <c r="AF67" s="345"/>
    </row>
    <row r="68" spans="1:32" s="510" customFormat="1" ht="15" x14ac:dyDescent="0.25">
      <c r="A68" s="2686" t="s">
        <v>2</v>
      </c>
      <c r="B68" s="511"/>
      <c r="C68" s="2686" t="s">
        <v>3</v>
      </c>
      <c r="D68" s="511"/>
      <c r="E68" s="511"/>
      <c r="F68" s="2693" t="s">
        <v>4</v>
      </c>
      <c r="G68" s="2693"/>
      <c r="H68" s="2693"/>
      <c r="I68" s="2694"/>
      <c r="J68" s="2694"/>
      <c r="K68" s="2695"/>
      <c r="L68" s="361"/>
      <c r="M68" s="2679" t="s">
        <v>5</v>
      </c>
      <c r="N68" s="2679"/>
      <c r="O68" s="2679"/>
      <c r="P68" s="2679"/>
      <c r="Q68" s="2696"/>
      <c r="R68" s="2696"/>
      <c r="S68" s="2696"/>
      <c r="T68" s="2696"/>
      <c r="U68" s="2696"/>
      <c r="V68" s="2697"/>
      <c r="W68" s="512" t="s">
        <v>6</v>
      </c>
      <c r="X68" s="513" t="s">
        <v>7</v>
      </c>
      <c r="Y68" s="514"/>
      <c r="Z68" s="514"/>
      <c r="AA68" s="513"/>
      <c r="AB68" s="515"/>
      <c r="AC68" s="516" t="s">
        <v>8</v>
      </c>
      <c r="AD68" s="346"/>
      <c r="AE68" s="346"/>
      <c r="AF68" s="517"/>
    </row>
    <row r="69" spans="1:32" s="510" customFormat="1" x14ac:dyDescent="0.2">
      <c r="A69" s="2687"/>
      <c r="B69" s="367"/>
      <c r="C69" s="2687"/>
      <c r="D69" s="518" t="s">
        <v>9</v>
      </c>
      <c r="E69" s="519" t="s">
        <v>10</v>
      </c>
      <c r="F69" s="2698" t="s">
        <v>11</v>
      </c>
      <c r="G69" s="2694"/>
      <c r="H69" s="2695"/>
      <c r="I69" s="511"/>
      <c r="J69" s="520" t="s">
        <v>12</v>
      </c>
      <c r="K69" s="511"/>
      <c r="L69" s="2679" t="s">
        <v>2</v>
      </c>
      <c r="M69" s="521"/>
      <c r="N69" s="521"/>
      <c r="O69" s="521"/>
      <c r="P69" s="522"/>
      <c r="Q69" s="523" t="s">
        <v>13</v>
      </c>
      <c r="R69" s="524" t="s">
        <v>12</v>
      </c>
      <c r="S69" s="521" t="s">
        <v>6</v>
      </c>
      <c r="T69" s="2682" t="s">
        <v>14</v>
      </c>
      <c r="U69" s="2683"/>
      <c r="V69" s="525" t="s">
        <v>7</v>
      </c>
      <c r="W69" s="526" t="s">
        <v>15</v>
      </c>
      <c r="X69" s="527" t="s">
        <v>16</v>
      </c>
      <c r="Y69" s="527" t="s">
        <v>17</v>
      </c>
      <c r="Z69" s="527" t="s">
        <v>18</v>
      </c>
      <c r="AA69" s="377"/>
      <c r="AB69" s="378" t="s">
        <v>19</v>
      </c>
      <c r="AC69" s="528" t="s">
        <v>20</v>
      </c>
      <c r="AD69" s="529"/>
      <c r="AE69" s="347" t="s">
        <v>21</v>
      </c>
      <c r="AF69" s="340" t="s">
        <v>22</v>
      </c>
    </row>
    <row r="70" spans="1:32" s="510" customFormat="1" x14ac:dyDescent="0.2">
      <c r="A70" s="2687"/>
      <c r="B70" s="1996" t="s">
        <v>23</v>
      </c>
      <c r="C70" s="2687"/>
      <c r="D70" s="518" t="s">
        <v>24</v>
      </c>
      <c r="E70" s="519" t="s">
        <v>25</v>
      </c>
      <c r="F70" s="2699"/>
      <c r="G70" s="2700"/>
      <c r="H70" s="2701"/>
      <c r="I70" s="518" t="s">
        <v>26</v>
      </c>
      <c r="J70" s="530" t="s">
        <v>15</v>
      </c>
      <c r="K70" s="531" t="s">
        <v>6</v>
      </c>
      <c r="L70" s="2680"/>
      <c r="M70" s="532" t="s">
        <v>27</v>
      </c>
      <c r="N70" s="532" t="s">
        <v>10</v>
      </c>
      <c r="O70" s="533" t="s">
        <v>10</v>
      </c>
      <c r="P70" s="534" t="s">
        <v>28</v>
      </c>
      <c r="Q70" s="535" t="s">
        <v>29</v>
      </c>
      <c r="R70" s="534" t="s">
        <v>15</v>
      </c>
      <c r="S70" s="385" t="s">
        <v>15</v>
      </c>
      <c r="T70" s="2684"/>
      <c r="U70" s="2685"/>
      <c r="V70" s="525" t="s">
        <v>30</v>
      </c>
      <c r="W70" s="526" t="s">
        <v>31</v>
      </c>
      <c r="X70" s="527" t="s">
        <v>30</v>
      </c>
      <c r="Y70" s="527" t="s">
        <v>32</v>
      </c>
      <c r="Z70" s="527" t="s">
        <v>7</v>
      </c>
      <c r="AA70" s="377" t="s">
        <v>33</v>
      </c>
      <c r="AB70" s="378" t="s">
        <v>34</v>
      </c>
      <c r="AC70" s="528" t="s">
        <v>35</v>
      </c>
      <c r="AD70" s="347" t="s">
        <v>36</v>
      </c>
      <c r="AE70" s="347" t="s">
        <v>37</v>
      </c>
      <c r="AF70" s="340" t="s">
        <v>38</v>
      </c>
    </row>
    <row r="71" spans="1:32" s="510" customFormat="1" x14ac:dyDescent="0.2">
      <c r="A71" s="2687"/>
      <c r="B71" s="1996" t="s">
        <v>39</v>
      </c>
      <c r="C71" s="2687"/>
      <c r="D71" s="518" t="s">
        <v>40</v>
      </c>
      <c r="E71" s="519" t="s">
        <v>41</v>
      </c>
      <c r="F71" s="2686" t="s">
        <v>42</v>
      </c>
      <c r="G71" s="2686" t="s">
        <v>43</v>
      </c>
      <c r="H71" s="2688" t="s">
        <v>44</v>
      </c>
      <c r="I71" s="518" t="s">
        <v>45</v>
      </c>
      <c r="J71" s="530" t="s">
        <v>46</v>
      </c>
      <c r="K71" s="531" t="s">
        <v>47</v>
      </c>
      <c r="L71" s="2680"/>
      <c r="M71" s="532" t="s">
        <v>30</v>
      </c>
      <c r="N71" s="532" t="s">
        <v>30</v>
      </c>
      <c r="O71" s="533" t="s">
        <v>25</v>
      </c>
      <c r="P71" s="534" t="s">
        <v>30</v>
      </c>
      <c r="Q71" s="535" t="s">
        <v>48</v>
      </c>
      <c r="R71" s="534" t="s">
        <v>49</v>
      </c>
      <c r="S71" s="385" t="s">
        <v>30</v>
      </c>
      <c r="T71" s="536" t="s">
        <v>50</v>
      </c>
      <c r="U71" s="537" t="s">
        <v>13</v>
      </c>
      <c r="V71" s="525" t="s">
        <v>51</v>
      </c>
      <c r="W71" s="526" t="s">
        <v>52</v>
      </c>
      <c r="X71" s="527" t="s">
        <v>53</v>
      </c>
      <c r="Y71" s="527" t="s">
        <v>54</v>
      </c>
      <c r="Z71" s="527" t="s">
        <v>55</v>
      </c>
      <c r="AA71" s="377" t="s">
        <v>56</v>
      </c>
      <c r="AB71" s="378" t="s">
        <v>57</v>
      </c>
      <c r="AC71" s="347" t="s">
        <v>58</v>
      </c>
      <c r="AD71" s="347" t="s">
        <v>59</v>
      </c>
      <c r="AE71" s="347" t="s">
        <v>59</v>
      </c>
      <c r="AF71" s="340" t="s">
        <v>60</v>
      </c>
    </row>
    <row r="72" spans="1:32" s="510" customFormat="1" ht="15" x14ac:dyDescent="0.25">
      <c r="A72" s="2687"/>
      <c r="B72" s="1996" t="s">
        <v>61</v>
      </c>
      <c r="C72" s="2687"/>
      <c r="D72" s="518" t="s">
        <v>62</v>
      </c>
      <c r="E72" s="519" t="s">
        <v>63</v>
      </c>
      <c r="F72" s="2687"/>
      <c r="G72" s="2687"/>
      <c r="H72" s="2689"/>
      <c r="I72" s="518" t="s">
        <v>64</v>
      </c>
      <c r="J72" s="530" t="s">
        <v>59</v>
      </c>
      <c r="K72" s="531" t="s">
        <v>59</v>
      </c>
      <c r="L72" s="2680"/>
      <c r="M72" s="532"/>
      <c r="N72" s="532"/>
      <c r="O72" s="533" t="s">
        <v>41</v>
      </c>
      <c r="P72" s="534" t="s">
        <v>65</v>
      </c>
      <c r="Q72" s="535" t="s">
        <v>66</v>
      </c>
      <c r="R72" s="534" t="s">
        <v>67</v>
      </c>
      <c r="S72" s="385" t="s">
        <v>59</v>
      </c>
      <c r="T72" s="538" t="s">
        <v>68</v>
      </c>
      <c r="U72" s="525" t="s">
        <v>14</v>
      </c>
      <c r="V72" s="525" t="s">
        <v>14</v>
      </c>
      <c r="W72" s="526" t="s">
        <v>30</v>
      </c>
      <c r="X72" s="539" t="s">
        <v>69</v>
      </c>
      <c r="Y72" s="539" t="s">
        <v>70</v>
      </c>
      <c r="Z72" s="527" t="s">
        <v>71</v>
      </c>
      <c r="AA72" s="377" t="s">
        <v>72</v>
      </c>
      <c r="AB72" s="540" t="s">
        <v>59</v>
      </c>
      <c r="AC72" s="347" t="s">
        <v>59</v>
      </c>
      <c r="AD72" s="347"/>
      <c r="AE72" s="347"/>
      <c r="AF72" s="340" t="s">
        <v>59</v>
      </c>
    </row>
    <row r="73" spans="1:32" s="510" customFormat="1" x14ac:dyDescent="0.2">
      <c r="A73" s="2692"/>
      <c r="B73" s="390"/>
      <c r="C73" s="2692"/>
      <c r="D73" s="541"/>
      <c r="E73" s="542"/>
      <c r="F73" s="390"/>
      <c r="G73" s="390"/>
      <c r="H73" s="391"/>
      <c r="I73" s="542"/>
      <c r="J73" s="543"/>
      <c r="K73" s="544"/>
      <c r="L73" s="2681"/>
      <c r="M73" s="545"/>
      <c r="N73" s="545"/>
      <c r="O73" s="545" t="s">
        <v>63</v>
      </c>
      <c r="P73" s="546"/>
      <c r="Q73" s="547" t="s">
        <v>72</v>
      </c>
      <c r="R73" s="548" t="s">
        <v>59</v>
      </c>
      <c r="S73" s="549"/>
      <c r="T73" s="548" t="s">
        <v>73</v>
      </c>
      <c r="U73" s="549" t="s">
        <v>59</v>
      </c>
      <c r="V73" s="550" t="s">
        <v>59</v>
      </c>
      <c r="W73" s="551" t="s">
        <v>59</v>
      </c>
      <c r="X73" s="552" t="s">
        <v>59</v>
      </c>
      <c r="Y73" s="552" t="s">
        <v>59</v>
      </c>
      <c r="Z73" s="552" t="s">
        <v>59</v>
      </c>
      <c r="AA73" s="402"/>
      <c r="AB73" s="403"/>
      <c r="AC73" s="348"/>
      <c r="AD73" s="348"/>
      <c r="AE73" s="348"/>
      <c r="AF73" s="341"/>
    </row>
    <row r="74" spans="1:32" s="510" customFormat="1" ht="15" x14ac:dyDescent="0.25">
      <c r="A74" s="16">
        <v>1</v>
      </c>
      <c r="B74" s="333">
        <v>4431</v>
      </c>
      <c r="C74" s="41">
        <v>434</v>
      </c>
      <c r="D74" s="41" t="s">
        <v>238</v>
      </c>
      <c r="E74" s="15">
        <v>1</v>
      </c>
      <c r="F74" s="41">
        <v>4</v>
      </c>
      <c r="G74" s="41">
        <v>0</v>
      </c>
      <c r="H74" s="267">
        <v>60</v>
      </c>
      <c r="I74" s="18">
        <f>F74*400+G74*100+H74</f>
        <v>1660</v>
      </c>
      <c r="J74" s="258">
        <v>280</v>
      </c>
      <c r="K74" s="39">
        <f>SUM(I74*J74)</f>
        <v>464800</v>
      </c>
      <c r="L74" s="45"/>
      <c r="M74" s="82"/>
      <c r="N74" s="41"/>
      <c r="O74" s="50"/>
      <c r="P74" s="19"/>
      <c r="Q74" s="62"/>
      <c r="R74" s="260"/>
      <c r="S74" s="18"/>
      <c r="T74" s="20"/>
      <c r="U74" s="47"/>
      <c r="V74" s="47"/>
      <c r="W74" s="18">
        <f>K74+V74</f>
        <v>464800</v>
      </c>
      <c r="X74" s="47">
        <f>W74</f>
        <v>464800</v>
      </c>
      <c r="Y74" s="18" t="s">
        <v>87</v>
      </c>
      <c r="Z74" s="18">
        <v>0</v>
      </c>
      <c r="AA74" s="264">
        <v>0.01</v>
      </c>
      <c r="AB74" s="853">
        <f>+Z74*AA74/100</f>
        <v>0</v>
      </c>
      <c r="AC74" s="555"/>
      <c r="AD74" s="556">
        <f>AB74-AC74</f>
        <v>0</v>
      </c>
      <c r="AE74" s="556">
        <f>IF(AD74&lt;=0,0,AD74*25/100)</f>
        <v>0</v>
      </c>
      <c r="AF74" s="737">
        <f>IF(AC74+AE74&gt;AB74,AB74,AC74+AE74)</f>
        <v>0</v>
      </c>
    </row>
    <row r="75" spans="1:32" s="510" customFormat="1" ht="15" x14ac:dyDescent="0.25">
      <c r="A75" s="45">
        <v>2</v>
      </c>
      <c r="B75" s="273">
        <v>3126</v>
      </c>
      <c r="C75" s="27">
        <v>599</v>
      </c>
      <c r="D75" s="15" t="s">
        <v>238</v>
      </c>
      <c r="E75" s="27">
        <v>2</v>
      </c>
      <c r="F75" s="27">
        <v>0</v>
      </c>
      <c r="G75" s="27">
        <v>2</v>
      </c>
      <c r="H75" s="557">
        <v>53</v>
      </c>
      <c r="I75" s="18">
        <f>G75*100+H75</f>
        <v>253</v>
      </c>
      <c r="J75" s="258">
        <v>1600</v>
      </c>
      <c r="K75" s="39">
        <f>SUM(I75*J75)</f>
        <v>404800</v>
      </c>
      <c r="L75" s="45">
        <v>1</v>
      </c>
      <c r="M75" s="1997">
        <v>103</v>
      </c>
      <c r="N75" s="15" t="s">
        <v>74</v>
      </c>
      <c r="O75" s="50">
        <v>2</v>
      </c>
      <c r="P75" s="19">
        <f>3*5.95</f>
        <v>17.850000000000001</v>
      </c>
      <c r="Q75" s="62" t="s">
        <v>75</v>
      </c>
      <c r="R75" s="260">
        <v>9050</v>
      </c>
      <c r="S75" s="18">
        <f>SUM(P75*R75)</f>
        <v>161542.5</v>
      </c>
      <c r="T75" s="1469">
        <v>4</v>
      </c>
      <c r="U75" s="1664">
        <f>+S75*0.04</f>
        <v>6461.7</v>
      </c>
      <c r="V75" s="47">
        <f>SUM(S75-U75)</f>
        <v>155080.79999999999</v>
      </c>
      <c r="W75" s="18">
        <f>+V75+K75</f>
        <v>559880.80000000005</v>
      </c>
      <c r="X75" s="47">
        <f>W75</f>
        <v>559880.80000000005</v>
      </c>
      <c r="Y75" s="18"/>
      <c r="Z75" s="18">
        <f>+X75</f>
        <v>559880.80000000005</v>
      </c>
      <c r="AA75" s="264">
        <v>0.02</v>
      </c>
      <c r="AB75" s="570">
        <f>+Z75*AA75/100</f>
        <v>111.97616000000002</v>
      </c>
      <c r="AC75" s="559"/>
      <c r="AD75" s="559"/>
      <c r="AE75" s="559"/>
      <c r="AF75" s="559"/>
    </row>
    <row r="76" spans="1:32" s="510" customFormat="1" ht="15" x14ac:dyDescent="0.25">
      <c r="A76" s="45"/>
      <c r="B76" s="287"/>
      <c r="C76" s="15"/>
      <c r="D76" s="15"/>
      <c r="E76" s="27"/>
      <c r="F76" s="15"/>
      <c r="G76" s="15"/>
      <c r="H76" s="284"/>
      <c r="I76" s="18"/>
      <c r="J76" s="258"/>
      <c r="K76" s="39"/>
      <c r="L76" s="45">
        <v>2</v>
      </c>
      <c r="M76" s="1997">
        <v>103</v>
      </c>
      <c r="N76" s="15" t="s">
        <v>74</v>
      </c>
      <c r="O76" s="50">
        <v>2</v>
      </c>
      <c r="P76" s="19">
        <f>3*5.95</f>
        <v>17.850000000000001</v>
      </c>
      <c r="Q76" s="62" t="s">
        <v>75</v>
      </c>
      <c r="R76" s="260">
        <v>9050</v>
      </c>
      <c r="S76" s="18">
        <f>SUM(P76*R76)</f>
        <v>161542.5</v>
      </c>
      <c r="T76" s="1469">
        <v>4</v>
      </c>
      <c r="U76" s="1664">
        <f t="shared" ref="U76:U78" si="6">+S76*0.04</f>
        <v>6461.7</v>
      </c>
      <c r="V76" s="47">
        <f>SUM(S76-U76)</f>
        <v>155080.79999999999</v>
      </c>
      <c r="W76" s="18">
        <f>+V76+K76</f>
        <v>155080.79999999999</v>
      </c>
      <c r="X76" s="47">
        <f>W76</f>
        <v>155080.79999999999</v>
      </c>
      <c r="Y76" s="18"/>
      <c r="Z76" s="18">
        <f>+X76</f>
        <v>155080.79999999999</v>
      </c>
      <c r="AA76" s="264">
        <v>0.02</v>
      </c>
      <c r="AB76" s="570">
        <f>+Z76*AA76/100</f>
        <v>31.016159999999999</v>
      </c>
      <c r="AC76" s="559"/>
      <c r="AD76" s="559"/>
      <c r="AE76" s="559"/>
      <c r="AF76" s="559"/>
    </row>
    <row r="77" spans="1:32" s="510" customFormat="1" x14ac:dyDescent="0.2">
      <c r="A77" s="45"/>
      <c r="B77" s="15"/>
      <c r="C77" s="15"/>
      <c r="D77" s="27"/>
      <c r="E77" s="27"/>
      <c r="F77" s="15"/>
      <c r="G77" s="15"/>
      <c r="H77" s="284"/>
      <c r="I77" s="18"/>
      <c r="J77" s="258"/>
      <c r="K77" s="39"/>
      <c r="L77" s="45">
        <v>3</v>
      </c>
      <c r="M77" s="1997">
        <v>103</v>
      </c>
      <c r="N77" s="15" t="s">
        <v>74</v>
      </c>
      <c r="O77" s="50">
        <v>2</v>
      </c>
      <c r="P77" s="19">
        <f>3*5.95</f>
        <v>17.850000000000001</v>
      </c>
      <c r="Q77" s="62" t="s">
        <v>75</v>
      </c>
      <c r="R77" s="260">
        <v>9050</v>
      </c>
      <c r="S77" s="18">
        <f>SUM(P77*R77)</f>
        <v>161542.5</v>
      </c>
      <c r="T77" s="1469">
        <v>4</v>
      </c>
      <c r="U77" s="1664">
        <f t="shared" si="6"/>
        <v>6461.7</v>
      </c>
      <c r="V77" s="47">
        <f>SUM(S77-U77)</f>
        <v>155080.79999999999</v>
      </c>
      <c r="W77" s="18">
        <f>+V77+K77</f>
        <v>155080.79999999999</v>
      </c>
      <c r="X77" s="47">
        <f>W77</f>
        <v>155080.79999999999</v>
      </c>
      <c r="Y77" s="18"/>
      <c r="Z77" s="18">
        <f>+X77</f>
        <v>155080.79999999999</v>
      </c>
      <c r="AA77" s="264">
        <v>0.02</v>
      </c>
      <c r="AB77" s="854">
        <f>+Z77*AA77/100</f>
        <v>31.016159999999999</v>
      </c>
      <c r="AC77" s="559"/>
      <c r="AD77" s="559"/>
      <c r="AE77" s="559"/>
      <c r="AF77" s="559"/>
    </row>
    <row r="78" spans="1:32" s="510" customFormat="1" x14ac:dyDescent="0.2">
      <c r="A78" s="45"/>
      <c r="B78" s="27"/>
      <c r="C78" s="27"/>
      <c r="D78" s="27"/>
      <c r="E78" s="27"/>
      <c r="F78" s="27"/>
      <c r="G78" s="27"/>
      <c r="H78" s="557"/>
      <c r="I78" s="18"/>
      <c r="J78" s="258"/>
      <c r="K78" s="39"/>
      <c r="L78" s="45">
        <v>4</v>
      </c>
      <c r="M78" s="75">
        <v>103</v>
      </c>
      <c r="N78" s="15" t="s">
        <v>74</v>
      </c>
      <c r="O78" s="50">
        <v>2</v>
      </c>
      <c r="P78" s="257">
        <f>4.7*12.7</f>
        <v>59.69</v>
      </c>
      <c r="Q78" s="62" t="s">
        <v>75</v>
      </c>
      <c r="R78" s="260">
        <v>9050</v>
      </c>
      <c r="S78" s="18">
        <f>SUM(P78*R78)</f>
        <v>540194.5</v>
      </c>
      <c r="T78" s="1469">
        <v>4</v>
      </c>
      <c r="U78" s="1664">
        <f t="shared" si="6"/>
        <v>21607.78</v>
      </c>
      <c r="V78" s="47">
        <f>SUM(S78-U78)</f>
        <v>518586.72</v>
      </c>
      <c r="W78" s="18">
        <f>+V78+K78</f>
        <v>518586.72</v>
      </c>
      <c r="X78" s="47">
        <f>W78</f>
        <v>518586.72</v>
      </c>
      <c r="Y78" s="47"/>
      <c r="Z78" s="18">
        <f>+X78</f>
        <v>518586.72</v>
      </c>
      <c r="AA78" s="292">
        <v>0.02</v>
      </c>
      <c r="AB78" s="854">
        <f>+Z78*AA78/100</f>
        <v>103.717344</v>
      </c>
      <c r="AC78" s="559"/>
      <c r="AD78" s="559"/>
      <c r="AE78" s="559"/>
      <c r="AF78" s="559"/>
    </row>
    <row r="79" spans="1:32" s="510" customFormat="1" x14ac:dyDescent="0.2">
      <c r="A79" s="15"/>
      <c r="B79" s="21"/>
      <c r="C79" s="21"/>
      <c r="D79" s="15"/>
      <c r="E79" s="15"/>
      <c r="F79" s="15"/>
      <c r="G79" s="15"/>
      <c r="H79" s="22"/>
      <c r="I79" s="23"/>
      <c r="J79" s="24"/>
      <c r="K79" s="23"/>
      <c r="L79" s="15"/>
      <c r="M79" s="15"/>
      <c r="N79" s="15"/>
      <c r="O79" s="15"/>
      <c r="P79" s="22"/>
      <c r="Q79" s="25"/>
      <c r="R79" s="563"/>
      <c r="S79" s="23"/>
      <c r="T79" s="26"/>
      <c r="U79" s="24"/>
      <c r="V79" s="23"/>
      <c r="W79" s="23"/>
      <c r="X79" s="564"/>
      <c r="Y79" s="564"/>
      <c r="Z79" s="565"/>
      <c r="AA79" s="565"/>
      <c r="AB79" s="566"/>
      <c r="AC79" s="559"/>
      <c r="AD79" s="559"/>
      <c r="AE79" s="559"/>
      <c r="AF79" s="559"/>
    </row>
    <row r="80" spans="1:32" s="510" customFormat="1" x14ac:dyDescent="0.2">
      <c r="A80" s="15"/>
      <c r="B80" s="21"/>
      <c r="C80" s="21"/>
      <c r="D80" s="15"/>
      <c r="E80" s="15"/>
      <c r="F80" s="15"/>
      <c r="G80" s="15"/>
      <c r="H80" s="22"/>
      <c r="I80" s="23"/>
      <c r="J80" s="24"/>
      <c r="K80" s="23"/>
      <c r="L80" s="15"/>
      <c r="M80" s="15"/>
      <c r="N80" s="15"/>
      <c r="O80" s="15"/>
      <c r="P80" s="22"/>
      <c r="Q80" s="25"/>
      <c r="R80" s="563"/>
      <c r="S80" s="23"/>
      <c r="T80" s="26"/>
      <c r="U80" s="24"/>
      <c r="V80" s="23"/>
      <c r="W80" s="23"/>
      <c r="X80" s="564"/>
      <c r="Y80" s="564"/>
      <c r="Z80" s="565"/>
      <c r="AA80" s="565"/>
      <c r="AB80" s="566"/>
      <c r="AC80" s="559"/>
      <c r="AD80" s="559"/>
      <c r="AE80" s="559"/>
      <c r="AF80" s="559"/>
    </row>
    <row r="81" spans="1:32" s="510" customFormat="1" x14ac:dyDescent="0.2">
      <c r="A81" s="15"/>
      <c r="B81" s="21"/>
      <c r="C81" s="21"/>
      <c r="D81" s="15"/>
      <c r="E81" s="15"/>
      <c r="F81" s="15"/>
      <c r="G81" s="15"/>
      <c r="H81" s="22"/>
      <c r="I81" s="23"/>
      <c r="J81" s="24"/>
      <c r="K81" s="23"/>
      <c r="L81" s="15"/>
      <c r="M81" s="15"/>
      <c r="N81" s="15"/>
      <c r="O81" s="15"/>
      <c r="P81" s="22"/>
      <c r="Q81" s="25"/>
      <c r="R81" s="563"/>
      <c r="S81" s="23"/>
      <c r="T81" s="26"/>
      <c r="U81" s="24"/>
      <c r="V81" s="23"/>
      <c r="W81" s="23"/>
      <c r="X81" s="564"/>
      <c r="Y81" s="564"/>
      <c r="Z81" s="565"/>
      <c r="AA81" s="565"/>
      <c r="AB81" s="566"/>
      <c r="AC81" s="559"/>
      <c r="AD81" s="559"/>
      <c r="AE81" s="559"/>
      <c r="AF81" s="559"/>
    </row>
    <row r="82" spans="1:32" s="510" customFormat="1" x14ac:dyDescent="0.2">
      <c r="A82" s="15"/>
      <c r="B82" s="21"/>
      <c r="C82" s="21"/>
      <c r="D82" s="15"/>
      <c r="E82" s="15"/>
      <c r="F82" s="15"/>
      <c r="G82" s="15"/>
      <c r="H82" s="22"/>
      <c r="I82" s="23"/>
      <c r="J82" s="24"/>
      <c r="K82" s="23"/>
      <c r="L82" s="15"/>
      <c r="M82" s="15"/>
      <c r="N82" s="15"/>
      <c r="O82" s="15"/>
      <c r="P82" s="22"/>
      <c r="Q82" s="25"/>
      <c r="R82" s="563"/>
      <c r="S82" s="23"/>
      <c r="T82" s="26"/>
      <c r="U82" s="24"/>
      <c r="V82" s="23"/>
      <c r="W82" s="23"/>
      <c r="X82" s="564"/>
      <c r="Y82" s="564"/>
      <c r="Z82" s="565"/>
      <c r="AA82" s="565"/>
      <c r="AB82" s="566"/>
      <c r="AC82" s="559"/>
      <c r="AD82" s="559"/>
      <c r="AE82" s="559"/>
      <c r="AF82" s="559"/>
    </row>
    <row r="83" spans="1:32" s="510" customFormat="1" x14ac:dyDescent="0.2">
      <c r="A83" s="15"/>
      <c r="B83" s="21"/>
      <c r="C83" s="21"/>
      <c r="D83" s="15"/>
      <c r="E83" s="15"/>
      <c r="F83" s="15"/>
      <c r="G83" s="15"/>
      <c r="H83" s="22"/>
      <c r="I83" s="23"/>
      <c r="J83" s="24"/>
      <c r="K83" s="23"/>
      <c r="L83" s="15"/>
      <c r="M83" s="15"/>
      <c r="N83" s="15"/>
      <c r="O83" s="15"/>
      <c r="P83" s="22"/>
      <c r="Q83" s="25"/>
      <c r="R83" s="563"/>
      <c r="S83" s="23"/>
      <c r="T83" s="26"/>
      <c r="U83" s="24"/>
      <c r="V83" s="23"/>
      <c r="W83" s="23"/>
      <c r="X83" s="564"/>
      <c r="Y83" s="564"/>
      <c r="Z83" s="565"/>
      <c r="AA83" s="565"/>
      <c r="AB83" s="566"/>
      <c r="AC83" s="559"/>
      <c r="AD83" s="559"/>
      <c r="AE83" s="559"/>
      <c r="AF83" s="559"/>
    </row>
    <row r="84" spans="1:32" s="510" customFormat="1" x14ac:dyDescent="0.2">
      <c r="A84" s="15"/>
      <c r="B84" s="21"/>
      <c r="C84" s="21"/>
      <c r="D84" s="15"/>
      <c r="E84" s="15"/>
      <c r="F84" s="15"/>
      <c r="G84" s="15"/>
      <c r="H84" s="22"/>
      <c r="I84" s="23"/>
      <c r="J84" s="24"/>
      <c r="K84" s="23"/>
      <c r="L84" s="15"/>
      <c r="M84" s="15"/>
      <c r="N84" s="15"/>
      <c r="O84" s="15"/>
      <c r="P84" s="22"/>
      <c r="Q84" s="25"/>
      <c r="R84" s="563"/>
      <c r="S84" s="23"/>
      <c r="T84" s="26"/>
      <c r="U84" s="24"/>
      <c r="V84" s="24"/>
      <c r="W84" s="23"/>
      <c r="X84" s="564"/>
      <c r="Y84" s="564"/>
      <c r="Z84" s="565"/>
      <c r="AA84" s="565"/>
      <c r="AB84" s="566"/>
      <c r="AC84" s="559"/>
      <c r="AD84" s="559"/>
      <c r="AE84" s="559"/>
      <c r="AF84" s="559"/>
    </row>
    <row r="85" spans="1:32" s="510" customFormat="1" x14ac:dyDescent="0.2">
      <c r="A85" s="15"/>
      <c r="B85" s="21"/>
      <c r="C85" s="21"/>
      <c r="D85" s="15"/>
      <c r="E85" s="15"/>
      <c r="F85" s="15"/>
      <c r="G85" s="15"/>
      <c r="H85" s="22"/>
      <c r="I85" s="23"/>
      <c r="J85" s="24"/>
      <c r="K85" s="23"/>
      <c r="L85" s="15"/>
      <c r="M85" s="15"/>
      <c r="N85" s="15"/>
      <c r="O85" s="15"/>
      <c r="P85" s="22"/>
      <c r="Q85" s="25"/>
      <c r="R85" s="563"/>
      <c r="S85" s="23"/>
      <c r="T85" s="26"/>
      <c r="U85" s="24"/>
      <c r="V85" s="24"/>
      <c r="W85" s="23"/>
      <c r="X85" s="564"/>
      <c r="Y85" s="564"/>
      <c r="Z85" s="565"/>
      <c r="AA85" s="565"/>
      <c r="AB85" s="566"/>
      <c r="AC85" s="559"/>
      <c r="AD85" s="559"/>
      <c r="AE85" s="559"/>
      <c r="AF85" s="559"/>
    </row>
    <row r="86" spans="1:32" s="510" customFormat="1" x14ac:dyDescent="0.2">
      <c r="A86" s="15"/>
      <c r="B86" s="21"/>
      <c r="C86" s="21"/>
      <c r="D86" s="15"/>
      <c r="E86" s="15"/>
      <c r="F86" s="15"/>
      <c r="G86" s="15"/>
      <c r="H86" s="22"/>
      <c r="I86" s="23"/>
      <c r="J86" s="24"/>
      <c r="K86" s="23"/>
      <c r="L86" s="15"/>
      <c r="M86" s="15"/>
      <c r="N86" s="15"/>
      <c r="O86" s="15"/>
      <c r="P86" s="22"/>
      <c r="Q86" s="25"/>
      <c r="R86" s="563"/>
      <c r="S86" s="23"/>
      <c r="T86" s="26"/>
      <c r="U86" s="24"/>
      <c r="V86" s="24"/>
      <c r="W86" s="23"/>
      <c r="X86" s="564"/>
      <c r="Y86" s="564"/>
      <c r="Z86" s="565"/>
      <c r="AA86" s="565"/>
      <c r="AB86" s="566"/>
      <c r="AC86" s="559"/>
      <c r="AD86" s="559"/>
      <c r="AE86" s="559"/>
      <c r="AF86" s="559"/>
    </row>
    <row r="87" spans="1:32" s="510" customFormat="1" x14ac:dyDescent="0.2">
      <c r="A87" s="15"/>
      <c r="B87" s="21"/>
      <c r="C87" s="21"/>
      <c r="D87" s="15"/>
      <c r="E87" s="15"/>
      <c r="F87" s="15"/>
      <c r="G87" s="15"/>
      <c r="H87" s="22"/>
      <c r="I87" s="23"/>
      <c r="J87" s="24"/>
      <c r="K87" s="23"/>
      <c r="L87" s="15"/>
      <c r="M87" s="15"/>
      <c r="N87" s="15"/>
      <c r="O87" s="15"/>
      <c r="P87" s="22"/>
      <c r="Q87" s="25"/>
      <c r="R87" s="563"/>
      <c r="S87" s="23"/>
      <c r="T87" s="26"/>
      <c r="U87" s="24"/>
      <c r="V87" s="23"/>
      <c r="W87" s="23"/>
      <c r="X87" s="564"/>
      <c r="Y87" s="564"/>
      <c r="Z87" s="565"/>
      <c r="AA87" s="565"/>
      <c r="AB87" s="566"/>
      <c r="AC87" s="559"/>
      <c r="AD87" s="559"/>
      <c r="AE87" s="559"/>
      <c r="AF87" s="559"/>
    </row>
    <row r="88" spans="1:32" s="510" customFormat="1" x14ac:dyDescent="0.2">
      <c r="A88" s="15"/>
      <c r="B88" s="21"/>
      <c r="C88" s="21"/>
      <c r="D88" s="15"/>
      <c r="E88" s="15"/>
      <c r="F88" s="15"/>
      <c r="G88" s="15"/>
      <c r="H88" s="22"/>
      <c r="I88" s="23"/>
      <c r="J88" s="24"/>
      <c r="K88" s="23"/>
      <c r="L88" s="15"/>
      <c r="M88" s="15"/>
      <c r="N88" s="15"/>
      <c r="O88" s="15"/>
      <c r="P88" s="22"/>
      <c r="Q88" s="25"/>
      <c r="R88" s="563"/>
      <c r="S88" s="23"/>
      <c r="T88" s="26"/>
      <c r="U88" s="24"/>
      <c r="V88" s="23"/>
      <c r="W88" s="23"/>
      <c r="X88" s="564"/>
      <c r="Y88" s="564"/>
      <c r="Z88" s="565"/>
      <c r="AA88" s="565"/>
      <c r="AB88" s="566"/>
      <c r="AC88" s="559"/>
      <c r="AD88" s="559"/>
      <c r="AE88" s="559"/>
      <c r="AF88" s="559"/>
    </row>
    <row r="89" spans="1:32" s="510" customFormat="1" x14ac:dyDescent="0.2">
      <c r="A89" s="15"/>
      <c r="B89" s="21"/>
      <c r="C89" s="21"/>
      <c r="D89" s="15"/>
      <c r="E89" s="15"/>
      <c r="F89" s="15"/>
      <c r="G89" s="15"/>
      <c r="H89" s="22"/>
      <c r="I89" s="23"/>
      <c r="J89" s="24"/>
      <c r="K89" s="23"/>
      <c r="L89" s="15"/>
      <c r="M89" s="15"/>
      <c r="N89" s="15"/>
      <c r="O89" s="15"/>
      <c r="P89" s="22"/>
      <c r="Q89" s="25"/>
      <c r="R89" s="563"/>
      <c r="S89" s="23"/>
      <c r="T89" s="26"/>
      <c r="U89" s="24"/>
      <c r="V89" s="23"/>
      <c r="W89" s="23"/>
      <c r="X89" s="564"/>
      <c r="Y89" s="564"/>
      <c r="Z89" s="565"/>
      <c r="AA89" s="565"/>
      <c r="AB89" s="566"/>
      <c r="AC89" s="559"/>
      <c r="AD89" s="559"/>
      <c r="AE89" s="559"/>
      <c r="AF89" s="559"/>
    </row>
    <row r="90" spans="1:32" s="510" customFormat="1" x14ac:dyDescent="0.2">
      <c r="A90" s="27"/>
      <c r="B90" s="28"/>
      <c r="C90" s="28"/>
      <c r="D90" s="27"/>
      <c r="E90" s="27"/>
      <c r="F90" s="27"/>
      <c r="G90" s="27"/>
      <c r="H90" s="29"/>
      <c r="I90" s="30"/>
      <c r="J90" s="31"/>
      <c r="K90" s="30"/>
      <c r="L90" s="27"/>
      <c r="M90" s="27"/>
      <c r="N90" s="27"/>
      <c r="O90" s="27"/>
      <c r="P90" s="27"/>
      <c r="Q90" s="32"/>
      <c r="R90" s="567"/>
      <c r="S90" s="30"/>
      <c r="T90" s="33"/>
      <c r="U90" s="31"/>
      <c r="V90" s="30"/>
      <c r="W90" s="30"/>
      <c r="X90" s="568"/>
      <c r="Y90" s="568"/>
      <c r="Z90" s="569"/>
      <c r="AA90" s="569"/>
      <c r="AB90" s="570"/>
      <c r="AC90" s="571"/>
      <c r="AD90" s="571"/>
      <c r="AE90" s="571"/>
      <c r="AF90" s="571"/>
    </row>
    <row r="91" spans="1:32" s="510" customFormat="1" ht="15" x14ac:dyDescent="0.25">
      <c r="A91" s="2027"/>
      <c r="B91" s="2027"/>
      <c r="C91" s="2027"/>
      <c r="D91" s="2027"/>
      <c r="E91" s="2027"/>
      <c r="F91" s="2027"/>
      <c r="G91" s="2027"/>
      <c r="H91" s="2028"/>
      <c r="I91" s="2029"/>
      <c r="J91" s="2030"/>
      <c r="K91" s="2029"/>
      <c r="L91" s="2029"/>
      <c r="M91" s="2029"/>
      <c r="N91" s="2029"/>
      <c r="O91" s="2029"/>
      <c r="P91" s="2029"/>
      <c r="Q91" s="2029"/>
      <c r="R91" s="2031"/>
      <c r="S91" s="2029"/>
      <c r="T91" s="2032"/>
      <c r="U91" s="2030"/>
      <c r="V91" s="2029"/>
      <c r="W91" s="2029"/>
      <c r="X91" s="2033"/>
      <c r="Y91" s="2033"/>
      <c r="Z91" s="2034"/>
      <c r="AA91" s="2034"/>
      <c r="AB91" s="2035">
        <f>SUM(AB74:AB90)</f>
        <v>277.72582399999999</v>
      </c>
      <c r="AC91" s="2036"/>
      <c r="AD91" s="2036"/>
      <c r="AE91" s="2036"/>
      <c r="AF91" s="2036"/>
    </row>
    <row r="92" spans="1:32" s="510" customFormat="1" ht="15.75" x14ac:dyDescent="0.25">
      <c r="A92" s="2820" t="s">
        <v>76</v>
      </c>
      <c r="B92" s="2820"/>
      <c r="C92" s="2821" t="s">
        <v>77</v>
      </c>
      <c r="D92" s="2821"/>
      <c r="E92" s="2821"/>
      <c r="F92" s="2821"/>
      <c r="G92" s="2821"/>
      <c r="H92" s="2821"/>
      <c r="I92" s="577" t="s">
        <v>78</v>
      </c>
      <c r="J92" s="577"/>
      <c r="K92" s="577"/>
      <c r="L92" s="577"/>
      <c r="M92" s="577"/>
      <c r="N92" s="577"/>
      <c r="AB92" s="578"/>
    </row>
    <row r="93" spans="1:32" s="510" customFormat="1" ht="15.75" x14ac:dyDescent="0.25">
      <c r="A93" s="577"/>
      <c r="B93" s="579"/>
      <c r="C93" s="577"/>
      <c r="D93" s="577"/>
      <c r="E93" s="577"/>
      <c r="F93" s="577"/>
      <c r="G93" s="577"/>
      <c r="H93" s="577"/>
      <c r="I93" s="577" t="s">
        <v>79</v>
      </c>
      <c r="J93" s="577"/>
      <c r="K93" s="577"/>
      <c r="L93" s="577"/>
      <c r="M93" s="577"/>
      <c r="N93" s="577"/>
      <c r="AB93" s="578"/>
    </row>
    <row r="94" spans="1:32" s="510" customFormat="1" ht="15.75" x14ac:dyDescent="0.25">
      <c r="A94" s="577"/>
      <c r="B94" s="579"/>
      <c r="C94" s="577"/>
      <c r="D94" s="577"/>
      <c r="E94" s="577"/>
      <c r="F94" s="577"/>
      <c r="G94" s="577"/>
      <c r="H94" s="577"/>
      <c r="I94" s="577" t="s">
        <v>80</v>
      </c>
      <c r="J94" s="577"/>
      <c r="K94" s="577"/>
      <c r="L94" s="577"/>
      <c r="M94" s="577"/>
      <c r="N94" s="577"/>
      <c r="AB94" s="578"/>
    </row>
    <row r="95" spans="1:32" s="510" customFormat="1" ht="15.75" x14ac:dyDescent="0.25">
      <c r="A95" s="577"/>
      <c r="B95" s="579"/>
      <c r="C95" s="577"/>
      <c r="D95" s="577"/>
      <c r="E95" s="577"/>
      <c r="F95" s="577"/>
      <c r="G95" s="577"/>
      <c r="H95" s="577"/>
      <c r="I95" s="577" t="s">
        <v>81</v>
      </c>
      <c r="J95" s="577"/>
      <c r="K95" s="577"/>
      <c r="L95" s="577"/>
      <c r="M95" s="577"/>
      <c r="N95" s="577"/>
      <c r="AB95" s="578"/>
    </row>
    <row r="96" spans="1:32" s="510" customFormat="1" ht="15.75" x14ac:dyDescent="0.25">
      <c r="A96" s="577"/>
      <c r="B96" s="579"/>
      <c r="C96" s="577"/>
      <c r="D96" s="577"/>
      <c r="E96" s="577"/>
      <c r="F96" s="577"/>
      <c r="G96" s="577"/>
      <c r="H96" s="577"/>
      <c r="I96" s="577" t="s">
        <v>88</v>
      </c>
      <c r="J96" s="577"/>
      <c r="K96" s="577"/>
      <c r="L96" s="577"/>
      <c r="M96" s="577"/>
      <c r="N96" s="577"/>
      <c r="AB96" s="578"/>
    </row>
    <row r="97" spans="1:33" s="510" customFormat="1" ht="18.75" x14ac:dyDescent="0.2">
      <c r="A97" s="338"/>
      <c r="B97" s="338"/>
      <c r="C97" s="338"/>
      <c r="D97" s="338"/>
      <c r="E97" s="338"/>
      <c r="F97" s="338"/>
      <c r="G97" s="338"/>
      <c r="H97" s="338"/>
      <c r="I97" s="338"/>
      <c r="J97" s="338"/>
      <c r="K97" s="338"/>
      <c r="L97" s="338"/>
      <c r="M97" s="338"/>
      <c r="N97" s="338"/>
      <c r="O97" s="338"/>
      <c r="P97" s="338"/>
      <c r="Q97" s="338"/>
      <c r="R97" s="338"/>
      <c r="S97" s="338"/>
      <c r="T97" s="338"/>
      <c r="U97" s="338"/>
      <c r="V97" s="338"/>
      <c r="W97" s="338"/>
      <c r="X97" s="338"/>
      <c r="Y97" s="338"/>
      <c r="Z97" s="338"/>
      <c r="AA97" s="2774" t="s">
        <v>0</v>
      </c>
      <c r="AB97" s="2774"/>
      <c r="AC97" s="338"/>
      <c r="AD97" s="338"/>
      <c r="AE97" s="338"/>
      <c r="AF97" s="338"/>
    </row>
    <row r="98" spans="1:33" s="510" customFormat="1" ht="18.75" x14ac:dyDescent="0.2">
      <c r="A98" s="2703" t="s">
        <v>1</v>
      </c>
      <c r="B98" s="2703"/>
      <c r="C98" s="2703"/>
      <c r="D98" s="2703"/>
      <c r="E98" s="2703"/>
      <c r="F98" s="2703"/>
      <c r="G98" s="2703"/>
      <c r="H98" s="2703"/>
      <c r="I98" s="2703"/>
      <c r="J98" s="2703"/>
      <c r="K98" s="2703"/>
      <c r="L98" s="2703"/>
      <c r="M98" s="2703"/>
      <c r="N98" s="2703"/>
      <c r="O98" s="2703"/>
      <c r="P98" s="2703"/>
      <c r="Q98" s="2703"/>
      <c r="R98" s="2703"/>
      <c r="S98" s="2703"/>
      <c r="T98" s="2703"/>
      <c r="U98" s="2703"/>
      <c r="V98" s="2703"/>
      <c r="W98" s="2703"/>
      <c r="X98" s="2703"/>
      <c r="Y98" s="2703"/>
      <c r="Z98" s="2703"/>
      <c r="AA98" s="2703"/>
      <c r="AB98" s="2703"/>
      <c r="AC98" s="344"/>
      <c r="AD98" s="344"/>
      <c r="AE98" s="344"/>
      <c r="AF98" s="344"/>
    </row>
    <row r="99" spans="1:33" s="510" customFormat="1" ht="21" x14ac:dyDescent="0.2">
      <c r="A99" s="2780" t="s">
        <v>521</v>
      </c>
      <c r="B99" s="2780"/>
      <c r="C99" s="2780"/>
      <c r="D99" s="2780"/>
      <c r="E99" s="2780"/>
      <c r="F99" s="2780"/>
      <c r="G99" s="2780"/>
      <c r="H99" s="2780"/>
      <c r="I99" s="2780"/>
      <c r="J99" s="2780"/>
      <c r="K99" s="2780"/>
      <c r="L99" s="2780"/>
      <c r="M99" s="2780"/>
      <c r="N99" s="2780"/>
      <c r="O99" s="2780"/>
      <c r="P99" s="2780"/>
      <c r="Q99" s="2780"/>
      <c r="R99" s="2780"/>
      <c r="S99" s="2780"/>
      <c r="T99" s="2780"/>
      <c r="U99" s="2780"/>
      <c r="V99" s="2780"/>
      <c r="W99" s="2780"/>
      <c r="X99" s="2780"/>
      <c r="Y99" s="2780"/>
      <c r="Z99" s="2780"/>
      <c r="AA99" s="2780"/>
      <c r="AB99" s="2780"/>
      <c r="AC99" s="345"/>
      <c r="AD99" s="345"/>
      <c r="AE99" s="345"/>
      <c r="AF99" s="345"/>
    </row>
    <row r="100" spans="1:33" s="510" customFormat="1" ht="15" x14ac:dyDescent="0.25">
      <c r="A100" s="2686" t="s">
        <v>2</v>
      </c>
      <c r="B100" s="511"/>
      <c r="C100" s="2686" t="s">
        <v>3</v>
      </c>
      <c r="D100" s="511"/>
      <c r="E100" s="511"/>
      <c r="F100" s="2693" t="s">
        <v>4</v>
      </c>
      <c r="G100" s="2693"/>
      <c r="H100" s="2693"/>
      <c r="I100" s="2694"/>
      <c r="J100" s="2694"/>
      <c r="K100" s="2695"/>
      <c r="L100" s="361"/>
      <c r="M100" s="2679" t="s">
        <v>5</v>
      </c>
      <c r="N100" s="2679"/>
      <c r="O100" s="2679"/>
      <c r="P100" s="2679"/>
      <c r="Q100" s="2696"/>
      <c r="R100" s="2696"/>
      <c r="S100" s="2696"/>
      <c r="T100" s="2696"/>
      <c r="U100" s="2696"/>
      <c r="V100" s="2697"/>
      <c r="W100" s="512" t="s">
        <v>6</v>
      </c>
      <c r="X100" s="513" t="s">
        <v>7</v>
      </c>
      <c r="Y100" s="514"/>
      <c r="Z100" s="514"/>
      <c r="AA100" s="513"/>
      <c r="AB100" s="515"/>
      <c r="AC100" s="516" t="s">
        <v>8</v>
      </c>
      <c r="AD100" s="346"/>
      <c r="AE100" s="346"/>
      <c r="AF100" s="517"/>
    </row>
    <row r="101" spans="1:33" s="510" customFormat="1" x14ac:dyDescent="0.2">
      <c r="A101" s="2687"/>
      <c r="B101" s="367"/>
      <c r="C101" s="2687"/>
      <c r="D101" s="518" t="s">
        <v>9</v>
      </c>
      <c r="E101" s="519" t="s">
        <v>10</v>
      </c>
      <c r="F101" s="2698" t="s">
        <v>11</v>
      </c>
      <c r="G101" s="2694"/>
      <c r="H101" s="2695"/>
      <c r="I101" s="511"/>
      <c r="J101" s="520" t="s">
        <v>12</v>
      </c>
      <c r="K101" s="511"/>
      <c r="L101" s="2679" t="s">
        <v>2</v>
      </c>
      <c r="M101" s="521"/>
      <c r="N101" s="521"/>
      <c r="O101" s="521"/>
      <c r="P101" s="522"/>
      <c r="Q101" s="523" t="s">
        <v>13</v>
      </c>
      <c r="R101" s="524" t="s">
        <v>12</v>
      </c>
      <c r="S101" s="521" t="s">
        <v>6</v>
      </c>
      <c r="T101" s="2682" t="s">
        <v>14</v>
      </c>
      <c r="U101" s="2683"/>
      <c r="V101" s="525" t="s">
        <v>7</v>
      </c>
      <c r="W101" s="526" t="s">
        <v>15</v>
      </c>
      <c r="X101" s="527" t="s">
        <v>16</v>
      </c>
      <c r="Y101" s="527" t="s">
        <v>17</v>
      </c>
      <c r="Z101" s="527" t="s">
        <v>18</v>
      </c>
      <c r="AA101" s="377"/>
      <c r="AB101" s="378" t="s">
        <v>19</v>
      </c>
      <c r="AC101" s="528" t="s">
        <v>20</v>
      </c>
      <c r="AD101" s="529"/>
      <c r="AE101" s="347" t="s">
        <v>21</v>
      </c>
      <c r="AF101" s="340" t="s">
        <v>22</v>
      </c>
    </row>
    <row r="102" spans="1:33" s="510" customFormat="1" x14ac:dyDescent="0.2">
      <c r="A102" s="2687"/>
      <c r="B102" s="1996" t="s">
        <v>23</v>
      </c>
      <c r="C102" s="2687"/>
      <c r="D102" s="518" t="s">
        <v>24</v>
      </c>
      <c r="E102" s="519" t="s">
        <v>25</v>
      </c>
      <c r="F102" s="2699"/>
      <c r="G102" s="2700"/>
      <c r="H102" s="2701"/>
      <c r="I102" s="518" t="s">
        <v>26</v>
      </c>
      <c r="J102" s="530" t="s">
        <v>15</v>
      </c>
      <c r="K102" s="531" t="s">
        <v>6</v>
      </c>
      <c r="L102" s="2680"/>
      <c r="M102" s="532" t="s">
        <v>27</v>
      </c>
      <c r="N102" s="532" t="s">
        <v>10</v>
      </c>
      <c r="O102" s="533" t="s">
        <v>10</v>
      </c>
      <c r="P102" s="534" t="s">
        <v>28</v>
      </c>
      <c r="Q102" s="535" t="s">
        <v>29</v>
      </c>
      <c r="R102" s="534" t="s">
        <v>15</v>
      </c>
      <c r="S102" s="385" t="s">
        <v>15</v>
      </c>
      <c r="T102" s="2684"/>
      <c r="U102" s="2685"/>
      <c r="V102" s="525" t="s">
        <v>30</v>
      </c>
      <c r="W102" s="526" t="s">
        <v>31</v>
      </c>
      <c r="X102" s="527" t="s">
        <v>30</v>
      </c>
      <c r="Y102" s="527" t="s">
        <v>32</v>
      </c>
      <c r="Z102" s="527" t="s">
        <v>7</v>
      </c>
      <c r="AA102" s="377" t="s">
        <v>33</v>
      </c>
      <c r="AB102" s="378" t="s">
        <v>34</v>
      </c>
      <c r="AC102" s="528" t="s">
        <v>35</v>
      </c>
      <c r="AD102" s="347" t="s">
        <v>36</v>
      </c>
      <c r="AE102" s="347" t="s">
        <v>37</v>
      </c>
      <c r="AF102" s="340" t="s">
        <v>38</v>
      </c>
    </row>
    <row r="103" spans="1:33" s="510" customFormat="1" x14ac:dyDescent="0.2">
      <c r="A103" s="2687"/>
      <c r="B103" s="1996" t="s">
        <v>39</v>
      </c>
      <c r="C103" s="2687"/>
      <c r="D103" s="518" t="s">
        <v>40</v>
      </c>
      <c r="E103" s="519" t="s">
        <v>41</v>
      </c>
      <c r="F103" s="2686" t="s">
        <v>42</v>
      </c>
      <c r="G103" s="2686" t="s">
        <v>43</v>
      </c>
      <c r="H103" s="2688" t="s">
        <v>44</v>
      </c>
      <c r="I103" s="518" t="s">
        <v>45</v>
      </c>
      <c r="J103" s="530" t="s">
        <v>46</v>
      </c>
      <c r="K103" s="531" t="s">
        <v>47</v>
      </c>
      <c r="L103" s="2680"/>
      <c r="M103" s="532" t="s">
        <v>30</v>
      </c>
      <c r="N103" s="532" t="s">
        <v>30</v>
      </c>
      <c r="O103" s="533" t="s">
        <v>25</v>
      </c>
      <c r="P103" s="534" t="s">
        <v>30</v>
      </c>
      <c r="Q103" s="535" t="s">
        <v>48</v>
      </c>
      <c r="R103" s="534" t="s">
        <v>49</v>
      </c>
      <c r="S103" s="385" t="s">
        <v>30</v>
      </c>
      <c r="T103" s="536" t="s">
        <v>50</v>
      </c>
      <c r="U103" s="537" t="s">
        <v>13</v>
      </c>
      <c r="V103" s="525" t="s">
        <v>51</v>
      </c>
      <c r="W103" s="526" t="s">
        <v>52</v>
      </c>
      <c r="X103" s="527" t="s">
        <v>53</v>
      </c>
      <c r="Y103" s="527" t="s">
        <v>54</v>
      </c>
      <c r="Z103" s="527" t="s">
        <v>55</v>
      </c>
      <c r="AA103" s="377" t="s">
        <v>56</v>
      </c>
      <c r="AB103" s="378" t="s">
        <v>57</v>
      </c>
      <c r="AC103" s="347" t="s">
        <v>58</v>
      </c>
      <c r="AD103" s="347" t="s">
        <v>59</v>
      </c>
      <c r="AE103" s="347" t="s">
        <v>59</v>
      </c>
      <c r="AF103" s="340" t="s">
        <v>60</v>
      </c>
    </row>
    <row r="104" spans="1:33" s="510" customFormat="1" ht="15" x14ac:dyDescent="0.25">
      <c r="A104" s="2687"/>
      <c r="B104" s="1996" t="s">
        <v>61</v>
      </c>
      <c r="C104" s="2687"/>
      <c r="D104" s="518" t="s">
        <v>62</v>
      </c>
      <c r="E104" s="519" t="s">
        <v>63</v>
      </c>
      <c r="F104" s="2687"/>
      <c r="G104" s="2687"/>
      <c r="H104" s="2689"/>
      <c r="I104" s="518" t="s">
        <v>64</v>
      </c>
      <c r="J104" s="530" t="s">
        <v>59</v>
      </c>
      <c r="K104" s="531" t="s">
        <v>59</v>
      </c>
      <c r="L104" s="2680"/>
      <c r="M104" s="532"/>
      <c r="N104" s="532"/>
      <c r="O104" s="533" t="s">
        <v>41</v>
      </c>
      <c r="P104" s="534" t="s">
        <v>65</v>
      </c>
      <c r="Q104" s="535" t="s">
        <v>66</v>
      </c>
      <c r="R104" s="534" t="s">
        <v>67</v>
      </c>
      <c r="S104" s="385" t="s">
        <v>59</v>
      </c>
      <c r="T104" s="538" t="s">
        <v>68</v>
      </c>
      <c r="U104" s="525" t="s">
        <v>14</v>
      </c>
      <c r="V104" s="525" t="s">
        <v>14</v>
      </c>
      <c r="W104" s="526" t="s">
        <v>30</v>
      </c>
      <c r="X104" s="539" t="s">
        <v>69</v>
      </c>
      <c r="Y104" s="539" t="s">
        <v>70</v>
      </c>
      <c r="Z104" s="527" t="s">
        <v>71</v>
      </c>
      <c r="AA104" s="377" t="s">
        <v>72</v>
      </c>
      <c r="AB104" s="540" t="s">
        <v>59</v>
      </c>
      <c r="AC104" s="347" t="s">
        <v>59</v>
      </c>
      <c r="AD104" s="347"/>
      <c r="AE104" s="347"/>
      <c r="AF104" s="340" t="s">
        <v>59</v>
      </c>
    </row>
    <row r="105" spans="1:33" s="510" customFormat="1" x14ac:dyDescent="0.2">
      <c r="A105" s="2692"/>
      <c r="B105" s="390"/>
      <c r="C105" s="2692"/>
      <c r="D105" s="541"/>
      <c r="E105" s="542"/>
      <c r="F105" s="390"/>
      <c r="G105" s="390"/>
      <c r="H105" s="391"/>
      <c r="I105" s="542"/>
      <c r="J105" s="543"/>
      <c r="K105" s="544"/>
      <c r="L105" s="2681"/>
      <c r="M105" s="545"/>
      <c r="N105" s="545"/>
      <c r="O105" s="545" t="s">
        <v>63</v>
      </c>
      <c r="P105" s="546"/>
      <c r="Q105" s="547" t="s">
        <v>72</v>
      </c>
      <c r="R105" s="548" t="s">
        <v>59</v>
      </c>
      <c r="S105" s="549"/>
      <c r="T105" s="548" t="s">
        <v>73</v>
      </c>
      <c r="U105" s="549" t="s">
        <v>59</v>
      </c>
      <c r="V105" s="550" t="s">
        <v>59</v>
      </c>
      <c r="W105" s="551" t="s">
        <v>59</v>
      </c>
      <c r="X105" s="552" t="s">
        <v>59</v>
      </c>
      <c r="Y105" s="552" t="s">
        <v>59</v>
      </c>
      <c r="Z105" s="552" t="s">
        <v>59</v>
      </c>
      <c r="AA105" s="402"/>
      <c r="AB105" s="403"/>
      <c r="AC105" s="348"/>
      <c r="AD105" s="348"/>
      <c r="AE105" s="348"/>
      <c r="AF105" s="341"/>
    </row>
    <row r="106" spans="1:33" s="2425" customFormat="1" ht="15" x14ac:dyDescent="0.25">
      <c r="A106" s="2418">
        <v>1</v>
      </c>
      <c r="B106" s="2419">
        <v>61731</v>
      </c>
      <c r="C106" s="2420">
        <v>1760</v>
      </c>
      <c r="D106" s="2420" t="s">
        <v>238</v>
      </c>
      <c r="E106" s="2312">
        <v>2</v>
      </c>
      <c r="F106" s="2420">
        <v>2</v>
      </c>
      <c r="G106" s="2420">
        <v>2</v>
      </c>
      <c r="H106" s="2421">
        <v>55.6</v>
      </c>
      <c r="I106" s="2283">
        <f>F106*400+G106*100+H106</f>
        <v>1055.5999999999999</v>
      </c>
      <c r="J106" s="2284">
        <v>1400</v>
      </c>
      <c r="K106" s="2285">
        <f>SUM(I106*J106)</f>
        <v>1477839.9999999998</v>
      </c>
      <c r="L106" s="2279">
        <v>1</v>
      </c>
      <c r="M106" s="2422">
        <v>103</v>
      </c>
      <c r="N106" s="2420" t="s">
        <v>74</v>
      </c>
      <c r="O106" s="2418">
        <v>2</v>
      </c>
      <c r="P106" s="2423">
        <f t="shared" ref="P106:P112" si="7">4.23*10.45</f>
        <v>44.203499999999998</v>
      </c>
      <c r="Q106" s="2289" t="s">
        <v>75</v>
      </c>
      <c r="R106" s="2290">
        <v>9050</v>
      </c>
      <c r="S106" s="2283">
        <f>P106*R106</f>
        <v>400041.67499999999</v>
      </c>
      <c r="T106" s="2424">
        <v>8</v>
      </c>
      <c r="U106" s="2293">
        <f>+S106*0.08</f>
        <v>32003.333999999999</v>
      </c>
      <c r="V106" s="2293">
        <f>SUM(S106-U106)</f>
        <v>368038.34100000001</v>
      </c>
      <c r="W106" s="2283">
        <f>K106+V106</f>
        <v>1845878.3409999998</v>
      </c>
      <c r="X106" s="2293">
        <f>W106</f>
        <v>1845878.3409999998</v>
      </c>
      <c r="Y106" s="2283"/>
      <c r="Z106" s="2283">
        <f>+X106</f>
        <v>1845878.3409999998</v>
      </c>
      <c r="AA106" s="2294">
        <v>0.02</v>
      </c>
      <c r="AB106" s="2284">
        <f>+Z106*AA106/100</f>
        <v>369.17566820000002</v>
      </c>
      <c r="AG106" s="2426">
        <v>55.496362732500003</v>
      </c>
    </row>
    <row r="107" spans="1:33" s="2425" customFormat="1" x14ac:dyDescent="0.2">
      <c r="A107" s="2287"/>
      <c r="B107" s="2312"/>
      <c r="C107" s="2312"/>
      <c r="D107" s="2312"/>
      <c r="E107" s="2312"/>
      <c r="F107" s="2312"/>
      <c r="G107" s="2312"/>
      <c r="H107" s="2313"/>
      <c r="I107" s="2283"/>
      <c r="J107" s="2284"/>
      <c r="K107" s="2285"/>
      <c r="L107" s="2279">
        <v>2</v>
      </c>
      <c r="M107" s="2317">
        <v>103</v>
      </c>
      <c r="N107" s="2312" t="s">
        <v>74</v>
      </c>
      <c r="O107" s="2287">
        <v>2</v>
      </c>
      <c r="P107" s="2427">
        <f t="shared" si="7"/>
        <v>44.203499999999998</v>
      </c>
      <c r="Q107" s="2289" t="s">
        <v>75</v>
      </c>
      <c r="R107" s="2290">
        <v>9050</v>
      </c>
      <c r="S107" s="2283">
        <f>P107*R107</f>
        <v>400041.67499999999</v>
      </c>
      <c r="T107" s="2424">
        <v>8</v>
      </c>
      <c r="U107" s="2293">
        <f t="shared" ref="U107:U117" si="8">+S107*0.08</f>
        <v>32003.333999999999</v>
      </c>
      <c r="V107" s="2293">
        <f t="shared" ref="V107:V117" si="9">SUM(S107-U107)</f>
        <v>368038.34100000001</v>
      </c>
      <c r="W107" s="2283">
        <f t="shared" ref="W107:W117" si="10">K107+V107</f>
        <v>368038.34100000001</v>
      </c>
      <c r="X107" s="2293">
        <f t="shared" ref="X107:X117" si="11">W107</f>
        <v>368038.34100000001</v>
      </c>
      <c r="Y107" s="2283"/>
      <c r="Z107" s="2283">
        <f t="shared" ref="Z107:Z117" si="12">+X107</f>
        <v>368038.34100000001</v>
      </c>
      <c r="AA107" s="2294">
        <v>0.02</v>
      </c>
      <c r="AB107" s="2284">
        <f t="shared" ref="AB107:AB117" si="13">+Z107*AA107/100</f>
        <v>73.607668200000006</v>
      </c>
      <c r="AG107" s="2426">
        <v>11.161162732499999</v>
      </c>
    </row>
    <row r="108" spans="1:33" s="2425" customFormat="1" x14ac:dyDescent="0.2">
      <c r="A108" s="2287"/>
      <c r="B108" s="2312"/>
      <c r="C108" s="2312"/>
      <c r="D108" s="2312"/>
      <c r="E108" s="2312"/>
      <c r="F108" s="2312"/>
      <c r="G108" s="2312"/>
      <c r="H108" s="2313"/>
      <c r="I108" s="2283"/>
      <c r="J108" s="2284"/>
      <c r="K108" s="2285"/>
      <c r="L108" s="2279">
        <v>3</v>
      </c>
      <c r="M108" s="2428">
        <v>103</v>
      </c>
      <c r="N108" s="2312" t="s">
        <v>74</v>
      </c>
      <c r="O108" s="2287">
        <v>2</v>
      </c>
      <c r="P108" s="2389">
        <f t="shared" si="7"/>
        <v>44.203499999999998</v>
      </c>
      <c r="Q108" s="2289" t="s">
        <v>75</v>
      </c>
      <c r="R108" s="2290">
        <v>9050</v>
      </c>
      <c r="S108" s="2283">
        <f t="shared" ref="S108:S117" si="14">P108*R108</f>
        <v>400041.67499999999</v>
      </c>
      <c r="T108" s="2424">
        <v>8</v>
      </c>
      <c r="U108" s="2293">
        <f t="shared" si="8"/>
        <v>32003.333999999999</v>
      </c>
      <c r="V108" s="2293">
        <f t="shared" si="9"/>
        <v>368038.34100000001</v>
      </c>
      <c r="W108" s="2283">
        <f t="shared" si="10"/>
        <v>368038.34100000001</v>
      </c>
      <c r="X108" s="2293">
        <f t="shared" si="11"/>
        <v>368038.34100000001</v>
      </c>
      <c r="Y108" s="2283"/>
      <c r="Z108" s="2283">
        <f t="shared" si="12"/>
        <v>368038.34100000001</v>
      </c>
      <c r="AA108" s="2294">
        <v>0.02</v>
      </c>
      <c r="AB108" s="2284">
        <f t="shared" si="13"/>
        <v>73.607668200000006</v>
      </c>
      <c r="AG108" s="2426">
        <v>11.161162732499999</v>
      </c>
    </row>
    <row r="109" spans="1:33" s="2425" customFormat="1" x14ac:dyDescent="0.2">
      <c r="A109" s="2287"/>
      <c r="B109" s="2312"/>
      <c r="C109" s="2312"/>
      <c r="D109" s="2312"/>
      <c r="E109" s="2312"/>
      <c r="F109" s="2312"/>
      <c r="G109" s="2312"/>
      <c r="H109" s="2313"/>
      <c r="I109" s="2283"/>
      <c r="J109" s="2284"/>
      <c r="K109" s="2285"/>
      <c r="L109" s="2279">
        <v>4</v>
      </c>
      <c r="M109" s="2428">
        <v>103</v>
      </c>
      <c r="N109" s="2312" t="s">
        <v>74</v>
      </c>
      <c r="O109" s="2287">
        <v>2</v>
      </c>
      <c r="P109" s="2389">
        <f t="shared" si="7"/>
        <v>44.203499999999998</v>
      </c>
      <c r="Q109" s="2289" t="s">
        <v>75</v>
      </c>
      <c r="R109" s="2290">
        <v>9050</v>
      </c>
      <c r="S109" s="2283">
        <f t="shared" si="14"/>
        <v>400041.67499999999</v>
      </c>
      <c r="T109" s="2424">
        <v>8</v>
      </c>
      <c r="U109" s="2293">
        <f t="shared" si="8"/>
        <v>32003.333999999999</v>
      </c>
      <c r="V109" s="2293">
        <f t="shared" si="9"/>
        <v>368038.34100000001</v>
      </c>
      <c r="W109" s="2283">
        <f t="shared" si="10"/>
        <v>368038.34100000001</v>
      </c>
      <c r="X109" s="2293">
        <f t="shared" si="11"/>
        <v>368038.34100000001</v>
      </c>
      <c r="Y109" s="2283"/>
      <c r="Z109" s="2283">
        <f t="shared" si="12"/>
        <v>368038.34100000001</v>
      </c>
      <c r="AA109" s="2294">
        <v>0.02</v>
      </c>
      <c r="AB109" s="2284">
        <f t="shared" si="13"/>
        <v>73.607668200000006</v>
      </c>
      <c r="AG109" s="2426">
        <v>11.161162732499999</v>
      </c>
    </row>
    <row r="110" spans="1:33" s="2425" customFormat="1" x14ac:dyDescent="0.2">
      <c r="A110" s="2287"/>
      <c r="B110" s="2312"/>
      <c r="C110" s="2312"/>
      <c r="D110" s="2312"/>
      <c r="E110" s="2312"/>
      <c r="F110" s="2312"/>
      <c r="G110" s="2312"/>
      <c r="H110" s="2313"/>
      <c r="I110" s="2283"/>
      <c r="J110" s="2284"/>
      <c r="K110" s="2285"/>
      <c r="L110" s="2279">
        <v>5</v>
      </c>
      <c r="M110" s="2428">
        <v>103</v>
      </c>
      <c r="N110" s="2312" t="s">
        <v>74</v>
      </c>
      <c r="O110" s="2287">
        <v>2</v>
      </c>
      <c r="P110" s="2389">
        <f t="shared" si="7"/>
        <v>44.203499999999998</v>
      </c>
      <c r="Q110" s="2289" t="s">
        <v>75</v>
      </c>
      <c r="R110" s="2290">
        <v>9050</v>
      </c>
      <c r="S110" s="2283">
        <f t="shared" si="14"/>
        <v>400041.67499999999</v>
      </c>
      <c r="T110" s="2424">
        <v>8</v>
      </c>
      <c r="U110" s="2293">
        <f t="shared" si="8"/>
        <v>32003.333999999999</v>
      </c>
      <c r="V110" s="2293">
        <f t="shared" si="9"/>
        <v>368038.34100000001</v>
      </c>
      <c r="W110" s="2283">
        <f t="shared" si="10"/>
        <v>368038.34100000001</v>
      </c>
      <c r="X110" s="2293">
        <f t="shared" si="11"/>
        <v>368038.34100000001</v>
      </c>
      <c r="Y110" s="2283"/>
      <c r="Z110" s="2283">
        <f t="shared" si="12"/>
        <v>368038.34100000001</v>
      </c>
      <c r="AA110" s="2294">
        <v>0.02</v>
      </c>
      <c r="AB110" s="2284">
        <f t="shared" si="13"/>
        <v>73.607668200000006</v>
      </c>
      <c r="AG110" s="2426">
        <v>11.161162732499999</v>
      </c>
    </row>
    <row r="111" spans="1:33" s="2425" customFormat="1" x14ac:dyDescent="0.2">
      <c r="A111" s="2287"/>
      <c r="B111" s="2312"/>
      <c r="C111" s="2312"/>
      <c r="D111" s="2312"/>
      <c r="E111" s="2312"/>
      <c r="F111" s="2312"/>
      <c r="G111" s="2312"/>
      <c r="H111" s="2313"/>
      <c r="I111" s="2283"/>
      <c r="J111" s="2284"/>
      <c r="K111" s="2285"/>
      <c r="L111" s="2279">
        <v>6</v>
      </c>
      <c r="M111" s="2428">
        <v>103</v>
      </c>
      <c r="N111" s="2312" t="s">
        <v>74</v>
      </c>
      <c r="O111" s="2287">
        <v>2</v>
      </c>
      <c r="P111" s="2389">
        <f t="shared" si="7"/>
        <v>44.203499999999998</v>
      </c>
      <c r="Q111" s="2289" t="s">
        <v>75</v>
      </c>
      <c r="R111" s="2290">
        <v>9050</v>
      </c>
      <c r="S111" s="2283">
        <f t="shared" si="14"/>
        <v>400041.67499999999</v>
      </c>
      <c r="T111" s="2424">
        <v>8</v>
      </c>
      <c r="U111" s="2293">
        <f t="shared" si="8"/>
        <v>32003.333999999999</v>
      </c>
      <c r="V111" s="2293">
        <f t="shared" si="9"/>
        <v>368038.34100000001</v>
      </c>
      <c r="W111" s="2283">
        <f t="shared" si="10"/>
        <v>368038.34100000001</v>
      </c>
      <c r="X111" s="2293">
        <f t="shared" si="11"/>
        <v>368038.34100000001</v>
      </c>
      <c r="Y111" s="2283"/>
      <c r="Z111" s="2283">
        <f t="shared" si="12"/>
        <v>368038.34100000001</v>
      </c>
      <c r="AA111" s="2294">
        <v>0.02</v>
      </c>
      <c r="AB111" s="2284">
        <f t="shared" si="13"/>
        <v>73.607668200000006</v>
      </c>
      <c r="AG111" s="2426">
        <v>11.161162732499999</v>
      </c>
    </row>
    <row r="112" spans="1:33" s="2425" customFormat="1" x14ac:dyDescent="0.2">
      <c r="A112" s="2287"/>
      <c r="B112" s="2312"/>
      <c r="C112" s="2312"/>
      <c r="D112" s="2312"/>
      <c r="E112" s="2312"/>
      <c r="F112" s="2312"/>
      <c r="G112" s="2312"/>
      <c r="H112" s="2313"/>
      <c r="I112" s="2283"/>
      <c r="J112" s="2284"/>
      <c r="K112" s="2285"/>
      <c r="L112" s="2279">
        <v>7</v>
      </c>
      <c r="M112" s="2428">
        <v>103</v>
      </c>
      <c r="N112" s="2312" t="s">
        <v>74</v>
      </c>
      <c r="O112" s="2287">
        <v>2</v>
      </c>
      <c r="P112" s="2389">
        <f t="shared" si="7"/>
        <v>44.203499999999998</v>
      </c>
      <c r="Q112" s="2289" t="s">
        <v>75</v>
      </c>
      <c r="R112" s="2290">
        <v>9050</v>
      </c>
      <c r="S112" s="2283">
        <f t="shared" si="14"/>
        <v>400041.67499999999</v>
      </c>
      <c r="T112" s="2424">
        <v>8</v>
      </c>
      <c r="U112" s="2293">
        <f t="shared" si="8"/>
        <v>32003.333999999999</v>
      </c>
      <c r="V112" s="2293">
        <f t="shared" si="9"/>
        <v>368038.34100000001</v>
      </c>
      <c r="W112" s="2283">
        <f t="shared" si="10"/>
        <v>368038.34100000001</v>
      </c>
      <c r="X112" s="2293">
        <f t="shared" si="11"/>
        <v>368038.34100000001</v>
      </c>
      <c r="Y112" s="2283"/>
      <c r="Z112" s="2283">
        <f t="shared" si="12"/>
        <v>368038.34100000001</v>
      </c>
      <c r="AA112" s="2294">
        <v>0.02</v>
      </c>
      <c r="AB112" s="2284">
        <f t="shared" si="13"/>
        <v>73.607668200000006</v>
      </c>
      <c r="AG112" s="2426">
        <v>11.161162732499999</v>
      </c>
    </row>
    <row r="113" spans="1:33" s="510" customFormat="1" x14ac:dyDescent="0.2">
      <c r="A113" s="50">
        <v>2</v>
      </c>
      <c r="B113" s="15">
        <v>2498</v>
      </c>
      <c r="C113" s="15">
        <v>605</v>
      </c>
      <c r="D113" s="15" t="s">
        <v>238</v>
      </c>
      <c r="E113" s="15">
        <v>2</v>
      </c>
      <c r="F113" s="15">
        <v>2</v>
      </c>
      <c r="G113" s="15">
        <v>2</v>
      </c>
      <c r="H113" s="284">
        <v>55.6</v>
      </c>
      <c r="I113" s="18">
        <f>F113*400+G113*100+H113</f>
        <v>1055.5999999999999</v>
      </c>
      <c r="J113" s="258">
        <v>1400</v>
      </c>
      <c r="K113" s="39">
        <f>SUM(I113*J113)</f>
        <v>1477839.9999999998</v>
      </c>
      <c r="L113" s="45">
        <v>1</v>
      </c>
      <c r="M113" s="88">
        <v>103</v>
      </c>
      <c r="N113" s="15" t="s">
        <v>74</v>
      </c>
      <c r="O113" s="50">
        <v>2</v>
      </c>
      <c r="P113" s="257">
        <f>8.3*5.95</f>
        <v>49.385000000000005</v>
      </c>
      <c r="Q113" s="62" t="s">
        <v>75</v>
      </c>
      <c r="R113" s="260">
        <v>9050</v>
      </c>
      <c r="S113" s="18">
        <f t="shared" si="14"/>
        <v>446934.25000000006</v>
      </c>
      <c r="T113" s="755">
        <v>8</v>
      </c>
      <c r="U113" s="47">
        <f t="shared" si="8"/>
        <v>35754.740000000005</v>
      </c>
      <c r="V113" s="47">
        <f t="shared" si="9"/>
        <v>411179.51000000007</v>
      </c>
      <c r="W113" s="18">
        <f t="shared" si="10"/>
        <v>1889019.5099999998</v>
      </c>
      <c r="X113" s="47">
        <f t="shared" si="11"/>
        <v>1889019.5099999998</v>
      </c>
      <c r="Y113" s="18"/>
      <c r="Z113" s="18">
        <f t="shared" si="12"/>
        <v>1889019.5099999998</v>
      </c>
      <c r="AA113" s="264">
        <v>0.02</v>
      </c>
      <c r="AB113" s="23">
        <f t="shared" si="13"/>
        <v>377.80390199999994</v>
      </c>
      <c r="AC113" s="559"/>
      <c r="AD113" s="559"/>
      <c r="AE113" s="559"/>
      <c r="AF113" s="559"/>
      <c r="AG113" s="578">
        <f>SUM(AG106:AG112)</f>
        <v>122.46333912750002</v>
      </c>
    </row>
    <row r="114" spans="1:33" s="510" customFormat="1" x14ac:dyDescent="0.2">
      <c r="A114" s="45"/>
      <c r="B114" s="45"/>
      <c r="C114" s="62"/>
      <c r="D114" s="27"/>
      <c r="E114" s="27"/>
      <c r="F114" s="291"/>
      <c r="G114" s="45"/>
      <c r="H114" s="257"/>
      <c r="I114" s="18"/>
      <c r="J114" s="258"/>
      <c r="K114" s="39"/>
      <c r="L114" s="45">
        <v>2</v>
      </c>
      <c r="M114" s="88">
        <v>103</v>
      </c>
      <c r="N114" s="15" t="s">
        <v>74</v>
      </c>
      <c r="O114" s="50">
        <v>2</v>
      </c>
      <c r="P114" s="257">
        <f>8.3*5.95</f>
        <v>49.385000000000005</v>
      </c>
      <c r="Q114" s="62" t="s">
        <v>75</v>
      </c>
      <c r="R114" s="260">
        <v>9050</v>
      </c>
      <c r="S114" s="18">
        <f t="shared" si="14"/>
        <v>446934.25000000006</v>
      </c>
      <c r="T114" s="755">
        <v>8</v>
      </c>
      <c r="U114" s="47">
        <f t="shared" si="8"/>
        <v>35754.740000000005</v>
      </c>
      <c r="V114" s="47">
        <f t="shared" si="9"/>
        <v>411179.51000000007</v>
      </c>
      <c r="W114" s="18">
        <f t="shared" si="10"/>
        <v>411179.51000000007</v>
      </c>
      <c r="X114" s="47">
        <f t="shared" si="11"/>
        <v>411179.51000000007</v>
      </c>
      <c r="Y114" s="18"/>
      <c r="Z114" s="18">
        <f t="shared" si="12"/>
        <v>411179.51000000007</v>
      </c>
      <c r="AA114" s="264">
        <v>0.02</v>
      </c>
      <c r="AB114" s="23">
        <f t="shared" si="13"/>
        <v>82.235902000000024</v>
      </c>
      <c r="AC114" s="559"/>
      <c r="AD114" s="559"/>
      <c r="AE114" s="559"/>
      <c r="AF114" s="559"/>
      <c r="AG114" s="578">
        <v>56.804665575000001</v>
      </c>
    </row>
    <row r="115" spans="1:33" s="510" customFormat="1" x14ac:dyDescent="0.2">
      <c r="A115" s="45"/>
      <c r="B115" s="45"/>
      <c r="C115" s="62"/>
      <c r="D115" s="27"/>
      <c r="E115" s="27"/>
      <c r="F115" s="291"/>
      <c r="G115" s="45"/>
      <c r="H115" s="257"/>
      <c r="I115" s="18"/>
      <c r="J115" s="258"/>
      <c r="K115" s="39"/>
      <c r="L115" s="45">
        <v>3</v>
      </c>
      <c r="M115" s="88">
        <v>103</v>
      </c>
      <c r="N115" s="15" t="s">
        <v>74</v>
      </c>
      <c r="O115" s="50">
        <v>2</v>
      </c>
      <c r="P115" s="257">
        <f>8.3*5.95</f>
        <v>49.385000000000005</v>
      </c>
      <c r="Q115" s="62" t="s">
        <v>75</v>
      </c>
      <c r="R115" s="260">
        <v>9050</v>
      </c>
      <c r="S115" s="18">
        <f t="shared" si="14"/>
        <v>446934.25000000006</v>
      </c>
      <c r="T115" s="755">
        <v>8</v>
      </c>
      <c r="U115" s="47">
        <f t="shared" si="8"/>
        <v>35754.740000000005</v>
      </c>
      <c r="V115" s="47">
        <f t="shared" si="9"/>
        <v>411179.51000000007</v>
      </c>
      <c r="W115" s="18">
        <f t="shared" si="10"/>
        <v>411179.51000000007</v>
      </c>
      <c r="X115" s="47">
        <f t="shared" si="11"/>
        <v>411179.51000000007</v>
      </c>
      <c r="Y115" s="18"/>
      <c r="Z115" s="18">
        <f t="shared" si="12"/>
        <v>411179.51000000007</v>
      </c>
      <c r="AA115" s="264">
        <v>0.02</v>
      </c>
      <c r="AB115" s="23">
        <f t="shared" si="13"/>
        <v>82.235902000000024</v>
      </c>
      <c r="AC115" s="559"/>
      <c r="AD115" s="559"/>
      <c r="AE115" s="559"/>
      <c r="AF115" s="559"/>
      <c r="AG115" s="578">
        <v>12.469465575000001</v>
      </c>
    </row>
    <row r="116" spans="1:33" s="510" customFormat="1" x14ac:dyDescent="0.2">
      <c r="A116" s="45"/>
      <c r="B116" s="45"/>
      <c r="C116" s="62"/>
      <c r="D116" s="27"/>
      <c r="E116" s="27"/>
      <c r="F116" s="291"/>
      <c r="G116" s="45"/>
      <c r="H116" s="257"/>
      <c r="I116" s="18"/>
      <c r="J116" s="258"/>
      <c r="K116" s="39"/>
      <c r="L116" s="45">
        <v>4</v>
      </c>
      <c r="M116" s="88">
        <v>103</v>
      </c>
      <c r="N116" s="15" t="s">
        <v>74</v>
      </c>
      <c r="O116" s="50">
        <v>2</v>
      </c>
      <c r="P116" s="257">
        <f>8.3*5.95</f>
        <v>49.385000000000005</v>
      </c>
      <c r="Q116" s="62" t="s">
        <v>75</v>
      </c>
      <c r="R116" s="260">
        <v>9050</v>
      </c>
      <c r="S116" s="18">
        <f t="shared" si="14"/>
        <v>446934.25000000006</v>
      </c>
      <c r="T116" s="755">
        <v>8</v>
      </c>
      <c r="U116" s="47">
        <f t="shared" si="8"/>
        <v>35754.740000000005</v>
      </c>
      <c r="V116" s="47">
        <f t="shared" si="9"/>
        <v>411179.51000000007</v>
      </c>
      <c r="W116" s="18">
        <f t="shared" si="10"/>
        <v>411179.51000000007</v>
      </c>
      <c r="X116" s="47">
        <f t="shared" si="11"/>
        <v>411179.51000000007</v>
      </c>
      <c r="Y116" s="18"/>
      <c r="Z116" s="18">
        <f t="shared" si="12"/>
        <v>411179.51000000007</v>
      </c>
      <c r="AA116" s="264">
        <v>0.02</v>
      </c>
      <c r="AB116" s="23">
        <f t="shared" si="13"/>
        <v>82.235902000000024</v>
      </c>
      <c r="AC116" s="559"/>
      <c r="AD116" s="559"/>
      <c r="AE116" s="559"/>
      <c r="AF116" s="559"/>
      <c r="AG116" s="578">
        <v>12.469465575000001</v>
      </c>
    </row>
    <row r="117" spans="1:33" s="510" customFormat="1" x14ac:dyDescent="0.2">
      <c r="A117" s="45"/>
      <c r="B117" s="45"/>
      <c r="C117" s="62"/>
      <c r="D117" s="27"/>
      <c r="E117" s="27"/>
      <c r="F117" s="291"/>
      <c r="G117" s="45"/>
      <c r="H117" s="257"/>
      <c r="I117" s="18"/>
      <c r="J117" s="258"/>
      <c r="K117" s="39"/>
      <c r="L117" s="45">
        <v>5</v>
      </c>
      <c r="M117" s="88">
        <v>103</v>
      </c>
      <c r="N117" s="15" t="s">
        <v>74</v>
      </c>
      <c r="O117" s="50">
        <v>2</v>
      </c>
      <c r="P117" s="257">
        <f>8.3*5.95</f>
        <v>49.385000000000005</v>
      </c>
      <c r="Q117" s="62" t="s">
        <v>75</v>
      </c>
      <c r="R117" s="260">
        <v>9050</v>
      </c>
      <c r="S117" s="18">
        <f t="shared" si="14"/>
        <v>446934.25000000006</v>
      </c>
      <c r="T117" s="755">
        <v>8</v>
      </c>
      <c r="U117" s="47">
        <f t="shared" si="8"/>
        <v>35754.740000000005</v>
      </c>
      <c r="V117" s="47">
        <f t="shared" si="9"/>
        <v>411179.51000000007</v>
      </c>
      <c r="W117" s="18">
        <f t="shared" si="10"/>
        <v>411179.51000000007</v>
      </c>
      <c r="X117" s="47">
        <f t="shared" si="11"/>
        <v>411179.51000000007</v>
      </c>
      <c r="Y117" s="18"/>
      <c r="Z117" s="18">
        <f t="shared" si="12"/>
        <v>411179.51000000007</v>
      </c>
      <c r="AA117" s="264">
        <v>0.02</v>
      </c>
      <c r="AB117" s="23">
        <f t="shared" si="13"/>
        <v>82.235902000000024</v>
      </c>
      <c r="AC117" s="559"/>
      <c r="AD117" s="559"/>
      <c r="AE117" s="559"/>
      <c r="AF117" s="559"/>
      <c r="AG117" s="578">
        <v>12.469465575000001</v>
      </c>
    </row>
    <row r="118" spans="1:33" s="510" customFormat="1" x14ac:dyDescent="0.2">
      <c r="A118" s="15"/>
      <c r="B118" s="21"/>
      <c r="C118" s="21"/>
      <c r="D118" s="15"/>
      <c r="E118" s="15"/>
      <c r="F118" s="15"/>
      <c r="G118" s="15"/>
      <c r="H118" s="22"/>
      <c r="I118" s="23"/>
      <c r="J118" s="24"/>
      <c r="K118" s="23"/>
      <c r="L118" s="15"/>
      <c r="M118" s="15"/>
      <c r="N118" s="15"/>
      <c r="O118" s="15"/>
      <c r="P118" s="22"/>
      <c r="Q118" s="25"/>
      <c r="R118" s="563"/>
      <c r="S118" s="23"/>
      <c r="T118" s="26"/>
      <c r="U118" s="24"/>
      <c r="V118" s="23"/>
      <c r="W118" s="23"/>
      <c r="X118" s="564"/>
      <c r="Y118" s="564"/>
      <c r="Z118" s="565"/>
      <c r="AA118" s="565"/>
      <c r="AB118" s="566"/>
      <c r="AC118" s="559"/>
      <c r="AD118" s="559"/>
      <c r="AE118" s="559"/>
      <c r="AF118" s="559"/>
      <c r="AG118" s="578">
        <v>12.469465575000001</v>
      </c>
    </row>
    <row r="119" spans="1:33" s="510" customFormat="1" x14ac:dyDescent="0.2">
      <c r="A119" s="15"/>
      <c r="B119" s="21"/>
      <c r="C119" s="21"/>
      <c r="D119" s="15"/>
      <c r="E119" s="15"/>
      <c r="F119" s="15"/>
      <c r="G119" s="15"/>
      <c r="H119" s="22"/>
      <c r="I119" s="23"/>
      <c r="J119" s="24"/>
      <c r="K119" s="23"/>
      <c r="L119" s="15"/>
      <c r="M119" s="15"/>
      <c r="N119" s="15"/>
      <c r="O119" s="15"/>
      <c r="P119" s="22"/>
      <c r="Q119" s="25"/>
      <c r="R119" s="563"/>
      <c r="S119" s="23"/>
      <c r="T119" s="26"/>
      <c r="U119" s="24"/>
      <c r="V119" s="23"/>
      <c r="W119" s="23"/>
      <c r="X119" s="564"/>
      <c r="Y119" s="564"/>
      <c r="Z119" s="565"/>
      <c r="AA119" s="565"/>
      <c r="AB119" s="566"/>
      <c r="AC119" s="559"/>
      <c r="AD119" s="559"/>
      <c r="AE119" s="559"/>
      <c r="AF119" s="559"/>
      <c r="AG119" s="578">
        <f>SUM(AG114:AG118)</f>
        <v>106.68252787500001</v>
      </c>
    </row>
    <row r="120" spans="1:33" s="510" customFormat="1" x14ac:dyDescent="0.2">
      <c r="A120" s="15"/>
      <c r="B120" s="21"/>
      <c r="C120" s="21"/>
      <c r="D120" s="15"/>
      <c r="E120" s="15"/>
      <c r="F120" s="15"/>
      <c r="G120" s="15"/>
      <c r="H120" s="22"/>
      <c r="I120" s="23"/>
      <c r="J120" s="24"/>
      <c r="K120" s="23"/>
      <c r="L120" s="15"/>
      <c r="M120" s="15"/>
      <c r="N120" s="15"/>
      <c r="O120" s="15"/>
      <c r="P120" s="22"/>
      <c r="Q120" s="25"/>
      <c r="R120" s="563"/>
      <c r="S120" s="23"/>
      <c r="T120" s="26"/>
      <c r="U120" s="24"/>
      <c r="V120" s="23"/>
      <c r="W120" s="23"/>
      <c r="X120" s="564"/>
      <c r="Y120" s="564"/>
      <c r="Z120" s="565"/>
      <c r="AA120" s="565"/>
      <c r="AB120" s="566"/>
      <c r="AC120" s="559"/>
      <c r="AD120" s="559"/>
      <c r="AE120" s="559"/>
      <c r="AF120" s="559"/>
    </row>
    <row r="121" spans="1:33" s="510" customFormat="1" x14ac:dyDescent="0.2">
      <c r="A121" s="15"/>
      <c r="B121" s="21"/>
      <c r="C121" s="21"/>
      <c r="D121" s="15"/>
      <c r="E121" s="15"/>
      <c r="F121" s="15"/>
      <c r="G121" s="15"/>
      <c r="H121" s="22"/>
      <c r="I121" s="23"/>
      <c r="J121" s="24"/>
      <c r="K121" s="23"/>
      <c r="L121" s="15"/>
      <c r="M121" s="15"/>
      <c r="N121" s="15"/>
      <c r="O121" s="15"/>
      <c r="P121" s="22"/>
      <c r="Q121" s="25"/>
      <c r="R121" s="563"/>
      <c r="S121" s="23"/>
      <c r="T121" s="26"/>
      <c r="U121" s="24"/>
      <c r="V121" s="23"/>
      <c r="W121" s="23"/>
      <c r="X121" s="564"/>
      <c r="Y121" s="564"/>
      <c r="Z121" s="565"/>
      <c r="AA121" s="565"/>
      <c r="AB121" s="566"/>
      <c r="AC121" s="559"/>
      <c r="AD121" s="559"/>
      <c r="AE121" s="559"/>
      <c r="AF121" s="559"/>
    </row>
    <row r="122" spans="1:33" s="510" customFormat="1" x14ac:dyDescent="0.2">
      <c r="A122" s="27"/>
      <c r="B122" s="28"/>
      <c r="C122" s="28"/>
      <c r="D122" s="27"/>
      <c r="E122" s="27"/>
      <c r="F122" s="27"/>
      <c r="G122" s="27"/>
      <c r="H122" s="29"/>
      <c r="I122" s="30"/>
      <c r="J122" s="31"/>
      <c r="K122" s="30"/>
      <c r="L122" s="27"/>
      <c r="M122" s="27"/>
      <c r="N122" s="27"/>
      <c r="O122" s="27"/>
      <c r="P122" s="27"/>
      <c r="Q122" s="32"/>
      <c r="R122" s="567"/>
      <c r="S122" s="30"/>
      <c r="T122" s="33"/>
      <c r="U122" s="31"/>
      <c r="V122" s="30"/>
      <c r="W122" s="30"/>
      <c r="X122" s="568"/>
      <c r="Y122" s="568"/>
      <c r="Z122" s="569"/>
      <c r="AA122" s="569"/>
      <c r="AB122" s="570"/>
      <c r="AC122" s="571"/>
      <c r="AD122" s="571"/>
      <c r="AE122" s="571"/>
      <c r="AF122" s="571"/>
    </row>
    <row r="123" spans="1:33" s="510" customFormat="1" ht="15" x14ac:dyDescent="0.25">
      <c r="A123" s="2027"/>
      <c r="B123" s="2027"/>
      <c r="C123" s="2027"/>
      <c r="D123" s="2027"/>
      <c r="E123" s="2027"/>
      <c r="F123" s="2027"/>
      <c r="G123" s="2027"/>
      <c r="H123" s="2028"/>
      <c r="I123" s="2029"/>
      <c r="J123" s="2030"/>
      <c r="K123" s="2029"/>
      <c r="L123" s="2029"/>
      <c r="M123" s="2029"/>
      <c r="N123" s="2029"/>
      <c r="O123" s="2029"/>
      <c r="P123" s="2029"/>
      <c r="Q123" s="2029"/>
      <c r="R123" s="2031"/>
      <c r="S123" s="2029"/>
      <c r="T123" s="2032"/>
      <c r="U123" s="2030"/>
      <c r="V123" s="2029"/>
      <c r="W123" s="2029"/>
      <c r="X123" s="2033"/>
      <c r="Y123" s="2033"/>
      <c r="Z123" s="2034"/>
      <c r="AA123" s="2034"/>
      <c r="AB123" s="2035">
        <f>SUM(AB106:AB122)</f>
        <v>1517.5691874000006</v>
      </c>
      <c r="AC123" s="2036"/>
      <c r="AD123" s="2036"/>
      <c r="AE123" s="2036"/>
      <c r="AF123" s="2036"/>
    </row>
    <row r="124" spans="1:33" s="510" customFormat="1" ht="15.75" x14ac:dyDescent="0.25">
      <c r="A124" s="2820" t="s">
        <v>76</v>
      </c>
      <c r="B124" s="2820"/>
      <c r="C124" s="2821" t="s">
        <v>77</v>
      </c>
      <c r="D124" s="2821"/>
      <c r="E124" s="2821"/>
      <c r="F124" s="2821"/>
      <c r="G124" s="2821"/>
      <c r="H124" s="2821"/>
      <c r="I124" s="577" t="s">
        <v>78</v>
      </c>
      <c r="J124" s="577"/>
      <c r="K124" s="577"/>
      <c r="L124" s="577"/>
      <c r="M124" s="577"/>
      <c r="N124" s="577"/>
      <c r="AB124" s="578"/>
    </row>
    <row r="125" spans="1:33" s="510" customFormat="1" ht="15.75" x14ac:dyDescent="0.25">
      <c r="A125" s="577"/>
      <c r="B125" s="579"/>
      <c r="C125" s="577"/>
      <c r="D125" s="577"/>
      <c r="E125" s="577"/>
      <c r="F125" s="577"/>
      <c r="G125" s="577"/>
      <c r="H125" s="577"/>
      <c r="I125" s="577" t="s">
        <v>79</v>
      </c>
      <c r="J125" s="577"/>
      <c r="K125" s="577"/>
      <c r="L125" s="577"/>
      <c r="M125" s="577"/>
      <c r="N125" s="577"/>
      <c r="AB125" s="578"/>
    </row>
    <row r="126" spans="1:33" s="510" customFormat="1" ht="15.75" x14ac:dyDescent="0.25">
      <c r="A126" s="577"/>
      <c r="B126" s="579"/>
      <c r="C126" s="577"/>
      <c r="D126" s="577"/>
      <c r="E126" s="577"/>
      <c r="F126" s="577"/>
      <c r="G126" s="577"/>
      <c r="H126" s="577"/>
      <c r="I126" s="577" t="s">
        <v>80</v>
      </c>
      <c r="J126" s="577"/>
      <c r="K126" s="577"/>
      <c r="L126" s="577"/>
      <c r="M126" s="577"/>
      <c r="N126" s="577"/>
      <c r="AB126" s="578"/>
    </row>
    <row r="127" spans="1:33" s="510" customFormat="1" ht="15.75" x14ac:dyDescent="0.25">
      <c r="A127" s="577"/>
      <c r="B127" s="579"/>
      <c r="C127" s="577"/>
      <c r="D127" s="577"/>
      <c r="E127" s="577"/>
      <c r="F127" s="577"/>
      <c r="G127" s="577"/>
      <c r="H127" s="577"/>
      <c r="I127" s="577" t="s">
        <v>81</v>
      </c>
      <c r="J127" s="577"/>
      <c r="K127" s="577"/>
      <c r="L127" s="577"/>
      <c r="M127" s="577"/>
      <c r="N127" s="577"/>
      <c r="AB127" s="578"/>
    </row>
    <row r="128" spans="1:33" s="510" customFormat="1" ht="15.75" x14ac:dyDescent="0.25">
      <c r="A128" s="577"/>
      <c r="B128" s="579"/>
      <c r="C128" s="577"/>
      <c r="D128" s="577"/>
      <c r="E128" s="577"/>
      <c r="F128" s="577"/>
      <c r="G128" s="577"/>
      <c r="H128" s="577"/>
      <c r="I128" s="577" t="s">
        <v>88</v>
      </c>
      <c r="J128" s="577"/>
      <c r="K128" s="577"/>
      <c r="L128" s="577"/>
      <c r="M128" s="577"/>
      <c r="N128" s="577"/>
      <c r="AB128" s="578"/>
    </row>
    <row r="129" spans="1:32" s="510" customFormat="1" ht="18.75" x14ac:dyDescent="0.2">
      <c r="A129" s="338"/>
      <c r="B129" s="338"/>
      <c r="C129" s="338"/>
      <c r="D129" s="338"/>
      <c r="E129" s="338"/>
      <c r="F129" s="338"/>
      <c r="G129" s="338"/>
      <c r="H129" s="338"/>
      <c r="I129" s="338"/>
      <c r="J129" s="338"/>
      <c r="K129" s="338"/>
      <c r="L129" s="338"/>
      <c r="M129" s="338"/>
      <c r="N129" s="338"/>
      <c r="O129" s="338"/>
      <c r="P129" s="338"/>
      <c r="Q129" s="338"/>
      <c r="R129" s="338"/>
      <c r="S129" s="338"/>
      <c r="T129" s="338"/>
      <c r="U129" s="338"/>
      <c r="V129" s="338"/>
      <c r="W129" s="338"/>
      <c r="X129" s="338"/>
      <c r="Y129" s="338"/>
      <c r="Z129" s="338"/>
      <c r="AA129" s="2774" t="s">
        <v>0</v>
      </c>
      <c r="AB129" s="2774"/>
      <c r="AC129" s="338"/>
      <c r="AD129" s="338"/>
      <c r="AE129" s="338"/>
      <c r="AF129" s="338"/>
    </row>
    <row r="130" spans="1:32" s="510" customFormat="1" ht="18.75" x14ac:dyDescent="0.2">
      <c r="A130" s="2703" t="s">
        <v>1</v>
      </c>
      <c r="B130" s="2703"/>
      <c r="C130" s="2703"/>
      <c r="D130" s="2703"/>
      <c r="E130" s="2703"/>
      <c r="F130" s="2703"/>
      <c r="G130" s="2703"/>
      <c r="H130" s="2703"/>
      <c r="I130" s="2703"/>
      <c r="J130" s="2703"/>
      <c r="K130" s="2703"/>
      <c r="L130" s="2703"/>
      <c r="M130" s="2703"/>
      <c r="N130" s="2703"/>
      <c r="O130" s="2703"/>
      <c r="P130" s="2703"/>
      <c r="Q130" s="2703"/>
      <c r="R130" s="2703"/>
      <c r="S130" s="2703"/>
      <c r="T130" s="2703"/>
      <c r="U130" s="2703"/>
      <c r="V130" s="2703"/>
      <c r="W130" s="2703"/>
      <c r="X130" s="2703"/>
      <c r="Y130" s="2703"/>
      <c r="Z130" s="2703"/>
      <c r="AA130" s="2703"/>
      <c r="AB130" s="2703"/>
      <c r="AC130" s="344"/>
      <c r="AD130" s="344"/>
      <c r="AE130" s="344"/>
      <c r="AF130" s="344"/>
    </row>
    <row r="131" spans="1:32" s="510" customFormat="1" ht="21" x14ac:dyDescent="0.2">
      <c r="A131" s="2780" t="s">
        <v>522</v>
      </c>
      <c r="B131" s="2780"/>
      <c r="C131" s="2780"/>
      <c r="D131" s="2780"/>
      <c r="E131" s="2780"/>
      <c r="F131" s="2780"/>
      <c r="G131" s="2780"/>
      <c r="H131" s="2780"/>
      <c r="I131" s="2780"/>
      <c r="J131" s="2780"/>
      <c r="K131" s="2780"/>
      <c r="L131" s="2780"/>
      <c r="M131" s="2780"/>
      <c r="N131" s="2780"/>
      <c r="O131" s="2780"/>
      <c r="P131" s="2780"/>
      <c r="Q131" s="2780"/>
      <c r="R131" s="2780"/>
      <c r="S131" s="2780"/>
      <c r="T131" s="2780"/>
      <c r="U131" s="2780"/>
      <c r="V131" s="2780"/>
      <c r="W131" s="2780"/>
      <c r="X131" s="2780"/>
      <c r="Y131" s="2780"/>
      <c r="Z131" s="2780"/>
      <c r="AA131" s="2780"/>
      <c r="AB131" s="2780"/>
      <c r="AC131" s="345"/>
      <c r="AD131" s="345"/>
      <c r="AE131" s="345"/>
      <c r="AF131" s="345"/>
    </row>
    <row r="132" spans="1:32" s="510" customFormat="1" ht="15" x14ac:dyDescent="0.25">
      <c r="A132" s="2686" t="s">
        <v>2</v>
      </c>
      <c r="B132" s="511"/>
      <c r="C132" s="2686" t="s">
        <v>3</v>
      </c>
      <c r="D132" s="511"/>
      <c r="E132" s="511"/>
      <c r="F132" s="2693" t="s">
        <v>4</v>
      </c>
      <c r="G132" s="2693"/>
      <c r="H132" s="2693"/>
      <c r="I132" s="2694"/>
      <c r="J132" s="2694"/>
      <c r="K132" s="2695"/>
      <c r="L132" s="361"/>
      <c r="M132" s="2679" t="s">
        <v>5</v>
      </c>
      <c r="N132" s="2679"/>
      <c r="O132" s="2679"/>
      <c r="P132" s="2679"/>
      <c r="Q132" s="2696"/>
      <c r="R132" s="2696"/>
      <c r="S132" s="2696"/>
      <c r="T132" s="2696"/>
      <c r="U132" s="2696"/>
      <c r="V132" s="2697"/>
      <c r="W132" s="512" t="s">
        <v>6</v>
      </c>
      <c r="X132" s="513" t="s">
        <v>7</v>
      </c>
      <c r="Y132" s="514"/>
      <c r="Z132" s="514"/>
      <c r="AA132" s="513"/>
      <c r="AB132" s="515"/>
      <c r="AC132" s="516" t="s">
        <v>8</v>
      </c>
      <c r="AD132" s="346"/>
      <c r="AE132" s="346"/>
      <c r="AF132" s="517"/>
    </row>
    <row r="133" spans="1:32" s="510" customFormat="1" x14ac:dyDescent="0.2">
      <c r="A133" s="2687"/>
      <c r="B133" s="367"/>
      <c r="C133" s="2687"/>
      <c r="D133" s="518" t="s">
        <v>9</v>
      </c>
      <c r="E133" s="519" t="s">
        <v>10</v>
      </c>
      <c r="F133" s="2698" t="s">
        <v>11</v>
      </c>
      <c r="G133" s="2694"/>
      <c r="H133" s="2695"/>
      <c r="I133" s="511"/>
      <c r="J133" s="520" t="s">
        <v>12</v>
      </c>
      <c r="K133" s="511"/>
      <c r="L133" s="2679" t="s">
        <v>2</v>
      </c>
      <c r="M133" s="521"/>
      <c r="N133" s="521"/>
      <c r="O133" s="521"/>
      <c r="P133" s="522"/>
      <c r="Q133" s="523" t="s">
        <v>13</v>
      </c>
      <c r="R133" s="524" t="s">
        <v>12</v>
      </c>
      <c r="S133" s="521" t="s">
        <v>6</v>
      </c>
      <c r="T133" s="2682" t="s">
        <v>14</v>
      </c>
      <c r="U133" s="2683"/>
      <c r="V133" s="525" t="s">
        <v>7</v>
      </c>
      <c r="W133" s="526" t="s">
        <v>15</v>
      </c>
      <c r="X133" s="527" t="s">
        <v>16</v>
      </c>
      <c r="Y133" s="527" t="s">
        <v>17</v>
      </c>
      <c r="Z133" s="527" t="s">
        <v>18</v>
      </c>
      <c r="AA133" s="377"/>
      <c r="AB133" s="378" t="s">
        <v>19</v>
      </c>
      <c r="AC133" s="528" t="s">
        <v>20</v>
      </c>
      <c r="AD133" s="529"/>
      <c r="AE133" s="347" t="s">
        <v>21</v>
      </c>
      <c r="AF133" s="340" t="s">
        <v>22</v>
      </c>
    </row>
    <row r="134" spans="1:32" s="510" customFormat="1" x14ac:dyDescent="0.2">
      <c r="A134" s="2687"/>
      <c r="B134" s="1996" t="s">
        <v>23</v>
      </c>
      <c r="C134" s="2687"/>
      <c r="D134" s="518" t="s">
        <v>24</v>
      </c>
      <c r="E134" s="519" t="s">
        <v>25</v>
      </c>
      <c r="F134" s="2699"/>
      <c r="G134" s="2700"/>
      <c r="H134" s="2701"/>
      <c r="I134" s="518" t="s">
        <v>26</v>
      </c>
      <c r="J134" s="530" t="s">
        <v>15</v>
      </c>
      <c r="K134" s="531" t="s">
        <v>6</v>
      </c>
      <c r="L134" s="2680"/>
      <c r="M134" s="532" t="s">
        <v>27</v>
      </c>
      <c r="N134" s="532" t="s">
        <v>10</v>
      </c>
      <c r="O134" s="533" t="s">
        <v>10</v>
      </c>
      <c r="P134" s="534" t="s">
        <v>28</v>
      </c>
      <c r="Q134" s="535" t="s">
        <v>29</v>
      </c>
      <c r="R134" s="534" t="s">
        <v>15</v>
      </c>
      <c r="S134" s="385" t="s">
        <v>15</v>
      </c>
      <c r="T134" s="2684"/>
      <c r="U134" s="2685"/>
      <c r="V134" s="525" t="s">
        <v>30</v>
      </c>
      <c r="W134" s="526" t="s">
        <v>31</v>
      </c>
      <c r="X134" s="527" t="s">
        <v>30</v>
      </c>
      <c r="Y134" s="527" t="s">
        <v>32</v>
      </c>
      <c r="Z134" s="527" t="s">
        <v>7</v>
      </c>
      <c r="AA134" s="377" t="s">
        <v>33</v>
      </c>
      <c r="AB134" s="378" t="s">
        <v>34</v>
      </c>
      <c r="AC134" s="528" t="s">
        <v>35</v>
      </c>
      <c r="AD134" s="347" t="s">
        <v>36</v>
      </c>
      <c r="AE134" s="347" t="s">
        <v>37</v>
      </c>
      <c r="AF134" s="340" t="s">
        <v>38</v>
      </c>
    </row>
    <row r="135" spans="1:32" s="510" customFormat="1" x14ac:dyDescent="0.2">
      <c r="A135" s="2687"/>
      <c r="B135" s="1996" t="s">
        <v>39</v>
      </c>
      <c r="C135" s="2687"/>
      <c r="D135" s="518" t="s">
        <v>40</v>
      </c>
      <c r="E135" s="519" t="s">
        <v>41</v>
      </c>
      <c r="F135" s="2686" t="s">
        <v>42</v>
      </c>
      <c r="G135" s="2686" t="s">
        <v>43</v>
      </c>
      <c r="H135" s="2688" t="s">
        <v>44</v>
      </c>
      <c r="I135" s="518" t="s">
        <v>45</v>
      </c>
      <c r="J135" s="530" t="s">
        <v>46</v>
      </c>
      <c r="K135" s="531" t="s">
        <v>47</v>
      </c>
      <c r="L135" s="2680"/>
      <c r="M135" s="532" t="s">
        <v>30</v>
      </c>
      <c r="N135" s="532" t="s">
        <v>30</v>
      </c>
      <c r="O135" s="533" t="s">
        <v>25</v>
      </c>
      <c r="P135" s="534" t="s">
        <v>30</v>
      </c>
      <c r="Q135" s="535" t="s">
        <v>48</v>
      </c>
      <c r="R135" s="534" t="s">
        <v>49</v>
      </c>
      <c r="S135" s="385" t="s">
        <v>30</v>
      </c>
      <c r="T135" s="536" t="s">
        <v>50</v>
      </c>
      <c r="U135" s="537" t="s">
        <v>13</v>
      </c>
      <c r="V135" s="525" t="s">
        <v>51</v>
      </c>
      <c r="W135" s="526" t="s">
        <v>52</v>
      </c>
      <c r="X135" s="527" t="s">
        <v>53</v>
      </c>
      <c r="Y135" s="527" t="s">
        <v>54</v>
      </c>
      <c r="Z135" s="527" t="s">
        <v>55</v>
      </c>
      <c r="AA135" s="377" t="s">
        <v>56</v>
      </c>
      <c r="AB135" s="378" t="s">
        <v>57</v>
      </c>
      <c r="AC135" s="347" t="s">
        <v>58</v>
      </c>
      <c r="AD135" s="347" t="s">
        <v>59</v>
      </c>
      <c r="AE135" s="347" t="s">
        <v>59</v>
      </c>
      <c r="AF135" s="340" t="s">
        <v>60</v>
      </c>
    </row>
    <row r="136" spans="1:32" s="510" customFormat="1" ht="15" x14ac:dyDescent="0.25">
      <c r="A136" s="2687"/>
      <c r="B136" s="1996" t="s">
        <v>61</v>
      </c>
      <c r="C136" s="2687"/>
      <c r="D136" s="518" t="s">
        <v>62</v>
      </c>
      <c r="E136" s="519" t="s">
        <v>63</v>
      </c>
      <c r="F136" s="2687"/>
      <c r="G136" s="2687"/>
      <c r="H136" s="2689"/>
      <c r="I136" s="518" t="s">
        <v>64</v>
      </c>
      <c r="J136" s="530" t="s">
        <v>59</v>
      </c>
      <c r="K136" s="531" t="s">
        <v>59</v>
      </c>
      <c r="L136" s="2680"/>
      <c r="M136" s="532"/>
      <c r="N136" s="532"/>
      <c r="O136" s="533" t="s">
        <v>41</v>
      </c>
      <c r="P136" s="534" t="s">
        <v>65</v>
      </c>
      <c r="Q136" s="535" t="s">
        <v>66</v>
      </c>
      <c r="R136" s="534" t="s">
        <v>67</v>
      </c>
      <c r="S136" s="385" t="s">
        <v>59</v>
      </c>
      <c r="T136" s="538" t="s">
        <v>68</v>
      </c>
      <c r="U136" s="525" t="s">
        <v>14</v>
      </c>
      <c r="V136" s="525" t="s">
        <v>14</v>
      </c>
      <c r="W136" s="526" t="s">
        <v>30</v>
      </c>
      <c r="X136" s="539" t="s">
        <v>69</v>
      </c>
      <c r="Y136" s="539" t="s">
        <v>70</v>
      </c>
      <c r="Z136" s="527" t="s">
        <v>71</v>
      </c>
      <c r="AA136" s="377" t="s">
        <v>72</v>
      </c>
      <c r="AB136" s="540" t="s">
        <v>59</v>
      </c>
      <c r="AC136" s="347" t="s">
        <v>59</v>
      </c>
      <c r="AD136" s="347"/>
      <c r="AE136" s="347"/>
      <c r="AF136" s="340" t="s">
        <v>59</v>
      </c>
    </row>
    <row r="137" spans="1:32" s="510" customFormat="1" x14ac:dyDescent="0.2">
      <c r="A137" s="2692"/>
      <c r="B137" s="390"/>
      <c r="C137" s="2692"/>
      <c r="D137" s="541"/>
      <c r="E137" s="542"/>
      <c r="F137" s="390"/>
      <c r="G137" s="390"/>
      <c r="H137" s="391"/>
      <c r="I137" s="542"/>
      <c r="J137" s="543"/>
      <c r="K137" s="544"/>
      <c r="L137" s="2681"/>
      <c r="M137" s="545"/>
      <c r="N137" s="545"/>
      <c r="O137" s="545" t="s">
        <v>63</v>
      </c>
      <c r="P137" s="546"/>
      <c r="Q137" s="547" t="s">
        <v>72</v>
      </c>
      <c r="R137" s="548" t="s">
        <v>59</v>
      </c>
      <c r="S137" s="549"/>
      <c r="T137" s="548" t="s">
        <v>73</v>
      </c>
      <c r="U137" s="549" t="s">
        <v>59</v>
      </c>
      <c r="V137" s="550" t="s">
        <v>59</v>
      </c>
      <c r="W137" s="551" t="s">
        <v>59</v>
      </c>
      <c r="X137" s="552" t="s">
        <v>59</v>
      </c>
      <c r="Y137" s="552" t="s">
        <v>59</v>
      </c>
      <c r="Z137" s="552" t="s">
        <v>59</v>
      </c>
      <c r="AA137" s="402"/>
      <c r="AB137" s="403"/>
      <c r="AC137" s="348"/>
      <c r="AD137" s="348"/>
      <c r="AE137" s="348"/>
      <c r="AF137" s="341"/>
    </row>
    <row r="138" spans="1:32" s="510" customFormat="1" ht="15" x14ac:dyDescent="0.25">
      <c r="A138" s="16">
        <v>1</v>
      </c>
      <c r="B138" s="333">
        <v>51231</v>
      </c>
      <c r="C138" s="41">
        <v>1585</v>
      </c>
      <c r="D138" s="41" t="s">
        <v>238</v>
      </c>
      <c r="E138" s="41">
        <v>2</v>
      </c>
      <c r="F138" s="41">
        <v>0</v>
      </c>
      <c r="G138" s="41">
        <v>1</v>
      </c>
      <c r="H138" s="267">
        <v>26.5</v>
      </c>
      <c r="I138" s="44">
        <f>F138*400+G138*100+H138</f>
        <v>126.5</v>
      </c>
      <c r="J138" s="263">
        <v>1600</v>
      </c>
      <c r="K138" s="60">
        <f>SUM(I138*J138)</f>
        <v>202400</v>
      </c>
      <c r="L138" s="2799">
        <v>1</v>
      </c>
      <c r="M138" s="2799">
        <v>103</v>
      </c>
      <c r="N138" s="2799" t="s">
        <v>74</v>
      </c>
      <c r="O138" s="2799">
        <v>2</v>
      </c>
      <c r="P138" s="2799">
        <f>9.5*16</f>
        <v>152</v>
      </c>
      <c r="Q138" s="2833" t="s">
        <v>75</v>
      </c>
      <c r="R138" s="2834">
        <v>9050</v>
      </c>
      <c r="S138" s="2801">
        <f>P138*R138</f>
        <v>1375600</v>
      </c>
      <c r="T138" s="2835">
        <v>5</v>
      </c>
      <c r="U138" s="2801">
        <f>+S138*0.05</f>
        <v>68780</v>
      </c>
      <c r="V138" s="2801">
        <f>SUM(S138-U138)</f>
        <v>1306820</v>
      </c>
      <c r="W138" s="2801">
        <f>K138+K139+V138</f>
        <v>1588420</v>
      </c>
      <c r="X138" s="2801">
        <f>+W138</f>
        <v>1588420</v>
      </c>
      <c r="Y138" s="2801">
        <v>0</v>
      </c>
      <c r="Z138" s="2801">
        <f>+X138</f>
        <v>1588420</v>
      </c>
      <c r="AA138" s="2832">
        <v>0.02</v>
      </c>
      <c r="AB138" s="2801">
        <f>+Z138*AA138/100</f>
        <v>317.68400000000003</v>
      </c>
      <c r="AC138" s="555"/>
      <c r="AD138" s="556">
        <f>AB138-AC138</f>
        <v>317.68400000000003</v>
      </c>
      <c r="AE138" s="556">
        <f>IF(AD138&lt;=0,0,AD138*25/100)</f>
        <v>79.421000000000006</v>
      </c>
      <c r="AF138" s="556">
        <f>IF(AC138+AE138&gt;AB138,AB138,AC138+AE138)</f>
        <v>79.421000000000006</v>
      </c>
    </row>
    <row r="139" spans="1:32" s="510" customFormat="1" ht="15" x14ac:dyDescent="0.25">
      <c r="A139" s="50">
        <v>2</v>
      </c>
      <c r="B139" s="287">
        <v>53539</v>
      </c>
      <c r="C139" s="15">
        <v>1620</v>
      </c>
      <c r="D139" s="15" t="s">
        <v>238</v>
      </c>
      <c r="E139" s="15">
        <v>2</v>
      </c>
      <c r="F139" s="15">
        <v>0</v>
      </c>
      <c r="G139" s="15">
        <v>0</v>
      </c>
      <c r="H139" s="284">
        <v>49.5</v>
      </c>
      <c r="I139" s="18">
        <f>F139*400+G139*100+H139</f>
        <v>49.5</v>
      </c>
      <c r="J139" s="258">
        <v>1600</v>
      </c>
      <c r="K139" s="39">
        <f>SUM(I139*J139)</f>
        <v>79200</v>
      </c>
      <c r="L139" s="2800"/>
      <c r="M139" s="2800"/>
      <c r="N139" s="2800"/>
      <c r="O139" s="2800"/>
      <c r="P139" s="2800"/>
      <c r="Q139" s="2812"/>
      <c r="R139" s="2829"/>
      <c r="S139" s="2802"/>
      <c r="T139" s="2836"/>
      <c r="U139" s="2802"/>
      <c r="V139" s="2802"/>
      <c r="W139" s="2802"/>
      <c r="X139" s="2802"/>
      <c r="Y139" s="2802"/>
      <c r="Z139" s="2802"/>
      <c r="AA139" s="2827"/>
      <c r="AB139" s="2802"/>
      <c r="AC139" s="555"/>
      <c r="AD139" s="556">
        <f>AB139-AC139</f>
        <v>0</v>
      </c>
      <c r="AE139" s="556">
        <f>IF(AD139&lt;=0,0,AD139*25/100)</f>
        <v>0</v>
      </c>
      <c r="AF139" s="556">
        <f>IF(AC139+AE139&gt;AB139,AB139,AC139+AE139)</f>
        <v>0</v>
      </c>
    </row>
    <row r="140" spans="1:32" s="510" customFormat="1" ht="15" x14ac:dyDescent="0.25">
      <c r="A140" s="45">
        <v>3</v>
      </c>
      <c r="B140" s="269">
        <v>2062</v>
      </c>
      <c r="C140" s="62" t="s">
        <v>241</v>
      </c>
      <c r="D140" s="27" t="s">
        <v>238</v>
      </c>
      <c r="E140" s="15">
        <v>2</v>
      </c>
      <c r="F140" s="15">
        <v>0</v>
      </c>
      <c r="G140" s="15">
        <v>1</v>
      </c>
      <c r="H140" s="284">
        <v>42</v>
      </c>
      <c r="I140" s="18">
        <f>F140*400+G140*100+H140</f>
        <v>142</v>
      </c>
      <c r="J140" s="258">
        <v>1600</v>
      </c>
      <c r="K140" s="39">
        <f>SUM(I140*J140)</f>
        <v>227200</v>
      </c>
      <c r="L140" s="45">
        <v>1</v>
      </c>
      <c r="M140" s="75">
        <v>106</v>
      </c>
      <c r="N140" s="45" t="s">
        <v>96</v>
      </c>
      <c r="O140" s="45">
        <v>2</v>
      </c>
      <c r="P140" s="257">
        <f>11.58*11.82</f>
        <v>136.87559999999999</v>
      </c>
      <c r="Q140" s="234" t="s">
        <v>75</v>
      </c>
      <c r="R140" s="653">
        <v>7950</v>
      </c>
      <c r="S140" s="47">
        <f>+P140*R140</f>
        <v>1088161.02</v>
      </c>
      <c r="T140" s="20">
        <v>23</v>
      </c>
      <c r="U140" s="47">
        <f>+S140*0.85</f>
        <v>924936.86699999997</v>
      </c>
      <c r="V140" s="47">
        <f>+S140-U140</f>
        <v>163224.15300000005</v>
      </c>
      <c r="W140" s="73">
        <f>K140+K141+V140</f>
        <v>390424.15300000005</v>
      </c>
      <c r="X140" s="47">
        <f>+W140</f>
        <v>390424.15300000005</v>
      </c>
      <c r="Y140" s="47">
        <v>0</v>
      </c>
      <c r="Z140" s="47">
        <f>+X140</f>
        <v>390424.15300000005</v>
      </c>
      <c r="AA140" s="292">
        <v>0.02</v>
      </c>
      <c r="AB140" s="566">
        <f>+Z140*AA140/100</f>
        <v>78.084830600000018</v>
      </c>
      <c r="AC140" s="559"/>
      <c r="AD140" s="559"/>
      <c r="AE140" s="559"/>
      <c r="AF140" s="559"/>
    </row>
    <row r="141" spans="1:32" s="510" customFormat="1" ht="15" x14ac:dyDescent="0.25">
      <c r="A141" s="50"/>
      <c r="B141" s="287"/>
      <c r="C141" s="15"/>
      <c r="D141" s="15"/>
      <c r="E141" s="15"/>
      <c r="F141" s="15"/>
      <c r="G141" s="15"/>
      <c r="H141" s="284"/>
      <c r="I141" s="18"/>
      <c r="J141" s="258"/>
      <c r="K141" s="39"/>
      <c r="L141" s="269"/>
      <c r="M141" s="88"/>
      <c r="N141" s="15"/>
      <c r="O141" s="50"/>
      <c r="P141" s="266"/>
      <c r="Q141" s="62"/>
      <c r="R141" s="260"/>
      <c r="S141" s="18"/>
      <c r="T141" s="286"/>
      <c r="U141" s="47"/>
      <c r="V141" s="47"/>
      <c r="W141" s="18"/>
      <c r="X141" s="47"/>
      <c r="Y141" s="18"/>
      <c r="Z141" s="18"/>
      <c r="AA141" s="264"/>
      <c r="AB141" s="566"/>
      <c r="AC141" s="559"/>
      <c r="AD141" s="559"/>
      <c r="AE141" s="559"/>
      <c r="AF141" s="559"/>
    </row>
    <row r="142" spans="1:32" s="510" customFormat="1" ht="15" x14ac:dyDescent="0.25">
      <c r="A142" s="269"/>
      <c r="B142" s="269"/>
      <c r="C142" s="285"/>
      <c r="D142" s="273"/>
      <c r="E142" s="15"/>
      <c r="F142" s="268"/>
      <c r="G142" s="269"/>
      <c r="H142" s="266"/>
      <c r="I142" s="18"/>
      <c r="J142" s="258"/>
      <c r="K142" s="39"/>
      <c r="L142" s="269"/>
      <c r="M142" s="241"/>
      <c r="N142" s="269"/>
      <c r="O142" s="50"/>
      <c r="P142" s="266"/>
      <c r="Q142" s="62"/>
      <c r="R142" s="260"/>
      <c r="S142" s="18"/>
      <c r="T142" s="286"/>
      <c r="U142" s="47"/>
      <c r="V142" s="47"/>
      <c r="W142" s="18"/>
      <c r="X142" s="47"/>
      <c r="Y142" s="18"/>
      <c r="Z142" s="18"/>
      <c r="AA142" s="264"/>
      <c r="AB142" s="566"/>
      <c r="AC142" s="559"/>
      <c r="AD142" s="559"/>
      <c r="AE142" s="559"/>
      <c r="AF142" s="559"/>
    </row>
    <row r="143" spans="1:32" s="510" customFormat="1" ht="15" x14ac:dyDescent="0.25">
      <c r="A143" s="269"/>
      <c r="B143" s="269"/>
      <c r="C143" s="285"/>
      <c r="D143" s="273"/>
      <c r="E143" s="15"/>
      <c r="F143" s="268"/>
      <c r="G143" s="269"/>
      <c r="H143" s="266"/>
      <c r="I143" s="18"/>
      <c r="J143" s="258"/>
      <c r="K143" s="39"/>
      <c r="L143" s="269"/>
      <c r="M143" s="242"/>
      <c r="N143" s="269"/>
      <c r="O143" s="50"/>
      <c r="P143" s="266"/>
      <c r="Q143" s="62"/>
      <c r="R143" s="260"/>
      <c r="S143" s="18"/>
      <c r="T143" s="286"/>
      <c r="U143" s="47"/>
      <c r="V143" s="47"/>
      <c r="W143" s="18"/>
      <c r="X143" s="47"/>
      <c r="Y143" s="18"/>
      <c r="Z143" s="18"/>
      <c r="AA143" s="264"/>
      <c r="AB143" s="566"/>
      <c r="AC143" s="559"/>
      <c r="AD143" s="559"/>
      <c r="AE143" s="559"/>
      <c r="AF143" s="559"/>
    </row>
    <row r="144" spans="1:32" s="510" customFormat="1" ht="15" x14ac:dyDescent="0.25">
      <c r="A144" s="269"/>
      <c r="B144" s="269"/>
      <c r="C144" s="285"/>
      <c r="D144" s="15"/>
      <c r="E144" s="15"/>
      <c r="F144" s="268"/>
      <c r="G144" s="269"/>
      <c r="H144" s="266"/>
      <c r="I144" s="18"/>
      <c r="J144" s="258"/>
      <c r="K144" s="39"/>
      <c r="L144" s="269"/>
      <c r="M144" s="242"/>
      <c r="N144" s="269"/>
      <c r="O144" s="50"/>
      <c r="P144" s="266"/>
      <c r="Q144" s="62"/>
      <c r="R144" s="260"/>
      <c r="S144" s="18"/>
      <c r="T144" s="286"/>
      <c r="U144" s="47"/>
      <c r="V144" s="47"/>
      <c r="W144" s="18"/>
      <c r="X144" s="47"/>
      <c r="Y144" s="18"/>
      <c r="Z144" s="18"/>
      <c r="AA144" s="264"/>
      <c r="AB144" s="566"/>
      <c r="AC144" s="559"/>
      <c r="AD144" s="559"/>
      <c r="AE144" s="559"/>
      <c r="AF144" s="559"/>
    </row>
    <row r="145" spans="1:32" s="510" customFormat="1" x14ac:dyDescent="0.2">
      <c r="A145" s="15"/>
      <c r="B145" s="21"/>
      <c r="C145" s="21"/>
      <c r="D145" s="15"/>
      <c r="E145" s="15"/>
      <c r="F145" s="15"/>
      <c r="G145" s="15"/>
      <c r="H145" s="22"/>
      <c r="I145" s="23"/>
      <c r="J145" s="24"/>
      <c r="K145" s="23"/>
      <c r="L145" s="15"/>
      <c r="M145" s="15"/>
      <c r="N145" s="15"/>
      <c r="O145" s="15"/>
      <c r="P145" s="22"/>
      <c r="Q145" s="25"/>
      <c r="R145" s="563"/>
      <c r="S145" s="23"/>
      <c r="T145" s="26"/>
      <c r="U145" s="24"/>
      <c r="V145" s="23"/>
      <c r="W145" s="23"/>
      <c r="X145" s="564"/>
      <c r="Y145" s="564"/>
      <c r="Z145" s="565"/>
      <c r="AA145" s="565"/>
      <c r="AB145" s="566"/>
      <c r="AC145" s="559"/>
      <c r="AD145" s="559"/>
      <c r="AE145" s="559"/>
      <c r="AF145" s="559"/>
    </row>
    <row r="146" spans="1:32" s="510" customFormat="1" x14ac:dyDescent="0.2">
      <c r="A146" s="15"/>
      <c r="B146" s="21"/>
      <c r="C146" s="21"/>
      <c r="D146" s="15"/>
      <c r="E146" s="15"/>
      <c r="F146" s="15"/>
      <c r="G146" s="15"/>
      <c r="H146" s="22"/>
      <c r="I146" s="23"/>
      <c r="J146" s="24"/>
      <c r="K146" s="23"/>
      <c r="L146" s="15"/>
      <c r="M146" s="15"/>
      <c r="N146" s="15"/>
      <c r="O146" s="15"/>
      <c r="P146" s="22"/>
      <c r="Q146" s="25"/>
      <c r="R146" s="563"/>
      <c r="S146" s="23"/>
      <c r="T146" s="26"/>
      <c r="U146" s="24"/>
      <c r="V146" s="23"/>
      <c r="W146" s="23"/>
      <c r="X146" s="564"/>
      <c r="Y146" s="564"/>
      <c r="Z146" s="565"/>
      <c r="AA146" s="565"/>
      <c r="AB146" s="566"/>
      <c r="AC146" s="559"/>
      <c r="AD146" s="559"/>
      <c r="AE146" s="559"/>
      <c r="AF146" s="559"/>
    </row>
    <row r="147" spans="1:32" s="510" customFormat="1" x14ac:dyDescent="0.2">
      <c r="A147" s="15"/>
      <c r="B147" s="21"/>
      <c r="C147" s="21"/>
      <c r="D147" s="15"/>
      <c r="E147" s="15"/>
      <c r="F147" s="15"/>
      <c r="G147" s="15"/>
      <c r="H147" s="22"/>
      <c r="I147" s="23"/>
      <c r="J147" s="24"/>
      <c r="K147" s="23"/>
      <c r="L147" s="15"/>
      <c r="M147" s="15"/>
      <c r="N147" s="15"/>
      <c r="O147" s="15"/>
      <c r="P147" s="22"/>
      <c r="Q147" s="25"/>
      <c r="R147" s="563"/>
      <c r="S147" s="23"/>
      <c r="T147" s="26"/>
      <c r="U147" s="24"/>
      <c r="V147" s="23"/>
      <c r="W147" s="23"/>
      <c r="X147" s="564"/>
      <c r="Y147" s="564"/>
      <c r="Z147" s="565"/>
      <c r="AA147" s="565"/>
      <c r="AB147" s="566"/>
      <c r="AC147" s="559"/>
      <c r="AD147" s="559"/>
      <c r="AE147" s="559"/>
      <c r="AF147" s="559"/>
    </row>
    <row r="148" spans="1:32" s="510" customFormat="1" x14ac:dyDescent="0.2">
      <c r="A148" s="15"/>
      <c r="B148" s="21"/>
      <c r="C148" s="21"/>
      <c r="D148" s="15"/>
      <c r="E148" s="15"/>
      <c r="F148" s="15"/>
      <c r="G148" s="15"/>
      <c r="H148" s="22"/>
      <c r="I148" s="23"/>
      <c r="J148" s="24"/>
      <c r="K148" s="23"/>
      <c r="L148" s="15"/>
      <c r="M148" s="15"/>
      <c r="N148" s="15"/>
      <c r="O148" s="15"/>
      <c r="P148" s="22"/>
      <c r="Q148" s="25"/>
      <c r="R148" s="563"/>
      <c r="S148" s="23"/>
      <c r="T148" s="26"/>
      <c r="U148" s="24"/>
      <c r="V148" s="23"/>
      <c r="W148" s="23"/>
      <c r="X148" s="564"/>
      <c r="Y148" s="564"/>
      <c r="Z148" s="565"/>
      <c r="AA148" s="565"/>
      <c r="AB148" s="566"/>
      <c r="AC148" s="559"/>
      <c r="AD148" s="559"/>
      <c r="AE148" s="559"/>
      <c r="AF148" s="559"/>
    </row>
    <row r="149" spans="1:32" s="510" customFormat="1" x14ac:dyDescent="0.2">
      <c r="A149" s="15"/>
      <c r="B149" s="21"/>
      <c r="C149" s="21"/>
      <c r="D149" s="15"/>
      <c r="E149" s="15"/>
      <c r="F149" s="15"/>
      <c r="G149" s="15"/>
      <c r="H149" s="22"/>
      <c r="I149" s="23"/>
      <c r="J149" s="24"/>
      <c r="K149" s="23"/>
      <c r="L149" s="15"/>
      <c r="M149" s="15"/>
      <c r="N149" s="15"/>
      <c r="O149" s="15"/>
      <c r="P149" s="22"/>
      <c r="Q149" s="25"/>
      <c r="R149" s="563"/>
      <c r="S149" s="23"/>
      <c r="T149" s="26"/>
      <c r="U149" s="24"/>
      <c r="V149" s="23"/>
      <c r="W149" s="23"/>
      <c r="X149" s="564"/>
      <c r="Y149" s="564"/>
      <c r="Z149" s="565"/>
      <c r="AA149" s="565"/>
      <c r="AB149" s="566"/>
      <c r="AC149" s="559"/>
      <c r="AD149" s="559"/>
      <c r="AE149" s="559"/>
      <c r="AF149" s="559"/>
    </row>
    <row r="150" spans="1:32" s="510" customFormat="1" x14ac:dyDescent="0.2">
      <c r="A150" s="15"/>
      <c r="B150" s="21"/>
      <c r="C150" s="21"/>
      <c r="D150" s="15"/>
      <c r="E150" s="15"/>
      <c r="F150" s="15"/>
      <c r="G150" s="15"/>
      <c r="H150" s="22"/>
      <c r="I150" s="23"/>
      <c r="J150" s="24"/>
      <c r="K150" s="23"/>
      <c r="L150" s="15"/>
      <c r="M150" s="15"/>
      <c r="N150" s="15"/>
      <c r="O150" s="15"/>
      <c r="P150" s="22"/>
      <c r="Q150" s="25"/>
      <c r="R150" s="563"/>
      <c r="S150" s="23"/>
      <c r="T150" s="26"/>
      <c r="U150" s="24"/>
      <c r="V150" s="23"/>
      <c r="W150" s="23"/>
      <c r="X150" s="564"/>
      <c r="Y150" s="564"/>
      <c r="Z150" s="565"/>
      <c r="AA150" s="565"/>
      <c r="AB150" s="566"/>
      <c r="AC150" s="559"/>
      <c r="AD150" s="559"/>
      <c r="AE150" s="559"/>
      <c r="AF150" s="559"/>
    </row>
    <row r="151" spans="1:32" s="510" customFormat="1" x14ac:dyDescent="0.2">
      <c r="A151" s="15"/>
      <c r="B151" s="21"/>
      <c r="C151" s="21"/>
      <c r="D151" s="15"/>
      <c r="E151" s="15"/>
      <c r="F151" s="15"/>
      <c r="G151" s="15"/>
      <c r="H151" s="22"/>
      <c r="I151" s="23"/>
      <c r="J151" s="24"/>
      <c r="K151" s="23"/>
      <c r="L151" s="15"/>
      <c r="M151" s="15"/>
      <c r="N151" s="15"/>
      <c r="O151" s="15"/>
      <c r="P151" s="22"/>
      <c r="Q151" s="25"/>
      <c r="R151" s="563"/>
      <c r="S151" s="23"/>
      <c r="T151" s="26"/>
      <c r="U151" s="24"/>
      <c r="V151" s="23"/>
      <c r="W151" s="23"/>
      <c r="X151" s="564"/>
      <c r="Y151" s="564"/>
      <c r="Z151" s="565"/>
      <c r="AA151" s="565"/>
      <c r="AB151" s="566"/>
      <c r="AC151" s="559"/>
      <c r="AD151" s="559"/>
      <c r="AE151" s="559"/>
      <c r="AF151" s="559"/>
    </row>
    <row r="152" spans="1:32" s="510" customFormat="1" x14ac:dyDescent="0.2">
      <c r="A152" s="15"/>
      <c r="B152" s="21"/>
      <c r="C152" s="21"/>
      <c r="D152" s="15"/>
      <c r="E152" s="15"/>
      <c r="F152" s="15"/>
      <c r="G152" s="15"/>
      <c r="H152" s="22"/>
      <c r="I152" s="23"/>
      <c r="J152" s="24"/>
      <c r="K152" s="23"/>
      <c r="L152" s="15"/>
      <c r="M152" s="15"/>
      <c r="N152" s="15"/>
      <c r="O152" s="15"/>
      <c r="P152" s="22"/>
      <c r="Q152" s="25"/>
      <c r="R152" s="563"/>
      <c r="S152" s="23"/>
      <c r="T152" s="26"/>
      <c r="U152" s="24"/>
      <c r="V152" s="23"/>
      <c r="W152" s="23"/>
      <c r="X152" s="564"/>
      <c r="Y152" s="564"/>
      <c r="Z152" s="565"/>
      <c r="AA152" s="565"/>
      <c r="AB152" s="566"/>
      <c r="AC152" s="559"/>
      <c r="AD152" s="559"/>
      <c r="AE152" s="559"/>
      <c r="AF152" s="559"/>
    </row>
    <row r="153" spans="1:32" s="510" customFormat="1" x14ac:dyDescent="0.2">
      <c r="A153" s="15"/>
      <c r="B153" s="21"/>
      <c r="C153" s="21"/>
      <c r="D153" s="15"/>
      <c r="E153" s="15"/>
      <c r="F153" s="15"/>
      <c r="G153" s="15"/>
      <c r="H153" s="22"/>
      <c r="I153" s="23"/>
      <c r="J153" s="24"/>
      <c r="K153" s="23"/>
      <c r="L153" s="15"/>
      <c r="M153" s="15"/>
      <c r="N153" s="15"/>
      <c r="O153" s="15"/>
      <c r="P153" s="22"/>
      <c r="Q153" s="25"/>
      <c r="R153" s="563"/>
      <c r="S153" s="23"/>
      <c r="T153" s="26"/>
      <c r="U153" s="24"/>
      <c r="V153" s="23"/>
      <c r="W153" s="23"/>
      <c r="X153" s="564"/>
      <c r="Y153" s="564"/>
      <c r="Z153" s="565"/>
      <c r="AA153" s="565"/>
      <c r="AB153" s="566"/>
      <c r="AC153" s="559"/>
      <c r="AD153" s="559"/>
      <c r="AE153" s="559"/>
      <c r="AF153" s="559"/>
    </row>
    <row r="154" spans="1:32" s="510" customFormat="1" x14ac:dyDescent="0.2">
      <c r="A154" s="27"/>
      <c r="B154" s="28"/>
      <c r="C154" s="28"/>
      <c r="D154" s="27"/>
      <c r="E154" s="27"/>
      <c r="F154" s="27"/>
      <c r="G154" s="27"/>
      <c r="H154" s="29"/>
      <c r="I154" s="30"/>
      <c r="J154" s="31"/>
      <c r="K154" s="30"/>
      <c r="L154" s="27"/>
      <c r="M154" s="27"/>
      <c r="N154" s="27"/>
      <c r="O154" s="27"/>
      <c r="P154" s="27"/>
      <c r="Q154" s="32"/>
      <c r="R154" s="567"/>
      <c r="S154" s="30"/>
      <c r="T154" s="33"/>
      <c r="U154" s="31"/>
      <c r="V154" s="30"/>
      <c r="W154" s="30"/>
      <c r="X154" s="568"/>
      <c r="Y154" s="568"/>
      <c r="Z154" s="569"/>
      <c r="AA154" s="569"/>
      <c r="AB154" s="570"/>
      <c r="AC154" s="571"/>
      <c r="AD154" s="571"/>
      <c r="AE154" s="571"/>
      <c r="AF154" s="571"/>
    </row>
    <row r="155" spans="1:32" s="510" customFormat="1" ht="15" x14ac:dyDescent="0.25">
      <c r="A155" s="2027"/>
      <c r="B155" s="2027"/>
      <c r="C155" s="2027"/>
      <c r="D155" s="2027"/>
      <c r="E155" s="2027"/>
      <c r="F155" s="2027"/>
      <c r="G155" s="2027"/>
      <c r="H155" s="2028"/>
      <c r="I155" s="2029"/>
      <c r="J155" s="2030"/>
      <c r="K155" s="2029"/>
      <c r="L155" s="2029"/>
      <c r="M155" s="2029"/>
      <c r="N155" s="2029"/>
      <c r="O155" s="2029"/>
      <c r="P155" s="2029"/>
      <c r="Q155" s="2029"/>
      <c r="R155" s="2031"/>
      <c r="S155" s="2029"/>
      <c r="T155" s="2032"/>
      <c r="U155" s="2030"/>
      <c r="V155" s="2029"/>
      <c r="W155" s="2029"/>
      <c r="X155" s="2033"/>
      <c r="Y155" s="2033"/>
      <c r="Z155" s="2034"/>
      <c r="AA155" s="2034"/>
      <c r="AB155" s="2035">
        <f>SUM(AB138:AB154)</f>
        <v>395.76883060000006</v>
      </c>
      <c r="AC155" s="2036"/>
      <c r="AD155" s="2036"/>
      <c r="AE155" s="2036"/>
      <c r="AF155" s="2036"/>
    </row>
    <row r="156" spans="1:32" s="510" customFormat="1" ht="15.75" x14ac:dyDescent="0.25">
      <c r="A156" s="2820" t="s">
        <v>76</v>
      </c>
      <c r="B156" s="2820"/>
      <c r="C156" s="2821" t="s">
        <v>77</v>
      </c>
      <c r="D156" s="2821"/>
      <c r="E156" s="2821"/>
      <c r="F156" s="2821"/>
      <c r="G156" s="2821"/>
      <c r="H156" s="2821"/>
      <c r="I156" s="577" t="s">
        <v>78</v>
      </c>
      <c r="J156" s="577"/>
      <c r="K156" s="577"/>
      <c r="L156" s="577"/>
      <c r="M156" s="577"/>
      <c r="N156" s="577"/>
      <c r="AB156" s="578"/>
    </row>
    <row r="157" spans="1:32" s="510" customFormat="1" ht="15.75" x14ac:dyDescent="0.25">
      <c r="A157" s="577"/>
      <c r="B157" s="579"/>
      <c r="C157" s="577"/>
      <c r="D157" s="577"/>
      <c r="E157" s="577"/>
      <c r="F157" s="577"/>
      <c r="G157" s="577"/>
      <c r="H157" s="577"/>
      <c r="I157" s="577" t="s">
        <v>79</v>
      </c>
      <c r="J157" s="577"/>
      <c r="K157" s="577"/>
      <c r="L157" s="577"/>
      <c r="M157" s="577"/>
      <c r="N157" s="577"/>
      <c r="AB157" s="578"/>
    </row>
    <row r="158" spans="1:32" s="510" customFormat="1" ht="15.75" x14ac:dyDescent="0.25">
      <c r="A158" s="577"/>
      <c r="B158" s="579"/>
      <c r="C158" s="577"/>
      <c r="D158" s="577"/>
      <c r="E158" s="577"/>
      <c r="F158" s="577"/>
      <c r="G158" s="577"/>
      <c r="H158" s="577"/>
      <c r="I158" s="577" t="s">
        <v>80</v>
      </c>
      <c r="J158" s="577"/>
      <c r="K158" s="577"/>
      <c r="L158" s="577"/>
      <c r="M158" s="577"/>
      <c r="N158" s="577"/>
      <c r="AB158" s="578"/>
    </row>
    <row r="159" spans="1:32" s="510" customFormat="1" ht="15.75" x14ac:dyDescent="0.25">
      <c r="A159" s="577"/>
      <c r="B159" s="579"/>
      <c r="C159" s="577"/>
      <c r="D159" s="577"/>
      <c r="E159" s="577"/>
      <c r="F159" s="577"/>
      <c r="G159" s="577"/>
      <c r="H159" s="577"/>
      <c r="I159" s="577" t="s">
        <v>81</v>
      </c>
      <c r="J159" s="577"/>
      <c r="K159" s="577"/>
      <c r="L159" s="577"/>
      <c r="M159" s="577"/>
      <c r="N159" s="577"/>
      <c r="AB159" s="578"/>
    </row>
    <row r="160" spans="1:32" s="510" customFormat="1" ht="15.75" x14ac:dyDescent="0.25">
      <c r="A160" s="577"/>
      <c r="B160" s="579"/>
      <c r="C160" s="577"/>
      <c r="D160" s="577"/>
      <c r="E160" s="577"/>
      <c r="F160" s="577"/>
      <c r="G160" s="577"/>
      <c r="H160" s="577"/>
      <c r="I160" s="577" t="s">
        <v>88</v>
      </c>
      <c r="J160" s="577"/>
      <c r="K160" s="577"/>
      <c r="L160" s="577"/>
      <c r="M160" s="577"/>
      <c r="N160" s="577"/>
      <c r="AB160" s="578"/>
    </row>
    <row r="161" spans="1:32" s="510" customFormat="1" ht="15.75" x14ac:dyDescent="0.25">
      <c r="A161" s="577"/>
      <c r="B161" s="579"/>
      <c r="C161" s="577"/>
      <c r="D161" s="577"/>
      <c r="E161" s="577"/>
      <c r="F161" s="577"/>
      <c r="G161" s="577"/>
      <c r="H161" s="577"/>
      <c r="I161" s="577"/>
      <c r="J161" s="577"/>
      <c r="K161" s="577"/>
      <c r="L161" s="577"/>
      <c r="M161" s="577"/>
      <c r="N161" s="577"/>
      <c r="AB161" s="578"/>
    </row>
    <row r="162" spans="1:32" s="510" customFormat="1" ht="18.75" x14ac:dyDescent="0.2">
      <c r="A162" s="338"/>
      <c r="B162" s="338"/>
      <c r="C162" s="338"/>
      <c r="D162" s="338"/>
      <c r="E162" s="338"/>
      <c r="F162" s="338"/>
      <c r="G162" s="338"/>
      <c r="H162" s="338"/>
      <c r="I162" s="338"/>
      <c r="J162" s="338"/>
      <c r="K162" s="338"/>
      <c r="L162" s="338"/>
      <c r="M162" s="338"/>
      <c r="N162" s="338"/>
      <c r="O162" s="338"/>
      <c r="P162" s="338"/>
      <c r="Q162" s="338"/>
      <c r="R162" s="338"/>
      <c r="S162" s="338"/>
      <c r="T162" s="338"/>
      <c r="U162" s="338"/>
      <c r="V162" s="338"/>
      <c r="W162" s="338"/>
      <c r="X162" s="338"/>
      <c r="Y162" s="338"/>
      <c r="Z162" s="338"/>
      <c r="AA162" s="2774" t="s">
        <v>0</v>
      </c>
      <c r="AB162" s="2774"/>
      <c r="AC162" s="338"/>
      <c r="AD162" s="338"/>
      <c r="AE162" s="338"/>
      <c r="AF162" s="338"/>
    </row>
    <row r="163" spans="1:32" s="510" customFormat="1" ht="18.75" x14ac:dyDescent="0.2">
      <c r="A163" s="2703" t="s">
        <v>1</v>
      </c>
      <c r="B163" s="2703"/>
      <c r="C163" s="2703"/>
      <c r="D163" s="2703"/>
      <c r="E163" s="2703"/>
      <c r="F163" s="2703"/>
      <c r="G163" s="2703"/>
      <c r="H163" s="2703"/>
      <c r="I163" s="2703"/>
      <c r="J163" s="2703"/>
      <c r="K163" s="2703"/>
      <c r="L163" s="2703"/>
      <c r="M163" s="2703"/>
      <c r="N163" s="2703"/>
      <c r="O163" s="2703"/>
      <c r="P163" s="2703"/>
      <c r="Q163" s="2703"/>
      <c r="R163" s="2703"/>
      <c r="S163" s="2703"/>
      <c r="T163" s="2703"/>
      <c r="U163" s="2703"/>
      <c r="V163" s="2703"/>
      <c r="W163" s="2703"/>
      <c r="X163" s="2703"/>
      <c r="Y163" s="2703"/>
      <c r="Z163" s="2703"/>
      <c r="AA163" s="2703"/>
      <c r="AB163" s="2703"/>
      <c r="AC163" s="344"/>
      <c r="AD163" s="344"/>
      <c r="AE163" s="344"/>
      <c r="AF163" s="344"/>
    </row>
    <row r="164" spans="1:32" s="510" customFormat="1" ht="21" x14ac:dyDescent="0.2">
      <c r="A164" s="2780" t="s">
        <v>523</v>
      </c>
      <c r="B164" s="2780"/>
      <c r="C164" s="2780"/>
      <c r="D164" s="2780"/>
      <c r="E164" s="2780"/>
      <c r="F164" s="2780"/>
      <c r="G164" s="2780"/>
      <c r="H164" s="2780"/>
      <c r="I164" s="2780"/>
      <c r="J164" s="2780"/>
      <c r="K164" s="2780"/>
      <c r="L164" s="2780"/>
      <c r="M164" s="2780"/>
      <c r="N164" s="2780"/>
      <c r="O164" s="2780"/>
      <c r="P164" s="2780"/>
      <c r="Q164" s="2780"/>
      <c r="R164" s="2780"/>
      <c r="S164" s="2780"/>
      <c r="T164" s="2780"/>
      <c r="U164" s="2780"/>
      <c r="V164" s="2780"/>
      <c r="W164" s="2780"/>
      <c r="X164" s="2780"/>
      <c r="Y164" s="2780"/>
      <c r="Z164" s="2780"/>
      <c r="AA164" s="2780"/>
      <c r="AB164" s="2780"/>
      <c r="AC164" s="345"/>
      <c r="AD164" s="345"/>
      <c r="AE164" s="345"/>
      <c r="AF164" s="345"/>
    </row>
    <row r="165" spans="1:32" s="510" customFormat="1" ht="15" x14ac:dyDescent="0.25">
      <c r="A165" s="2686" t="s">
        <v>2</v>
      </c>
      <c r="B165" s="511"/>
      <c r="C165" s="2686" t="s">
        <v>3</v>
      </c>
      <c r="D165" s="511"/>
      <c r="E165" s="511"/>
      <c r="F165" s="2693" t="s">
        <v>4</v>
      </c>
      <c r="G165" s="2693"/>
      <c r="H165" s="2693"/>
      <c r="I165" s="2694"/>
      <c r="J165" s="2694"/>
      <c r="K165" s="2695"/>
      <c r="L165" s="361"/>
      <c r="M165" s="2679" t="s">
        <v>5</v>
      </c>
      <c r="N165" s="2679"/>
      <c r="O165" s="2679"/>
      <c r="P165" s="2679"/>
      <c r="Q165" s="2696"/>
      <c r="R165" s="2696"/>
      <c r="S165" s="2696"/>
      <c r="T165" s="2696"/>
      <c r="U165" s="2696"/>
      <c r="V165" s="2697"/>
      <c r="W165" s="512" t="s">
        <v>6</v>
      </c>
      <c r="X165" s="513" t="s">
        <v>7</v>
      </c>
      <c r="Y165" s="514"/>
      <c r="Z165" s="514"/>
      <c r="AA165" s="513"/>
      <c r="AB165" s="515"/>
      <c r="AC165" s="516" t="s">
        <v>8</v>
      </c>
      <c r="AD165" s="346"/>
      <c r="AE165" s="346"/>
      <c r="AF165" s="517"/>
    </row>
    <row r="166" spans="1:32" s="510" customFormat="1" x14ac:dyDescent="0.2">
      <c r="A166" s="2687"/>
      <c r="B166" s="367"/>
      <c r="C166" s="2687"/>
      <c r="D166" s="518" t="s">
        <v>9</v>
      </c>
      <c r="E166" s="519" t="s">
        <v>10</v>
      </c>
      <c r="F166" s="2698" t="s">
        <v>11</v>
      </c>
      <c r="G166" s="2694"/>
      <c r="H166" s="2695"/>
      <c r="I166" s="511"/>
      <c r="J166" s="520" t="s">
        <v>12</v>
      </c>
      <c r="K166" s="511"/>
      <c r="L166" s="2679" t="s">
        <v>2</v>
      </c>
      <c r="M166" s="521"/>
      <c r="N166" s="521"/>
      <c r="O166" s="521"/>
      <c r="P166" s="522"/>
      <c r="Q166" s="523" t="s">
        <v>13</v>
      </c>
      <c r="R166" s="524" t="s">
        <v>12</v>
      </c>
      <c r="S166" s="521" t="s">
        <v>6</v>
      </c>
      <c r="T166" s="2682" t="s">
        <v>14</v>
      </c>
      <c r="U166" s="2683"/>
      <c r="V166" s="525" t="s">
        <v>7</v>
      </c>
      <c r="W166" s="526" t="s">
        <v>15</v>
      </c>
      <c r="X166" s="527" t="s">
        <v>16</v>
      </c>
      <c r="Y166" s="527" t="s">
        <v>17</v>
      </c>
      <c r="Z166" s="527" t="s">
        <v>18</v>
      </c>
      <c r="AA166" s="377"/>
      <c r="AB166" s="378" t="s">
        <v>19</v>
      </c>
      <c r="AC166" s="528" t="s">
        <v>20</v>
      </c>
      <c r="AD166" s="529"/>
      <c r="AE166" s="347" t="s">
        <v>21</v>
      </c>
      <c r="AF166" s="340" t="s">
        <v>22</v>
      </c>
    </row>
    <row r="167" spans="1:32" s="510" customFormat="1" x14ac:dyDescent="0.2">
      <c r="A167" s="2687"/>
      <c r="B167" s="1996" t="s">
        <v>23</v>
      </c>
      <c r="C167" s="2687"/>
      <c r="D167" s="518" t="s">
        <v>24</v>
      </c>
      <c r="E167" s="519" t="s">
        <v>25</v>
      </c>
      <c r="F167" s="2699"/>
      <c r="G167" s="2700"/>
      <c r="H167" s="2701"/>
      <c r="I167" s="518" t="s">
        <v>26</v>
      </c>
      <c r="J167" s="530" t="s">
        <v>15</v>
      </c>
      <c r="K167" s="531" t="s">
        <v>6</v>
      </c>
      <c r="L167" s="2680"/>
      <c r="M167" s="532" t="s">
        <v>27</v>
      </c>
      <c r="N167" s="532" t="s">
        <v>10</v>
      </c>
      <c r="O167" s="533" t="s">
        <v>10</v>
      </c>
      <c r="P167" s="534" t="s">
        <v>28</v>
      </c>
      <c r="Q167" s="535" t="s">
        <v>29</v>
      </c>
      <c r="R167" s="534" t="s">
        <v>15</v>
      </c>
      <c r="S167" s="385" t="s">
        <v>15</v>
      </c>
      <c r="T167" s="2684"/>
      <c r="U167" s="2685"/>
      <c r="V167" s="525" t="s">
        <v>30</v>
      </c>
      <c r="W167" s="526" t="s">
        <v>31</v>
      </c>
      <c r="X167" s="527" t="s">
        <v>30</v>
      </c>
      <c r="Y167" s="527" t="s">
        <v>32</v>
      </c>
      <c r="Z167" s="527" t="s">
        <v>7</v>
      </c>
      <c r="AA167" s="377" t="s">
        <v>33</v>
      </c>
      <c r="AB167" s="378" t="s">
        <v>34</v>
      </c>
      <c r="AC167" s="528" t="s">
        <v>35</v>
      </c>
      <c r="AD167" s="347" t="s">
        <v>36</v>
      </c>
      <c r="AE167" s="347" t="s">
        <v>37</v>
      </c>
      <c r="AF167" s="340" t="s">
        <v>38</v>
      </c>
    </row>
    <row r="168" spans="1:32" s="510" customFormat="1" x14ac:dyDescent="0.2">
      <c r="A168" s="2687"/>
      <c r="B168" s="1996" t="s">
        <v>39</v>
      </c>
      <c r="C168" s="2687"/>
      <c r="D168" s="518" t="s">
        <v>40</v>
      </c>
      <c r="E168" s="519" t="s">
        <v>41</v>
      </c>
      <c r="F168" s="2686" t="s">
        <v>42</v>
      </c>
      <c r="G168" s="2686" t="s">
        <v>43</v>
      </c>
      <c r="H168" s="2688" t="s">
        <v>44</v>
      </c>
      <c r="I168" s="518" t="s">
        <v>45</v>
      </c>
      <c r="J168" s="530" t="s">
        <v>46</v>
      </c>
      <c r="K168" s="531" t="s">
        <v>47</v>
      </c>
      <c r="L168" s="2680"/>
      <c r="M168" s="532" t="s">
        <v>30</v>
      </c>
      <c r="N168" s="532" t="s">
        <v>30</v>
      </c>
      <c r="O168" s="533" t="s">
        <v>25</v>
      </c>
      <c r="P168" s="534" t="s">
        <v>30</v>
      </c>
      <c r="Q168" s="535" t="s">
        <v>48</v>
      </c>
      <c r="R168" s="534" t="s">
        <v>49</v>
      </c>
      <c r="S168" s="385" t="s">
        <v>30</v>
      </c>
      <c r="T168" s="536" t="s">
        <v>50</v>
      </c>
      <c r="U168" s="537" t="s">
        <v>13</v>
      </c>
      <c r="V168" s="525" t="s">
        <v>51</v>
      </c>
      <c r="W168" s="526" t="s">
        <v>52</v>
      </c>
      <c r="X168" s="527" t="s">
        <v>53</v>
      </c>
      <c r="Y168" s="527" t="s">
        <v>54</v>
      </c>
      <c r="Z168" s="527" t="s">
        <v>55</v>
      </c>
      <c r="AA168" s="377" t="s">
        <v>56</v>
      </c>
      <c r="AB168" s="378" t="s">
        <v>57</v>
      </c>
      <c r="AC168" s="347" t="s">
        <v>58</v>
      </c>
      <c r="AD168" s="347" t="s">
        <v>59</v>
      </c>
      <c r="AE168" s="347" t="s">
        <v>59</v>
      </c>
      <c r="AF168" s="340" t="s">
        <v>60</v>
      </c>
    </row>
    <row r="169" spans="1:32" s="510" customFormat="1" ht="15" x14ac:dyDescent="0.25">
      <c r="A169" s="2687"/>
      <c r="B169" s="1996" t="s">
        <v>61</v>
      </c>
      <c r="C169" s="2687"/>
      <c r="D169" s="518" t="s">
        <v>62</v>
      </c>
      <c r="E169" s="519" t="s">
        <v>63</v>
      </c>
      <c r="F169" s="2687"/>
      <c r="G169" s="2687"/>
      <c r="H169" s="2689"/>
      <c r="I169" s="518" t="s">
        <v>64</v>
      </c>
      <c r="J169" s="530" t="s">
        <v>59</v>
      </c>
      <c r="K169" s="531" t="s">
        <v>59</v>
      </c>
      <c r="L169" s="2680"/>
      <c r="M169" s="532"/>
      <c r="N169" s="532"/>
      <c r="O169" s="533" t="s">
        <v>41</v>
      </c>
      <c r="P169" s="534" t="s">
        <v>65</v>
      </c>
      <c r="Q169" s="535" t="s">
        <v>66</v>
      </c>
      <c r="R169" s="534" t="s">
        <v>67</v>
      </c>
      <c r="S169" s="385" t="s">
        <v>59</v>
      </c>
      <c r="T169" s="538" t="s">
        <v>68</v>
      </c>
      <c r="U169" s="525" t="s">
        <v>14</v>
      </c>
      <c r="V169" s="525" t="s">
        <v>14</v>
      </c>
      <c r="W169" s="526" t="s">
        <v>30</v>
      </c>
      <c r="X169" s="539" t="s">
        <v>69</v>
      </c>
      <c r="Y169" s="539" t="s">
        <v>70</v>
      </c>
      <c r="Z169" s="527" t="s">
        <v>71</v>
      </c>
      <c r="AA169" s="377" t="s">
        <v>72</v>
      </c>
      <c r="AB169" s="540" t="s">
        <v>59</v>
      </c>
      <c r="AC169" s="347" t="s">
        <v>59</v>
      </c>
      <c r="AD169" s="347"/>
      <c r="AE169" s="347"/>
      <c r="AF169" s="340" t="s">
        <v>59</v>
      </c>
    </row>
    <row r="170" spans="1:32" s="510" customFormat="1" x14ac:dyDescent="0.2">
      <c r="A170" s="2692"/>
      <c r="B170" s="390"/>
      <c r="C170" s="2692"/>
      <c r="D170" s="541"/>
      <c r="E170" s="542"/>
      <c r="F170" s="390"/>
      <c r="G170" s="390"/>
      <c r="H170" s="391"/>
      <c r="I170" s="542"/>
      <c r="J170" s="543"/>
      <c r="K170" s="544"/>
      <c r="L170" s="2681"/>
      <c r="M170" s="545"/>
      <c r="N170" s="545"/>
      <c r="O170" s="545" t="s">
        <v>63</v>
      </c>
      <c r="P170" s="546"/>
      <c r="Q170" s="547" t="s">
        <v>72</v>
      </c>
      <c r="R170" s="548" t="s">
        <v>59</v>
      </c>
      <c r="S170" s="549"/>
      <c r="T170" s="548" t="s">
        <v>73</v>
      </c>
      <c r="U170" s="549" t="s">
        <v>59</v>
      </c>
      <c r="V170" s="550" t="s">
        <v>59</v>
      </c>
      <c r="W170" s="551" t="s">
        <v>59</v>
      </c>
      <c r="X170" s="552" t="s">
        <v>59</v>
      </c>
      <c r="Y170" s="552" t="s">
        <v>59</v>
      </c>
      <c r="Z170" s="552" t="s">
        <v>59</v>
      </c>
      <c r="AA170" s="402"/>
      <c r="AB170" s="403"/>
      <c r="AC170" s="348"/>
      <c r="AD170" s="348"/>
      <c r="AE170" s="348"/>
      <c r="AF170" s="341"/>
    </row>
    <row r="171" spans="1:32" s="510" customFormat="1" ht="15" x14ac:dyDescent="0.25">
      <c r="A171" s="16">
        <v>1</v>
      </c>
      <c r="B171" s="333">
        <v>52317</v>
      </c>
      <c r="C171" s="41">
        <v>1601</v>
      </c>
      <c r="D171" s="41" t="s">
        <v>238</v>
      </c>
      <c r="E171" s="41">
        <v>2</v>
      </c>
      <c r="F171" s="41">
        <v>0</v>
      </c>
      <c r="G171" s="41">
        <v>0</v>
      </c>
      <c r="H171" s="267">
        <v>41.8</v>
      </c>
      <c r="I171" s="44">
        <f>F171*400+G171*100+H171</f>
        <v>41.8</v>
      </c>
      <c r="J171" s="263">
        <v>1600</v>
      </c>
      <c r="K171" s="46">
        <f>SUM(I171*J171)</f>
        <v>66880</v>
      </c>
      <c r="L171" s="16">
        <v>1</v>
      </c>
      <c r="M171" s="82">
        <v>103</v>
      </c>
      <c r="N171" s="41" t="s">
        <v>74</v>
      </c>
      <c r="O171" s="16">
        <v>2</v>
      </c>
      <c r="P171" s="41">
        <f>12*9.3</f>
        <v>111.60000000000001</v>
      </c>
      <c r="Q171" s="14" t="s">
        <v>75</v>
      </c>
      <c r="R171" s="553">
        <v>9050</v>
      </c>
      <c r="S171" s="44">
        <f>+P171*R171</f>
        <v>1009980.0000000001</v>
      </c>
      <c r="T171" s="57">
        <v>13</v>
      </c>
      <c r="U171" s="42">
        <f>+S171*0.16</f>
        <v>161596.80000000002</v>
      </c>
      <c r="V171" s="42">
        <f>+S171-U171</f>
        <v>848383.20000000007</v>
      </c>
      <c r="W171" s="44">
        <f>K171+V171</f>
        <v>915263.20000000007</v>
      </c>
      <c r="X171" s="42">
        <f>W171</f>
        <v>915263.20000000007</v>
      </c>
      <c r="Y171" s="293"/>
      <c r="Z171" s="18">
        <f>+X171</f>
        <v>915263.20000000007</v>
      </c>
      <c r="AA171" s="264">
        <v>0.02</v>
      </c>
      <c r="AB171" s="554">
        <f>+Z171*AA171/100</f>
        <v>183.05264000000003</v>
      </c>
      <c r="AC171" s="555"/>
      <c r="AD171" s="556">
        <f>AB171-AC171</f>
        <v>183.05264000000003</v>
      </c>
      <c r="AE171" s="556">
        <f>IF(AD171&lt;=0,0,AD171*25/100)</f>
        <v>45.763160000000006</v>
      </c>
      <c r="AF171" s="556">
        <f>IF(AC171+AE171&gt;AB171,AB171,AC171+AE171)</f>
        <v>45.763160000000006</v>
      </c>
    </row>
    <row r="172" spans="1:32" s="510" customFormat="1" ht="15" x14ac:dyDescent="0.25">
      <c r="A172" s="45">
        <v>2</v>
      </c>
      <c r="B172" s="273">
        <v>40813</v>
      </c>
      <c r="C172" s="27">
        <v>1222</v>
      </c>
      <c r="D172" s="27" t="s">
        <v>238</v>
      </c>
      <c r="E172" s="27">
        <v>2</v>
      </c>
      <c r="F172" s="27">
        <v>0</v>
      </c>
      <c r="G172" s="27">
        <v>0</v>
      </c>
      <c r="H172" s="557">
        <v>41.8</v>
      </c>
      <c r="I172" s="47">
        <f>F172*400+G172*100+H172</f>
        <v>41.8</v>
      </c>
      <c r="J172" s="265">
        <v>1600</v>
      </c>
      <c r="K172" s="49">
        <f>SUM(I172*J172)</f>
        <v>66880</v>
      </c>
      <c r="L172" s="58">
        <v>1</v>
      </c>
      <c r="M172" s="231">
        <v>103</v>
      </c>
      <c r="N172" s="270" t="s">
        <v>74</v>
      </c>
      <c r="O172" s="58">
        <v>2</v>
      </c>
      <c r="P172" s="270">
        <f>9.1*5.93</f>
        <v>53.962999999999994</v>
      </c>
      <c r="Q172" s="76" t="s">
        <v>75</v>
      </c>
      <c r="R172" s="260">
        <v>9050</v>
      </c>
      <c r="S172" s="18">
        <f>+P172*R172</f>
        <v>488365.14999999997</v>
      </c>
      <c r="T172" s="59">
        <v>13</v>
      </c>
      <c r="U172" s="42">
        <f>+S172*0.16</f>
        <v>78138.423999999999</v>
      </c>
      <c r="V172" s="23">
        <f>+S172-U172</f>
        <v>410226.72599999997</v>
      </c>
      <c r="W172" s="18">
        <f>+K172+V172</f>
        <v>477106.72599999997</v>
      </c>
      <c r="X172" s="18">
        <f>W172</f>
        <v>477106.72599999997</v>
      </c>
      <c r="Y172" s="293"/>
      <c r="Z172" s="18">
        <f>+X172</f>
        <v>477106.72599999997</v>
      </c>
      <c r="AA172" s="264">
        <v>0.02</v>
      </c>
      <c r="AB172" s="558">
        <f>+Z172*AA172/100</f>
        <v>95.42134519999999</v>
      </c>
      <c r="AC172" s="559"/>
      <c r="AD172" s="559"/>
      <c r="AE172" s="559"/>
      <c r="AF172" s="559"/>
    </row>
    <row r="173" spans="1:32" s="510" customFormat="1" ht="15" x14ac:dyDescent="0.25">
      <c r="A173" s="269"/>
      <c r="B173" s="269"/>
      <c r="C173" s="285"/>
      <c r="D173" s="273"/>
      <c r="E173" s="15"/>
      <c r="F173" s="268"/>
      <c r="G173" s="269"/>
      <c r="H173" s="266"/>
      <c r="I173" s="18"/>
      <c r="J173" s="258"/>
      <c r="K173" s="39"/>
      <c r="L173" s="269"/>
      <c r="M173" s="1997"/>
      <c r="N173" s="15"/>
      <c r="O173" s="50"/>
      <c r="P173" s="15"/>
      <c r="Q173" s="62"/>
      <c r="R173" s="260"/>
      <c r="S173" s="18"/>
      <c r="T173" s="15"/>
      <c r="U173" s="47"/>
      <c r="V173" s="47"/>
      <c r="W173" s="18"/>
      <c r="X173" s="47"/>
      <c r="Y173" s="18"/>
      <c r="Z173" s="18"/>
      <c r="AA173" s="264"/>
      <c r="AB173" s="558"/>
      <c r="AC173" s="559"/>
      <c r="AD173" s="559"/>
      <c r="AE173" s="559"/>
      <c r="AF173" s="559"/>
    </row>
    <row r="174" spans="1:32" s="510" customFormat="1" ht="15" x14ac:dyDescent="0.25">
      <c r="A174" s="269"/>
      <c r="B174" s="269"/>
      <c r="C174" s="285"/>
      <c r="D174" s="273"/>
      <c r="E174" s="15"/>
      <c r="F174" s="268"/>
      <c r="G174" s="269"/>
      <c r="H174" s="266"/>
      <c r="I174" s="18"/>
      <c r="J174" s="258"/>
      <c r="K174" s="39"/>
      <c r="L174" s="269"/>
      <c r="M174" s="1997"/>
      <c r="N174" s="15"/>
      <c r="O174" s="50"/>
      <c r="P174" s="15"/>
      <c r="Q174" s="62"/>
      <c r="R174" s="260"/>
      <c r="S174" s="18"/>
      <c r="T174" s="15"/>
      <c r="U174" s="47"/>
      <c r="V174" s="47"/>
      <c r="W174" s="18"/>
      <c r="X174" s="47"/>
      <c r="Y174" s="18"/>
      <c r="Z174" s="18"/>
      <c r="AA174" s="264"/>
      <c r="AB174" s="558"/>
      <c r="AC174" s="559"/>
      <c r="AD174" s="559"/>
      <c r="AE174" s="559"/>
      <c r="AF174" s="559"/>
    </row>
    <row r="175" spans="1:32" s="510" customFormat="1" ht="15" x14ac:dyDescent="0.25">
      <c r="A175" s="269"/>
      <c r="B175" s="269"/>
      <c r="C175" s="285"/>
      <c r="D175" s="273"/>
      <c r="E175" s="15"/>
      <c r="F175" s="268"/>
      <c r="G175" s="269"/>
      <c r="H175" s="266"/>
      <c r="I175" s="18"/>
      <c r="J175" s="258"/>
      <c r="K175" s="39"/>
      <c r="L175" s="269"/>
      <c r="M175" s="1997"/>
      <c r="N175" s="15"/>
      <c r="O175" s="50"/>
      <c r="P175" s="15"/>
      <c r="Q175" s="62"/>
      <c r="R175" s="260"/>
      <c r="S175" s="18"/>
      <c r="T175" s="15"/>
      <c r="U175" s="47"/>
      <c r="V175" s="47"/>
      <c r="W175" s="18"/>
      <c r="X175" s="47"/>
      <c r="Y175" s="18"/>
      <c r="Z175" s="18"/>
      <c r="AA175" s="264"/>
      <c r="AB175" s="558"/>
      <c r="AC175" s="559"/>
      <c r="AD175" s="559"/>
      <c r="AE175" s="559"/>
      <c r="AF175" s="559"/>
    </row>
    <row r="176" spans="1:32" s="510" customFormat="1" ht="15" x14ac:dyDescent="0.25">
      <c r="A176" s="269"/>
      <c r="B176" s="269"/>
      <c r="C176" s="285"/>
      <c r="D176" s="273"/>
      <c r="E176" s="15"/>
      <c r="F176" s="268"/>
      <c r="G176" s="269"/>
      <c r="H176" s="266"/>
      <c r="I176" s="18"/>
      <c r="J176" s="258"/>
      <c r="K176" s="39"/>
      <c r="L176" s="269"/>
      <c r="M176" s="1997"/>
      <c r="N176" s="15"/>
      <c r="O176" s="50"/>
      <c r="P176" s="15"/>
      <c r="Q176" s="62"/>
      <c r="R176" s="260"/>
      <c r="S176" s="18"/>
      <c r="T176" s="15"/>
      <c r="U176" s="47"/>
      <c r="V176" s="47"/>
      <c r="W176" s="18"/>
      <c r="X176" s="47"/>
      <c r="Y176" s="18"/>
      <c r="Z176" s="18"/>
      <c r="AA176" s="264"/>
      <c r="AB176" s="558"/>
      <c r="AC176" s="559"/>
      <c r="AD176" s="559"/>
      <c r="AE176" s="559"/>
      <c r="AF176" s="559"/>
    </row>
    <row r="177" spans="1:32" s="510" customFormat="1" ht="15" x14ac:dyDescent="0.25">
      <c r="A177" s="269"/>
      <c r="B177" s="560"/>
      <c r="C177" s="285"/>
      <c r="D177" s="273"/>
      <c r="E177" s="15"/>
      <c r="F177" s="268"/>
      <c r="G177" s="269"/>
      <c r="H177" s="266"/>
      <c r="I177" s="18"/>
      <c r="J177" s="258"/>
      <c r="K177" s="39"/>
      <c r="L177" s="269"/>
      <c r="M177" s="1997"/>
      <c r="N177" s="15"/>
      <c r="O177" s="50"/>
      <c r="P177" s="266"/>
      <c r="Q177" s="62"/>
      <c r="R177" s="561"/>
      <c r="S177" s="262"/>
      <c r="T177" s="286"/>
      <c r="U177" s="282"/>
      <c r="V177" s="47"/>
      <c r="W177" s="18"/>
      <c r="X177" s="47"/>
      <c r="Y177" s="18"/>
      <c r="Z177" s="18"/>
      <c r="AA177" s="264"/>
      <c r="AB177" s="558"/>
      <c r="AC177" s="559"/>
      <c r="AD177" s="559"/>
      <c r="AE177" s="559"/>
      <c r="AF177" s="559"/>
    </row>
    <row r="178" spans="1:32" s="510" customFormat="1" ht="15" x14ac:dyDescent="0.25">
      <c r="A178" s="269"/>
      <c r="B178" s="287"/>
      <c r="C178" s="285"/>
      <c r="D178" s="273"/>
      <c r="E178" s="15"/>
      <c r="F178" s="268"/>
      <c r="G178" s="269"/>
      <c r="H178" s="266"/>
      <c r="I178" s="18"/>
      <c r="J178" s="258"/>
      <c r="K178" s="80"/>
      <c r="L178" s="269"/>
      <c r="M178" s="1997"/>
      <c r="N178" s="15"/>
      <c r="O178" s="50"/>
      <c r="P178" s="273"/>
      <c r="Q178" s="62"/>
      <c r="R178" s="290"/>
      <c r="S178" s="262"/>
      <c r="T178" s="15"/>
      <c r="U178" s="47"/>
      <c r="V178" s="47"/>
      <c r="W178" s="18"/>
      <c r="X178" s="282"/>
      <c r="Y178" s="18"/>
      <c r="Z178" s="282"/>
      <c r="AA178" s="264"/>
      <c r="AB178" s="558"/>
      <c r="AC178" s="559"/>
      <c r="AD178" s="559"/>
      <c r="AE178" s="559"/>
      <c r="AF178" s="559"/>
    </row>
    <row r="179" spans="1:32" s="510" customFormat="1" ht="15" x14ac:dyDescent="0.25">
      <c r="A179" s="45"/>
      <c r="B179" s="287"/>
      <c r="C179" s="62"/>
      <c r="D179" s="273"/>
      <c r="E179" s="15"/>
      <c r="F179" s="268"/>
      <c r="G179" s="269"/>
      <c r="H179" s="266"/>
      <c r="I179" s="18"/>
      <c r="J179" s="258"/>
      <c r="K179" s="80"/>
      <c r="L179" s="45"/>
      <c r="M179" s="1997"/>
      <c r="N179" s="15"/>
      <c r="O179" s="50"/>
      <c r="P179" s="50"/>
      <c r="Q179" s="62"/>
      <c r="R179" s="290"/>
      <c r="S179" s="262"/>
      <c r="T179" s="15"/>
      <c r="U179" s="47"/>
      <c r="V179" s="47"/>
      <c r="W179" s="18"/>
      <c r="X179" s="282"/>
      <c r="Y179" s="18"/>
      <c r="Z179" s="282"/>
      <c r="AA179" s="264"/>
      <c r="AB179" s="558"/>
      <c r="AC179" s="559"/>
      <c r="AD179" s="559"/>
      <c r="AE179" s="559"/>
      <c r="AF179" s="559"/>
    </row>
    <row r="180" spans="1:32" s="510" customFormat="1" ht="15" x14ac:dyDescent="0.25">
      <c r="A180" s="45"/>
      <c r="B180" s="287"/>
      <c r="C180" s="62"/>
      <c r="D180" s="273"/>
      <c r="E180" s="15"/>
      <c r="F180" s="268"/>
      <c r="G180" s="269"/>
      <c r="H180" s="266"/>
      <c r="I180" s="18"/>
      <c r="J180" s="258"/>
      <c r="K180" s="80"/>
      <c r="L180" s="45"/>
      <c r="M180" s="1997"/>
      <c r="N180" s="15"/>
      <c r="O180" s="50"/>
      <c r="P180" s="289"/>
      <c r="Q180" s="62"/>
      <c r="R180" s="290"/>
      <c r="S180" s="562"/>
      <c r="T180" s="15"/>
      <c r="U180" s="47"/>
      <c r="V180" s="47"/>
      <c r="W180" s="18"/>
      <c r="X180" s="282"/>
      <c r="Y180" s="18"/>
      <c r="Z180" s="282"/>
      <c r="AA180" s="264"/>
      <c r="AB180" s="558"/>
      <c r="AC180" s="559"/>
      <c r="AD180" s="559"/>
      <c r="AE180" s="559"/>
      <c r="AF180" s="559"/>
    </row>
    <row r="181" spans="1:32" s="510" customFormat="1" ht="15" x14ac:dyDescent="0.25">
      <c r="A181" s="45"/>
      <c r="B181" s="287"/>
      <c r="C181" s="62"/>
      <c r="D181" s="27"/>
      <c r="E181" s="15"/>
      <c r="F181" s="291"/>
      <c r="G181" s="45"/>
      <c r="H181" s="257"/>
      <c r="I181" s="79"/>
      <c r="J181" s="258"/>
      <c r="K181" s="80"/>
      <c r="L181" s="45"/>
      <c r="M181" s="75"/>
      <c r="N181" s="45"/>
      <c r="O181" s="45"/>
      <c r="P181" s="257"/>
      <c r="Q181" s="62"/>
      <c r="R181" s="283"/>
      <c r="S181" s="47"/>
      <c r="T181" s="20"/>
      <c r="U181" s="47"/>
      <c r="V181" s="47"/>
      <c r="W181" s="47"/>
      <c r="X181" s="47"/>
      <c r="Y181" s="18"/>
      <c r="Z181" s="282"/>
      <c r="AA181" s="264"/>
      <c r="AB181" s="558"/>
      <c r="AC181" s="559"/>
      <c r="AD181" s="559"/>
      <c r="AE181" s="559"/>
      <c r="AF181" s="559"/>
    </row>
    <row r="182" spans="1:32" s="510" customFormat="1" x14ac:dyDescent="0.2">
      <c r="A182" s="15"/>
      <c r="B182" s="21"/>
      <c r="C182" s="21"/>
      <c r="D182" s="15"/>
      <c r="E182" s="15"/>
      <c r="F182" s="15"/>
      <c r="G182" s="15"/>
      <c r="H182" s="22"/>
      <c r="I182" s="23"/>
      <c r="J182" s="24"/>
      <c r="K182" s="23"/>
      <c r="L182" s="15"/>
      <c r="M182" s="15"/>
      <c r="N182" s="15"/>
      <c r="O182" s="15"/>
      <c r="P182" s="22"/>
      <c r="Q182" s="25"/>
      <c r="R182" s="563"/>
      <c r="S182" s="23"/>
      <c r="T182" s="26"/>
      <c r="U182" s="24"/>
      <c r="V182" s="23"/>
      <c r="W182" s="23"/>
      <c r="X182" s="564"/>
      <c r="Y182" s="564"/>
      <c r="Z182" s="565"/>
      <c r="AA182" s="565"/>
      <c r="AB182" s="566"/>
      <c r="AC182" s="559"/>
      <c r="AD182" s="559"/>
      <c r="AE182" s="559"/>
      <c r="AF182" s="559"/>
    </row>
    <row r="183" spans="1:32" s="510" customFormat="1" x14ac:dyDescent="0.2">
      <c r="A183" s="15"/>
      <c r="B183" s="21"/>
      <c r="C183" s="21"/>
      <c r="D183" s="15"/>
      <c r="E183" s="15"/>
      <c r="F183" s="15"/>
      <c r="G183" s="15"/>
      <c r="H183" s="22"/>
      <c r="I183" s="23"/>
      <c r="J183" s="24"/>
      <c r="K183" s="23"/>
      <c r="L183" s="15"/>
      <c r="M183" s="15"/>
      <c r="N183" s="15"/>
      <c r="O183" s="15"/>
      <c r="P183" s="22"/>
      <c r="Q183" s="25"/>
      <c r="R183" s="563"/>
      <c r="S183" s="23"/>
      <c r="T183" s="26"/>
      <c r="U183" s="24"/>
      <c r="V183" s="23"/>
      <c r="W183" s="23"/>
      <c r="X183" s="564"/>
      <c r="Y183" s="564"/>
      <c r="Z183" s="565"/>
      <c r="AA183" s="565"/>
      <c r="AB183" s="566"/>
      <c r="AC183" s="559"/>
      <c r="AD183" s="559"/>
      <c r="AE183" s="559"/>
      <c r="AF183" s="559"/>
    </row>
    <row r="184" spans="1:32" s="510" customFormat="1" x14ac:dyDescent="0.2">
      <c r="A184" s="15"/>
      <c r="B184" s="21"/>
      <c r="C184" s="21"/>
      <c r="D184" s="15"/>
      <c r="E184" s="15"/>
      <c r="F184" s="15"/>
      <c r="G184" s="15"/>
      <c r="H184" s="22"/>
      <c r="I184" s="23"/>
      <c r="J184" s="24"/>
      <c r="K184" s="23"/>
      <c r="L184" s="15"/>
      <c r="M184" s="15"/>
      <c r="N184" s="15"/>
      <c r="O184" s="15"/>
      <c r="P184" s="22"/>
      <c r="Q184" s="25"/>
      <c r="R184" s="563"/>
      <c r="S184" s="23"/>
      <c r="T184" s="26"/>
      <c r="U184" s="24"/>
      <c r="V184" s="23"/>
      <c r="W184" s="23"/>
      <c r="X184" s="564"/>
      <c r="Y184" s="564"/>
      <c r="Z184" s="565"/>
      <c r="AA184" s="565"/>
      <c r="AB184" s="566"/>
      <c r="AC184" s="559"/>
      <c r="AD184" s="559"/>
      <c r="AE184" s="559"/>
      <c r="AF184" s="559"/>
    </row>
    <row r="185" spans="1:32" s="510" customFormat="1" x14ac:dyDescent="0.2">
      <c r="A185" s="27"/>
      <c r="B185" s="28"/>
      <c r="C185" s="28"/>
      <c r="D185" s="27"/>
      <c r="E185" s="27"/>
      <c r="F185" s="27"/>
      <c r="G185" s="27"/>
      <c r="H185" s="29"/>
      <c r="I185" s="30"/>
      <c r="J185" s="31"/>
      <c r="K185" s="30"/>
      <c r="L185" s="27"/>
      <c r="M185" s="27"/>
      <c r="N185" s="27"/>
      <c r="O185" s="27"/>
      <c r="P185" s="27"/>
      <c r="Q185" s="32"/>
      <c r="R185" s="567"/>
      <c r="S185" s="30"/>
      <c r="T185" s="33"/>
      <c r="U185" s="31"/>
      <c r="V185" s="30"/>
      <c r="W185" s="30"/>
      <c r="X185" s="568"/>
      <c r="Y185" s="568"/>
      <c r="Z185" s="569"/>
      <c r="AA185" s="569"/>
      <c r="AB185" s="570"/>
      <c r="AC185" s="571"/>
      <c r="AD185" s="571"/>
      <c r="AE185" s="571"/>
      <c r="AF185" s="571"/>
    </row>
    <row r="186" spans="1:32" s="510" customFormat="1" ht="15" x14ac:dyDescent="0.25">
      <c r="A186" s="2027"/>
      <c r="B186" s="2027"/>
      <c r="C186" s="2027"/>
      <c r="D186" s="2027"/>
      <c r="E186" s="2027"/>
      <c r="F186" s="2027"/>
      <c r="G186" s="2027"/>
      <c r="H186" s="2028"/>
      <c r="I186" s="2029"/>
      <c r="J186" s="2030"/>
      <c r="K186" s="2029"/>
      <c r="L186" s="2029"/>
      <c r="M186" s="2029"/>
      <c r="N186" s="2029"/>
      <c r="O186" s="2029"/>
      <c r="P186" s="2029"/>
      <c r="Q186" s="2029"/>
      <c r="R186" s="2031"/>
      <c r="S186" s="2029"/>
      <c r="T186" s="2032"/>
      <c r="U186" s="2030"/>
      <c r="V186" s="2029"/>
      <c r="W186" s="2029"/>
      <c r="X186" s="2033"/>
      <c r="Y186" s="2033"/>
      <c r="Z186" s="2034"/>
      <c r="AA186" s="2034"/>
      <c r="AB186" s="2035">
        <f>SUM(AB171:AB185)</f>
        <v>278.47398520000002</v>
      </c>
      <c r="AC186" s="2036"/>
      <c r="AD186" s="2036"/>
      <c r="AE186" s="2036"/>
      <c r="AF186" s="2036"/>
    </row>
    <row r="187" spans="1:32" s="510" customFormat="1" ht="15.75" x14ac:dyDescent="0.25">
      <c r="A187" s="2820" t="s">
        <v>76</v>
      </c>
      <c r="B187" s="2820"/>
      <c r="C187" s="2821" t="s">
        <v>77</v>
      </c>
      <c r="D187" s="2821"/>
      <c r="E187" s="2821"/>
      <c r="F187" s="2821"/>
      <c r="G187" s="2821"/>
      <c r="H187" s="2821"/>
      <c r="I187" s="577" t="s">
        <v>78</v>
      </c>
      <c r="J187" s="577"/>
      <c r="K187" s="577"/>
      <c r="L187" s="577"/>
      <c r="M187" s="577"/>
      <c r="N187" s="577"/>
      <c r="AB187" s="578"/>
    </row>
    <row r="188" spans="1:32" s="510" customFormat="1" ht="15.75" x14ac:dyDescent="0.25">
      <c r="A188" s="577"/>
      <c r="B188" s="579"/>
      <c r="C188" s="577"/>
      <c r="D188" s="577"/>
      <c r="E188" s="577"/>
      <c r="F188" s="577"/>
      <c r="G188" s="577"/>
      <c r="H188" s="577"/>
      <c r="I188" s="577" t="s">
        <v>79</v>
      </c>
      <c r="J188" s="577"/>
      <c r="K188" s="577"/>
      <c r="L188" s="577"/>
      <c r="M188" s="577"/>
      <c r="N188" s="577"/>
      <c r="AB188" s="578"/>
    </row>
    <row r="189" spans="1:32" s="510" customFormat="1" ht="15.75" x14ac:dyDescent="0.25">
      <c r="A189" s="577"/>
      <c r="B189" s="579"/>
      <c r="C189" s="577"/>
      <c r="D189" s="577"/>
      <c r="E189" s="577"/>
      <c r="F189" s="577"/>
      <c r="G189" s="577"/>
      <c r="H189" s="577"/>
      <c r="I189" s="577" t="s">
        <v>80</v>
      </c>
      <c r="J189" s="577"/>
      <c r="K189" s="577"/>
      <c r="L189" s="577"/>
      <c r="M189" s="577"/>
      <c r="N189" s="577"/>
      <c r="AB189" s="578"/>
    </row>
    <row r="190" spans="1:32" s="510" customFormat="1" ht="15.75" x14ac:dyDescent="0.25">
      <c r="A190" s="577"/>
      <c r="B190" s="579"/>
      <c r="C190" s="577"/>
      <c r="D190" s="577"/>
      <c r="E190" s="577"/>
      <c r="F190" s="577"/>
      <c r="G190" s="577"/>
      <c r="H190" s="577"/>
      <c r="I190" s="577" t="s">
        <v>81</v>
      </c>
      <c r="J190" s="577"/>
      <c r="K190" s="577"/>
      <c r="L190" s="577"/>
      <c r="M190" s="577"/>
      <c r="N190" s="577"/>
      <c r="AB190" s="578"/>
    </row>
    <row r="191" spans="1:32" s="510" customFormat="1" ht="15.75" x14ac:dyDescent="0.25">
      <c r="A191" s="577"/>
      <c r="B191" s="579"/>
      <c r="C191" s="577"/>
      <c r="D191" s="577"/>
      <c r="E191" s="577"/>
      <c r="F191" s="577"/>
      <c r="G191" s="577"/>
      <c r="H191" s="577"/>
      <c r="I191" s="577" t="s">
        <v>88</v>
      </c>
      <c r="J191" s="577"/>
      <c r="K191" s="577"/>
      <c r="L191" s="577"/>
      <c r="M191" s="577"/>
      <c r="N191" s="577"/>
      <c r="AB191" s="578"/>
    </row>
    <row r="192" spans="1:32" s="510" customFormat="1" ht="18.75" x14ac:dyDescent="0.2">
      <c r="A192" s="338"/>
      <c r="B192" s="338"/>
      <c r="C192" s="338"/>
      <c r="D192" s="338"/>
      <c r="E192" s="338"/>
      <c r="F192" s="338"/>
      <c r="G192" s="338"/>
      <c r="H192" s="338"/>
      <c r="I192" s="338"/>
      <c r="J192" s="338"/>
      <c r="K192" s="338"/>
      <c r="L192" s="338"/>
      <c r="M192" s="338"/>
      <c r="N192" s="338"/>
      <c r="O192" s="338"/>
      <c r="P192" s="338"/>
      <c r="Q192" s="338"/>
      <c r="R192" s="338"/>
      <c r="S192" s="338"/>
      <c r="T192" s="338"/>
      <c r="U192" s="338"/>
      <c r="V192" s="338"/>
      <c r="W192" s="338"/>
      <c r="X192" s="338"/>
      <c r="Y192" s="338"/>
      <c r="Z192" s="338"/>
      <c r="AA192" s="2774" t="s">
        <v>0</v>
      </c>
      <c r="AB192" s="2774"/>
      <c r="AC192" s="338"/>
      <c r="AD192" s="338"/>
      <c r="AE192" s="338"/>
      <c r="AF192" s="338"/>
    </row>
    <row r="193" spans="1:32" s="510" customFormat="1" ht="18.75" x14ac:dyDescent="0.2">
      <c r="A193" s="2702" t="s">
        <v>1</v>
      </c>
      <c r="B193" s="2702"/>
      <c r="C193" s="2702"/>
      <c r="D193" s="2702"/>
      <c r="E193" s="2702"/>
      <c r="F193" s="2702"/>
      <c r="G193" s="2702"/>
      <c r="H193" s="2702"/>
      <c r="I193" s="2702"/>
      <c r="J193" s="2702"/>
      <c r="K193" s="2702"/>
      <c r="L193" s="2702"/>
      <c r="M193" s="2702"/>
      <c r="N193" s="2702"/>
      <c r="O193" s="2702"/>
      <c r="P193" s="2702"/>
      <c r="Q193" s="2702"/>
      <c r="R193" s="2702"/>
      <c r="S193" s="2702"/>
      <c r="T193" s="2702"/>
      <c r="U193" s="2702"/>
      <c r="V193" s="2702"/>
      <c r="W193" s="2702"/>
      <c r="X193" s="2702"/>
      <c r="Y193" s="2702"/>
      <c r="Z193" s="2702"/>
      <c r="AA193" s="2702"/>
      <c r="AB193" s="2702"/>
      <c r="AC193" s="344"/>
      <c r="AD193" s="344"/>
      <c r="AE193" s="344"/>
      <c r="AF193" s="344"/>
    </row>
    <row r="194" spans="1:32" s="510" customFormat="1" ht="21" x14ac:dyDescent="0.2">
      <c r="A194" s="2780" t="s">
        <v>524</v>
      </c>
      <c r="B194" s="2780"/>
      <c r="C194" s="2780"/>
      <c r="D194" s="2780"/>
      <c r="E194" s="2780"/>
      <c r="F194" s="2780"/>
      <c r="G194" s="2780"/>
      <c r="H194" s="2780"/>
      <c r="I194" s="2780"/>
      <c r="J194" s="2780"/>
      <c r="K194" s="2780"/>
      <c r="L194" s="2780"/>
      <c r="M194" s="2780"/>
      <c r="N194" s="2780"/>
      <c r="O194" s="2780"/>
      <c r="P194" s="2780"/>
      <c r="Q194" s="2780"/>
      <c r="R194" s="2780"/>
      <c r="S194" s="2780"/>
      <c r="T194" s="2780"/>
      <c r="U194" s="2780"/>
      <c r="V194" s="2780"/>
      <c r="W194" s="2780"/>
      <c r="X194" s="2780"/>
      <c r="Y194" s="2780"/>
      <c r="Z194" s="2780"/>
      <c r="AA194" s="2780"/>
      <c r="AB194" s="2780"/>
      <c r="AC194" s="345"/>
      <c r="AD194" s="345"/>
      <c r="AE194" s="345"/>
      <c r="AF194" s="345"/>
    </row>
    <row r="195" spans="1:32" s="510" customFormat="1" ht="15" x14ac:dyDescent="0.25">
      <c r="A195" s="2686" t="s">
        <v>2</v>
      </c>
      <c r="B195" s="511"/>
      <c r="C195" s="2686" t="s">
        <v>3</v>
      </c>
      <c r="D195" s="511"/>
      <c r="E195" s="511"/>
      <c r="F195" s="2693" t="s">
        <v>4</v>
      </c>
      <c r="G195" s="2693"/>
      <c r="H195" s="2693"/>
      <c r="I195" s="2694"/>
      <c r="J195" s="2694"/>
      <c r="K195" s="2695"/>
      <c r="L195" s="361"/>
      <c r="M195" s="2679" t="s">
        <v>5</v>
      </c>
      <c r="N195" s="2679"/>
      <c r="O195" s="2679"/>
      <c r="P195" s="2679"/>
      <c r="Q195" s="2696"/>
      <c r="R195" s="2696"/>
      <c r="S195" s="2696"/>
      <c r="T195" s="2696"/>
      <c r="U195" s="2696"/>
      <c r="V195" s="2697"/>
      <c r="W195" s="512" t="s">
        <v>6</v>
      </c>
      <c r="X195" s="513" t="s">
        <v>7</v>
      </c>
      <c r="Y195" s="514"/>
      <c r="Z195" s="514"/>
      <c r="AA195" s="513"/>
      <c r="AB195" s="515"/>
      <c r="AC195" s="516" t="s">
        <v>8</v>
      </c>
      <c r="AD195" s="346"/>
      <c r="AE195" s="346"/>
      <c r="AF195" s="517"/>
    </row>
    <row r="196" spans="1:32" s="510" customFormat="1" x14ac:dyDescent="0.2">
      <c r="A196" s="2687"/>
      <c r="B196" s="367"/>
      <c r="C196" s="2687"/>
      <c r="D196" s="518" t="s">
        <v>9</v>
      </c>
      <c r="E196" s="519" t="s">
        <v>10</v>
      </c>
      <c r="F196" s="2698" t="s">
        <v>11</v>
      </c>
      <c r="G196" s="2694"/>
      <c r="H196" s="2695"/>
      <c r="I196" s="511"/>
      <c r="J196" s="520" t="s">
        <v>12</v>
      </c>
      <c r="K196" s="511"/>
      <c r="L196" s="2679" t="s">
        <v>2</v>
      </c>
      <c r="M196" s="521"/>
      <c r="N196" s="521"/>
      <c r="O196" s="521"/>
      <c r="P196" s="522"/>
      <c r="Q196" s="523" t="s">
        <v>13</v>
      </c>
      <c r="R196" s="524" t="s">
        <v>12</v>
      </c>
      <c r="S196" s="521" t="s">
        <v>6</v>
      </c>
      <c r="T196" s="2682" t="s">
        <v>14</v>
      </c>
      <c r="U196" s="2683"/>
      <c r="V196" s="525" t="s">
        <v>7</v>
      </c>
      <c r="W196" s="526" t="s">
        <v>15</v>
      </c>
      <c r="X196" s="527" t="s">
        <v>16</v>
      </c>
      <c r="Y196" s="527" t="s">
        <v>17</v>
      </c>
      <c r="Z196" s="527" t="s">
        <v>18</v>
      </c>
      <c r="AA196" s="377"/>
      <c r="AB196" s="378" t="s">
        <v>19</v>
      </c>
      <c r="AC196" s="528" t="s">
        <v>20</v>
      </c>
      <c r="AD196" s="529"/>
      <c r="AE196" s="347" t="s">
        <v>21</v>
      </c>
      <c r="AF196" s="340" t="s">
        <v>22</v>
      </c>
    </row>
    <row r="197" spans="1:32" s="510" customFormat="1" x14ac:dyDescent="0.2">
      <c r="A197" s="2687"/>
      <c r="B197" s="1996" t="s">
        <v>23</v>
      </c>
      <c r="C197" s="2687"/>
      <c r="D197" s="518" t="s">
        <v>24</v>
      </c>
      <c r="E197" s="519" t="s">
        <v>25</v>
      </c>
      <c r="F197" s="2699"/>
      <c r="G197" s="2700"/>
      <c r="H197" s="2701"/>
      <c r="I197" s="518" t="s">
        <v>26</v>
      </c>
      <c r="J197" s="530" t="s">
        <v>15</v>
      </c>
      <c r="K197" s="531" t="s">
        <v>6</v>
      </c>
      <c r="L197" s="2680"/>
      <c r="M197" s="532" t="s">
        <v>27</v>
      </c>
      <c r="N197" s="532" t="s">
        <v>10</v>
      </c>
      <c r="O197" s="533" t="s">
        <v>10</v>
      </c>
      <c r="P197" s="534" t="s">
        <v>28</v>
      </c>
      <c r="Q197" s="535" t="s">
        <v>29</v>
      </c>
      <c r="R197" s="534" t="s">
        <v>15</v>
      </c>
      <c r="S197" s="385" t="s">
        <v>15</v>
      </c>
      <c r="T197" s="2684"/>
      <c r="U197" s="2685"/>
      <c r="V197" s="525" t="s">
        <v>30</v>
      </c>
      <c r="W197" s="526" t="s">
        <v>31</v>
      </c>
      <c r="X197" s="527" t="s">
        <v>30</v>
      </c>
      <c r="Y197" s="527" t="s">
        <v>32</v>
      </c>
      <c r="Z197" s="527" t="s">
        <v>7</v>
      </c>
      <c r="AA197" s="377" t="s">
        <v>33</v>
      </c>
      <c r="AB197" s="378" t="s">
        <v>34</v>
      </c>
      <c r="AC197" s="528" t="s">
        <v>35</v>
      </c>
      <c r="AD197" s="347" t="s">
        <v>36</v>
      </c>
      <c r="AE197" s="347" t="s">
        <v>37</v>
      </c>
      <c r="AF197" s="340" t="s">
        <v>38</v>
      </c>
    </row>
    <row r="198" spans="1:32" s="510" customFormat="1" x14ac:dyDescent="0.2">
      <c r="A198" s="2687"/>
      <c r="B198" s="1996" t="s">
        <v>39</v>
      </c>
      <c r="C198" s="2687"/>
      <c r="D198" s="518" t="s">
        <v>40</v>
      </c>
      <c r="E198" s="519" t="s">
        <v>41</v>
      </c>
      <c r="F198" s="2686" t="s">
        <v>42</v>
      </c>
      <c r="G198" s="2686" t="s">
        <v>43</v>
      </c>
      <c r="H198" s="2688" t="s">
        <v>44</v>
      </c>
      <c r="I198" s="518" t="s">
        <v>45</v>
      </c>
      <c r="J198" s="530" t="s">
        <v>46</v>
      </c>
      <c r="K198" s="531" t="s">
        <v>47</v>
      </c>
      <c r="L198" s="2680"/>
      <c r="M198" s="532" t="s">
        <v>30</v>
      </c>
      <c r="N198" s="532" t="s">
        <v>30</v>
      </c>
      <c r="O198" s="533" t="s">
        <v>25</v>
      </c>
      <c r="P198" s="534" t="s">
        <v>30</v>
      </c>
      <c r="Q198" s="535" t="s">
        <v>48</v>
      </c>
      <c r="R198" s="534" t="s">
        <v>49</v>
      </c>
      <c r="S198" s="385" t="s">
        <v>30</v>
      </c>
      <c r="T198" s="536" t="s">
        <v>50</v>
      </c>
      <c r="U198" s="537" t="s">
        <v>13</v>
      </c>
      <c r="V198" s="525" t="s">
        <v>51</v>
      </c>
      <c r="W198" s="526" t="s">
        <v>52</v>
      </c>
      <c r="X198" s="527" t="s">
        <v>53</v>
      </c>
      <c r="Y198" s="527" t="s">
        <v>54</v>
      </c>
      <c r="Z198" s="527" t="s">
        <v>55</v>
      </c>
      <c r="AA198" s="377" t="s">
        <v>56</v>
      </c>
      <c r="AB198" s="378" t="s">
        <v>57</v>
      </c>
      <c r="AC198" s="347" t="s">
        <v>58</v>
      </c>
      <c r="AD198" s="347" t="s">
        <v>59</v>
      </c>
      <c r="AE198" s="347" t="s">
        <v>59</v>
      </c>
      <c r="AF198" s="340" t="s">
        <v>60</v>
      </c>
    </row>
    <row r="199" spans="1:32" s="510" customFormat="1" ht="15" x14ac:dyDescent="0.25">
      <c r="A199" s="2687"/>
      <c r="B199" s="1996" t="s">
        <v>61</v>
      </c>
      <c r="C199" s="2687"/>
      <c r="D199" s="518" t="s">
        <v>62</v>
      </c>
      <c r="E199" s="519" t="s">
        <v>63</v>
      </c>
      <c r="F199" s="2687"/>
      <c r="G199" s="2687"/>
      <c r="H199" s="2689"/>
      <c r="I199" s="518" t="s">
        <v>64</v>
      </c>
      <c r="J199" s="530" t="s">
        <v>59</v>
      </c>
      <c r="K199" s="531" t="s">
        <v>59</v>
      </c>
      <c r="L199" s="2680"/>
      <c r="M199" s="532"/>
      <c r="N199" s="532"/>
      <c r="O199" s="533" t="s">
        <v>41</v>
      </c>
      <c r="P199" s="534" t="s">
        <v>65</v>
      </c>
      <c r="Q199" s="535" t="s">
        <v>66</v>
      </c>
      <c r="R199" s="534" t="s">
        <v>67</v>
      </c>
      <c r="S199" s="385" t="s">
        <v>59</v>
      </c>
      <c r="T199" s="538" t="s">
        <v>68</v>
      </c>
      <c r="U199" s="525" t="s">
        <v>14</v>
      </c>
      <c r="V199" s="525" t="s">
        <v>14</v>
      </c>
      <c r="W199" s="526" t="s">
        <v>30</v>
      </c>
      <c r="X199" s="539" t="s">
        <v>69</v>
      </c>
      <c r="Y199" s="539" t="s">
        <v>70</v>
      </c>
      <c r="Z199" s="527" t="s">
        <v>71</v>
      </c>
      <c r="AA199" s="377" t="s">
        <v>72</v>
      </c>
      <c r="AB199" s="540" t="s">
        <v>59</v>
      </c>
      <c r="AC199" s="347" t="s">
        <v>59</v>
      </c>
      <c r="AD199" s="347"/>
      <c r="AE199" s="347"/>
      <c r="AF199" s="340" t="s">
        <v>59</v>
      </c>
    </row>
    <row r="200" spans="1:32" s="510" customFormat="1" x14ac:dyDescent="0.2">
      <c r="A200" s="2692"/>
      <c r="B200" s="390"/>
      <c r="C200" s="2692"/>
      <c r="D200" s="541"/>
      <c r="E200" s="542"/>
      <c r="F200" s="390"/>
      <c r="G200" s="390"/>
      <c r="H200" s="391"/>
      <c r="I200" s="542"/>
      <c r="J200" s="543"/>
      <c r="K200" s="544"/>
      <c r="L200" s="2681"/>
      <c r="M200" s="545"/>
      <c r="N200" s="545"/>
      <c r="O200" s="545" t="s">
        <v>63</v>
      </c>
      <c r="P200" s="546"/>
      <c r="Q200" s="547" t="s">
        <v>72</v>
      </c>
      <c r="R200" s="548" t="s">
        <v>59</v>
      </c>
      <c r="S200" s="549"/>
      <c r="T200" s="548" t="s">
        <v>73</v>
      </c>
      <c r="U200" s="549" t="s">
        <v>59</v>
      </c>
      <c r="V200" s="550" t="s">
        <v>59</v>
      </c>
      <c r="W200" s="551" t="s">
        <v>59</v>
      </c>
      <c r="X200" s="552" t="s">
        <v>59</v>
      </c>
      <c r="Y200" s="552" t="s">
        <v>59</v>
      </c>
      <c r="Z200" s="552" t="s">
        <v>59</v>
      </c>
      <c r="AA200" s="402"/>
      <c r="AB200" s="403"/>
      <c r="AC200" s="348"/>
      <c r="AD200" s="348"/>
      <c r="AE200" s="348"/>
      <c r="AF200" s="341"/>
    </row>
    <row r="201" spans="1:32" s="510" customFormat="1" ht="15" x14ac:dyDescent="0.25">
      <c r="A201" s="16">
        <v>1</v>
      </c>
      <c r="B201" s="333">
        <v>51517</v>
      </c>
      <c r="C201" s="41">
        <v>1592</v>
      </c>
      <c r="D201" s="41" t="s">
        <v>238</v>
      </c>
      <c r="E201" s="41">
        <v>4</v>
      </c>
      <c r="F201" s="41">
        <v>0</v>
      </c>
      <c r="G201" s="41">
        <v>1</v>
      </c>
      <c r="H201" s="267">
        <v>23</v>
      </c>
      <c r="I201" s="44">
        <f>F201*400+G201*100+H201</f>
        <v>123</v>
      </c>
      <c r="J201" s="263">
        <v>1600</v>
      </c>
      <c r="K201" s="46">
        <f>SUM(I201*J201)</f>
        <v>196800</v>
      </c>
      <c r="L201" s="16"/>
      <c r="M201" s="82"/>
      <c r="N201" s="41"/>
      <c r="O201" s="16"/>
      <c r="P201" s="41"/>
      <c r="Q201" s="14"/>
      <c r="R201" s="1157"/>
      <c r="S201" s="18"/>
      <c r="T201" s="20"/>
      <c r="U201" s="47"/>
      <c r="V201" s="47"/>
      <c r="W201" s="18">
        <f>K201+V201</f>
        <v>196800</v>
      </c>
      <c r="X201" s="47">
        <f>W201</f>
        <v>196800</v>
      </c>
      <c r="Y201" s="293"/>
      <c r="Z201" s="18">
        <f>+X201</f>
        <v>196800</v>
      </c>
      <c r="AA201" s="264">
        <v>0.6</v>
      </c>
      <c r="AB201" s="554">
        <f>+Z201*AA201/100</f>
        <v>1180.8</v>
      </c>
      <c r="AC201" s="555"/>
      <c r="AD201" s="556">
        <f>AB201-AC201</f>
        <v>1180.8</v>
      </c>
      <c r="AE201" s="556">
        <f>IF(AD201&lt;=0,0,AD201*25/100)</f>
        <v>295.2</v>
      </c>
      <c r="AF201" s="556">
        <f>IF(AC201+AE201&gt;AB201,AB201,AC201+AE201)</f>
        <v>295.2</v>
      </c>
    </row>
    <row r="202" spans="1:32" s="510" customFormat="1" ht="15" x14ac:dyDescent="0.25">
      <c r="A202" s="269"/>
      <c r="B202" s="15"/>
      <c r="C202" s="15"/>
      <c r="D202" s="15"/>
      <c r="E202" s="15"/>
      <c r="F202" s="15"/>
      <c r="G202" s="15"/>
      <c r="H202" s="284"/>
      <c r="I202" s="18"/>
      <c r="J202" s="258"/>
      <c r="K202" s="39"/>
      <c r="L202" s="50"/>
      <c r="M202" s="1997"/>
      <c r="N202" s="15"/>
      <c r="O202" s="50"/>
      <c r="P202" s="15"/>
      <c r="Q202" s="76"/>
      <c r="R202" s="260"/>
      <c r="S202" s="18"/>
      <c r="T202" s="20"/>
      <c r="U202" s="47"/>
      <c r="V202" s="47"/>
      <c r="W202" s="18"/>
      <c r="X202" s="47"/>
      <c r="Y202" s="293"/>
      <c r="Z202" s="18"/>
      <c r="AA202" s="264"/>
      <c r="AB202" s="558"/>
      <c r="AC202" s="559"/>
      <c r="AD202" s="559"/>
      <c r="AE202" s="559"/>
      <c r="AF202" s="559"/>
    </row>
    <row r="203" spans="1:32" s="510" customFormat="1" x14ac:dyDescent="0.2">
      <c r="A203" s="15"/>
      <c r="B203" s="21"/>
      <c r="C203" s="21"/>
      <c r="D203" s="15"/>
      <c r="E203" s="15"/>
      <c r="F203" s="15"/>
      <c r="G203" s="15"/>
      <c r="H203" s="22"/>
      <c r="I203" s="23"/>
      <c r="J203" s="24"/>
      <c r="K203" s="23"/>
      <c r="L203" s="15"/>
      <c r="M203" s="15"/>
      <c r="N203" s="15"/>
      <c r="O203" s="15"/>
      <c r="P203" s="22"/>
      <c r="Q203" s="25"/>
      <c r="R203" s="563"/>
      <c r="S203" s="23"/>
      <c r="T203" s="26"/>
      <c r="U203" s="24"/>
      <c r="V203" s="23"/>
      <c r="W203" s="23"/>
      <c r="X203" s="564"/>
      <c r="Y203" s="564"/>
      <c r="Z203" s="565"/>
      <c r="AA203" s="565"/>
      <c r="AB203" s="570"/>
      <c r="AC203" s="559"/>
      <c r="AD203" s="559"/>
      <c r="AE203" s="559"/>
      <c r="AF203" s="559"/>
    </row>
    <row r="204" spans="1:32" s="510" customFormat="1" x14ac:dyDescent="0.2">
      <c r="A204" s="15"/>
      <c r="B204" s="21"/>
      <c r="C204" s="21"/>
      <c r="D204" s="15"/>
      <c r="E204" s="15"/>
      <c r="F204" s="15"/>
      <c r="G204" s="15"/>
      <c r="H204" s="22"/>
      <c r="I204" s="23"/>
      <c r="J204" s="24"/>
      <c r="K204" s="23"/>
      <c r="L204" s="15"/>
      <c r="M204" s="15"/>
      <c r="N204" s="15"/>
      <c r="O204" s="15"/>
      <c r="P204" s="22"/>
      <c r="Q204" s="25"/>
      <c r="R204" s="563"/>
      <c r="S204" s="23"/>
      <c r="T204" s="26"/>
      <c r="U204" s="24"/>
      <c r="V204" s="23"/>
      <c r="W204" s="23"/>
      <c r="X204" s="564"/>
      <c r="Y204" s="564"/>
      <c r="Z204" s="565"/>
      <c r="AA204" s="565"/>
      <c r="AB204" s="566"/>
      <c r="AC204" s="559"/>
      <c r="AD204" s="559"/>
      <c r="AE204" s="559"/>
      <c r="AF204" s="559"/>
    </row>
    <row r="205" spans="1:32" s="510" customFormat="1" x14ac:dyDescent="0.2">
      <c r="A205" s="15"/>
      <c r="B205" s="21"/>
      <c r="C205" s="21"/>
      <c r="D205" s="15"/>
      <c r="E205" s="15"/>
      <c r="F205" s="15"/>
      <c r="G205" s="15"/>
      <c r="H205" s="22"/>
      <c r="I205" s="23"/>
      <c r="J205" s="24"/>
      <c r="K205" s="23"/>
      <c r="L205" s="15"/>
      <c r="M205" s="15"/>
      <c r="N205" s="15"/>
      <c r="O205" s="15"/>
      <c r="P205" s="22"/>
      <c r="Q205" s="25"/>
      <c r="R205" s="563"/>
      <c r="S205" s="23"/>
      <c r="T205" s="26"/>
      <c r="U205" s="24"/>
      <c r="V205" s="23"/>
      <c r="W205" s="23"/>
      <c r="X205" s="564"/>
      <c r="Y205" s="564"/>
      <c r="Z205" s="565"/>
      <c r="AA205" s="565"/>
      <c r="AB205" s="566"/>
      <c r="AC205" s="559"/>
      <c r="AD205" s="559"/>
      <c r="AE205" s="559"/>
      <c r="AF205" s="559"/>
    </row>
    <row r="206" spans="1:32" s="510" customFormat="1" x14ac:dyDescent="0.2">
      <c r="A206" s="15"/>
      <c r="B206" s="21"/>
      <c r="C206" s="21"/>
      <c r="D206" s="15"/>
      <c r="E206" s="15"/>
      <c r="F206" s="15"/>
      <c r="G206" s="15"/>
      <c r="H206" s="22"/>
      <c r="I206" s="23"/>
      <c r="J206" s="24"/>
      <c r="K206" s="23"/>
      <c r="L206" s="15"/>
      <c r="M206" s="15"/>
      <c r="N206" s="15"/>
      <c r="O206" s="15"/>
      <c r="P206" s="22"/>
      <c r="Q206" s="25"/>
      <c r="R206" s="563"/>
      <c r="S206" s="23"/>
      <c r="T206" s="26"/>
      <c r="U206" s="24"/>
      <c r="V206" s="23"/>
      <c r="W206" s="23"/>
      <c r="X206" s="564"/>
      <c r="Y206" s="564"/>
      <c r="Z206" s="565"/>
      <c r="AA206" s="565"/>
      <c r="AB206" s="566"/>
      <c r="AC206" s="559"/>
      <c r="AD206" s="559"/>
      <c r="AE206" s="559"/>
      <c r="AF206" s="559"/>
    </row>
    <row r="207" spans="1:32" s="510" customFormat="1" x14ac:dyDescent="0.2">
      <c r="A207" s="15"/>
      <c r="B207" s="21"/>
      <c r="C207" s="21"/>
      <c r="D207" s="15"/>
      <c r="E207" s="15"/>
      <c r="F207" s="15"/>
      <c r="G207" s="15"/>
      <c r="H207" s="22"/>
      <c r="I207" s="23"/>
      <c r="J207" s="24"/>
      <c r="K207" s="23"/>
      <c r="L207" s="15"/>
      <c r="M207" s="15"/>
      <c r="N207" s="15"/>
      <c r="O207" s="15"/>
      <c r="P207" s="22"/>
      <c r="Q207" s="25"/>
      <c r="R207" s="563"/>
      <c r="S207" s="23"/>
      <c r="T207" s="26"/>
      <c r="U207" s="24"/>
      <c r="V207" s="23"/>
      <c r="W207" s="23"/>
      <c r="X207" s="564"/>
      <c r="Y207" s="564"/>
      <c r="Z207" s="565"/>
      <c r="AA207" s="565"/>
      <c r="AB207" s="566"/>
      <c r="AC207" s="559"/>
      <c r="AD207" s="559"/>
      <c r="AE207" s="559"/>
      <c r="AF207" s="559"/>
    </row>
    <row r="208" spans="1:32" s="510" customFormat="1" x14ac:dyDescent="0.2">
      <c r="A208" s="15"/>
      <c r="B208" s="21"/>
      <c r="C208" s="21"/>
      <c r="D208" s="15"/>
      <c r="E208" s="15"/>
      <c r="F208" s="15"/>
      <c r="G208" s="15"/>
      <c r="H208" s="22"/>
      <c r="I208" s="23"/>
      <c r="J208" s="24"/>
      <c r="K208" s="23"/>
      <c r="L208" s="15"/>
      <c r="M208" s="15"/>
      <c r="N208" s="15"/>
      <c r="O208" s="15"/>
      <c r="P208" s="22"/>
      <c r="Q208" s="25"/>
      <c r="R208" s="563"/>
      <c r="S208" s="23"/>
      <c r="T208" s="26"/>
      <c r="U208" s="24"/>
      <c r="V208" s="23"/>
      <c r="W208" s="23"/>
      <c r="X208" s="564"/>
      <c r="Y208" s="564"/>
      <c r="Z208" s="565"/>
      <c r="AA208" s="565"/>
      <c r="AB208" s="566"/>
      <c r="AC208" s="559"/>
      <c r="AD208" s="559"/>
      <c r="AE208" s="559"/>
      <c r="AF208" s="559"/>
    </row>
    <row r="209" spans="1:32" s="510" customFormat="1" x14ac:dyDescent="0.2">
      <c r="A209" s="15"/>
      <c r="B209" s="21"/>
      <c r="C209" s="21"/>
      <c r="D209" s="15"/>
      <c r="E209" s="15"/>
      <c r="F209" s="15"/>
      <c r="G209" s="15"/>
      <c r="H209" s="22"/>
      <c r="I209" s="23"/>
      <c r="J209" s="24"/>
      <c r="K209" s="23"/>
      <c r="L209" s="15"/>
      <c r="M209" s="15"/>
      <c r="N209" s="15"/>
      <c r="O209" s="15"/>
      <c r="P209" s="22"/>
      <c r="Q209" s="25"/>
      <c r="R209" s="563"/>
      <c r="S209" s="23"/>
      <c r="T209" s="26"/>
      <c r="U209" s="24"/>
      <c r="V209" s="23"/>
      <c r="W209" s="23"/>
      <c r="X209" s="564"/>
      <c r="Y209" s="564"/>
      <c r="Z209" s="565"/>
      <c r="AA209" s="565"/>
      <c r="AB209" s="566"/>
      <c r="AC209" s="559"/>
      <c r="AD209" s="559"/>
      <c r="AE209" s="559"/>
      <c r="AF209" s="559"/>
    </row>
    <row r="210" spans="1:32" s="510" customFormat="1" x14ac:dyDescent="0.2">
      <c r="A210" s="15"/>
      <c r="B210" s="21"/>
      <c r="C210" s="21"/>
      <c r="D210" s="15"/>
      <c r="E210" s="15"/>
      <c r="F210" s="15"/>
      <c r="G210" s="15"/>
      <c r="H210" s="22"/>
      <c r="I210" s="23"/>
      <c r="J210" s="24"/>
      <c r="K210" s="23"/>
      <c r="L210" s="15"/>
      <c r="M210" s="15"/>
      <c r="N210" s="15"/>
      <c r="O210" s="15"/>
      <c r="P210" s="22"/>
      <c r="Q210" s="25"/>
      <c r="R210" s="563"/>
      <c r="S210" s="23"/>
      <c r="T210" s="26"/>
      <c r="U210" s="24"/>
      <c r="V210" s="23"/>
      <c r="W210" s="23"/>
      <c r="X210" s="564"/>
      <c r="Y210" s="564"/>
      <c r="Z210" s="565"/>
      <c r="AA210" s="565"/>
      <c r="AB210" s="566"/>
      <c r="AC210" s="559"/>
      <c r="AD210" s="559"/>
      <c r="AE210" s="559"/>
      <c r="AF210" s="559"/>
    </row>
    <row r="211" spans="1:32" s="510" customFormat="1" x14ac:dyDescent="0.2">
      <c r="A211" s="15"/>
      <c r="B211" s="21"/>
      <c r="C211" s="21"/>
      <c r="D211" s="15"/>
      <c r="E211" s="15"/>
      <c r="F211" s="15"/>
      <c r="G211" s="15"/>
      <c r="H211" s="22"/>
      <c r="I211" s="23"/>
      <c r="J211" s="24"/>
      <c r="K211" s="23"/>
      <c r="L211" s="15"/>
      <c r="M211" s="15"/>
      <c r="N211" s="15"/>
      <c r="O211" s="15"/>
      <c r="P211" s="22"/>
      <c r="Q211" s="25"/>
      <c r="R211" s="563"/>
      <c r="S211" s="23"/>
      <c r="T211" s="26"/>
      <c r="U211" s="24"/>
      <c r="V211" s="23"/>
      <c r="W211" s="23"/>
      <c r="X211" s="564"/>
      <c r="Y211" s="564"/>
      <c r="Z211" s="565"/>
      <c r="AA211" s="565"/>
      <c r="AB211" s="566"/>
      <c r="AC211" s="559"/>
      <c r="AD211" s="559"/>
      <c r="AE211" s="559"/>
      <c r="AF211" s="559"/>
    </row>
    <row r="212" spans="1:32" s="510" customFormat="1" x14ac:dyDescent="0.2">
      <c r="A212" s="15"/>
      <c r="B212" s="21"/>
      <c r="C212" s="21"/>
      <c r="D212" s="15"/>
      <c r="E212" s="15"/>
      <c r="F212" s="15"/>
      <c r="G212" s="15"/>
      <c r="H212" s="22"/>
      <c r="I212" s="23"/>
      <c r="J212" s="24"/>
      <c r="K212" s="23"/>
      <c r="L212" s="15"/>
      <c r="M212" s="15"/>
      <c r="N212" s="15"/>
      <c r="O212" s="15"/>
      <c r="P212" s="22"/>
      <c r="Q212" s="25"/>
      <c r="R212" s="563"/>
      <c r="S212" s="23"/>
      <c r="T212" s="26"/>
      <c r="U212" s="24"/>
      <c r="V212" s="23"/>
      <c r="W212" s="23"/>
      <c r="X212" s="564"/>
      <c r="Y212" s="564"/>
      <c r="Z212" s="565"/>
      <c r="AA212" s="565"/>
      <c r="AB212" s="566"/>
      <c r="AC212" s="559"/>
      <c r="AD212" s="559"/>
      <c r="AE212" s="559"/>
      <c r="AF212" s="559"/>
    </row>
    <row r="213" spans="1:32" s="510" customFormat="1" x14ac:dyDescent="0.2">
      <c r="A213" s="15"/>
      <c r="B213" s="21"/>
      <c r="C213" s="21"/>
      <c r="D213" s="15"/>
      <c r="E213" s="15"/>
      <c r="F213" s="15"/>
      <c r="G213" s="15"/>
      <c r="H213" s="22"/>
      <c r="I213" s="23"/>
      <c r="J213" s="24"/>
      <c r="K213" s="23"/>
      <c r="L213" s="15"/>
      <c r="M213" s="15"/>
      <c r="N213" s="15"/>
      <c r="O213" s="15"/>
      <c r="P213" s="22"/>
      <c r="Q213" s="25"/>
      <c r="R213" s="563"/>
      <c r="S213" s="23"/>
      <c r="T213" s="26"/>
      <c r="U213" s="24"/>
      <c r="V213" s="23"/>
      <c r="W213" s="23"/>
      <c r="X213" s="564"/>
      <c r="Y213" s="564"/>
      <c r="Z213" s="565"/>
      <c r="AA213" s="565"/>
      <c r="AB213" s="566"/>
      <c r="AC213" s="559"/>
      <c r="AD213" s="559"/>
      <c r="AE213" s="559"/>
      <c r="AF213" s="559"/>
    </row>
    <row r="214" spans="1:32" s="510" customFormat="1" x14ac:dyDescent="0.2">
      <c r="A214" s="15"/>
      <c r="B214" s="21"/>
      <c r="C214" s="21"/>
      <c r="D214" s="15"/>
      <c r="E214" s="15"/>
      <c r="F214" s="15"/>
      <c r="G214" s="15"/>
      <c r="H214" s="22"/>
      <c r="I214" s="23"/>
      <c r="J214" s="24"/>
      <c r="K214" s="23"/>
      <c r="L214" s="15"/>
      <c r="M214" s="15"/>
      <c r="N214" s="15"/>
      <c r="O214" s="15"/>
      <c r="P214" s="22"/>
      <c r="Q214" s="25"/>
      <c r="R214" s="563"/>
      <c r="S214" s="23"/>
      <c r="T214" s="26"/>
      <c r="U214" s="24"/>
      <c r="V214" s="23"/>
      <c r="W214" s="23"/>
      <c r="X214" s="564"/>
      <c r="Y214" s="564"/>
      <c r="Z214" s="565"/>
      <c r="AA214" s="565"/>
      <c r="AB214" s="566"/>
      <c r="AC214" s="559"/>
      <c r="AD214" s="559"/>
      <c r="AE214" s="559"/>
      <c r="AF214" s="559"/>
    </row>
    <row r="215" spans="1:32" s="510" customFormat="1" x14ac:dyDescent="0.2">
      <c r="A215" s="15"/>
      <c r="B215" s="21"/>
      <c r="C215" s="21"/>
      <c r="D215" s="15"/>
      <c r="E215" s="15"/>
      <c r="F215" s="15"/>
      <c r="G215" s="15"/>
      <c r="H215" s="22"/>
      <c r="I215" s="23"/>
      <c r="J215" s="24"/>
      <c r="K215" s="23"/>
      <c r="L215" s="15"/>
      <c r="M215" s="15"/>
      <c r="N215" s="15"/>
      <c r="O215" s="15"/>
      <c r="P215" s="22"/>
      <c r="Q215" s="25"/>
      <c r="R215" s="563"/>
      <c r="S215" s="23"/>
      <c r="T215" s="26"/>
      <c r="U215" s="24"/>
      <c r="V215" s="23"/>
      <c r="W215" s="23"/>
      <c r="X215" s="564"/>
      <c r="Y215" s="564"/>
      <c r="Z215" s="565"/>
      <c r="AA215" s="565"/>
      <c r="AB215" s="566"/>
      <c r="AC215" s="559"/>
      <c r="AD215" s="559"/>
      <c r="AE215" s="559"/>
      <c r="AF215" s="559"/>
    </row>
    <row r="216" spans="1:32" s="510" customFormat="1" x14ac:dyDescent="0.2">
      <c r="A216" s="15"/>
      <c r="B216" s="21"/>
      <c r="C216" s="21"/>
      <c r="D216" s="15"/>
      <c r="E216" s="15"/>
      <c r="F216" s="15"/>
      <c r="G216" s="15"/>
      <c r="H216" s="22"/>
      <c r="I216" s="23"/>
      <c r="J216" s="24"/>
      <c r="K216" s="23"/>
      <c r="L216" s="15"/>
      <c r="M216" s="15"/>
      <c r="N216" s="15"/>
      <c r="O216" s="15"/>
      <c r="P216" s="22"/>
      <c r="Q216" s="25"/>
      <c r="R216" s="563"/>
      <c r="S216" s="23"/>
      <c r="T216" s="26"/>
      <c r="U216" s="24"/>
      <c r="V216" s="23"/>
      <c r="W216" s="23"/>
      <c r="X216" s="564"/>
      <c r="Y216" s="564"/>
      <c r="Z216" s="565"/>
      <c r="AA216" s="565"/>
      <c r="AB216" s="566"/>
      <c r="AC216" s="559"/>
      <c r="AD216" s="559"/>
      <c r="AE216" s="559"/>
      <c r="AF216" s="559"/>
    </row>
    <row r="217" spans="1:32" s="510" customFormat="1" x14ac:dyDescent="0.2">
      <c r="A217" s="27"/>
      <c r="B217" s="28"/>
      <c r="C217" s="28"/>
      <c r="D217" s="27"/>
      <c r="E217" s="27"/>
      <c r="F217" s="27"/>
      <c r="G217" s="27"/>
      <c r="H217" s="29"/>
      <c r="I217" s="30"/>
      <c r="J217" s="31"/>
      <c r="K217" s="30"/>
      <c r="L217" s="27"/>
      <c r="M217" s="27"/>
      <c r="N217" s="27"/>
      <c r="O217" s="27"/>
      <c r="P217" s="27"/>
      <c r="Q217" s="32"/>
      <c r="R217" s="567"/>
      <c r="S217" s="30"/>
      <c r="T217" s="33"/>
      <c r="U217" s="31"/>
      <c r="V217" s="30"/>
      <c r="W217" s="30"/>
      <c r="X217" s="568"/>
      <c r="Y217" s="568"/>
      <c r="Z217" s="569"/>
      <c r="AA217" s="569"/>
      <c r="AB217" s="570"/>
      <c r="AC217" s="571"/>
      <c r="AD217" s="571"/>
      <c r="AE217" s="571"/>
      <c r="AF217" s="571"/>
    </row>
    <row r="218" spans="1:32" s="510" customFormat="1" x14ac:dyDescent="0.2">
      <c r="A218" s="34"/>
      <c r="B218" s="34"/>
      <c r="C218" s="34"/>
      <c r="D218" s="34"/>
      <c r="E218" s="34"/>
      <c r="F218" s="34"/>
      <c r="G218" s="34"/>
      <c r="H218" s="35"/>
      <c r="I218" s="36"/>
      <c r="J218" s="37"/>
      <c r="K218" s="36"/>
      <c r="L218" s="36"/>
      <c r="M218" s="36"/>
      <c r="N218" s="36"/>
      <c r="O218" s="36"/>
      <c r="P218" s="36"/>
      <c r="Q218" s="36"/>
      <c r="R218" s="572"/>
      <c r="S218" s="36"/>
      <c r="T218" s="38"/>
      <c r="U218" s="37"/>
      <c r="V218" s="36"/>
      <c r="W218" s="36"/>
      <c r="X218" s="573"/>
      <c r="Y218" s="573"/>
      <c r="Z218" s="574"/>
      <c r="AA218" s="574"/>
      <c r="AB218" s="575">
        <f>SUM(AB201:AB217)</f>
        <v>1180.8</v>
      </c>
      <c r="AC218" s="576"/>
      <c r="AD218" s="576"/>
      <c r="AE218" s="576"/>
      <c r="AF218" s="576"/>
    </row>
    <row r="219" spans="1:32" s="510" customFormat="1" ht="15.75" x14ac:dyDescent="0.25">
      <c r="A219" s="2820" t="s">
        <v>76</v>
      </c>
      <c r="B219" s="2820"/>
      <c r="C219" s="2821" t="s">
        <v>77</v>
      </c>
      <c r="D219" s="2821"/>
      <c r="E219" s="2821"/>
      <c r="F219" s="2821"/>
      <c r="G219" s="2821"/>
      <c r="H219" s="2821"/>
      <c r="I219" s="577" t="s">
        <v>78</v>
      </c>
      <c r="J219" s="577"/>
      <c r="K219" s="577"/>
      <c r="L219" s="577"/>
      <c r="M219" s="577"/>
      <c r="N219" s="577"/>
      <c r="AB219" s="578"/>
    </row>
    <row r="220" spans="1:32" s="510" customFormat="1" ht="15.75" x14ac:dyDescent="0.25">
      <c r="A220" s="577"/>
      <c r="B220" s="579"/>
      <c r="C220" s="577"/>
      <c r="D220" s="577"/>
      <c r="E220" s="577"/>
      <c r="F220" s="577"/>
      <c r="G220" s="577"/>
      <c r="H220" s="577"/>
      <c r="I220" s="577" t="s">
        <v>79</v>
      </c>
      <c r="J220" s="577"/>
      <c r="K220" s="577"/>
      <c r="L220" s="577"/>
      <c r="M220" s="577"/>
      <c r="N220" s="577"/>
      <c r="AB220" s="578"/>
    </row>
    <row r="221" spans="1:32" s="510" customFormat="1" ht="15.75" x14ac:dyDescent="0.25">
      <c r="A221" s="577"/>
      <c r="B221" s="579"/>
      <c r="C221" s="577"/>
      <c r="D221" s="577"/>
      <c r="E221" s="577"/>
      <c r="F221" s="577"/>
      <c r="G221" s="577"/>
      <c r="H221" s="577"/>
      <c r="I221" s="577" t="s">
        <v>80</v>
      </c>
      <c r="J221" s="577"/>
      <c r="K221" s="577"/>
      <c r="L221" s="577"/>
      <c r="M221" s="577"/>
      <c r="N221" s="577"/>
      <c r="AB221" s="578"/>
    </row>
    <row r="222" spans="1:32" s="510" customFormat="1" ht="15.75" x14ac:dyDescent="0.25">
      <c r="A222" s="577"/>
      <c r="B222" s="579"/>
      <c r="C222" s="577"/>
      <c r="D222" s="577"/>
      <c r="E222" s="577"/>
      <c r="F222" s="577"/>
      <c r="G222" s="577"/>
      <c r="H222" s="577"/>
      <c r="I222" s="577" t="s">
        <v>81</v>
      </c>
      <c r="J222" s="577"/>
      <c r="K222" s="577"/>
      <c r="L222" s="577"/>
      <c r="M222" s="577"/>
      <c r="N222" s="577"/>
      <c r="AB222" s="578"/>
    </row>
    <row r="223" spans="1:32" s="510" customFormat="1" ht="15.75" x14ac:dyDescent="0.25">
      <c r="A223" s="577"/>
      <c r="B223" s="579"/>
      <c r="C223" s="577"/>
      <c r="D223" s="577"/>
      <c r="E223" s="577"/>
      <c r="F223" s="577"/>
      <c r="G223" s="577"/>
      <c r="H223" s="577"/>
      <c r="I223" s="577" t="s">
        <v>88</v>
      </c>
      <c r="J223" s="577"/>
      <c r="K223" s="577"/>
      <c r="L223" s="577"/>
      <c r="M223" s="577"/>
      <c r="N223" s="577"/>
      <c r="AB223" s="578"/>
    </row>
    <row r="224" spans="1:32" s="510" customFormat="1" ht="18.75" x14ac:dyDescent="0.2">
      <c r="A224" s="338"/>
      <c r="B224" s="338"/>
      <c r="C224" s="338"/>
      <c r="D224" s="338"/>
      <c r="E224" s="338"/>
      <c r="F224" s="338"/>
      <c r="G224" s="338"/>
      <c r="H224" s="338"/>
      <c r="I224" s="338"/>
      <c r="J224" s="338"/>
      <c r="K224" s="338"/>
      <c r="L224" s="338"/>
      <c r="M224" s="338"/>
      <c r="N224" s="338"/>
      <c r="O224" s="338"/>
      <c r="P224" s="338"/>
      <c r="Q224" s="338"/>
      <c r="R224" s="338"/>
      <c r="S224" s="338"/>
      <c r="T224" s="338"/>
      <c r="U224" s="338"/>
      <c r="V224" s="338"/>
      <c r="W224" s="338"/>
      <c r="X224" s="338"/>
      <c r="Y224" s="338"/>
      <c r="Z224" s="338"/>
      <c r="AA224" s="2774" t="s">
        <v>0</v>
      </c>
      <c r="AB224" s="2774"/>
      <c r="AC224" s="338"/>
      <c r="AD224" s="338"/>
      <c r="AE224" s="338"/>
      <c r="AF224" s="338"/>
    </row>
    <row r="225" spans="1:32" s="510" customFormat="1" ht="18.75" x14ac:dyDescent="0.2">
      <c r="A225" s="2703" t="s">
        <v>1</v>
      </c>
      <c r="B225" s="2703"/>
      <c r="C225" s="2703"/>
      <c r="D225" s="2703"/>
      <c r="E225" s="2703"/>
      <c r="F225" s="2703"/>
      <c r="G225" s="2703"/>
      <c r="H225" s="2703"/>
      <c r="I225" s="2703"/>
      <c r="J225" s="2703"/>
      <c r="K225" s="2703"/>
      <c r="L225" s="2703"/>
      <c r="M225" s="2703"/>
      <c r="N225" s="2703"/>
      <c r="O225" s="2703"/>
      <c r="P225" s="2703"/>
      <c r="Q225" s="2703"/>
      <c r="R225" s="2703"/>
      <c r="S225" s="2703"/>
      <c r="T225" s="2703"/>
      <c r="U225" s="2703"/>
      <c r="V225" s="2703"/>
      <c r="W225" s="2703"/>
      <c r="X225" s="2703"/>
      <c r="Y225" s="2703"/>
      <c r="Z225" s="2703"/>
      <c r="AA225" s="2703"/>
      <c r="AB225" s="2703"/>
      <c r="AC225" s="344"/>
      <c r="AD225" s="344"/>
      <c r="AE225" s="344"/>
      <c r="AF225" s="344"/>
    </row>
    <row r="226" spans="1:32" s="510" customFormat="1" ht="21" x14ac:dyDescent="0.2">
      <c r="A226" s="2777" t="s">
        <v>345</v>
      </c>
      <c r="B226" s="2777"/>
      <c r="C226" s="2777"/>
      <c r="D226" s="2777"/>
      <c r="E226" s="2777"/>
      <c r="F226" s="2777"/>
      <c r="G226" s="2777"/>
      <c r="H226" s="2777"/>
      <c r="I226" s="2777"/>
      <c r="J226" s="2777"/>
      <c r="K226" s="2777"/>
      <c r="L226" s="2777"/>
      <c r="M226" s="2777"/>
      <c r="N226" s="2777"/>
      <c r="O226" s="2777"/>
      <c r="P226" s="2777"/>
      <c r="Q226" s="2777"/>
      <c r="R226" s="2777"/>
      <c r="S226" s="2777"/>
      <c r="T226" s="2777"/>
      <c r="U226" s="2777"/>
      <c r="V226" s="2777"/>
      <c r="W226" s="2777"/>
      <c r="X226" s="2777"/>
      <c r="Y226" s="2777"/>
      <c r="Z226" s="2777"/>
      <c r="AA226" s="2777"/>
      <c r="AB226" s="2777"/>
      <c r="AC226" s="345"/>
      <c r="AD226" s="345"/>
      <c r="AE226" s="345"/>
      <c r="AF226" s="345"/>
    </row>
    <row r="227" spans="1:32" s="510" customFormat="1" ht="15" x14ac:dyDescent="0.25">
      <c r="A227" s="2686" t="s">
        <v>2</v>
      </c>
      <c r="B227" s="511"/>
      <c r="C227" s="2686" t="s">
        <v>3</v>
      </c>
      <c r="D227" s="511"/>
      <c r="E227" s="511"/>
      <c r="F227" s="2693" t="s">
        <v>4</v>
      </c>
      <c r="G227" s="2693"/>
      <c r="H227" s="2693"/>
      <c r="I227" s="2694"/>
      <c r="J227" s="2694"/>
      <c r="K227" s="2695"/>
      <c r="L227" s="361"/>
      <c r="M227" s="2679" t="s">
        <v>5</v>
      </c>
      <c r="N227" s="2679"/>
      <c r="O227" s="2679"/>
      <c r="P227" s="2679"/>
      <c r="Q227" s="2696"/>
      <c r="R227" s="2696"/>
      <c r="S227" s="2696"/>
      <c r="T227" s="2696"/>
      <c r="U227" s="2696"/>
      <c r="V227" s="2697"/>
      <c r="W227" s="512" t="s">
        <v>6</v>
      </c>
      <c r="X227" s="513" t="s">
        <v>7</v>
      </c>
      <c r="Y227" s="514"/>
      <c r="Z227" s="514"/>
      <c r="AA227" s="513"/>
      <c r="AB227" s="515"/>
      <c r="AC227" s="516" t="s">
        <v>8</v>
      </c>
      <c r="AD227" s="346"/>
      <c r="AE227" s="346"/>
      <c r="AF227" s="517"/>
    </row>
    <row r="228" spans="1:32" s="510" customFormat="1" x14ac:dyDescent="0.2">
      <c r="A228" s="2687"/>
      <c r="B228" s="367"/>
      <c r="C228" s="2687"/>
      <c r="D228" s="518" t="s">
        <v>9</v>
      </c>
      <c r="E228" s="519" t="s">
        <v>10</v>
      </c>
      <c r="F228" s="2698" t="s">
        <v>11</v>
      </c>
      <c r="G228" s="2694"/>
      <c r="H228" s="2695"/>
      <c r="I228" s="511"/>
      <c r="J228" s="520" t="s">
        <v>12</v>
      </c>
      <c r="K228" s="511"/>
      <c r="L228" s="2679" t="s">
        <v>2</v>
      </c>
      <c r="M228" s="521"/>
      <c r="N228" s="521"/>
      <c r="O228" s="521"/>
      <c r="P228" s="522"/>
      <c r="Q228" s="523" t="s">
        <v>13</v>
      </c>
      <c r="R228" s="524" t="s">
        <v>12</v>
      </c>
      <c r="S228" s="521" t="s">
        <v>6</v>
      </c>
      <c r="T228" s="2682" t="s">
        <v>14</v>
      </c>
      <c r="U228" s="2683"/>
      <c r="V228" s="525" t="s">
        <v>7</v>
      </c>
      <c r="W228" s="526" t="s">
        <v>15</v>
      </c>
      <c r="X228" s="527" t="s">
        <v>16</v>
      </c>
      <c r="Y228" s="527" t="s">
        <v>17</v>
      </c>
      <c r="Z228" s="527" t="s">
        <v>18</v>
      </c>
      <c r="AA228" s="377"/>
      <c r="AB228" s="378" t="s">
        <v>19</v>
      </c>
      <c r="AC228" s="528" t="s">
        <v>20</v>
      </c>
      <c r="AD228" s="529"/>
      <c r="AE228" s="347" t="s">
        <v>21</v>
      </c>
      <c r="AF228" s="340" t="s">
        <v>22</v>
      </c>
    </row>
    <row r="229" spans="1:32" s="510" customFormat="1" x14ac:dyDescent="0.2">
      <c r="A229" s="2687"/>
      <c r="B229" s="1996" t="s">
        <v>23</v>
      </c>
      <c r="C229" s="2687"/>
      <c r="D229" s="518" t="s">
        <v>24</v>
      </c>
      <c r="E229" s="519" t="s">
        <v>25</v>
      </c>
      <c r="F229" s="2699"/>
      <c r="G229" s="2700"/>
      <c r="H229" s="2701"/>
      <c r="I229" s="518" t="s">
        <v>26</v>
      </c>
      <c r="J229" s="530" t="s">
        <v>15</v>
      </c>
      <c r="K229" s="531" t="s">
        <v>6</v>
      </c>
      <c r="L229" s="2680"/>
      <c r="M229" s="532" t="s">
        <v>27</v>
      </c>
      <c r="N229" s="532" t="s">
        <v>10</v>
      </c>
      <c r="O229" s="533" t="s">
        <v>10</v>
      </c>
      <c r="P229" s="534" t="s">
        <v>28</v>
      </c>
      <c r="Q229" s="535" t="s">
        <v>29</v>
      </c>
      <c r="R229" s="534" t="s">
        <v>15</v>
      </c>
      <c r="S229" s="385" t="s">
        <v>15</v>
      </c>
      <c r="T229" s="2684"/>
      <c r="U229" s="2685"/>
      <c r="V229" s="525" t="s">
        <v>30</v>
      </c>
      <c r="W229" s="526" t="s">
        <v>31</v>
      </c>
      <c r="X229" s="527" t="s">
        <v>30</v>
      </c>
      <c r="Y229" s="527" t="s">
        <v>32</v>
      </c>
      <c r="Z229" s="527" t="s">
        <v>7</v>
      </c>
      <c r="AA229" s="377" t="s">
        <v>33</v>
      </c>
      <c r="AB229" s="378" t="s">
        <v>34</v>
      </c>
      <c r="AC229" s="528" t="s">
        <v>35</v>
      </c>
      <c r="AD229" s="347" t="s">
        <v>36</v>
      </c>
      <c r="AE229" s="347" t="s">
        <v>37</v>
      </c>
      <c r="AF229" s="340" t="s">
        <v>38</v>
      </c>
    </row>
    <row r="230" spans="1:32" s="510" customFormat="1" x14ac:dyDescent="0.2">
      <c r="A230" s="2687"/>
      <c r="B230" s="1996" t="s">
        <v>39</v>
      </c>
      <c r="C230" s="2687"/>
      <c r="D230" s="518" t="s">
        <v>40</v>
      </c>
      <c r="E230" s="519" t="s">
        <v>41</v>
      </c>
      <c r="F230" s="2686" t="s">
        <v>42</v>
      </c>
      <c r="G230" s="2686" t="s">
        <v>43</v>
      </c>
      <c r="H230" s="2688" t="s">
        <v>44</v>
      </c>
      <c r="I230" s="518" t="s">
        <v>45</v>
      </c>
      <c r="J230" s="530" t="s">
        <v>46</v>
      </c>
      <c r="K230" s="531" t="s">
        <v>47</v>
      </c>
      <c r="L230" s="2680"/>
      <c r="M230" s="532" t="s">
        <v>30</v>
      </c>
      <c r="N230" s="532" t="s">
        <v>30</v>
      </c>
      <c r="O230" s="533" t="s">
        <v>25</v>
      </c>
      <c r="P230" s="534" t="s">
        <v>30</v>
      </c>
      <c r="Q230" s="535" t="s">
        <v>48</v>
      </c>
      <c r="R230" s="534" t="s">
        <v>49</v>
      </c>
      <c r="S230" s="385" t="s">
        <v>30</v>
      </c>
      <c r="T230" s="536" t="s">
        <v>50</v>
      </c>
      <c r="U230" s="537" t="s">
        <v>13</v>
      </c>
      <c r="V230" s="525" t="s">
        <v>51</v>
      </c>
      <c r="W230" s="526" t="s">
        <v>52</v>
      </c>
      <c r="X230" s="527" t="s">
        <v>53</v>
      </c>
      <c r="Y230" s="527" t="s">
        <v>54</v>
      </c>
      <c r="Z230" s="527" t="s">
        <v>55</v>
      </c>
      <c r="AA230" s="377" t="s">
        <v>56</v>
      </c>
      <c r="AB230" s="378" t="s">
        <v>57</v>
      </c>
      <c r="AC230" s="347" t="s">
        <v>58</v>
      </c>
      <c r="AD230" s="347" t="s">
        <v>59</v>
      </c>
      <c r="AE230" s="347" t="s">
        <v>59</v>
      </c>
      <c r="AF230" s="340" t="s">
        <v>60</v>
      </c>
    </row>
    <row r="231" spans="1:32" s="510" customFormat="1" ht="15" x14ac:dyDescent="0.25">
      <c r="A231" s="2687"/>
      <c r="B231" s="1996" t="s">
        <v>61</v>
      </c>
      <c r="C231" s="2687"/>
      <c r="D231" s="518" t="s">
        <v>62</v>
      </c>
      <c r="E231" s="519" t="s">
        <v>63</v>
      </c>
      <c r="F231" s="2687"/>
      <c r="G231" s="2687"/>
      <c r="H231" s="2689"/>
      <c r="I231" s="518" t="s">
        <v>64</v>
      </c>
      <c r="J231" s="530" t="s">
        <v>59</v>
      </c>
      <c r="K231" s="531" t="s">
        <v>59</v>
      </c>
      <c r="L231" s="2680"/>
      <c r="M231" s="532"/>
      <c r="N231" s="532"/>
      <c r="O231" s="533" t="s">
        <v>41</v>
      </c>
      <c r="P231" s="534" t="s">
        <v>65</v>
      </c>
      <c r="Q231" s="535" t="s">
        <v>66</v>
      </c>
      <c r="R231" s="534" t="s">
        <v>67</v>
      </c>
      <c r="S231" s="385" t="s">
        <v>59</v>
      </c>
      <c r="T231" s="538" t="s">
        <v>68</v>
      </c>
      <c r="U231" s="525" t="s">
        <v>14</v>
      </c>
      <c r="V231" s="525" t="s">
        <v>14</v>
      </c>
      <c r="W231" s="526" t="s">
        <v>30</v>
      </c>
      <c r="X231" s="539" t="s">
        <v>69</v>
      </c>
      <c r="Y231" s="539" t="s">
        <v>70</v>
      </c>
      <c r="Z231" s="527" t="s">
        <v>71</v>
      </c>
      <c r="AA231" s="377" t="s">
        <v>72</v>
      </c>
      <c r="AB231" s="540" t="s">
        <v>59</v>
      </c>
      <c r="AC231" s="347" t="s">
        <v>59</v>
      </c>
      <c r="AD231" s="347"/>
      <c r="AE231" s="347"/>
      <c r="AF231" s="340" t="s">
        <v>59</v>
      </c>
    </row>
    <row r="232" spans="1:32" s="510" customFormat="1" x14ac:dyDescent="0.2">
      <c r="A232" s="2692"/>
      <c r="B232" s="390"/>
      <c r="C232" s="2692"/>
      <c r="D232" s="541"/>
      <c r="E232" s="542"/>
      <c r="F232" s="390"/>
      <c r="G232" s="390"/>
      <c r="H232" s="391"/>
      <c r="I232" s="542"/>
      <c r="J232" s="543"/>
      <c r="K232" s="544"/>
      <c r="L232" s="2681"/>
      <c r="M232" s="545"/>
      <c r="N232" s="545"/>
      <c r="O232" s="545" t="s">
        <v>63</v>
      </c>
      <c r="P232" s="546"/>
      <c r="Q232" s="547" t="s">
        <v>72</v>
      </c>
      <c r="R232" s="548" t="s">
        <v>59</v>
      </c>
      <c r="S232" s="549"/>
      <c r="T232" s="548" t="s">
        <v>73</v>
      </c>
      <c r="U232" s="549" t="s">
        <v>59</v>
      </c>
      <c r="V232" s="550" t="s">
        <v>59</v>
      </c>
      <c r="W232" s="551" t="s">
        <v>59</v>
      </c>
      <c r="X232" s="552" t="s">
        <v>59</v>
      </c>
      <c r="Y232" s="552" t="s">
        <v>59</v>
      </c>
      <c r="Z232" s="552" t="s">
        <v>59</v>
      </c>
      <c r="AA232" s="402"/>
      <c r="AB232" s="403"/>
      <c r="AC232" s="348"/>
      <c r="AD232" s="348"/>
      <c r="AE232" s="348"/>
      <c r="AF232" s="341"/>
    </row>
    <row r="233" spans="1:32" ht="15" x14ac:dyDescent="0.25">
      <c r="A233" s="1497">
        <v>1</v>
      </c>
      <c r="B233" s="1715">
        <v>30831</v>
      </c>
      <c r="C233" s="1508">
        <v>859</v>
      </c>
      <c r="D233" s="1508" t="s">
        <v>238</v>
      </c>
      <c r="E233" s="1508">
        <v>2</v>
      </c>
      <c r="F233" s="1724">
        <v>1</v>
      </c>
      <c r="G233" s="1724">
        <v>0</v>
      </c>
      <c r="H233" s="1725">
        <v>0</v>
      </c>
      <c r="I233" s="1716">
        <f>F233*400+G233*100+H233</f>
        <v>400</v>
      </c>
      <c r="J233" s="1726">
        <v>1400</v>
      </c>
      <c r="K233" s="1717">
        <f>SUM(I233*J233)</f>
        <v>560000</v>
      </c>
      <c r="L233" s="1497">
        <v>95</v>
      </c>
      <c r="M233" s="113" t="s">
        <v>346</v>
      </c>
      <c r="N233" s="1506" t="s">
        <v>74</v>
      </c>
      <c r="O233" s="1506">
        <v>3</v>
      </c>
      <c r="P233" s="1510">
        <v>118.84</v>
      </c>
      <c r="Q233" s="1499" t="s">
        <v>75</v>
      </c>
      <c r="R233" s="1718">
        <v>9050</v>
      </c>
      <c r="S233" s="1663">
        <f>+P233*R233</f>
        <v>1075502</v>
      </c>
      <c r="T233" s="1469">
        <v>9</v>
      </c>
      <c r="U233" s="1664">
        <f>+S233*0.09</f>
        <v>96795.18</v>
      </c>
      <c r="V233" s="1664">
        <f>+S233-U233</f>
        <v>978706.82000000007</v>
      </c>
      <c r="W233" s="1663">
        <f>K233+V233</f>
        <v>1538706.82</v>
      </c>
      <c r="X233" s="1664">
        <f>W233</f>
        <v>1538706.82</v>
      </c>
      <c r="Y233" s="1719"/>
      <c r="Z233" s="1663">
        <f>X233</f>
        <v>1538706.82</v>
      </c>
      <c r="AA233" s="1678">
        <v>0.3</v>
      </c>
      <c r="AB233" s="1720">
        <f>+Z233*AA233/100</f>
        <v>4616.1204600000001</v>
      </c>
      <c r="AC233" s="1721"/>
      <c r="AD233" s="1721"/>
      <c r="AE233" s="1721"/>
      <c r="AF233" s="1721"/>
    </row>
    <row r="234" spans="1:32" s="510" customFormat="1" ht="15" x14ac:dyDescent="0.25">
      <c r="A234" s="269"/>
      <c r="B234" s="269"/>
      <c r="C234" s="285"/>
      <c r="D234" s="15"/>
      <c r="E234" s="273"/>
      <c r="F234" s="268"/>
      <c r="G234" s="269"/>
      <c r="H234" s="266"/>
      <c r="I234" s="18"/>
      <c r="J234" s="258"/>
      <c r="K234" s="39"/>
      <c r="L234" s="50"/>
      <c r="M234" s="1997"/>
      <c r="N234" s="15"/>
      <c r="O234" s="50"/>
      <c r="P234" s="15"/>
      <c r="Q234" s="62"/>
      <c r="R234" s="260"/>
      <c r="S234" s="18"/>
      <c r="T234" s="20"/>
      <c r="U234" s="47"/>
      <c r="V234" s="47"/>
      <c r="W234" s="18"/>
      <c r="X234" s="47"/>
      <c r="Y234" s="293"/>
      <c r="Z234" s="18"/>
      <c r="AA234" s="264"/>
      <c r="AB234" s="558"/>
      <c r="AC234" s="559"/>
      <c r="AD234" s="559"/>
      <c r="AE234" s="559"/>
      <c r="AF234" s="559"/>
    </row>
    <row r="235" spans="1:32" s="510" customFormat="1" ht="15" x14ac:dyDescent="0.25">
      <c r="A235" s="269"/>
      <c r="B235" s="269"/>
      <c r="C235" s="285"/>
      <c r="D235" s="273"/>
      <c r="E235" s="273"/>
      <c r="F235" s="268"/>
      <c r="G235" s="269"/>
      <c r="H235" s="266"/>
      <c r="I235" s="18"/>
      <c r="J235" s="261"/>
      <c r="K235" s="262"/>
      <c r="L235" s="269"/>
      <c r="M235" s="242"/>
      <c r="N235" s="269"/>
      <c r="O235" s="50"/>
      <c r="P235" s="266"/>
      <c r="Q235" s="62"/>
      <c r="R235" s="260"/>
      <c r="S235" s="18"/>
      <c r="T235" s="20"/>
      <c r="U235" s="47"/>
      <c r="V235" s="47"/>
      <c r="W235" s="18"/>
      <c r="X235" s="47"/>
      <c r="Y235" s="293"/>
      <c r="Z235" s="18"/>
      <c r="AA235" s="264"/>
      <c r="AB235" s="558"/>
      <c r="AC235" s="559"/>
      <c r="AD235" s="559"/>
      <c r="AE235" s="559"/>
      <c r="AF235" s="559"/>
    </row>
    <row r="236" spans="1:32" s="510" customFormat="1" ht="15" x14ac:dyDescent="0.25">
      <c r="A236" s="269"/>
      <c r="B236" s="269"/>
      <c r="C236" s="285"/>
      <c r="D236" s="273"/>
      <c r="E236" s="273"/>
      <c r="F236" s="268"/>
      <c r="G236" s="269"/>
      <c r="H236" s="266"/>
      <c r="I236" s="18"/>
      <c r="J236" s="261"/>
      <c r="K236" s="262"/>
      <c r="L236" s="269"/>
      <c r="M236" s="242"/>
      <c r="N236" s="269"/>
      <c r="O236" s="50"/>
      <c r="P236" s="266"/>
      <c r="Q236" s="62"/>
      <c r="R236" s="260"/>
      <c r="S236" s="18"/>
      <c r="T236" s="20"/>
      <c r="U236" s="47"/>
      <c r="V236" s="47"/>
      <c r="W236" s="18"/>
      <c r="X236" s="47"/>
      <c r="Y236" s="293"/>
      <c r="Z236" s="18"/>
      <c r="AA236" s="264"/>
      <c r="AB236" s="570"/>
      <c r="AC236" s="559"/>
      <c r="AD236" s="559"/>
      <c r="AE236" s="559"/>
      <c r="AF236" s="559"/>
    </row>
    <row r="237" spans="1:32" s="510" customFormat="1" x14ac:dyDescent="0.2">
      <c r="A237" s="15"/>
      <c r="B237" s="21"/>
      <c r="C237" s="21"/>
      <c r="D237" s="15"/>
      <c r="E237" s="15"/>
      <c r="F237" s="15"/>
      <c r="G237" s="15"/>
      <c r="H237" s="22"/>
      <c r="I237" s="23"/>
      <c r="J237" s="24"/>
      <c r="K237" s="23"/>
      <c r="L237" s="15"/>
      <c r="M237" s="15"/>
      <c r="N237" s="15"/>
      <c r="O237" s="15"/>
      <c r="P237" s="22"/>
      <c r="Q237" s="25"/>
      <c r="R237" s="563"/>
      <c r="S237" s="23"/>
      <c r="T237" s="26"/>
      <c r="U237" s="24"/>
      <c r="V237" s="23"/>
      <c r="W237" s="23"/>
      <c r="X237" s="564"/>
      <c r="Y237" s="564"/>
      <c r="Z237" s="565"/>
      <c r="AA237" s="565"/>
      <c r="AB237" s="566"/>
      <c r="AC237" s="559"/>
      <c r="AD237" s="559"/>
      <c r="AE237" s="559"/>
      <c r="AF237" s="559"/>
    </row>
    <row r="238" spans="1:32" s="510" customFormat="1" x14ac:dyDescent="0.2">
      <c r="A238" s="15"/>
      <c r="B238" s="21"/>
      <c r="C238" s="21"/>
      <c r="D238" s="15"/>
      <c r="E238" s="15"/>
      <c r="F238" s="15"/>
      <c r="G238" s="15"/>
      <c r="H238" s="22"/>
      <c r="I238" s="23"/>
      <c r="J238" s="24"/>
      <c r="K238" s="23"/>
      <c r="L238" s="15"/>
      <c r="M238" s="15"/>
      <c r="N238" s="15"/>
      <c r="O238" s="15"/>
      <c r="P238" s="22"/>
      <c r="Q238" s="25"/>
      <c r="R238" s="563"/>
      <c r="S238" s="23"/>
      <c r="T238" s="26"/>
      <c r="U238" s="24"/>
      <c r="V238" s="23"/>
      <c r="W238" s="23"/>
      <c r="X238" s="564"/>
      <c r="Y238" s="564"/>
      <c r="Z238" s="565"/>
      <c r="AA238" s="565"/>
      <c r="AB238" s="566"/>
      <c r="AC238" s="559"/>
      <c r="AD238" s="559"/>
      <c r="AE238" s="559"/>
      <c r="AF238" s="559"/>
    </row>
    <row r="239" spans="1:32" s="510" customFormat="1" x14ac:dyDescent="0.2">
      <c r="A239" s="15"/>
      <c r="B239" s="21"/>
      <c r="C239" s="21"/>
      <c r="D239" s="15"/>
      <c r="E239" s="15"/>
      <c r="F239" s="15"/>
      <c r="G239" s="15"/>
      <c r="H239" s="22"/>
      <c r="I239" s="23"/>
      <c r="J239" s="24"/>
      <c r="K239" s="23"/>
      <c r="L239" s="15"/>
      <c r="M239" s="15"/>
      <c r="N239" s="15"/>
      <c r="O239" s="15"/>
      <c r="P239" s="22"/>
      <c r="Q239" s="25"/>
      <c r="R239" s="563"/>
      <c r="S239" s="23"/>
      <c r="T239" s="26"/>
      <c r="U239" s="24"/>
      <c r="V239" s="23"/>
      <c r="W239" s="23"/>
      <c r="X239" s="564"/>
      <c r="Y239" s="564"/>
      <c r="Z239" s="565"/>
      <c r="AA239" s="565"/>
      <c r="AB239" s="566"/>
      <c r="AC239" s="559"/>
      <c r="AD239" s="559"/>
      <c r="AE239" s="559"/>
      <c r="AF239" s="559"/>
    </row>
    <row r="240" spans="1:32" s="510" customFormat="1" ht="15.75" x14ac:dyDescent="0.25">
      <c r="A240" s="15"/>
      <c r="B240" s="21"/>
      <c r="C240" s="1722"/>
      <c r="D240" s="15"/>
      <c r="E240" s="15"/>
      <c r="F240" s="15"/>
      <c r="G240" s="15"/>
      <c r="H240" s="22"/>
      <c r="I240" s="23"/>
      <c r="J240" s="24"/>
      <c r="K240" s="23"/>
      <c r="L240" s="15"/>
      <c r="M240" s="15"/>
      <c r="N240" s="15"/>
      <c r="O240" s="15"/>
      <c r="P240" s="22"/>
      <c r="Q240" s="25"/>
      <c r="R240" s="563"/>
      <c r="S240" s="23"/>
      <c r="T240" s="26"/>
      <c r="U240" s="24"/>
      <c r="V240" s="23"/>
      <c r="W240" s="23"/>
      <c r="X240" s="564"/>
      <c r="Y240" s="564"/>
      <c r="Z240" s="565"/>
      <c r="AA240" s="565"/>
      <c r="AB240" s="566"/>
      <c r="AC240" s="559"/>
      <c r="AD240" s="559"/>
      <c r="AE240" s="559"/>
      <c r="AF240" s="559"/>
    </row>
    <row r="241" spans="1:32" s="510" customFormat="1" ht="15.75" x14ac:dyDescent="0.25">
      <c r="A241" s="15"/>
      <c r="B241" s="21"/>
      <c r="C241" s="1722" t="s">
        <v>525</v>
      </c>
      <c r="D241" s="15"/>
      <c r="E241" s="15"/>
      <c r="F241" s="15"/>
      <c r="G241" s="15"/>
      <c r="H241" s="22"/>
      <c r="I241" s="23"/>
      <c r="J241" s="24"/>
      <c r="K241" s="23"/>
      <c r="L241" s="15"/>
      <c r="M241" s="15"/>
      <c r="N241" s="15"/>
      <c r="O241" s="15"/>
      <c r="P241" s="22"/>
      <c r="Q241" s="25"/>
      <c r="R241" s="563"/>
      <c r="S241" s="23"/>
      <c r="T241" s="26"/>
      <c r="U241" s="24"/>
      <c r="V241" s="23"/>
      <c r="W241" s="23"/>
      <c r="X241" s="564"/>
      <c r="Y241" s="564"/>
      <c r="Z241" s="565"/>
      <c r="AA241" s="565"/>
      <c r="AB241" s="566"/>
      <c r="AC241" s="559"/>
      <c r="AD241" s="559"/>
      <c r="AE241" s="559"/>
      <c r="AF241" s="559"/>
    </row>
    <row r="242" spans="1:32" s="510" customFormat="1" x14ac:dyDescent="0.2">
      <c r="A242" s="15"/>
      <c r="B242" s="21"/>
      <c r="C242" s="21"/>
      <c r="D242" s="15"/>
      <c r="E242" s="15"/>
      <c r="F242" s="15"/>
      <c r="G242" s="15"/>
      <c r="H242" s="22"/>
      <c r="I242" s="23"/>
      <c r="J242" s="24"/>
      <c r="K242" s="23"/>
      <c r="L242" s="15"/>
      <c r="M242" s="15"/>
      <c r="N242" s="15"/>
      <c r="O242" s="15"/>
      <c r="P242" s="22"/>
      <c r="Q242" s="25"/>
      <c r="R242" s="563"/>
      <c r="S242" s="23"/>
      <c r="T242" s="26"/>
      <c r="U242" s="24"/>
      <c r="V242" s="23"/>
      <c r="W242" s="23"/>
      <c r="X242" s="564"/>
      <c r="Y242" s="564"/>
      <c r="Z242" s="565"/>
      <c r="AA242" s="565"/>
      <c r="AB242" s="566"/>
      <c r="AC242" s="559"/>
      <c r="AD242" s="559"/>
      <c r="AE242" s="559"/>
      <c r="AF242" s="559"/>
    </row>
    <row r="243" spans="1:32" s="510" customFormat="1" x14ac:dyDescent="0.2">
      <c r="A243" s="15"/>
      <c r="B243" s="21"/>
      <c r="C243" s="21"/>
      <c r="D243" s="15"/>
      <c r="E243" s="15"/>
      <c r="F243" s="15"/>
      <c r="G243" s="15"/>
      <c r="H243" s="22"/>
      <c r="I243" s="23"/>
      <c r="J243" s="24"/>
      <c r="K243" s="23"/>
      <c r="L243" s="15"/>
      <c r="M243" s="15"/>
      <c r="N243" s="15"/>
      <c r="O243" s="15"/>
      <c r="P243" s="22"/>
      <c r="Q243" s="25"/>
      <c r="R243" s="563"/>
      <c r="S243" s="23"/>
      <c r="T243" s="26"/>
      <c r="U243" s="24"/>
      <c r="V243" s="23"/>
      <c r="W243" s="23"/>
      <c r="X243" s="564"/>
      <c r="Y243" s="564"/>
      <c r="Z243" s="565"/>
      <c r="AA243" s="565"/>
      <c r="AB243" s="566"/>
      <c r="AC243" s="559"/>
      <c r="AD243" s="559"/>
      <c r="AE243" s="559"/>
      <c r="AF243" s="559"/>
    </row>
    <row r="244" spans="1:32" s="510" customFormat="1" x14ac:dyDescent="0.2">
      <c r="A244" s="15"/>
      <c r="B244" s="21"/>
      <c r="C244" s="21"/>
      <c r="D244" s="15"/>
      <c r="E244" s="15"/>
      <c r="F244" s="15"/>
      <c r="G244" s="15"/>
      <c r="H244" s="22"/>
      <c r="I244" s="23"/>
      <c r="J244" s="24"/>
      <c r="K244" s="23"/>
      <c r="L244" s="15"/>
      <c r="M244" s="15"/>
      <c r="N244" s="15"/>
      <c r="O244" s="15"/>
      <c r="P244" s="22"/>
      <c r="Q244" s="25"/>
      <c r="R244" s="563"/>
      <c r="S244" s="23"/>
      <c r="T244" s="26"/>
      <c r="U244" s="24"/>
      <c r="V244" s="23"/>
      <c r="W244" s="23"/>
      <c r="X244" s="564"/>
      <c r="Y244" s="564"/>
      <c r="Z244" s="565"/>
      <c r="AA244" s="565"/>
      <c r="AB244" s="566"/>
      <c r="AC244" s="559"/>
      <c r="AD244" s="559"/>
      <c r="AE244" s="559"/>
      <c r="AF244" s="559"/>
    </row>
    <row r="245" spans="1:32" s="510" customFormat="1" x14ac:dyDescent="0.2">
      <c r="A245" s="15"/>
      <c r="B245" s="21"/>
      <c r="C245" s="21"/>
      <c r="D245" s="15"/>
      <c r="E245" s="15"/>
      <c r="F245" s="15"/>
      <c r="G245" s="15"/>
      <c r="H245" s="22"/>
      <c r="I245" s="23"/>
      <c r="J245" s="24"/>
      <c r="K245" s="23"/>
      <c r="L245" s="15"/>
      <c r="M245" s="15"/>
      <c r="N245" s="15"/>
      <c r="O245" s="15"/>
      <c r="P245" s="22"/>
      <c r="Q245" s="25"/>
      <c r="R245" s="563"/>
      <c r="S245" s="23"/>
      <c r="T245" s="26"/>
      <c r="U245" s="24"/>
      <c r="V245" s="23"/>
      <c r="W245" s="23"/>
      <c r="X245" s="564"/>
      <c r="Y245" s="564"/>
      <c r="Z245" s="565"/>
      <c r="AA245" s="565"/>
      <c r="AB245" s="566"/>
      <c r="AC245" s="559"/>
      <c r="AD245" s="559"/>
      <c r="AE245" s="559"/>
      <c r="AF245" s="559"/>
    </row>
    <row r="246" spans="1:32" s="510" customFormat="1" x14ac:dyDescent="0.2">
      <c r="A246" s="15"/>
      <c r="B246" s="21"/>
      <c r="C246" s="21"/>
      <c r="D246" s="15"/>
      <c r="E246" s="15"/>
      <c r="F246" s="15"/>
      <c r="G246" s="15"/>
      <c r="H246" s="22"/>
      <c r="I246" s="23"/>
      <c r="J246" s="24"/>
      <c r="K246" s="23"/>
      <c r="L246" s="15"/>
      <c r="M246" s="15"/>
      <c r="N246" s="15"/>
      <c r="O246" s="15"/>
      <c r="P246" s="22"/>
      <c r="Q246" s="25"/>
      <c r="R246" s="563"/>
      <c r="S246" s="23"/>
      <c r="T246" s="26"/>
      <c r="U246" s="24"/>
      <c r="V246" s="23"/>
      <c r="W246" s="23"/>
      <c r="X246" s="564"/>
      <c r="Y246" s="564"/>
      <c r="Z246" s="565"/>
      <c r="AA246" s="565"/>
      <c r="AB246" s="566"/>
      <c r="AC246" s="559"/>
      <c r="AD246" s="559"/>
      <c r="AE246" s="559"/>
      <c r="AF246" s="559"/>
    </row>
    <row r="247" spans="1:32" s="510" customFormat="1" x14ac:dyDescent="0.2">
      <c r="A247" s="15"/>
      <c r="B247" s="21"/>
      <c r="C247" s="21"/>
      <c r="D247" s="15"/>
      <c r="E247" s="15"/>
      <c r="F247" s="15"/>
      <c r="G247" s="15"/>
      <c r="H247" s="22"/>
      <c r="I247" s="23"/>
      <c r="J247" s="24"/>
      <c r="K247" s="23"/>
      <c r="L247" s="15"/>
      <c r="M247" s="15"/>
      <c r="N247" s="15"/>
      <c r="O247" s="15"/>
      <c r="P247" s="22"/>
      <c r="Q247" s="25"/>
      <c r="R247" s="563"/>
      <c r="S247" s="23"/>
      <c r="T247" s="26"/>
      <c r="U247" s="24"/>
      <c r="V247" s="23"/>
      <c r="W247" s="23"/>
      <c r="X247" s="564"/>
      <c r="Y247" s="564"/>
      <c r="Z247" s="565"/>
      <c r="AA247" s="565"/>
      <c r="AB247" s="566"/>
      <c r="AC247" s="559"/>
      <c r="AD247" s="559"/>
      <c r="AE247" s="559"/>
      <c r="AF247" s="559"/>
    </row>
    <row r="248" spans="1:32" s="510" customFormat="1" x14ac:dyDescent="0.2">
      <c r="A248" s="27"/>
      <c r="B248" s="28"/>
      <c r="C248" s="28"/>
      <c r="D248" s="27"/>
      <c r="E248" s="27"/>
      <c r="F248" s="27"/>
      <c r="G248" s="27"/>
      <c r="H248" s="29"/>
      <c r="I248" s="30"/>
      <c r="J248" s="31"/>
      <c r="K248" s="30"/>
      <c r="L248" s="27"/>
      <c r="M248" s="27"/>
      <c r="N248" s="27"/>
      <c r="O248" s="27"/>
      <c r="P248" s="27"/>
      <c r="Q248" s="32"/>
      <c r="R248" s="567"/>
      <c r="S248" s="30"/>
      <c r="T248" s="33"/>
      <c r="U248" s="31"/>
      <c r="V248" s="30"/>
      <c r="W248" s="30"/>
      <c r="X248" s="568"/>
      <c r="Y248" s="568"/>
      <c r="Z248" s="569"/>
      <c r="AA248" s="569"/>
      <c r="AB248" s="570"/>
      <c r="AC248" s="571"/>
      <c r="AD248" s="571"/>
      <c r="AE248" s="571"/>
      <c r="AF248" s="571"/>
    </row>
    <row r="249" spans="1:32" s="510" customFormat="1" x14ac:dyDescent="0.2">
      <c r="A249" s="34"/>
      <c r="B249" s="34"/>
      <c r="C249" s="34"/>
      <c r="D249" s="34"/>
      <c r="E249" s="34"/>
      <c r="F249" s="34"/>
      <c r="G249" s="34"/>
      <c r="H249" s="35"/>
      <c r="I249" s="36"/>
      <c r="J249" s="37"/>
      <c r="K249" s="36"/>
      <c r="L249" s="36"/>
      <c r="M249" s="36"/>
      <c r="N249" s="36"/>
      <c r="O249" s="36"/>
      <c r="P249" s="36"/>
      <c r="Q249" s="36"/>
      <c r="R249" s="572"/>
      <c r="S249" s="36"/>
      <c r="T249" s="38"/>
      <c r="U249" s="37"/>
      <c r="V249" s="36"/>
      <c r="W249" s="36"/>
      <c r="X249" s="573"/>
      <c r="Y249" s="573"/>
      <c r="Z249" s="574"/>
      <c r="AA249" s="574"/>
      <c r="AB249" s="575">
        <f>SUM(AB233:AB248)</f>
        <v>4616.1204600000001</v>
      </c>
      <c r="AC249" s="576"/>
      <c r="AD249" s="576"/>
      <c r="AE249" s="576"/>
      <c r="AF249" s="576"/>
    </row>
    <row r="250" spans="1:32" s="510" customFormat="1" ht="15.75" x14ac:dyDescent="0.25">
      <c r="A250" s="2820" t="s">
        <v>76</v>
      </c>
      <c r="B250" s="2820"/>
      <c r="C250" s="2821" t="s">
        <v>77</v>
      </c>
      <c r="D250" s="2821"/>
      <c r="E250" s="2821"/>
      <c r="F250" s="2821"/>
      <c r="G250" s="2821"/>
      <c r="H250" s="2821"/>
      <c r="I250" s="577" t="s">
        <v>78</v>
      </c>
      <c r="J250" s="577"/>
      <c r="K250" s="577"/>
      <c r="L250" s="577"/>
      <c r="M250" s="577"/>
      <c r="N250" s="577"/>
      <c r="AB250" s="578"/>
    </row>
    <row r="251" spans="1:32" s="510" customFormat="1" ht="15.75" x14ac:dyDescent="0.25">
      <c r="A251" s="577"/>
      <c r="B251" s="579"/>
      <c r="C251" s="577"/>
      <c r="D251" s="577"/>
      <c r="E251" s="577"/>
      <c r="F251" s="577"/>
      <c r="G251" s="577"/>
      <c r="H251" s="577"/>
      <c r="I251" s="577" t="s">
        <v>79</v>
      </c>
      <c r="J251" s="577"/>
      <c r="K251" s="577"/>
      <c r="L251" s="577"/>
      <c r="M251" s="577"/>
      <c r="N251" s="577"/>
      <c r="AB251" s="578"/>
    </row>
    <row r="252" spans="1:32" s="510" customFormat="1" ht="15.75" x14ac:dyDescent="0.25">
      <c r="A252" s="577"/>
      <c r="B252" s="579"/>
      <c r="C252" s="577"/>
      <c r="D252" s="577"/>
      <c r="E252" s="577"/>
      <c r="F252" s="577"/>
      <c r="G252" s="577"/>
      <c r="H252" s="577"/>
      <c r="I252" s="577" t="s">
        <v>80</v>
      </c>
      <c r="J252" s="577"/>
      <c r="K252" s="577"/>
      <c r="L252" s="577"/>
      <c r="M252" s="577"/>
      <c r="N252" s="577"/>
      <c r="AB252" s="578"/>
    </row>
    <row r="253" spans="1:32" s="510" customFormat="1" ht="15.75" x14ac:dyDescent="0.25">
      <c r="A253" s="577"/>
      <c r="B253" s="579"/>
      <c r="C253" s="577"/>
      <c r="D253" s="577"/>
      <c r="E253" s="577"/>
      <c r="F253" s="577"/>
      <c r="G253" s="577"/>
      <c r="H253" s="577"/>
      <c r="I253" s="577" t="s">
        <v>81</v>
      </c>
      <c r="J253" s="577"/>
      <c r="K253" s="577"/>
      <c r="L253" s="577"/>
      <c r="M253" s="577"/>
      <c r="N253" s="577"/>
      <c r="AB253" s="578"/>
    </row>
    <row r="254" spans="1:32" s="510" customFormat="1" ht="15.75" x14ac:dyDescent="0.25">
      <c r="A254" s="577"/>
      <c r="B254" s="579"/>
      <c r="C254" s="577"/>
      <c r="D254" s="577"/>
      <c r="E254" s="577"/>
      <c r="F254" s="577"/>
      <c r="G254" s="577"/>
      <c r="H254" s="577"/>
      <c r="I254" s="577" t="s">
        <v>88</v>
      </c>
      <c r="J254" s="577"/>
      <c r="K254" s="577"/>
      <c r="L254" s="577"/>
      <c r="M254" s="577"/>
      <c r="N254" s="577"/>
      <c r="AB254" s="578"/>
    </row>
    <row r="255" spans="1:32" s="510" customFormat="1" ht="18.75" x14ac:dyDescent="0.2">
      <c r="A255" s="1073"/>
      <c r="B255" s="1073"/>
      <c r="C255" s="1073"/>
      <c r="D255" s="1073"/>
      <c r="E255" s="1073"/>
      <c r="F255" s="1073"/>
      <c r="G255" s="1073"/>
      <c r="H255" s="1073"/>
      <c r="I255" s="1073"/>
      <c r="J255" s="1073"/>
      <c r="K255" s="1073"/>
      <c r="L255" s="1073"/>
      <c r="M255" s="1073"/>
      <c r="N255" s="1073"/>
      <c r="O255" s="1073"/>
      <c r="P255" s="1073"/>
      <c r="Q255" s="1073"/>
      <c r="R255" s="1073"/>
      <c r="S255" s="1073"/>
      <c r="T255" s="1073"/>
      <c r="U255" s="1073"/>
      <c r="V255" s="1073"/>
      <c r="W255" s="1073"/>
      <c r="X255" s="1073"/>
      <c r="Y255" s="1073"/>
      <c r="Z255" s="1073"/>
      <c r="AA255" s="2784" t="s">
        <v>0</v>
      </c>
      <c r="AB255" s="2784"/>
      <c r="AC255" s="338"/>
      <c r="AD255" s="338"/>
      <c r="AE255" s="338"/>
      <c r="AF255" s="338"/>
    </row>
    <row r="256" spans="1:32" s="510" customFormat="1" ht="18.75" x14ac:dyDescent="0.2">
      <c r="A256" s="2703" t="s">
        <v>1</v>
      </c>
      <c r="B256" s="2703"/>
      <c r="C256" s="2703"/>
      <c r="D256" s="2703"/>
      <c r="E256" s="2703"/>
      <c r="F256" s="2703"/>
      <c r="G256" s="2703"/>
      <c r="H256" s="2703"/>
      <c r="I256" s="2703"/>
      <c r="J256" s="2703"/>
      <c r="K256" s="2703"/>
      <c r="L256" s="2703"/>
      <c r="M256" s="2703"/>
      <c r="N256" s="2703"/>
      <c r="O256" s="2703"/>
      <c r="P256" s="2703"/>
      <c r="Q256" s="2703"/>
      <c r="R256" s="2703"/>
      <c r="S256" s="2703"/>
      <c r="T256" s="2703"/>
      <c r="U256" s="2703"/>
      <c r="V256" s="2703"/>
      <c r="W256" s="2703"/>
      <c r="X256" s="2703"/>
      <c r="Y256" s="2703"/>
      <c r="Z256" s="2703"/>
      <c r="AA256" s="2703"/>
      <c r="AB256" s="2703"/>
      <c r="AC256" s="344"/>
      <c r="AD256" s="344"/>
      <c r="AE256" s="344"/>
      <c r="AF256" s="344"/>
    </row>
    <row r="257" spans="1:32" s="510" customFormat="1" ht="21" x14ac:dyDescent="0.2">
      <c r="A257" s="2780" t="s">
        <v>526</v>
      </c>
      <c r="B257" s="2780"/>
      <c r="C257" s="2780"/>
      <c r="D257" s="2780"/>
      <c r="E257" s="2780"/>
      <c r="F257" s="2780"/>
      <c r="G257" s="2780"/>
      <c r="H257" s="2780"/>
      <c r="I257" s="2780"/>
      <c r="J257" s="2780"/>
      <c r="K257" s="2780"/>
      <c r="L257" s="2780"/>
      <c r="M257" s="2780"/>
      <c r="N257" s="2780"/>
      <c r="O257" s="2780"/>
      <c r="P257" s="2780"/>
      <c r="Q257" s="2780"/>
      <c r="R257" s="2780"/>
      <c r="S257" s="2780"/>
      <c r="T257" s="2780"/>
      <c r="U257" s="2780"/>
      <c r="V257" s="2780"/>
      <c r="W257" s="2780"/>
      <c r="X257" s="2780"/>
      <c r="Y257" s="2780"/>
      <c r="Z257" s="2780"/>
      <c r="AA257" s="2780"/>
      <c r="AB257" s="2780"/>
      <c r="AC257" s="345"/>
      <c r="AD257" s="345"/>
      <c r="AE257" s="345"/>
      <c r="AF257" s="345"/>
    </row>
    <row r="258" spans="1:32" s="510" customFormat="1" ht="15" x14ac:dyDescent="0.25">
      <c r="A258" s="2686" t="s">
        <v>2</v>
      </c>
      <c r="B258" s="511"/>
      <c r="C258" s="2686" t="s">
        <v>3</v>
      </c>
      <c r="D258" s="511"/>
      <c r="E258" s="511"/>
      <c r="F258" s="2693" t="s">
        <v>4</v>
      </c>
      <c r="G258" s="2693"/>
      <c r="H258" s="2693"/>
      <c r="I258" s="2694"/>
      <c r="J258" s="2694"/>
      <c r="K258" s="2695"/>
      <c r="L258" s="361"/>
      <c r="M258" s="2679" t="s">
        <v>5</v>
      </c>
      <c r="N258" s="2679"/>
      <c r="O258" s="2679"/>
      <c r="P258" s="2679"/>
      <c r="Q258" s="2696"/>
      <c r="R258" s="2696"/>
      <c r="S258" s="2696"/>
      <c r="T258" s="2696"/>
      <c r="U258" s="2696"/>
      <c r="V258" s="2697"/>
      <c r="W258" s="512" t="s">
        <v>6</v>
      </c>
      <c r="X258" s="513" t="s">
        <v>7</v>
      </c>
      <c r="Y258" s="514"/>
      <c r="Z258" s="514"/>
      <c r="AA258" s="513"/>
      <c r="AB258" s="515"/>
      <c r="AC258" s="516" t="s">
        <v>8</v>
      </c>
      <c r="AD258" s="346"/>
      <c r="AE258" s="346"/>
      <c r="AF258" s="517"/>
    </row>
    <row r="259" spans="1:32" s="510" customFormat="1" x14ac:dyDescent="0.2">
      <c r="A259" s="2687"/>
      <c r="B259" s="367"/>
      <c r="C259" s="2687"/>
      <c r="D259" s="518" t="s">
        <v>9</v>
      </c>
      <c r="E259" s="519" t="s">
        <v>10</v>
      </c>
      <c r="F259" s="2698" t="s">
        <v>11</v>
      </c>
      <c r="G259" s="2694"/>
      <c r="H259" s="2695"/>
      <c r="I259" s="511"/>
      <c r="J259" s="520" t="s">
        <v>12</v>
      </c>
      <c r="K259" s="511"/>
      <c r="L259" s="2679" t="s">
        <v>2</v>
      </c>
      <c r="M259" s="521"/>
      <c r="N259" s="521"/>
      <c r="O259" s="521"/>
      <c r="P259" s="522"/>
      <c r="Q259" s="523" t="s">
        <v>13</v>
      </c>
      <c r="R259" s="524" t="s">
        <v>12</v>
      </c>
      <c r="S259" s="521" t="s">
        <v>6</v>
      </c>
      <c r="T259" s="2682" t="s">
        <v>14</v>
      </c>
      <c r="U259" s="2683"/>
      <c r="V259" s="525" t="s">
        <v>7</v>
      </c>
      <c r="W259" s="526" t="s">
        <v>15</v>
      </c>
      <c r="X259" s="527" t="s">
        <v>16</v>
      </c>
      <c r="Y259" s="527" t="s">
        <v>17</v>
      </c>
      <c r="Z259" s="527" t="s">
        <v>18</v>
      </c>
      <c r="AA259" s="377"/>
      <c r="AB259" s="378" t="s">
        <v>19</v>
      </c>
      <c r="AC259" s="528" t="s">
        <v>20</v>
      </c>
      <c r="AD259" s="529"/>
      <c r="AE259" s="347" t="s">
        <v>21</v>
      </c>
      <c r="AF259" s="340" t="s">
        <v>22</v>
      </c>
    </row>
    <row r="260" spans="1:32" s="510" customFormat="1" x14ac:dyDescent="0.2">
      <c r="A260" s="2687"/>
      <c r="B260" s="1996" t="s">
        <v>23</v>
      </c>
      <c r="C260" s="2687"/>
      <c r="D260" s="518" t="s">
        <v>24</v>
      </c>
      <c r="E260" s="519" t="s">
        <v>25</v>
      </c>
      <c r="F260" s="2699"/>
      <c r="G260" s="2700"/>
      <c r="H260" s="2701"/>
      <c r="I260" s="518" t="s">
        <v>26</v>
      </c>
      <c r="J260" s="530" t="s">
        <v>15</v>
      </c>
      <c r="K260" s="531" t="s">
        <v>6</v>
      </c>
      <c r="L260" s="2680"/>
      <c r="M260" s="532" t="s">
        <v>27</v>
      </c>
      <c r="N260" s="532" t="s">
        <v>10</v>
      </c>
      <c r="O260" s="533" t="s">
        <v>10</v>
      </c>
      <c r="P260" s="534" t="s">
        <v>28</v>
      </c>
      <c r="Q260" s="535" t="s">
        <v>29</v>
      </c>
      <c r="R260" s="534" t="s">
        <v>15</v>
      </c>
      <c r="S260" s="385" t="s">
        <v>15</v>
      </c>
      <c r="T260" s="2684"/>
      <c r="U260" s="2685"/>
      <c r="V260" s="525" t="s">
        <v>30</v>
      </c>
      <c r="W260" s="526" t="s">
        <v>31</v>
      </c>
      <c r="X260" s="527" t="s">
        <v>30</v>
      </c>
      <c r="Y260" s="527" t="s">
        <v>32</v>
      </c>
      <c r="Z260" s="527" t="s">
        <v>7</v>
      </c>
      <c r="AA260" s="377" t="s">
        <v>33</v>
      </c>
      <c r="AB260" s="378" t="s">
        <v>34</v>
      </c>
      <c r="AC260" s="528" t="s">
        <v>35</v>
      </c>
      <c r="AD260" s="347" t="s">
        <v>36</v>
      </c>
      <c r="AE260" s="347" t="s">
        <v>37</v>
      </c>
      <c r="AF260" s="340" t="s">
        <v>38</v>
      </c>
    </row>
    <row r="261" spans="1:32" s="510" customFormat="1" x14ac:dyDescent="0.2">
      <c r="A261" s="2687"/>
      <c r="B261" s="1996" t="s">
        <v>39</v>
      </c>
      <c r="C261" s="2687"/>
      <c r="D261" s="518" t="s">
        <v>40</v>
      </c>
      <c r="E261" s="519" t="s">
        <v>41</v>
      </c>
      <c r="F261" s="2686" t="s">
        <v>42</v>
      </c>
      <c r="G261" s="2686" t="s">
        <v>43</v>
      </c>
      <c r="H261" s="2688" t="s">
        <v>44</v>
      </c>
      <c r="I261" s="518" t="s">
        <v>45</v>
      </c>
      <c r="J261" s="530" t="s">
        <v>46</v>
      </c>
      <c r="K261" s="531" t="s">
        <v>47</v>
      </c>
      <c r="L261" s="2680"/>
      <c r="M261" s="532" t="s">
        <v>30</v>
      </c>
      <c r="N261" s="532" t="s">
        <v>30</v>
      </c>
      <c r="O261" s="533" t="s">
        <v>25</v>
      </c>
      <c r="P261" s="534" t="s">
        <v>30</v>
      </c>
      <c r="Q261" s="535" t="s">
        <v>48</v>
      </c>
      <c r="R261" s="534" t="s">
        <v>49</v>
      </c>
      <c r="S261" s="385" t="s">
        <v>30</v>
      </c>
      <c r="T261" s="536" t="s">
        <v>50</v>
      </c>
      <c r="U261" s="537" t="s">
        <v>13</v>
      </c>
      <c r="V261" s="525" t="s">
        <v>51</v>
      </c>
      <c r="W261" s="526" t="s">
        <v>52</v>
      </c>
      <c r="X261" s="527" t="s">
        <v>53</v>
      </c>
      <c r="Y261" s="527" t="s">
        <v>54</v>
      </c>
      <c r="Z261" s="527" t="s">
        <v>55</v>
      </c>
      <c r="AA261" s="377" t="s">
        <v>56</v>
      </c>
      <c r="AB261" s="378" t="s">
        <v>57</v>
      </c>
      <c r="AC261" s="347" t="s">
        <v>58</v>
      </c>
      <c r="AD261" s="347" t="s">
        <v>59</v>
      </c>
      <c r="AE261" s="347" t="s">
        <v>59</v>
      </c>
      <c r="AF261" s="340" t="s">
        <v>60</v>
      </c>
    </row>
    <row r="262" spans="1:32" s="510" customFormat="1" ht="15" x14ac:dyDescent="0.25">
      <c r="A262" s="2687"/>
      <c r="B262" s="1996" t="s">
        <v>61</v>
      </c>
      <c r="C262" s="2687"/>
      <c r="D262" s="518" t="s">
        <v>62</v>
      </c>
      <c r="E262" s="519" t="s">
        <v>63</v>
      </c>
      <c r="F262" s="2687"/>
      <c r="G262" s="2687"/>
      <c r="H262" s="2689"/>
      <c r="I262" s="518" t="s">
        <v>64</v>
      </c>
      <c r="J262" s="530" t="s">
        <v>59</v>
      </c>
      <c r="K262" s="531" t="s">
        <v>59</v>
      </c>
      <c r="L262" s="2680"/>
      <c r="M262" s="532"/>
      <c r="N262" s="532"/>
      <c r="O262" s="533" t="s">
        <v>41</v>
      </c>
      <c r="P262" s="534" t="s">
        <v>65</v>
      </c>
      <c r="Q262" s="535" t="s">
        <v>66</v>
      </c>
      <c r="R262" s="534" t="s">
        <v>67</v>
      </c>
      <c r="S262" s="385" t="s">
        <v>59</v>
      </c>
      <c r="T262" s="538" t="s">
        <v>68</v>
      </c>
      <c r="U262" s="525" t="s">
        <v>14</v>
      </c>
      <c r="V262" s="525" t="s">
        <v>14</v>
      </c>
      <c r="W262" s="526" t="s">
        <v>30</v>
      </c>
      <c r="X262" s="539" t="s">
        <v>69</v>
      </c>
      <c r="Y262" s="539" t="s">
        <v>70</v>
      </c>
      <c r="Z262" s="527" t="s">
        <v>71</v>
      </c>
      <c r="AA262" s="377" t="s">
        <v>72</v>
      </c>
      <c r="AB262" s="540" t="s">
        <v>59</v>
      </c>
      <c r="AC262" s="347" t="s">
        <v>59</v>
      </c>
      <c r="AD262" s="347"/>
      <c r="AE262" s="347"/>
      <c r="AF262" s="340" t="s">
        <v>59</v>
      </c>
    </row>
    <row r="263" spans="1:32" s="510" customFormat="1" x14ac:dyDescent="0.2">
      <c r="A263" s="2692"/>
      <c r="B263" s="390"/>
      <c r="C263" s="2692"/>
      <c r="D263" s="541"/>
      <c r="E263" s="542"/>
      <c r="F263" s="390"/>
      <c r="G263" s="390"/>
      <c r="H263" s="391"/>
      <c r="I263" s="542"/>
      <c r="J263" s="543"/>
      <c r="K263" s="544"/>
      <c r="L263" s="2681"/>
      <c r="M263" s="545"/>
      <c r="N263" s="545"/>
      <c r="O263" s="545" t="s">
        <v>63</v>
      </c>
      <c r="P263" s="546"/>
      <c r="Q263" s="547" t="s">
        <v>72</v>
      </c>
      <c r="R263" s="548" t="s">
        <v>59</v>
      </c>
      <c r="S263" s="549"/>
      <c r="T263" s="548" t="s">
        <v>73</v>
      </c>
      <c r="U263" s="549" t="s">
        <v>59</v>
      </c>
      <c r="V263" s="550" t="s">
        <v>59</v>
      </c>
      <c r="W263" s="551" t="s">
        <v>59</v>
      </c>
      <c r="X263" s="552" t="s">
        <v>59</v>
      </c>
      <c r="Y263" s="552" t="s">
        <v>59</v>
      </c>
      <c r="Z263" s="552" t="s">
        <v>59</v>
      </c>
      <c r="AA263" s="402"/>
      <c r="AB263" s="403"/>
      <c r="AC263" s="348"/>
      <c r="AD263" s="348"/>
      <c r="AE263" s="348"/>
      <c r="AF263" s="341"/>
    </row>
    <row r="264" spans="1:32" s="510" customFormat="1" ht="15" x14ac:dyDescent="0.25">
      <c r="A264" s="16">
        <v>1</v>
      </c>
      <c r="B264" s="287">
        <v>2056</v>
      </c>
      <c r="C264" s="15">
        <v>45</v>
      </c>
      <c r="D264" s="15" t="s">
        <v>238</v>
      </c>
      <c r="E264" s="15">
        <v>1</v>
      </c>
      <c r="F264" s="15">
        <v>2</v>
      </c>
      <c r="G264" s="15">
        <v>3</v>
      </c>
      <c r="H264" s="284">
        <v>99</v>
      </c>
      <c r="I264" s="18">
        <f>F264*400+G264*100+H264</f>
        <v>1199</v>
      </c>
      <c r="J264" s="258">
        <v>280</v>
      </c>
      <c r="K264" s="39">
        <f>SUM(I264*J264)</f>
        <v>335720</v>
      </c>
      <c r="L264" s="50"/>
      <c r="M264" s="1997"/>
      <c r="N264" s="15"/>
      <c r="O264" s="50"/>
      <c r="P264" s="15"/>
      <c r="Q264" s="62"/>
      <c r="R264" s="260"/>
      <c r="S264" s="18"/>
      <c r="T264" s="20"/>
      <c r="U264" s="47"/>
      <c r="V264" s="47"/>
      <c r="W264" s="18">
        <f>K264+V264</f>
        <v>335720</v>
      </c>
      <c r="X264" s="47">
        <f>W264</f>
        <v>335720</v>
      </c>
      <c r="Y264" s="18"/>
      <c r="Z264" s="18">
        <v>0</v>
      </c>
      <c r="AA264" s="264">
        <v>0.01</v>
      </c>
      <c r="AB264" s="853">
        <f>+Z264*AA264/100</f>
        <v>0</v>
      </c>
      <c r="AC264" s="555"/>
      <c r="AD264" s="556">
        <f>AB264-AC264</f>
        <v>0</v>
      </c>
      <c r="AE264" s="556">
        <f>IF(AD264&lt;=0,0,AD264*25/100)</f>
        <v>0</v>
      </c>
      <c r="AF264" s="556">
        <f>IF(AC264+AE264&gt;AB264,AB264,AC264+AE264)</f>
        <v>0</v>
      </c>
    </row>
    <row r="265" spans="1:32" s="510" customFormat="1" ht="15" x14ac:dyDescent="0.25">
      <c r="A265" s="50">
        <v>2</v>
      </c>
      <c r="B265" s="273">
        <v>46566</v>
      </c>
      <c r="C265" s="27">
        <v>1391</v>
      </c>
      <c r="D265" s="27" t="s">
        <v>238</v>
      </c>
      <c r="E265" s="807">
        <v>2</v>
      </c>
      <c r="F265" s="27">
        <v>0</v>
      </c>
      <c r="G265" s="27">
        <v>0</v>
      </c>
      <c r="H265" s="557">
        <v>96</v>
      </c>
      <c r="I265" s="18">
        <f>F265*400+G265*100+H265</f>
        <v>96</v>
      </c>
      <c r="J265" s="258">
        <v>2300</v>
      </c>
      <c r="K265" s="39">
        <f>SUM(I265*J265)</f>
        <v>220800</v>
      </c>
      <c r="L265" s="1999">
        <v>1</v>
      </c>
      <c r="M265" s="1445">
        <v>103</v>
      </c>
      <c r="N265" s="1999" t="s">
        <v>74</v>
      </c>
      <c r="O265" s="1445">
        <v>2</v>
      </c>
      <c r="P265" s="1999">
        <f>5*15</f>
        <v>75</v>
      </c>
      <c r="Q265" s="1446" t="s">
        <v>75</v>
      </c>
      <c r="R265" s="2003">
        <v>9050</v>
      </c>
      <c r="S265" s="2000">
        <f>P265*R265</f>
        <v>678750</v>
      </c>
      <c r="T265" s="2005">
        <v>28</v>
      </c>
      <c r="U265" s="2000">
        <f>S265*0.46</f>
        <v>312225</v>
      </c>
      <c r="V265" s="2000">
        <f>SUM(S265-U265)</f>
        <v>366525</v>
      </c>
      <c r="W265" s="18">
        <f t="shared" ref="W265:W268" si="15">K265+V265</f>
        <v>587325</v>
      </c>
      <c r="X265" s="2000">
        <f>W265</f>
        <v>587325</v>
      </c>
      <c r="Y265" s="2000" t="s">
        <v>94</v>
      </c>
      <c r="Z265" s="2000">
        <v>0</v>
      </c>
      <c r="AA265" s="2001">
        <v>0.02</v>
      </c>
      <c r="AB265" s="854">
        <f>+Z265*AA265/100</f>
        <v>0</v>
      </c>
      <c r="AC265" s="559"/>
      <c r="AD265" s="559"/>
      <c r="AE265" s="559"/>
      <c r="AF265" s="559"/>
    </row>
    <row r="266" spans="1:32" s="510" customFormat="1" ht="15" x14ac:dyDescent="0.25">
      <c r="A266" s="27">
        <v>3</v>
      </c>
      <c r="B266" s="273">
        <v>46567</v>
      </c>
      <c r="C266" s="32" t="s">
        <v>243</v>
      </c>
      <c r="D266" s="27" t="s">
        <v>238</v>
      </c>
      <c r="E266" s="27">
        <v>2</v>
      </c>
      <c r="F266" s="27">
        <v>0</v>
      </c>
      <c r="G266" s="27">
        <v>0</v>
      </c>
      <c r="H266" s="291">
        <v>95</v>
      </c>
      <c r="I266" s="47">
        <f>F266*400+G266*100+H266</f>
        <v>95</v>
      </c>
      <c r="J266" s="265">
        <v>2300</v>
      </c>
      <c r="K266" s="49">
        <f>SUM(I266*J266)</f>
        <v>218500</v>
      </c>
      <c r="L266" s="1997"/>
      <c r="M266" s="467"/>
      <c r="N266" s="1997"/>
      <c r="O266" s="467"/>
      <c r="P266" s="1997"/>
      <c r="Q266" s="1447"/>
      <c r="R266" s="2004"/>
      <c r="S266" s="1998"/>
      <c r="T266" s="2006"/>
      <c r="U266" s="1998"/>
      <c r="V266" s="1998"/>
      <c r="W266" s="18">
        <f t="shared" si="15"/>
        <v>218500</v>
      </c>
      <c r="X266" s="2000">
        <f>W266</f>
        <v>218500</v>
      </c>
      <c r="Y266" s="1998"/>
      <c r="Z266" s="1998"/>
      <c r="AA266" s="2002"/>
      <c r="AB266" s="854">
        <f>+Z266*AA266/100</f>
        <v>0</v>
      </c>
      <c r="AC266" s="559"/>
      <c r="AD266" s="559"/>
      <c r="AE266" s="559"/>
      <c r="AF266" s="559"/>
    </row>
    <row r="267" spans="1:32" s="510" customFormat="1" ht="15" x14ac:dyDescent="0.25">
      <c r="A267" s="45">
        <v>4</v>
      </c>
      <c r="B267" s="273">
        <v>2053</v>
      </c>
      <c r="C267" s="27">
        <v>563</v>
      </c>
      <c r="D267" s="27" t="s">
        <v>238</v>
      </c>
      <c r="E267" s="796">
        <v>2</v>
      </c>
      <c r="F267" s="45">
        <v>1</v>
      </c>
      <c r="G267" s="45">
        <v>0</v>
      </c>
      <c r="H267" s="27">
        <v>0</v>
      </c>
      <c r="I267" s="47">
        <f>F267*400+G267*100+H267</f>
        <v>400</v>
      </c>
      <c r="J267" s="265">
        <v>2000</v>
      </c>
      <c r="K267" s="49">
        <f>SUM(I267*J267)</f>
        <v>800000</v>
      </c>
      <c r="L267" s="45">
        <v>2</v>
      </c>
      <c r="M267" s="88">
        <v>103</v>
      </c>
      <c r="N267" s="27" t="s">
        <v>74</v>
      </c>
      <c r="O267" s="45">
        <v>2</v>
      </c>
      <c r="P267" s="27">
        <f>4*16</f>
        <v>64</v>
      </c>
      <c r="Q267" s="62" t="s">
        <v>75</v>
      </c>
      <c r="R267" s="260">
        <v>9050</v>
      </c>
      <c r="S267" s="18">
        <f>P267*R267</f>
        <v>579200</v>
      </c>
      <c r="T267" s="20">
        <v>28</v>
      </c>
      <c r="U267" s="47">
        <f>+S267*0.46</f>
        <v>266432</v>
      </c>
      <c r="V267" s="47">
        <f>SUM(S267-U267)</f>
        <v>312768</v>
      </c>
      <c r="W267" s="18">
        <f>K267+V267</f>
        <v>1112768</v>
      </c>
      <c r="X267" s="2000">
        <f>W267</f>
        <v>1112768</v>
      </c>
      <c r="Y267" s="18" t="s">
        <v>87</v>
      </c>
      <c r="Z267" s="18">
        <v>0</v>
      </c>
      <c r="AA267" s="264">
        <v>0.02</v>
      </c>
      <c r="AB267" s="854">
        <f>+Z267*AA267/100</f>
        <v>0</v>
      </c>
      <c r="AC267" s="559"/>
      <c r="AD267" s="559"/>
      <c r="AE267" s="559"/>
      <c r="AF267" s="559"/>
    </row>
    <row r="268" spans="1:32" s="510" customFormat="1" ht="15" x14ac:dyDescent="0.25">
      <c r="A268" s="269">
        <v>5</v>
      </c>
      <c r="B268" s="269">
        <v>46565</v>
      </c>
      <c r="C268" s="62" t="s">
        <v>242</v>
      </c>
      <c r="D268" s="27" t="s">
        <v>238</v>
      </c>
      <c r="E268" s="27">
        <v>2</v>
      </c>
      <c r="F268" s="291">
        <v>0</v>
      </c>
      <c r="G268" s="45">
        <v>1</v>
      </c>
      <c r="H268" s="257">
        <v>5</v>
      </c>
      <c r="I268" s="18">
        <f>F268*400+G268*100+H268</f>
        <v>105</v>
      </c>
      <c r="J268" s="258">
        <v>2300</v>
      </c>
      <c r="K268" s="39">
        <f>SUM(I268*J268)</f>
        <v>241500</v>
      </c>
      <c r="L268" s="45">
        <v>3</v>
      </c>
      <c r="M268" s="75">
        <v>103</v>
      </c>
      <c r="N268" s="45" t="s">
        <v>74</v>
      </c>
      <c r="O268" s="45">
        <v>2</v>
      </c>
      <c r="P268" s="257">
        <v>108</v>
      </c>
      <c r="Q268" s="62" t="s">
        <v>75</v>
      </c>
      <c r="R268" s="260">
        <v>9050</v>
      </c>
      <c r="S268" s="18">
        <f>P268*R268</f>
        <v>977400</v>
      </c>
      <c r="T268" s="20">
        <v>6</v>
      </c>
      <c r="U268" s="47">
        <f>+S268*0.06</f>
        <v>58644</v>
      </c>
      <c r="V268" s="47">
        <f>SUM(S268-U268)</f>
        <v>918756</v>
      </c>
      <c r="W268" s="18">
        <f t="shared" si="15"/>
        <v>1160256</v>
      </c>
      <c r="X268" s="2000">
        <f>W268</f>
        <v>1160256</v>
      </c>
      <c r="Y268" s="47"/>
      <c r="Z268" s="47">
        <f>+X268</f>
        <v>1160256</v>
      </c>
      <c r="AA268" s="264">
        <v>0.02</v>
      </c>
      <c r="AB268" s="570">
        <f>Z268*AA268/100</f>
        <v>232.05119999999999</v>
      </c>
      <c r="AC268" s="559"/>
      <c r="AD268" s="559"/>
      <c r="AE268" s="559"/>
      <c r="AF268" s="559"/>
    </row>
    <row r="269" spans="1:32" s="510" customFormat="1" x14ac:dyDescent="0.2">
      <c r="A269" s="15"/>
      <c r="B269" s="21"/>
      <c r="C269" s="21"/>
      <c r="D269" s="15"/>
      <c r="E269" s="15"/>
      <c r="F269" s="15"/>
      <c r="G269" s="15"/>
      <c r="H269" s="22"/>
      <c r="I269" s="23"/>
      <c r="J269" s="24"/>
      <c r="K269" s="23"/>
      <c r="L269" s="15"/>
      <c r="M269" s="15"/>
      <c r="N269" s="15"/>
      <c r="O269" s="15"/>
      <c r="P269" s="22"/>
      <c r="Q269" s="25"/>
      <c r="R269" s="563"/>
      <c r="S269" s="23"/>
      <c r="T269" s="26"/>
      <c r="U269" s="24"/>
      <c r="V269" s="23"/>
      <c r="W269" s="23"/>
      <c r="X269" s="564"/>
      <c r="Y269" s="564"/>
      <c r="Z269" s="565"/>
      <c r="AA269" s="565"/>
      <c r="AB269" s="566"/>
      <c r="AC269" s="559"/>
      <c r="AD269" s="559"/>
      <c r="AE269" s="559"/>
      <c r="AF269" s="559"/>
    </row>
    <row r="270" spans="1:32" s="510" customFormat="1" x14ac:dyDescent="0.2">
      <c r="A270" s="15"/>
      <c r="B270" s="21"/>
      <c r="C270" s="21"/>
      <c r="D270" s="15"/>
      <c r="E270" s="15"/>
      <c r="F270" s="15"/>
      <c r="G270" s="15"/>
      <c r="H270" s="22"/>
      <c r="I270" s="23"/>
      <c r="J270" s="24"/>
      <c r="K270" s="23"/>
      <c r="L270" s="15"/>
      <c r="M270" s="15"/>
      <c r="N270" s="15"/>
      <c r="O270" s="15"/>
      <c r="P270" s="22"/>
      <c r="Q270" s="25"/>
      <c r="R270" s="563"/>
      <c r="S270" s="23"/>
      <c r="T270" s="26"/>
      <c r="U270" s="24"/>
      <c r="V270" s="23"/>
      <c r="W270" s="23"/>
      <c r="X270" s="564"/>
      <c r="Y270" s="564"/>
      <c r="Z270" s="565"/>
      <c r="AA270" s="565"/>
      <c r="AB270" s="566"/>
      <c r="AC270" s="559"/>
      <c r="AD270" s="559"/>
      <c r="AE270" s="559"/>
      <c r="AF270" s="559"/>
    </row>
    <row r="271" spans="1:32" s="510" customFormat="1" x14ac:dyDescent="0.2">
      <c r="A271" s="15"/>
      <c r="B271" s="21"/>
      <c r="C271" s="21"/>
      <c r="D271" s="15"/>
      <c r="E271" s="15"/>
      <c r="F271" s="15"/>
      <c r="G271" s="15"/>
      <c r="H271" s="22"/>
      <c r="I271" s="23"/>
      <c r="J271" s="24"/>
      <c r="K271" s="23"/>
      <c r="L271" s="15"/>
      <c r="M271" s="15"/>
      <c r="N271" s="15"/>
      <c r="O271" s="15"/>
      <c r="P271" s="22"/>
      <c r="Q271" s="25"/>
      <c r="R271" s="563"/>
      <c r="S271" s="23"/>
      <c r="T271" s="26"/>
      <c r="U271" s="24"/>
      <c r="V271" s="23"/>
      <c r="W271" s="23"/>
      <c r="X271" s="564"/>
      <c r="Y271" s="564"/>
      <c r="Z271" s="565"/>
      <c r="AA271" s="565"/>
      <c r="AB271" s="566"/>
      <c r="AC271" s="559"/>
      <c r="AD271" s="559"/>
      <c r="AE271" s="559"/>
      <c r="AF271" s="559"/>
    </row>
    <row r="272" spans="1:32" s="510" customFormat="1" x14ac:dyDescent="0.2">
      <c r="A272" s="15"/>
      <c r="B272" s="21"/>
      <c r="C272" s="21"/>
      <c r="D272" s="15"/>
      <c r="E272" s="15"/>
      <c r="F272" s="15"/>
      <c r="G272" s="15"/>
      <c r="H272" s="22"/>
      <c r="I272" s="23"/>
      <c r="J272" s="24"/>
      <c r="K272" s="23"/>
      <c r="L272" s="15"/>
      <c r="M272" s="15"/>
      <c r="N272" s="15"/>
      <c r="O272" s="15"/>
      <c r="P272" s="22"/>
      <c r="Q272" s="25"/>
      <c r="R272" s="563"/>
      <c r="S272" s="23"/>
      <c r="T272" s="26"/>
      <c r="U272" s="24"/>
      <c r="V272" s="23"/>
      <c r="W272" s="23"/>
      <c r="X272" s="564"/>
      <c r="Y272" s="564"/>
      <c r="Z272" s="565"/>
      <c r="AA272" s="565"/>
      <c r="AB272" s="566"/>
      <c r="AC272" s="559"/>
      <c r="AD272" s="559"/>
      <c r="AE272" s="559"/>
      <c r="AF272" s="559"/>
    </row>
    <row r="273" spans="1:32" s="510" customFormat="1" x14ac:dyDescent="0.2">
      <c r="A273" s="15"/>
      <c r="B273" s="21"/>
      <c r="C273" s="21"/>
      <c r="D273" s="15"/>
      <c r="E273" s="15"/>
      <c r="F273" s="15"/>
      <c r="G273" s="15"/>
      <c r="H273" s="22"/>
      <c r="I273" s="23"/>
      <c r="J273" s="24"/>
      <c r="K273" s="23"/>
      <c r="L273" s="15"/>
      <c r="M273" s="15"/>
      <c r="N273" s="15"/>
      <c r="O273" s="15"/>
      <c r="P273" s="22"/>
      <c r="Q273" s="25"/>
      <c r="R273" s="563"/>
      <c r="S273" s="23"/>
      <c r="T273" s="26"/>
      <c r="U273" s="24"/>
      <c r="V273" s="23"/>
      <c r="W273" s="23"/>
      <c r="X273" s="564"/>
      <c r="Y273" s="564"/>
      <c r="Z273" s="565"/>
      <c r="AA273" s="565"/>
      <c r="AB273" s="566"/>
      <c r="AC273" s="559"/>
      <c r="AD273" s="559"/>
      <c r="AE273" s="559"/>
      <c r="AF273" s="559"/>
    </row>
    <row r="274" spans="1:32" s="510" customFormat="1" x14ac:dyDescent="0.2">
      <c r="A274" s="15"/>
      <c r="B274" s="21"/>
      <c r="C274" s="21"/>
      <c r="D274" s="15"/>
      <c r="E274" s="15"/>
      <c r="F274" s="15"/>
      <c r="G274" s="15"/>
      <c r="H274" s="22"/>
      <c r="I274" s="23"/>
      <c r="J274" s="24"/>
      <c r="K274" s="23"/>
      <c r="L274" s="15"/>
      <c r="M274" s="15"/>
      <c r="N274" s="15"/>
      <c r="O274" s="15"/>
      <c r="P274" s="22"/>
      <c r="Q274" s="25"/>
      <c r="R274" s="563"/>
      <c r="S274" s="23"/>
      <c r="T274" s="26"/>
      <c r="U274" s="24"/>
      <c r="V274" s="23"/>
      <c r="W274" s="23"/>
      <c r="X274" s="564"/>
      <c r="Y274" s="564"/>
      <c r="Z274" s="565"/>
      <c r="AA274" s="565"/>
      <c r="AB274" s="566"/>
      <c r="AC274" s="559"/>
      <c r="AD274" s="559"/>
      <c r="AE274" s="559"/>
      <c r="AF274" s="559"/>
    </row>
    <row r="275" spans="1:32" s="510" customFormat="1" x14ac:dyDescent="0.2">
      <c r="A275" s="15"/>
      <c r="B275" s="21"/>
      <c r="C275" s="21"/>
      <c r="D275" s="15"/>
      <c r="E275" s="15"/>
      <c r="F275" s="15"/>
      <c r="G275" s="15"/>
      <c r="H275" s="22"/>
      <c r="I275" s="23"/>
      <c r="J275" s="24"/>
      <c r="K275" s="23"/>
      <c r="L275" s="15"/>
      <c r="M275" s="15"/>
      <c r="N275" s="15"/>
      <c r="O275" s="15"/>
      <c r="P275" s="22"/>
      <c r="Q275" s="25"/>
      <c r="R275" s="563"/>
      <c r="S275" s="23"/>
      <c r="T275" s="26"/>
      <c r="U275" s="24"/>
      <c r="V275" s="23"/>
      <c r="W275" s="23"/>
      <c r="X275" s="564"/>
      <c r="Y275" s="564"/>
      <c r="Z275" s="565"/>
      <c r="AA275" s="565"/>
      <c r="AB275" s="566"/>
      <c r="AC275" s="559"/>
      <c r="AD275" s="559"/>
      <c r="AE275" s="559"/>
      <c r="AF275" s="559"/>
    </row>
    <row r="276" spans="1:32" s="510" customFormat="1" x14ac:dyDescent="0.2">
      <c r="A276" s="15"/>
      <c r="B276" s="21"/>
      <c r="C276" s="21"/>
      <c r="D276" s="15"/>
      <c r="E276" s="15"/>
      <c r="F276" s="15"/>
      <c r="G276" s="15"/>
      <c r="H276" s="22"/>
      <c r="I276" s="23"/>
      <c r="J276" s="24"/>
      <c r="K276" s="23"/>
      <c r="L276" s="15"/>
      <c r="M276" s="15"/>
      <c r="N276" s="15"/>
      <c r="O276" s="15"/>
      <c r="P276" s="22"/>
      <c r="Q276" s="25"/>
      <c r="R276" s="563"/>
      <c r="S276" s="23"/>
      <c r="T276" s="26"/>
      <c r="U276" s="24"/>
      <c r="V276" s="23"/>
      <c r="W276" s="23"/>
      <c r="X276" s="564"/>
      <c r="Y276" s="564"/>
      <c r="Z276" s="565"/>
      <c r="AA276" s="565"/>
      <c r="AB276" s="566"/>
      <c r="AC276" s="559"/>
      <c r="AD276" s="559"/>
      <c r="AE276" s="559"/>
      <c r="AF276" s="559"/>
    </row>
    <row r="277" spans="1:32" s="510" customFormat="1" x14ac:dyDescent="0.2">
      <c r="A277" s="15"/>
      <c r="B277" s="21"/>
      <c r="C277" s="21"/>
      <c r="D277" s="15"/>
      <c r="E277" s="15"/>
      <c r="F277" s="15"/>
      <c r="G277" s="15"/>
      <c r="H277" s="22"/>
      <c r="I277" s="23"/>
      <c r="J277" s="24"/>
      <c r="K277" s="23"/>
      <c r="L277" s="15"/>
      <c r="M277" s="15"/>
      <c r="N277" s="15"/>
      <c r="O277" s="15"/>
      <c r="P277" s="22"/>
      <c r="Q277" s="25"/>
      <c r="R277" s="563"/>
      <c r="S277" s="23"/>
      <c r="T277" s="26"/>
      <c r="U277" s="24"/>
      <c r="V277" s="23"/>
      <c r="W277" s="23"/>
      <c r="X277" s="564"/>
      <c r="Y277" s="564"/>
      <c r="Z277" s="565"/>
      <c r="AA277" s="565"/>
      <c r="AB277" s="566"/>
      <c r="AC277" s="559"/>
      <c r="AD277" s="559"/>
      <c r="AE277" s="559"/>
      <c r="AF277" s="559"/>
    </row>
    <row r="278" spans="1:32" s="510" customFormat="1" x14ac:dyDescent="0.2">
      <c r="A278" s="15"/>
      <c r="B278" s="21"/>
      <c r="C278" s="21"/>
      <c r="D278" s="15"/>
      <c r="E278" s="15"/>
      <c r="F278" s="15"/>
      <c r="G278" s="15"/>
      <c r="H278" s="22"/>
      <c r="I278" s="23"/>
      <c r="J278" s="24"/>
      <c r="K278" s="23"/>
      <c r="L278" s="15"/>
      <c r="M278" s="15"/>
      <c r="N278" s="15"/>
      <c r="O278" s="15"/>
      <c r="P278" s="22"/>
      <c r="Q278" s="25"/>
      <c r="R278" s="563"/>
      <c r="S278" s="23"/>
      <c r="T278" s="26"/>
      <c r="U278" s="24"/>
      <c r="V278" s="23"/>
      <c r="W278" s="23"/>
      <c r="X278" s="564"/>
      <c r="Y278" s="564"/>
      <c r="Z278" s="565"/>
      <c r="AA278" s="565"/>
      <c r="AB278" s="566"/>
      <c r="AC278" s="559"/>
      <c r="AD278" s="559"/>
      <c r="AE278" s="559"/>
      <c r="AF278" s="559"/>
    </row>
    <row r="279" spans="1:32" s="510" customFormat="1" x14ac:dyDescent="0.2">
      <c r="A279" s="15"/>
      <c r="B279" s="21"/>
      <c r="C279" s="21"/>
      <c r="D279" s="15"/>
      <c r="E279" s="15"/>
      <c r="F279" s="15"/>
      <c r="G279" s="15"/>
      <c r="H279" s="22"/>
      <c r="I279" s="23"/>
      <c r="J279" s="24"/>
      <c r="K279" s="23"/>
      <c r="L279" s="15"/>
      <c r="M279" s="15"/>
      <c r="N279" s="15"/>
      <c r="O279" s="15"/>
      <c r="P279" s="22"/>
      <c r="Q279" s="25"/>
      <c r="R279" s="563"/>
      <c r="S279" s="23"/>
      <c r="T279" s="26"/>
      <c r="U279" s="24"/>
      <c r="V279" s="23"/>
      <c r="W279" s="23"/>
      <c r="X279" s="564"/>
      <c r="Y279" s="564"/>
      <c r="Z279" s="565"/>
      <c r="AA279" s="565"/>
      <c r="AB279" s="566"/>
      <c r="AC279" s="559"/>
      <c r="AD279" s="559"/>
      <c r="AE279" s="559"/>
      <c r="AF279" s="559"/>
    </row>
    <row r="280" spans="1:32" s="510" customFormat="1" x14ac:dyDescent="0.2">
      <c r="A280" s="27"/>
      <c r="B280" s="28"/>
      <c r="C280" s="28"/>
      <c r="D280" s="27"/>
      <c r="E280" s="27"/>
      <c r="F280" s="27"/>
      <c r="G280" s="27"/>
      <c r="H280" s="29"/>
      <c r="I280" s="30"/>
      <c r="J280" s="31"/>
      <c r="K280" s="30"/>
      <c r="L280" s="27" t="s">
        <v>90</v>
      </c>
      <c r="M280" s="27"/>
      <c r="N280" s="27"/>
      <c r="O280" s="27"/>
      <c r="P280" s="27"/>
      <c r="Q280" s="32"/>
      <c r="R280" s="567"/>
      <c r="S280" s="30"/>
      <c r="T280" s="33"/>
      <c r="U280" s="31"/>
      <c r="V280" s="30"/>
      <c r="W280" s="30"/>
      <c r="X280" s="568"/>
      <c r="Y280" s="568"/>
      <c r="Z280" s="569"/>
      <c r="AA280" s="569"/>
      <c r="AB280" s="570"/>
      <c r="AC280" s="571"/>
      <c r="AD280" s="571"/>
      <c r="AE280" s="571"/>
      <c r="AF280" s="571"/>
    </row>
    <row r="281" spans="1:32" s="510" customFormat="1" ht="15" x14ac:dyDescent="0.25">
      <c r="A281" s="2027"/>
      <c r="B281" s="2027"/>
      <c r="C281" s="2027"/>
      <c r="D281" s="2027"/>
      <c r="E281" s="2027"/>
      <c r="F281" s="2027"/>
      <c r="G281" s="2027"/>
      <c r="H281" s="2028"/>
      <c r="I281" s="2029"/>
      <c r="J281" s="2030"/>
      <c r="K281" s="2029"/>
      <c r="L281" s="2029"/>
      <c r="M281" s="2029"/>
      <c r="N281" s="2029"/>
      <c r="O281" s="2029"/>
      <c r="P281" s="2029"/>
      <c r="Q281" s="2029"/>
      <c r="R281" s="2031"/>
      <c r="S281" s="2029"/>
      <c r="T281" s="2032"/>
      <c r="U281" s="2030"/>
      <c r="V281" s="2029"/>
      <c r="W281" s="2029"/>
      <c r="X281" s="2033"/>
      <c r="Y281" s="2033"/>
      <c r="Z281" s="2034"/>
      <c r="AA281" s="2034"/>
      <c r="AB281" s="2035">
        <f>SUM(AB264:AB280)</f>
        <v>232.05119999999999</v>
      </c>
      <c r="AC281" s="2036"/>
      <c r="AD281" s="2036"/>
      <c r="AE281" s="2036"/>
      <c r="AF281" s="2036"/>
    </row>
    <row r="282" spans="1:32" s="510" customFormat="1" ht="15.75" x14ac:dyDescent="0.25">
      <c r="A282" s="2820" t="s">
        <v>76</v>
      </c>
      <c r="B282" s="2820"/>
      <c r="C282" s="2821" t="s">
        <v>77</v>
      </c>
      <c r="D282" s="2821"/>
      <c r="E282" s="2821"/>
      <c r="F282" s="2821"/>
      <c r="G282" s="2821"/>
      <c r="H282" s="2821"/>
      <c r="I282" s="577" t="s">
        <v>78</v>
      </c>
      <c r="J282" s="577"/>
      <c r="K282" s="577"/>
      <c r="L282" s="577"/>
      <c r="M282" s="577"/>
      <c r="N282" s="577"/>
      <c r="AB282" s="578"/>
    </row>
    <row r="283" spans="1:32" s="510" customFormat="1" ht="15.75" x14ac:dyDescent="0.25">
      <c r="A283" s="577"/>
      <c r="B283" s="579"/>
      <c r="C283" s="577"/>
      <c r="D283" s="577"/>
      <c r="E283" s="577"/>
      <c r="F283" s="577"/>
      <c r="G283" s="577"/>
      <c r="H283" s="577"/>
      <c r="I283" s="577" t="s">
        <v>79</v>
      </c>
      <c r="J283" s="577"/>
      <c r="K283" s="577"/>
      <c r="L283" s="577"/>
      <c r="M283" s="577"/>
      <c r="N283" s="577"/>
      <c r="AB283" s="578"/>
    </row>
    <row r="284" spans="1:32" s="510" customFormat="1" ht="15.75" x14ac:dyDescent="0.25">
      <c r="A284" s="577"/>
      <c r="B284" s="579"/>
      <c r="C284" s="577"/>
      <c r="D284" s="577"/>
      <c r="E284" s="577"/>
      <c r="F284" s="577"/>
      <c r="G284" s="577"/>
      <c r="H284" s="577"/>
      <c r="I284" s="577" t="s">
        <v>80</v>
      </c>
      <c r="J284" s="577"/>
      <c r="K284" s="577"/>
      <c r="L284" s="577"/>
      <c r="M284" s="577"/>
      <c r="N284" s="577"/>
      <c r="AB284" s="578"/>
    </row>
    <row r="285" spans="1:32" s="510" customFormat="1" ht="15.75" x14ac:dyDescent="0.25">
      <c r="A285" s="577"/>
      <c r="B285" s="579"/>
      <c r="C285" s="577"/>
      <c r="D285" s="577"/>
      <c r="E285" s="577"/>
      <c r="F285" s="577"/>
      <c r="G285" s="577"/>
      <c r="H285" s="577"/>
      <c r="I285" s="577" t="s">
        <v>81</v>
      </c>
      <c r="J285" s="577"/>
      <c r="K285" s="577"/>
      <c r="L285" s="577"/>
      <c r="M285" s="577"/>
      <c r="N285" s="577"/>
      <c r="AB285" s="578"/>
    </row>
    <row r="286" spans="1:32" s="510" customFormat="1" ht="15.75" x14ac:dyDescent="0.25">
      <c r="A286" s="577"/>
      <c r="B286" s="579"/>
      <c r="C286" s="577"/>
      <c r="D286" s="577"/>
      <c r="E286" s="577"/>
      <c r="F286" s="577"/>
      <c r="G286" s="577"/>
      <c r="H286" s="577"/>
      <c r="I286" s="577" t="s">
        <v>88</v>
      </c>
      <c r="J286" s="577"/>
      <c r="K286" s="577"/>
      <c r="L286" s="577"/>
      <c r="M286" s="577"/>
      <c r="N286" s="577"/>
      <c r="AB286" s="578"/>
    </row>
    <row r="287" spans="1:32" s="510" customFormat="1" ht="18.75" x14ac:dyDescent="0.2">
      <c r="A287" s="338"/>
      <c r="B287" s="338"/>
      <c r="C287" s="338"/>
      <c r="D287" s="338"/>
      <c r="E287" s="338"/>
      <c r="F287" s="338"/>
      <c r="G287" s="338"/>
      <c r="H287" s="338"/>
      <c r="I287" s="338"/>
      <c r="J287" s="338"/>
      <c r="K287" s="338"/>
      <c r="L287" s="338"/>
      <c r="M287" s="338"/>
      <c r="N287" s="338"/>
      <c r="O287" s="338"/>
      <c r="P287" s="338"/>
      <c r="Q287" s="338"/>
      <c r="R287" s="338"/>
      <c r="S287" s="338"/>
      <c r="T287" s="338"/>
      <c r="U287" s="338"/>
      <c r="V287" s="338"/>
      <c r="W287" s="338"/>
      <c r="X287" s="338"/>
      <c r="Y287" s="338"/>
      <c r="Z287" s="338"/>
      <c r="AA287" s="2774" t="s">
        <v>0</v>
      </c>
      <c r="AB287" s="2774"/>
      <c r="AC287" s="338"/>
      <c r="AD287" s="338"/>
      <c r="AE287" s="338"/>
      <c r="AF287" s="338"/>
    </row>
    <row r="288" spans="1:32" s="510" customFormat="1" ht="18.75" x14ac:dyDescent="0.2">
      <c r="A288" s="2703" t="s">
        <v>1</v>
      </c>
      <c r="B288" s="2703"/>
      <c r="C288" s="2703"/>
      <c r="D288" s="2703"/>
      <c r="E288" s="2703"/>
      <c r="F288" s="2703"/>
      <c r="G288" s="2703"/>
      <c r="H288" s="2703"/>
      <c r="I288" s="2703"/>
      <c r="J288" s="2703"/>
      <c r="K288" s="2703"/>
      <c r="L288" s="2703"/>
      <c r="M288" s="2703"/>
      <c r="N288" s="2703"/>
      <c r="O288" s="2703"/>
      <c r="P288" s="2703"/>
      <c r="Q288" s="2703"/>
      <c r="R288" s="2703"/>
      <c r="S288" s="2703"/>
      <c r="T288" s="2703"/>
      <c r="U288" s="2703"/>
      <c r="V288" s="2703"/>
      <c r="W288" s="2703"/>
      <c r="X288" s="2703"/>
      <c r="Y288" s="2703"/>
      <c r="Z288" s="2703"/>
      <c r="AA288" s="2703"/>
      <c r="AB288" s="2703"/>
      <c r="AC288" s="344"/>
      <c r="AD288" s="344"/>
      <c r="AE288" s="344"/>
      <c r="AF288" s="344"/>
    </row>
    <row r="289" spans="1:32" s="510" customFormat="1" ht="21" x14ac:dyDescent="0.2">
      <c r="A289" s="2780" t="s">
        <v>527</v>
      </c>
      <c r="B289" s="2780"/>
      <c r="C289" s="2780"/>
      <c r="D289" s="2780"/>
      <c r="E289" s="2780"/>
      <c r="F289" s="2780"/>
      <c r="G289" s="2780"/>
      <c r="H289" s="2780"/>
      <c r="I289" s="2780"/>
      <c r="J289" s="2780"/>
      <c r="K289" s="2780"/>
      <c r="L289" s="2780"/>
      <c r="M289" s="2780"/>
      <c r="N289" s="2780"/>
      <c r="O289" s="2780"/>
      <c r="P289" s="2780"/>
      <c r="Q289" s="2780"/>
      <c r="R289" s="2780"/>
      <c r="S289" s="2780"/>
      <c r="T289" s="2780"/>
      <c r="U289" s="2780"/>
      <c r="V289" s="2780"/>
      <c r="W289" s="2780"/>
      <c r="X289" s="2780"/>
      <c r="Y289" s="2780"/>
      <c r="Z289" s="2780"/>
      <c r="AA289" s="2780"/>
      <c r="AB289" s="2780"/>
      <c r="AC289" s="345"/>
      <c r="AD289" s="345"/>
      <c r="AE289" s="345"/>
      <c r="AF289" s="345"/>
    </row>
    <row r="290" spans="1:32" s="510" customFormat="1" ht="15" x14ac:dyDescent="0.25">
      <c r="A290" s="2686" t="s">
        <v>2</v>
      </c>
      <c r="B290" s="511"/>
      <c r="C290" s="2686" t="s">
        <v>3</v>
      </c>
      <c r="D290" s="511"/>
      <c r="E290" s="511"/>
      <c r="F290" s="2693" t="s">
        <v>4</v>
      </c>
      <c r="G290" s="2693"/>
      <c r="H290" s="2693"/>
      <c r="I290" s="2694"/>
      <c r="J290" s="2694"/>
      <c r="K290" s="2695"/>
      <c r="L290" s="361"/>
      <c r="M290" s="2679" t="s">
        <v>5</v>
      </c>
      <c r="N290" s="2679"/>
      <c r="O290" s="2679"/>
      <c r="P290" s="2679"/>
      <c r="Q290" s="2696"/>
      <c r="R290" s="2696"/>
      <c r="S290" s="2696"/>
      <c r="T290" s="2696"/>
      <c r="U290" s="2696"/>
      <c r="V290" s="2697"/>
      <c r="W290" s="512" t="s">
        <v>6</v>
      </c>
      <c r="X290" s="513" t="s">
        <v>7</v>
      </c>
      <c r="Y290" s="514"/>
      <c r="Z290" s="514"/>
      <c r="AA290" s="513"/>
      <c r="AB290" s="515"/>
      <c r="AC290" s="516" t="s">
        <v>8</v>
      </c>
      <c r="AD290" s="346"/>
      <c r="AE290" s="346"/>
      <c r="AF290" s="517"/>
    </row>
    <row r="291" spans="1:32" s="510" customFormat="1" x14ac:dyDescent="0.2">
      <c r="A291" s="2687"/>
      <c r="B291" s="367"/>
      <c r="C291" s="2687"/>
      <c r="D291" s="518" t="s">
        <v>9</v>
      </c>
      <c r="E291" s="519" t="s">
        <v>10</v>
      </c>
      <c r="F291" s="2698" t="s">
        <v>11</v>
      </c>
      <c r="G291" s="2694"/>
      <c r="H291" s="2695"/>
      <c r="I291" s="511"/>
      <c r="J291" s="520" t="s">
        <v>12</v>
      </c>
      <c r="K291" s="511"/>
      <c r="L291" s="2679" t="s">
        <v>2</v>
      </c>
      <c r="M291" s="521"/>
      <c r="N291" s="521"/>
      <c r="O291" s="521"/>
      <c r="P291" s="522"/>
      <c r="Q291" s="523" t="s">
        <v>13</v>
      </c>
      <c r="R291" s="524" t="s">
        <v>12</v>
      </c>
      <c r="S291" s="521" t="s">
        <v>6</v>
      </c>
      <c r="T291" s="2682" t="s">
        <v>14</v>
      </c>
      <c r="U291" s="2683"/>
      <c r="V291" s="525" t="s">
        <v>7</v>
      </c>
      <c r="W291" s="526" t="s">
        <v>15</v>
      </c>
      <c r="X291" s="527" t="s">
        <v>16</v>
      </c>
      <c r="Y291" s="527" t="s">
        <v>17</v>
      </c>
      <c r="Z291" s="527" t="s">
        <v>18</v>
      </c>
      <c r="AA291" s="377"/>
      <c r="AB291" s="378" t="s">
        <v>19</v>
      </c>
      <c r="AC291" s="528" t="s">
        <v>20</v>
      </c>
      <c r="AD291" s="529"/>
      <c r="AE291" s="347" t="s">
        <v>21</v>
      </c>
      <c r="AF291" s="340" t="s">
        <v>22</v>
      </c>
    </row>
    <row r="292" spans="1:32" s="510" customFormat="1" x14ac:dyDescent="0.2">
      <c r="A292" s="2687"/>
      <c r="B292" s="1996" t="s">
        <v>23</v>
      </c>
      <c r="C292" s="2687"/>
      <c r="D292" s="518" t="s">
        <v>24</v>
      </c>
      <c r="E292" s="519" t="s">
        <v>25</v>
      </c>
      <c r="F292" s="2699"/>
      <c r="G292" s="2700"/>
      <c r="H292" s="2701"/>
      <c r="I292" s="518" t="s">
        <v>26</v>
      </c>
      <c r="J292" s="530" t="s">
        <v>15</v>
      </c>
      <c r="K292" s="531" t="s">
        <v>6</v>
      </c>
      <c r="L292" s="2680"/>
      <c r="M292" s="532" t="s">
        <v>27</v>
      </c>
      <c r="N292" s="532" t="s">
        <v>10</v>
      </c>
      <c r="O292" s="533" t="s">
        <v>10</v>
      </c>
      <c r="P292" s="534" t="s">
        <v>28</v>
      </c>
      <c r="Q292" s="535" t="s">
        <v>29</v>
      </c>
      <c r="R292" s="534" t="s">
        <v>15</v>
      </c>
      <c r="S292" s="385" t="s">
        <v>15</v>
      </c>
      <c r="T292" s="2684"/>
      <c r="U292" s="2685"/>
      <c r="V292" s="525" t="s">
        <v>30</v>
      </c>
      <c r="W292" s="526" t="s">
        <v>31</v>
      </c>
      <c r="X292" s="527" t="s">
        <v>30</v>
      </c>
      <c r="Y292" s="527" t="s">
        <v>32</v>
      </c>
      <c r="Z292" s="527" t="s">
        <v>7</v>
      </c>
      <c r="AA292" s="377" t="s">
        <v>33</v>
      </c>
      <c r="AB292" s="378" t="s">
        <v>34</v>
      </c>
      <c r="AC292" s="528" t="s">
        <v>35</v>
      </c>
      <c r="AD292" s="347" t="s">
        <v>36</v>
      </c>
      <c r="AE292" s="347" t="s">
        <v>37</v>
      </c>
      <c r="AF292" s="340" t="s">
        <v>38</v>
      </c>
    </row>
    <row r="293" spans="1:32" s="510" customFormat="1" x14ac:dyDescent="0.2">
      <c r="A293" s="2687"/>
      <c r="B293" s="1996" t="s">
        <v>39</v>
      </c>
      <c r="C293" s="2687"/>
      <c r="D293" s="518" t="s">
        <v>40</v>
      </c>
      <c r="E293" s="519" t="s">
        <v>41</v>
      </c>
      <c r="F293" s="2686" t="s">
        <v>42</v>
      </c>
      <c r="G293" s="2686" t="s">
        <v>43</v>
      </c>
      <c r="H293" s="2688" t="s">
        <v>44</v>
      </c>
      <c r="I293" s="518" t="s">
        <v>45</v>
      </c>
      <c r="J293" s="530" t="s">
        <v>46</v>
      </c>
      <c r="K293" s="531" t="s">
        <v>47</v>
      </c>
      <c r="L293" s="2680"/>
      <c r="M293" s="532" t="s">
        <v>30</v>
      </c>
      <c r="N293" s="532" t="s">
        <v>30</v>
      </c>
      <c r="O293" s="533" t="s">
        <v>25</v>
      </c>
      <c r="P293" s="534" t="s">
        <v>30</v>
      </c>
      <c r="Q293" s="535" t="s">
        <v>48</v>
      </c>
      <c r="R293" s="534" t="s">
        <v>49</v>
      </c>
      <c r="S293" s="385" t="s">
        <v>30</v>
      </c>
      <c r="T293" s="536" t="s">
        <v>50</v>
      </c>
      <c r="U293" s="537" t="s">
        <v>13</v>
      </c>
      <c r="V293" s="525" t="s">
        <v>51</v>
      </c>
      <c r="W293" s="526" t="s">
        <v>52</v>
      </c>
      <c r="X293" s="527" t="s">
        <v>53</v>
      </c>
      <c r="Y293" s="527" t="s">
        <v>54</v>
      </c>
      <c r="Z293" s="527" t="s">
        <v>55</v>
      </c>
      <c r="AA293" s="377" t="s">
        <v>56</v>
      </c>
      <c r="AB293" s="378" t="s">
        <v>57</v>
      </c>
      <c r="AC293" s="347" t="s">
        <v>58</v>
      </c>
      <c r="AD293" s="347" t="s">
        <v>59</v>
      </c>
      <c r="AE293" s="347" t="s">
        <v>59</v>
      </c>
      <c r="AF293" s="340" t="s">
        <v>60</v>
      </c>
    </row>
    <row r="294" spans="1:32" s="510" customFormat="1" ht="15" x14ac:dyDescent="0.25">
      <c r="A294" s="2687"/>
      <c r="B294" s="1996" t="s">
        <v>61</v>
      </c>
      <c r="C294" s="2687"/>
      <c r="D294" s="518" t="s">
        <v>62</v>
      </c>
      <c r="E294" s="519" t="s">
        <v>63</v>
      </c>
      <c r="F294" s="2687"/>
      <c r="G294" s="2687"/>
      <c r="H294" s="2689"/>
      <c r="I294" s="518" t="s">
        <v>64</v>
      </c>
      <c r="J294" s="530" t="s">
        <v>59</v>
      </c>
      <c r="K294" s="531" t="s">
        <v>59</v>
      </c>
      <c r="L294" s="2680"/>
      <c r="M294" s="532"/>
      <c r="N294" s="532"/>
      <c r="O294" s="533" t="s">
        <v>41</v>
      </c>
      <c r="P294" s="534" t="s">
        <v>65</v>
      </c>
      <c r="Q294" s="535" t="s">
        <v>66</v>
      </c>
      <c r="R294" s="534" t="s">
        <v>67</v>
      </c>
      <c r="S294" s="385" t="s">
        <v>59</v>
      </c>
      <c r="T294" s="538" t="s">
        <v>68</v>
      </c>
      <c r="U294" s="525" t="s">
        <v>14</v>
      </c>
      <c r="V294" s="525" t="s">
        <v>14</v>
      </c>
      <c r="W294" s="526" t="s">
        <v>30</v>
      </c>
      <c r="X294" s="539" t="s">
        <v>69</v>
      </c>
      <c r="Y294" s="539" t="s">
        <v>70</v>
      </c>
      <c r="Z294" s="527" t="s">
        <v>71</v>
      </c>
      <c r="AA294" s="377" t="s">
        <v>72</v>
      </c>
      <c r="AB294" s="540" t="s">
        <v>59</v>
      </c>
      <c r="AC294" s="347" t="s">
        <v>59</v>
      </c>
      <c r="AD294" s="347"/>
      <c r="AE294" s="347"/>
      <c r="AF294" s="340" t="s">
        <v>59</v>
      </c>
    </row>
    <row r="295" spans="1:32" s="510" customFormat="1" x14ac:dyDescent="0.2">
      <c r="A295" s="2692"/>
      <c r="B295" s="390"/>
      <c r="C295" s="2692"/>
      <c r="D295" s="541"/>
      <c r="E295" s="542"/>
      <c r="F295" s="390"/>
      <c r="G295" s="390"/>
      <c r="H295" s="391"/>
      <c r="I295" s="542"/>
      <c r="J295" s="543"/>
      <c r="K295" s="544"/>
      <c r="L295" s="2681"/>
      <c r="M295" s="545"/>
      <c r="N295" s="545"/>
      <c r="O295" s="545" t="s">
        <v>63</v>
      </c>
      <c r="P295" s="546"/>
      <c r="Q295" s="547" t="s">
        <v>72</v>
      </c>
      <c r="R295" s="548" t="s">
        <v>59</v>
      </c>
      <c r="S295" s="549"/>
      <c r="T295" s="548" t="s">
        <v>73</v>
      </c>
      <c r="U295" s="549" t="s">
        <v>59</v>
      </c>
      <c r="V295" s="550" t="s">
        <v>59</v>
      </c>
      <c r="W295" s="551" t="s">
        <v>59</v>
      </c>
      <c r="X295" s="552" t="s">
        <v>59</v>
      </c>
      <c r="Y295" s="552" t="s">
        <v>59</v>
      </c>
      <c r="Z295" s="552" t="s">
        <v>59</v>
      </c>
      <c r="AA295" s="402"/>
      <c r="AB295" s="403"/>
      <c r="AC295" s="348"/>
      <c r="AD295" s="348"/>
      <c r="AE295" s="348"/>
      <c r="AF295" s="341"/>
    </row>
    <row r="296" spans="1:32" s="510" customFormat="1" ht="15" x14ac:dyDescent="0.25">
      <c r="A296" s="41">
        <v>1</v>
      </c>
      <c r="B296" s="287">
        <v>51125</v>
      </c>
      <c r="C296" s="15">
        <v>2630</v>
      </c>
      <c r="D296" s="15" t="s">
        <v>238</v>
      </c>
      <c r="E296" s="15">
        <v>1</v>
      </c>
      <c r="F296" s="15">
        <v>1</v>
      </c>
      <c r="G296" s="15">
        <v>0</v>
      </c>
      <c r="H296" s="284">
        <v>0</v>
      </c>
      <c r="I296" s="18">
        <f>F296*400+G296*100+H296</f>
        <v>400</v>
      </c>
      <c r="J296" s="23">
        <v>1600</v>
      </c>
      <c r="K296" s="39">
        <f>SUM(I296*J296)</f>
        <v>640000</v>
      </c>
      <c r="L296" s="50"/>
      <c r="M296" s="1997"/>
      <c r="N296" s="15"/>
      <c r="O296" s="294"/>
      <c r="P296" s="15"/>
      <c r="Q296" s="25"/>
      <c r="R296" s="290"/>
      <c r="S296" s="39"/>
      <c r="T296" s="15"/>
      <c r="U296" s="23"/>
      <c r="V296" s="18"/>
      <c r="W296" s="30">
        <f>K296+V296</f>
        <v>640000</v>
      </c>
      <c r="X296" s="23">
        <f>W296</f>
        <v>640000</v>
      </c>
      <c r="Y296" s="23" t="s">
        <v>87</v>
      </c>
      <c r="Z296" s="23">
        <v>0</v>
      </c>
      <c r="AA296" s="264">
        <v>0.01</v>
      </c>
      <c r="AB296" s="853">
        <f>(Z296*AA296)</f>
        <v>0</v>
      </c>
      <c r="AC296" s="555"/>
      <c r="AD296" s="556">
        <f>AB296-AC296</f>
        <v>0</v>
      </c>
      <c r="AE296" s="556">
        <f>IF(AD296&lt;=0,0,AD296*25/100)</f>
        <v>0</v>
      </c>
      <c r="AF296" s="556">
        <f>IF(AC296+AE296&gt;AB296,AB296,AC296+AE296)</f>
        <v>0</v>
      </c>
    </row>
    <row r="297" spans="1:32" s="510" customFormat="1" x14ac:dyDescent="0.2">
      <c r="A297" s="15">
        <v>2</v>
      </c>
      <c r="B297" s="15">
        <v>28010</v>
      </c>
      <c r="C297" s="15">
        <v>1316</v>
      </c>
      <c r="D297" s="15" t="s">
        <v>238</v>
      </c>
      <c r="E297" s="15">
        <v>2</v>
      </c>
      <c r="F297" s="15">
        <v>0</v>
      </c>
      <c r="G297" s="15">
        <v>1</v>
      </c>
      <c r="H297" s="284">
        <v>20</v>
      </c>
      <c r="I297" s="18">
        <f>F297*400+G297*100+H297</f>
        <v>120</v>
      </c>
      <c r="J297" s="23">
        <v>1750</v>
      </c>
      <c r="K297" s="39">
        <f>SUM(I297*J297)</f>
        <v>210000</v>
      </c>
      <c r="L297" s="2810">
        <v>1</v>
      </c>
      <c r="M297" s="2810">
        <v>103</v>
      </c>
      <c r="N297" s="2810" t="s">
        <v>74</v>
      </c>
      <c r="O297" s="2810">
        <v>2</v>
      </c>
      <c r="P297" s="2823">
        <v>23</v>
      </c>
      <c r="Q297" s="2811" t="s">
        <v>75</v>
      </c>
      <c r="R297" s="2828">
        <v>9050</v>
      </c>
      <c r="S297" s="2825">
        <f>+P297*R297</f>
        <v>208150</v>
      </c>
      <c r="T297" s="2830">
        <v>25</v>
      </c>
      <c r="U297" s="2825">
        <f>+S297*0.4</f>
        <v>83260</v>
      </c>
      <c r="V297" s="2825">
        <f>+S297-U297</f>
        <v>124890</v>
      </c>
      <c r="W297" s="2825">
        <f>+K297+K298+V297</f>
        <v>417690</v>
      </c>
      <c r="X297" s="2825">
        <f>W297</f>
        <v>417690</v>
      </c>
      <c r="Y297" s="2825">
        <v>0</v>
      </c>
      <c r="Z297" s="2825">
        <f>+W297</f>
        <v>417690</v>
      </c>
      <c r="AA297" s="2826">
        <v>0.02</v>
      </c>
      <c r="AB297" s="2825">
        <f>+Z297*AA297/100</f>
        <v>83.537999999999997</v>
      </c>
      <c r="AC297" s="555"/>
      <c r="AD297" s="556">
        <f>AB297-AC297</f>
        <v>83.537999999999997</v>
      </c>
      <c r="AE297" s="556">
        <f>IF(AD297&lt;=0,0,AD297*25/100)</f>
        <v>20.884499999999999</v>
      </c>
      <c r="AF297" s="556">
        <f>IF(AC297+AE297&gt;AB297,AB297,AC297+AE297)</f>
        <v>20.884499999999999</v>
      </c>
    </row>
    <row r="298" spans="1:32" s="510" customFormat="1" x14ac:dyDescent="0.2">
      <c r="A298" s="27">
        <v>3</v>
      </c>
      <c r="B298" s="15">
        <v>34339</v>
      </c>
      <c r="C298" s="15">
        <v>1801</v>
      </c>
      <c r="D298" s="15" t="s">
        <v>238</v>
      </c>
      <c r="E298" s="15">
        <v>2</v>
      </c>
      <c r="F298" s="15">
        <v>0</v>
      </c>
      <c r="G298" s="15">
        <v>0</v>
      </c>
      <c r="H298" s="284">
        <v>36</v>
      </c>
      <c r="I298" s="18">
        <f>F298*400+G298*100+H298</f>
        <v>36</v>
      </c>
      <c r="J298" s="23">
        <v>2300</v>
      </c>
      <c r="K298" s="39">
        <f>SUM(I298*J298)</f>
        <v>82800</v>
      </c>
      <c r="L298" s="2800"/>
      <c r="M298" s="2800"/>
      <c r="N298" s="2800"/>
      <c r="O298" s="2800"/>
      <c r="P298" s="2824"/>
      <c r="Q298" s="2812"/>
      <c r="R298" s="2829"/>
      <c r="S298" s="2802"/>
      <c r="T298" s="2831"/>
      <c r="U298" s="2802"/>
      <c r="V298" s="2802"/>
      <c r="W298" s="2802"/>
      <c r="X298" s="2802"/>
      <c r="Y298" s="2802"/>
      <c r="Z298" s="2802"/>
      <c r="AA298" s="2827"/>
      <c r="AB298" s="2802"/>
      <c r="AC298" s="559"/>
      <c r="AD298" s="559"/>
      <c r="AE298" s="559"/>
      <c r="AF298" s="559"/>
    </row>
    <row r="299" spans="1:32" s="510" customFormat="1" ht="15" x14ac:dyDescent="0.25">
      <c r="A299" s="269"/>
      <c r="B299" s="269"/>
      <c r="C299" s="285"/>
      <c r="D299" s="273"/>
      <c r="E299" s="273"/>
      <c r="F299" s="268"/>
      <c r="G299" s="269"/>
      <c r="H299" s="266"/>
      <c r="I299" s="18"/>
      <c r="J299" s="23"/>
      <c r="K299" s="39"/>
      <c r="L299" s="45"/>
      <c r="M299" s="1997"/>
      <c r="N299" s="15"/>
      <c r="O299" s="50"/>
      <c r="P299" s="15"/>
      <c r="Q299" s="76"/>
      <c r="R299" s="260"/>
      <c r="S299" s="18"/>
      <c r="T299" s="15"/>
      <c r="U299" s="18"/>
      <c r="V299" s="47"/>
      <c r="W299" s="18"/>
      <c r="X299" s="47"/>
      <c r="Y299" s="18"/>
      <c r="Z299" s="23"/>
      <c r="AA299" s="264"/>
      <c r="AB299" s="566" t="s">
        <v>134</v>
      </c>
      <c r="AC299" s="559"/>
      <c r="AD299" s="559"/>
      <c r="AE299" s="559"/>
      <c r="AF299" s="559"/>
    </row>
    <row r="300" spans="1:32" s="510" customFormat="1" x14ac:dyDescent="0.2">
      <c r="A300" s="15"/>
      <c r="B300" s="21"/>
      <c r="C300" s="21"/>
      <c r="D300" s="15"/>
      <c r="E300" s="15"/>
      <c r="F300" s="15"/>
      <c r="G300" s="15"/>
      <c r="H300" s="22"/>
      <c r="I300" s="23"/>
      <c r="J300" s="24"/>
      <c r="K300" s="23"/>
      <c r="L300" s="15"/>
      <c r="M300" s="15"/>
      <c r="N300" s="15"/>
      <c r="O300" s="15"/>
      <c r="P300" s="22"/>
      <c r="Q300" s="25"/>
      <c r="R300" s="563"/>
      <c r="S300" s="23"/>
      <c r="T300" s="26"/>
      <c r="U300" s="24"/>
      <c r="V300" s="23"/>
      <c r="W300" s="23"/>
      <c r="X300" s="564"/>
      <c r="Y300" s="564"/>
      <c r="Z300" s="565"/>
      <c r="AA300" s="565"/>
      <c r="AB300" s="566"/>
      <c r="AC300" s="559"/>
      <c r="AD300" s="559"/>
      <c r="AE300" s="559"/>
      <c r="AF300" s="559"/>
    </row>
    <row r="301" spans="1:32" s="510" customFormat="1" x14ac:dyDescent="0.2">
      <c r="A301" s="15"/>
      <c r="B301" s="21"/>
      <c r="C301" s="21"/>
      <c r="D301" s="15"/>
      <c r="E301" s="15"/>
      <c r="F301" s="15"/>
      <c r="G301" s="15"/>
      <c r="H301" s="22"/>
      <c r="I301" s="23"/>
      <c r="J301" s="24"/>
      <c r="K301" s="23"/>
      <c r="L301" s="15"/>
      <c r="M301" s="15"/>
      <c r="N301" s="15"/>
      <c r="O301" s="15"/>
      <c r="P301" s="22"/>
      <c r="Q301" s="25"/>
      <c r="R301" s="563"/>
      <c r="S301" s="23"/>
      <c r="T301" s="26"/>
      <c r="U301" s="24"/>
      <c r="V301" s="23"/>
      <c r="W301" s="23"/>
      <c r="X301" s="564"/>
      <c r="Y301" s="564"/>
      <c r="Z301" s="565"/>
      <c r="AA301" s="565"/>
      <c r="AB301" s="566"/>
      <c r="AC301" s="559"/>
      <c r="AD301" s="559"/>
      <c r="AE301" s="559"/>
      <c r="AF301" s="559"/>
    </row>
    <row r="302" spans="1:32" s="510" customFormat="1" x14ac:dyDescent="0.2">
      <c r="A302" s="15"/>
      <c r="B302" s="21"/>
      <c r="C302" s="21"/>
      <c r="D302" s="15"/>
      <c r="E302" s="15"/>
      <c r="F302" s="15"/>
      <c r="G302" s="15"/>
      <c r="H302" s="22"/>
      <c r="I302" s="23"/>
      <c r="J302" s="24"/>
      <c r="K302" s="23"/>
      <c r="L302" s="15"/>
      <c r="M302" s="15"/>
      <c r="N302" s="15"/>
      <c r="O302" s="15"/>
      <c r="P302" s="22"/>
      <c r="Q302" s="25"/>
      <c r="R302" s="563"/>
      <c r="S302" s="23"/>
      <c r="T302" s="26"/>
      <c r="U302" s="24"/>
      <c r="V302" s="23"/>
      <c r="W302" s="23"/>
      <c r="X302" s="564"/>
      <c r="Y302" s="564"/>
      <c r="Z302" s="565"/>
      <c r="AA302" s="565"/>
      <c r="AB302" s="566"/>
      <c r="AC302" s="559"/>
      <c r="AD302" s="559"/>
      <c r="AE302" s="559"/>
      <c r="AF302" s="559"/>
    </row>
    <row r="303" spans="1:32" s="510" customFormat="1" x14ac:dyDescent="0.2">
      <c r="A303" s="15"/>
      <c r="B303" s="21"/>
      <c r="C303" s="21"/>
      <c r="D303" s="15"/>
      <c r="E303" s="15"/>
      <c r="F303" s="15"/>
      <c r="G303" s="15"/>
      <c r="H303" s="22"/>
      <c r="I303" s="23"/>
      <c r="J303" s="24"/>
      <c r="K303" s="23"/>
      <c r="L303" s="15"/>
      <c r="M303" s="15"/>
      <c r="N303" s="15"/>
      <c r="O303" s="15"/>
      <c r="P303" s="22"/>
      <c r="Q303" s="25"/>
      <c r="R303" s="563"/>
      <c r="S303" s="23"/>
      <c r="T303" s="26"/>
      <c r="U303" s="24"/>
      <c r="V303" s="23"/>
      <c r="W303" s="23"/>
      <c r="X303" s="564"/>
      <c r="Y303" s="564"/>
      <c r="Z303" s="565"/>
      <c r="AA303" s="565"/>
      <c r="AB303" s="566"/>
      <c r="AC303" s="559"/>
      <c r="AD303" s="559"/>
      <c r="AE303" s="559"/>
      <c r="AF303" s="559"/>
    </row>
    <row r="304" spans="1:32" s="510" customFormat="1" x14ac:dyDescent="0.2">
      <c r="A304" s="15"/>
      <c r="B304" s="21"/>
      <c r="C304" s="21"/>
      <c r="D304" s="15"/>
      <c r="E304" s="15"/>
      <c r="F304" s="15"/>
      <c r="G304" s="15"/>
      <c r="H304" s="22"/>
      <c r="I304" s="23"/>
      <c r="J304" s="24"/>
      <c r="K304" s="23"/>
      <c r="L304" s="15"/>
      <c r="M304" s="15"/>
      <c r="N304" s="15"/>
      <c r="O304" s="15"/>
      <c r="P304" s="22"/>
      <c r="Q304" s="25"/>
      <c r="R304" s="563"/>
      <c r="S304" s="23"/>
      <c r="T304" s="26"/>
      <c r="U304" s="24"/>
      <c r="V304" s="23"/>
      <c r="W304" s="23"/>
      <c r="X304" s="564"/>
      <c r="Y304" s="564"/>
      <c r="Z304" s="565"/>
      <c r="AA304" s="565"/>
      <c r="AB304" s="566"/>
      <c r="AC304" s="559"/>
      <c r="AD304" s="559"/>
      <c r="AE304" s="559"/>
      <c r="AF304" s="559"/>
    </row>
    <row r="305" spans="1:32" s="510" customFormat="1" x14ac:dyDescent="0.2">
      <c r="A305" s="15"/>
      <c r="B305" s="21"/>
      <c r="C305" s="21"/>
      <c r="D305" s="15"/>
      <c r="E305" s="15"/>
      <c r="F305" s="15"/>
      <c r="G305" s="15"/>
      <c r="H305" s="22"/>
      <c r="I305" s="23"/>
      <c r="J305" s="24"/>
      <c r="K305" s="23"/>
      <c r="L305" s="15"/>
      <c r="M305" s="15"/>
      <c r="N305" s="15"/>
      <c r="O305" s="15"/>
      <c r="P305" s="22"/>
      <c r="Q305" s="25"/>
      <c r="R305" s="563"/>
      <c r="S305" s="23"/>
      <c r="T305" s="26"/>
      <c r="U305" s="24"/>
      <c r="V305" s="23"/>
      <c r="W305" s="23"/>
      <c r="X305" s="564"/>
      <c r="Y305" s="564"/>
      <c r="Z305" s="565"/>
      <c r="AA305" s="565"/>
      <c r="AB305" s="566"/>
      <c r="AC305" s="559"/>
      <c r="AD305" s="559"/>
      <c r="AE305" s="559"/>
      <c r="AF305" s="559"/>
    </row>
    <row r="306" spans="1:32" s="510" customFormat="1" x14ac:dyDescent="0.2">
      <c r="A306" s="15"/>
      <c r="B306" s="21"/>
      <c r="C306" s="21"/>
      <c r="D306" s="15"/>
      <c r="E306" s="15"/>
      <c r="F306" s="15"/>
      <c r="G306" s="15"/>
      <c r="H306" s="22"/>
      <c r="I306" s="23"/>
      <c r="J306" s="24"/>
      <c r="K306" s="23"/>
      <c r="L306" s="15"/>
      <c r="M306" s="15"/>
      <c r="N306" s="15"/>
      <c r="O306" s="15"/>
      <c r="P306" s="22"/>
      <c r="Q306" s="25"/>
      <c r="R306" s="563"/>
      <c r="S306" s="23"/>
      <c r="T306" s="26"/>
      <c r="U306" s="24"/>
      <c r="V306" s="23"/>
      <c r="W306" s="23"/>
      <c r="X306" s="564"/>
      <c r="Y306" s="564"/>
      <c r="Z306" s="565"/>
      <c r="AA306" s="565"/>
      <c r="AB306" s="566"/>
      <c r="AC306" s="559"/>
      <c r="AD306" s="559"/>
      <c r="AE306" s="559"/>
      <c r="AF306" s="559"/>
    </row>
    <row r="307" spans="1:32" s="510" customFormat="1" x14ac:dyDescent="0.2">
      <c r="A307" s="15"/>
      <c r="B307" s="21"/>
      <c r="C307" s="21"/>
      <c r="D307" s="15"/>
      <c r="E307" s="15"/>
      <c r="F307" s="15"/>
      <c r="G307" s="15"/>
      <c r="H307" s="22"/>
      <c r="I307" s="23"/>
      <c r="J307" s="24"/>
      <c r="K307" s="23"/>
      <c r="L307" s="15"/>
      <c r="M307" s="15"/>
      <c r="N307" s="15"/>
      <c r="O307" s="15"/>
      <c r="P307" s="22"/>
      <c r="Q307" s="25"/>
      <c r="R307" s="563"/>
      <c r="S307" s="23"/>
      <c r="T307" s="26"/>
      <c r="U307" s="24"/>
      <c r="V307" s="23"/>
      <c r="W307" s="23"/>
      <c r="X307" s="564"/>
      <c r="Y307" s="564"/>
      <c r="Z307" s="565"/>
      <c r="AA307" s="565"/>
      <c r="AB307" s="566"/>
      <c r="AC307" s="559"/>
      <c r="AD307" s="559"/>
      <c r="AE307" s="559"/>
      <c r="AF307" s="559"/>
    </row>
    <row r="308" spans="1:32" s="510" customFormat="1" x14ac:dyDescent="0.2">
      <c r="A308" s="15"/>
      <c r="B308" s="21"/>
      <c r="C308" s="21"/>
      <c r="D308" s="15"/>
      <c r="E308" s="15"/>
      <c r="F308" s="15"/>
      <c r="G308" s="15"/>
      <c r="H308" s="22"/>
      <c r="I308" s="23"/>
      <c r="J308" s="24"/>
      <c r="K308" s="23"/>
      <c r="L308" s="15"/>
      <c r="M308" s="15"/>
      <c r="N308" s="15"/>
      <c r="O308" s="15"/>
      <c r="P308" s="22"/>
      <c r="Q308" s="25"/>
      <c r="R308" s="563"/>
      <c r="S308" s="23"/>
      <c r="T308" s="26"/>
      <c r="U308" s="24"/>
      <c r="V308" s="23"/>
      <c r="W308" s="23"/>
      <c r="X308" s="564"/>
      <c r="Y308" s="564"/>
      <c r="Z308" s="565"/>
      <c r="AA308" s="565"/>
      <c r="AB308" s="566"/>
      <c r="AC308" s="559"/>
      <c r="AD308" s="559"/>
      <c r="AE308" s="559"/>
      <c r="AF308" s="559"/>
    </row>
    <row r="309" spans="1:32" s="510" customFormat="1" x14ac:dyDescent="0.2">
      <c r="A309" s="15"/>
      <c r="B309" s="21"/>
      <c r="C309" s="21"/>
      <c r="D309" s="15"/>
      <c r="E309" s="15"/>
      <c r="F309" s="15"/>
      <c r="G309" s="15"/>
      <c r="H309" s="22"/>
      <c r="I309" s="23"/>
      <c r="J309" s="24"/>
      <c r="K309" s="23"/>
      <c r="L309" s="15"/>
      <c r="M309" s="15"/>
      <c r="N309" s="15"/>
      <c r="O309" s="15"/>
      <c r="P309" s="22"/>
      <c r="Q309" s="25"/>
      <c r="R309" s="563"/>
      <c r="S309" s="23"/>
      <c r="T309" s="26"/>
      <c r="U309" s="24"/>
      <c r="V309" s="23"/>
      <c r="W309" s="23"/>
      <c r="X309" s="564"/>
      <c r="Y309" s="564"/>
      <c r="Z309" s="565"/>
      <c r="AA309" s="565"/>
      <c r="AB309" s="566"/>
      <c r="AC309" s="559"/>
      <c r="AD309" s="559"/>
      <c r="AE309" s="559"/>
      <c r="AF309" s="559"/>
    </row>
    <row r="310" spans="1:32" s="510" customFormat="1" x14ac:dyDescent="0.2">
      <c r="A310" s="15"/>
      <c r="B310" s="21"/>
      <c r="C310" s="21"/>
      <c r="D310" s="15"/>
      <c r="E310" s="15"/>
      <c r="F310" s="15"/>
      <c r="G310" s="15"/>
      <c r="H310" s="22"/>
      <c r="I310" s="23"/>
      <c r="J310" s="24"/>
      <c r="K310" s="23"/>
      <c r="L310" s="15"/>
      <c r="M310" s="15"/>
      <c r="N310" s="15"/>
      <c r="O310" s="15"/>
      <c r="P310" s="22"/>
      <c r="Q310" s="25"/>
      <c r="R310" s="563"/>
      <c r="S310" s="23"/>
      <c r="T310" s="26"/>
      <c r="U310" s="24"/>
      <c r="V310" s="23"/>
      <c r="W310" s="23"/>
      <c r="X310" s="564"/>
      <c r="Y310" s="564"/>
      <c r="Z310" s="565"/>
      <c r="AA310" s="565"/>
      <c r="AB310" s="566"/>
      <c r="AC310" s="559"/>
      <c r="AD310" s="559"/>
      <c r="AE310" s="559"/>
      <c r="AF310" s="559"/>
    </row>
    <row r="311" spans="1:32" s="510" customFormat="1" x14ac:dyDescent="0.2">
      <c r="A311" s="15"/>
      <c r="B311" s="21"/>
      <c r="C311" s="21"/>
      <c r="D311" s="15"/>
      <c r="E311" s="15"/>
      <c r="F311" s="15"/>
      <c r="G311" s="15"/>
      <c r="H311" s="22"/>
      <c r="I311" s="23"/>
      <c r="J311" s="24"/>
      <c r="K311" s="23"/>
      <c r="L311" s="15"/>
      <c r="M311" s="15"/>
      <c r="N311" s="15"/>
      <c r="O311" s="15"/>
      <c r="P311" s="22"/>
      <c r="Q311" s="25"/>
      <c r="R311" s="563"/>
      <c r="S311" s="23"/>
      <c r="T311" s="26"/>
      <c r="U311" s="24"/>
      <c r="V311" s="23"/>
      <c r="W311" s="23"/>
      <c r="X311" s="564"/>
      <c r="Y311" s="564"/>
      <c r="Z311" s="565"/>
      <c r="AA311" s="565"/>
      <c r="AB311" s="566"/>
      <c r="AC311" s="559"/>
      <c r="AD311" s="559"/>
      <c r="AE311" s="559"/>
      <c r="AF311" s="559"/>
    </row>
    <row r="312" spans="1:32" s="510" customFormat="1" x14ac:dyDescent="0.2">
      <c r="A312" s="27"/>
      <c r="B312" s="28"/>
      <c r="C312" s="28"/>
      <c r="D312" s="27"/>
      <c r="E312" s="27"/>
      <c r="F312" s="27"/>
      <c r="G312" s="27"/>
      <c r="H312" s="29"/>
      <c r="I312" s="30"/>
      <c r="J312" s="31"/>
      <c r="K312" s="30"/>
      <c r="L312" s="27"/>
      <c r="M312" s="27"/>
      <c r="N312" s="27"/>
      <c r="O312" s="27"/>
      <c r="P312" s="27"/>
      <c r="Q312" s="32"/>
      <c r="R312" s="567"/>
      <c r="S312" s="30"/>
      <c r="T312" s="33"/>
      <c r="U312" s="31"/>
      <c r="V312" s="30"/>
      <c r="W312" s="30"/>
      <c r="X312" s="568"/>
      <c r="Y312" s="568"/>
      <c r="Z312" s="569"/>
      <c r="AA312" s="569"/>
      <c r="AB312" s="570"/>
      <c r="AC312" s="571"/>
      <c r="AD312" s="571"/>
      <c r="AE312" s="571"/>
      <c r="AF312" s="571"/>
    </row>
    <row r="313" spans="1:32" s="510" customFormat="1" ht="15" x14ac:dyDescent="0.25">
      <c r="A313" s="2027"/>
      <c r="B313" s="2027"/>
      <c r="C313" s="2027"/>
      <c r="D313" s="2027"/>
      <c r="E313" s="2027"/>
      <c r="F313" s="2027"/>
      <c r="G313" s="2027"/>
      <c r="H313" s="2028"/>
      <c r="I313" s="2029"/>
      <c r="J313" s="2030"/>
      <c r="K313" s="2029"/>
      <c r="L313" s="2029"/>
      <c r="M313" s="2029"/>
      <c r="N313" s="2029"/>
      <c r="O313" s="2029"/>
      <c r="P313" s="2029"/>
      <c r="Q313" s="2029"/>
      <c r="R313" s="2031"/>
      <c r="S313" s="2029"/>
      <c r="T313" s="2032"/>
      <c r="U313" s="2030"/>
      <c r="V313" s="2029"/>
      <c r="W313" s="2029"/>
      <c r="X313" s="2033"/>
      <c r="Y313" s="2033"/>
      <c r="Z313" s="2034"/>
      <c r="AA313" s="2034"/>
      <c r="AB313" s="2035">
        <f>SUM(AB296:AB312)</f>
        <v>83.537999999999997</v>
      </c>
      <c r="AC313" s="2036"/>
      <c r="AD313" s="2036"/>
      <c r="AE313" s="2036"/>
      <c r="AF313" s="2036"/>
    </row>
    <row r="314" spans="1:32" s="510" customFormat="1" ht="15.75" x14ac:dyDescent="0.25">
      <c r="A314" s="2820" t="s">
        <v>76</v>
      </c>
      <c r="B314" s="2820"/>
      <c r="C314" s="2821" t="s">
        <v>77</v>
      </c>
      <c r="D314" s="2821"/>
      <c r="E314" s="2821"/>
      <c r="F314" s="2821"/>
      <c r="G314" s="2821"/>
      <c r="H314" s="2821"/>
      <c r="I314" s="577" t="s">
        <v>78</v>
      </c>
      <c r="J314" s="577"/>
      <c r="K314" s="577"/>
      <c r="L314" s="577"/>
      <c r="M314" s="577"/>
      <c r="N314" s="577"/>
      <c r="AB314" s="578"/>
    </row>
    <row r="315" spans="1:32" s="510" customFormat="1" ht="15.75" x14ac:dyDescent="0.25">
      <c r="A315" s="577"/>
      <c r="B315" s="579"/>
      <c r="C315" s="577"/>
      <c r="D315" s="577"/>
      <c r="E315" s="577"/>
      <c r="F315" s="577"/>
      <c r="G315" s="577"/>
      <c r="H315" s="577"/>
      <c r="I315" s="577" t="s">
        <v>79</v>
      </c>
      <c r="J315" s="577"/>
      <c r="K315" s="577"/>
      <c r="L315" s="577"/>
      <c r="M315" s="577"/>
      <c r="N315" s="577"/>
      <c r="AB315" s="578"/>
    </row>
    <row r="316" spans="1:32" s="510" customFormat="1" ht="15.75" x14ac:dyDescent="0.25">
      <c r="A316" s="577"/>
      <c r="B316" s="579"/>
      <c r="C316" s="577"/>
      <c r="D316" s="577"/>
      <c r="E316" s="577"/>
      <c r="F316" s="577"/>
      <c r="G316" s="577"/>
      <c r="H316" s="577"/>
      <c r="I316" s="577" t="s">
        <v>80</v>
      </c>
      <c r="J316" s="577"/>
      <c r="K316" s="577"/>
      <c r="L316" s="577"/>
      <c r="M316" s="577"/>
      <c r="N316" s="577"/>
      <c r="AB316" s="578"/>
    </row>
    <row r="317" spans="1:32" s="510" customFormat="1" ht="15.75" x14ac:dyDescent="0.25">
      <c r="A317" s="577"/>
      <c r="B317" s="579"/>
      <c r="C317" s="577"/>
      <c r="D317" s="577"/>
      <c r="E317" s="577"/>
      <c r="F317" s="577"/>
      <c r="G317" s="577"/>
      <c r="H317" s="577"/>
      <c r="I317" s="577" t="s">
        <v>81</v>
      </c>
      <c r="J317" s="577"/>
      <c r="K317" s="577"/>
      <c r="L317" s="577"/>
      <c r="M317" s="577"/>
      <c r="N317" s="577"/>
      <c r="AB317" s="578"/>
    </row>
    <row r="318" spans="1:32" s="510" customFormat="1" ht="15.75" x14ac:dyDescent="0.25">
      <c r="A318" s="577"/>
      <c r="B318" s="579"/>
      <c r="C318" s="577"/>
      <c r="D318" s="577"/>
      <c r="E318" s="577"/>
      <c r="F318" s="577"/>
      <c r="G318" s="577"/>
      <c r="H318" s="577"/>
      <c r="I318" s="577" t="s">
        <v>88</v>
      </c>
      <c r="J318" s="577"/>
      <c r="K318" s="577"/>
      <c r="L318" s="577"/>
      <c r="M318" s="577"/>
      <c r="N318" s="577"/>
      <c r="AB318" s="578"/>
    </row>
    <row r="319" spans="1:32" s="510" customFormat="1" ht="18.75" x14ac:dyDescent="0.2">
      <c r="A319" s="338"/>
      <c r="B319" s="338"/>
      <c r="C319" s="338"/>
      <c r="D319" s="338"/>
      <c r="E319" s="338"/>
      <c r="F319" s="338"/>
      <c r="G319" s="338"/>
      <c r="H319" s="338"/>
      <c r="I319" s="338"/>
      <c r="J319" s="338"/>
      <c r="K319" s="338"/>
      <c r="L319" s="338"/>
      <c r="M319" s="338"/>
      <c r="N319" s="338"/>
      <c r="O319" s="338"/>
      <c r="P319" s="338"/>
      <c r="Q319" s="338"/>
      <c r="R319" s="338"/>
      <c r="S319" s="338"/>
      <c r="T319" s="338"/>
      <c r="U319" s="338"/>
      <c r="V319" s="338"/>
      <c r="W319" s="338"/>
      <c r="X319" s="338"/>
      <c r="Y319" s="338"/>
      <c r="Z319" s="338"/>
      <c r="AA319" s="2774" t="s">
        <v>0</v>
      </c>
      <c r="AB319" s="2774"/>
      <c r="AC319" s="338"/>
      <c r="AD319" s="338"/>
      <c r="AE319" s="338"/>
      <c r="AF319" s="338"/>
    </row>
    <row r="320" spans="1:32" s="510" customFormat="1" ht="18.75" x14ac:dyDescent="0.2">
      <c r="A320" s="2703" t="s">
        <v>1</v>
      </c>
      <c r="B320" s="2703"/>
      <c r="C320" s="2703"/>
      <c r="D320" s="2703"/>
      <c r="E320" s="2703"/>
      <c r="F320" s="2703"/>
      <c r="G320" s="2703"/>
      <c r="H320" s="2703"/>
      <c r="I320" s="2703"/>
      <c r="J320" s="2703"/>
      <c r="K320" s="2703"/>
      <c r="L320" s="2703"/>
      <c r="M320" s="2703"/>
      <c r="N320" s="2703"/>
      <c r="O320" s="2703"/>
      <c r="P320" s="2703"/>
      <c r="Q320" s="2703"/>
      <c r="R320" s="2703"/>
      <c r="S320" s="2703"/>
      <c r="T320" s="2703"/>
      <c r="U320" s="2703"/>
      <c r="V320" s="2703"/>
      <c r="W320" s="2703"/>
      <c r="X320" s="2703"/>
      <c r="Y320" s="2703"/>
      <c r="Z320" s="2703"/>
      <c r="AA320" s="2703"/>
      <c r="AB320" s="2703"/>
      <c r="AC320" s="344"/>
      <c r="AD320" s="344"/>
      <c r="AE320" s="344"/>
      <c r="AF320" s="344"/>
    </row>
    <row r="321" spans="1:32" s="510" customFormat="1" ht="21" x14ac:dyDescent="0.2">
      <c r="A321" s="2780" t="s">
        <v>528</v>
      </c>
      <c r="B321" s="2780"/>
      <c r="C321" s="2780"/>
      <c r="D321" s="2780"/>
      <c r="E321" s="2780"/>
      <c r="F321" s="2780"/>
      <c r="G321" s="2780"/>
      <c r="H321" s="2780"/>
      <c r="I321" s="2780"/>
      <c r="J321" s="2780"/>
      <c r="K321" s="2780"/>
      <c r="L321" s="2780"/>
      <c r="M321" s="2780"/>
      <c r="N321" s="2780"/>
      <c r="O321" s="2780"/>
      <c r="P321" s="2780"/>
      <c r="Q321" s="2780"/>
      <c r="R321" s="2780"/>
      <c r="S321" s="2780"/>
      <c r="T321" s="2780"/>
      <c r="U321" s="2780"/>
      <c r="V321" s="2780"/>
      <c r="W321" s="2780"/>
      <c r="X321" s="2780"/>
      <c r="Y321" s="2780"/>
      <c r="Z321" s="2780"/>
      <c r="AA321" s="2780"/>
      <c r="AB321" s="2780"/>
      <c r="AC321" s="345"/>
      <c r="AD321" s="345"/>
      <c r="AE321" s="345"/>
      <c r="AF321" s="345"/>
    </row>
    <row r="322" spans="1:32" s="510" customFormat="1" ht="15" x14ac:dyDescent="0.25">
      <c r="A322" s="2686" t="s">
        <v>2</v>
      </c>
      <c r="B322" s="511"/>
      <c r="C322" s="2686" t="s">
        <v>3</v>
      </c>
      <c r="D322" s="511"/>
      <c r="E322" s="511"/>
      <c r="F322" s="2693" t="s">
        <v>4</v>
      </c>
      <c r="G322" s="2693"/>
      <c r="H322" s="2693"/>
      <c r="I322" s="2694"/>
      <c r="J322" s="2694"/>
      <c r="K322" s="2695"/>
      <c r="L322" s="361"/>
      <c r="M322" s="2679" t="s">
        <v>5</v>
      </c>
      <c r="N322" s="2679"/>
      <c r="O322" s="2679"/>
      <c r="P322" s="2679"/>
      <c r="Q322" s="2696"/>
      <c r="R322" s="2696"/>
      <c r="S322" s="2696"/>
      <c r="T322" s="2696"/>
      <c r="U322" s="2696"/>
      <c r="V322" s="2697"/>
      <c r="W322" s="512" t="s">
        <v>6</v>
      </c>
      <c r="X322" s="513" t="s">
        <v>7</v>
      </c>
      <c r="Y322" s="514"/>
      <c r="Z322" s="514"/>
      <c r="AA322" s="513"/>
      <c r="AB322" s="515"/>
      <c r="AC322" s="516" t="s">
        <v>8</v>
      </c>
      <c r="AD322" s="346"/>
      <c r="AE322" s="346"/>
      <c r="AF322" s="517"/>
    </row>
    <row r="323" spans="1:32" s="510" customFormat="1" x14ac:dyDescent="0.2">
      <c r="A323" s="2687"/>
      <c r="B323" s="367"/>
      <c r="C323" s="2687"/>
      <c r="D323" s="518" t="s">
        <v>9</v>
      </c>
      <c r="E323" s="519" t="s">
        <v>10</v>
      </c>
      <c r="F323" s="2698" t="s">
        <v>11</v>
      </c>
      <c r="G323" s="2694"/>
      <c r="H323" s="2695"/>
      <c r="I323" s="511"/>
      <c r="J323" s="520" t="s">
        <v>12</v>
      </c>
      <c r="K323" s="511"/>
      <c r="L323" s="2679" t="s">
        <v>2</v>
      </c>
      <c r="M323" s="521"/>
      <c r="N323" s="521"/>
      <c r="O323" s="521"/>
      <c r="P323" s="522"/>
      <c r="Q323" s="523" t="s">
        <v>13</v>
      </c>
      <c r="R323" s="524" t="s">
        <v>12</v>
      </c>
      <c r="S323" s="521" t="s">
        <v>6</v>
      </c>
      <c r="T323" s="2682" t="s">
        <v>14</v>
      </c>
      <c r="U323" s="2683"/>
      <c r="V323" s="525" t="s">
        <v>7</v>
      </c>
      <c r="W323" s="526" t="s">
        <v>15</v>
      </c>
      <c r="X323" s="527" t="s">
        <v>16</v>
      </c>
      <c r="Y323" s="527" t="s">
        <v>17</v>
      </c>
      <c r="Z323" s="527" t="s">
        <v>18</v>
      </c>
      <c r="AA323" s="377"/>
      <c r="AB323" s="378" t="s">
        <v>19</v>
      </c>
      <c r="AC323" s="528" t="s">
        <v>20</v>
      </c>
      <c r="AD323" s="529"/>
      <c r="AE323" s="347" t="s">
        <v>21</v>
      </c>
      <c r="AF323" s="340" t="s">
        <v>22</v>
      </c>
    </row>
    <row r="324" spans="1:32" s="510" customFormat="1" x14ac:dyDescent="0.2">
      <c r="A324" s="2687"/>
      <c r="B324" s="1996" t="s">
        <v>23</v>
      </c>
      <c r="C324" s="2687"/>
      <c r="D324" s="518" t="s">
        <v>24</v>
      </c>
      <c r="E324" s="519" t="s">
        <v>25</v>
      </c>
      <c r="F324" s="2699"/>
      <c r="G324" s="2700"/>
      <c r="H324" s="2701"/>
      <c r="I324" s="518" t="s">
        <v>26</v>
      </c>
      <c r="J324" s="530" t="s">
        <v>15</v>
      </c>
      <c r="K324" s="531" t="s">
        <v>6</v>
      </c>
      <c r="L324" s="2680"/>
      <c r="M324" s="532" t="s">
        <v>27</v>
      </c>
      <c r="N324" s="532" t="s">
        <v>10</v>
      </c>
      <c r="O324" s="533" t="s">
        <v>10</v>
      </c>
      <c r="P324" s="534" t="s">
        <v>28</v>
      </c>
      <c r="Q324" s="535" t="s">
        <v>29</v>
      </c>
      <c r="R324" s="534" t="s">
        <v>15</v>
      </c>
      <c r="S324" s="385" t="s">
        <v>15</v>
      </c>
      <c r="T324" s="2684"/>
      <c r="U324" s="2685"/>
      <c r="V324" s="525" t="s">
        <v>30</v>
      </c>
      <c r="W324" s="526" t="s">
        <v>31</v>
      </c>
      <c r="X324" s="527" t="s">
        <v>30</v>
      </c>
      <c r="Y324" s="527" t="s">
        <v>32</v>
      </c>
      <c r="Z324" s="527" t="s">
        <v>7</v>
      </c>
      <c r="AA324" s="377" t="s">
        <v>33</v>
      </c>
      <c r="AB324" s="378" t="s">
        <v>34</v>
      </c>
      <c r="AC324" s="528" t="s">
        <v>35</v>
      </c>
      <c r="AD324" s="347" t="s">
        <v>36</v>
      </c>
      <c r="AE324" s="347" t="s">
        <v>37</v>
      </c>
      <c r="AF324" s="340" t="s">
        <v>38</v>
      </c>
    </row>
    <row r="325" spans="1:32" s="510" customFormat="1" x14ac:dyDescent="0.2">
      <c r="A325" s="2687"/>
      <c r="B325" s="1996" t="s">
        <v>39</v>
      </c>
      <c r="C325" s="2687"/>
      <c r="D325" s="518" t="s">
        <v>40</v>
      </c>
      <c r="E325" s="519" t="s">
        <v>41</v>
      </c>
      <c r="F325" s="2686" t="s">
        <v>42</v>
      </c>
      <c r="G325" s="2686" t="s">
        <v>43</v>
      </c>
      <c r="H325" s="2688" t="s">
        <v>44</v>
      </c>
      <c r="I325" s="518" t="s">
        <v>45</v>
      </c>
      <c r="J325" s="530" t="s">
        <v>46</v>
      </c>
      <c r="K325" s="531" t="s">
        <v>47</v>
      </c>
      <c r="L325" s="2680"/>
      <c r="M325" s="532" t="s">
        <v>30</v>
      </c>
      <c r="N325" s="532" t="s">
        <v>30</v>
      </c>
      <c r="O325" s="533" t="s">
        <v>25</v>
      </c>
      <c r="P325" s="534" t="s">
        <v>30</v>
      </c>
      <c r="Q325" s="535" t="s">
        <v>48</v>
      </c>
      <c r="R325" s="534" t="s">
        <v>49</v>
      </c>
      <c r="S325" s="385" t="s">
        <v>30</v>
      </c>
      <c r="T325" s="536" t="s">
        <v>50</v>
      </c>
      <c r="U325" s="537" t="s">
        <v>13</v>
      </c>
      <c r="V325" s="525" t="s">
        <v>51</v>
      </c>
      <c r="W325" s="526" t="s">
        <v>52</v>
      </c>
      <c r="X325" s="527" t="s">
        <v>53</v>
      </c>
      <c r="Y325" s="527" t="s">
        <v>54</v>
      </c>
      <c r="Z325" s="527" t="s">
        <v>55</v>
      </c>
      <c r="AA325" s="377" t="s">
        <v>56</v>
      </c>
      <c r="AB325" s="378" t="s">
        <v>57</v>
      </c>
      <c r="AC325" s="347" t="s">
        <v>58</v>
      </c>
      <c r="AD325" s="347" t="s">
        <v>59</v>
      </c>
      <c r="AE325" s="347" t="s">
        <v>59</v>
      </c>
      <c r="AF325" s="340" t="s">
        <v>60</v>
      </c>
    </row>
    <row r="326" spans="1:32" s="510" customFormat="1" ht="15" x14ac:dyDescent="0.25">
      <c r="A326" s="2687"/>
      <c r="B326" s="1996" t="s">
        <v>61</v>
      </c>
      <c r="C326" s="2687"/>
      <c r="D326" s="518" t="s">
        <v>62</v>
      </c>
      <c r="E326" s="519" t="s">
        <v>63</v>
      </c>
      <c r="F326" s="2687"/>
      <c r="G326" s="2687"/>
      <c r="H326" s="2689"/>
      <c r="I326" s="518" t="s">
        <v>64</v>
      </c>
      <c r="J326" s="530" t="s">
        <v>59</v>
      </c>
      <c r="K326" s="531" t="s">
        <v>59</v>
      </c>
      <c r="L326" s="2680"/>
      <c r="M326" s="532"/>
      <c r="N326" s="532"/>
      <c r="O326" s="533" t="s">
        <v>41</v>
      </c>
      <c r="P326" s="534" t="s">
        <v>65</v>
      </c>
      <c r="Q326" s="535" t="s">
        <v>66</v>
      </c>
      <c r="R326" s="534" t="s">
        <v>67</v>
      </c>
      <c r="S326" s="385" t="s">
        <v>59</v>
      </c>
      <c r="T326" s="538" t="s">
        <v>68</v>
      </c>
      <c r="U326" s="525" t="s">
        <v>14</v>
      </c>
      <c r="V326" s="525" t="s">
        <v>14</v>
      </c>
      <c r="W326" s="526" t="s">
        <v>30</v>
      </c>
      <c r="X326" s="539" t="s">
        <v>69</v>
      </c>
      <c r="Y326" s="539" t="s">
        <v>70</v>
      </c>
      <c r="Z326" s="527" t="s">
        <v>71</v>
      </c>
      <c r="AA326" s="377" t="s">
        <v>72</v>
      </c>
      <c r="AB326" s="540" t="s">
        <v>59</v>
      </c>
      <c r="AC326" s="347" t="s">
        <v>59</v>
      </c>
      <c r="AD326" s="347"/>
      <c r="AE326" s="347"/>
      <c r="AF326" s="340" t="s">
        <v>59</v>
      </c>
    </row>
    <row r="327" spans="1:32" s="510" customFormat="1" x14ac:dyDescent="0.2">
      <c r="A327" s="2692"/>
      <c r="B327" s="390"/>
      <c r="C327" s="2692"/>
      <c r="D327" s="541"/>
      <c r="E327" s="542"/>
      <c r="F327" s="390"/>
      <c r="G327" s="390"/>
      <c r="H327" s="391"/>
      <c r="I327" s="542"/>
      <c r="J327" s="543"/>
      <c r="K327" s="544"/>
      <c r="L327" s="2681"/>
      <c r="M327" s="545"/>
      <c r="N327" s="545"/>
      <c r="O327" s="545" t="s">
        <v>63</v>
      </c>
      <c r="P327" s="546"/>
      <c r="Q327" s="547" t="s">
        <v>72</v>
      </c>
      <c r="R327" s="548" t="s">
        <v>59</v>
      </c>
      <c r="S327" s="549"/>
      <c r="T327" s="548" t="s">
        <v>73</v>
      </c>
      <c r="U327" s="549" t="s">
        <v>59</v>
      </c>
      <c r="V327" s="550" t="s">
        <v>59</v>
      </c>
      <c r="W327" s="551" t="s">
        <v>59</v>
      </c>
      <c r="X327" s="552" t="s">
        <v>59</v>
      </c>
      <c r="Y327" s="552" t="s">
        <v>59</v>
      </c>
      <c r="Z327" s="552" t="s">
        <v>59</v>
      </c>
      <c r="AA327" s="402"/>
      <c r="AB327" s="403"/>
      <c r="AC327" s="348"/>
      <c r="AD327" s="348"/>
      <c r="AE327" s="348"/>
      <c r="AF327" s="341"/>
    </row>
    <row r="328" spans="1:32" s="510" customFormat="1" ht="15" x14ac:dyDescent="0.25">
      <c r="A328" s="254">
        <v>1</v>
      </c>
      <c r="B328" s="254">
        <v>44049</v>
      </c>
      <c r="C328" s="336" t="s">
        <v>244</v>
      </c>
      <c r="D328" s="41" t="s">
        <v>238</v>
      </c>
      <c r="E328" s="333">
        <v>4</v>
      </c>
      <c r="F328" s="976">
        <v>0</v>
      </c>
      <c r="G328" s="254">
        <v>1</v>
      </c>
      <c r="H328" s="335">
        <v>42</v>
      </c>
      <c r="I328" s="44">
        <f>F328*400+G328*100+H328</f>
        <v>142</v>
      </c>
      <c r="J328" s="42">
        <v>2300</v>
      </c>
      <c r="K328" s="46">
        <f>SUM(I328*J328)</f>
        <v>326600</v>
      </c>
      <c r="L328" s="1069"/>
      <c r="M328" s="1069"/>
      <c r="N328" s="1069"/>
      <c r="O328" s="1069"/>
      <c r="P328" s="1070"/>
      <c r="Q328" s="1071"/>
      <c r="R328" s="1072"/>
      <c r="S328" s="67"/>
      <c r="T328" s="997"/>
      <c r="U328" s="67"/>
      <c r="V328" s="67"/>
      <c r="W328" s="67">
        <f>K328+V328</f>
        <v>326600</v>
      </c>
      <c r="X328" s="67">
        <f>W328</f>
        <v>326600</v>
      </c>
      <c r="Y328" s="67">
        <v>0</v>
      </c>
      <c r="Z328" s="67">
        <f>+X328</f>
        <v>326600</v>
      </c>
      <c r="AA328" s="464">
        <v>0.6</v>
      </c>
      <c r="AB328" s="554">
        <f>+Z328*AA328/100</f>
        <v>1959.6</v>
      </c>
      <c r="AC328" s="555"/>
      <c r="AD328" s="556">
        <f>AB328-AC328</f>
        <v>1959.6</v>
      </c>
      <c r="AE328" s="556">
        <f>IF(AD328&lt;=0,0,AD328*25/100)</f>
        <v>489.9</v>
      </c>
      <c r="AF328" s="556">
        <f>IF(AC328+AE328&gt;AB328,AB328,AC328+AE328)</f>
        <v>489.9</v>
      </c>
    </row>
    <row r="329" spans="1:32" s="510" customFormat="1" ht="15" x14ac:dyDescent="0.25">
      <c r="A329" s="269"/>
      <c r="B329" s="269"/>
      <c r="C329" s="285"/>
      <c r="D329" s="273"/>
      <c r="E329" s="273"/>
      <c r="F329" s="268"/>
      <c r="G329" s="269"/>
      <c r="H329" s="266"/>
      <c r="I329" s="18"/>
      <c r="J329" s="261"/>
      <c r="K329" s="262"/>
      <c r="L329" s="269"/>
      <c r="M329" s="242"/>
      <c r="N329" s="269"/>
      <c r="O329" s="50"/>
      <c r="P329" s="19"/>
      <c r="Q329" s="62"/>
      <c r="R329" s="260"/>
      <c r="S329" s="18"/>
      <c r="T329" s="20"/>
      <c r="U329" s="47"/>
      <c r="V329" s="47"/>
      <c r="W329" s="18"/>
      <c r="X329" s="47"/>
      <c r="Y329" s="18"/>
      <c r="Z329" s="18"/>
      <c r="AA329" s="264"/>
      <c r="AB329" s="558"/>
      <c r="AC329" s="559"/>
      <c r="AD329" s="559"/>
      <c r="AE329" s="559"/>
      <c r="AF329" s="559"/>
    </row>
    <row r="330" spans="1:32" s="510" customFormat="1" ht="15" x14ac:dyDescent="0.25">
      <c r="A330" s="269"/>
      <c r="B330" s="27"/>
      <c r="C330" s="27"/>
      <c r="D330" s="27"/>
      <c r="E330" s="21"/>
      <c r="F330" s="27"/>
      <c r="G330" s="27"/>
      <c r="H330" s="557"/>
      <c r="I330" s="18"/>
      <c r="J330" s="23"/>
      <c r="K330" s="39"/>
      <c r="L330" s="45"/>
      <c r="M330" s="1997"/>
      <c r="N330" s="15"/>
      <c r="O330" s="50"/>
      <c r="P330" s="27"/>
      <c r="Q330" s="62"/>
      <c r="R330" s="260"/>
      <c r="S330" s="18"/>
      <c r="T330" s="20"/>
      <c r="U330" s="47"/>
      <c r="V330" s="47"/>
      <c r="W330" s="18"/>
      <c r="X330" s="47"/>
      <c r="Y330" s="18"/>
      <c r="Z330" s="18"/>
      <c r="AA330" s="264"/>
      <c r="AB330" s="558"/>
      <c r="AC330" s="559"/>
      <c r="AD330" s="559"/>
      <c r="AE330" s="559"/>
      <c r="AF330" s="559"/>
    </row>
    <row r="331" spans="1:32" s="510" customFormat="1" x14ac:dyDescent="0.2">
      <c r="A331" s="15"/>
      <c r="B331" s="21"/>
      <c r="C331" s="21"/>
      <c r="D331" s="15"/>
      <c r="E331" s="15"/>
      <c r="F331" s="15"/>
      <c r="G331" s="15"/>
      <c r="H331" s="22"/>
      <c r="I331" s="23"/>
      <c r="J331" s="24"/>
      <c r="K331" s="23"/>
      <c r="L331" s="15"/>
      <c r="M331" s="15"/>
      <c r="N331" s="15"/>
      <c r="O331" s="15"/>
      <c r="P331" s="22"/>
      <c r="Q331" s="25"/>
      <c r="R331" s="563"/>
      <c r="S331" s="23"/>
      <c r="T331" s="26"/>
      <c r="U331" s="24"/>
      <c r="V331" s="23"/>
      <c r="W331" s="23"/>
      <c r="X331" s="564"/>
      <c r="Y331" s="564"/>
      <c r="Z331" s="565"/>
      <c r="AA331" s="565"/>
      <c r="AB331" s="570"/>
      <c r="AC331" s="559"/>
      <c r="AD331" s="559"/>
      <c r="AE331" s="559"/>
      <c r="AF331" s="559"/>
    </row>
    <row r="332" spans="1:32" s="510" customFormat="1" x14ac:dyDescent="0.2">
      <c r="A332" s="15"/>
      <c r="B332" s="21"/>
      <c r="C332" s="21"/>
      <c r="D332" s="15"/>
      <c r="E332" s="15"/>
      <c r="F332" s="15"/>
      <c r="G332" s="15"/>
      <c r="H332" s="22"/>
      <c r="I332" s="23"/>
      <c r="J332" s="24"/>
      <c r="K332" s="23"/>
      <c r="L332" s="15"/>
      <c r="M332" s="15"/>
      <c r="N332" s="15"/>
      <c r="O332" s="15"/>
      <c r="P332" s="22"/>
      <c r="Q332" s="25"/>
      <c r="R332" s="563"/>
      <c r="S332" s="23"/>
      <c r="T332" s="26"/>
      <c r="U332" s="24"/>
      <c r="V332" s="23"/>
      <c r="W332" s="23"/>
      <c r="X332" s="564"/>
      <c r="Y332" s="564"/>
      <c r="Z332" s="565"/>
      <c r="AA332" s="565"/>
      <c r="AB332" s="566"/>
      <c r="AC332" s="559"/>
      <c r="AD332" s="559"/>
      <c r="AE332" s="559"/>
      <c r="AF332" s="559"/>
    </row>
    <row r="333" spans="1:32" s="510" customFormat="1" x14ac:dyDescent="0.2">
      <c r="A333" s="15"/>
      <c r="B333" s="21"/>
      <c r="C333" s="21"/>
      <c r="D333" s="15"/>
      <c r="E333" s="15"/>
      <c r="F333" s="15"/>
      <c r="G333" s="15"/>
      <c r="H333" s="22"/>
      <c r="I333" s="23"/>
      <c r="J333" s="24"/>
      <c r="K333" s="23"/>
      <c r="L333" s="15"/>
      <c r="M333" s="15"/>
      <c r="N333" s="15"/>
      <c r="O333" s="15"/>
      <c r="P333" s="22"/>
      <c r="Q333" s="25"/>
      <c r="R333" s="563"/>
      <c r="S333" s="23"/>
      <c r="T333" s="26"/>
      <c r="U333" s="24"/>
      <c r="V333" s="23"/>
      <c r="W333" s="23"/>
      <c r="X333" s="564"/>
      <c r="Y333" s="564"/>
      <c r="Z333" s="565"/>
      <c r="AA333" s="565"/>
      <c r="AB333" s="566"/>
      <c r="AC333" s="559"/>
      <c r="AD333" s="559"/>
      <c r="AE333" s="559"/>
      <c r="AF333" s="559"/>
    </row>
    <row r="334" spans="1:32" s="510" customFormat="1" x14ac:dyDescent="0.2">
      <c r="A334" s="15"/>
      <c r="B334" s="21"/>
      <c r="C334" s="21"/>
      <c r="D334" s="15"/>
      <c r="E334" s="15"/>
      <c r="F334" s="15"/>
      <c r="G334" s="15"/>
      <c r="H334" s="22"/>
      <c r="I334" s="23"/>
      <c r="J334" s="24"/>
      <c r="K334" s="23"/>
      <c r="L334" s="15"/>
      <c r="M334" s="15"/>
      <c r="N334" s="15"/>
      <c r="O334" s="15"/>
      <c r="P334" s="22"/>
      <c r="Q334" s="25"/>
      <c r="R334" s="563"/>
      <c r="S334" s="23"/>
      <c r="T334" s="26"/>
      <c r="U334" s="24"/>
      <c r="V334" s="23"/>
      <c r="W334" s="23"/>
      <c r="X334" s="564"/>
      <c r="Y334" s="564"/>
      <c r="Z334" s="565"/>
      <c r="AA334" s="565"/>
      <c r="AB334" s="566"/>
      <c r="AC334" s="559"/>
      <c r="AD334" s="559"/>
      <c r="AE334" s="559"/>
      <c r="AF334" s="559"/>
    </row>
    <row r="335" spans="1:32" s="510" customFormat="1" x14ac:dyDescent="0.2">
      <c r="A335" s="15"/>
      <c r="B335" s="21"/>
      <c r="C335" s="21"/>
      <c r="D335" s="15"/>
      <c r="E335" s="15"/>
      <c r="F335" s="15"/>
      <c r="G335" s="15"/>
      <c r="H335" s="22"/>
      <c r="I335" s="23"/>
      <c r="J335" s="24"/>
      <c r="K335" s="23"/>
      <c r="L335" s="15"/>
      <c r="M335" s="15"/>
      <c r="N335" s="15"/>
      <c r="O335" s="15"/>
      <c r="P335" s="22"/>
      <c r="Q335" s="25"/>
      <c r="R335" s="563"/>
      <c r="S335" s="23"/>
      <c r="T335" s="26"/>
      <c r="U335" s="24"/>
      <c r="V335" s="23"/>
      <c r="W335" s="23"/>
      <c r="X335" s="564"/>
      <c r="Y335" s="564"/>
      <c r="Z335" s="565"/>
      <c r="AA335" s="565"/>
      <c r="AB335" s="566"/>
      <c r="AC335" s="559"/>
      <c r="AD335" s="559"/>
      <c r="AE335" s="559"/>
      <c r="AF335" s="559"/>
    </row>
    <row r="336" spans="1:32" s="510" customFormat="1" x14ac:dyDescent="0.2">
      <c r="A336" s="15"/>
      <c r="B336" s="21"/>
      <c r="C336" s="21"/>
      <c r="D336" s="15"/>
      <c r="E336" s="15"/>
      <c r="F336" s="15"/>
      <c r="G336" s="15"/>
      <c r="H336" s="22"/>
      <c r="I336" s="23"/>
      <c r="J336" s="24"/>
      <c r="K336" s="23"/>
      <c r="L336" s="15"/>
      <c r="M336" s="15"/>
      <c r="N336" s="15"/>
      <c r="O336" s="15"/>
      <c r="P336" s="22"/>
      <c r="Q336" s="25"/>
      <c r="R336" s="563"/>
      <c r="S336" s="23"/>
      <c r="T336" s="26"/>
      <c r="U336" s="24"/>
      <c r="V336" s="23"/>
      <c r="W336" s="23"/>
      <c r="X336" s="564"/>
      <c r="Y336" s="564"/>
      <c r="Z336" s="565"/>
      <c r="AA336" s="565"/>
      <c r="AB336" s="566"/>
      <c r="AC336" s="559"/>
      <c r="AD336" s="559"/>
      <c r="AE336" s="559"/>
      <c r="AF336" s="559"/>
    </row>
    <row r="337" spans="1:32" s="510" customFormat="1" x14ac:dyDescent="0.2">
      <c r="A337" s="15"/>
      <c r="B337" s="21"/>
      <c r="C337" s="21"/>
      <c r="D337" s="15"/>
      <c r="E337" s="15"/>
      <c r="F337" s="15"/>
      <c r="G337" s="15"/>
      <c r="H337" s="22"/>
      <c r="I337" s="23"/>
      <c r="J337" s="24"/>
      <c r="K337" s="23"/>
      <c r="L337" s="15"/>
      <c r="M337" s="15"/>
      <c r="N337" s="15"/>
      <c r="O337" s="15"/>
      <c r="P337" s="22"/>
      <c r="Q337" s="25"/>
      <c r="R337" s="563"/>
      <c r="S337" s="23"/>
      <c r="T337" s="26"/>
      <c r="U337" s="24"/>
      <c r="V337" s="23"/>
      <c r="W337" s="23"/>
      <c r="X337" s="564"/>
      <c r="Y337" s="564"/>
      <c r="Z337" s="565"/>
      <c r="AA337" s="565"/>
      <c r="AB337" s="566"/>
      <c r="AC337" s="559"/>
      <c r="AD337" s="559"/>
      <c r="AE337" s="559"/>
      <c r="AF337" s="559"/>
    </row>
    <row r="338" spans="1:32" s="510" customFormat="1" x14ac:dyDescent="0.2">
      <c r="A338" s="15"/>
      <c r="B338" s="21"/>
      <c r="C338" s="21"/>
      <c r="D338" s="15"/>
      <c r="E338" s="15"/>
      <c r="F338" s="15"/>
      <c r="G338" s="15"/>
      <c r="H338" s="22"/>
      <c r="I338" s="23"/>
      <c r="J338" s="24"/>
      <c r="K338" s="23"/>
      <c r="L338" s="15"/>
      <c r="M338" s="15"/>
      <c r="N338" s="15"/>
      <c r="O338" s="15"/>
      <c r="P338" s="22"/>
      <c r="Q338" s="25"/>
      <c r="R338" s="563"/>
      <c r="S338" s="23"/>
      <c r="T338" s="26"/>
      <c r="U338" s="24"/>
      <c r="V338" s="23"/>
      <c r="W338" s="23"/>
      <c r="X338" s="564"/>
      <c r="Y338" s="564"/>
      <c r="Z338" s="565"/>
      <c r="AA338" s="565"/>
      <c r="AB338" s="566"/>
      <c r="AC338" s="559"/>
      <c r="AD338" s="559"/>
      <c r="AE338" s="559"/>
      <c r="AF338" s="559"/>
    </row>
    <row r="339" spans="1:32" s="510" customFormat="1" x14ac:dyDescent="0.2">
      <c r="A339" s="15"/>
      <c r="B339" s="21"/>
      <c r="C339" s="21"/>
      <c r="D339" s="15"/>
      <c r="E339" s="15"/>
      <c r="F339" s="15"/>
      <c r="G339" s="15"/>
      <c r="H339" s="22"/>
      <c r="I339" s="23"/>
      <c r="J339" s="24"/>
      <c r="K339" s="23"/>
      <c r="L339" s="15"/>
      <c r="M339" s="15"/>
      <c r="N339" s="15"/>
      <c r="O339" s="15"/>
      <c r="P339" s="22"/>
      <c r="Q339" s="25"/>
      <c r="R339" s="563"/>
      <c r="S339" s="23"/>
      <c r="T339" s="26"/>
      <c r="U339" s="24"/>
      <c r="V339" s="23"/>
      <c r="W339" s="23"/>
      <c r="X339" s="564"/>
      <c r="Y339" s="564"/>
      <c r="Z339" s="565"/>
      <c r="AA339" s="565"/>
      <c r="AB339" s="566"/>
      <c r="AC339" s="559"/>
      <c r="AD339" s="559"/>
      <c r="AE339" s="559"/>
      <c r="AF339" s="559"/>
    </row>
    <row r="340" spans="1:32" s="510" customFormat="1" x14ac:dyDescent="0.2">
      <c r="A340" s="15"/>
      <c r="B340" s="21"/>
      <c r="C340" s="21"/>
      <c r="D340" s="15"/>
      <c r="E340" s="15"/>
      <c r="F340" s="15"/>
      <c r="G340" s="15"/>
      <c r="H340" s="22"/>
      <c r="I340" s="23"/>
      <c r="J340" s="24"/>
      <c r="K340" s="23"/>
      <c r="L340" s="15"/>
      <c r="M340" s="15"/>
      <c r="N340" s="15"/>
      <c r="O340" s="15"/>
      <c r="P340" s="22"/>
      <c r="Q340" s="25"/>
      <c r="R340" s="563"/>
      <c r="S340" s="23"/>
      <c r="T340" s="26"/>
      <c r="U340" s="24"/>
      <c r="V340" s="23"/>
      <c r="W340" s="23"/>
      <c r="X340" s="564"/>
      <c r="Y340" s="564"/>
      <c r="Z340" s="565"/>
      <c r="AA340" s="565"/>
      <c r="AB340" s="566"/>
      <c r="AC340" s="559"/>
      <c r="AD340" s="559"/>
      <c r="AE340" s="559"/>
      <c r="AF340" s="559"/>
    </row>
    <row r="341" spans="1:32" s="510" customFormat="1" x14ac:dyDescent="0.2">
      <c r="A341" s="15"/>
      <c r="B341" s="21"/>
      <c r="C341" s="21"/>
      <c r="D341" s="15"/>
      <c r="E341" s="15"/>
      <c r="F341" s="15"/>
      <c r="G341" s="15"/>
      <c r="H341" s="22"/>
      <c r="I341" s="23"/>
      <c r="J341" s="24"/>
      <c r="K341" s="23"/>
      <c r="L341" s="15"/>
      <c r="M341" s="15"/>
      <c r="N341" s="15"/>
      <c r="O341" s="15"/>
      <c r="P341" s="22"/>
      <c r="Q341" s="25"/>
      <c r="R341" s="563"/>
      <c r="S341" s="23"/>
      <c r="T341" s="26"/>
      <c r="U341" s="24"/>
      <c r="V341" s="23"/>
      <c r="W341" s="23"/>
      <c r="X341" s="564"/>
      <c r="Y341" s="564"/>
      <c r="Z341" s="565"/>
      <c r="AA341" s="565"/>
      <c r="AB341" s="566"/>
      <c r="AC341" s="559"/>
      <c r="AD341" s="559"/>
      <c r="AE341" s="559"/>
      <c r="AF341" s="559"/>
    </row>
    <row r="342" spans="1:32" s="510" customFormat="1" x14ac:dyDescent="0.2">
      <c r="A342" s="15"/>
      <c r="B342" s="21"/>
      <c r="C342" s="21"/>
      <c r="D342" s="15"/>
      <c r="E342" s="15"/>
      <c r="F342" s="15"/>
      <c r="G342" s="15"/>
      <c r="H342" s="22"/>
      <c r="I342" s="23"/>
      <c r="J342" s="24"/>
      <c r="K342" s="23"/>
      <c r="L342" s="15"/>
      <c r="M342" s="15"/>
      <c r="N342" s="15"/>
      <c r="O342" s="15"/>
      <c r="P342" s="22"/>
      <c r="Q342" s="25"/>
      <c r="R342" s="563"/>
      <c r="S342" s="23"/>
      <c r="T342" s="26"/>
      <c r="U342" s="24"/>
      <c r="V342" s="23"/>
      <c r="W342" s="23"/>
      <c r="X342" s="564"/>
      <c r="Y342" s="564"/>
      <c r="Z342" s="565"/>
      <c r="AA342" s="565"/>
      <c r="AB342" s="566"/>
      <c r="AC342" s="559"/>
      <c r="AD342" s="559"/>
      <c r="AE342" s="559"/>
      <c r="AF342" s="559"/>
    </row>
    <row r="343" spans="1:32" s="510" customFormat="1" x14ac:dyDescent="0.2">
      <c r="A343" s="15"/>
      <c r="B343" s="21"/>
      <c r="C343" s="21"/>
      <c r="D343" s="15"/>
      <c r="E343" s="15"/>
      <c r="F343" s="15"/>
      <c r="G343" s="15"/>
      <c r="H343" s="22"/>
      <c r="I343" s="23"/>
      <c r="J343" s="24"/>
      <c r="K343" s="23"/>
      <c r="L343" s="15"/>
      <c r="M343" s="15"/>
      <c r="N343" s="15"/>
      <c r="O343" s="15"/>
      <c r="P343" s="22"/>
      <c r="Q343" s="25"/>
      <c r="R343" s="563"/>
      <c r="S343" s="23"/>
      <c r="T343" s="26"/>
      <c r="U343" s="24"/>
      <c r="V343" s="23"/>
      <c r="W343" s="23"/>
      <c r="X343" s="564"/>
      <c r="Y343" s="564"/>
      <c r="Z343" s="565"/>
      <c r="AA343" s="565"/>
      <c r="AB343" s="566"/>
      <c r="AC343" s="559"/>
      <c r="AD343" s="559"/>
      <c r="AE343" s="559"/>
      <c r="AF343" s="559"/>
    </row>
    <row r="344" spans="1:32" s="510" customFormat="1" x14ac:dyDescent="0.2">
      <c r="A344" s="27"/>
      <c r="B344" s="28"/>
      <c r="C344" s="28"/>
      <c r="D344" s="27"/>
      <c r="E344" s="27"/>
      <c r="F344" s="27"/>
      <c r="G344" s="27"/>
      <c r="H344" s="29"/>
      <c r="I344" s="30"/>
      <c r="J344" s="31"/>
      <c r="K344" s="30"/>
      <c r="L344" s="27"/>
      <c r="M344" s="27"/>
      <c r="N344" s="27"/>
      <c r="O344" s="27"/>
      <c r="P344" s="27"/>
      <c r="Q344" s="32"/>
      <c r="R344" s="567"/>
      <c r="S344" s="30"/>
      <c r="T344" s="33"/>
      <c r="U344" s="31"/>
      <c r="V344" s="30"/>
      <c r="W344" s="30"/>
      <c r="X344" s="568"/>
      <c r="Y344" s="568"/>
      <c r="Z344" s="569"/>
      <c r="AA344" s="569"/>
      <c r="AB344" s="570"/>
      <c r="AC344" s="571"/>
      <c r="AD344" s="571"/>
      <c r="AE344" s="571"/>
      <c r="AF344" s="571"/>
    </row>
    <row r="345" spans="1:32" s="510" customFormat="1" ht="15" x14ac:dyDescent="0.25">
      <c r="A345" s="2027"/>
      <c r="B345" s="2027"/>
      <c r="C345" s="2027"/>
      <c r="D345" s="2027"/>
      <c r="E345" s="2027"/>
      <c r="F345" s="2027"/>
      <c r="G345" s="2027"/>
      <c r="H345" s="2028"/>
      <c r="I345" s="2029"/>
      <c r="J345" s="2030"/>
      <c r="K345" s="2029"/>
      <c r="L345" s="2029"/>
      <c r="M345" s="2029"/>
      <c r="N345" s="2029"/>
      <c r="O345" s="2029"/>
      <c r="P345" s="2029"/>
      <c r="Q345" s="2029"/>
      <c r="R345" s="2031"/>
      <c r="S345" s="2029"/>
      <c r="T345" s="2032"/>
      <c r="U345" s="2030"/>
      <c r="V345" s="2029"/>
      <c r="W345" s="2029"/>
      <c r="X345" s="2033"/>
      <c r="Y345" s="2033"/>
      <c r="Z345" s="2034"/>
      <c r="AA345" s="2034"/>
      <c r="AB345" s="2035">
        <f>SUM(AB328:AB344)</f>
        <v>1959.6</v>
      </c>
      <c r="AC345" s="2036"/>
      <c r="AD345" s="2036"/>
      <c r="AE345" s="2036"/>
      <c r="AF345" s="2036"/>
    </row>
    <row r="346" spans="1:32" s="510" customFormat="1" ht="15.75" x14ac:dyDescent="0.25">
      <c r="A346" s="2820" t="s">
        <v>76</v>
      </c>
      <c r="B346" s="2820"/>
      <c r="C346" s="2821" t="s">
        <v>77</v>
      </c>
      <c r="D346" s="2821"/>
      <c r="E346" s="2821"/>
      <c r="F346" s="2821"/>
      <c r="G346" s="2821"/>
      <c r="H346" s="2821"/>
      <c r="I346" s="577" t="s">
        <v>78</v>
      </c>
      <c r="J346" s="577"/>
      <c r="K346" s="577"/>
      <c r="L346" s="577"/>
      <c r="M346" s="577"/>
      <c r="N346" s="577"/>
      <c r="AB346" s="578"/>
    </row>
    <row r="347" spans="1:32" s="510" customFormat="1" ht="15.75" x14ac:dyDescent="0.25">
      <c r="A347" s="577"/>
      <c r="B347" s="579"/>
      <c r="C347" s="577"/>
      <c r="D347" s="577"/>
      <c r="E347" s="577"/>
      <c r="F347" s="577"/>
      <c r="G347" s="577"/>
      <c r="H347" s="577"/>
      <c r="I347" s="577" t="s">
        <v>79</v>
      </c>
      <c r="J347" s="577"/>
      <c r="K347" s="577"/>
      <c r="L347" s="577"/>
      <c r="M347" s="577"/>
      <c r="N347" s="577"/>
      <c r="AB347" s="578"/>
    </row>
    <row r="348" spans="1:32" s="510" customFormat="1" ht="15.75" x14ac:dyDescent="0.25">
      <c r="A348" s="577"/>
      <c r="B348" s="579"/>
      <c r="C348" s="577"/>
      <c r="D348" s="577"/>
      <c r="E348" s="577"/>
      <c r="F348" s="577"/>
      <c r="G348" s="577"/>
      <c r="H348" s="577"/>
      <c r="I348" s="577" t="s">
        <v>80</v>
      </c>
      <c r="J348" s="577"/>
      <c r="K348" s="577"/>
      <c r="L348" s="577"/>
      <c r="M348" s="577"/>
      <c r="N348" s="577"/>
      <c r="AB348" s="578"/>
    </row>
    <row r="349" spans="1:32" s="510" customFormat="1" ht="15.75" x14ac:dyDescent="0.25">
      <c r="A349" s="577"/>
      <c r="B349" s="579"/>
      <c r="C349" s="577"/>
      <c r="D349" s="577"/>
      <c r="E349" s="577"/>
      <c r="F349" s="577"/>
      <c r="G349" s="577"/>
      <c r="H349" s="577"/>
      <c r="I349" s="577" t="s">
        <v>81</v>
      </c>
      <c r="J349" s="577"/>
      <c r="K349" s="577"/>
      <c r="L349" s="577"/>
      <c r="M349" s="577"/>
      <c r="N349" s="577"/>
      <c r="AB349" s="578"/>
    </row>
    <row r="350" spans="1:32" s="510" customFormat="1" ht="15.75" x14ac:dyDescent="0.25">
      <c r="A350" s="577"/>
      <c r="B350" s="579"/>
      <c r="C350" s="577"/>
      <c r="D350" s="577"/>
      <c r="E350" s="577"/>
      <c r="F350" s="577"/>
      <c r="G350" s="577"/>
      <c r="H350" s="577"/>
      <c r="I350" s="577" t="s">
        <v>88</v>
      </c>
      <c r="J350" s="577"/>
      <c r="K350" s="577"/>
      <c r="L350" s="577"/>
      <c r="M350" s="577"/>
      <c r="N350" s="577"/>
      <c r="AB350" s="578"/>
    </row>
    <row r="351" spans="1:32" s="510" customFormat="1" ht="18.75" x14ac:dyDescent="0.2">
      <c r="A351" s="338"/>
      <c r="B351" s="338"/>
      <c r="C351" s="338"/>
      <c r="D351" s="338"/>
      <c r="E351" s="338"/>
      <c r="F351" s="338"/>
      <c r="G351" s="338"/>
      <c r="H351" s="338"/>
      <c r="I351" s="338"/>
      <c r="J351" s="338"/>
      <c r="K351" s="338"/>
      <c r="L351" s="338"/>
      <c r="M351" s="338"/>
      <c r="N351" s="338"/>
      <c r="O351" s="338"/>
      <c r="P351" s="338"/>
      <c r="Q351" s="338"/>
      <c r="R351" s="338"/>
      <c r="S351" s="338"/>
      <c r="T351" s="338"/>
      <c r="U351" s="338"/>
      <c r="V351" s="338"/>
      <c r="W351" s="338"/>
      <c r="X351" s="338"/>
      <c r="Y351" s="338"/>
      <c r="Z351" s="338"/>
      <c r="AA351" s="2774" t="s">
        <v>0</v>
      </c>
      <c r="AB351" s="2774"/>
    </row>
    <row r="352" spans="1:32" s="510" customFormat="1" ht="18.75" x14ac:dyDescent="0.2">
      <c r="A352" s="2703" t="s">
        <v>1</v>
      </c>
      <c r="B352" s="2703"/>
      <c r="C352" s="2703"/>
      <c r="D352" s="2703"/>
      <c r="E352" s="2703"/>
      <c r="F352" s="2703"/>
      <c r="G352" s="2703"/>
      <c r="H352" s="2703"/>
      <c r="I352" s="2703"/>
      <c r="J352" s="2703"/>
      <c r="K352" s="2703"/>
      <c r="L352" s="2703"/>
      <c r="M352" s="2703"/>
      <c r="N352" s="2703"/>
      <c r="O352" s="2703"/>
      <c r="P352" s="2703"/>
      <c r="Q352" s="2703"/>
      <c r="R352" s="2703"/>
      <c r="S352" s="2703"/>
      <c r="T352" s="2703"/>
      <c r="U352" s="2703"/>
      <c r="V352" s="2703"/>
      <c r="W352" s="2703"/>
      <c r="X352" s="2703"/>
      <c r="Y352" s="2703"/>
      <c r="Z352" s="2703"/>
      <c r="AA352" s="2703"/>
      <c r="AB352" s="2703"/>
    </row>
    <row r="353" spans="1:28" s="510" customFormat="1" ht="21" x14ac:dyDescent="0.2">
      <c r="A353" s="2780" t="s">
        <v>529</v>
      </c>
      <c r="B353" s="2780"/>
      <c r="C353" s="2780"/>
      <c r="D353" s="2780"/>
      <c r="E353" s="2780"/>
      <c r="F353" s="2780"/>
      <c r="G353" s="2780"/>
      <c r="H353" s="2780"/>
      <c r="I353" s="2780"/>
      <c r="J353" s="2780"/>
      <c r="K353" s="2780"/>
      <c r="L353" s="2780"/>
      <c r="M353" s="2780"/>
      <c r="N353" s="2780"/>
      <c r="O353" s="2780"/>
      <c r="P353" s="2780"/>
      <c r="Q353" s="2780"/>
      <c r="R353" s="2780"/>
      <c r="S353" s="2780"/>
      <c r="T353" s="2780"/>
      <c r="U353" s="2780"/>
      <c r="V353" s="2780"/>
      <c r="W353" s="2780"/>
      <c r="X353" s="2780"/>
      <c r="Y353" s="2780"/>
      <c r="Z353" s="2780"/>
      <c r="AA353" s="2780"/>
      <c r="AB353" s="2780"/>
    </row>
    <row r="354" spans="1:28" s="510" customFormat="1" ht="15" x14ac:dyDescent="0.25">
      <c r="A354" s="2686" t="s">
        <v>2</v>
      </c>
      <c r="B354" s="511"/>
      <c r="C354" s="2686" t="s">
        <v>3</v>
      </c>
      <c r="D354" s="511"/>
      <c r="E354" s="511"/>
      <c r="F354" s="2693" t="s">
        <v>4</v>
      </c>
      <c r="G354" s="2693"/>
      <c r="H354" s="2693"/>
      <c r="I354" s="2694"/>
      <c r="J354" s="2694"/>
      <c r="K354" s="2695"/>
      <c r="L354" s="361"/>
      <c r="M354" s="2679" t="s">
        <v>5</v>
      </c>
      <c r="N354" s="2679"/>
      <c r="O354" s="2679"/>
      <c r="P354" s="2679"/>
      <c r="Q354" s="2696"/>
      <c r="R354" s="2696"/>
      <c r="S354" s="2696"/>
      <c r="T354" s="2696"/>
      <c r="U354" s="2696"/>
      <c r="V354" s="2697"/>
      <c r="W354" s="512" t="s">
        <v>6</v>
      </c>
      <c r="X354" s="513" t="s">
        <v>7</v>
      </c>
      <c r="Y354" s="514"/>
      <c r="Z354" s="514"/>
      <c r="AA354" s="513"/>
      <c r="AB354" s="515"/>
    </row>
    <row r="355" spans="1:28" s="510" customFormat="1" x14ac:dyDescent="0.2">
      <c r="A355" s="2687"/>
      <c r="B355" s="367"/>
      <c r="C355" s="2687"/>
      <c r="D355" s="518" t="s">
        <v>9</v>
      </c>
      <c r="E355" s="519" t="s">
        <v>10</v>
      </c>
      <c r="F355" s="2698" t="s">
        <v>11</v>
      </c>
      <c r="G355" s="2694"/>
      <c r="H355" s="2695"/>
      <c r="I355" s="511"/>
      <c r="J355" s="520" t="s">
        <v>12</v>
      </c>
      <c r="K355" s="511"/>
      <c r="L355" s="2679" t="s">
        <v>2</v>
      </c>
      <c r="M355" s="521"/>
      <c r="N355" s="521"/>
      <c r="O355" s="521"/>
      <c r="P355" s="522"/>
      <c r="Q355" s="523" t="s">
        <v>13</v>
      </c>
      <c r="R355" s="524" t="s">
        <v>12</v>
      </c>
      <c r="S355" s="521" t="s">
        <v>6</v>
      </c>
      <c r="T355" s="2682" t="s">
        <v>14</v>
      </c>
      <c r="U355" s="2683"/>
      <c r="V355" s="525" t="s">
        <v>7</v>
      </c>
      <c r="W355" s="526" t="s">
        <v>15</v>
      </c>
      <c r="X355" s="527" t="s">
        <v>16</v>
      </c>
      <c r="Y355" s="527" t="s">
        <v>17</v>
      </c>
      <c r="Z355" s="527" t="s">
        <v>18</v>
      </c>
      <c r="AA355" s="377"/>
      <c r="AB355" s="378" t="s">
        <v>19</v>
      </c>
    </row>
    <row r="356" spans="1:28" s="510" customFormat="1" x14ac:dyDescent="0.2">
      <c r="A356" s="2687"/>
      <c r="B356" s="1996" t="s">
        <v>23</v>
      </c>
      <c r="C356" s="2687"/>
      <c r="D356" s="518" t="s">
        <v>24</v>
      </c>
      <c r="E356" s="519" t="s">
        <v>25</v>
      </c>
      <c r="F356" s="2699"/>
      <c r="G356" s="2700"/>
      <c r="H356" s="2701"/>
      <c r="I356" s="518" t="s">
        <v>26</v>
      </c>
      <c r="J356" s="530" t="s">
        <v>15</v>
      </c>
      <c r="K356" s="531" t="s">
        <v>6</v>
      </c>
      <c r="L356" s="2680"/>
      <c r="M356" s="532" t="s">
        <v>27</v>
      </c>
      <c r="N356" s="532" t="s">
        <v>10</v>
      </c>
      <c r="O356" s="533" t="s">
        <v>10</v>
      </c>
      <c r="P356" s="534" t="s">
        <v>28</v>
      </c>
      <c r="Q356" s="535" t="s">
        <v>29</v>
      </c>
      <c r="R356" s="534" t="s">
        <v>15</v>
      </c>
      <c r="S356" s="385" t="s">
        <v>15</v>
      </c>
      <c r="T356" s="2684"/>
      <c r="U356" s="2685"/>
      <c r="V356" s="525" t="s">
        <v>30</v>
      </c>
      <c r="W356" s="526" t="s">
        <v>31</v>
      </c>
      <c r="X356" s="527" t="s">
        <v>30</v>
      </c>
      <c r="Y356" s="527" t="s">
        <v>32</v>
      </c>
      <c r="Z356" s="527" t="s">
        <v>7</v>
      </c>
      <c r="AA356" s="377" t="s">
        <v>33</v>
      </c>
      <c r="AB356" s="378" t="s">
        <v>34</v>
      </c>
    </row>
    <row r="357" spans="1:28" s="510" customFormat="1" x14ac:dyDescent="0.2">
      <c r="A357" s="2687"/>
      <c r="B357" s="1996" t="s">
        <v>39</v>
      </c>
      <c r="C357" s="2687"/>
      <c r="D357" s="518" t="s">
        <v>40</v>
      </c>
      <c r="E357" s="519" t="s">
        <v>41</v>
      </c>
      <c r="F357" s="2686" t="s">
        <v>42</v>
      </c>
      <c r="G357" s="2686" t="s">
        <v>43</v>
      </c>
      <c r="H357" s="2688" t="s">
        <v>44</v>
      </c>
      <c r="I357" s="518" t="s">
        <v>45</v>
      </c>
      <c r="J357" s="530" t="s">
        <v>46</v>
      </c>
      <c r="K357" s="531" t="s">
        <v>47</v>
      </c>
      <c r="L357" s="2680"/>
      <c r="M357" s="532" t="s">
        <v>30</v>
      </c>
      <c r="N357" s="532" t="s">
        <v>30</v>
      </c>
      <c r="O357" s="533" t="s">
        <v>25</v>
      </c>
      <c r="P357" s="534" t="s">
        <v>30</v>
      </c>
      <c r="Q357" s="535" t="s">
        <v>48</v>
      </c>
      <c r="R357" s="534" t="s">
        <v>49</v>
      </c>
      <c r="S357" s="385" t="s">
        <v>30</v>
      </c>
      <c r="T357" s="536" t="s">
        <v>50</v>
      </c>
      <c r="U357" s="537" t="s">
        <v>13</v>
      </c>
      <c r="V357" s="525" t="s">
        <v>51</v>
      </c>
      <c r="W357" s="526" t="s">
        <v>52</v>
      </c>
      <c r="X357" s="527" t="s">
        <v>53</v>
      </c>
      <c r="Y357" s="527" t="s">
        <v>54</v>
      </c>
      <c r="Z357" s="527" t="s">
        <v>55</v>
      </c>
      <c r="AA357" s="377" t="s">
        <v>56</v>
      </c>
      <c r="AB357" s="378" t="s">
        <v>57</v>
      </c>
    </row>
    <row r="358" spans="1:28" s="510" customFormat="1" ht="15" x14ac:dyDescent="0.25">
      <c r="A358" s="2687"/>
      <c r="B358" s="1996" t="s">
        <v>61</v>
      </c>
      <c r="C358" s="2687"/>
      <c r="D358" s="518" t="s">
        <v>62</v>
      </c>
      <c r="E358" s="519" t="s">
        <v>63</v>
      </c>
      <c r="F358" s="2687"/>
      <c r="G358" s="2687"/>
      <c r="H358" s="2689"/>
      <c r="I358" s="518" t="s">
        <v>64</v>
      </c>
      <c r="J358" s="530" t="s">
        <v>59</v>
      </c>
      <c r="K358" s="531" t="s">
        <v>59</v>
      </c>
      <c r="L358" s="2680"/>
      <c r="M358" s="532"/>
      <c r="N358" s="532"/>
      <c r="O358" s="533" t="s">
        <v>41</v>
      </c>
      <c r="P358" s="534" t="s">
        <v>65</v>
      </c>
      <c r="Q358" s="535" t="s">
        <v>66</v>
      </c>
      <c r="R358" s="534" t="s">
        <v>67</v>
      </c>
      <c r="S358" s="385" t="s">
        <v>59</v>
      </c>
      <c r="T358" s="538" t="s">
        <v>68</v>
      </c>
      <c r="U358" s="525" t="s">
        <v>14</v>
      </c>
      <c r="V358" s="525" t="s">
        <v>14</v>
      </c>
      <c r="W358" s="526" t="s">
        <v>30</v>
      </c>
      <c r="X358" s="539" t="s">
        <v>69</v>
      </c>
      <c r="Y358" s="539" t="s">
        <v>70</v>
      </c>
      <c r="Z358" s="527" t="s">
        <v>71</v>
      </c>
      <c r="AA358" s="377" t="s">
        <v>72</v>
      </c>
      <c r="AB358" s="540" t="s">
        <v>59</v>
      </c>
    </row>
    <row r="359" spans="1:28" s="510" customFormat="1" x14ac:dyDescent="0.2">
      <c r="A359" s="2692"/>
      <c r="B359" s="390"/>
      <c r="C359" s="2692"/>
      <c r="D359" s="541"/>
      <c r="E359" s="542"/>
      <c r="F359" s="390"/>
      <c r="G359" s="390"/>
      <c r="H359" s="391"/>
      <c r="I359" s="542"/>
      <c r="J359" s="543"/>
      <c r="K359" s="544"/>
      <c r="L359" s="2681"/>
      <c r="M359" s="545"/>
      <c r="N359" s="545"/>
      <c r="O359" s="545" t="s">
        <v>63</v>
      </c>
      <c r="P359" s="546"/>
      <c r="Q359" s="547" t="s">
        <v>72</v>
      </c>
      <c r="R359" s="548" t="s">
        <v>59</v>
      </c>
      <c r="S359" s="549"/>
      <c r="T359" s="548" t="s">
        <v>73</v>
      </c>
      <c r="U359" s="549" t="s">
        <v>59</v>
      </c>
      <c r="V359" s="550" t="s">
        <v>59</v>
      </c>
      <c r="W359" s="551" t="s">
        <v>59</v>
      </c>
      <c r="X359" s="552" t="s">
        <v>59</v>
      </c>
      <c r="Y359" s="552" t="s">
        <v>59</v>
      </c>
      <c r="Z359" s="552" t="s">
        <v>59</v>
      </c>
      <c r="AA359" s="402"/>
      <c r="AB359" s="403"/>
    </row>
    <row r="360" spans="1:28" s="510" customFormat="1" ht="15" x14ac:dyDescent="0.25">
      <c r="A360" s="16">
        <v>1</v>
      </c>
      <c r="B360" s="333">
        <v>2495</v>
      </c>
      <c r="C360" s="41">
        <v>73</v>
      </c>
      <c r="D360" s="41" t="s">
        <v>238</v>
      </c>
      <c r="E360" s="41">
        <v>4</v>
      </c>
      <c r="F360" s="41">
        <v>9</v>
      </c>
      <c r="G360" s="41">
        <v>3</v>
      </c>
      <c r="H360" s="267">
        <v>67.400000000000006</v>
      </c>
      <c r="I360" s="44">
        <f>F360*400+G360*100+H360</f>
        <v>3967.4</v>
      </c>
      <c r="J360" s="42">
        <v>250</v>
      </c>
      <c r="K360" s="46">
        <f>SUM(I360*J360)</f>
        <v>991850</v>
      </c>
      <c r="L360" s="16"/>
      <c r="M360" s="82"/>
      <c r="N360" s="41"/>
      <c r="O360" s="16"/>
      <c r="P360" s="41"/>
      <c r="Q360" s="14"/>
      <c r="R360" s="553"/>
      <c r="S360" s="44"/>
      <c r="T360" s="57"/>
      <c r="U360" s="44"/>
      <c r="V360" s="44"/>
      <c r="W360" s="44">
        <f>K360+V360</f>
        <v>991850</v>
      </c>
      <c r="X360" s="44">
        <f>W360</f>
        <v>991850</v>
      </c>
      <c r="Y360" s="66">
        <v>0</v>
      </c>
      <c r="Z360" s="44">
        <f>X360</f>
        <v>991850</v>
      </c>
      <c r="AA360" s="852">
        <v>0.6</v>
      </c>
      <c r="AB360" s="853">
        <f>+Z360*AA360/100</f>
        <v>5951.1</v>
      </c>
    </row>
    <row r="361" spans="1:28" s="510" customFormat="1" ht="15" x14ac:dyDescent="0.25">
      <c r="A361" s="50">
        <v>2</v>
      </c>
      <c r="B361" s="287">
        <v>29165</v>
      </c>
      <c r="C361" s="15">
        <v>1376</v>
      </c>
      <c r="D361" s="15" t="s">
        <v>238</v>
      </c>
      <c r="E361" s="15">
        <v>4</v>
      </c>
      <c r="F361" s="15">
        <v>4</v>
      </c>
      <c r="G361" s="15">
        <v>0</v>
      </c>
      <c r="H361" s="284">
        <v>0</v>
      </c>
      <c r="I361" s="18">
        <f>F361*400+G361*100+H361</f>
        <v>1600</v>
      </c>
      <c r="J361" s="23">
        <v>1400</v>
      </c>
      <c r="K361" s="39">
        <f>SUM(I361*J361)</f>
        <v>2240000</v>
      </c>
      <c r="L361" s="50"/>
      <c r="M361" s="1997"/>
      <c r="N361" s="15"/>
      <c r="O361" s="50"/>
      <c r="P361" s="15"/>
      <c r="Q361" s="76"/>
      <c r="R361" s="260"/>
      <c r="S361" s="18"/>
      <c r="T361" s="59"/>
      <c r="U361" s="18"/>
      <c r="V361" s="18"/>
      <c r="W361" s="18">
        <f>K361+V361</f>
        <v>2240000</v>
      </c>
      <c r="X361" s="18">
        <f>W361</f>
        <v>2240000</v>
      </c>
      <c r="Y361" s="92">
        <v>0</v>
      </c>
      <c r="Z361" s="39">
        <f>X361</f>
        <v>2240000</v>
      </c>
      <c r="AA361" s="264">
        <v>0.6</v>
      </c>
      <c r="AB361" s="566">
        <f>+Z361*AA361/100</f>
        <v>13440</v>
      </c>
    </row>
    <row r="362" spans="1:28" s="510" customFormat="1" x14ac:dyDescent="0.2">
      <c r="A362" s="15"/>
      <c r="B362" s="21"/>
      <c r="C362" s="21"/>
      <c r="D362" s="15"/>
      <c r="E362" s="15"/>
      <c r="F362" s="15"/>
      <c r="G362" s="15"/>
      <c r="H362" s="22"/>
      <c r="I362" s="23"/>
      <c r="J362" s="24"/>
      <c r="K362" s="23"/>
      <c r="L362" s="15"/>
      <c r="M362" s="15"/>
      <c r="N362" s="15"/>
      <c r="O362" s="15"/>
      <c r="P362" s="22"/>
      <c r="Q362" s="25"/>
      <c r="R362" s="563"/>
      <c r="S362" s="23"/>
      <c r="T362" s="26"/>
      <c r="U362" s="24"/>
      <c r="V362" s="23"/>
      <c r="W362" s="23"/>
      <c r="X362" s="564"/>
      <c r="Y362" s="564"/>
      <c r="Z362" s="565"/>
      <c r="AA362" s="565"/>
      <c r="AB362" s="566"/>
    </row>
    <row r="363" spans="1:28" s="510" customFormat="1" x14ac:dyDescent="0.2">
      <c r="A363" s="15"/>
      <c r="B363" s="21"/>
      <c r="C363" s="21"/>
      <c r="D363" s="15"/>
      <c r="E363" s="15"/>
      <c r="F363" s="15"/>
      <c r="G363" s="15"/>
      <c r="H363" s="22"/>
      <c r="I363" s="23"/>
      <c r="J363" s="24"/>
      <c r="K363" s="23"/>
      <c r="L363" s="15"/>
      <c r="M363" s="15"/>
      <c r="N363" s="15"/>
      <c r="O363" s="15"/>
      <c r="P363" s="22"/>
      <c r="Q363" s="25"/>
      <c r="R363" s="563"/>
      <c r="S363" s="23"/>
      <c r="T363" s="26"/>
      <c r="U363" s="24"/>
      <c r="V363" s="23"/>
      <c r="W363" s="23"/>
      <c r="X363" s="564"/>
      <c r="Y363" s="564"/>
      <c r="Z363" s="565"/>
      <c r="AA363" s="565"/>
      <c r="AB363" s="566"/>
    </row>
    <row r="364" spans="1:28" s="510" customFormat="1" x14ac:dyDescent="0.2">
      <c r="A364" s="15"/>
      <c r="B364" s="21"/>
      <c r="C364" s="21"/>
      <c r="D364" s="15"/>
      <c r="E364" s="15"/>
      <c r="F364" s="15"/>
      <c r="G364" s="15"/>
      <c r="H364" s="22"/>
      <c r="I364" s="23"/>
      <c r="J364" s="24"/>
      <c r="K364" s="23"/>
      <c r="L364" s="15"/>
      <c r="M364" s="15"/>
      <c r="N364" s="15"/>
      <c r="O364" s="15"/>
      <c r="P364" s="22"/>
      <c r="Q364" s="25"/>
      <c r="R364" s="563"/>
      <c r="S364" s="23"/>
      <c r="T364" s="26"/>
      <c r="U364" s="24"/>
      <c r="V364" s="23"/>
      <c r="W364" s="23"/>
      <c r="X364" s="564"/>
      <c r="Y364" s="564"/>
      <c r="Z364" s="565"/>
      <c r="AA364" s="565"/>
      <c r="AB364" s="566"/>
    </row>
    <row r="365" spans="1:28" s="510" customFormat="1" x14ac:dyDescent="0.2">
      <c r="A365" s="15"/>
      <c r="B365" s="21"/>
      <c r="C365" s="21"/>
      <c r="D365" s="15"/>
      <c r="E365" s="15"/>
      <c r="F365" s="15"/>
      <c r="G365" s="15"/>
      <c r="H365" s="22"/>
      <c r="I365" s="23"/>
      <c r="J365" s="24"/>
      <c r="K365" s="23"/>
      <c r="L365" s="15"/>
      <c r="M365" s="15"/>
      <c r="N365" s="15"/>
      <c r="O365" s="15"/>
      <c r="P365" s="22"/>
      <c r="Q365" s="25"/>
      <c r="R365" s="563"/>
      <c r="S365" s="23"/>
      <c r="T365" s="26"/>
      <c r="U365" s="24"/>
      <c r="V365" s="23"/>
      <c r="W365" s="23"/>
      <c r="X365" s="564"/>
      <c r="Y365" s="564"/>
      <c r="Z365" s="565"/>
      <c r="AA365" s="565"/>
      <c r="AB365" s="566"/>
    </row>
    <row r="366" spans="1:28" s="510" customFormat="1" x14ac:dyDescent="0.2">
      <c r="A366" s="15"/>
      <c r="B366" s="21"/>
      <c r="C366" s="21"/>
      <c r="D366" s="15"/>
      <c r="E366" s="15"/>
      <c r="F366" s="15"/>
      <c r="G366" s="15"/>
      <c r="H366" s="22"/>
      <c r="I366" s="23"/>
      <c r="J366" s="24"/>
      <c r="K366" s="23"/>
      <c r="L366" s="15"/>
      <c r="M366" s="15"/>
      <c r="N366" s="15"/>
      <c r="O366" s="15"/>
      <c r="P366" s="22"/>
      <c r="Q366" s="25"/>
      <c r="R366" s="563"/>
      <c r="S366" s="23"/>
      <c r="T366" s="26"/>
      <c r="U366" s="24"/>
      <c r="V366" s="23"/>
      <c r="W366" s="23"/>
      <c r="X366" s="564"/>
      <c r="Y366" s="564"/>
      <c r="Z366" s="565"/>
      <c r="AA366" s="565"/>
      <c r="AB366" s="566"/>
    </row>
    <row r="367" spans="1:28" s="510" customFormat="1" x14ac:dyDescent="0.2">
      <c r="A367" s="15"/>
      <c r="B367" s="21"/>
      <c r="C367" s="21"/>
      <c r="D367" s="15"/>
      <c r="E367" s="15"/>
      <c r="F367" s="15"/>
      <c r="G367" s="15"/>
      <c r="H367" s="22"/>
      <c r="I367" s="23"/>
      <c r="J367" s="24"/>
      <c r="K367" s="23"/>
      <c r="L367" s="15"/>
      <c r="M367" s="15"/>
      <c r="N367" s="15"/>
      <c r="O367" s="15"/>
      <c r="P367" s="22"/>
      <c r="Q367" s="25"/>
      <c r="R367" s="563"/>
      <c r="S367" s="23"/>
      <c r="T367" s="26"/>
      <c r="U367" s="24"/>
      <c r="V367" s="23"/>
      <c r="W367" s="23"/>
      <c r="X367" s="564"/>
      <c r="Y367" s="564"/>
      <c r="Z367" s="565"/>
      <c r="AA367" s="565"/>
      <c r="AB367" s="566"/>
    </row>
    <row r="368" spans="1:28" s="510" customFormat="1" x14ac:dyDescent="0.2">
      <c r="A368" s="15"/>
      <c r="B368" s="21"/>
      <c r="C368" s="21"/>
      <c r="D368" s="15"/>
      <c r="E368" s="15"/>
      <c r="F368" s="15"/>
      <c r="G368" s="15"/>
      <c r="H368" s="22"/>
      <c r="I368" s="23"/>
      <c r="J368" s="24"/>
      <c r="K368" s="23"/>
      <c r="L368" s="15"/>
      <c r="M368" s="15"/>
      <c r="N368" s="15"/>
      <c r="O368" s="15"/>
      <c r="P368" s="22"/>
      <c r="Q368" s="25"/>
      <c r="R368" s="563"/>
      <c r="S368" s="23"/>
      <c r="T368" s="26"/>
      <c r="U368" s="24"/>
      <c r="V368" s="23"/>
      <c r="W368" s="23"/>
      <c r="X368" s="564"/>
      <c r="Y368" s="564"/>
      <c r="Z368" s="565"/>
      <c r="AA368" s="565"/>
      <c r="AB368" s="566"/>
    </row>
    <row r="369" spans="1:28" s="510" customFormat="1" x14ac:dyDescent="0.2">
      <c r="A369" s="15"/>
      <c r="B369" s="21"/>
      <c r="C369" s="21"/>
      <c r="D369" s="15"/>
      <c r="E369" s="15"/>
      <c r="F369" s="15"/>
      <c r="G369" s="15"/>
      <c r="H369" s="22"/>
      <c r="I369" s="23"/>
      <c r="J369" s="24"/>
      <c r="K369" s="23"/>
      <c r="L369" s="15"/>
      <c r="M369" s="15"/>
      <c r="N369" s="15"/>
      <c r="O369" s="15"/>
      <c r="P369" s="22"/>
      <c r="Q369" s="25"/>
      <c r="R369" s="563"/>
      <c r="S369" s="23"/>
      <c r="T369" s="26"/>
      <c r="U369" s="24"/>
      <c r="V369" s="23"/>
      <c r="W369" s="23"/>
      <c r="X369" s="564"/>
      <c r="Y369" s="564"/>
      <c r="Z369" s="565"/>
      <c r="AA369" s="565"/>
      <c r="AB369" s="566"/>
    </row>
    <row r="370" spans="1:28" s="510" customFormat="1" x14ac:dyDescent="0.2">
      <c r="A370" s="15"/>
      <c r="B370" s="21"/>
      <c r="C370" s="21"/>
      <c r="D370" s="15"/>
      <c r="E370" s="15"/>
      <c r="F370" s="15"/>
      <c r="G370" s="15"/>
      <c r="H370" s="22"/>
      <c r="I370" s="23"/>
      <c r="J370" s="24"/>
      <c r="K370" s="23"/>
      <c r="L370" s="15"/>
      <c r="M370" s="15"/>
      <c r="N370" s="15"/>
      <c r="O370" s="15"/>
      <c r="P370" s="22"/>
      <c r="Q370" s="25"/>
      <c r="R370" s="563"/>
      <c r="S370" s="23"/>
      <c r="T370" s="26"/>
      <c r="U370" s="24"/>
      <c r="V370" s="23"/>
      <c r="W370" s="23"/>
      <c r="X370" s="564"/>
      <c r="Y370" s="564"/>
      <c r="Z370" s="565"/>
      <c r="AA370" s="565"/>
      <c r="AB370" s="566"/>
    </row>
    <row r="371" spans="1:28" s="510" customFormat="1" x14ac:dyDescent="0.2">
      <c r="A371" s="15"/>
      <c r="B371" s="21"/>
      <c r="C371" s="21"/>
      <c r="D371" s="15"/>
      <c r="E371" s="15"/>
      <c r="F371" s="15"/>
      <c r="G371" s="15"/>
      <c r="H371" s="22"/>
      <c r="I371" s="23"/>
      <c r="J371" s="24"/>
      <c r="K371" s="23"/>
      <c r="L371" s="15"/>
      <c r="M371" s="15"/>
      <c r="N371" s="15"/>
      <c r="O371" s="15"/>
      <c r="P371" s="22"/>
      <c r="Q371" s="25"/>
      <c r="R371" s="563"/>
      <c r="S371" s="23"/>
      <c r="T371" s="26"/>
      <c r="U371" s="24"/>
      <c r="V371" s="23"/>
      <c r="W371" s="23"/>
      <c r="X371" s="564"/>
      <c r="Y371" s="564"/>
      <c r="Z371" s="565"/>
      <c r="AA371" s="565"/>
      <c r="AB371" s="566"/>
    </row>
    <row r="372" spans="1:28" s="510" customFormat="1" x14ac:dyDescent="0.2">
      <c r="A372" s="15"/>
      <c r="B372" s="21"/>
      <c r="C372" s="21"/>
      <c r="D372" s="15"/>
      <c r="E372" s="15"/>
      <c r="F372" s="15"/>
      <c r="G372" s="15"/>
      <c r="H372" s="22"/>
      <c r="I372" s="23"/>
      <c r="J372" s="24"/>
      <c r="K372" s="23"/>
      <c r="L372" s="15"/>
      <c r="M372" s="15"/>
      <c r="N372" s="15"/>
      <c r="O372" s="15"/>
      <c r="P372" s="22"/>
      <c r="Q372" s="25"/>
      <c r="R372" s="563"/>
      <c r="S372" s="23"/>
      <c r="T372" s="26"/>
      <c r="U372" s="24"/>
      <c r="V372" s="23"/>
      <c r="W372" s="23"/>
      <c r="X372" s="564"/>
      <c r="Y372" s="564"/>
      <c r="Z372" s="565"/>
      <c r="AA372" s="565"/>
      <c r="AB372" s="566"/>
    </row>
    <row r="373" spans="1:28" s="510" customFormat="1" x14ac:dyDescent="0.2">
      <c r="A373" s="15"/>
      <c r="B373" s="21"/>
      <c r="C373" s="21"/>
      <c r="D373" s="15"/>
      <c r="E373" s="15"/>
      <c r="F373" s="15"/>
      <c r="G373" s="15"/>
      <c r="H373" s="22"/>
      <c r="I373" s="23"/>
      <c r="J373" s="24"/>
      <c r="K373" s="23"/>
      <c r="L373" s="15"/>
      <c r="M373" s="15"/>
      <c r="N373" s="15"/>
      <c r="O373" s="15"/>
      <c r="P373" s="22"/>
      <c r="Q373" s="25"/>
      <c r="R373" s="563"/>
      <c r="S373" s="23"/>
      <c r="T373" s="26"/>
      <c r="U373" s="24"/>
      <c r="V373" s="23"/>
      <c r="W373" s="23"/>
      <c r="X373" s="564"/>
      <c r="Y373" s="564"/>
      <c r="Z373" s="565"/>
      <c r="AA373" s="565"/>
      <c r="AB373" s="566"/>
    </row>
    <row r="374" spans="1:28" s="510" customFormat="1" x14ac:dyDescent="0.2">
      <c r="A374" s="15"/>
      <c r="B374" s="21"/>
      <c r="C374" s="21"/>
      <c r="D374" s="15"/>
      <c r="E374" s="15"/>
      <c r="F374" s="15"/>
      <c r="G374" s="15"/>
      <c r="H374" s="22"/>
      <c r="I374" s="23"/>
      <c r="J374" s="24"/>
      <c r="K374" s="23"/>
      <c r="L374" s="15"/>
      <c r="M374" s="15"/>
      <c r="N374" s="15"/>
      <c r="O374" s="15"/>
      <c r="P374" s="22"/>
      <c r="Q374" s="25"/>
      <c r="R374" s="563"/>
      <c r="S374" s="23"/>
      <c r="T374" s="26"/>
      <c r="U374" s="24"/>
      <c r="V374" s="23"/>
      <c r="W374" s="23"/>
      <c r="X374" s="564"/>
      <c r="Y374" s="564"/>
      <c r="Z374" s="565"/>
      <c r="AA374" s="565"/>
      <c r="AB374" s="566"/>
    </row>
    <row r="375" spans="1:28" s="510" customFormat="1" x14ac:dyDescent="0.2">
      <c r="A375" s="15"/>
      <c r="B375" s="21"/>
      <c r="C375" s="21"/>
      <c r="D375" s="15"/>
      <c r="E375" s="15"/>
      <c r="F375" s="15"/>
      <c r="G375" s="15"/>
      <c r="H375" s="22"/>
      <c r="I375" s="23"/>
      <c r="J375" s="24"/>
      <c r="K375" s="23"/>
      <c r="L375" s="15"/>
      <c r="M375" s="15"/>
      <c r="N375" s="15"/>
      <c r="O375" s="15"/>
      <c r="P375" s="22"/>
      <c r="Q375" s="25"/>
      <c r="R375" s="563"/>
      <c r="S375" s="23"/>
      <c r="T375" s="26"/>
      <c r="U375" s="24"/>
      <c r="V375" s="23"/>
      <c r="W375" s="23"/>
      <c r="X375" s="564"/>
      <c r="Y375" s="564"/>
      <c r="Z375" s="565"/>
      <c r="AA375" s="565"/>
      <c r="AB375" s="566"/>
    </row>
    <row r="376" spans="1:28" s="510" customFormat="1" x14ac:dyDescent="0.2">
      <c r="A376" s="27"/>
      <c r="B376" s="28"/>
      <c r="C376" s="28"/>
      <c r="D376" s="27"/>
      <c r="E376" s="27"/>
      <c r="F376" s="27"/>
      <c r="G376" s="27"/>
      <c r="H376" s="29"/>
      <c r="I376" s="30"/>
      <c r="J376" s="31"/>
      <c r="K376" s="30"/>
      <c r="L376" s="27"/>
      <c r="M376" s="27"/>
      <c r="N376" s="27"/>
      <c r="O376" s="27"/>
      <c r="P376" s="27"/>
      <c r="Q376" s="32"/>
      <c r="R376" s="567"/>
      <c r="S376" s="30"/>
      <c r="T376" s="33"/>
      <c r="U376" s="31"/>
      <c r="V376" s="30"/>
      <c r="W376" s="30"/>
      <c r="X376" s="568"/>
      <c r="Y376" s="568"/>
      <c r="Z376" s="569"/>
      <c r="AA376" s="569"/>
      <c r="AB376" s="570"/>
    </row>
    <row r="377" spans="1:28" s="510" customFormat="1" x14ac:dyDescent="0.2">
      <c r="A377" s="34"/>
      <c r="B377" s="34"/>
      <c r="C377" s="34"/>
      <c r="D377" s="34"/>
      <c r="E377" s="34"/>
      <c r="F377" s="34"/>
      <c r="G377" s="34"/>
      <c r="H377" s="35"/>
      <c r="I377" s="36"/>
      <c r="J377" s="37"/>
      <c r="K377" s="36"/>
      <c r="L377" s="36"/>
      <c r="M377" s="36"/>
      <c r="N377" s="36"/>
      <c r="O377" s="36"/>
      <c r="P377" s="36"/>
      <c r="Q377" s="36"/>
      <c r="R377" s="572"/>
      <c r="S377" s="36"/>
      <c r="T377" s="38"/>
      <c r="U377" s="37"/>
      <c r="V377" s="36"/>
      <c r="W377" s="36"/>
      <c r="X377" s="573"/>
      <c r="Y377" s="573"/>
      <c r="Z377" s="574"/>
      <c r="AA377" s="574"/>
      <c r="AB377" s="575">
        <f>SUM(AB360:AB376)</f>
        <v>19391.099999999999</v>
      </c>
    </row>
    <row r="378" spans="1:28" s="510" customFormat="1" ht="15.75" x14ac:dyDescent="0.25">
      <c r="A378" s="2820" t="s">
        <v>76</v>
      </c>
      <c r="B378" s="2820"/>
      <c r="C378" s="2821" t="s">
        <v>77</v>
      </c>
      <c r="D378" s="2821"/>
      <c r="E378" s="2821"/>
      <c r="F378" s="2821"/>
      <c r="G378" s="2821"/>
      <c r="H378" s="2821"/>
      <c r="I378" s="577" t="s">
        <v>78</v>
      </c>
      <c r="J378" s="577"/>
      <c r="K378" s="577"/>
      <c r="L378" s="577"/>
      <c r="M378" s="577"/>
      <c r="N378" s="577"/>
      <c r="AB378" s="578"/>
    </row>
    <row r="379" spans="1:28" s="510" customFormat="1" ht="15.75" x14ac:dyDescent="0.25">
      <c r="A379" s="577"/>
      <c r="B379" s="579"/>
      <c r="C379" s="577"/>
      <c r="D379" s="577"/>
      <c r="E379" s="577"/>
      <c r="F379" s="577"/>
      <c r="G379" s="577"/>
      <c r="H379" s="577"/>
      <c r="I379" s="577" t="s">
        <v>79</v>
      </c>
      <c r="J379" s="577"/>
      <c r="K379" s="577"/>
      <c r="L379" s="577"/>
      <c r="M379" s="577"/>
      <c r="N379" s="577"/>
      <c r="AB379" s="578"/>
    </row>
    <row r="380" spans="1:28" s="510" customFormat="1" ht="15.75" x14ac:dyDescent="0.25">
      <c r="A380" s="577"/>
      <c r="B380" s="579"/>
      <c r="C380" s="577"/>
      <c r="D380" s="577"/>
      <c r="E380" s="577"/>
      <c r="F380" s="577"/>
      <c r="G380" s="577"/>
      <c r="H380" s="577"/>
      <c r="I380" s="577" t="s">
        <v>80</v>
      </c>
      <c r="J380" s="577"/>
      <c r="K380" s="577"/>
      <c r="L380" s="577"/>
      <c r="M380" s="577"/>
      <c r="N380" s="577"/>
      <c r="AB380" s="578"/>
    </row>
    <row r="381" spans="1:28" s="510" customFormat="1" ht="15.75" x14ac:dyDescent="0.25">
      <c r="A381" s="577"/>
      <c r="B381" s="579"/>
      <c r="C381" s="577"/>
      <c r="D381" s="577"/>
      <c r="E381" s="577"/>
      <c r="F381" s="577"/>
      <c r="G381" s="577"/>
      <c r="H381" s="577"/>
      <c r="I381" s="577" t="s">
        <v>81</v>
      </c>
      <c r="J381" s="577"/>
      <c r="K381" s="577"/>
      <c r="L381" s="577"/>
      <c r="M381" s="577"/>
      <c r="N381" s="577"/>
      <c r="AB381" s="578"/>
    </row>
    <row r="382" spans="1:28" s="510" customFormat="1" ht="15.75" x14ac:dyDescent="0.25">
      <c r="A382" s="577"/>
      <c r="B382" s="579"/>
      <c r="C382" s="577"/>
      <c r="D382" s="577"/>
      <c r="E382" s="577"/>
      <c r="F382" s="577"/>
      <c r="G382" s="577"/>
      <c r="H382" s="577"/>
      <c r="I382" s="577" t="s">
        <v>88</v>
      </c>
      <c r="J382" s="577"/>
      <c r="K382" s="577"/>
      <c r="L382" s="577"/>
      <c r="M382" s="577"/>
      <c r="N382" s="577"/>
      <c r="AB382" s="578"/>
    </row>
    <row r="383" spans="1:28" s="510" customFormat="1" ht="18.75" x14ac:dyDescent="0.2">
      <c r="A383" s="338"/>
      <c r="B383" s="338"/>
      <c r="C383" s="338"/>
      <c r="D383" s="338"/>
      <c r="E383" s="338"/>
      <c r="F383" s="338"/>
      <c r="G383" s="338"/>
      <c r="H383" s="338"/>
      <c r="I383" s="338"/>
      <c r="J383" s="338"/>
      <c r="K383" s="338"/>
      <c r="L383" s="338"/>
      <c r="M383" s="338"/>
      <c r="N383" s="338"/>
      <c r="O383" s="338"/>
      <c r="P383" s="338"/>
      <c r="Q383" s="338"/>
      <c r="R383" s="338"/>
      <c r="S383" s="338"/>
      <c r="T383" s="338"/>
      <c r="U383" s="338"/>
      <c r="V383" s="338"/>
      <c r="W383" s="338"/>
      <c r="X383" s="338"/>
      <c r="Y383" s="338"/>
      <c r="Z383" s="338"/>
      <c r="AA383" s="2774" t="s">
        <v>0</v>
      </c>
      <c r="AB383" s="2774"/>
    </row>
    <row r="384" spans="1:28" s="510" customFormat="1" ht="18.75" x14ac:dyDescent="0.2">
      <c r="A384" s="2703" t="s">
        <v>1</v>
      </c>
      <c r="B384" s="2703"/>
      <c r="C384" s="2703"/>
      <c r="D384" s="2703"/>
      <c r="E384" s="2703"/>
      <c r="F384" s="2703"/>
      <c r="G384" s="2703"/>
      <c r="H384" s="2703"/>
      <c r="I384" s="2703"/>
      <c r="J384" s="2703"/>
      <c r="K384" s="2703"/>
      <c r="L384" s="2703"/>
      <c r="M384" s="2703"/>
      <c r="N384" s="2703"/>
      <c r="O384" s="2703"/>
      <c r="P384" s="2703"/>
      <c r="Q384" s="2703"/>
      <c r="R384" s="2703"/>
      <c r="S384" s="2703"/>
      <c r="T384" s="2703"/>
      <c r="U384" s="2703"/>
      <c r="V384" s="2703"/>
      <c r="W384" s="2703"/>
      <c r="X384" s="2703"/>
      <c r="Y384" s="2703"/>
      <c r="Z384" s="2703"/>
      <c r="AA384" s="2703"/>
      <c r="AB384" s="2703"/>
    </row>
    <row r="385" spans="1:28" s="510" customFormat="1" ht="21" x14ac:dyDescent="0.2">
      <c r="A385" s="2780" t="s">
        <v>530</v>
      </c>
      <c r="B385" s="2780"/>
      <c r="C385" s="2780"/>
      <c r="D385" s="2780"/>
      <c r="E385" s="2780"/>
      <c r="F385" s="2780"/>
      <c r="G385" s="2780"/>
      <c r="H385" s="2780"/>
      <c r="I385" s="2780"/>
      <c r="J385" s="2780"/>
      <c r="K385" s="2780"/>
      <c r="L385" s="2780"/>
      <c r="M385" s="2780"/>
      <c r="N385" s="2780"/>
      <c r="O385" s="2780"/>
      <c r="P385" s="2780"/>
      <c r="Q385" s="2780"/>
      <c r="R385" s="2780"/>
      <c r="S385" s="2780"/>
      <c r="T385" s="2780"/>
      <c r="U385" s="2780"/>
      <c r="V385" s="2780"/>
      <c r="W385" s="2780"/>
      <c r="X385" s="2780"/>
      <c r="Y385" s="2780"/>
      <c r="Z385" s="2780"/>
      <c r="AA385" s="2780"/>
      <c r="AB385" s="2780"/>
    </row>
    <row r="386" spans="1:28" s="510" customFormat="1" ht="15" x14ac:dyDescent="0.25">
      <c r="A386" s="2686" t="s">
        <v>2</v>
      </c>
      <c r="B386" s="511"/>
      <c r="C386" s="2686" t="s">
        <v>3</v>
      </c>
      <c r="D386" s="511"/>
      <c r="E386" s="511"/>
      <c r="F386" s="2693" t="s">
        <v>4</v>
      </c>
      <c r="G386" s="2693"/>
      <c r="H386" s="2693"/>
      <c r="I386" s="2694"/>
      <c r="J386" s="2694"/>
      <c r="K386" s="2695"/>
      <c r="L386" s="361"/>
      <c r="M386" s="2679" t="s">
        <v>5</v>
      </c>
      <c r="N386" s="2679"/>
      <c r="O386" s="2679"/>
      <c r="P386" s="2679"/>
      <c r="Q386" s="2696"/>
      <c r="R386" s="2696"/>
      <c r="S386" s="2696"/>
      <c r="T386" s="2696"/>
      <c r="U386" s="2696"/>
      <c r="V386" s="2697"/>
      <c r="W386" s="512" t="s">
        <v>6</v>
      </c>
      <c r="X386" s="513" t="s">
        <v>7</v>
      </c>
      <c r="Y386" s="514"/>
      <c r="Z386" s="514"/>
      <c r="AA386" s="513"/>
      <c r="AB386" s="515"/>
    </row>
    <row r="387" spans="1:28" s="510" customFormat="1" x14ac:dyDescent="0.2">
      <c r="A387" s="2687"/>
      <c r="B387" s="367"/>
      <c r="C387" s="2687"/>
      <c r="D387" s="518" t="s">
        <v>9</v>
      </c>
      <c r="E387" s="519" t="s">
        <v>10</v>
      </c>
      <c r="F387" s="2698" t="s">
        <v>11</v>
      </c>
      <c r="G387" s="2694"/>
      <c r="H387" s="2695"/>
      <c r="I387" s="511"/>
      <c r="J387" s="520" t="s">
        <v>12</v>
      </c>
      <c r="K387" s="511"/>
      <c r="L387" s="2679" t="s">
        <v>2</v>
      </c>
      <c r="M387" s="521"/>
      <c r="N387" s="521"/>
      <c r="O387" s="521"/>
      <c r="P387" s="522"/>
      <c r="Q387" s="523" t="s">
        <v>13</v>
      </c>
      <c r="R387" s="524" t="s">
        <v>12</v>
      </c>
      <c r="S387" s="521" t="s">
        <v>6</v>
      </c>
      <c r="T387" s="2682" t="s">
        <v>14</v>
      </c>
      <c r="U387" s="2683"/>
      <c r="V387" s="525" t="s">
        <v>7</v>
      </c>
      <c r="W387" s="526" t="s">
        <v>15</v>
      </c>
      <c r="X387" s="527" t="s">
        <v>16</v>
      </c>
      <c r="Y387" s="527" t="s">
        <v>17</v>
      </c>
      <c r="Z387" s="527" t="s">
        <v>18</v>
      </c>
      <c r="AA387" s="377"/>
      <c r="AB387" s="378" t="s">
        <v>19</v>
      </c>
    </row>
    <row r="388" spans="1:28" s="510" customFormat="1" x14ac:dyDescent="0.2">
      <c r="A388" s="2687"/>
      <c r="B388" s="1996" t="s">
        <v>23</v>
      </c>
      <c r="C388" s="2687"/>
      <c r="D388" s="518" t="s">
        <v>24</v>
      </c>
      <c r="E388" s="519" t="s">
        <v>25</v>
      </c>
      <c r="F388" s="2699"/>
      <c r="G388" s="2700"/>
      <c r="H388" s="2701"/>
      <c r="I388" s="518" t="s">
        <v>26</v>
      </c>
      <c r="J388" s="530" t="s">
        <v>15</v>
      </c>
      <c r="K388" s="531" t="s">
        <v>6</v>
      </c>
      <c r="L388" s="2680"/>
      <c r="M388" s="532" t="s">
        <v>27</v>
      </c>
      <c r="N388" s="532" t="s">
        <v>10</v>
      </c>
      <c r="O388" s="533" t="s">
        <v>10</v>
      </c>
      <c r="P388" s="534" t="s">
        <v>28</v>
      </c>
      <c r="Q388" s="535" t="s">
        <v>29</v>
      </c>
      <c r="R388" s="534" t="s">
        <v>15</v>
      </c>
      <c r="S388" s="385" t="s">
        <v>15</v>
      </c>
      <c r="T388" s="2684"/>
      <c r="U388" s="2685"/>
      <c r="V388" s="525" t="s">
        <v>30</v>
      </c>
      <c r="W388" s="526" t="s">
        <v>31</v>
      </c>
      <c r="X388" s="527" t="s">
        <v>30</v>
      </c>
      <c r="Y388" s="527" t="s">
        <v>32</v>
      </c>
      <c r="Z388" s="527" t="s">
        <v>7</v>
      </c>
      <c r="AA388" s="377" t="s">
        <v>33</v>
      </c>
      <c r="AB388" s="378" t="s">
        <v>34</v>
      </c>
    </row>
    <row r="389" spans="1:28" s="510" customFormat="1" x14ac:dyDescent="0.2">
      <c r="A389" s="2687"/>
      <c r="B389" s="1996" t="s">
        <v>39</v>
      </c>
      <c r="C389" s="2687"/>
      <c r="D389" s="518" t="s">
        <v>40</v>
      </c>
      <c r="E389" s="519" t="s">
        <v>41</v>
      </c>
      <c r="F389" s="2686" t="s">
        <v>42</v>
      </c>
      <c r="G389" s="2686" t="s">
        <v>43</v>
      </c>
      <c r="H389" s="2688" t="s">
        <v>44</v>
      </c>
      <c r="I389" s="518" t="s">
        <v>45</v>
      </c>
      <c r="J389" s="530" t="s">
        <v>46</v>
      </c>
      <c r="K389" s="531" t="s">
        <v>47</v>
      </c>
      <c r="L389" s="2680"/>
      <c r="M389" s="532" t="s">
        <v>30</v>
      </c>
      <c r="N389" s="532" t="s">
        <v>30</v>
      </c>
      <c r="O389" s="533" t="s">
        <v>25</v>
      </c>
      <c r="P389" s="534" t="s">
        <v>30</v>
      </c>
      <c r="Q389" s="535" t="s">
        <v>48</v>
      </c>
      <c r="R389" s="534" t="s">
        <v>49</v>
      </c>
      <c r="S389" s="385" t="s">
        <v>30</v>
      </c>
      <c r="T389" s="536" t="s">
        <v>50</v>
      </c>
      <c r="U389" s="537" t="s">
        <v>13</v>
      </c>
      <c r="V389" s="525" t="s">
        <v>51</v>
      </c>
      <c r="W389" s="526" t="s">
        <v>52</v>
      </c>
      <c r="X389" s="527" t="s">
        <v>53</v>
      </c>
      <c r="Y389" s="527" t="s">
        <v>54</v>
      </c>
      <c r="Z389" s="527" t="s">
        <v>55</v>
      </c>
      <c r="AA389" s="377" t="s">
        <v>56</v>
      </c>
      <c r="AB389" s="378" t="s">
        <v>57</v>
      </c>
    </row>
    <row r="390" spans="1:28" s="510" customFormat="1" ht="15" x14ac:dyDescent="0.25">
      <c r="A390" s="2687"/>
      <c r="B390" s="1996" t="s">
        <v>61</v>
      </c>
      <c r="C390" s="2687"/>
      <c r="D390" s="518" t="s">
        <v>62</v>
      </c>
      <c r="E390" s="519" t="s">
        <v>63</v>
      </c>
      <c r="F390" s="2687"/>
      <c r="G390" s="2687"/>
      <c r="H390" s="2689"/>
      <c r="I390" s="518" t="s">
        <v>64</v>
      </c>
      <c r="J390" s="530" t="s">
        <v>59</v>
      </c>
      <c r="K390" s="531" t="s">
        <v>59</v>
      </c>
      <c r="L390" s="2680"/>
      <c r="M390" s="532"/>
      <c r="N390" s="532"/>
      <c r="O390" s="533" t="s">
        <v>41</v>
      </c>
      <c r="P390" s="534" t="s">
        <v>65</v>
      </c>
      <c r="Q390" s="535" t="s">
        <v>66</v>
      </c>
      <c r="R390" s="534" t="s">
        <v>67</v>
      </c>
      <c r="S390" s="385" t="s">
        <v>59</v>
      </c>
      <c r="T390" s="538" t="s">
        <v>68</v>
      </c>
      <c r="U390" s="525" t="s">
        <v>14</v>
      </c>
      <c r="V390" s="525" t="s">
        <v>14</v>
      </c>
      <c r="W390" s="526" t="s">
        <v>30</v>
      </c>
      <c r="X390" s="539" t="s">
        <v>69</v>
      </c>
      <c r="Y390" s="539" t="s">
        <v>70</v>
      </c>
      <c r="Z390" s="527" t="s">
        <v>71</v>
      </c>
      <c r="AA390" s="377" t="s">
        <v>72</v>
      </c>
      <c r="AB390" s="540" t="s">
        <v>59</v>
      </c>
    </row>
    <row r="391" spans="1:28" s="510" customFormat="1" x14ac:dyDescent="0.2">
      <c r="A391" s="2692"/>
      <c r="B391" s="390"/>
      <c r="C391" s="2692"/>
      <c r="D391" s="541"/>
      <c r="E391" s="542"/>
      <c r="F391" s="390"/>
      <c r="G391" s="390"/>
      <c r="H391" s="391"/>
      <c r="I391" s="542"/>
      <c r="J391" s="543"/>
      <c r="K391" s="544"/>
      <c r="L391" s="2681"/>
      <c r="M391" s="545"/>
      <c r="N391" s="545"/>
      <c r="O391" s="545" t="s">
        <v>63</v>
      </c>
      <c r="P391" s="546"/>
      <c r="Q391" s="547" t="s">
        <v>72</v>
      </c>
      <c r="R391" s="548" t="s">
        <v>59</v>
      </c>
      <c r="S391" s="549"/>
      <c r="T391" s="548" t="s">
        <v>73</v>
      </c>
      <c r="U391" s="549" t="s">
        <v>59</v>
      </c>
      <c r="V391" s="550" t="s">
        <v>59</v>
      </c>
      <c r="W391" s="551" t="s">
        <v>59</v>
      </c>
      <c r="X391" s="552" t="s">
        <v>59</v>
      </c>
      <c r="Y391" s="552" t="s">
        <v>59</v>
      </c>
      <c r="Z391" s="552" t="s">
        <v>59</v>
      </c>
      <c r="AA391" s="402"/>
      <c r="AB391" s="403"/>
    </row>
    <row r="392" spans="1:28" s="510" customFormat="1" ht="15" x14ac:dyDescent="0.25">
      <c r="A392" s="16">
        <v>1</v>
      </c>
      <c r="B392" s="333">
        <v>51230</v>
      </c>
      <c r="C392" s="41">
        <v>1584</v>
      </c>
      <c r="D392" s="41" t="s">
        <v>238</v>
      </c>
      <c r="E392" s="41">
        <v>4</v>
      </c>
      <c r="F392" s="41">
        <v>0</v>
      </c>
      <c r="G392" s="41">
        <v>2</v>
      </c>
      <c r="H392" s="267">
        <v>0</v>
      </c>
      <c r="I392" s="44">
        <f>F392*400+G392*100+H392</f>
        <v>200</v>
      </c>
      <c r="J392" s="42">
        <v>1600</v>
      </c>
      <c r="K392" s="46">
        <f>SUM(I392*J392)</f>
        <v>320000</v>
      </c>
      <c r="L392" s="16"/>
      <c r="M392" s="82"/>
      <c r="N392" s="41"/>
      <c r="O392" s="16"/>
      <c r="P392" s="41"/>
      <c r="Q392" s="14"/>
      <c r="R392" s="553"/>
      <c r="S392" s="44"/>
      <c r="T392" s="57"/>
      <c r="U392" s="44"/>
      <c r="V392" s="44"/>
      <c r="W392" s="44">
        <f>K392+V392</f>
        <v>320000</v>
      </c>
      <c r="X392" s="44">
        <f>W392</f>
        <v>320000</v>
      </c>
      <c r="Y392" s="44">
        <v>0</v>
      </c>
      <c r="Z392" s="44">
        <f>+X392</f>
        <v>320000</v>
      </c>
      <c r="AA392" s="852">
        <v>0.3</v>
      </c>
      <c r="AB392" s="853">
        <f>+Z392*AA392/100</f>
        <v>960</v>
      </c>
    </row>
    <row r="393" spans="1:28" s="510" customFormat="1" x14ac:dyDescent="0.2">
      <c r="A393" s="50"/>
      <c r="B393" s="15"/>
      <c r="C393" s="15"/>
      <c r="D393" s="15"/>
      <c r="E393" s="15"/>
      <c r="F393" s="15"/>
      <c r="G393" s="15"/>
      <c r="H393" s="284"/>
      <c r="I393" s="18"/>
      <c r="J393" s="23"/>
      <c r="K393" s="39"/>
      <c r="L393" s="50"/>
      <c r="M393" s="1997"/>
      <c r="N393" s="15"/>
      <c r="O393" s="50"/>
      <c r="P393" s="15"/>
      <c r="Q393" s="76"/>
      <c r="R393" s="260"/>
      <c r="S393" s="18"/>
      <c r="T393" s="59"/>
      <c r="U393" s="18"/>
      <c r="V393" s="18"/>
      <c r="W393" s="18"/>
      <c r="X393" s="18"/>
      <c r="Y393" s="18"/>
      <c r="Z393" s="18"/>
      <c r="AA393" s="264"/>
      <c r="AB393" s="566"/>
    </row>
    <row r="394" spans="1:28" s="510" customFormat="1" x14ac:dyDescent="0.2">
      <c r="A394" s="15"/>
      <c r="B394" s="21"/>
      <c r="C394" s="21"/>
      <c r="D394" s="15"/>
      <c r="E394" s="15"/>
      <c r="F394" s="15"/>
      <c r="G394" s="15"/>
      <c r="H394" s="22"/>
      <c r="I394" s="23"/>
      <c r="J394" s="24"/>
      <c r="K394" s="23"/>
      <c r="L394" s="15"/>
      <c r="M394" s="15"/>
      <c r="N394" s="15"/>
      <c r="O394" s="15"/>
      <c r="P394" s="22"/>
      <c r="Q394" s="25"/>
      <c r="R394" s="563"/>
      <c r="S394" s="23"/>
      <c r="T394" s="26"/>
      <c r="U394" s="24"/>
      <c r="V394" s="23"/>
      <c r="W394" s="23"/>
      <c r="X394" s="564"/>
      <c r="Y394" s="564"/>
      <c r="Z394" s="565"/>
      <c r="AA394" s="565"/>
      <c r="AB394" s="566"/>
    </row>
    <row r="395" spans="1:28" s="510" customFormat="1" x14ac:dyDescent="0.2">
      <c r="A395" s="15"/>
      <c r="B395" s="21"/>
      <c r="C395" s="21"/>
      <c r="D395" s="15"/>
      <c r="E395" s="15"/>
      <c r="F395" s="15"/>
      <c r="G395" s="15"/>
      <c r="H395" s="22"/>
      <c r="I395" s="23"/>
      <c r="J395" s="24"/>
      <c r="K395" s="23"/>
      <c r="L395" s="15"/>
      <c r="M395" s="15"/>
      <c r="N395" s="15"/>
      <c r="O395" s="15"/>
      <c r="P395" s="22"/>
      <c r="Q395" s="25"/>
      <c r="R395" s="563"/>
      <c r="S395" s="23"/>
      <c r="T395" s="26"/>
      <c r="U395" s="24"/>
      <c r="V395" s="23"/>
      <c r="W395" s="23"/>
      <c r="X395" s="564"/>
      <c r="Y395" s="564"/>
      <c r="Z395" s="565"/>
      <c r="AA395" s="565"/>
      <c r="AB395" s="566"/>
    </row>
    <row r="396" spans="1:28" s="510" customFormat="1" x14ac:dyDescent="0.2">
      <c r="A396" s="15"/>
      <c r="B396" s="21"/>
      <c r="C396" s="21"/>
      <c r="D396" s="15"/>
      <c r="E396" s="15"/>
      <c r="F396" s="15"/>
      <c r="G396" s="15"/>
      <c r="H396" s="22"/>
      <c r="I396" s="23"/>
      <c r="J396" s="24"/>
      <c r="K396" s="23"/>
      <c r="L396" s="15"/>
      <c r="M396" s="15"/>
      <c r="N396" s="15"/>
      <c r="O396" s="15"/>
      <c r="P396" s="22"/>
      <c r="Q396" s="25"/>
      <c r="R396" s="563"/>
      <c r="S396" s="23"/>
      <c r="T396" s="26"/>
      <c r="U396" s="24"/>
      <c r="V396" s="23"/>
      <c r="W396" s="23"/>
      <c r="X396" s="564"/>
      <c r="Y396" s="564"/>
      <c r="Z396" s="565"/>
      <c r="AA396" s="565"/>
      <c r="AB396" s="566"/>
    </row>
    <row r="397" spans="1:28" s="510" customFormat="1" x14ac:dyDescent="0.2">
      <c r="A397" s="15"/>
      <c r="B397" s="21"/>
      <c r="C397" s="21"/>
      <c r="D397" s="15"/>
      <c r="E397" s="15"/>
      <c r="F397" s="15"/>
      <c r="G397" s="15"/>
      <c r="H397" s="22"/>
      <c r="I397" s="23"/>
      <c r="J397" s="24"/>
      <c r="K397" s="23"/>
      <c r="L397" s="15"/>
      <c r="M397" s="15"/>
      <c r="N397" s="15"/>
      <c r="O397" s="15"/>
      <c r="P397" s="22"/>
      <c r="Q397" s="25"/>
      <c r="R397" s="563"/>
      <c r="S397" s="23"/>
      <c r="T397" s="26"/>
      <c r="U397" s="24"/>
      <c r="V397" s="23"/>
      <c r="W397" s="23"/>
      <c r="X397" s="564"/>
      <c r="Y397" s="564"/>
      <c r="Z397" s="565"/>
      <c r="AA397" s="565"/>
      <c r="AB397" s="566"/>
    </row>
    <row r="398" spans="1:28" s="510" customFormat="1" x14ac:dyDescent="0.2">
      <c r="A398" s="15"/>
      <c r="B398" s="21"/>
      <c r="C398" s="21"/>
      <c r="D398" s="15"/>
      <c r="E398" s="15"/>
      <c r="F398" s="15"/>
      <c r="G398" s="15"/>
      <c r="H398" s="22"/>
      <c r="I398" s="23"/>
      <c r="J398" s="24"/>
      <c r="K398" s="23"/>
      <c r="L398" s="15"/>
      <c r="M398" s="15"/>
      <c r="N398" s="15"/>
      <c r="O398" s="15"/>
      <c r="P398" s="22"/>
      <c r="Q398" s="25"/>
      <c r="R398" s="563"/>
      <c r="S398" s="23"/>
      <c r="T398" s="26"/>
      <c r="U398" s="24"/>
      <c r="V398" s="23"/>
      <c r="W398" s="23"/>
      <c r="X398" s="564"/>
      <c r="Y398" s="564"/>
      <c r="Z398" s="565"/>
      <c r="AA398" s="565"/>
      <c r="AB398" s="566"/>
    </row>
    <row r="399" spans="1:28" s="510" customFormat="1" x14ac:dyDescent="0.2">
      <c r="A399" s="15"/>
      <c r="B399" s="21"/>
      <c r="C399" s="21"/>
      <c r="D399" s="15"/>
      <c r="E399" s="15"/>
      <c r="F399" s="15"/>
      <c r="G399" s="15"/>
      <c r="H399" s="22"/>
      <c r="I399" s="23"/>
      <c r="J399" s="24"/>
      <c r="K399" s="23"/>
      <c r="L399" s="15"/>
      <c r="M399" s="15"/>
      <c r="N399" s="15"/>
      <c r="O399" s="15"/>
      <c r="P399" s="22"/>
      <c r="Q399" s="25"/>
      <c r="R399" s="563"/>
      <c r="S399" s="23"/>
      <c r="T399" s="26"/>
      <c r="U399" s="24"/>
      <c r="V399" s="23"/>
      <c r="W399" s="23"/>
      <c r="X399" s="564"/>
      <c r="Y399" s="564"/>
      <c r="Z399" s="565"/>
      <c r="AA399" s="565"/>
      <c r="AB399" s="566"/>
    </row>
    <row r="400" spans="1:28" s="510" customFormat="1" x14ac:dyDescent="0.2">
      <c r="A400" s="15"/>
      <c r="B400" s="21"/>
      <c r="C400" s="21"/>
      <c r="D400" s="15"/>
      <c r="E400" s="15"/>
      <c r="F400" s="15"/>
      <c r="G400" s="15"/>
      <c r="H400" s="22"/>
      <c r="I400" s="23"/>
      <c r="J400" s="24"/>
      <c r="K400" s="23"/>
      <c r="L400" s="15"/>
      <c r="M400" s="15"/>
      <c r="N400" s="15"/>
      <c r="O400" s="15"/>
      <c r="P400" s="22"/>
      <c r="Q400" s="25"/>
      <c r="R400" s="563"/>
      <c r="S400" s="23"/>
      <c r="T400" s="26"/>
      <c r="U400" s="24"/>
      <c r="V400" s="23"/>
      <c r="W400" s="23"/>
      <c r="X400" s="564"/>
      <c r="Y400" s="564"/>
      <c r="Z400" s="565"/>
      <c r="AA400" s="565"/>
      <c r="AB400" s="566"/>
    </row>
    <row r="401" spans="1:28" s="510" customFormat="1" x14ac:dyDescent="0.2">
      <c r="A401" s="15"/>
      <c r="B401" s="21"/>
      <c r="C401" s="21"/>
      <c r="D401" s="15"/>
      <c r="E401" s="15"/>
      <c r="F401" s="15"/>
      <c r="G401" s="15"/>
      <c r="H401" s="22"/>
      <c r="I401" s="23"/>
      <c r="J401" s="24"/>
      <c r="K401" s="23"/>
      <c r="L401" s="15"/>
      <c r="M401" s="15"/>
      <c r="N401" s="15"/>
      <c r="O401" s="15"/>
      <c r="P401" s="22"/>
      <c r="Q401" s="25"/>
      <c r="R401" s="563"/>
      <c r="S401" s="23"/>
      <c r="T401" s="26"/>
      <c r="U401" s="24"/>
      <c r="V401" s="23"/>
      <c r="W401" s="23"/>
      <c r="X401" s="564"/>
      <c r="Y401" s="564"/>
      <c r="Z401" s="565"/>
      <c r="AA401" s="565"/>
      <c r="AB401" s="566"/>
    </row>
    <row r="402" spans="1:28" s="510" customFormat="1" x14ac:dyDescent="0.2">
      <c r="A402" s="15"/>
      <c r="B402" s="21"/>
      <c r="C402" s="21"/>
      <c r="D402" s="15"/>
      <c r="E402" s="15"/>
      <c r="F402" s="15"/>
      <c r="G402" s="15"/>
      <c r="H402" s="22"/>
      <c r="I402" s="23"/>
      <c r="J402" s="24"/>
      <c r="K402" s="23"/>
      <c r="L402" s="15"/>
      <c r="M402" s="15"/>
      <c r="N402" s="15"/>
      <c r="O402" s="15"/>
      <c r="P402" s="22"/>
      <c r="Q402" s="25"/>
      <c r="R402" s="563"/>
      <c r="S402" s="23"/>
      <c r="T402" s="26"/>
      <c r="U402" s="24"/>
      <c r="V402" s="23"/>
      <c r="W402" s="23"/>
      <c r="X402" s="564"/>
      <c r="Y402" s="564"/>
      <c r="Z402" s="565"/>
      <c r="AA402" s="565"/>
      <c r="AB402" s="566"/>
    </row>
    <row r="403" spans="1:28" s="510" customFormat="1" x14ac:dyDescent="0.2">
      <c r="A403" s="15"/>
      <c r="B403" s="21"/>
      <c r="C403" s="21"/>
      <c r="D403" s="15"/>
      <c r="E403" s="15"/>
      <c r="F403" s="15"/>
      <c r="G403" s="15"/>
      <c r="H403" s="22"/>
      <c r="I403" s="23"/>
      <c r="J403" s="24"/>
      <c r="K403" s="23"/>
      <c r="L403" s="15"/>
      <c r="M403" s="15"/>
      <c r="N403" s="15"/>
      <c r="O403" s="15"/>
      <c r="P403" s="22"/>
      <c r="Q403" s="25"/>
      <c r="R403" s="563"/>
      <c r="S403" s="23"/>
      <c r="T403" s="26"/>
      <c r="U403" s="24"/>
      <c r="V403" s="23"/>
      <c r="W403" s="23"/>
      <c r="X403" s="564"/>
      <c r="Y403" s="564"/>
      <c r="Z403" s="565"/>
      <c r="AA403" s="565"/>
      <c r="AB403" s="566"/>
    </row>
    <row r="404" spans="1:28" s="510" customFormat="1" x14ac:dyDescent="0.2">
      <c r="A404" s="15"/>
      <c r="B404" s="21"/>
      <c r="C404" s="21"/>
      <c r="D404" s="15"/>
      <c r="E404" s="15"/>
      <c r="F404" s="15"/>
      <c r="G404" s="15"/>
      <c r="H404" s="22"/>
      <c r="I404" s="23"/>
      <c r="J404" s="24"/>
      <c r="K404" s="23"/>
      <c r="L404" s="15"/>
      <c r="M404" s="15"/>
      <c r="N404" s="15"/>
      <c r="O404" s="15"/>
      <c r="P404" s="22"/>
      <c r="Q404" s="25"/>
      <c r="R404" s="563"/>
      <c r="S404" s="23"/>
      <c r="T404" s="26"/>
      <c r="U404" s="24"/>
      <c r="V404" s="23"/>
      <c r="W404" s="23"/>
      <c r="X404" s="564"/>
      <c r="Y404" s="564"/>
      <c r="Z404" s="565"/>
      <c r="AA404" s="565"/>
      <c r="AB404" s="566"/>
    </row>
    <row r="405" spans="1:28" s="510" customFormat="1" x14ac:dyDescent="0.2">
      <c r="A405" s="15"/>
      <c r="B405" s="21"/>
      <c r="C405" s="21"/>
      <c r="D405" s="15"/>
      <c r="E405" s="15"/>
      <c r="F405" s="15"/>
      <c r="G405" s="15"/>
      <c r="H405" s="22"/>
      <c r="I405" s="23"/>
      <c r="J405" s="24"/>
      <c r="K405" s="23"/>
      <c r="L405" s="15"/>
      <c r="M405" s="15"/>
      <c r="N405" s="15"/>
      <c r="O405" s="15"/>
      <c r="P405" s="22"/>
      <c r="Q405" s="25"/>
      <c r="R405" s="563"/>
      <c r="S405" s="23"/>
      <c r="T405" s="26"/>
      <c r="U405" s="24"/>
      <c r="V405" s="23"/>
      <c r="W405" s="23"/>
      <c r="X405" s="564"/>
      <c r="Y405" s="564"/>
      <c r="Z405" s="565"/>
      <c r="AA405" s="565"/>
      <c r="AB405" s="566"/>
    </row>
    <row r="406" spans="1:28" s="510" customFormat="1" x14ac:dyDescent="0.2">
      <c r="A406" s="15"/>
      <c r="B406" s="21"/>
      <c r="C406" s="21"/>
      <c r="D406" s="15"/>
      <c r="E406" s="15"/>
      <c r="F406" s="15"/>
      <c r="G406" s="15"/>
      <c r="H406" s="22"/>
      <c r="I406" s="23"/>
      <c r="J406" s="24"/>
      <c r="K406" s="23"/>
      <c r="L406" s="15"/>
      <c r="M406" s="15"/>
      <c r="N406" s="15"/>
      <c r="O406" s="15"/>
      <c r="P406" s="22"/>
      <c r="Q406" s="25"/>
      <c r="R406" s="563"/>
      <c r="S406" s="23"/>
      <c r="T406" s="26"/>
      <c r="U406" s="24"/>
      <c r="V406" s="23"/>
      <c r="W406" s="23"/>
      <c r="X406" s="564"/>
      <c r="Y406" s="564"/>
      <c r="Z406" s="565"/>
      <c r="AA406" s="565"/>
      <c r="AB406" s="566"/>
    </row>
    <row r="407" spans="1:28" s="510" customFormat="1" x14ac:dyDescent="0.2">
      <c r="A407" s="15"/>
      <c r="B407" s="21"/>
      <c r="C407" s="21"/>
      <c r="D407" s="15"/>
      <c r="E407" s="15"/>
      <c r="F407" s="15"/>
      <c r="G407" s="15"/>
      <c r="H407" s="22"/>
      <c r="I407" s="23"/>
      <c r="J407" s="24"/>
      <c r="K407" s="23"/>
      <c r="L407" s="15"/>
      <c r="M407" s="15"/>
      <c r="N407" s="15"/>
      <c r="O407" s="15"/>
      <c r="P407" s="22"/>
      <c r="Q407" s="25"/>
      <c r="R407" s="563"/>
      <c r="S407" s="23"/>
      <c r="T407" s="26"/>
      <c r="U407" s="24"/>
      <c r="V407" s="23"/>
      <c r="W407" s="23"/>
      <c r="X407" s="564"/>
      <c r="Y407" s="564"/>
      <c r="Z407" s="565"/>
      <c r="AA407" s="565"/>
      <c r="AB407" s="566"/>
    </row>
    <row r="408" spans="1:28" s="510" customFormat="1" x14ac:dyDescent="0.2">
      <c r="A408" s="27"/>
      <c r="B408" s="28"/>
      <c r="C408" s="28"/>
      <c r="D408" s="27"/>
      <c r="E408" s="27"/>
      <c r="F408" s="27"/>
      <c r="G408" s="27"/>
      <c r="H408" s="29"/>
      <c r="I408" s="30"/>
      <c r="J408" s="31"/>
      <c r="K408" s="30"/>
      <c r="L408" s="27"/>
      <c r="M408" s="27"/>
      <c r="N408" s="27"/>
      <c r="O408" s="27"/>
      <c r="P408" s="27"/>
      <c r="Q408" s="32"/>
      <c r="R408" s="567"/>
      <c r="S408" s="30"/>
      <c r="T408" s="33"/>
      <c r="U408" s="31"/>
      <c r="V408" s="30"/>
      <c r="W408" s="30"/>
      <c r="X408" s="568"/>
      <c r="Y408" s="568"/>
      <c r="Z408" s="569"/>
      <c r="AA408" s="569"/>
      <c r="AB408" s="570"/>
    </row>
    <row r="409" spans="1:28" s="510" customFormat="1" ht="15" x14ac:dyDescent="0.25">
      <c r="A409" s="2027"/>
      <c r="B409" s="2027"/>
      <c r="C409" s="2027"/>
      <c r="D409" s="2027"/>
      <c r="E409" s="2027"/>
      <c r="F409" s="2027"/>
      <c r="G409" s="2027"/>
      <c r="H409" s="2028"/>
      <c r="I409" s="2029"/>
      <c r="J409" s="2030"/>
      <c r="K409" s="2029"/>
      <c r="L409" s="2029"/>
      <c r="M409" s="2029"/>
      <c r="N409" s="2029"/>
      <c r="O409" s="2029"/>
      <c r="P409" s="2029"/>
      <c r="Q409" s="2029"/>
      <c r="R409" s="2031"/>
      <c r="S409" s="2029"/>
      <c r="T409" s="2032"/>
      <c r="U409" s="2030"/>
      <c r="V409" s="2029"/>
      <c r="W409" s="2029"/>
      <c r="X409" s="2033"/>
      <c r="Y409" s="2033"/>
      <c r="Z409" s="2034"/>
      <c r="AA409" s="2034"/>
      <c r="AB409" s="2035">
        <f>SUM(AB392:AB408)</f>
        <v>960</v>
      </c>
    </row>
    <row r="410" spans="1:28" s="510" customFormat="1" ht="15.75" x14ac:dyDescent="0.25">
      <c r="A410" s="2820" t="s">
        <v>76</v>
      </c>
      <c r="B410" s="2820"/>
      <c r="C410" s="2821" t="s">
        <v>77</v>
      </c>
      <c r="D410" s="2821"/>
      <c r="E410" s="2821"/>
      <c r="F410" s="2821"/>
      <c r="G410" s="2821"/>
      <c r="H410" s="2821"/>
      <c r="I410" s="577" t="s">
        <v>78</v>
      </c>
      <c r="J410" s="577"/>
      <c r="K410" s="577"/>
      <c r="L410" s="577"/>
      <c r="M410" s="577"/>
      <c r="N410" s="577"/>
      <c r="AB410" s="578"/>
    </row>
    <row r="411" spans="1:28" s="510" customFormat="1" ht="15.75" x14ac:dyDescent="0.25">
      <c r="A411" s="577"/>
      <c r="B411" s="579"/>
      <c r="C411" s="577"/>
      <c r="D411" s="577"/>
      <c r="E411" s="577"/>
      <c r="F411" s="577"/>
      <c r="G411" s="577"/>
      <c r="H411" s="577"/>
      <c r="I411" s="577" t="s">
        <v>79</v>
      </c>
      <c r="J411" s="577"/>
      <c r="K411" s="577"/>
      <c r="L411" s="577"/>
      <c r="M411" s="577"/>
      <c r="N411" s="577"/>
      <c r="AB411" s="578"/>
    </row>
    <row r="412" spans="1:28" s="510" customFormat="1" ht="15.75" x14ac:dyDescent="0.25">
      <c r="A412" s="577"/>
      <c r="B412" s="579"/>
      <c r="C412" s="577"/>
      <c r="D412" s="577"/>
      <c r="E412" s="577"/>
      <c r="F412" s="577"/>
      <c r="G412" s="577"/>
      <c r="H412" s="577"/>
      <c r="I412" s="577" t="s">
        <v>80</v>
      </c>
      <c r="J412" s="577"/>
      <c r="K412" s="577"/>
      <c r="L412" s="577"/>
      <c r="M412" s="577"/>
      <c r="N412" s="577"/>
      <c r="AB412" s="578"/>
    </row>
    <row r="413" spans="1:28" s="510" customFormat="1" ht="15.75" x14ac:dyDescent="0.25">
      <c r="A413" s="577"/>
      <c r="B413" s="579"/>
      <c r="C413" s="577"/>
      <c r="D413" s="577"/>
      <c r="E413" s="577"/>
      <c r="F413" s="577"/>
      <c r="G413" s="577"/>
      <c r="H413" s="577"/>
      <c r="I413" s="577" t="s">
        <v>81</v>
      </c>
      <c r="J413" s="577"/>
      <c r="K413" s="577"/>
      <c r="L413" s="577"/>
      <c r="M413" s="577"/>
      <c r="N413" s="577"/>
      <c r="AB413" s="578"/>
    </row>
    <row r="414" spans="1:28" s="510" customFormat="1" ht="15.75" x14ac:dyDescent="0.25">
      <c r="A414" s="577"/>
      <c r="B414" s="579"/>
      <c r="C414" s="577"/>
      <c r="D414" s="577"/>
      <c r="E414" s="577"/>
      <c r="F414" s="577"/>
      <c r="G414" s="577"/>
      <c r="H414" s="577"/>
      <c r="I414" s="577" t="s">
        <v>88</v>
      </c>
      <c r="J414" s="577"/>
      <c r="K414" s="577"/>
      <c r="L414" s="577"/>
      <c r="M414" s="577"/>
      <c r="N414" s="577"/>
      <c r="AB414" s="578"/>
    </row>
    <row r="415" spans="1:28" s="510" customFormat="1" ht="18.75" x14ac:dyDescent="0.2">
      <c r="A415" s="338"/>
      <c r="B415" s="338"/>
      <c r="C415" s="338"/>
      <c r="D415" s="338"/>
      <c r="E415" s="338"/>
      <c r="F415" s="338"/>
      <c r="G415" s="338"/>
      <c r="H415" s="338"/>
      <c r="I415" s="338"/>
      <c r="J415" s="338"/>
      <c r="K415" s="338"/>
      <c r="L415" s="338"/>
      <c r="M415" s="338"/>
      <c r="N415" s="338"/>
      <c r="O415" s="338"/>
      <c r="P415" s="338"/>
      <c r="Q415" s="338"/>
      <c r="R415" s="338"/>
      <c r="S415" s="338"/>
      <c r="T415" s="338"/>
      <c r="U415" s="338"/>
      <c r="V415" s="338"/>
      <c r="W415" s="338"/>
      <c r="X415" s="338"/>
      <c r="Y415" s="338"/>
      <c r="Z415" s="338"/>
      <c r="AA415" s="2774" t="s">
        <v>0</v>
      </c>
      <c r="AB415" s="2774"/>
    </row>
    <row r="416" spans="1:28" s="510" customFormat="1" ht="18.75" x14ac:dyDescent="0.2">
      <c r="A416" s="2703" t="s">
        <v>1</v>
      </c>
      <c r="B416" s="2703"/>
      <c r="C416" s="2703"/>
      <c r="D416" s="2703"/>
      <c r="E416" s="2703"/>
      <c r="F416" s="2703"/>
      <c r="G416" s="2703"/>
      <c r="H416" s="2703"/>
      <c r="I416" s="2703"/>
      <c r="J416" s="2703"/>
      <c r="K416" s="2703"/>
      <c r="L416" s="2703"/>
      <c r="M416" s="2703"/>
      <c r="N416" s="2703"/>
      <c r="O416" s="2703"/>
      <c r="P416" s="2703"/>
      <c r="Q416" s="2703"/>
      <c r="R416" s="2703"/>
      <c r="S416" s="2703"/>
      <c r="T416" s="2703"/>
      <c r="U416" s="2703"/>
      <c r="V416" s="2703"/>
      <c r="W416" s="2703"/>
      <c r="X416" s="2703"/>
      <c r="Y416" s="2703"/>
      <c r="Z416" s="2703"/>
      <c r="AA416" s="2703"/>
      <c r="AB416" s="2703"/>
    </row>
    <row r="417" spans="1:32" s="510" customFormat="1" ht="18" x14ac:dyDescent="0.2">
      <c r="A417" s="2822" t="s">
        <v>347</v>
      </c>
      <c r="B417" s="2822"/>
      <c r="C417" s="2822"/>
      <c r="D417" s="2822"/>
      <c r="E417" s="2822"/>
      <c r="F417" s="2822"/>
      <c r="G417" s="2822"/>
      <c r="H417" s="2822"/>
      <c r="I417" s="2822"/>
      <c r="J417" s="2822"/>
      <c r="K417" s="2822"/>
      <c r="L417" s="2822"/>
      <c r="M417" s="2822"/>
      <c r="N417" s="2822"/>
      <c r="O417" s="2822"/>
      <c r="P417" s="2822"/>
      <c r="Q417" s="2822"/>
      <c r="R417" s="2822"/>
      <c r="S417" s="2822"/>
      <c r="T417" s="2822"/>
      <c r="U417" s="2822"/>
      <c r="V417" s="2822"/>
      <c r="W417" s="2822"/>
      <c r="X417" s="2822"/>
      <c r="Y417" s="2822"/>
      <c r="Z417" s="2822"/>
      <c r="AA417" s="2822"/>
      <c r="AB417" s="2822"/>
    </row>
    <row r="418" spans="1:32" s="510" customFormat="1" ht="15" x14ac:dyDescent="0.25">
      <c r="A418" s="2686" t="s">
        <v>2</v>
      </c>
      <c r="B418" s="511"/>
      <c r="C418" s="2686" t="s">
        <v>3</v>
      </c>
      <c r="D418" s="511"/>
      <c r="E418" s="511"/>
      <c r="F418" s="2693" t="s">
        <v>4</v>
      </c>
      <c r="G418" s="2693"/>
      <c r="H418" s="2693"/>
      <c r="I418" s="2694"/>
      <c r="J418" s="2694"/>
      <c r="K418" s="2695"/>
      <c r="L418" s="361"/>
      <c r="M418" s="2679" t="s">
        <v>5</v>
      </c>
      <c r="N418" s="2679"/>
      <c r="O418" s="2679"/>
      <c r="P418" s="2679"/>
      <c r="Q418" s="2696"/>
      <c r="R418" s="2696"/>
      <c r="S418" s="2696"/>
      <c r="T418" s="2696"/>
      <c r="U418" s="2696"/>
      <c r="V418" s="2697"/>
      <c r="W418" s="512" t="s">
        <v>6</v>
      </c>
      <c r="X418" s="513" t="s">
        <v>7</v>
      </c>
      <c r="Y418" s="514"/>
      <c r="Z418" s="514"/>
      <c r="AA418" s="513"/>
      <c r="AB418" s="515"/>
    </row>
    <row r="419" spans="1:32" s="510" customFormat="1" x14ac:dyDescent="0.2">
      <c r="A419" s="2687"/>
      <c r="B419" s="367"/>
      <c r="C419" s="2687"/>
      <c r="D419" s="518" t="s">
        <v>9</v>
      </c>
      <c r="E419" s="519" t="s">
        <v>10</v>
      </c>
      <c r="F419" s="2698" t="s">
        <v>11</v>
      </c>
      <c r="G419" s="2694"/>
      <c r="H419" s="2695"/>
      <c r="I419" s="511"/>
      <c r="J419" s="520" t="s">
        <v>12</v>
      </c>
      <c r="K419" s="511"/>
      <c r="L419" s="2679" t="s">
        <v>2</v>
      </c>
      <c r="M419" s="521"/>
      <c r="N419" s="521"/>
      <c r="O419" s="521"/>
      <c r="P419" s="522"/>
      <c r="Q419" s="523" t="s">
        <v>13</v>
      </c>
      <c r="R419" s="524" t="s">
        <v>12</v>
      </c>
      <c r="S419" s="521" t="s">
        <v>6</v>
      </c>
      <c r="T419" s="2682" t="s">
        <v>14</v>
      </c>
      <c r="U419" s="2683"/>
      <c r="V419" s="525" t="s">
        <v>7</v>
      </c>
      <c r="W419" s="526" t="s">
        <v>15</v>
      </c>
      <c r="X419" s="527" t="s">
        <v>16</v>
      </c>
      <c r="Y419" s="527" t="s">
        <v>17</v>
      </c>
      <c r="Z419" s="527" t="s">
        <v>18</v>
      </c>
      <c r="AA419" s="377"/>
      <c r="AB419" s="378" t="s">
        <v>19</v>
      </c>
    </row>
    <row r="420" spans="1:32" s="510" customFormat="1" x14ac:dyDescent="0.2">
      <c r="A420" s="2687"/>
      <c r="B420" s="1996" t="s">
        <v>23</v>
      </c>
      <c r="C420" s="2687"/>
      <c r="D420" s="518" t="s">
        <v>24</v>
      </c>
      <c r="E420" s="519" t="s">
        <v>25</v>
      </c>
      <c r="F420" s="2699"/>
      <c r="G420" s="2700"/>
      <c r="H420" s="2701"/>
      <c r="I420" s="518" t="s">
        <v>26</v>
      </c>
      <c r="J420" s="530" t="s">
        <v>15</v>
      </c>
      <c r="K420" s="531" t="s">
        <v>6</v>
      </c>
      <c r="L420" s="2680"/>
      <c r="M420" s="532" t="s">
        <v>27</v>
      </c>
      <c r="N420" s="532" t="s">
        <v>10</v>
      </c>
      <c r="O420" s="533" t="s">
        <v>10</v>
      </c>
      <c r="P420" s="534" t="s">
        <v>28</v>
      </c>
      <c r="Q420" s="535" t="s">
        <v>29</v>
      </c>
      <c r="R420" s="534" t="s">
        <v>15</v>
      </c>
      <c r="S420" s="385" t="s">
        <v>15</v>
      </c>
      <c r="T420" s="2684"/>
      <c r="U420" s="2685"/>
      <c r="V420" s="525" t="s">
        <v>30</v>
      </c>
      <c r="W420" s="526" t="s">
        <v>31</v>
      </c>
      <c r="X420" s="527" t="s">
        <v>30</v>
      </c>
      <c r="Y420" s="527" t="s">
        <v>32</v>
      </c>
      <c r="Z420" s="527" t="s">
        <v>7</v>
      </c>
      <c r="AA420" s="377" t="s">
        <v>33</v>
      </c>
      <c r="AB420" s="378" t="s">
        <v>34</v>
      </c>
    </row>
    <row r="421" spans="1:32" s="510" customFormat="1" x14ac:dyDescent="0.2">
      <c r="A421" s="2687"/>
      <c r="B421" s="1996" t="s">
        <v>39</v>
      </c>
      <c r="C421" s="2687"/>
      <c r="D421" s="518" t="s">
        <v>40</v>
      </c>
      <c r="E421" s="519" t="s">
        <v>41</v>
      </c>
      <c r="F421" s="2686" t="s">
        <v>42</v>
      </c>
      <c r="G421" s="2686" t="s">
        <v>43</v>
      </c>
      <c r="H421" s="2688" t="s">
        <v>44</v>
      </c>
      <c r="I421" s="518" t="s">
        <v>45</v>
      </c>
      <c r="J421" s="530" t="s">
        <v>46</v>
      </c>
      <c r="K421" s="531" t="s">
        <v>47</v>
      </c>
      <c r="L421" s="2680"/>
      <c r="M421" s="532" t="s">
        <v>30</v>
      </c>
      <c r="N421" s="532" t="s">
        <v>30</v>
      </c>
      <c r="O421" s="533" t="s">
        <v>25</v>
      </c>
      <c r="P421" s="534" t="s">
        <v>30</v>
      </c>
      <c r="Q421" s="535" t="s">
        <v>48</v>
      </c>
      <c r="R421" s="534" t="s">
        <v>49</v>
      </c>
      <c r="S421" s="385" t="s">
        <v>30</v>
      </c>
      <c r="T421" s="536" t="s">
        <v>50</v>
      </c>
      <c r="U421" s="537" t="s">
        <v>13</v>
      </c>
      <c r="V421" s="525" t="s">
        <v>51</v>
      </c>
      <c r="W421" s="526" t="s">
        <v>52</v>
      </c>
      <c r="X421" s="527" t="s">
        <v>53</v>
      </c>
      <c r="Y421" s="527" t="s">
        <v>54</v>
      </c>
      <c r="Z421" s="527" t="s">
        <v>55</v>
      </c>
      <c r="AA421" s="377" t="s">
        <v>56</v>
      </c>
      <c r="AB421" s="378" t="s">
        <v>57</v>
      </c>
    </row>
    <row r="422" spans="1:32" s="510" customFormat="1" ht="15" x14ac:dyDescent="0.25">
      <c r="A422" s="2687"/>
      <c r="B422" s="1996" t="s">
        <v>61</v>
      </c>
      <c r="C422" s="2687"/>
      <c r="D422" s="518" t="s">
        <v>62</v>
      </c>
      <c r="E422" s="519" t="s">
        <v>63</v>
      </c>
      <c r="F422" s="2687"/>
      <c r="G422" s="2687"/>
      <c r="H422" s="2689"/>
      <c r="I422" s="518" t="s">
        <v>64</v>
      </c>
      <c r="J422" s="530" t="s">
        <v>59</v>
      </c>
      <c r="K422" s="531" t="s">
        <v>59</v>
      </c>
      <c r="L422" s="2680"/>
      <c r="M422" s="532"/>
      <c r="N422" s="532"/>
      <c r="O422" s="533" t="s">
        <v>41</v>
      </c>
      <c r="P422" s="534" t="s">
        <v>65</v>
      </c>
      <c r="Q422" s="535" t="s">
        <v>66</v>
      </c>
      <c r="R422" s="534" t="s">
        <v>67</v>
      </c>
      <c r="S422" s="385" t="s">
        <v>59</v>
      </c>
      <c r="T422" s="538" t="s">
        <v>68</v>
      </c>
      <c r="U422" s="525" t="s">
        <v>14</v>
      </c>
      <c r="V422" s="525" t="s">
        <v>14</v>
      </c>
      <c r="W422" s="526" t="s">
        <v>30</v>
      </c>
      <c r="X422" s="539" t="s">
        <v>69</v>
      </c>
      <c r="Y422" s="539" t="s">
        <v>70</v>
      </c>
      <c r="Z422" s="527" t="s">
        <v>71</v>
      </c>
      <c r="AA422" s="377" t="s">
        <v>72</v>
      </c>
      <c r="AB422" s="540" t="s">
        <v>59</v>
      </c>
    </row>
    <row r="423" spans="1:32" s="510" customFormat="1" x14ac:dyDescent="0.2">
      <c r="A423" s="2692"/>
      <c r="B423" s="390"/>
      <c r="C423" s="2692"/>
      <c r="D423" s="541"/>
      <c r="E423" s="542"/>
      <c r="F423" s="390"/>
      <c r="G423" s="390"/>
      <c r="H423" s="391"/>
      <c r="I423" s="542"/>
      <c r="J423" s="543"/>
      <c r="K423" s="544"/>
      <c r="L423" s="2681"/>
      <c r="M423" s="545"/>
      <c r="N423" s="545"/>
      <c r="O423" s="545" t="s">
        <v>63</v>
      </c>
      <c r="P423" s="546"/>
      <c r="Q423" s="547" t="s">
        <v>72</v>
      </c>
      <c r="R423" s="548" t="s">
        <v>59</v>
      </c>
      <c r="S423" s="549"/>
      <c r="T423" s="548" t="s">
        <v>73</v>
      </c>
      <c r="U423" s="549" t="s">
        <v>59</v>
      </c>
      <c r="V423" s="550" t="s">
        <v>59</v>
      </c>
      <c r="W423" s="551" t="s">
        <v>59</v>
      </c>
      <c r="X423" s="552" t="s">
        <v>59</v>
      </c>
      <c r="Y423" s="552" t="s">
        <v>59</v>
      </c>
      <c r="Z423" s="552" t="s">
        <v>59</v>
      </c>
      <c r="AA423" s="402"/>
      <c r="AB423" s="403"/>
    </row>
    <row r="424" spans="1:32" s="510" customFormat="1" ht="15" x14ac:dyDescent="0.25">
      <c r="A424" s="16">
        <v>1</v>
      </c>
      <c r="B424" s="333">
        <v>56220</v>
      </c>
      <c r="C424" s="41">
        <v>1674</v>
      </c>
      <c r="D424" s="41" t="s">
        <v>238</v>
      </c>
      <c r="E424" s="41">
        <v>4</v>
      </c>
      <c r="F424" s="1615">
        <v>0</v>
      </c>
      <c r="G424" s="1615">
        <v>0</v>
      </c>
      <c r="H424" s="1616">
        <v>77</v>
      </c>
      <c r="I424" s="44">
        <f>F424*400+G424*100+H424</f>
        <v>77</v>
      </c>
      <c r="J424" s="1668">
        <v>1600</v>
      </c>
      <c r="K424" s="46">
        <f>SUM(I424*J424)</f>
        <v>123200</v>
      </c>
      <c r="L424" s="16" t="s">
        <v>348</v>
      </c>
      <c r="M424" s="82">
        <v>103</v>
      </c>
      <c r="N424" s="41" t="s">
        <v>74</v>
      </c>
      <c r="O424" s="16">
        <v>2</v>
      </c>
      <c r="P424" s="41">
        <v>48</v>
      </c>
      <c r="Q424" s="14" t="s">
        <v>75</v>
      </c>
      <c r="R424" s="553">
        <v>9050</v>
      </c>
      <c r="S424" s="23">
        <f>R424*P424</f>
        <v>434400</v>
      </c>
      <c r="T424" s="26">
        <v>14</v>
      </c>
      <c r="U424" s="24">
        <f>S424*18/100</f>
        <v>78192</v>
      </c>
      <c r="V424" s="23">
        <f>S424-U424</f>
        <v>356208</v>
      </c>
      <c r="W424" s="18">
        <f>V424+K424</f>
        <v>479408</v>
      </c>
      <c r="X424" s="18">
        <f>W424</f>
        <v>479408</v>
      </c>
      <c r="Y424" s="564">
        <v>0</v>
      </c>
      <c r="Z424" s="18">
        <f>X424</f>
        <v>479408</v>
      </c>
      <c r="AA424" s="292">
        <v>0.02</v>
      </c>
      <c r="AB424" s="410">
        <f>Z424*AA424/100</f>
        <v>95.881599999999992</v>
      </c>
      <c r="AC424" s="597"/>
      <c r="AD424" s="597"/>
      <c r="AE424" s="597"/>
      <c r="AF424" s="597"/>
    </row>
    <row r="425" spans="1:32" s="510" customFormat="1" x14ac:dyDescent="0.2">
      <c r="A425" s="50"/>
      <c r="B425" s="15"/>
      <c r="C425" s="15"/>
      <c r="D425" s="15"/>
      <c r="E425" s="15"/>
      <c r="F425" s="15"/>
      <c r="G425" s="15"/>
      <c r="H425" s="284"/>
      <c r="I425" s="18"/>
      <c r="J425" s="23"/>
      <c r="K425" s="39"/>
      <c r="L425" s="50"/>
      <c r="M425" s="1997"/>
      <c r="N425" s="15"/>
      <c r="O425" s="50"/>
      <c r="P425" s="15"/>
      <c r="Q425" s="76"/>
      <c r="R425" s="260"/>
      <c r="S425" s="18"/>
      <c r="T425" s="59"/>
      <c r="U425" s="18"/>
      <c r="V425" s="18"/>
      <c r="W425" s="18"/>
      <c r="X425" s="18"/>
      <c r="Y425" s="18"/>
      <c r="Z425" s="18"/>
      <c r="AA425" s="264"/>
      <c r="AB425" s="566"/>
    </row>
    <row r="426" spans="1:32" s="510" customFormat="1" x14ac:dyDescent="0.2">
      <c r="A426" s="15"/>
      <c r="B426" s="21"/>
      <c r="C426" s="21"/>
      <c r="D426" s="15"/>
      <c r="E426" s="15"/>
      <c r="F426" s="15"/>
      <c r="G426" s="15"/>
      <c r="H426" s="22"/>
      <c r="I426" s="23"/>
      <c r="J426" s="24"/>
      <c r="K426" s="23"/>
      <c r="L426" s="15"/>
      <c r="M426" s="15"/>
      <c r="N426" s="15"/>
      <c r="O426" s="15"/>
      <c r="P426" s="22"/>
      <c r="Q426" s="25"/>
      <c r="R426" s="563"/>
      <c r="S426" s="23"/>
      <c r="T426" s="26"/>
      <c r="U426" s="24"/>
      <c r="V426" s="23"/>
      <c r="W426" s="23"/>
      <c r="X426" s="564"/>
      <c r="Y426" s="564"/>
      <c r="Z426" s="565"/>
      <c r="AA426" s="565"/>
      <c r="AB426" s="566"/>
    </row>
    <row r="427" spans="1:32" s="510" customFormat="1" x14ac:dyDescent="0.2">
      <c r="A427" s="15"/>
      <c r="B427" s="21"/>
      <c r="C427" s="21"/>
      <c r="D427" s="15"/>
      <c r="E427" s="15"/>
      <c r="F427" s="15"/>
      <c r="G427" s="15"/>
      <c r="H427" s="22"/>
      <c r="I427" s="23"/>
      <c r="J427" s="24"/>
      <c r="K427" s="23"/>
      <c r="L427" s="15"/>
      <c r="M427" s="15"/>
      <c r="N427" s="15"/>
      <c r="O427" s="15"/>
      <c r="P427" s="22"/>
      <c r="Q427" s="25"/>
      <c r="R427" s="563"/>
      <c r="S427" s="23"/>
      <c r="T427" s="26"/>
      <c r="U427" s="24"/>
      <c r="V427" s="23"/>
      <c r="W427" s="23"/>
      <c r="X427" s="564"/>
      <c r="Y427" s="564"/>
      <c r="Z427" s="565"/>
      <c r="AA427" s="565"/>
      <c r="AB427" s="566"/>
    </row>
    <row r="428" spans="1:32" s="510" customFormat="1" x14ac:dyDescent="0.2">
      <c r="A428" s="15"/>
      <c r="B428" s="21"/>
      <c r="C428" s="21"/>
      <c r="D428" s="15"/>
      <c r="E428" s="15"/>
      <c r="F428" s="15"/>
      <c r="G428" s="15"/>
      <c r="H428" s="22"/>
      <c r="I428" s="23"/>
      <c r="J428" s="24"/>
      <c r="K428" s="23"/>
      <c r="L428" s="15"/>
      <c r="M428" s="15"/>
      <c r="N428" s="15"/>
      <c r="O428" s="15"/>
      <c r="P428" s="22"/>
      <c r="Q428" s="25"/>
      <c r="R428" s="563"/>
      <c r="S428" s="23"/>
      <c r="T428" s="26"/>
      <c r="U428" s="24"/>
      <c r="V428" s="23"/>
      <c r="W428" s="23"/>
      <c r="X428" s="564"/>
      <c r="Y428" s="564"/>
      <c r="Z428" s="565"/>
      <c r="AA428" s="565"/>
      <c r="AB428" s="566"/>
    </row>
    <row r="429" spans="1:32" s="510" customFormat="1" x14ac:dyDescent="0.2">
      <c r="A429" s="15"/>
      <c r="B429" s="21"/>
      <c r="C429" s="21"/>
      <c r="D429" s="15"/>
      <c r="E429" s="15"/>
      <c r="F429" s="15"/>
      <c r="G429" s="15"/>
      <c r="H429" s="22"/>
      <c r="I429" s="23"/>
      <c r="J429" s="24"/>
      <c r="K429" s="23"/>
      <c r="L429" s="15"/>
      <c r="M429" s="15"/>
      <c r="N429" s="15"/>
      <c r="O429" s="15"/>
      <c r="P429" s="22"/>
      <c r="Q429" s="25"/>
      <c r="R429" s="563"/>
      <c r="S429" s="23"/>
      <c r="T429" s="26"/>
      <c r="U429" s="24"/>
      <c r="V429" s="23"/>
      <c r="W429" s="23"/>
      <c r="X429" s="564"/>
      <c r="Y429" s="564"/>
      <c r="Z429" s="565"/>
      <c r="AA429" s="565"/>
      <c r="AB429" s="566"/>
    </row>
    <row r="430" spans="1:32" s="510" customFormat="1" x14ac:dyDescent="0.2">
      <c r="A430" s="15"/>
      <c r="B430" s="21"/>
      <c r="C430" s="21"/>
      <c r="D430" s="15"/>
      <c r="E430" s="15"/>
      <c r="F430" s="15"/>
      <c r="G430" s="15"/>
      <c r="H430" s="22"/>
      <c r="I430" s="23"/>
      <c r="J430" s="24"/>
      <c r="K430" s="23"/>
      <c r="L430" s="15"/>
      <c r="M430" s="15"/>
      <c r="N430" s="15"/>
      <c r="O430" s="15"/>
      <c r="P430" s="22"/>
      <c r="Q430" s="25"/>
      <c r="R430" s="563"/>
      <c r="S430" s="23"/>
      <c r="T430" s="26"/>
      <c r="U430" s="24"/>
      <c r="V430" s="23"/>
      <c r="W430" s="23"/>
      <c r="X430" s="564"/>
      <c r="Y430" s="564"/>
      <c r="Z430" s="565"/>
      <c r="AA430" s="565"/>
      <c r="AB430" s="566"/>
    </row>
    <row r="431" spans="1:32" s="510" customFormat="1" x14ac:dyDescent="0.2">
      <c r="A431" s="15"/>
      <c r="B431" s="21"/>
      <c r="C431" s="21"/>
      <c r="D431" s="15"/>
      <c r="E431" s="15"/>
      <c r="F431" s="15"/>
      <c r="G431" s="15"/>
      <c r="H431" s="22"/>
      <c r="I431" s="23"/>
      <c r="J431" s="24"/>
      <c r="K431" s="23"/>
      <c r="L431" s="15"/>
      <c r="M431" s="15"/>
      <c r="N431" s="15"/>
      <c r="O431" s="15"/>
      <c r="P431" s="22"/>
      <c r="Q431" s="25"/>
      <c r="R431" s="563"/>
      <c r="S431" s="23"/>
      <c r="T431" s="26"/>
      <c r="U431" s="24"/>
      <c r="V431" s="23"/>
      <c r="W431" s="23"/>
      <c r="X431" s="564"/>
      <c r="Y431" s="564"/>
      <c r="Z431" s="565"/>
      <c r="AA431" s="565"/>
      <c r="AB431" s="566"/>
    </row>
    <row r="432" spans="1:32" s="510" customFormat="1" x14ac:dyDescent="0.2">
      <c r="A432" s="15"/>
      <c r="B432" s="21"/>
      <c r="C432" s="21"/>
      <c r="D432" s="15"/>
      <c r="E432" s="15"/>
      <c r="F432" s="15"/>
      <c r="G432" s="15"/>
      <c r="H432" s="22"/>
      <c r="I432" s="23"/>
      <c r="J432" s="24"/>
      <c r="K432" s="23"/>
      <c r="L432" s="15"/>
      <c r="M432" s="15"/>
      <c r="N432" s="15"/>
      <c r="O432" s="15"/>
      <c r="P432" s="22"/>
      <c r="Q432" s="25"/>
      <c r="R432" s="563"/>
      <c r="S432" s="23"/>
      <c r="T432" s="26"/>
      <c r="U432" s="24"/>
      <c r="V432" s="23"/>
      <c r="W432" s="23"/>
      <c r="X432" s="564"/>
      <c r="Y432" s="564"/>
      <c r="Z432" s="565"/>
      <c r="AA432" s="565"/>
      <c r="AB432" s="566"/>
    </row>
    <row r="433" spans="1:28" s="510" customFormat="1" x14ac:dyDescent="0.2">
      <c r="A433" s="15"/>
      <c r="B433" s="21"/>
      <c r="C433" s="21"/>
      <c r="D433" s="15"/>
      <c r="E433" s="15"/>
      <c r="F433" s="15"/>
      <c r="G433" s="15"/>
      <c r="H433" s="22"/>
      <c r="I433" s="23"/>
      <c r="J433" s="24"/>
      <c r="K433" s="23"/>
      <c r="L433" s="15"/>
      <c r="M433" s="15"/>
      <c r="N433" s="15"/>
      <c r="O433" s="15"/>
      <c r="P433" s="22"/>
      <c r="Q433" s="25"/>
      <c r="R433" s="563"/>
      <c r="S433" s="23"/>
      <c r="T433" s="26"/>
      <c r="U433" s="24"/>
      <c r="V433" s="23"/>
      <c r="W433" s="23"/>
      <c r="X433" s="564"/>
      <c r="Y433" s="564"/>
      <c r="Z433" s="565"/>
      <c r="AA433" s="565"/>
      <c r="AB433" s="566"/>
    </row>
    <row r="434" spans="1:28" s="510" customFormat="1" x14ac:dyDescent="0.2">
      <c r="A434" s="15"/>
      <c r="B434" s="21"/>
      <c r="C434" s="21"/>
      <c r="D434" s="15"/>
      <c r="E434" s="15"/>
      <c r="F434" s="15"/>
      <c r="G434" s="15"/>
      <c r="H434" s="22"/>
      <c r="I434" s="23"/>
      <c r="J434" s="24"/>
      <c r="K434" s="23"/>
      <c r="L434" s="15"/>
      <c r="M434" s="15"/>
      <c r="N434" s="15"/>
      <c r="O434" s="15"/>
      <c r="P434" s="22"/>
      <c r="Q434" s="25"/>
      <c r="R434" s="563"/>
      <c r="S434" s="23"/>
      <c r="T434" s="26"/>
      <c r="U434" s="24"/>
      <c r="V434" s="23"/>
      <c r="W434" s="23"/>
      <c r="X434" s="564"/>
      <c r="Y434" s="564"/>
      <c r="Z434" s="565"/>
      <c r="AA434" s="565"/>
      <c r="AB434" s="566"/>
    </row>
    <row r="435" spans="1:28" s="510" customFormat="1" x14ac:dyDescent="0.2">
      <c r="A435" s="15"/>
      <c r="B435" s="21"/>
      <c r="C435" s="21"/>
      <c r="D435" s="15"/>
      <c r="E435" s="15"/>
      <c r="F435" s="15"/>
      <c r="G435" s="15"/>
      <c r="H435" s="22"/>
      <c r="I435" s="23"/>
      <c r="J435" s="24"/>
      <c r="K435" s="23"/>
      <c r="L435" s="15"/>
      <c r="M435" s="15"/>
      <c r="N435" s="15"/>
      <c r="O435" s="15"/>
      <c r="P435" s="22"/>
      <c r="Q435" s="25"/>
      <c r="R435" s="563"/>
      <c r="S435" s="23"/>
      <c r="T435" s="26"/>
      <c r="U435" s="24"/>
      <c r="V435" s="23"/>
      <c r="W435" s="23"/>
      <c r="X435" s="564"/>
      <c r="Y435" s="564"/>
      <c r="Z435" s="565"/>
      <c r="AA435" s="565"/>
      <c r="AB435" s="566"/>
    </row>
    <row r="436" spans="1:28" s="510" customFormat="1" x14ac:dyDescent="0.2">
      <c r="A436" s="15"/>
      <c r="B436" s="21"/>
      <c r="C436" s="21"/>
      <c r="D436" s="15"/>
      <c r="E436" s="15"/>
      <c r="F436" s="15"/>
      <c r="G436" s="15"/>
      <c r="H436" s="22"/>
      <c r="I436" s="23"/>
      <c r="J436" s="24"/>
      <c r="K436" s="23"/>
      <c r="L436" s="15"/>
      <c r="M436" s="15"/>
      <c r="N436" s="15"/>
      <c r="O436" s="15"/>
      <c r="P436" s="22"/>
      <c r="Q436" s="25"/>
      <c r="R436" s="563"/>
      <c r="S436" s="23"/>
      <c r="T436" s="26"/>
      <c r="U436" s="24"/>
      <c r="V436" s="23"/>
      <c r="W436" s="23"/>
      <c r="X436" s="564"/>
      <c r="Y436" s="564"/>
      <c r="Z436" s="565"/>
      <c r="AA436" s="565"/>
      <c r="AB436" s="566"/>
    </row>
    <row r="437" spans="1:28" s="510" customFormat="1" x14ac:dyDescent="0.2">
      <c r="A437" s="15"/>
      <c r="B437" s="21"/>
      <c r="C437" s="21"/>
      <c r="D437" s="15"/>
      <c r="E437" s="15"/>
      <c r="F437" s="15"/>
      <c r="G437" s="15"/>
      <c r="H437" s="22"/>
      <c r="I437" s="23"/>
      <c r="J437" s="24"/>
      <c r="K437" s="23"/>
      <c r="L437" s="15"/>
      <c r="M437" s="15"/>
      <c r="N437" s="15"/>
      <c r="O437" s="15"/>
      <c r="P437" s="22"/>
      <c r="Q437" s="25"/>
      <c r="R437" s="563"/>
      <c r="S437" s="23"/>
      <c r="T437" s="26"/>
      <c r="U437" s="24"/>
      <c r="V437" s="23"/>
      <c r="W437" s="23"/>
      <c r="X437" s="564"/>
      <c r="Y437" s="564"/>
      <c r="Z437" s="565"/>
      <c r="AA437" s="565"/>
      <c r="AB437" s="566"/>
    </row>
    <row r="438" spans="1:28" s="510" customFormat="1" x14ac:dyDescent="0.2">
      <c r="A438" s="15"/>
      <c r="B438" s="21"/>
      <c r="C438" s="21"/>
      <c r="D438" s="15"/>
      <c r="E438" s="15"/>
      <c r="F438" s="15"/>
      <c r="G438" s="15"/>
      <c r="H438" s="22"/>
      <c r="I438" s="23"/>
      <c r="J438" s="24"/>
      <c r="K438" s="23"/>
      <c r="L438" s="15"/>
      <c r="M438" s="15"/>
      <c r="N438" s="15"/>
      <c r="O438" s="15"/>
      <c r="P438" s="22"/>
      <c r="Q438" s="25"/>
      <c r="R438" s="563"/>
      <c r="S438" s="23"/>
      <c r="T438" s="26"/>
      <c r="U438" s="24"/>
      <c r="V438" s="23"/>
      <c r="W438" s="23"/>
      <c r="X438" s="564"/>
      <c r="Y438" s="564"/>
      <c r="Z438" s="565"/>
      <c r="AA438" s="565"/>
      <c r="AB438" s="566"/>
    </row>
    <row r="439" spans="1:28" s="510" customFormat="1" x14ac:dyDescent="0.2">
      <c r="A439" s="15"/>
      <c r="B439" s="21"/>
      <c r="C439" s="21"/>
      <c r="D439" s="15"/>
      <c r="E439" s="15"/>
      <c r="F439" s="15"/>
      <c r="G439" s="15"/>
      <c r="H439" s="22"/>
      <c r="I439" s="23"/>
      <c r="J439" s="24"/>
      <c r="K439" s="23"/>
      <c r="L439" s="15"/>
      <c r="M439" s="15"/>
      <c r="N439" s="15"/>
      <c r="O439" s="15"/>
      <c r="P439" s="22"/>
      <c r="Q439" s="25"/>
      <c r="R439" s="563"/>
      <c r="S439" s="23"/>
      <c r="T439" s="26"/>
      <c r="U439" s="24"/>
      <c r="V439" s="23"/>
      <c r="W439" s="23"/>
      <c r="X439" s="564"/>
      <c r="Y439" s="564"/>
      <c r="Z439" s="565"/>
      <c r="AA439" s="565"/>
      <c r="AB439" s="566"/>
    </row>
    <row r="440" spans="1:28" s="510" customFormat="1" x14ac:dyDescent="0.2">
      <c r="A440" s="27"/>
      <c r="B440" s="28"/>
      <c r="C440" s="28"/>
      <c r="D440" s="27"/>
      <c r="E440" s="27"/>
      <c r="F440" s="27"/>
      <c r="G440" s="27"/>
      <c r="H440" s="29"/>
      <c r="I440" s="30"/>
      <c r="J440" s="31"/>
      <c r="K440" s="30"/>
      <c r="L440" s="27"/>
      <c r="M440" s="27"/>
      <c r="N440" s="27"/>
      <c r="O440" s="27"/>
      <c r="P440" s="27"/>
      <c r="Q440" s="32"/>
      <c r="R440" s="567"/>
      <c r="S440" s="30"/>
      <c r="T440" s="33"/>
      <c r="U440" s="31"/>
      <c r="V440" s="30"/>
      <c r="W440" s="30"/>
      <c r="X440" s="568"/>
      <c r="Y440" s="568"/>
      <c r="Z440" s="569"/>
      <c r="AA440" s="569"/>
      <c r="AB440" s="570"/>
    </row>
    <row r="441" spans="1:28" s="510" customFormat="1" ht="15" x14ac:dyDescent="0.25">
      <c r="A441" s="2027"/>
      <c r="B441" s="2027"/>
      <c r="C441" s="2027"/>
      <c r="D441" s="2027"/>
      <c r="E441" s="2027"/>
      <c r="F441" s="2027"/>
      <c r="G441" s="2027"/>
      <c r="H441" s="2028"/>
      <c r="I441" s="2029"/>
      <c r="J441" s="2030"/>
      <c r="K441" s="2029"/>
      <c r="L441" s="2029"/>
      <c r="M441" s="2029"/>
      <c r="N441" s="2029"/>
      <c r="O441" s="2029"/>
      <c r="P441" s="2029"/>
      <c r="Q441" s="2029"/>
      <c r="R441" s="2031"/>
      <c r="S441" s="2029"/>
      <c r="T441" s="2032"/>
      <c r="U441" s="2030"/>
      <c r="V441" s="2029"/>
      <c r="W441" s="2029"/>
      <c r="X441" s="2033"/>
      <c r="Y441" s="2033"/>
      <c r="Z441" s="2034"/>
      <c r="AA441" s="2034"/>
      <c r="AB441" s="2035">
        <f>SUM(AB424:AB440)</f>
        <v>95.881599999999992</v>
      </c>
    </row>
    <row r="442" spans="1:28" s="510" customFormat="1" ht="15.75" x14ac:dyDescent="0.25">
      <c r="A442" s="2820" t="s">
        <v>76</v>
      </c>
      <c r="B442" s="2820"/>
      <c r="C442" s="2821" t="s">
        <v>77</v>
      </c>
      <c r="D442" s="2821"/>
      <c r="E442" s="2821"/>
      <c r="F442" s="2821"/>
      <c r="G442" s="2821"/>
      <c r="H442" s="2821"/>
      <c r="I442" s="577" t="s">
        <v>78</v>
      </c>
      <c r="J442" s="577"/>
      <c r="K442" s="577"/>
      <c r="L442" s="577"/>
      <c r="M442" s="577"/>
      <c r="N442" s="577"/>
      <c r="AB442" s="578"/>
    </row>
    <row r="443" spans="1:28" s="510" customFormat="1" ht="15.75" x14ac:dyDescent="0.25">
      <c r="A443" s="577"/>
      <c r="B443" s="579"/>
      <c r="C443" s="577"/>
      <c r="D443" s="577"/>
      <c r="E443" s="577"/>
      <c r="F443" s="577"/>
      <c r="G443" s="577"/>
      <c r="H443" s="577"/>
      <c r="I443" s="577" t="s">
        <v>79</v>
      </c>
      <c r="J443" s="577"/>
      <c r="K443" s="577"/>
      <c r="L443" s="577"/>
      <c r="M443" s="577"/>
      <c r="N443" s="577"/>
      <c r="AB443" s="578"/>
    </row>
    <row r="444" spans="1:28" s="510" customFormat="1" ht="15.75" x14ac:dyDescent="0.25">
      <c r="A444" s="577"/>
      <c r="B444" s="579"/>
      <c r="C444" s="577"/>
      <c r="D444" s="577"/>
      <c r="E444" s="577"/>
      <c r="F444" s="577"/>
      <c r="G444" s="577"/>
      <c r="H444" s="577"/>
      <c r="I444" s="577" t="s">
        <v>80</v>
      </c>
      <c r="J444" s="577"/>
      <c r="K444" s="577"/>
      <c r="L444" s="577"/>
      <c r="M444" s="577"/>
      <c r="N444" s="577"/>
      <c r="AB444" s="578"/>
    </row>
    <row r="445" spans="1:28" s="510" customFormat="1" ht="15.75" x14ac:dyDescent="0.25">
      <c r="A445" s="577"/>
      <c r="B445" s="579"/>
      <c r="C445" s="577"/>
      <c r="D445" s="577"/>
      <c r="E445" s="577"/>
      <c r="F445" s="577"/>
      <c r="G445" s="577"/>
      <c r="H445" s="577"/>
      <c r="I445" s="577" t="s">
        <v>81</v>
      </c>
      <c r="J445" s="577"/>
      <c r="K445" s="577"/>
      <c r="L445" s="577"/>
      <c r="M445" s="577"/>
      <c r="N445" s="577"/>
      <c r="AB445" s="578"/>
    </row>
    <row r="446" spans="1:28" s="510" customFormat="1" ht="15.75" x14ac:dyDescent="0.25">
      <c r="A446" s="577"/>
      <c r="B446" s="579"/>
      <c r="C446" s="577"/>
      <c r="D446" s="577"/>
      <c r="E446" s="577"/>
      <c r="F446" s="577"/>
      <c r="G446" s="577"/>
      <c r="H446" s="577"/>
      <c r="I446" s="577" t="s">
        <v>88</v>
      </c>
      <c r="J446" s="577"/>
      <c r="K446" s="577"/>
      <c r="L446" s="577"/>
      <c r="M446" s="577"/>
      <c r="N446" s="577"/>
      <c r="AB446" s="578"/>
    </row>
  </sheetData>
  <mergeCells count="244">
    <mergeCell ref="F7:F8"/>
    <mergeCell ref="G7:G8"/>
    <mergeCell ref="H7:H8"/>
    <mergeCell ref="A28:B28"/>
    <mergeCell ref="C28:H28"/>
    <mergeCell ref="AA33:AB33"/>
    <mergeCell ref="AA1:AB1"/>
    <mergeCell ref="A2:AB2"/>
    <mergeCell ref="A3:AB3"/>
    <mergeCell ref="A4:A9"/>
    <mergeCell ref="C4:C9"/>
    <mergeCell ref="F4:K4"/>
    <mergeCell ref="M4:V4"/>
    <mergeCell ref="F5:H6"/>
    <mergeCell ref="L5:L9"/>
    <mergeCell ref="T5:U6"/>
    <mergeCell ref="G39:G40"/>
    <mergeCell ref="H39:H40"/>
    <mergeCell ref="A60:B60"/>
    <mergeCell ref="C60:H60"/>
    <mergeCell ref="AA65:AB65"/>
    <mergeCell ref="A66:AB66"/>
    <mergeCell ref="A34:AB34"/>
    <mergeCell ref="A35:AB35"/>
    <mergeCell ref="A36:A41"/>
    <mergeCell ref="C36:C41"/>
    <mergeCell ref="F36:K36"/>
    <mergeCell ref="M36:V36"/>
    <mergeCell ref="F37:H38"/>
    <mergeCell ref="L37:L41"/>
    <mergeCell ref="T37:U38"/>
    <mergeCell ref="F39:F40"/>
    <mergeCell ref="H71:H72"/>
    <mergeCell ref="A92:B92"/>
    <mergeCell ref="C92:H92"/>
    <mergeCell ref="AA97:AB97"/>
    <mergeCell ref="A98:AB98"/>
    <mergeCell ref="A99:AB99"/>
    <mergeCell ref="A67:AB67"/>
    <mergeCell ref="A68:A73"/>
    <mergeCell ref="C68:C73"/>
    <mergeCell ref="F68:K68"/>
    <mergeCell ref="M68:V68"/>
    <mergeCell ref="F69:H70"/>
    <mergeCell ref="L69:L73"/>
    <mergeCell ref="T69:U70"/>
    <mergeCell ref="F71:F72"/>
    <mergeCell ref="G71:G72"/>
    <mergeCell ref="A100:A105"/>
    <mergeCell ref="C100:C105"/>
    <mergeCell ref="F100:K100"/>
    <mergeCell ref="M100:V100"/>
    <mergeCell ref="F101:H102"/>
    <mergeCell ref="L101:L105"/>
    <mergeCell ref="T101:U102"/>
    <mergeCell ref="F103:F104"/>
    <mergeCell ref="G103:G104"/>
    <mergeCell ref="H103:H104"/>
    <mergeCell ref="A124:B124"/>
    <mergeCell ref="C124:H124"/>
    <mergeCell ref="AA129:AB129"/>
    <mergeCell ref="A130:AB130"/>
    <mergeCell ref="A131:AB131"/>
    <mergeCell ref="A132:A137"/>
    <mergeCell ref="C132:C137"/>
    <mergeCell ref="F132:K132"/>
    <mergeCell ref="M132:V132"/>
    <mergeCell ref="F133:H134"/>
    <mergeCell ref="L133:L137"/>
    <mergeCell ref="T133:U134"/>
    <mergeCell ref="F135:F136"/>
    <mergeCell ref="G135:G136"/>
    <mergeCell ref="H135:H136"/>
    <mergeCell ref="A165:A170"/>
    <mergeCell ref="C165:C170"/>
    <mergeCell ref="F165:K165"/>
    <mergeCell ref="M165:V165"/>
    <mergeCell ref="F166:H167"/>
    <mergeCell ref="W138:W139"/>
    <mergeCell ref="X138:X139"/>
    <mergeCell ref="Y138:Y139"/>
    <mergeCell ref="Z138:Z139"/>
    <mergeCell ref="H168:H169"/>
    <mergeCell ref="T166:U167"/>
    <mergeCell ref="F168:F169"/>
    <mergeCell ref="G168:G169"/>
    <mergeCell ref="M138:M139"/>
    <mergeCell ref="N138:N139"/>
    <mergeCell ref="O138:O139"/>
    <mergeCell ref="A163:AB163"/>
    <mergeCell ref="A164:AB164"/>
    <mergeCell ref="L196:L200"/>
    <mergeCell ref="T196:U197"/>
    <mergeCell ref="AA138:AA139"/>
    <mergeCell ref="AB138:AB139"/>
    <mergeCell ref="Q138:Q139"/>
    <mergeCell ref="R138:R139"/>
    <mergeCell ref="S138:S139"/>
    <mergeCell ref="T138:T139"/>
    <mergeCell ref="U138:U139"/>
    <mergeCell ref="V138:V139"/>
    <mergeCell ref="L166:L170"/>
    <mergeCell ref="P138:P139"/>
    <mergeCell ref="AA162:AB162"/>
    <mergeCell ref="A187:B187"/>
    <mergeCell ref="C187:H187"/>
    <mergeCell ref="A156:B156"/>
    <mergeCell ref="C156:H156"/>
    <mergeCell ref="L138:L139"/>
    <mergeCell ref="H230:H231"/>
    <mergeCell ref="A250:B250"/>
    <mergeCell ref="C250:H250"/>
    <mergeCell ref="AA255:AB255"/>
    <mergeCell ref="AA224:AB224"/>
    <mergeCell ref="A225:AB225"/>
    <mergeCell ref="F198:F199"/>
    <mergeCell ref="G198:G199"/>
    <mergeCell ref="H198:H199"/>
    <mergeCell ref="A219:B219"/>
    <mergeCell ref="C219:H219"/>
    <mergeCell ref="AA192:AB192"/>
    <mergeCell ref="A193:AB193"/>
    <mergeCell ref="A194:AB194"/>
    <mergeCell ref="A195:A200"/>
    <mergeCell ref="C195:C200"/>
    <mergeCell ref="F195:K195"/>
    <mergeCell ref="M195:V195"/>
    <mergeCell ref="F196:H197"/>
    <mergeCell ref="A256:AB256"/>
    <mergeCell ref="A257:AB257"/>
    <mergeCell ref="A226:AB226"/>
    <mergeCell ref="A227:A232"/>
    <mergeCell ref="C227:C232"/>
    <mergeCell ref="F227:K227"/>
    <mergeCell ref="M227:V227"/>
    <mergeCell ref="F228:H229"/>
    <mergeCell ref="L228:L232"/>
    <mergeCell ref="T228:U229"/>
    <mergeCell ref="F230:F231"/>
    <mergeCell ref="G230:G231"/>
    <mergeCell ref="AA319:AB319"/>
    <mergeCell ref="A320:AB320"/>
    <mergeCell ref="A321:AB321"/>
    <mergeCell ref="A322:A327"/>
    <mergeCell ref="C322:C327"/>
    <mergeCell ref="A258:A263"/>
    <mergeCell ref="C258:C263"/>
    <mergeCell ref="F258:K258"/>
    <mergeCell ref="M258:V258"/>
    <mergeCell ref="F259:H260"/>
    <mergeCell ref="L259:L263"/>
    <mergeCell ref="T259:U260"/>
    <mergeCell ref="F261:F262"/>
    <mergeCell ref="G261:G262"/>
    <mergeCell ref="H261:H262"/>
    <mergeCell ref="A282:B282"/>
    <mergeCell ref="C282:H282"/>
    <mergeCell ref="AA287:AB287"/>
    <mergeCell ref="A288:AB288"/>
    <mergeCell ref="A289:AB289"/>
    <mergeCell ref="A290:A295"/>
    <mergeCell ref="C290:C295"/>
    <mergeCell ref="F290:K290"/>
    <mergeCell ref="M290:V290"/>
    <mergeCell ref="F291:H292"/>
    <mergeCell ref="L291:L295"/>
    <mergeCell ref="T291:U292"/>
    <mergeCell ref="F293:F294"/>
    <mergeCell ref="G293:G294"/>
    <mergeCell ref="H293:H294"/>
    <mergeCell ref="W297:W298"/>
    <mergeCell ref="N297:N298"/>
    <mergeCell ref="O297:O298"/>
    <mergeCell ref="X297:X298"/>
    <mergeCell ref="Y297:Y298"/>
    <mergeCell ref="Z297:Z298"/>
    <mergeCell ref="AA297:AA298"/>
    <mergeCell ref="AB297:AB298"/>
    <mergeCell ref="Q297:Q298"/>
    <mergeCell ref="R297:R298"/>
    <mergeCell ref="S297:S298"/>
    <mergeCell ref="T297:T298"/>
    <mergeCell ref="U297:U298"/>
    <mergeCell ref="V297:V298"/>
    <mergeCell ref="AA383:AB383"/>
    <mergeCell ref="AA351:AB351"/>
    <mergeCell ref="A352:AB352"/>
    <mergeCell ref="A353:AB353"/>
    <mergeCell ref="A354:A359"/>
    <mergeCell ref="C354:C359"/>
    <mergeCell ref="F354:K354"/>
    <mergeCell ref="M354:V354"/>
    <mergeCell ref="F355:H356"/>
    <mergeCell ref="L355:L359"/>
    <mergeCell ref="T355:U356"/>
    <mergeCell ref="A346:B346"/>
    <mergeCell ref="C346:H346"/>
    <mergeCell ref="A314:B314"/>
    <mergeCell ref="C314:H314"/>
    <mergeCell ref="L297:L298"/>
    <mergeCell ref="M297:M298"/>
    <mergeCell ref="G389:G390"/>
    <mergeCell ref="H389:H390"/>
    <mergeCell ref="A410:B410"/>
    <mergeCell ref="C410:H410"/>
    <mergeCell ref="F357:F358"/>
    <mergeCell ref="G357:G358"/>
    <mergeCell ref="H357:H358"/>
    <mergeCell ref="A378:B378"/>
    <mergeCell ref="C378:H378"/>
    <mergeCell ref="F322:K322"/>
    <mergeCell ref="M322:V322"/>
    <mergeCell ref="F323:H324"/>
    <mergeCell ref="L323:L327"/>
    <mergeCell ref="T323:U324"/>
    <mergeCell ref="P297:P298"/>
    <mergeCell ref="H325:H326"/>
    <mergeCell ref="F325:F326"/>
    <mergeCell ref="G325:G326"/>
    <mergeCell ref="AA415:AB415"/>
    <mergeCell ref="A416:AB416"/>
    <mergeCell ref="A384:AB384"/>
    <mergeCell ref="A385:AB385"/>
    <mergeCell ref="A386:A391"/>
    <mergeCell ref="C386:C391"/>
    <mergeCell ref="F386:K386"/>
    <mergeCell ref="M386:V386"/>
    <mergeCell ref="F387:H388"/>
    <mergeCell ref="L387:L391"/>
    <mergeCell ref="T387:U388"/>
    <mergeCell ref="F389:F390"/>
    <mergeCell ref="H421:H422"/>
    <mergeCell ref="A442:B442"/>
    <mergeCell ref="C442:H442"/>
    <mergeCell ref="A417:AB417"/>
    <mergeCell ref="A418:A423"/>
    <mergeCell ref="C418:C423"/>
    <mergeCell ref="F418:K418"/>
    <mergeCell ref="M418:V418"/>
    <mergeCell ref="F419:H420"/>
    <mergeCell ref="L419:L423"/>
    <mergeCell ref="T419:U420"/>
    <mergeCell ref="F421:F422"/>
    <mergeCell ref="G421:G422"/>
  </mergeCells>
  <pageMargins left="3.937007874015748E-2" right="3.937007874015748E-2" top="0.55118110236220474" bottom="0.74803149606299213" header="0.31496062992125984" footer="0.31496062992125984"/>
  <pageSetup paperSize="9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602"/>
  <sheetViews>
    <sheetView view="pageBreakPreview" topLeftCell="Q1" zoomScale="110" zoomScaleNormal="100" zoomScaleSheetLayoutView="110" workbookViewId="0">
      <selection activeCell="AK16" sqref="AK16"/>
    </sheetView>
  </sheetViews>
  <sheetFormatPr defaultColWidth="9.125" defaultRowHeight="14.25" x14ac:dyDescent="0.2"/>
  <cols>
    <col min="1" max="1" width="2.375" style="734" customWidth="1"/>
    <col min="2" max="2" width="4.125" style="454" customWidth="1"/>
    <col min="3" max="3" width="3.25" style="454" customWidth="1"/>
    <col min="4" max="5" width="2.625" style="454" customWidth="1"/>
    <col min="6" max="7" width="2.125" style="454" customWidth="1"/>
    <col min="8" max="8" width="4.125" style="454" bestFit="1" customWidth="1"/>
    <col min="9" max="9" width="5.125" style="454" customWidth="1"/>
    <col min="10" max="10" width="6.375" style="454" customWidth="1"/>
    <col min="11" max="11" width="7.75" style="454" customWidth="1"/>
    <col min="12" max="12" width="2.625" style="454" customWidth="1"/>
    <col min="13" max="13" width="3.125" style="454" customWidth="1"/>
    <col min="14" max="14" width="5.625" style="454" customWidth="1"/>
    <col min="15" max="15" width="2.625" style="454" customWidth="1"/>
    <col min="16" max="16" width="4.875" style="454" customWidth="1"/>
    <col min="17" max="17" width="3.625" style="454" customWidth="1"/>
    <col min="18" max="18" width="5.125" style="454" bestFit="1" customWidth="1"/>
    <col min="19" max="19" width="8.125" style="454" customWidth="1"/>
    <col min="20" max="20" width="2.625" style="454" customWidth="1"/>
    <col min="21" max="21" width="7.5" style="454" customWidth="1"/>
    <col min="22" max="23" width="8" style="454" customWidth="1"/>
    <col min="24" max="24" width="8.25" style="454" bestFit="1" customWidth="1"/>
    <col min="25" max="25" width="4.125" style="454" customWidth="1"/>
    <col min="26" max="26" width="7.875" style="454" customWidth="1"/>
    <col min="27" max="27" width="3.375" style="454" customWidth="1"/>
    <col min="28" max="28" width="6.5" style="508" customWidth="1"/>
    <col min="29" max="30" width="4.25" style="454" hidden="1" customWidth="1"/>
    <col min="31" max="31" width="5" style="454" hidden="1" customWidth="1"/>
    <col min="32" max="32" width="0.375" style="454" hidden="1" customWidth="1"/>
    <col min="33" max="16384" width="9.125" style="454"/>
  </cols>
  <sheetData>
    <row r="1" spans="1:32" s="510" customFormat="1" ht="18.75" x14ac:dyDescent="0.2">
      <c r="A1" s="735"/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8"/>
      <c r="Z1" s="338"/>
      <c r="AA1" s="2774" t="s">
        <v>0</v>
      </c>
      <c r="AB1" s="2774"/>
    </row>
    <row r="2" spans="1:32" s="510" customFormat="1" ht="18.75" x14ac:dyDescent="0.2">
      <c r="A2" s="2703" t="s">
        <v>1</v>
      </c>
      <c r="B2" s="2703"/>
      <c r="C2" s="2703"/>
      <c r="D2" s="2703"/>
      <c r="E2" s="2703"/>
      <c r="F2" s="2703"/>
      <c r="G2" s="2703"/>
      <c r="H2" s="2703"/>
      <c r="I2" s="2703"/>
      <c r="J2" s="2703"/>
      <c r="K2" s="2703"/>
      <c r="L2" s="2703"/>
      <c r="M2" s="2703"/>
      <c r="N2" s="2703"/>
      <c r="O2" s="2703"/>
      <c r="P2" s="2703"/>
      <c r="Q2" s="2703"/>
      <c r="R2" s="2703"/>
      <c r="S2" s="2703"/>
      <c r="T2" s="2703"/>
      <c r="U2" s="2703"/>
      <c r="V2" s="2703"/>
      <c r="W2" s="2703"/>
      <c r="X2" s="2703"/>
      <c r="Y2" s="2703"/>
      <c r="Z2" s="2703"/>
      <c r="AA2" s="2703"/>
      <c r="AB2" s="2703"/>
    </row>
    <row r="3" spans="1:32" s="510" customFormat="1" ht="21" x14ac:dyDescent="0.2">
      <c r="A3" s="2780" t="s">
        <v>533</v>
      </c>
      <c r="B3" s="2780"/>
      <c r="C3" s="2780"/>
      <c r="D3" s="2780"/>
      <c r="E3" s="2780"/>
      <c r="F3" s="2780"/>
      <c r="G3" s="2780"/>
      <c r="H3" s="2780"/>
      <c r="I3" s="2780"/>
      <c r="J3" s="2780"/>
      <c r="K3" s="2780"/>
      <c r="L3" s="2780"/>
      <c r="M3" s="2780"/>
      <c r="N3" s="2780"/>
      <c r="O3" s="2780"/>
      <c r="P3" s="2780"/>
      <c r="Q3" s="2780"/>
      <c r="R3" s="2780"/>
      <c r="S3" s="2780"/>
      <c r="T3" s="2780"/>
      <c r="U3" s="2780"/>
      <c r="V3" s="2780"/>
      <c r="W3" s="2780"/>
      <c r="X3" s="2780"/>
      <c r="Y3" s="2780"/>
      <c r="Z3" s="2780"/>
      <c r="AA3" s="2780"/>
      <c r="AB3" s="2780"/>
    </row>
    <row r="4" spans="1:32" s="510" customFormat="1" ht="15" x14ac:dyDescent="0.25">
      <c r="A4" s="2686" t="s">
        <v>2</v>
      </c>
      <c r="B4" s="511"/>
      <c r="C4" s="2686" t="s">
        <v>3</v>
      </c>
      <c r="D4" s="511"/>
      <c r="E4" s="511"/>
      <c r="F4" s="2732" t="s">
        <v>4</v>
      </c>
      <c r="G4" s="2693"/>
      <c r="H4" s="2693"/>
      <c r="I4" s="2693"/>
      <c r="J4" s="2693"/>
      <c r="K4" s="2733"/>
      <c r="L4" s="361"/>
      <c r="M4" s="2696" t="s">
        <v>5</v>
      </c>
      <c r="N4" s="2696"/>
      <c r="O4" s="2696"/>
      <c r="P4" s="2696"/>
      <c r="Q4" s="2696"/>
      <c r="R4" s="2696"/>
      <c r="S4" s="2696"/>
      <c r="T4" s="2696"/>
      <c r="U4" s="2696"/>
      <c r="V4" s="2697"/>
      <c r="W4" s="512" t="s">
        <v>6</v>
      </c>
      <c r="X4" s="513" t="s">
        <v>7</v>
      </c>
      <c r="Y4" s="514"/>
      <c r="Z4" s="514"/>
      <c r="AA4" s="513"/>
      <c r="AB4" s="515"/>
    </row>
    <row r="5" spans="1:32" s="510" customFormat="1" x14ac:dyDescent="0.2">
      <c r="A5" s="2687"/>
      <c r="B5" s="367"/>
      <c r="C5" s="2687"/>
      <c r="D5" s="518" t="s">
        <v>9</v>
      </c>
      <c r="E5" s="519" t="s">
        <v>10</v>
      </c>
      <c r="F5" s="2698" t="s">
        <v>11</v>
      </c>
      <c r="G5" s="2694"/>
      <c r="H5" s="2695"/>
      <c r="I5" s="511"/>
      <c r="J5" s="520" t="s">
        <v>12</v>
      </c>
      <c r="K5" s="511"/>
      <c r="L5" s="2734" t="s">
        <v>2</v>
      </c>
      <c r="M5" s="521"/>
      <c r="N5" s="521"/>
      <c r="O5" s="521"/>
      <c r="P5" s="522"/>
      <c r="Q5" s="523" t="s">
        <v>13</v>
      </c>
      <c r="R5" s="524" t="s">
        <v>12</v>
      </c>
      <c r="S5" s="521" t="s">
        <v>6</v>
      </c>
      <c r="T5" s="2682" t="s">
        <v>14</v>
      </c>
      <c r="U5" s="2683"/>
      <c r="V5" s="525" t="s">
        <v>7</v>
      </c>
      <c r="W5" s="526" t="s">
        <v>15</v>
      </c>
      <c r="X5" s="527" t="s">
        <v>16</v>
      </c>
      <c r="Y5" s="527" t="s">
        <v>17</v>
      </c>
      <c r="Z5" s="527" t="s">
        <v>18</v>
      </c>
      <c r="AA5" s="377"/>
      <c r="AB5" s="378" t="s">
        <v>19</v>
      </c>
    </row>
    <row r="6" spans="1:32" s="510" customFormat="1" x14ac:dyDescent="0.2">
      <c r="A6" s="2687"/>
      <c r="B6" s="2024" t="s">
        <v>23</v>
      </c>
      <c r="C6" s="2687"/>
      <c r="D6" s="518" t="s">
        <v>24</v>
      </c>
      <c r="E6" s="519" t="s">
        <v>25</v>
      </c>
      <c r="F6" s="2699"/>
      <c r="G6" s="2700"/>
      <c r="H6" s="2701"/>
      <c r="I6" s="518" t="s">
        <v>26</v>
      </c>
      <c r="J6" s="530" t="s">
        <v>15</v>
      </c>
      <c r="K6" s="531" t="s">
        <v>6</v>
      </c>
      <c r="L6" s="2735"/>
      <c r="M6" s="532" t="s">
        <v>27</v>
      </c>
      <c r="N6" s="532" t="s">
        <v>10</v>
      </c>
      <c r="O6" s="533" t="s">
        <v>10</v>
      </c>
      <c r="P6" s="534" t="s">
        <v>28</v>
      </c>
      <c r="Q6" s="535" t="s">
        <v>29</v>
      </c>
      <c r="R6" s="534" t="s">
        <v>15</v>
      </c>
      <c r="S6" s="385" t="s">
        <v>15</v>
      </c>
      <c r="T6" s="2684"/>
      <c r="U6" s="2685"/>
      <c r="V6" s="525" t="s">
        <v>30</v>
      </c>
      <c r="W6" s="526" t="s">
        <v>31</v>
      </c>
      <c r="X6" s="527" t="s">
        <v>30</v>
      </c>
      <c r="Y6" s="527" t="s">
        <v>32</v>
      </c>
      <c r="Z6" s="527" t="s">
        <v>7</v>
      </c>
      <c r="AA6" s="377" t="s">
        <v>33</v>
      </c>
      <c r="AB6" s="378" t="s">
        <v>34</v>
      </c>
    </row>
    <row r="7" spans="1:32" s="510" customFormat="1" x14ac:dyDescent="0.2">
      <c r="A7" s="2687"/>
      <c r="B7" s="2024" t="s">
        <v>39</v>
      </c>
      <c r="C7" s="2687"/>
      <c r="D7" s="518" t="s">
        <v>40</v>
      </c>
      <c r="E7" s="519" t="s">
        <v>41</v>
      </c>
      <c r="F7" s="2686" t="s">
        <v>42</v>
      </c>
      <c r="G7" s="2686" t="s">
        <v>43</v>
      </c>
      <c r="H7" s="2688" t="s">
        <v>44</v>
      </c>
      <c r="I7" s="518" t="s">
        <v>45</v>
      </c>
      <c r="J7" s="530" t="s">
        <v>46</v>
      </c>
      <c r="K7" s="531" t="s">
        <v>47</v>
      </c>
      <c r="L7" s="2735"/>
      <c r="M7" s="532" t="s">
        <v>30</v>
      </c>
      <c r="N7" s="532" t="s">
        <v>30</v>
      </c>
      <c r="O7" s="533" t="s">
        <v>25</v>
      </c>
      <c r="P7" s="534" t="s">
        <v>30</v>
      </c>
      <c r="Q7" s="535" t="s">
        <v>48</v>
      </c>
      <c r="R7" s="534" t="s">
        <v>49</v>
      </c>
      <c r="S7" s="385" t="s">
        <v>30</v>
      </c>
      <c r="T7" s="536" t="s">
        <v>50</v>
      </c>
      <c r="U7" s="537" t="s">
        <v>13</v>
      </c>
      <c r="V7" s="525" t="s">
        <v>51</v>
      </c>
      <c r="W7" s="526" t="s">
        <v>52</v>
      </c>
      <c r="X7" s="527" t="s">
        <v>53</v>
      </c>
      <c r="Y7" s="527" t="s">
        <v>54</v>
      </c>
      <c r="Z7" s="527" t="s">
        <v>55</v>
      </c>
      <c r="AA7" s="377" t="s">
        <v>56</v>
      </c>
      <c r="AB7" s="378" t="s">
        <v>57</v>
      </c>
    </row>
    <row r="8" spans="1:32" s="510" customFormat="1" ht="15" x14ac:dyDescent="0.25">
      <c r="A8" s="2687"/>
      <c r="B8" s="2024" t="s">
        <v>61</v>
      </c>
      <c r="C8" s="2687"/>
      <c r="D8" s="518" t="s">
        <v>62</v>
      </c>
      <c r="E8" s="519" t="s">
        <v>63</v>
      </c>
      <c r="F8" s="2687"/>
      <c r="G8" s="2687"/>
      <c r="H8" s="2689"/>
      <c r="I8" s="518" t="s">
        <v>64</v>
      </c>
      <c r="J8" s="530" t="s">
        <v>59</v>
      </c>
      <c r="K8" s="531" t="s">
        <v>59</v>
      </c>
      <c r="L8" s="2735"/>
      <c r="M8" s="532"/>
      <c r="N8" s="532"/>
      <c r="O8" s="533" t="s">
        <v>41</v>
      </c>
      <c r="P8" s="534" t="s">
        <v>65</v>
      </c>
      <c r="Q8" s="535" t="s">
        <v>66</v>
      </c>
      <c r="R8" s="534" t="s">
        <v>67</v>
      </c>
      <c r="S8" s="385" t="s">
        <v>59</v>
      </c>
      <c r="T8" s="538" t="s">
        <v>68</v>
      </c>
      <c r="U8" s="525" t="s">
        <v>14</v>
      </c>
      <c r="V8" s="525" t="s">
        <v>14</v>
      </c>
      <c r="W8" s="526" t="s">
        <v>30</v>
      </c>
      <c r="X8" s="539" t="s">
        <v>69</v>
      </c>
      <c r="Y8" s="539" t="s">
        <v>70</v>
      </c>
      <c r="Z8" s="527" t="s">
        <v>71</v>
      </c>
      <c r="AA8" s="377" t="s">
        <v>72</v>
      </c>
      <c r="AB8" s="540" t="s">
        <v>59</v>
      </c>
    </row>
    <row r="9" spans="1:32" s="510" customFormat="1" x14ac:dyDescent="0.2">
      <c r="A9" s="2692"/>
      <c r="B9" s="390"/>
      <c r="C9" s="2692"/>
      <c r="D9" s="541"/>
      <c r="E9" s="542"/>
      <c r="F9" s="390"/>
      <c r="G9" s="390"/>
      <c r="H9" s="391"/>
      <c r="I9" s="542"/>
      <c r="J9" s="543"/>
      <c r="K9" s="544"/>
      <c r="L9" s="2736"/>
      <c r="M9" s="545"/>
      <c r="N9" s="545"/>
      <c r="O9" s="545" t="s">
        <v>63</v>
      </c>
      <c r="P9" s="546"/>
      <c r="Q9" s="547" t="s">
        <v>72</v>
      </c>
      <c r="R9" s="548" t="s">
        <v>59</v>
      </c>
      <c r="S9" s="549"/>
      <c r="T9" s="548" t="s">
        <v>73</v>
      </c>
      <c r="U9" s="549" t="s">
        <v>59</v>
      </c>
      <c r="V9" s="550" t="s">
        <v>59</v>
      </c>
      <c r="W9" s="551" t="s">
        <v>59</v>
      </c>
      <c r="X9" s="552" t="s">
        <v>59</v>
      </c>
      <c r="Y9" s="552" t="s">
        <v>59</v>
      </c>
      <c r="Z9" s="552" t="s">
        <v>59</v>
      </c>
      <c r="AA9" s="402"/>
      <c r="AB9" s="403"/>
    </row>
    <row r="10" spans="1:32" s="510" customFormat="1" ht="15" x14ac:dyDescent="0.25">
      <c r="A10" s="16">
        <v>1</v>
      </c>
      <c r="B10" s="333">
        <v>16031</v>
      </c>
      <c r="C10" s="41">
        <v>578</v>
      </c>
      <c r="D10" s="259" t="s">
        <v>245</v>
      </c>
      <c r="E10" s="15">
        <v>5</v>
      </c>
      <c r="F10" s="41">
        <v>0</v>
      </c>
      <c r="G10" s="41">
        <v>3</v>
      </c>
      <c r="H10" s="267">
        <v>18</v>
      </c>
      <c r="I10" s="18">
        <f>F10*400+G10*100+H10</f>
        <v>318</v>
      </c>
      <c r="J10" s="258">
        <v>1500</v>
      </c>
      <c r="K10" s="39">
        <f>SUM(I10*J10)</f>
        <v>477000</v>
      </c>
      <c r="L10" s="45">
        <v>1</v>
      </c>
      <c r="M10" s="61">
        <v>101</v>
      </c>
      <c r="N10" s="50" t="s">
        <v>82</v>
      </c>
      <c r="O10" s="50">
        <v>2</v>
      </c>
      <c r="P10" s="19">
        <v>234.2</v>
      </c>
      <c r="Q10" s="62" t="s">
        <v>75</v>
      </c>
      <c r="R10" s="260">
        <v>7700</v>
      </c>
      <c r="S10" s="18">
        <f>+P10*R10</f>
        <v>1803340</v>
      </c>
      <c r="T10" s="20">
        <v>16</v>
      </c>
      <c r="U10" s="47">
        <f>+S10*72/100</f>
        <v>1298404.8</v>
      </c>
      <c r="V10" s="47">
        <f>+S10-U10</f>
        <v>504935.19999999995</v>
      </c>
      <c r="W10" s="18">
        <f>+V10</f>
        <v>504935.19999999995</v>
      </c>
      <c r="X10" s="47">
        <f>W10</f>
        <v>504935.19999999995</v>
      </c>
      <c r="Y10" s="18" t="s">
        <v>87</v>
      </c>
      <c r="Z10" s="18">
        <v>0</v>
      </c>
      <c r="AA10" s="264">
        <v>0.02</v>
      </c>
      <c r="AB10" s="554">
        <f>+Z10*AA10/100</f>
        <v>0</v>
      </c>
      <c r="AC10" s="736"/>
      <c r="AD10" s="737">
        <f>AB10-AC10</f>
        <v>0</v>
      </c>
      <c r="AE10" s="737">
        <f>IF(AD10&lt;=0,0,AD10*25/100)</f>
        <v>0</v>
      </c>
      <c r="AF10" s="737">
        <f>IF(AC10+AE10&gt;AB10,AB10,AC10+AE10)</f>
        <v>0</v>
      </c>
    </row>
    <row r="11" spans="1:32" s="510" customFormat="1" ht="15" x14ac:dyDescent="0.25">
      <c r="A11" s="45"/>
      <c r="B11" s="269"/>
      <c r="C11" s="285"/>
      <c r="D11" s="27"/>
      <c r="E11" s="27"/>
      <c r="F11" s="268"/>
      <c r="G11" s="269"/>
      <c r="H11" s="266"/>
      <c r="I11" s="18"/>
      <c r="J11" s="258"/>
      <c r="K11" s="39"/>
      <c r="L11" s="45">
        <v>2</v>
      </c>
      <c r="M11" s="61">
        <v>101</v>
      </c>
      <c r="N11" s="50" t="s">
        <v>82</v>
      </c>
      <c r="O11" s="50">
        <v>3</v>
      </c>
      <c r="P11" s="19">
        <f>6.26*3</f>
        <v>18.78</v>
      </c>
      <c r="Q11" s="62" t="s">
        <v>75</v>
      </c>
      <c r="R11" s="260">
        <v>6750</v>
      </c>
      <c r="S11" s="18">
        <f>+P11*R11</f>
        <v>126765.00000000001</v>
      </c>
      <c r="T11" s="20">
        <v>13</v>
      </c>
      <c r="U11" s="47">
        <f>+S11*0.55</f>
        <v>69720.750000000015</v>
      </c>
      <c r="V11" s="47">
        <f>+S11-U11</f>
        <v>57044.25</v>
      </c>
      <c r="W11" s="18">
        <f>+V11</f>
        <v>57044.25</v>
      </c>
      <c r="X11" s="47">
        <f>W11</f>
        <v>57044.25</v>
      </c>
      <c r="Y11" s="18"/>
      <c r="Z11" s="18">
        <f>X11</f>
        <v>57044.25</v>
      </c>
      <c r="AA11" s="264">
        <v>0.3</v>
      </c>
      <c r="AB11" s="558">
        <f t="shared" ref="AB11" si="0">+Z11*AA11/100</f>
        <v>171.13274999999999</v>
      </c>
      <c r="AC11" s="559"/>
      <c r="AD11" s="559">
        <f>AB11-AC11</f>
        <v>171.13274999999999</v>
      </c>
      <c r="AE11" s="559">
        <f>IF(AD11&lt;=0,0,AD11*25/100)</f>
        <v>42.783187499999997</v>
      </c>
      <c r="AF11" s="559">
        <f>IF(AC11+AE11&gt;AB11,AB11,AC11+AE11)</f>
        <v>42.783187499999997</v>
      </c>
    </row>
    <row r="12" spans="1:32" s="510" customFormat="1" x14ac:dyDescent="0.2">
      <c r="A12" s="45"/>
      <c r="B12" s="45"/>
      <c r="C12" s="62"/>
      <c r="D12" s="15"/>
      <c r="E12" s="15"/>
      <c r="F12" s="467"/>
      <c r="G12" s="2026"/>
      <c r="H12" s="2026"/>
      <c r="I12" s="467"/>
      <c r="J12" s="258"/>
      <c r="K12" s="199"/>
      <c r="L12" s="61"/>
      <c r="M12" s="50"/>
      <c r="N12" s="50"/>
      <c r="O12" s="50"/>
      <c r="P12" s="19"/>
      <c r="Q12" s="62"/>
      <c r="R12" s="738"/>
      <c r="S12" s="47"/>
      <c r="T12" s="20"/>
      <c r="U12" s="47"/>
      <c r="V12" s="18"/>
      <c r="W12" s="47"/>
      <c r="X12" s="18"/>
      <c r="Y12" s="18"/>
      <c r="Z12" s="18"/>
      <c r="AA12" s="264"/>
      <c r="AB12" s="570"/>
    </row>
    <row r="13" spans="1:32" s="510" customFormat="1" x14ac:dyDescent="0.2">
      <c r="A13" s="50"/>
      <c r="B13" s="50"/>
      <c r="C13" s="76"/>
      <c r="D13" s="15"/>
      <c r="E13" s="15"/>
      <c r="F13" s="467"/>
      <c r="G13" s="2026"/>
      <c r="H13" s="2026"/>
      <c r="I13" s="467"/>
      <c r="J13" s="258"/>
      <c r="K13" s="199"/>
      <c r="L13" s="467"/>
      <c r="M13" s="61"/>
      <c r="N13" s="50"/>
      <c r="O13" s="50"/>
      <c r="P13" s="19"/>
      <c r="Q13" s="76"/>
      <c r="R13" s="738"/>
      <c r="S13" s="18"/>
      <c r="T13" s="59"/>
      <c r="U13" s="18"/>
      <c r="V13" s="18"/>
      <c r="W13" s="18"/>
      <c r="X13" s="18"/>
      <c r="Y13" s="18"/>
      <c r="Z13" s="18"/>
      <c r="AA13" s="264"/>
      <c r="AB13" s="566"/>
    </row>
    <row r="14" spans="1:32" s="510" customFormat="1" x14ac:dyDescent="0.2">
      <c r="A14" s="15"/>
      <c r="B14" s="21"/>
      <c r="C14" s="21"/>
      <c r="D14" s="15"/>
      <c r="E14" s="15"/>
      <c r="F14" s="15"/>
      <c r="G14" s="15"/>
      <c r="H14" s="22"/>
      <c r="I14" s="23"/>
      <c r="J14" s="24"/>
      <c r="K14" s="23"/>
      <c r="L14" s="15"/>
      <c r="M14" s="15"/>
      <c r="N14" s="15"/>
      <c r="O14" s="15"/>
      <c r="P14" s="22"/>
      <c r="Q14" s="25"/>
      <c r="R14" s="563"/>
      <c r="S14" s="23"/>
      <c r="T14" s="26"/>
      <c r="U14" s="24"/>
      <c r="V14" s="23"/>
      <c r="W14" s="23"/>
      <c r="X14" s="564"/>
      <c r="Y14" s="564"/>
      <c r="Z14" s="565"/>
      <c r="AA14" s="565"/>
      <c r="AB14" s="566"/>
    </row>
    <row r="15" spans="1:32" s="510" customFormat="1" x14ac:dyDescent="0.2">
      <c r="A15" s="15"/>
      <c r="B15" s="21"/>
      <c r="C15" s="21"/>
      <c r="D15" s="15"/>
      <c r="E15" s="15"/>
      <c r="F15" s="15"/>
      <c r="G15" s="15"/>
      <c r="H15" s="22"/>
      <c r="I15" s="23"/>
      <c r="J15" s="24"/>
      <c r="K15" s="23"/>
      <c r="L15" s="15"/>
      <c r="M15" s="15"/>
      <c r="N15" s="15"/>
      <c r="O15" s="15"/>
      <c r="P15" s="22"/>
      <c r="Q15" s="25"/>
      <c r="R15" s="563"/>
      <c r="S15" s="23"/>
      <c r="T15" s="26"/>
      <c r="U15" s="24"/>
      <c r="V15" s="23"/>
      <c r="W15" s="23"/>
      <c r="X15" s="564"/>
      <c r="Y15" s="564"/>
      <c r="Z15" s="565"/>
      <c r="AA15" s="565"/>
      <c r="AB15" s="566"/>
    </row>
    <row r="16" spans="1:32" s="510" customFormat="1" x14ac:dyDescent="0.2">
      <c r="A16" s="15"/>
      <c r="B16" s="21"/>
      <c r="C16" s="21"/>
      <c r="D16" s="15"/>
      <c r="E16" s="15"/>
      <c r="F16" s="15"/>
      <c r="G16" s="15"/>
      <c r="H16" s="22"/>
      <c r="I16" s="23"/>
      <c r="J16" s="24"/>
      <c r="K16" s="23"/>
      <c r="L16" s="15"/>
      <c r="M16" s="15"/>
      <c r="N16" s="15"/>
      <c r="O16" s="15"/>
      <c r="P16" s="22"/>
      <c r="Q16" s="25"/>
      <c r="R16" s="563"/>
      <c r="S16" s="23"/>
      <c r="T16" s="26"/>
      <c r="U16" s="24"/>
      <c r="V16" s="23"/>
      <c r="W16" s="23"/>
      <c r="X16" s="564"/>
      <c r="Y16" s="564"/>
      <c r="Z16" s="565"/>
      <c r="AA16" s="565"/>
      <c r="AB16" s="566"/>
    </row>
    <row r="17" spans="1:28" s="510" customFormat="1" x14ac:dyDescent="0.2">
      <c r="A17" s="15"/>
      <c r="B17" s="21"/>
      <c r="C17" s="21"/>
      <c r="D17" s="15"/>
      <c r="E17" s="15"/>
      <c r="F17" s="15"/>
      <c r="G17" s="15"/>
      <c r="H17" s="22"/>
      <c r="I17" s="23"/>
      <c r="J17" s="24"/>
      <c r="K17" s="23"/>
      <c r="L17" s="15"/>
      <c r="M17" s="15"/>
      <c r="N17" s="15"/>
      <c r="O17" s="15"/>
      <c r="P17" s="22"/>
      <c r="Q17" s="25"/>
      <c r="R17" s="563"/>
      <c r="S17" s="23"/>
      <c r="T17" s="26"/>
      <c r="U17" s="24"/>
      <c r="V17" s="23"/>
      <c r="W17" s="23"/>
      <c r="X17" s="564"/>
      <c r="Y17" s="564"/>
      <c r="Z17" s="565"/>
      <c r="AA17" s="565"/>
      <c r="AB17" s="566"/>
    </row>
    <row r="18" spans="1:28" s="510" customFormat="1" x14ac:dyDescent="0.2">
      <c r="A18" s="15"/>
      <c r="B18" s="21"/>
      <c r="C18" s="21"/>
      <c r="D18" s="15"/>
      <c r="E18" s="15"/>
      <c r="F18" s="15"/>
      <c r="G18" s="15"/>
      <c r="H18" s="22"/>
      <c r="I18" s="23"/>
      <c r="J18" s="24"/>
      <c r="K18" s="23"/>
      <c r="L18" s="15"/>
      <c r="M18" s="15"/>
      <c r="N18" s="15"/>
      <c r="O18" s="15"/>
      <c r="P18" s="22"/>
      <c r="Q18" s="25"/>
      <c r="R18" s="563"/>
      <c r="S18" s="23"/>
      <c r="T18" s="26"/>
      <c r="U18" s="24"/>
      <c r="V18" s="23"/>
      <c r="W18" s="23"/>
      <c r="X18" s="564"/>
      <c r="Y18" s="564"/>
      <c r="Z18" s="565"/>
      <c r="AA18" s="565"/>
      <c r="AB18" s="566"/>
    </row>
    <row r="19" spans="1:28" s="510" customFormat="1" x14ac:dyDescent="0.2">
      <c r="A19" s="15"/>
      <c r="B19" s="21"/>
      <c r="C19" s="21"/>
      <c r="D19" s="15"/>
      <c r="E19" s="15"/>
      <c r="F19" s="15"/>
      <c r="G19" s="15"/>
      <c r="H19" s="22"/>
      <c r="I19" s="23"/>
      <c r="J19" s="24"/>
      <c r="K19" s="23"/>
      <c r="L19" s="15"/>
      <c r="M19" s="15"/>
      <c r="N19" s="15"/>
      <c r="O19" s="15"/>
      <c r="P19" s="22"/>
      <c r="Q19" s="25"/>
      <c r="R19" s="563"/>
      <c r="S19" s="23"/>
      <c r="T19" s="26"/>
      <c r="U19" s="24"/>
      <c r="V19" s="23"/>
      <c r="W19" s="23"/>
      <c r="X19" s="564"/>
      <c r="Y19" s="564"/>
      <c r="Z19" s="565"/>
      <c r="AA19" s="565"/>
      <c r="AB19" s="566"/>
    </row>
    <row r="20" spans="1:28" s="510" customFormat="1" x14ac:dyDescent="0.2">
      <c r="A20" s="15"/>
      <c r="B20" s="21"/>
      <c r="C20" s="21"/>
      <c r="D20" s="15"/>
      <c r="E20" s="15"/>
      <c r="F20" s="15"/>
      <c r="G20" s="15"/>
      <c r="H20" s="22"/>
      <c r="I20" s="23"/>
      <c r="J20" s="24"/>
      <c r="K20" s="23"/>
      <c r="L20" s="15"/>
      <c r="M20" s="15"/>
      <c r="N20" s="15"/>
      <c r="O20" s="15"/>
      <c r="P20" s="22"/>
      <c r="Q20" s="25"/>
      <c r="R20" s="563"/>
      <c r="S20" s="23"/>
      <c r="T20" s="26"/>
      <c r="U20" s="24"/>
      <c r="V20" s="23"/>
      <c r="W20" s="23"/>
      <c r="X20" s="564"/>
      <c r="Y20" s="564"/>
      <c r="Z20" s="565"/>
      <c r="AA20" s="565"/>
      <c r="AB20" s="566"/>
    </row>
    <row r="21" spans="1:28" s="510" customFormat="1" x14ac:dyDescent="0.2">
      <c r="A21" s="15"/>
      <c r="B21" s="21"/>
      <c r="C21" s="21"/>
      <c r="D21" s="15"/>
      <c r="E21" s="15"/>
      <c r="F21" s="15"/>
      <c r="G21" s="15"/>
      <c r="H21" s="22"/>
      <c r="I21" s="23"/>
      <c r="J21" s="24"/>
      <c r="K21" s="23"/>
      <c r="L21" s="15"/>
      <c r="M21" s="15"/>
      <c r="N21" s="15"/>
      <c r="O21" s="15"/>
      <c r="P21" s="22"/>
      <c r="Q21" s="25"/>
      <c r="R21" s="563"/>
      <c r="S21" s="23"/>
      <c r="T21" s="26"/>
      <c r="U21" s="24"/>
      <c r="V21" s="23"/>
      <c r="W21" s="23"/>
      <c r="X21" s="564"/>
      <c r="Y21" s="564"/>
      <c r="Z21" s="565"/>
      <c r="AA21" s="565"/>
      <c r="AB21" s="566"/>
    </row>
    <row r="22" spans="1:28" s="510" customFormat="1" x14ac:dyDescent="0.2">
      <c r="A22" s="15"/>
      <c r="B22" s="21"/>
      <c r="C22" s="21"/>
      <c r="D22" s="15"/>
      <c r="E22" s="15"/>
      <c r="F22" s="15"/>
      <c r="G22" s="15"/>
      <c r="H22" s="22"/>
      <c r="I22" s="23"/>
      <c r="J22" s="24"/>
      <c r="K22" s="23"/>
      <c r="L22" s="15"/>
      <c r="M22" s="15"/>
      <c r="N22" s="15"/>
      <c r="O22" s="15"/>
      <c r="P22" s="22"/>
      <c r="Q22" s="25"/>
      <c r="R22" s="563"/>
      <c r="S22" s="23"/>
      <c r="T22" s="26"/>
      <c r="U22" s="24"/>
      <c r="V22" s="23"/>
      <c r="W22" s="23"/>
      <c r="X22" s="564"/>
      <c r="Y22" s="564"/>
      <c r="Z22" s="565"/>
      <c r="AA22" s="565"/>
      <c r="AB22" s="566"/>
    </row>
    <row r="23" spans="1:28" s="510" customFormat="1" x14ac:dyDescent="0.2">
      <c r="A23" s="15"/>
      <c r="B23" s="21"/>
      <c r="C23" s="21"/>
      <c r="D23" s="15"/>
      <c r="E23" s="15"/>
      <c r="F23" s="15"/>
      <c r="G23" s="15"/>
      <c r="H23" s="22"/>
      <c r="I23" s="23"/>
      <c r="J23" s="24"/>
      <c r="K23" s="23"/>
      <c r="L23" s="15"/>
      <c r="M23" s="15"/>
      <c r="N23" s="15"/>
      <c r="O23" s="15"/>
      <c r="P23" s="22"/>
      <c r="Q23" s="25"/>
      <c r="R23" s="563"/>
      <c r="S23" s="23"/>
      <c r="T23" s="26"/>
      <c r="U23" s="24"/>
      <c r="V23" s="23"/>
      <c r="W23" s="23"/>
      <c r="X23" s="564"/>
      <c r="Y23" s="564"/>
      <c r="Z23" s="565"/>
      <c r="AA23" s="565"/>
      <c r="AB23" s="566"/>
    </row>
    <row r="24" spans="1:28" s="510" customFormat="1" x14ac:dyDescent="0.2">
      <c r="A24" s="15"/>
      <c r="B24" s="21"/>
      <c r="C24" s="21"/>
      <c r="D24" s="15"/>
      <c r="E24" s="15"/>
      <c r="F24" s="15"/>
      <c r="G24" s="15"/>
      <c r="H24" s="22"/>
      <c r="I24" s="23"/>
      <c r="J24" s="24"/>
      <c r="K24" s="23"/>
      <c r="L24" s="15"/>
      <c r="M24" s="15"/>
      <c r="N24" s="15"/>
      <c r="O24" s="15"/>
      <c r="P24" s="22"/>
      <c r="Q24" s="25"/>
      <c r="R24" s="563"/>
      <c r="S24" s="23"/>
      <c r="T24" s="26"/>
      <c r="U24" s="24"/>
      <c r="V24" s="23"/>
      <c r="W24" s="23"/>
      <c r="X24" s="564"/>
      <c r="Y24" s="564"/>
      <c r="Z24" s="565"/>
      <c r="AA24" s="565"/>
      <c r="AB24" s="566"/>
    </row>
    <row r="25" spans="1:28" s="510" customFormat="1" x14ac:dyDescent="0.2">
      <c r="A25" s="15"/>
      <c r="B25" s="21"/>
      <c r="C25" s="21"/>
      <c r="D25" s="15"/>
      <c r="E25" s="15"/>
      <c r="F25" s="15"/>
      <c r="G25" s="15"/>
      <c r="H25" s="22"/>
      <c r="I25" s="23"/>
      <c r="J25" s="24"/>
      <c r="K25" s="23"/>
      <c r="L25" s="15"/>
      <c r="M25" s="15"/>
      <c r="N25" s="15"/>
      <c r="O25" s="15"/>
      <c r="P25" s="22"/>
      <c r="Q25" s="25"/>
      <c r="R25" s="563"/>
      <c r="S25" s="23"/>
      <c r="T25" s="26"/>
      <c r="U25" s="24"/>
      <c r="V25" s="23"/>
      <c r="W25" s="23"/>
      <c r="X25" s="564"/>
      <c r="Y25" s="564"/>
      <c r="Z25" s="565"/>
      <c r="AA25" s="565"/>
      <c r="AB25" s="566"/>
    </row>
    <row r="26" spans="1:28" s="510" customFormat="1" x14ac:dyDescent="0.2">
      <c r="A26" s="15"/>
      <c r="B26" s="21"/>
      <c r="C26" s="21"/>
      <c r="D26" s="15"/>
      <c r="E26" s="15"/>
      <c r="F26" s="15"/>
      <c r="G26" s="15"/>
      <c r="H26" s="22"/>
      <c r="I26" s="23"/>
      <c r="J26" s="24"/>
      <c r="K26" s="23"/>
      <c r="L26" s="15"/>
      <c r="M26" s="15"/>
      <c r="N26" s="15"/>
      <c r="O26" s="15"/>
      <c r="P26" s="22"/>
      <c r="Q26" s="25"/>
      <c r="R26" s="563"/>
      <c r="S26" s="23"/>
      <c r="T26" s="26"/>
      <c r="U26" s="24"/>
      <c r="V26" s="23"/>
      <c r="W26" s="23"/>
      <c r="X26" s="564"/>
      <c r="Y26" s="564"/>
      <c r="Z26" s="565"/>
      <c r="AA26" s="565"/>
      <c r="AB26" s="566"/>
    </row>
    <row r="27" spans="1:28" s="510" customFormat="1" ht="15" x14ac:dyDescent="0.25">
      <c r="A27" s="2027"/>
      <c r="B27" s="2027"/>
      <c r="C27" s="2027"/>
      <c r="D27" s="2027"/>
      <c r="E27" s="2027"/>
      <c r="F27" s="2027"/>
      <c r="G27" s="2027"/>
      <c r="H27" s="2028"/>
      <c r="I27" s="2029"/>
      <c r="J27" s="2030"/>
      <c r="K27" s="2029"/>
      <c r="L27" s="2029"/>
      <c r="M27" s="2029"/>
      <c r="N27" s="2029"/>
      <c r="O27" s="2029"/>
      <c r="P27" s="2029"/>
      <c r="Q27" s="2029"/>
      <c r="R27" s="2031"/>
      <c r="S27" s="2029"/>
      <c r="T27" s="2032"/>
      <c r="U27" s="2030"/>
      <c r="V27" s="2029"/>
      <c r="W27" s="2029"/>
      <c r="X27" s="2033"/>
      <c r="Y27" s="2033"/>
      <c r="Z27" s="2034"/>
      <c r="AA27" s="2034"/>
      <c r="AB27" s="2035">
        <f>SUM(AB10:AB26)</f>
        <v>171.13274999999999</v>
      </c>
    </row>
    <row r="28" spans="1:28" s="510" customFormat="1" ht="15.75" x14ac:dyDescent="0.25">
      <c r="A28" s="2837" t="s">
        <v>76</v>
      </c>
      <c r="B28" s="2837"/>
      <c r="C28" s="2838" t="s">
        <v>77</v>
      </c>
      <c r="D28" s="2838"/>
      <c r="E28" s="2838"/>
      <c r="F28" s="2838"/>
      <c r="G28" s="2838"/>
      <c r="H28" s="2838"/>
      <c r="I28" s="577" t="s">
        <v>78</v>
      </c>
      <c r="J28" s="577"/>
      <c r="K28" s="577"/>
      <c r="L28" s="577"/>
      <c r="M28" s="577"/>
      <c r="N28" s="577"/>
      <c r="AB28" s="578"/>
    </row>
    <row r="29" spans="1:28" s="510" customFormat="1" ht="15.75" x14ac:dyDescent="0.25">
      <c r="A29" s="739"/>
      <c r="B29" s="579"/>
      <c r="C29" s="577"/>
      <c r="D29" s="577"/>
      <c r="E29" s="577"/>
      <c r="F29" s="577"/>
      <c r="G29" s="577"/>
      <c r="H29" s="577"/>
      <c r="I29" s="577" t="s">
        <v>79</v>
      </c>
      <c r="J29" s="577"/>
      <c r="K29" s="577"/>
      <c r="L29" s="577"/>
      <c r="M29" s="577"/>
      <c r="N29" s="577"/>
      <c r="AB29" s="578"/>
    </row>
    <row r="30" spans="1:28" s="510" customFormat="1" ht="15.75" x14ac:dyDescent="0.25">
      <c r="A30" s="739"/>
      <c r="B30" s="579"/>
      <c r="C30" s="577"/>
      <c r="D30" s="577"/>
      <c r="E30" s="577"/>
      <c r="F30" s="577"/>
      <c r="G30" s="577"/>
      <c r="H30" s="577"/>
      <c r="I30" s="577" t="s">
        <v>80</v>
      </c>
      <c r="J30" s="577"/>
      <c r="K30" s="577"/>
      <c r="L30" s="577"/>
      <c r="M30" s="577"/>
      <c r="N30" s="577"/>
      <c r="AB30" s="578"/>
    </row>
    <row r="31" spans="1:28" s="510" customFormat="1" ht="15.75" x14ac:dyDescent="0.25">
      <c r="A31" s="739"/>
      <c r="B31" s="579"/>
      <c r="C31" s="577"/>
      <c r="D31" s="577"/>
      <c r="E31" s="577"/>
      <c r="F31" s="577"/>
      <c r="G31" s="577"/>
      <c r="H31" s="577"/>
      <c r="I31" s="577" t="s">
        <v>81</v>
      </c>
      <c r="J31" s="577"/>
      <c r="K31" s="577"/>
      <c r="L31" s="577"/>
      <c r="M31" s="577"/>
      <c r="N31" s="577"/>
      <c r="AB31" s="578"/>
    </row>
    <row r="32" spans="1:28" s="510" customFormat="1" ht="15.75" x14ac:dyDescent="0.25">
      <c r="A32" s="739"/>
      <c r="B32" s="579"/>
      <c r="C32" s="577"/>
      <c r="D32" s="577"/>
      <c r="E32" s="577"/>
      <c r="F32" s="577"/>
      <c r="G32" s="577"/>
      <c r="H32" s="577"/>
      <c r="I32" s="577" t="s">
        <v>88</v>
      </c>
      <c r="J32" s="577"/>
      <c r="K32" s="577"/>
      <c r="L32" s="577"/>
      <c r="M32" s="577"/>
      <c r="N32" s="577"/>
      <c r="AB32" s="578"/>
    </row>
    <row r="33" spans="1:32" s="510" customFormat="1" ht="18.75" x14ac:dyDescent="0.2">
      <c r="A33" s="735"/>
      <c r="B33" s="338"/>
      <c r="C33" s="338"/>
      <c r="D33" s="338"/>
      <c r="E33" s="338"/>
      <c r="F33" s="338"/>
      <c r="G33" s="338"/>
      <c r="H33" s="338"/>
      <c r="I33" s="338"/>
      <c r="J33" s="338"/>
      <c r="K33" s="338"/>
      <c r="L33" s="338"/>
      <c r="M33" s="338"/>
      <c r="N33" s="338"/>
      <c r="O33" s="338"/>
      <c r="P33" s="338"/>
      <c r="Q33" s="338"/>
      <c r="R33" s="338"/>
      <c r="S33" s="338"/>
      <c r="T33" s="338"/>
      <c r="U33" s="338"/>
      <c r="V33" s="338"/>
      <c r="W33" s="338"/>
      <c r="X33" s="338"/>
      <c r="Y33" s="338"/>
      <c r="Z33" s="338"/>
      <c r="AA33" s="2774" t="s">
        <v>0</v>
      </c>
      <c r="AB33" s="2774"/>
      <c r="AC33" s="338"/>
      <c r="AD33" s="338"/>
      <c r="AE33" s="338"/>
      <c r="AF33" s="338"/>
    </row>
    <row r="34" spans="1:32" s="510" customFormat="1" ht="18.75" x14ac:dyDescent="0.2">
      <c r="A34" s="2703" t="s">
        <v>1</v>
      </c>
      <c r="B34" s="2703"/>
      <c r="C34" s="2703"/>
      <c r="D34" s="2703"/>
      <c r="E34" s="2703"/>
      <c r="F34" s="2703"/>
      <c r="G34" s="2703"/>
      <c r="H34" s="2703"/>
      <c r="I34" s="2703"/>
      <c r="J34" s="2703"/>
      <c r="K34" s="2703"/>
      <c r="L34" s="2703"/>
      <c r="M34" s="2703"/>
      <c r="N34" s="2703"/>
      <c r="O34" s="2703"/>
      <c r="P34" s="2703"/>
      <c r="Q34" s="2703"/>
      <c r="R34" s="2703"/>
      <c r="S34" s="2703"/>
      <c r="T34" s="2703"/>
      <c r="U34" s="2703"/>
      <c r="V34" s="2703"/>
      <c r="W34" s="2703"/>
      <c r="X34" s="2703"/>
      <c r="Y34" s="2703"/>
      <c r="Z34" s="2703"/>
      <c r="AA34" s="2703"/>
      <c r="AB34" s="2703"/>
      <c r="AC34" s="344"/>
      <c r="AD34" s="344"/>
      <c r="AE34" s="344"/>
      <c r="AF34" s="344"/>
    </row>
    <row r="35" spans="1:32" s="510" customFormat="1" ht="21" x14ac:dyDescent="0.2">
      <c r="A35" s="2780" t="s">
        <v>534</v>
      </c>
      <c r="B35" s="2780"/>
      <c r="C35" s="2780"/>
      <c r="D35" s="2780"/>
      <c r="E35" s="2780"/>
      <c r="F35" s="2780"/>
      <c r="G35" s="2780"/>
      <c r="H35" s="2780"/>
      <c r="I35" s="2780"/>
      <c r="J35" s="2780"/>
      <c r="K35" s="2780"/>
      <c r="L35" s="2780"/>
      <c r="M35" s="2780"/>
      <c r="N35" s="2780"/>
      <c r="O35" s="2780"/>
      <c r="P35" s="2780"/>
      <c r="Q35" s="2780"/>
      <c r="R35" s="2780"/>
      <c r="S35" s="2780"/>
      <c r="T35" s="2780"/>
      <c r="U35" s="2780"/>
      <c r="V35" s="2780"/>
      <c r="W35" s="2780"/>
      <c r="X35" s="2780"/>
      <c r="Y35" s="2780"/>
      <c r="Z35" s="2780"/>
      <c r="AA35" s="2780"/>
      <c r="AB35" s="2780"/>
      <c r="AC35" s="345"/>
      <c r="AD35" s="345"/>
      <c r="AE35" s="345"/>
      <c r="AF35" s="345"/>
    </row>
    <row r="36" spans="1:32" s="510" customFormat="1" ht="15" x14ac:dyDescent="0.25">
      <c r="A36" s="2686" t="s">
        <v>2</v>
      </c>
      <c r="B36" s="511"/>
      <c r="C36" s="2686" t="s">
        <v>3</v>
      </c>
      <c r="D36" s="511"/>
      <c r="E36" s="511"/>
      <c r="F36" s="2693" t="s">
        <v>4</v>
      </c>
      <c r="G36" s="2693"/>
      <c r="H36" s="2693"/>
      <c r="I36" s="2694"/>
      <c r="J36" s="2694"/>
      <c r="K36" s="2695"/>
      <c r="L36" s="361"/>
      <c r="M36" s="2679" t="s">
        <v>5</v>
      </c>
      <c r="N36" s="2679"/>
      <c r="O36" s="2679"/>
      <c r="P36" s="2679"/>
      <c r="Q36" s="2696"/>
      <c r="R36" s="2696"/>
      <c r="S36" s="2696"/>
      <c r="T36" s="2696"/>
      <c r="U36" s="2696"/>
      <c r="V36" s="2697"/>
      <c r="W36" s="512" t="s">
        <v>6</v>
      </c>
      <c r="X36" s="513" t="s">
        <v>7</v>
      </c>
      <c r="Y36" s="514"/>
      <c r="Z36" s="514"/>
      <c r="AA36" s="513"/>
      <c r="AB36" s="515"/>
      <c r="AC36" s="516" t="s">
        <v>8</v>
      </c>
      <c r="AD36" s="346"/>
      <c r="AE36" s="346"/>
      <c r="AF36" s="517"/>
    </row>
    <row r="37" spans="1:32" s="510" customFormat="1" x14ac:dyDescent="0.2">
      <c r="A37" s="2687"/>
      <c r="B37" s="367"/>
      <c r="C37" s="2687"/>
      <c r="D37" s="518" t="s">
        <v>9</v>
      </c>
      <c r="E37" s="519" t="s">
        <v>10</v>
      </c>
      <c r="F37" s="2698" t="s">
        <v>11</v>
      </c>
      <c r="G37" s="2694"/>
      <c r="H37" s="2695"/>
      <c r="I37" s="511"/>
      <c r="J37" s="520" t="s">
        <v>12</v>
      </c>
      <c r="K37" s="511"/>
      <c r="L37" s="2679" t="s">
        <v>2</v>
      </c>
      <c r="M37" s="521"/>
      <c r="N37" s="521"/>
      <c r="O37" s="521"/>
      <c r="P37" s="522"/>
      <c r="Q37" s="523" t="s">
        <v>13</v>
      </c>
      <c r="R37" s="524" t="s">
        <v>12</v>
      </c>
      <c r="S37" s="521" t="s">
        <v>6</v>
      </c>
      <c r="T37" s="2682" t="s">
        <v>14</v>
      </c>
      <c r="U37" s="2683"/>
      <c r="V37" s="525" t="s">
        <v>7</v>
      </c>
      <c r="W37" s="526" t="s">
        <v>15</v>
      </c>
      <c r="X37" s="527" t="s">
        <v>16</v>
      </c>
      <c r="Y37" s="527" t="s">
        <v>17</v>
      </c>
      <c r="Z37" s="527" t="s">
        <v>18</v>
      </c>
      <c r="AA37" s="377"/>
      <c r="AB37" s="378" t="s">
        <v>19</v>
      </c>
      <c r="AC37" s="528" t="s">
        <v>20</v>
      </c>
      <c r="AD37" s="529"/>
      <c r="AE37" s="347" t="s">
        <v>21</v>
      </c>
      <c r="AF37" s="340" t="s">
        <v>22</v>
      </c>
    </row>
    <row r="38" spans="1:32" s="510" customFormat="1" x14ac:dyDescent="0.2">
      <c r="A38" s="2687"/>
      <c r="B38" s="2024" t="s">
        <v>23</v>
      </c>
      <c r="C38" s="2687"/>
      <c r="D38" s="518" t="s">
        <v>24</v>
      </c>
      <c r="E38" s="519" t="s">
        <v>25</v>
      </c>
      <c r="F38" s="2699"/>
      <c r="G38" s="2700"/>
      <c r="H38" s="2701"/>
      <c r="I38" s="518" t="s">
        <v>26</v>
      </c>
      <c r="J38" s="530" t="s">
        <v>15</v>
      </c>
      <c r="K38" s="531" t="s">
        <v>6</v>
      </c>
      <c r="L38" s="2680"/>
      <c r="M38" s="532" t="s">
        <v>27</v>
      </c>
      <c r="N38" s="532" t="s">
        <v>10</v>
      </c>
      <c r="O38" s="533" t="s">
        <v>10</v>
      </c>
      <c r="P38" s="534" t="s">
        <v>28</v>
      </c>
      <c r="Q38" s="535" t="s">
        <v>29</v>
      </c>
      <c r="R38" s="534" t="s">
        <v>15</v>
      </c>
      <c r="S38" s="385" t="s">
        <v>15</v>
      </c>
      <c r="T38" s="2684"/>
      <c r="U38" s="2685"/>
      <c r="V38" s="525" t="s">
        <v>30</v>
      </c>
      <c r="W38" s="526" t="s">
        <v>31</v>
      </c>
      <c r="X38" s="527" t="s">
        <v>30</v>
      </c>
      <c r="Y38" s="527" t="s">
        <v>32</v>
      </c>
      <c r="Z38" s="527" t="s">
        <v>7</v>
      </c>
      <c r="AA38" s="377" t="s">
        <v>33</v>
      </c>
      <c r="AB38" s="378" t="s">
        <v>34</v>
      </c>
      <c r="AC38" s="528" t="s">
        <v>35</v>
      </c>
      <c r="AD38" s="347" t="s">
        <v>36</v>
      </c>
      <c r="AE38" s="347" t="s">
        <v>37</v>
      </c>
      <c r="AF38" s="340" t="s">
        <v>38</v>
      </c>
    </row>
    <row r="39" spans="1:32" s="510" customFormat="1" x14ac:dyDescent="0.2">
      <c r="A39" s="2687"/>
      <c r="B39" s="2024" t="s">
        <v>39</v>
      </c>
      <c r="C39" s="2687"/>
      <c r="D39" s="518" t="s">
        <v>40</v>
      </c>
      <c r="E39" s="519" t="s">
        <v>41</v>
      </c>
      <c r="F39" s="2686" t="s">
        <v>42</v>
      </c>
      <c r="G39" s="2686" t="s">
        <v>43</v>
      </c>
      <c r="H39" s="2688" t="s">
        <v>44</v>
      </c>
      <c r="I39" s="518" t="s">
        <v>45</v>
      </c>
      <c r="J39" s="530" t="s">
        <v>46</v>
      </c>
      <c r="K39" s="531" t="s">
        <v>47</v>
      </c>
      <c r="L39" s="2680"/>
      <c r="M39" s="532" t="s">
        <v>30</v>
      </c>
      <c r="N39" s="532" t="s">
        <v>30</v>
      </c>
      <c r="O39" s="533" t="s">
        <v>25</v>
      </c>
      <c r="P39" s="534" t="s">
        <v>30</v>
      </c>
      <c r="Q39" s="535" t="s">
        <v>48</v>
      </c>
      <c r="R39" s="534" t="s">
        <v>49</v>
      </c>
      <c r="S39" s="385" t="s">
        <v>30</v>
      </c>
      <c r="T39" s="536" t="s">
        <v>50</v>
      </c>
      <c r="U39" s="537" t="s">
        <v>13</v>
      </c>
      <c r="V39" s="525" t="s">
        <v>51</v>
      </c>
      <c r="W39" s="526" t="s">
        <v>52</v>
      </c>
      <c r="X39" s="527" t="s">
        <v>53</v>
      </c>
      <c r="Y39" s="527" t="s">
        <v>54</v>
      </c>
      <c r="Z39" s="527" t="s">
        <v>55</v>
      </c>
      <c r="AA39" s="377" t="s">
        <v>56</v>
      </c>
      <c r="AB39" s="378" t="s">
        <v>57</v>
      </c>
      <c r="AC39" s="347" t="s">
        <v>58</v>
      </c>
      <c r="AD39" s="347" t="s">
        <v>59</v>
      </c>
      <c r="AE39" s="347" t="s">
        <v>59</v>
      </c>
      <c r="AF39" s="340" t="s">
        <v>60</v>
      </c>
    </row>
    <row r="40" spans="1:32" s="510" customFormat="1" ht="15" x14ac:dyDescent="0.25">
      <c r="A40" s="2687"/>
      <c r="B40" s="2024" t="s">
        <v>61</v>
      </c>
      <c r="C40" s="2687"/>
      <c r="D40" s="518" t="s">
        <v>62</v>
      </c>
      <c r="E40" s="519" t="s">
        <v>63</v>
      </c>
      <c r="F40" s="2687"/>
      <c r="G40" s="2687"/>
      <c r="H40" s="2689"/>
      <c r="I40" s="518" t="s">
        <v>64</v>
      </c>
      <c r="J40" s="530" t="s">
        <v>59</v>
      </c>
      <c r="K40" s="531" t="s">
        <v>59</v>
      </c>
      <c r="L40" s="2680"/>
      <c r="M40" s="532"/>
      <c r="N40" s="532"/>
      <c r="O40" s="533" t="s">
        <v>41</v>
      </c>
      <c r="P40" s="534" t="s">
        <v>65</v>
      </c>
      <c r="Q40" s="535" t="s">
        <v>66</v>
      </c>
      <c r="R40" s="534" t="s">
        <v>67</v>
      </c>
      <c r="S40" s="385" t="s">
        <v>59</v>
      </c>
      <c r="T40" s="538" t="s">
        <v>68</v>
      </c>
      <c r="U40" s="525" t="s">
        <v>14</v>
      </c>
      <c r="V40" s="525" t="s">
        <v>14</v>
      </c>
      <c r="W40" s="526" t="s">
        <v>30</v>
      </c>
      <c r="X40" s="539" t="s">
        <v>69</v>
      </c>
      <c r="Y40" s="539" t="s">
        <v>70</v>
      </c>
      <c r="Z40" s="527" t="s">
        <v>71</v>
      </c>
      <c r="AA40" s="377" t="s">
        <v>72</v>
      </c>
      <c r="AB40" s="540" t="s">
        <v>59</v>
      </c>
      <c r="AC40" s="347" t="s">
        <v>59</v>
      </c>
      <c r="AD40" s="347"/>
      <c r="AE40" s="347"/>
      <c r="AF40" s="340" t="s">
        <v>59</v>
      </c>
    </row>
    <row r="41" spans="1:32" s="510" customFormat="1" x14ac:dyDescent="0.2">
      <c r="A41" s="2692"/>
      <c r="B41" s="390"/>
      <c r="C41" s="2692"/>
      <c r="D41" s="541"/>
      <c r="E41" s="542"/>
      <c r="F41" s="390"/>
      <c r="G41" s="390"/>
      <c r="H41" s="391"/>
      <c r="I41" s="542"/>
      <c r="J41" s="543"/>
      <c r="K41" s="544"/>
      <c r="L41" s="2681"/>
      <c r="M41" s="545"/>
      <c r="N41" s="545"/>
      <c r="O41" s="545" t="s">
        <v>63</v>
      </c>
      <c r="P41" s="546"/>
      <c r="Q41" s="547" t="s">
        <v>72</v>
      </c>
      <c r="R41" s="548" t="s">
        <v>59</v>
      </c>
      <c r="S41" s="549"/>
      <c r="T41" s="548" t="s">
        <v>73</v>
      </c>
      <c r="U41" s="549" t="s">
        <v>59</v>
      </c>
      <c r="V41" s="550" t="s">
        <v>59</v>
      </c>
      <c r="W41" s="551" t="s">
        <v>59</v>
      </c>
      <c r="X41" s="552" t="s">
        <v>59</v>
      </c>
      <c r="Y41" s="552" t="s">
        <v>59</v>
      </c>
      <c r="Z41" s="552" t="s">
        <v>59</v>
      </c>
      <c r="AA41" s="402"/>
      <c r="AB41" s="403"/>
      <c r="AC41" s="348"/>
      <c r="AD41" s="348"/>
      <c r="AE41" s="348"/>
      <c r="AF41" s="341"/>
    </row>
    <row r="42" spans="1:32" s="889" customFormat="1" ht="15" x14ac:dyDescent="0.25">
      <c r="A42" s="82">
        <v>1</v>
      </c>
      <c r="B42" s="87">
        <v>36991</v>
      </c>
      <c r="C42" s="82">
        <v>1388</v>
      </c>
      <c r="D42" s="259" t="s">
        <v>245</v>
      </c>
      <c r="E42" s="333">
        <v>2</v>
      </c>
      <c r="F42" s="82">
        <v>0</v>
      </c>
      <c r="G42" s="82">
        <v>1</v>
      </c>
      <c r="H42" s="789">
        <v>5</v>
      </c>
      <c r="I42" s="66">
        <v>85</v>
      </c>
      <c r="J42" s="1045">
        <v>700</v>
      </c>
      <c r="K42" s="42">
        <f>SUM(I42*J42)</f>
        <v>59500</v>
      </c>
      <c r="L42" s="63">
        <v>1</v>
      </c>
      <c r="M42" s="975">
        <v>103</v>
      </c>
      <c r="N42" s="259" t="s">
        <v>74</v>
      </c>
      <c r="O42" s="63">
        <v>2</v>
      </c>
      <c r="P42" s="333">
        <v>100</v>
      </c>
      <c r="Q42" s="1017" t="s">
        <v>75</v>
      </c>
      <c r="R42" s="1415">
        <v>9050</v>
      </c>
      <c r="S42" s="18">
        <f>+P42*R42</f>
        <v>905000</v>
      </c>
      <c r="T42" s="20">
        <v>25</v>
      </c>
      <c r="U42" s="47">
        <f>+S42*0.4</f>
        <v>362000</v>
      </c>
      <c r="V42" s="47">
        <f>+S42-U42</f>
        <v>543000</v>
      </c>
      <c r="W42" s="18">
        <f>V42+K42</f>
        <v>602500</v>
      </c>
      <c r="X42" s="47">
        <f>W42</f>
        <v>602500</v>
      </c>
      <c r="Y42" s="293" t="s">
        <v>87</v>
      </c>
      <c r="Z42" s="18">
        <v>0</v>
      </c>
      <c r="AA42" s="264">
        <v>0.02</v>
      </c>
      <c r="AB42" s="1416">
        <f>+Z42*AA42/100</f>
        <v>0</v>
      </c>
      <c r="AC42" s="1417">
        <f>+AA42*AB42/100</f>
        <v>0</v>
      </c>
      <c r="AD42" s="1417">
        <f>+AB42*AC42/100</f>
        <v>0</v>
      </c>
      <c r="AE42" s="1417">
        <f>+AC42*AD42/100</f>
        <v>0</v>
      </c>
      <c r="AF42" s="1417">
        <f>+AD42*AE42/100</f>
        <v>0</v>
      </c>
    </row>
    <row r="43" spans="1:32" s="889" customFormat="1" ht="13.5" x14ac:dyDescent="0.25">
      <c r="A43" s="50"/>
      <c r="B43" s="27"/>
      <c r="C43" s="15"/>
      <c r="D43" s="27"/>
      <c r="E43" s="15"/>
      <c r="F43" s="15"/>
      <c r="G43" s="15"/>
      <c r="H43" s="284"/>
      <c r="I43" s="30">
        <v>20</v>
      </c>
      <c r="J43" s="265">
        <v>700</v>
      </c>
      <c r="K43" s="39">
        <f>I43*J43</f>
        <v>14000</v>
      </c>
      <c r="L43" s="27">
        <v>2</v>
      </c>
      <c r="M43" s="85">
        <v>103</v>
      </c>
      <c r="N43" s="27" t="s">
        <v>74</v>
      </c>
      <c r="O43" s="880">
        <v>2</v>
      </c>
      <c r="P43" s="273">
        <f>4*4.5</f>
        <v>18</v>
      </c>
      <c r="Q43" s="1129" t="s">
        <v>75</v>
      </c>
      <c r="R43" s="1418">
        <v>6050</v>
      </c>
      <c r="S43" s="18">
        <f>+P43*R43</f>
        <v>108900</v>
      </c>
      <c r="T43" s="20">
        <v>28</v>
      </c>
      <c r="U43" s="47">
        <f>+S43*0.46</f>
        <v>50094</v>
      </c>
      <c r="V43" s="47">
        <f>+S43-U43</f>
        <v>58806</v>
      </c>
      <c r="W43" s="18">
        <f>V43+K43</f>
        <v>72806</v>
      </c>
      <c r="X43" s="47">
        <f>W43</f>
        <v>72806</v>
      </c>
      <c r="Y43" s="1419">
        <v>0</v>
      </c>
      <c r="Z43" s="18">
        <f>+X43</f>
        <v>72806</v>
      </c>
      <c r="AA43" s="264">
        <v>0.02</v>
      </c>
      <c r="AB43" s="22">
        <f>+Z43*AA43/100</f>
        <v>14.561200000000001</v>
      </c>
    </row>
    <row r="44" spans="1:32" s="510" customFormat="1" ht="15" x14ac:dyDescent="0.25">
      <c r="A44" s="45"/>
      <c r="B44" s="27"/>
      <c r="C44" s="27"/>
      <c r="D44" s="27"/>
      <c r="E44" s="273"/>
      <c r="F44" s="27"/>
      <c r="G44" s="27"/>
      <c r="H44" s="557"/>
      <c r="I44" s="18"/>
      <c r="J44" s="258"/>
      <c r="K44" s="39"/>
      <c r="L44" s="45"/>
      <c r="M44" s="2026"/>
      <c r="N44" s="15"/>
      <c r="O44" s="50"/>
      <c r="P44" s="19"/>
      <c r="Q44" s="62"/>
      <c r="R44" s="260"/>
      <c r="S44" s="18"/>
      <c r="T44" s="20"/>
      <c r="U44" s="47"/>
      <c r="V44" s="47"/>
      <c r="W44" s="18"/>
      <c r="X44" s="47"/>
      <c r="Y44" s="18"/>
      <c r="Z44" s="18"/>
      <c r="AA44" s="264"/>
      <c r="AB44" s="570"/>
      <c r="AC44" s="559"/>
      <c r="AD44" s="559"/>
      <c r="AE44" s="559"/>
      <c r="AF44" s="559"/>
    </row>
    <row r="45" spans="1:32" s="510" customFormat="1" x14ac:dyDescent="0.2">
      <c r="A45" s="15"/>
      <c r="B45" s="21"/>
      <c r="C45" s="21"/>
      <c r="D45" s="15"/>
      <c r="E45" s="15"/>
      <c r="F45" s="15"/>
      <c r="G45" s="15"/>
      <c r="H45" s="22"/>
      <c r="I45" s="23"/>
      <c r="J45" s="24"/>
      <c r="K45" s="23"/>
      <c r="L45" s="15"/>
      <c r="M45" s="15"/>
      <c r="N45" s="15"/>
      <c r="O45" s="15"/>
      <c r="P45" s="22"/>
      <c r="Q45" s="25"/>
      <c r="R45" s="563"/>
      <c r="S45" s="23"/>
      <c r="T45" s="26"/>
      <c r="U45" s="24"/>
      <c r="V45" s="23"/>
      <c r="W45" s="23"/>
      <c r="X45" s="564"/>
      <c r="Y45" s="564"/>
      <c r="Z45" s="565"/>
      <c r="AA45" s="565"/>
      <c r="AB45" s="566"/>
      <c r="AC45" s="559"/>
      <c r="AD45" s="559"/>
      <c r="AE45" s="559"/>
      <c r="AF45" s="559"/>
    </row>
    <row r="46" spans="1:32" s="510" customFormat="1" x14ac:dyDescent="0.2">
      <c r="A46" s="15"/>
      <c r="B46" s="21"/>
      <c r="C46" s="21"/>
      <c r="D46" s="15"/>
      <c r="E46" s="15"/>
      <c r="F46" s="15"/>
      <c r="G46" s="15"/>
      <c r="H46" s="22"/>
      <c r="I46" s="23"/>
      <c r="J46" s="24"/>
      <c r="K46" s="23"/>
      <c r="L46" s="15"/>
      <c r="M46" s="15"/>
      <c r="N46" s="15"/>
      <c r="O46" s="15"/>
      <c r="P46" s="22"/>
      <c r="Q46" s="25"/>
      <c r="R46" s="563"/>
      <c r="S46" s="23"/>
      <c r="T46" s="26"/>
      <c r="U46" s="24"/>
      <c r="V46" s="23"/>
      <c r="W46" s="23"/>
      <c r="X46" s="564"/>
      <c r="Y46" s="564"/>
      <c r="Z46" s="565"/>
      <c r="AA46" s="565"/>
      <c r="AB46" s="566"/>
      <c r="AC46" s="559"/>
      <c r="AD46" s="559"/>
      <c r="AE46" s="559"/>
      <c r="AF46" s="559"/>
    </row>
    <row r="47" spans="1:32" s="510" customFormat="1" x14ac:dyDescent="0.2">
      <c r="A47" s="15"/>
      <c r="B47" s="21"/>
      <c r="C47" s="21"/>
      <c r="D47" s="15"/>
      <c r="E47" s="15"/>
      <c r="F47" s="15"/>
      <c r="G47" s="15"/>
      <c r="H47" s="22"/>
      <c r="I47" s="23"/>
      <c r="J47" s="24"/>
      <c r="K47" s="23"/>
      <c r="L47" s="15"/>
      <c r="M47" s="15"/>
      <c r="N47" s="15"/>
      <c r="O47" s="15"/>
      <c r="P47" s="22"/>
      <c r="Q47" s="25"/>
      <c r="R47" s="563"/>
      <c r="S47" s="23"/>
      <c r="T47" s="26"/>
      <c r="U47" s="24"/>
      <c r="V47" s="23"/>
      <c r="W47" s="23"/>
      <c r="X47" s="564"/>
      <c r="Y47" s="564"/>
      <c r="Z47" s="565"/>
      <c r="AA47" s="565"/>
      <c r="AB47" s="566"/>
      <c r="AC47" s="559"/>
      <c r="AD47" s="559"/>
      <c r="AE47" s="559"/>
      <c r="AF47" s="559"/>
    </row>
    <row r="48" spans="1:32" s="510" customFormat="1" x14ac:dyDescent="0.2">
      <c r="A48" s="15"/>
      <c r="B48" s="21"/>
      <c r="C48" s="21"/>
      <c r="D48" s="15"/>
      <c r="E48" s="15"/>
      <c r="F48" s="15"/>
      <c r="G48" s="15"/>
      <c r="H48" s="22"/>
      <c r="I48" s="23"/>
      <c r="J48" s="24"/>
      <c r="K48" s="23"/>
      <c r="L48" s="15"/>
      <c r="M48" s="15"/>
      <c r="N48" s="15"/>
      <c r="O48" s="15"/>
      <c r="P48" s="22"/>
      <c r="Q48" s="25"/>
      <c r="R48" s="563"/>
      <c r="S48" s="23"/>
      <c r="T48" s="26"/>
      <c r="U48" s="24"/>
      <c r="V48" s="23"/>
      <c r="W48" s="23"/>
      <c r="X48" s="564"/>
      <c r="Y48" s="564"/>
      <c r="Z48" s="565"/>
      <c r="AA48" s="565"/>
      <c r="AB48" s="566"/>
      <c r="AC48" s="559"/>
      <c r="AD48" s="559"/>
      <c r="AE48" s="559"/>
      <c r="AF48" s="559"/>
    </row>
    <row r="49" spans="1:32" s="510" customFormat="1" x14ac:dyDescent="0.2">
      <c r="A49" s="15"/>
      <c r="B49" s="21"/>
      <c r="C49" s="21"/>
      <c r="D49" s="15"/>
      <c r="E49" s="15"/>
      <c r="F49" s="15"/>
      <c r="G49" s="15"/>
      <c r="H49" s="22"/>
      <c r="I49" s="23"/>
      <c r="J49" s="24"/>
      <c r="K49" s="23"/>
      <c r="L49" s="15"/>
      <c r="M49" s="15"/>
      <c r="N49" s="15"/>
      <c r="O49" s="15"/>
      <c r="P49" s="22"/>
      <c r="Q49" s="25"/>
      <c r="R49" s="563"/>
      <c r="S49" s="23"/>
      <c r="T49" s="26"/>
      <c r="U49" s="24"/>
      <c r="V49" s="23"/>
      <c r="W49" s="23"/>
      <c r="X49" s="564"/>
      <c r="Y49" s="564"/>
      <c r="Z49" s="565"/>
      <c r="AA49" s="565"/>
      <c r="AB49" s="566"/>
      <c r="AC49" s="559"/>
      <c r="AD49" s="559"/>
      <c r="AE49" s="559"/>
      <c r="AF49" s="559"/>
    </row>
    <row r="50" spans="1:32" s="510" customFormat="1" x14ac:dyDescent="0.2">
      <c r="A50" s="15"/>
      <c r="B50" s="21"/>
      <c r="C50" s="21"/>
      <c r="D50" s="15"/>
      <c r="E50" s="15"/>
      <c r="F50" s="15"/>
      <c r="G50" s="15"/>
      <c r="H50" s="22"/>
      <c r="I50" s="23"/>
      <c r="J50" s="24"/>
      <c r="K50" s="23"/>
      <c r="L50" s="15"/>
      <c r="M50" s="15"/>
      <c r="N50" s="15"/>
      <c r="O50" s="15"/>
      <c r="P50" s="22"/>
      <c r="Q50" s="25"/>
      <c r="R50" s="563"/>
      <c r="S50" s="23"/>
      <c r="T50" s="26"/>
      <c r="U50" s="24"/>
      <c r="V50" s="23"/>
      <c r="W50" s="23"/>
      <c r="X50" s="564"/>
      <c r="Y50" s="564"/>
      <c r="Z50" s="565"/>
      <c r="AA50" s="565"/>
      <c r="AB50" s="566"/>
      <c r="AC50" s="559"/>
      <c r="AD50" s="559"/>
      <c r="AE50" s="559"/>
      <c r="AF50" s="559"/>
    </row>
    <row r="51" spans="1:32" s="510" customFormat="1" x14ac:dyDescent="0.2">
      <c r="A51" s="15"/>
      <c r="B51" s="21"/>
      <c r="C51" s="21"/>
      <c r="D51" s="15"/>
      <c r="E51" s="15"/>
      <c r="F51" s="15"/>
      <c r="G51" s="15"/>
      <c r="H51" s="22"/>
      <c r="I51" s="23"/>
      <c r="J51" s="24"/>
      <c r="K51" s="23"/>
      <c r="L51" s="15"/>
      <c r="M51" s="15"/>
      <c r="N51" s="15"/>
      <c r="O51" s="15"/>
      <c r="P51" s="22"/>
      <c r="Q51" s="25"/>
      <c r="R51" s="563"/>
      <c r="S51" s="23"/>
      <c r="T51" s="26"/>
      <c r="U51" s="24"/>
      <c r="V51" s="23"/>
      <c r="W51" s="23"/>
      <c r="X51" s="564"/>
      <c r="Y51" s="564"/>
      <c r="Z51" s="565"/>
      <c r="AA51" s="565"/>
      <c r="AB51" s="566"/>
      <c r="AC51" s="559"/>
      <c r="AD51" s="559"/>
      <c r="AE51" s="559"/>
      <c r="AF51" s="559"/>
    </row>
    <row r="52" spans="1:32" s="510" customFormat="1" x14ac:dyDescent="0.2">
      <c r="A52" s="15"/>
      <c r="B52" s="21"/>
      <c r="C52" s="21"/>
      <c r="D52" s="15"/>
      <c r="E52" s="15"/>
      <c r="F52" s="15"/>
      <c r="G52" s="15"/>
      <c r="H52" s="22"/>
      <c r="I52" s="23"/>
      <c r="J52" s="24"/>
      <c r="K52" s="23"/>
      <c r="L52" s="15"/>
      <c r="M52" s="15"/>
      <c r="N52" s="15"/>
      <c r="O52" s="15"/>
      <c r="P52" s="22"/>
      <c r="Q52" s="25"/>
      <c r="R52" s="563"/>
      <c r="S52" s="23"/>
      <c r="T52" s="26"/>
      <c r="U52" s="24"/>
      <c r="V52" s="23"/>
      <c r="W52" s="23"/>
      <c r="X52" s="564"/>
      <c r="Y52" s="564"/>
      <c r="Z52" s="565"/>
      <c r="AA52" s="565"/>
      <c r="AB52" s="566"/>
      <c r="AC52" s="559"/>
      <c r="AD52" s="559"/>
      <c r="AE52" s="559"/>
      <c r="AF52" s="559"/>
    </row>
    <row r="53" spans="1:32" s="510" customFormat="1" x14ac:dyDescent="0.2">
      <c r="A53" s="15"/>
      <c r="B53" s="21"/>
      <c r="C53" s="21"/>
      <c r="D53" s="15"/>
      <c r="E53" s="15"/>
      <c r="F53" s="15"/>
      <c r="G53" s="15"/>
      <c r="H53" s="22"/>
      <c r="I53" s="23"/>
      <c r="J53" s="24"/>
      <c r="K53" s="23"/>
      <c r="L53" s="15"/>
      <c r="M53" s="15"/>
      <c r="N53" s="15"/>
      <c r="O53" s="15"/>
      <c r="P53" s="22"/>
      <c r="Q53" s="25"/>
      <c r="R53" s="563"/>
      <c r="S53" s="23"/>
      <c r="T53" s="26"/>
      <c r="U53" s="24"/>
      <c r="V53" s="23"/>
      <c r="W53" s="23"/>
      <c r="X53" s="564"/>
      <c r="Y53" s="564"/>
      <c r="Z53" s="565"/>
      <c r="AA53" s="565"/>
      <c r="AB53" s="566"/>
      <c r="AC53" s="559"/>
      <c r="AD53" s="559"/>
      <c r="AE53" s="559"/>
      <c r="AF53" s="559"/>
    </row>
    <row r="54" spans="1:32" s="510" customFormat="1" x14ac:dyDescent="0.2">
      <c r="A54" s="15"/>
      <c r="B54" s="21"/>
      <c r="C54" s="21"/>
      <c r="D54" s="15"/>
      <c r="E54" s="15"/>
      <c r="F54" s="15"/>
      <c r="G54" s="15"/>
      <c r="H54" s="22"/>
      <c r="I54" s="23"/>
      <c r="J54" s="24"/>
      <c r="K54" s="23"/>
      <c r="L54" s="15"/>
      <c r="M54" s="15"/>
      <c r="N54" s="15"/>
      <c r="O54" s="15"/>
      <c r="P54" s="22"/>
      <c r="Q54" s="25"/>
      <c r="R54" s="563"/>
      <c r="S54" s="23"/>
      <c r="T54" s="26"/>
      <c r="U54" s="24"/>
      <c r="V54" s="23"/>
      <c r="W54" s="23"/>
      <c r="X54" s="564"/>
      <c r="Y54" s="564"/>
      <c r="Z54" s="565"/>
      <c r="AA54" s="565"/>
      <c r="AB54" s="566"/>
      <c r="AC54" s="559"/>
      <c r="AD54" s="559"/>
      <c r="AE54" s="559"/>
      <c r="AF54" s="559"/>
    </row>
    <row r="55" spans="1:32" s="510" customFormat="1" x14ac:dyDescent="0.2">
      <c r="A55" s="15"/>
      <c r="B55" s="21"/>
      <c r="C55" s="21"/>
      <c r="D55" s="15"/>
      <c r="E55" s="15"/>
      <c r="F55" s="15"/>
      <c r="G55" s="15"/>
      <c r="H55" s="22"/>
      <c r="I55" s="23"/>
      <c r="J55" s="24"/>
      <c r="K55" s="23"/>
      <c r="L55" s="15"/>
      <c r="M55" s="15"/>
      <c r="N55" s="15"/>
      <c r="O55" s="15"/>
      <c r="P55" s="22"/>
      <c r="Q55" s="25"/>
      <c r="R55" s="563"/>
      <c r="S55" s="23"/>
      <c r="T55" s="26"/>
      <c r="U55" s="24"/>
      <c r="V55" s="23"/>
      <c r="W55" s="23"/>
      <c r="X55" s="564"/>
      <c r="Y55" s="564"/>
      <c r="Z55" s="565"/>
      <c r="AA55" s="565"/>
      <c r="AB55" s="566"/>
      <c r="AC55" s="559"/>
      <c r="AD55" s="559"/>
      <c r="AE55" s="559"/>
      <c r="AF55" s="559"/>
    </row>
    <row r="56" spans="1:32" s="510" customFormat="1" x14ac:dyDescent="0.2">
      <c r="A56" s="15"/>
      <c r="B56" s="21"/>
      <c r="C56" s="21"/>
      <c r="D56" s="15"/>
      <c r="E56" s="15"/>
      <c r="F56" s="15"/>
      <c r="G56" s="15"/>
      <c r="H56" s="22"/>
      <c r="I56" s="23"/>
      <c r="J56" s="24"/>
      <c r="K56" s="23"/>
      <c r="L56" s="15"/>
      <c r="M56" s="15"/>
      <c r="N56" s="15"/>
      <c r="O56" s="15"/>
      <c r="P56" s="22"/>
      <c r="Q56" s="25"/>
      <c r="R56" s="563"/>
      <c r="S56" s="23"/>
      <c r="T56" s="26"/>
      <c r="U56" s="24"/>
      <c r="V56" s="23"/>
      <c r="W56" s="23"/>
      <c r="X56" s="564"/>
      <c r="Y56" s="564"/>
      <c r="Z56" s="565"/>
      <c r="AA56" s="565"/>
      <c r="AB56" s="566"/>
      <c r="AC56" s="559"/>
      <c r="AD56" s="559"/>
      <c r="AE56" s="559"/>
      <c r="AF56" s="559"/>
    </row>
    <row r="57" spans="1:32" s="510" customFormat="1" x14ac:dyDescent="0.2">
      <c r="A57" s="15"/>
      <c r="B57" s="21"/>
      <c r="C57" s="21"/>
      <c r="D57" s="15"/>
      <c r="E57" s="15"/>
      <c r="F57" s="15"/>
      <c r="G57" s="15"/>
      <c r="H57" s="22"/>
      <c r="I57" s="23"/>
      <c r="J57" s="24"/>
      <c r="K57" s="23"/>
      <c r="L57" s="15"/>
      <c r="M57" s="15"/>
      <c r="N57" s="15"/>
      <c r="O57" s="15"/>
      <c r="P57" s="22"/>
      <c r="Q57" s="25"/>
      <c r="R57" s="563"/>
      <c r="S57" s="23"/>
      <c r="T57" s="26"/>
      <c r="U57" s="24"/>
      <c r="V57" s="23"/>
      <c r="W57" s="23"/>
      <c r="X57" s="564"/>
      <c r="Y57" s="564"/>
      <c r="Z57" s="565"/>
      <c r="AA57" s="565"/>
      <c r="AB57" s="566"/>
      <c r="AC57" s="559"/>
      <c r="AD57" s="559"/>
      <c r="AE57" s="559"/>
      <c r="AF57" s="559"/>
    </row>
    <row r="58" spans="1:32" s="510" customFormat="1" x14ac:dyDescent="0.2">
      <c r="A58" s="27"/>
      <c r="B58" s="28"/>
      <c r="C58" s="28"/>
      <c r="D58" s="27"/>
      <c r="E58" s="27"/>
      <c r="F58" s="27"/>
      <c r="G58" s="27"/>
      <c r="H58" s="29"/>
      <c r="I58" s="30"/>
      <c r="J58" s="31"/>
      <c r="K58" s="30"/>
      <c r="L58" s="27"/>
      <c r="M58" s="27"/>
      <c r="N58" s="27"/>
      <c r="O58" s="27"/>
      <c r="P58" s="27"/>
      <c r="Q58" s="32"/>
      <c r="R58" s="567"/>
      <c r="S58" s="30"/>
      <c r="T58" s="33"/>
      <c r="U58" s="31"/>
      <c r="V58" s="30"/>
      <c r="W58" s="30"/>
      <c r="X58" s="568"/>
      <c r="Y58" s="568"/>
      <c r="Z58" s="569"/>
      <c r="AA58" s="569"/>
      <c r="AB58" s="570"/>
      <c r="AC58" s="571"/>
      <c r="AD58" s="571"/>
      <c r="AE58" s="571"/>
      <c r="AF58" s="571"/>
    </row>
    <row r="59" spans="1:32" s="510" customFormat="1" ht="15" x14ac:dyDescent="0.25">
      <c r="A59" s="2027"/>
      <c r="B59" s="2027"/>
      <c r="C59" s="2027"/>
      <c r="D59" s="2027"/>
      <c r="E59" s="2027"/>
      <c r="F59" s="2027"/>
      <c r="G59" s="2027"/>
      <c r="H59" s="2028"/>
      <c r="I59" s="2029"/>
      <c r="J59" s="2030"/>
      <c r="K59" s="2029"/>
      <c r="L59" s="2029"/>
      <c r="M59" s="2029"/>
      <c r="N59" s="2029"/>
      <c r="O59" s="2029"/>
      <c r="P59" s="2029"/>
      <c r="Q59" s="2029"/>
      <c r="R59" s="2031"/>
      <c r="S59" s="2029"/>
      <c r="T59" s="2032"/>
      <c r="U59" s="2030"/>
      <c r="V59" s="2029"/>
      <c r="W59" s="2029"/>
      <c r="X59" s="2033"/>
      <c r="Y59" s="2033"/>
      <c r="Z59" s="2034"/>
      <c r="AA59" s="2034"/>
      <c r="AB59" s="2035">
        <f>SUM(AB42:AB58)</f>
        <v>14.561200000000001</v>
      </c>
      <c r="AC59" s="2036"/>
      <c r="AD59" s="2036"/>
      <c r="AE59" s="2036"/>
      <c r="AF59" s="2036"/>
    </row>
    <row r="60" spans="1:32" s="510" customFormat="1" ht="15.75" x14ac:dyDescent="0.25">
      <c r="A60" s="2820" t="s">
        <v>76</v>
      </c>
      <c r="B60" s="2820"/>
      <c r="C60" s="2821" t="s">
        <v>77</v>
      </c>
      <c r="D60" s="2821"/>
      <c r="E60" s="2821"/>
      <c r="F60" s="2821"/>
      <c r="G60" s="2821"/>
      <c r="H60" s="2821"/>
      <c r="I60" s="577" t="s">
        <v>78</v>
      </c>
      <c r="J60" s="577"/>
      <c r="K60" s="577"/>
      <c r="L60" s="577"/>
      <c r="M60" s="577"/>
      <c r="N60" s="577"/>
      <c r="AB60" s="578"/>
    </row>
    <row r="61" spans="1:32" s="510" customFormat="1" ht="15.75" x14ac:dyDescent="0.25">
      <c r="A61" s="739"/>
      <c r="B61" s="579"/>
      <c r="C61" s="577"/>
      <c r="D61" s="577"/>
      <c r="E61" s="577"/>
      <c r="F61" s="577"/>
      <c r="G61" s="577"/>
      <c r="H61" s="577"/>
      <c r="I61" s="577" t="s">
        <v>79</v>
      </c>
      <c r="J61" s="577"/>
      <c r="K61" s="577"/>
      <c r="L61" s="577"/>
      <c r="M61" s="577"/>
      <c r="N61" s="577"/>
      <c r="AB61" s="578"/>
    </row>
    <row r="62" spans="1:32" s="510" customFormat="1" ht="15.75" x14ac:dyDescent="0.25">
      <c r="A62" s="739"/>
      <c r="B62" s="579"/>
      <c r="C62" s="577"/>
      <c r="D62" s="577"/>
      <c r="E62" s="577"/>
      <c r="F62" s="577"/>
      <c r="G62" s="577"/>
      <c r="H62" s="577"/>
      <c r="I62" s="577" t="s">
        <v>80</v>
      </c>
      <c r="J62" s="577"/>
      <c r="K62" s="577"/>
      <c r="L62" s="577"/>
      <c r="M62" s="577"/>
      <c r="N62" s="577"/>
      <c r="AB62" s="578"/>
    </row>
    <row r="63" spans="1:32" s="510" customFormat="1" ht="15.75" x14ac:dyDescent="0.25">
      <c r="A63" s="739"/>
      <c r="B63" s="579"/>
      <c r="C63" s="577"/>
      <c r="D63" s="577"/>
      <c r="E63" s="577"/>
      <c r="F63" s="577"/>
      <c r="G63" s="577"/>
      <c r="H63" s="577"/>
      <c r="I63" s="577" t="s">
        <v>81</v>
      </c>
      <c r="J63" s="577"/>
      <c r="K63" s="577"/>
      <c r="L63" s="577"/>
      <c r="M63" s="577"/>
      <c r="N63" s="577"/>
      <c r="AB63" s="578"/>
    </row>
    <row r="64" spans="1:32" s="510" customFormat="1" ht="15.75" x14ac:dyDescent="0.25">
      <c r="A64" s="739"/>
      <c r="B64" s="579"/>
      <c r="C64" s="577"/>
      <c r="D64" s="577"/>
      <c r="E64" s="577"/>
      <c r="F64" s="577"/>
      <c r="G64" s="577"/>
      <c r="H64" s="577"/>
      <c r="I64" s="577" t="s">
        <v>88</v>
      </c>
      <c r="J64" s="577"/>
      <c r="K64" s="577"/>
      <c r="L64" s="577"/>
      <c r="M64" s="577"/>
      <c r="N64" s="577"/>
      <c r="AB64" s="578"/>
    </row>
    <row r="65" spans="1:32" s="510" customFormat="1" ht="18.75" x14ac:dyDescent="0.2">
      <c r="A65" s="735"/>
      <c r="B65" s="338"/>
      <c r="C65" s="338"/>
      <c r="D65" s="338"/>
      <c r="E65" s="338"/>
      <c r="F65" s="338"/>
      <c r="G65" s="338"/>
      <c r="H65" s="338"/>
      <c r="I65" s="338"/>
      <c r="J65" s="338"/>
      <c r="K65" s="338"/>
      <c r="L65" s="338"/>
      <c r="M65" s="338"/>
      <c r="N65" s="338"/>
      <c r="O65" s="338"/>
      <c r="P65" s="338"/>
      <c r="Q65" s="338"/>
      <c r="R65" s="338"/>
      <c r="S65" s="338"/>
      <c r="T65" s="338"/>
      <c r="U65" s="338"/>
      <c r="V65" s="338"/>
      <c r="W65" s="338"/>
      <c r="X65" s="338"/>
      <c r="Y65" s="338"/>
      <c r="Z65" s="338"/>
      <c r="AA65" s="2774" t="s">
        <v>0</v>
      </c>
      <c r="AB65" s="2774"/>
      <c r="AC65" s="338"/>
      <c r="AD65" s="338"/>
      <c r="AE65" s="338"/>
      <c r="AF65" s="338"/>
    </row>
    <row r="66" spans="1:32" s="510" customFormat="1" ht="18.75" x14ac:dyDescent="0.2">
      <c r="A66" s="2703" t="s">
        <v>1</v>
      </c>
      <c r="B66" s="2703"/>
      <c r="C66" s="2703"/>
      <c r="D66" s="2703"/>
      <c r="E66" s="2703"/>
      <c r="F66" s="2703"/>
      <c r="G66" s="2703"/>
      <c r="H66" s="2703"/>
      <c r="I66" s="2703"/>
      <c r="J66" s="2703"/>
      <c r="K66" s="2703"/>
      <c r="L66" s="2703"/>
      <c r="M66" s="2703"/>
      <c r="N66" s="2703"/>
      <c r="O66" s="2703"/>
      <c r="P66" s="2703"/>
      <c r="Q66" s="2703"/>
      <c r="R66" s="2703"/>
      <c r="S66" s="2703"/>
      <c r="T66" s="2703"/>
      <c r="U66" s="2703"/>
      <c r="V66" s="2703"/>
      <c r="W66" s="2703"/>
      <c r="X66" s="2703"/>
      <c r="Y66" s="2703"/>
      <c r="Z66" s="2703"/>
      <c r="AA66" s="2703"/>
      <c r="AB66" s="2703"/>
      <c r="AC66" s="344"/>
      <c r="AD66" s="344"/>
      <c r="AE66" s="344"/>
      <c r="AF66" s="344"/>
    </row>
    <row r="67" spans="1:32" s="2078" customFormat="1" ht="21" x14ac:dyDescent="0.25">
      <c r="A67" s="2780" t="s">
        <v>535</v>
      </c>
      <c r="B67" s="2780"/>
      <c r="C67" s="2780"/>
      <c r="D67" s="2780"/>
      <c r="E67" s="2780"/>
      <c r="F67" s="2780"/>
      <c r="G67" s="2780"/>
      <c r="H67" s="2780"/>
      <c r="I67" s="2780"/>
      <c r="J67" s="2780"/>
      <c r="K67" s="2780"/>
      <c r="L67" s="2780"/>
      <c r="M67" s="2780"/>
      <c r="N67" s="2780"/>
      <c r="O67" s="2780"/>
      <c r="P67" s="2780"/>
      <c r="Q67" s="2780"/>
      <c r="R67" s="2780"/>
      <c r="S67" s="2780"/>
      <c r="T67" s="2780"/>
      <c r="U67" s="2780"/>
      <c r="V67" s="2780"/>
      <c r="W67" s="2780"/>
      <c r="X67" s="2780"/>
      <c r="Y67" s="2780"/>
      <c r="Z67" s="2780"/>
      <c r="AA67" s="2780"/>
      <c r="AB67" s="2780"/>
      <c r="AC67" s="2077"/>
      <c r="AD67" s="2077"/>
      <c r="AE67" s="2077"/>
      <c r="AF67" s="2077"/>
    </row>
    <row r="68" spans="1:32" s="510" customFormat="1" ht="15" x14ac:dyDescent="0.25">
      <c r="A68" s="2686" t="s">
        <v>2</v>
      </c>
      <c r="B68" s="511"/>
      <c r="C68" s="2686" t="s">
        <v>3</v>
      </c>
      <c r="D68" s="511"/>
      <c r="E68" s="511"/>
      <c r="F68" s="2693" t="s">
        <v>4</v>
      </c>
      <c r="G68" s="2693"/>
      <c r="H68" s="2693"/>
      <c r="I68" s="2694"/>
      <c r="J68" s="2694"/>
      <c r="K68" s="2695"/>
      <c r="L68" s="361"/>
      <c r="M68" s="2679" t="s">
        <v>5</v>
      </c>
      <c r="N68" s="2679"/>
      <c r="O68" s="2679"/>
      <c r="P68" s="2679"/>
      <c r="Q68" s="2696"/>
      <c r="R68" s="2696"/>
      <c r="S68" s="2696"/>
      <c r="T68" s="2696"/>
      <c r="U68" s="2696"/>
      <c r="V68" s="2697"/>
      <c r="W68" s="512" t="s">
        <v>6</v>
      </c>
      <c r="X68" s="513" t="s">
        <v>7</v>
      </c>
      <c r="Y68" s="514"/>
      <c r="Z68" s="514"/>
      <c r="AA68" s="513"/>
      <c r="AB68" s="515"/>
      <c r="AC68" s="516" t="s">
        <v>8</v>
      </c>
      <c r="AD68" s="346"/>
      <c r="AE68" s="346"/>
      <c r="AF68" s="517"/>
    </row>
    <row r="69" spans="1:32" s="510" customFormat="1" x14ac:dyDescent="0.2">
      <c r="A69" s="2687"/>
      <c r="B69" s="367"/>
      <c r="C69" s="2687"/>
      <c r="D69" s="518" t="s">
        <v>9</v>
      </c>
      <c r="E69" s="519" t="s">
        <v>10</v>
      </c>
      <c r="F69" s="2698" t="s">
        <v>11</v>
      </c>
      <c r="G69" s="2694"/>
      <c r="H69" s="2695"/>
      <c r="I69" s="511"/>
      <c r="J69" s="520" t="s">
        <v>12</v>
      </c>
      <c r="K69" s="511"/>
      <c r="L69" s="2679" t="s">
        <v>2</v>
      </c>
      <c r="M69" s="521"/>
      <c r="N69" s="521"/>
      <c r="O69" s="521"/>
      <c r="P69" s="522"/>
      <c r="Q69" s="523" t="s">
        <v>13</v>
      </c>
      <c r="R69" s="524" t="s">
        <v>12</v>
      </c>
      <c r="S69" s="521" t="s">
        <v>6</v>
      </c>
      <c r="T69" s="2682" t="s">
        <v>14</v>
      </c>
      <c r="U69" s="2683"/>
      <c r="V69" s="525" t="s">
        <v>7</v>
      </c>
      <c r="W69" s="526" t="s">
        <v>15</v>
      </c>
      <c r="X69" s="527" t="s">
        <v>16</v>
      </c>
      <c r="Y69" s="527" t="s">
        <v>17</v>
      </c>
      <c r="Z69" s="527" t="s">
        <v>18</v>
      </c>
      <c r="AA69" s="377"/>
      <c r="AB69" s="378" t="s">
        <v>19</v>
      </c>
      <c r="AC69" s="528" t="s">
        <v>20</v>
      </c>
      <c r="AD69" s="529"/>
      <c r="AE69" s="347" t="s">
        <v>21</v>
      </c>
      <c r="AF69" s="340" t="s">
        <v>22</v>
      </c>
    </row>
    <row r="70" spans="1:32" s="510" customFormat="1" x14ac:dyDescent="0.2">
      <c r="A70" s="2687"/>
      <c r="B70" s="2024" t="s">
        <v>23</v>
      </c>
      <c r="C70" s="2687"/>
      <c r="D70" s="518" t="s">
        <v>24</v>
      </c>
      <c r="E70" s="519" t="s">
        <v>25</v>
      </c>
      <c r="F70" s="2699"/>
      <c r="G70" s="2700"/>
      <c r="H70" s="2701"/>
      <c r="I70" s="518" t="s">
        <v>26</v>
      </c>
      <c r="J70" s="530" t="s">
        <v>15</v>
      </c>
      <c r="K70" s="531" t="s">
        <v>6</v>
      </c>
      <c r="L70" s="2680"/>
      <c r="M70" s="532" t="s">
        <v>27</v>
      </c>
      <c r="N70" s="532" t="s">
        <v>10</v>
      </c>
      <c r="O70" s="533" t="s">
        <v>10</v>
      </c>
      <c r="P70" s="534" t="s">
        <v>28</v>
      </c>
      <c r="Q70" s="535" t="s">
        <v>29</v>
      </c>
      <c r="R70" s="534" t="s">
        <v>15</v>
      </c>
      <c r="S70" s="385" t="s">
        <v>15</v>
      </c>
      <c r="T70" s="2684"/>
      <c r="U70" s="2685"/>
      <c r="V70" s="525" t="s">
        <v>30</v>
      </c>
      <c r="W70" s="526" t="s">
        <v>31</v>
      </c>
      <c r="X70" s="527" t="s">
        <v>30</v>
      </c>
      <c r="Y70" s="527" t="s">
        <v>32</v>
      </c>
      <c r="Z70" s="527" t="s">
        <v>7</v>
      </c>
      <c r="AA70" s="377" t="s">
        <v>33</v>
      </c>
      <c r="AB70" s="378" t="s">
        <v>34</v>
      </c>
      <c r="AC70" s="528" t="s">
        <v>35</v>
      </c>
      <c r="AD70" s="347" t="s">
        <v>36</v>
      </c>
      <c r="AE70" s="347" t="s">
        <v>37</v>
      </c>
      <c r="AF70" s="340" t="s">
        <v>38</v>
      </c>
    </row>
    <row r="71" spans="1:32" s="510" customFormat="1" x14ac:dyDescent="0.2">
      <c r="A71" s="2687"/>
      <c r="B71" s="2024" t="s">
        <v>39</v>
      </c>
      <c r="C71" s="2687"/>
      <c r="D71" s="518" t="s">
        <v>40</v>
      </c>
      <c r="E71" s="519" t="s">
        <v>41</v>
      </c>
      <c r="F71" s="2686" t="s">
        <v>42</v>
      </c>
      <c r="G71" s="2686" t="s">
        <v>43</v>
      </c>
      <c r="H71" s="2688" t="s">
        <v>44</v>
      </c>
      <c r="I71" s="518" t="s">
        <v>45</v>
      </c>
      <c r="J71" s="530" t="s">
        <v>46</v>
      </c>
      <c r="K71" s="531" t="s">
        <v>47</v>
      </c>
      <c r="L71" s="2680"/>
      <c r="M71" s="532" t="s">
        <v>30</v>
      </c>
      <c r="N71" s="532" t="s">
        <v>30</v>
      </c>
      <c r="O71" s="533" t="s">
        <v>25</v>
      </c>
      <c r="P71" s="534" t="s">
        <v>30</v>
      </c>
      <c r="Q71" s="535" t="s">
        <v>48</v>
      </c>
      <c r="R71" s="534" t="s">
        <v>49</v>
      </c>
      <c r="S71" s="385" t="s">
        <v>30</v>
      </c>
      <c r="T71" s="536" t="s">
        <v>50</v>
      </c>
      <c r="U71" s="537" t="s">
        <v>13</v>
      </c>
      <c r="V71" s="525" t="s">
        <v>51</v>
      </c>
      <c r="W71" s="526" t="s">
        <v>52</v>
      </c>
      <c r="X71" s="527" t="s">
        <v>53</v>
      </c>
      <c r="Y71" s="527" t="s">
        <v>54</v>
      </c>
      <c r="Z71" s="527" t="s">
        <v>55</v>
      </c>
      <c r="AA71" s="377" t="s">
        <v>56</v>
      </c>
      <c r="AB71" s="378" t="s">
        <v>57</v>
      </c>
      <c r="AC71" s="347" t="s">
        <v>58</v>
      </c>
      <c r="AD71" s="347" t="s">
        <v>59</v>
      </c>
      <c r="AE71" s="347" t="s">
        <v>59</v>
      </c>
      <c r="AF71" s="340" t="s">
        <v>60</v>
      </c>
    </row>
    <row r="72" spans="1:32" s="510" customFormat="1" ht="15" x14ac:dyDescent="0.25">
      <c r="A72" s="2687"/>
      <c r="B72" s="2024" t="s">
        <v>61</v>
      </c>
      <c r="C72" s="2687"/>
      <c r="D72" s="518" t="s">
        <v>62</v>
      </c>
      <c r="E72" s="519" t="s">
        <v>63</v>
      </c>
      <c r="F72" s="2687"/>
      <c r="G72" s="2687"/>
      <c r="H72" s="2689"/>
      <c r="I72" s="518" t="s">
        <v>64</v>
      </c>
      <c r="J72" s="530" t="s">
        <v>59</v>
      </c>
      <c r="K72" s="531" t="s">
        <v>59</v>
      </c>
      <c r="L72" s="2680"/>
      <c r="M72" s="532"/>
      <c r="N72" s="532"/>
      <c r="O72" s="533" t="s">
        <v>41</v>
      </c>
      <c r="P72" s="534" t="s">
        <v>65</v>
      </c>
      <c r="Q72" s="535" t="s">
        <v>66</v>
      </c>
      <c r="R72" s="534" t="s">
        <v>67</v>
      </c>
      <c r="S72" s="385" t="s">
        <v>59</v>
      </c>
      <c r="T72" s="538" t="s">
        <v>68</v>
      </c>
      <c r="U72" s="525" t="s">
        <v>14</v>
      </c>
      <c r="V72" s="525" t="s">
        <v>14</v>
      </c>
      <c r="W72" s="526" t="s">
        <v>30</v>
      </c>
      <c r="X72" s="539" t="s">
        <v>69</v>
      </c>
      <c r="Y72" s="539" t="s">
        <v>70</v>
      </c>
      <c r="Z72" s="527" t="s">
        <v>71</v>
      </c>
      <c r="AA72" s="377" t="s">
        <v>72</v>
      </c>
      <c r="AB72" s="540" t="s">
        <v>59</v>
      </c>
      <c r="AC72" s="347" t="s">
        <v>59</v>
      </c>
      <c r="AD72" s="347"/>
      <c r="AE72" s="347"/>
      <c r="AF72" s="340" t="s">
        <v>59</v>
      </c>
    </row>
    <row r="73" spans="1:32" s="510" customFormat="1" x14ac:dyDescent="0.2">
      <c r="A73" s="2692"/>
      <c r="B73" s="390"/>
      <c r="C73" s="2692"/>
      <c r="D73" s="541"/>
      <c r="E73" s="542"/>
      <c r="F73" s="390"/>
      <c r="G73" s="390"/>
      <c r="H73" s="391"/>
      <c r="I73" s="542"/>
      <c r="J73" s="543"/>
      <c r="K73" s="544"/>
      <c r="L73" s="2681"/>
      <c r="M73" s="545"/>
      <c r="N73" s="545"/>
      <c r="O73" s="545" t="s">
        <v>63</v>
      </c>
      <c r="P73" s="546"/>
      <c r="Q73" s="547" t="s">
        <v>72</v>
      </c>
      <c r="R73" s="548" t="s">
        <v>59</v>
      </c>
      <c r="S73" s="549"/>
      <c r="T73" s="548" t="s">
        <v>73</v>
      </c>
      <c r="U73" s="549" t="s">
        <v>59</v>
      </c>
      <c r="V73" s="550" t="s">
        <v>59</v>
      </c>
      <c r="W73" s="551" t="s">
        <v>59</v>
      </c>
      <c r="X73" s="552" t="s">
        <v>59</v>
      </c>
      <c r="Y73" s="552" t="s">
        <v>59</v>
      </c>
      <c r="Z73" s="552" t="s">
        <v>59</v>
      </c>
      <c r="AA73" s="402"/>
      <c r="AB73" s="403"/>
      <c r="AC73" s="348"/>
      <c r="AD73" s="348"/>
      <c r="AE73" s="348"/>
      <c r="AF73" s="341"/>
    </row>
    <row r="74" spans="1:32" s="510" customFormat="1" ht="15" x14ac:dyDescent="0.25">
      <c r="A74" s="16">
        <v>1</v>
      </c>
      <c r="B74" s="333">
        <v>27915</v>
      </c>
      <c r="C74" s="41">
        <v>995</v>
      </c>
      <c r="D74" s="41" t="s">
        <v>245</v>
      </c>
      <c r="E74" s="41">
        <v>3</v>
      </c>
      <c r="F74" s="41">
        <v>0</v>
      </c>
      <c r="G74" s="41">
        <v>2</v>
      </c>
      <c r="H74" s="267">
        <v>11</v>
      </c>
      <c r="I74" s="44">
        <f>+F74*400+G74*100+H74</f>
        <v>211</v>
      </c>
      <c r="J74" s="263">
        <v>1700</v>
      </c>
      <c r="K74" s="46">
        <f>SUM(I74*J74)</f>
        <v>358700</v>
      </c>
      <c r="L74" s="269">
        <v>3</v>
      </c>
      <c r="M74" s="2026">
        <v>103</v>
      </c>
      <c r="N74" s="15" t="s">
        <v>74</v>
      </c>
      <c r="O74" s="50">
        <v>2</v>
      </c>
      <c r="P74" s="15">
        <f>6.08*13</f>
        <v>79.040000000000006</v>
      </c>
      <c r="Q74" s="76" t="s">
        <v>75</v>
      </c>
      <c r="R74" s="260">
        <v>9050</v>
      </c>
      <c r="S74" s="18">
        <f>P74*R74</f>
        <v>715312</v>
      </c>
      <c r="T74" s="20">
        <v>43</v>
      </c>
      <c r="U74" s="47">
        <f>+S74*76/100</f>
        <v>543637.12</v>
      </c>
      <c r="V74" s="47">
        <f>SUM(S74-U74)</f>
        <v>171674.88</v>
      </c>
      <c r="W74" s="18">
        <f>+V74</f>
        <v>171674.88</v>
      </c>
      <c r="X74" s="47">
        <f>W74</f>
        <v>171674.88</v>
      </c>
      <c r="Y74" s="779" t="s">
        <v>125</v>
      </c>
      <c r="Z74" s="47">
        <v>0</v>
      </c>
      <c r="AA74" s="292">
        <v>0.02</v>
      </c>
      <c r="AB74" s="23"/>
    </row>
    <row r="75" spans="1:32" s="510" customFormat="1" ht="15" x14ac:dyDescent="0.25">
      <c r="A75" s="45"/>
      <c r="B75" s="15"/>
      <c r="C75" s="15"/>
      <c r="D75" s="15"/>
      <c r="E75" s="15"/>
      <c r="F75" s="15"/>
      <c r="G75" s="15"/>
      <c r="H75" s="284"/>
      <c r="I75" s="18"/>
      <c r="J75" s="258"/>
      <c r="K75" s="39"/>
      <c r="L75" s="269">
        <v>4</v>
      </c>
      <c r="M75" s="242">
        <v>504</v>
      </c>
      <c r="N75" s="15" t="s">
        <v>74</v>
      </c>
      <c r="O75" s="50">
        <v>3</v>
      </c>
      <c r="P75" s="15">
        <f>4.08*6.4</f>
        <v>26.112000000000002</v>
      </c>
      <c r="Q75" s="76" t="s">
        <v>75</v>
      </c>
      <c r="R75" s="260">
        <v>3100</v>
      </c>
      <c r="S75" s="18">
        <f>P75*R75</f>
        <v>80947.200000000012</v>
      </c>
      <c r="T75" s="20">
        <v>5</v>
      </c>
      <c r="U75" s="47">
        <f>+S75*5/100</f>
        <v>4047.3600000000006</v>
      </c>
      <c r="V75" s="47">
        <f>SUM(S75-U75)</f>
        <v>76899.840000000011</v>
      </c>
      <c r="W75" s="18">
        <f>+V75</f>
        <v>76899.840000000011</v>
      </c>
      <c r="X75" s="47">
        <f>W75</f>
        <v>76899.840000000011</v>
      </c>
      <c r="Y75" s="1438">
        <v>0</v>
      </c>
      <c r="Z75" s="47">
        <f>+X75</f>
        <v>76899.840000000011</v>
      </c>
      <c r="AA75" s="292">
        <v>0.3</v>
      </c>
      <c r="AB75" s="23">
        <f>Z75*AA75/100</f>
        <v>230.69952000000001</v>
      </c>
    </row>
    <row r="76" spans="1:32" s="510" customFormat="1" x14ac:dyDescent="0.2">
      <c r="A76" s="50"/>
      <c r="B76" s="15"/>
      <c r="C76" s="15"/>
      <c r="D76" s="15"/>
      <c r="E76" s="15"/>
      <c r="F76" s="15"/>
      <c r="G76" s="15"/>
      <c r="H76" s="284"/>
      <c r="I76" s="18"/>
      <c r="J76" s="258"/>
      <c r="K76" s="39"/>
      <c r="L76" s="45"/>
      <c r="M76" s="61"/>
      <c r="N76" s="15"/>
      <c r="O76" s="50"/>
      <c r="P76" s="257"/>
      <c r="Q76" s="62"/>
      <c r="R76" s="260"/>
      <c r="S76" s="18"/>
      <c r="T76" s="20"/>
      <c r="U76" s="47"/>
      <c r="V76" s="47"/>
      <c r="W76" s="18"/>
      <c r="X76" s="47"/>
      <c r="Y76" s="18"/>
      <c r="Z76" s="47"/>
      <c r="AA76" s="264"/>
      <c r="AB76" s="23"/>
    </row>
    <row r="77" spans="1:32" s="510" customFormat="1" x14ac:dyDescent="0.2">
      <c r="A77" s="50"/>
      <c r="B77" s="15"/>
      <c r="C77" s="15"/>
      <c r="D77" s="15"/>
      <c r="E77" s="15"/>
      <c r="F77" s="15"/>
      <c r="G77" s="15"/>
      <c r="H77" s="284"/>
      <c r="I77" s="18"/>
      <c r="J77" s="258"/>
      <c r="K77" s="39"/>
      <c r="L77" s="45"/>
      <c r="M77" s="75"/>
      <c r="N77" s="15"/>
      <c r="O77" s="50"/>
      <c r="P77" s="257"/>
      <c r="Q77" s="62"/>
      <c r="R77" s="260"/>
      <c r="S77" s="18"/>
      <c r="T77" s="20"/>
      <c r="U77" s="47"/>
      <c r="V77" s="47"/>
      <c r="W77" s="18"/>
      <c r="X77" s="47"/>
      <c r="Y77" s="18"/>
      <c r="Z77" s="47"/>
      <c r="AA77" s="264"/>
      <c r="AB77" s="23"/>
    </row>
    <row r="78" spans="1:32" s="510" customFormat="1" x14ac:dyDescent="0.2">
      <c r="A78" s="50"/>
      <c r="B78" s="15"/>
      <c r="C78" s="15"/>
      <c r="D78" s="15"/>
      <c r="E78" s="15"/>
      <c r="F78" s="15"/>
      <c r="G78" s="15"/>
      <c r="H78" s="284"/>
      <c r="I78" s="18"/>
      <c r="J78" s="258"/>
      <c r="K78" s="39"/>
      <c r="L78" s="45"/>
      <c r="M78" s="88"/>
      <c r="N78" s="15"/>
      <c r="O78" s="50"/>
      <c r="P78" s="257"/>
      <c r="Q78" s="62"/>
      <c r="R78" s="260"/>
      <c r="S78" s="18"/>
      <c r="T78" s="20"/>
      <c r="U78" s="47"/>
      <c r="V78" s="47"/>
      <c r="W78" s="18"/>
      <c r="X78" s="47"/>
      <c r="Y78" s="18"/>
      <c r="Z78" s="47"/>
      <c r="AA78" s="264"/>
      <c r="AB78" s="23"/>
    </row>
    <row r="79" spans="1:32" s="510" customFormat="1" x14ac:dyDescent="0.2">
      <c r="A79" s="50"/>
      <c r="B79" s="15"/>
      <c r="C79" s="15"/>
      <c r="D79" s="15"/>
      <c r="E79" s="15"/>
      <c r="F79" s="15"/>
      <c r="G79" s="15"/>
      <c r="H79" s="284"/>
      <c r="I79" s="18"/>
      <c r="J79" s="258"/>
      <c r="K79" s="39"/>
      <c r="L79" s="45"/>
      <c r="M79" s="75"/>
      <c r="N79" s="15"/>
      <c r="O79" s="50"/>
      <c r="P79" s="257"/>
      <c r="Q79" s="62"/>
      <c r="R79" s="260"/>
      <c r="S79" s="18"/>
      <c r="T79" s="20"/>
      <c r="U79" s="47"/>
      <c r="V79" s="47"/>
      <c r="W79" s="18"/>
      <c r="X79" s="47"/>
      <c r="Y79" s="18"/>
      <c r="Z79" s="47"/>
      <c r="AA79" s="264"/>
      <c r="AB79" s="23"/>
      <c r="AC79" s="559"/>
      <c r="AD79" s="559"/>
      <c r="AE79" s="559"/>
      <c r="AF79" s="559"/>
    </row>
    <row r="80" spans="1:32" s="510" customFormat="1" x14ac:dyDescent="0.2">
      <c r="A80" s="45"/>
      <c r="B80" s="45"/>
      <c r="C80" s="62"/>
      <c r="D80" s="27"/>
      <c r="E80" s="27"/>
      <c r="F80" s="291"/>
      <c r="G80" s="45"/>
      <c r="H80" s="257"/>
      <c r="I80" s="18"/>
      <c r="J80" s="258"/>
      <c r="K80" s="39"/>
      <c r="L80" s="45"/>
      <c r="M80" s="75"/>
      <c r="N80" s="15"/>
      <c r="O80" s="50"/>
      <c r="P80" s="257"/>
      <c r="Q80" s="62"/>
      <c r="R80" s="260"/>
      <c r="S80" s="18"/>
      <c r="T80" s="20"/>
      <c r="U80" s="47"/>
      <c r="V80" s="47"/>
      <c r="W80" s="18"/>
      <c r="X80" s="47"/>
      <c r="Y80" s="18"/>
      <c r="Z80" s="47"/>
      <c r="AA80" s="264"/>
      <c r="AB80" s="23"/>
      <c r="AC80" s="559"/>
      <c r="AD80" s="559"/>
      <c r="AE80" s="559"/>
      <c r="AF80" s="559"/>
    </row>
    <row r="81" spans="1:32" s="510" customFormat="1" x14ac:dyDescent="0.2">
      <c r="A81" s="45"/>
      <c r="B81" s="45"/>
      <c r="C81" s="62"/>
      <c r="D81" s="27"/>
      <c r="E81" s="27"/>
      <c r="F81" s="291"/>
      <c r="G81" s="45"/>
      <c r="H81" s="257"/>
      <c r="I81" s="18"/>
      <c r="J81" s="258"/>
      <c r="K81" s="39"/>
      <c r="L81" s="45"/>
      <c r="M81" s="75"/>
      <c r="N81" s="15"/>
      <c r="O81" s="50"/>
      <c r="P81" s="257"/>
      <c r="Q81" s="62"/>
      <c r="R81" s="260"/>
      <c r="S81" s="18"/>
      <c r="T81" s="20"/>
      <c r="U81" s="47"/>
      <c r="V81" s="47"/>
      <c r="W81" s="18"/>
      <c r="X81" s="47"/>
      <c r="Y81" s="18"/>
      <c r="Z81" s="47"/>
      <c r="AA81" s="264"/>
      <c r="AB81" s="23"/>
      <c r="AC81" s="559"/>
      <c r="AD81" s="559"/>
      <c r="AE81" s="559"/>
      <c r="AF81" s="559"/>
    </row>
    <row r="82" spans="1:32" s="510" customFormat="1" x14ac:dyDescent="0.2">
      <c r="A82" s="45"/>
      <c r="B82" s="45"/>
      <c r="C82" s="62"/>
      <c r="D82" s="27"/>
      <c r="E82" s="27"/>
      <c r="F82" s="291"/>
      <c r="G82" s="45"/>
      <c r="H82" s="257"/>
      <c r="I82" s="18"/>
      <c r="J82" s="258"/>
      <c r="K82" s="39"/>
      <c r="L82" s="45"/>
      <c r="M82" s="75"/>
      <c r="N82" s="15"/>
      <c r="O82" s="50"/>
      <c r="P82" s="257"/>
      <c r="Q82" s="62"/>
      <c r="R82" s="260"/>
      <c r="S82" s="18"/>
      <c r="T82" s="20"/>
      <c r="U82" s="47"/>
      <c r="V82" s="47"/>
      <c r="W82" s="18"/>
      <c r="X82" s="47"/>
      <c r="Y82" s="18"/>
      <c r="Z82" s="47"/>
      <c r="AA82" s="264"/>
      <c r="AB82" s="23"/>
      <c r="AC82" s="559"/>
      <c r="AD82" s="559"/>
      <c r="AE82" s="559"/>
      <c r="AF82" s="559"/>
    </row>
    <row r="83" spans="1:32" s="510" customFormat="1" x14ac:dyDescent="0.2">
      <c r="A83" s="45"/>
      <c r="B83" s="45"/>
      <c r="C83" s="62"/>
      <c r="D83" s="27"/>
      <c r="E83" s="27"/>
      <c r="F83" s="291"/>
      <c r="G83" s="45"/>
      <c r="H83" s="257"/>
      <c r="I83" s="18"/>
      <c r="J83" s="258"/>
      <c r="K83" s="39"/>
      <c r="L83" s="45"/>
      <c r="M83" s="75"/>
      <c r="N83" s="15"/>
      <c r="O83" s="50"/>
      <c r="P83" s="257"/>
      <c r="Q83" s="62"/>
      <c r="R83" s="260"/>
      <c r="S83" s="18"/>
      <c r="T83" s="20"/>
      <c r="U83" s="47"/>
      <c r="V83" s="47"/>
      <c r="W83" s="18"/>
      <c r="X83" s="47"/>
      <c r="Y83" s="18"/>
      <c r="Z83" s="47"/>
      <c r="AA83" s="264"/>
      <c r="AB83" s="23"/>
      <c r="AC83" s="559"/>
      <c r="AD83" s="559"/>
      <c r="AE83" s="559"/>
      <c r="AF83" s="559"/>
    </row>
    <row r="84" spans="1:32" s="510" customFormat="1" x14ac:dyDescent="0.2">
      <c r="A84" s="50"/>
      <c r="B84" s="50"/>
      <c r="C84" s="76"/>
      <c r="D84" s="15"/>
      <c r="E84" s="15"/>
      <c r="F84" s="294"/>
      <c r="G84" s="50"/>
      <c r="H84" s="19"/>
      <c r="I84" s="18"/>
      <c r="J84" s="258"/>
      <c r="K84" s="39"/>
      <c r="L84" s="50"/>
      <c r="M84" s="61"/>
      <c r="N84" s="15"/>
      <c r="O84" s="50"/>
      <c r="P84" s="19"/>
      <c r="Q84" s="76"/>
      <c r="R84" s="260"/>
      <c r="S84" s="18"/>
      <c r="T84" s="59"/>
      <c r="U84" s="18"/>
      <c r="V84" s="18"/>
      <c r="W84" s="18"/>
      <c r="X84" s="18"/>
      <c r="Y84" s="18"/>
      <c r="Z84" s="18"/>
      <c r="AA84" s="264"/>
      <c r="AB84" s="23"/>
      <c r="AC84" s="559"/>
      <c r="AD84" s="559"/>
      <c r="AE84" s="559"/>
      <c r="AF84" s="559"/>
    </row>
    <row r="85" spans="1:32" s="510" customFormat="1" x14ac:dyDescent="0.2">
      <c r="A85" s="50"/>
      <c r="B85" s="50"/>
      <c r="C85" s="76"/>
      <c r="D85" s="15"/>
      <c r="E85" s="15"/>
      <c r="F85" s="294"/>
      <c r="G85" s="50"/>
      <c r="H85" s="19"/>
      <c r="I85" s="18"/>
      <c r="J85" s="258"/>
      <c r="K85" s="39"/>
      <c r="L85" s="50"/>
      <c r="M85" s="61"/>
      <c r="N85" s="15"/>
      <c r="O85" s="50"/>
      <c r="P85" s="19"/>
      <c r="Q85" s="76"/>
      <c r="R85" s="260"/>
      <c r="S85" s="18"/>
      <c r="T85" s="59"/>
      <c r="U85" s="18"/>
      <c r="V85" s="18"/>
      <c r="W85" s="18"/>
      <c r="X85" s="18"/>
      <c r="Y85" s="18"/>
      <c r="Z85" s="18"/>
      <c r="AA85" s="264"/>
      <c r="AB85" s="23"/>
      <c r="AC85" s="559"/>
      <c r="AD85" s="559"/>
      <c r="AE85" s="559"/>
      <c r="AF85" s="559"/>
    </row>
    <row r="86" spans="1:32" s="510" customFormat="1" x14ac:dyDescent="0.2">
      <c r="A86" s="15"/>
      <c r="B86" s="21"/>
      <c r="C86" s="21"/>
      <c r="D86" s="15"/>
      <c r="E86" s="15"/>
      <c r="F86" s="15"/>
      <c r="G86" s="15"/>
      <c r="H86" s="22"/>
      <c r="I86" s="23"/>
      <c r="J86" s="24"/>
      <c r="K86" s="23"/>
      <c r="L86" s="15"/>
      <c r="M86" s="15"/>
      <c r="N86" s="15"/>
      <c r="O86" s="15"/>
      <c r="P86" s="22"/>
      <c r="Q86" s="25"/>
      <c r="R86" s="563"/>
      <c r="S86" s="23"/>
      <c r="T86" s="26"/>
      <c r="U86" s="24"/>
      <c r="V86" s="23"/>
      <c r="W86" s="23"/>
      <c r="X86" s="564"/>
      <c r="Y86" s="564"/>
      <c r="Z86" s="565"/>
      <c r="AA86" s="565"/>
      <c r="AB86" s="566"/>
      <c r="AC86" s="559"/>
      <c r="AD86" s="559"/>
      <c r="AE86" s="559"/>
      <c r="AF86" s="559"/>
    </row>
    <row r="87" spans="1:32" s="510" customFormat="1" x14ac:dyDescent="0.2">
      <c r="A87" s="15"/>
      <c r="B87" s="21"/>
      <c r="C87" s="21"/>
      <c r="D87" s="15"/>
      <c r="E87" s="15"/>
      <c r="F87" s="15"/>
      <c r="G87" s="15"/>
      <c r="H87" s="22"/>
      <c r="I87" s="23"/>
      <c r="J87" s="24"/>
      <c r="K87" s="23"/>
      <c r="L87" s="15"/>
      <c r="M87" s="15"/>
      <c r="N87" s="15"/>
      <c r="O87" s="15"/>
      <c r="P87" s="22"/>
      <c r="Q87" s="25"/>
      <c r="R87" s="563"/>
      <c r="S87" s="23"/>
      <c r="T87" s="26"/>
      <c r="U87" s="24"/>
      <c r="V87" s="23"/>
      <c r="W87" s="23"/>
      <c r="X87" s="564"/>
      <c r="Y87" s="564"/>
      <c r="Z87" s="565"/>
      <c r="AA87" s="565"/>
      <c r="AB87" s="566"/>
      <c r="AC87" s="559"/>
      <c r="AD87" s="559"/>
      <c r="AE87" s="559"/>
      <c r="AF87" s="559"/>
    </row>
    <row r="88" spans="1:32" s="510" customFormat="1" x14ac:dyDescent="0.2">
      <c r="A88" s="15"/>
      <c r="B88" s="21"/>
      <c r="C88" s="21"/>
      <c r="D88" s="15"/>
      <c r="E88" s="15"/>
      <c r="F88" s="15"/>
      <c r="G88" s="15"/>
      <c r="H88" s="22"/>
      <c r="I88" s="23"/>
      <c r="J88" s="24"/>
      <c r="K88" s="23"/>
      <c r="L88" s="15"/>
      <c r="M88" s="15"/>
      <c r="N88" s="15"/>
      <c r="O88" s="15"/>
      <c r="P88" s="22"/>
      <c r="Q88" s="25"/>
      <c r="R88" s="563"/>
      <c r="S88" s="23"/>
      <c r="T88" s="26"/>
      <c r="U88" s="24"/>
      <c r="V88" s="23"/>
      <c r="W88" s="23"/>
      <c r="X88" s="564"/>
      <c r="Y88" s="564"/>
      <c r="Z88" s="565"/>
      <c r="AA88" s="565"/>
      <c r="AB88" s="566"/>
      <c r="AC88" s="559"/>
      <c r="AD88" s="559"/>
      <c r="AE88" s="559"/>
      <c r="AF88" s="559"/>
    </row>
    <row r="89" spans="1:32" s="510" customFormat="1" x14ac:dyDescent="0.2">
      <c r="A89" s="15"/>
      <c r="B89" s="21"/>
      <c r="C89" s="21"/>
      <c r="D89" s="15"/>
      <c r="E89" s="15"/>
      <c r="F89" s="15"/>
      <c r="G89" s="15"/>
      <c r="H89" s="22"/>
      <c r="I89" s="23"/>
      <c r="J89" s="24"/>
      <c r="K89" s="23"/>
      <c r="L89" s="15"/>
      <c r="M89" s="15"/>
      <c r="N89" s="15"/>
      <c r="O89" s="15"/>
      <c r="P89" s="22"/>
      <c r="Q89" s="25"/>
      <c r="R89" s="563"/>
      <c r="S89" s="23"/>
      <c r="T89" s="26"/>
      <c r="U89" s="24"/>
      <c r="V89" s="23"/>
      <c r="W89" s="23"/>
      <c r="X89" s="564"/>
      <c r="Y89" s="564"/>
      <c r="Z89" s="565"/>
      <c r="AA89" s="565"/>
      <c r="AB89" s="566"/>
      <c r="AC89" s="559"/>
      <c r="AD89" s="559"/>
      <c r="AE89" s="559"/>
      <c r="AF89" s="559"/>
    </row>
    <row r="90" spans="1:32" s="510" customFormat="1" x14ac:dyDescent="0.2">
      <c r="A90" s="27"/>
      <c r="B90" s="28"/>
      <c r="C90" s="28"/>
      <c r="D90" s="27"/>
      <c r="E90" s="27"/>
      <c r="F90" s="27"/>
      <c r="G90" s="27"/>
      <c r="H90" s="29"/>
      <c r="I90" s="30"/>
      <c r="J90" s="31"/>
      <c r="K90" s="30"/>
      <c r="L90" s="27"/>
      <c r="M90" s="27"/>
      <c r="N90" s="27"/>
      <c r="O90" s="27"/>
      <c r="P90" s="27"/>
      <c r="Q90" s="32"/>
      <c r="R90" s="567"/>
      <c r="S90" s="30"/>
      <c r="T90" s="33"/>
      <c r="U90" s="31"/>
      <c r="V90" s="30"/>
      <c r="W90" s="30"/>
      <c r="X90" s="568"/>
      <c r="Y90" s="568"/>
      <c r="Z90" s="569"/>
      <c r="AA90" s="569"/>
      <c r="AB90" s="570"/>
      <c r="AC90" s="571"/>
      <c r="AD90" s="571"/>
      <c r="AE90" s="571"/>
      <c r="AF90" s="571"/>
    </row>
    <row r="91" spans="1:32" s="510" customFormat="1" ht="15" x14ac:dyDescent="0.25">
      <c r="A91" s="2027"/>
      <c r="B91" s="2027"/>
      <c r="C91" s="2027"/>
      <c r="D91" s="2027"/>
      <c r="E91" s="2027"/>
      <c r="F91" s="2027"/>
      <c r="G91" s="2027"/>
      <c r="H91" s="2028"/>
      <c r="I91" s="2029"/>
      <c r="J91" s="2030"/>
      <c r="K91" s="2029"/>
      <c r="L91" s="2029"/>
      <c r="M91" s="2029"/>
      <c r="N91" s="2029"/>
      <c r="O91" s="2029"/>
      <c r="P91" s="2029"/>
      <c r="Q91" s="2029"/>
      <c r="R91" s="2031"/>
      <c r="S91" s="2029"/>
      <c r="T91" s="2032"/>
      <c r="U91" s="2030"/>
      <c r="V91" s="2029"/>
      <c r="W91" s="2029"/>
      <c r="X91" s="2033"/>
      <c r="Y91" s="2033"/>
      <c r="Z91" s="2034"/>
      <c r="AA91" s="2034"/>
      <c r="AB91" s="2035">
        <f>SUM(AB74:AB90)</f>
        <v>230.69952000000001</v>
      </c>
      <c r="AC91" s="2036"/>
      <c r="AD91" s="2036"/>
      <c r="AE91" s="2036"/>
      <c r="AF91" s="2036"/>
    </row>
    <row r="92" spans="1:32" s="510" customFormat="1" ht="15.75" x14ac:dyDescent="0.25">
      <c r="A92" s="2820" t="s">
        <v>76</v>
      </c>
      <c r="B92" s="2820"/>
      <c r="C92" s="2821" t="s">
        <v>77</v>
      </c>
      <c r="D92" s="2821"/>
      <c r="E92" s="2821"/>
      <c r="F92" s="2821"/>
      <c r="G92" s="2821"/>
      <c r="H92" s="2821"/>
      <c r="I92" s="577" t="s">
        <v>78</v>
      </c>
      <c r="J92" s="577"/>
      <c r="K92" s="577"/>
      <c r="L92" s="577"/>
      <c r="M92" s="577"/>
      <c r="N92" s="577"/>
      <c r="AB92" s="578"/>
    </row>
    <row r="93" spans="1:32" s="510" customFormat="1" ht="15.75" x14ac:dyDescent="0.25">
      <c r="A93" s="739"/>
      <c r="B93" s="579"/>
      <c r="C93" s="577"/>
      <c r="D93" s="577"/>
      <c r="E93" s="577"/>
      <c r="F93" s="577"/>
      <c r="G93" s="577"/>
      <c r="H93" s="577"/>
      <c r="I93" s="577" t="s">
        <v>79</v>
      </c>
      <c r="J93" s="577"/>
      <c r="K93" s="577"/>
      <c r="L93" s="577"/>
      <c r="M93" s="577"/>
      <c r="N93" s="577"/>
      <c r="AB93" s="578"/>
    </row>
    <row r="94" spans="1:32" s="510" customFormat="1" ht="15.75" x14ac:dyDescent="0.25">
      <c r="A94" s="739"/>
      <c r="B94" s="579"/>
      <c r="C94" s="577"/>
      <c r="D94" s="577"/>
      <c r="E94" s="577"/>
      <c r="F94" s="577"/>
      <c r="G94" s="577"/>
      <c r="H94" s="577"/>
      <c r="I94" s="577" t="s">
        <v>80</v>
      </c>
      <c r="J94" s="577"/>
      <c r="K94" s="577"/>
      <c r="L94" s="577"/>
      <c r="M94" s="577"/>
      <c r="N94" s="577"/>
      <c r="AB94" s="578"/>
    </row>
    <row r="95" spans="1:32" s="510" customFormat="1" ht="15.75" x14ac:dyDescent="0.25">
      <c r="A95" s="739"/>
      <c r="B95" s="579"/>
      <c r="C95" s="577"/>
      <c r="D95" s="577"/>
      <c r="E95" s="577"/>
      <c r="F95" s="577"/>
      <c r="G95" s="577"/>
      <c r="H95" s="577"/>
      <c r="I95" s="577" t="s">
        <v>81</v>
      </c>
      <c r="J95" s="577"/>
      <c r="K95" s="577"/>
      <c r="L95" s="577"/>
      <c r="M95" s="577"/>
      <c r="N95" s="577"/>
      <c r="AB95" s="578"/>
    </row>
    <row r="96" spans="1:32" s="510" customFormat="1" ht="15.75" x14ac:dyDescent="0.25">
      <c r="A96" s="739"/>
      <c r="B96" s="579"/>
      <c r="C96" s="577"/>
      <c r="D96" s="577"/>
      <c r="E96" s="577"/>
      <c r="F96" s="577"/>
      <c r="G96" s="577"/>
      <c r="H96" s="577"/>
      <c r="I96" s="577" t="s">
        <v>88</v>
      </c>
      <c r="J96" s="577"/>
      <c r="K96" s="577"/>
      <c r="L96" s="577"/>
      <c r="M96" s="577"/>
      <c r="N96" s="577"/>
      <c r="AB96" s="578"/>
    </row>
    <row r="97" spans="1:32" s="510" customFormat="1" ht="18.75" x14ac:dyDescent="0.2">
      <c r="A97" s="735"/>
      <c r="B97" s="338"/>
      <c r="C97" s="338"/>
      <c r="D97" s="338"/>
      <c r="E97" s="338"/>
      <c r="F97" s="338"/>
      <c r="G97" s="338"/>
      <c r="H97" s="338"/>
      <c r="I97" s="338"/>
      <c r="J97" s="338"/>
      <c r="K97" s="338"/>
      <c r="L97" s="338"/>
      <c r="M97" s="338"/>
      <c r="N97" s="338"/>
      <c r="O97" s="338"/>
      <c r="P97" s="338"/>
      <c r="Q97" s="338"/>
      <c r="R97" s="338"/>
      <c r="S97" s="338"/>
      <c r="T97" s="338"/>
      <c r="U97" s="338"/>
      <c r="V97" s="338"/>
      <c r="W97" s="338"/>
      <c r="X97" s="338"/>
      <c r="Y97" s="338"/>
      <c r="Z97" s="338"/>
      <c r="AA97" s="2774" t="s">
        <v>0</v>
      </c>
      <c r="AB97" s="2774"/>
      <c r="AC97" s="338"/>
      <c r="AD97" s="338"/>
      <c r="AE97" s="338"/>
      <c r="AF97" s="338"/>
    </row>
    <row r="98" spans="1:32" s="510" customFormat="1" ht="18.75" x14ac:dyDescent="0.2">
      <c r="A98" s="2703" t="s">
        <v>1</v>
      </c>
      <c r="B98" s="2703"/>
      <c r="C98" s="2703"/>
      <c r="D98" s="2703"/>
      <c r="E98" s="2703"/>
      <c r="F98" s="2703"/>
      <c r="G98" s="2703"/>
      <c r="H98" s="2703"/>
      <c r="I98" s="2703"/>
      <c r="J98" s="2703"/>
      <c r="K98" s="2703"/>
      <c r="L98" s="2703"/>
      <c r="M98" s="2703"/>
      <c r="N98" s="2703"/>
      <c r="O98" s="2703"/>
      <c r="P98" s="2703"/>
      <c r="Q98" s="2703"/>
      <c r="R98" s="2703"/>
      <c r="S98" s="2703"/>
      <c r="T98" s="2703"/>
      <c r="U98" s="2703"/>
      <c r="V98" s="2703"/>
      <c r="W98" s="2703"/>
      <c r="X98" s="2703"/>
      <c r="Y98" s="2703"/>
      <c r="Z98" s="2703"/>
      <c r="AA98" s="2703"/>
      <c r="AB98" s="2703"/>
      <c r="AC98" s="344"/>
      <c r="AD98" s="344"/>
      <c r="AE98" s="344"/>
      <c r="AF98" s="344"/>
    </row>
    <row r="99" spans="1:32" s="510" customFormat="1" ht="21" x14ac:dyDescent="0.2">
      <c r="A99" s="2780" t="s">
        <v>536</v>
      </c>
      <c r="B99" s="2780"/>
      <c r="C99" s="2780"/>
      <c r="D99" s="2780"/>
      <c r="E99" s="2780"/>
      <c r="F99" s="2780"/>
      <c r="G99" s="2780"/>
      <c r="H99" s="2780"/>
      <c r="I99" s="2780"/>
      <c r="J99" s="2780"/>
      <c r="K99" s="2780"/>
      <c r="L99" s="2780"/>
      <c r="M99" s="2780"/>
      <c r="N99" s="2780"/>
      <c r="O99" s="2780"/>
      <c r="P99" s="2780"/>
      <c r="Q99" s="2780"/>
      <c r="R99" s="2780"/>
      <c r="S99" s="2780"/>
      <c r="T99" s="2780"/>
      <c r="U99" s="2780"/>
      <c r="V99" s="2780"/>
      <c r="W99" s="2780"/>
      <c r="X99" s="2780"/>
      <c r="Y99" s="2780"/>
      <c r="Z99" s="2780"/>
      <c r="AA99" s="2780"/>
      <c r="AB99" s="2780"/>
      <c r="AC99" s="345"/>
      <c r="AD99" s="345"/>
      <c r="AE99" s="345"/>
      <c r="AF99" s="345"/>
    </row>
    <row r="100" spans="1:32" s="510" customFormat="1" ht="15" x14ac:dyDescent="0.25">
      <c r="A100" s="2686" t="s">
        <v>2</v>
      </c>
      <c r="B100" s="511"/>
      <c r="C100" s="2686" t="s">
        <v>3</v>
      </c>
      <c r="D100" s="511"/>
      <c r="E100" s="511"/>
      <c r="F100" s="2693" t="s">
        <v>4</v>
      </c>
      <c r="G100" s="2693"/>
      <c r="H100" s="2693"/>
      <c r="I100" s="2694"/>
      <c r="J100" s="2694"/>
      <c r="K100" s="2695"/>
      <c r="L100" s="361"/>
      <c r="M100" s="2679" t="s">
        <v>5</v>
      </c>
      <c r="N100" s="2679"/>
      <c r="O100" s="2679"/>
      <c r="P100" s="2679"/>
      <c r="Q100" s="2696"/>
      <c r="R100" s="2696"/>
      <c r="S100" s="2696"/>
      <c r="T100" s="2696"/>
      <c r="U100" s="2696"/>
      <c r="V100" s="2697"/>
      <c r="W100" s="512" t="s">
        <v>6</v>
      </c>
      <c r="X100" s="513" t="s">
        <v>7</v>
      </c>
      <c r="Y100" s="514"/>
      <c r="Z100" s="514"/>
      <c r="AA100" s="513"/>
      <c r="AB100" s="515"/>
      <c r="AC100" s="516" t="s">
        <v>8</v>
      </c>
      <c r="AD100" s="346"/>
      <c r="AE100" s="346"/>
      <c r="AF100" s="517"/>
    </row>
    <row r="101" spans="1:32" s="510" customFormat="1" x14ac:dyDescent="0.2">
      <c r="A101" s="2687"/>
      <c r="B101" s="367"/>
      <c r="C101" s="2687"/>
      <c r="D101" s="518" t="s">
        <v>9</v>
      </c>
      <c r="E101" s="519" t="s">
        <v>10</v>
      </c>
      <c r="F101" s="2698" t="s">
        <v>11</v>
      </c>
      <c r="G101" s="2694"/>
      <c r="H101" s="2695"/>
      <c r="I101" s="511"/>
      <c r="J101" s="520" t="s">
        <v>12</v>
      </c>
      <c r="K101" s="511"/>
      <c r="L101" s="2679" t="s">
        <v>2</v>
      </c>
      <c r="M101" s="521"/>
      <c r="N101" s="521"/>
      <c r="O101" s="521"/>
      <c r="P101" s="522"/>
      <c r="Q101" s="523" t="s">
        <v>13</v>
      </c>
      <c r="R101" s="524" t="s">
        <v>12</v>
      </c>
      <c r="S101" s="521" t="s">
        <v>6</v>
      </c>
      <c r="T101" s="2682" t="s">
        <v>14</v>
      </c>
      <c r="U101" s="2683"/>
      <c r="V101" s="525" t="s">
        <v>7</v>
      </c>
      <c r="W101" s="526" t="s">
        <v>15</v>
      </c>
      <c r="X101" s="527" t="s">
        <v>16</v>
      </c>
      <c r="Y101" s="527" t="s">
        <v>17</v>
      </c>
      <c r="Z101" s="527" t="s">
        <v>18</v>
      </c>
      <c r="AA101" s="377"/>
      <c r="AB101" s="378" t="s">
        <v>19</v>
      </c>
      <c r="AC101" s="528" t="s">
        <v>20</v>
      </c>
      <c r="AD101" s="529"/>
      <c r="AE101" s="347" t="s">
        <v>21</v>
      </c>
      <c r="AF101" s="340" t="s">
        <v>22</v>
      </c>
    </row>
    <row r="102" spans="1:32" s="510" customFormat="1" x14ac:dyDescent="0.2">
      <c r="A102" s="2687"/>
      <c r="B102" s="2024" t="s">
        <v>23</v>
      </c>
      <c r="C102" s="2687"/>
      <c r="D102" s="518" t="s">
        <v>24</v>
      </c>
      <c r="E102" s="519" t="s">
        <v>25</v>
      </c>
      <c r="F102" s="2699"/>
      <c r="G102" s="2700"/>
      <c r="H102" s="2701"/>
      <c r="I102" s="518" t="s">
        <v>26</v>
      </c>
      <c r="J102" s="530" t="s">
        <v>15</v>
      </c>
      <c r="K102" s="531" t="s">
        <v>6</v>
      </c>
      <c r="L102" s="2680"/>
      <c r="M102" s="532" t="s">
        <v>27</v>
      </c>
      <c r="N102" s="532" t="s">
        <v>10</v>
      </c>
      <c r="O102" s="533" t="s">
        <v>10</v>
      </c>
      <c r="P102" s="534" t="s">
        <v>28</v>
      </c>
      <c r="Q102" s="535" t="s">
        <v>29</v>
      </c>
      <c r="R102" s="534" t="s">
        <v>15</v>
      </c>
      <c r="S102" s="385" t="s">
        <v>15</v>
      </c>
      <c r="T102" s="2684"/>
      <c r="U102" s="2685"/>
      <c r="V102" s="525" t="s">
        <v>30</v>
      </c>
      <c r="W102" s="526" t="s">
        <v>31</v>
      </c>
      <c r="X102" s="527" t="s">
        <v>30</v>
      </c>
      <c r="Y102" s="527" t="s">
        <v>32</v>
      </c>
      <c r="Z102" s="527" t="s">
        <v>7</v>
      </c>
      <c r="AA102" s="377" t="s">
        <v>33</v>
      </c>
      <c r="AB102" s="378" t="s">
        <v>34</v>
      </c>
      <c r="AC102" s="528" t="s">
        <v>35</v>
      </c>
      <c r="AD102" s="347" t="s">
        <v>36</v>
      </c>
      <c r="AE102" s="347" t="s">
        <v>37</v>
      </c>
      <c r="AF102" s="340" t="s">
        <v>38</v>
      </c>
    </row>
    <row r="103" spans="1:32" s="510" customFormat="1" x14ac:dyDescent="0.2">
      <c r="A103" s="2687"/>
      <c r="B103" s="2024" t="s">
        <v>39</v>
      </c>
      <c r="C103" s="2687"/>
      <c r="D103" s="518" t="s">
        <v>40</v>
      </c>
      <c r="E103" s="519" t="s">
        <v>41</v>
      </c>
      <c r="F103" s="2686" t="s">
        <v>42</v>
      </c>
      <c r="G103" s="2686" t="s">
        <v>43</v>
      </c>
      <c r="H103" s="2688" t="s">
        <v>44</v>
      </c>
      <c r="I103" s="518" t="s">
        <v>45</v>
      </c>
      <c r="J103" s="530" t="s">
        <v>46</v>
      </c>
      <c r="K103" s="531" t="s">
        <v>47</v>
      </c>
      <c r="L103" s="2680"/>
      <c r="M103" s="532" t="s">
        <v>30</v>
      </c>
      <c r="N103" s="532" t="s">
        <v>30</v>
      </c>
      <c r="O103" s="533" t="s">
        <v>25</v>
      </c>
      <c r="P103" s="534" t="s">
        <v>30</v>
      </c>
      <c r="Q103" s="535" t="s">
        <v>48</v>
      </c>
      <c r="R103" s="534" t="s">
        <v>49</v>
      </c>
      <c r="S103" s="385" t="s">
        <v>30</v>
      </c>
      <c r="T103" s="536" t="s">
        <v>50</v>
      </c>
      <c r="U103" s="537" t="s">
        <v>13</v>
      </c>
      <c r="V103" s="525" t="s">
        <v>51</v>
      </c>
      <c r="W103" s="526" t="s">
        <v>52</v>
      </c>
      <c r="X103" s="527" t="s">
        <v>53</v>
      </c>
      <c r="Y103" s="527" t="s">
        <v>54</v>
      </c>
      <c r="Z103" s="527" t="s">
        <v>55</v>
      </c>
      <c r="AA103" s="377" t="s">
        <v>56</v>
      </c>
      <c r="AB103" s="378" t="s">
        <v>57</v>
      </c>
      <c r="AC103" s="347" t="s">
        <v>58</v>
      </c>
      <c r="AD103" s="347" t="s">
        <v>59</v>
      </c>
      <c r="AE103" s="347" t="s">
        <v>59</v>
      </c>
      <c r="AF103" s="340" t="s">
        <v>60</v>
      </c>
    </row>
    <row r="104" spans="1:32" s="510" customFormat="1" ht="15" x14ac:dyDescent="0.25">
      <c r="A104" s="2687"/>
      <c r="B104" s="2024" t="s">
        <v>61</v>
      </c>
      <c r="C104" s="2687"/>
      <c r="D104" s="518" t="s">
        <v>62</v>
      </c>
      <c r="E104" s="519" t="s">
        <v>63</v>
      </c>
      <c r="F104" s="2687"/>
      <c r="G104" s="2687"/>
      <c r="H104" s="2689"/>
      <c r="I104" s="518" t="s">
        <v>64</v>
      </c>
      <c r="J104" s="530" t="s">
        <v>59</v>
      </c>
      <c r="K104" s="531" t="s">
        <v>59</v>
      </c>
      <c r="L104" s="2680"/>
      <c r="M104" s="532"/>
      <c r="N104" s="532"/>
      <c r="O104" s="533" t="s">
        <v>41</v>
      </c>
      <c r="P104" s="534" t="s">
        <v>65</v>
      </c>
      <c r="Q104" s="535" t="s">
        <v>66</v>
      </c>
      <c r="R104" s="534" t="s">
        <v>67</v>
      </c>
      <c r="S104" s="385" t="s">
        <v>59</v>
      </c>
      <c r="T104" s="538" t="s">
        <v>68</v>
      </c>
      <c r="U104" s="525" t="s">
        <v>14</v>
      </c>
      <c r="V104" s="525" t="s">
        <v>14</v>
      </c>
      <c r="W104" s="526" t="s">
        <v>30</v>
      </c>
      <c r="X104" s="539" t="s">
        <v>69</v>
      </c>
      <c r="Y104" s="539" t="s">
        <v>70</v>
      </c>
      <c r="Z104" s="527" t="s">
        <v>71</v>
      </c>
      <c r="AA104" s="377" t="s">
        <v>72</v>
      </c>
      <c r="AB104" s="540" t="s">
        <v>59</v>
      </c>
      <c r="AC104" s="347" t="s">
        <v>59</v>
      </c>
      <c r="AD104" s="347"/>
      <c r="AE104" s="347"/>
      <c r="AF104" s="340" t="s">
        <v>59</v>
      </c>
    </row>
    <row r="105" spans="1:32" s="510" customFormat="1" x14ac:dyDescent="0.2">
      <c r="A105" s="2692"/>
      <c r="B105" s="390"/>
      <c r="C105" s="2692"/>
      <c r="D105" s="541"/>
      <c r="E105" s="542"/>
      <c r="F105" s="390"/>
      <c r="G105" s="390"/>
      <c r="H105" s="391"/>
      <c r="I105" s="542"/>
      <c r="J105" s="543"/>
      <c r="K105" s="544"/>
      <c r="L105" s="2681"/>
      <c r="M105" s="545"/>
      <c r="N105" s="545"/>
      <c r="O105" s="545" t="s">
        <v>63</v>
      </c>
      <c r="P105" s="546"/>
      <c r="Q105" s="547" t="s">
        <v>72</v>
      </c>
      <c r="R105" s="548" t="s">
        <v>59</v>
      </c>
      <c r="S105" s="549"/>
      <c r="T105" s="548" t="s">
        <v>73</v>
      </c>
      <c r="U105" s="549" t="s">
        <v>59</v>
      </c>
      <c r="V105" s="550" t="s">
        <v>59</v>
      </c>
      <c r="W105" s="551" t="s">
        <v>59</v>
      </c>
      <c r="X105" s="552" t="s">
        <v>59</v>
      </c>
      <c r="Y105" s="552" t="s">
        <v>59</v>
      </c>
      <c r="Z105" s="552" t="s">
        <v>59</v>
      </c>
      <c r="AA105" s="402"/>
      <c r="AB105" s="403"/>
      <c r="AC105" s="348"/>
      <c r="AD105" s="348"/>
      <c r="AE105" s="348"/>
      <c r="AF105" s="341"/>
    </row>
    <row r="106" spans="1:32" s="510" customFormat="1" ht="15" x14ac:dyDescent="0.25">
      <c r="A106" s="16">
        <v>1</v>
      </c>
      <c r="B106" s="333">
        <v>1850</v>
      </c>
      <c r="C106" s="41">
        <v>573</v>
      </c>
      <c r="D106" s="41" t="s">
        <v>245</v>
      </c>
      <c r="E106" s="15">
        <v>2</v>
      </c>
      <c r="F106" s="41">
        <v>1</v>
      </c>
      <c r="G106" s="41">
        <v>3</v>
      </c>
      <c r="H106" s="267">
        <v>68</v>
      </c>
      <c r="I106" s="18">
        <f>F106*400+G106*100+H106</f>
        <v>768</v>
      </c>
      <c r="J106" s="258">
        <v>1700</v>
      </c>
      <c r="K106" s="39">
        <f>SUM(I106*J106)</f>
        <v>1305600</v>
      </c>
      <c r="L106" s="45"/>
      <c r="M106" s="82"/>
      <c r="N106" s="41"/>
      <c r="O106" s="16"/>
      <c r="P106" s="41"/>
      <c r="Q106" s="62"/>
      <c r="R106" s="260"/>
      <c r="S106" s="18"/>
      <c r="T106" s="259"/>
      <c r="U106" s="47"/>
      <c r="V106" s="47"/>
      <c r="W106" s="18"/>
      <c r="X106" s="47"/>
      <c r="Y106" s="18"/>
      <c r="Z106" s="18"/>
      <c r="AA106" s="264"/>
      <c r="AB106" s="554"/>
      <c r="AC106" s="555"/>
      <c r="AD106" s="556"/>
      <c r="AE106" s="556"/>
      <c r="AF106" s="556"/>
    </row>
    <row r="107" spans="1:32" s="510" customFormat="1" ht="15" x14ac:dyDescent="0.25">
      <c r="A107" s="50"/>
      <c r="B107" s="255"/>
      <c r="C107" s="50"/>
      <c r="D107" s="15"/>
      <c r="E107" s="15"/>
      <c r="F107" s="294"/>
      <c r="G107" s="50"/>
      <c r="H107" s="2429">
        <f>P107/P111*100</f>
        <v>58.598631879941152</v>
      </c>
      <c r="I107" s="18">
        <f>I106/100*58.6</f>
        <v>450.048</v>
      </c>
      <c r="J107" s="258">
        <v>1700</v>
      </c>
      <c r="K107" s="39">
        <f>I107*J107</f>
        <v>765081.59999999998</v>
      </c>
      <c r="L107" s="45">
        <v>1</v>
      </c>
      <c r="M107" s="82">
        <v>106</v>
      </c>
      <c r="N107" s="41" t="s">
        <v>96</v>
      </c>
      <c r="O107" s="16">
        <v>2</v>
      </c>
      <c r="P107" s="41">
        <f>16.9*25.78</f>
        <v>435.68199999999996</v>
      </c>
      <c r="Q107" s="62" t="s">
        <v>75</v>
      </c>
      <c r="R107" s="260">
        <v>7950</v>
      </c>
      <c r="S107" s="18">
        <f>P107*R107</f>
        <v>3463671.9</v>
      </c>
      <c r="T107" s="259">
        <v>35</v>
      </c>
      <c r="U107" s="47">
        <f>+S107*85/100</f>
        <v>2944121.1150000002</v>
      </c>
      <c r="V107" s="47">
        <f>SUM(S107-U107)</f>
        <v>519550.78499999968</v>
      </c>
      <c r="W107" s="18">
        <f>K107+V107</f>
        <v>1284632.3849999998</v>
      </c>
      <c r="X107" s="47">
        <f>W107</f>
        <v>1284632.3849999998</v>
      </c>
      <c r="Y107" s="18" t="s">
        <v>87</v>
      </c>
      <c r="Z107" s="18">
        <v>0</v>
      </c>
      <c r="AA107" s="264">
        <v>0.02</v>
      </c>
      <c r="AB107" s="554">
        <f>+Z107*AA107/100</f>
        <v>0</v>
      </c>
      <c r="AC107" s="555"/>
      <c r="AD107" s="556">
        <f>AB107-AC107</f>
        <v>0</v>
      </c>
      <c r="AE107" s="556">
        <f>IF(AD107&lt;=0,0,AD107*25/100)</f>
        <v>0</v>
      </c>
      <c r="AF107" s="556">
        <f>IF(AC107+AE107&gt;AB107,AB107,AC107+AE107)</f>
        <v>0</v>
      </c>
    </row>
    <row r="108" spans="1:32" s="510" customFormat="1" ht="15" x14ac:dyDescent="0.25">
      <c r="A108" s="45"/>
      <c r="B108" s="269"/>
      <c r="C108" s="285"/>
      <c r="D108" s="273"/>
      <c r="E108" s="273"/>
      <c r="F108" s="268"/>
      <c r="G108" s="269"/>
      <c r="H108" s="2430">
        <f>P108/P111*100</f>
        <v>17.269624022531211</v>
      </c>
      <c r="I108" s="18">
        <f>I106*17.27/100</f>
        <v>132.6336</v>
      </c>
      <c r="J108" s="258">
        <v>1700</v>
      </c>
      <c r="K108" s="39">
        <f t="shared" ref="K108:K110" si="1">I108*J108</f>
        <v>225477.12</v>
      </c>
      <c r="L108" s="269">
        <v>2</v>
      </c>
      <c r="M108" s="88">
        <v>101</v>
      </c>
      <c r="N108" s="15" t="s">
        <v>82</v>
      </c>
      <c r="O108" s="50">
        <v>2</v>
      </c>
      <c r="P108" s="15">
        <f>12*10.7</f>
        <v>128.39999999999998</v>
      </c>
      <c r="Q108" s="62" t="s">
        <v>75</v>
      </c>
      <c r="R108" s="260">
        <v>7700</v>
      </c>
      <c r="S108" s="18">
        <f>P108*R108</f>
        <v>988679.99999999977</v>
      </c>
      <c r="T108" s="880">
        <v>4</v>
      </c>
      <c r="U108" s="47">
        <f>+S108*12/100</f>
        <v>118641.59999999996</v>
      </c>
      <c r="V108" s="47">
        <f>SUM(S108-U108)</f>
        <v>870038.39999999979</v>
      </c>
      <c r="W108" s="18">
        <f t="shared" ref="W108:W110" si="2">K108+V108</f>
        <v>1095515.5199999998</v>
      </c>
      <c r="X108" s="47">
        <f t="shared" ref="X108:X110" si="3">W108</f>
        <v>1095515.5199999998</v>
      </c>
      <c r="Y108" s="18"/>
      <c r="Z108" s="18">
        <f>+X108</f>
        <v>1095515.5199999998</v>
      </c>
      <c r="AA108" s="264">
        <v>0.02</v>
      </c>
      <c r="AB108" s="558">
        <f>Z108*AA108/100</f>
        <v>219.10310399999995</v>
      </c>
      <c r="AC108" s="559"/>
      <c r="AD108" s="559"/>
      <c r="AE108" s="559"/>
      <c r="AF108" s="559"/>
    </row>
    <row r="109" spans="1:32" s="510" customFormat="1" ht="15" x14ac:dyDescent="0.25">
      <c r="A109" s="45"/>
      <c r="B109" s="269"/>
      <c r="C109" s="285"/>
      <c r="D109" s="273"/>
      <c r="E109" s="273"/>
      <c r="F109" s="268"/>
      <c r="G109" s="269"/>
      <c r="H109" s="2430">
        <f>P109/P111*100</f>
        <v>11.717520598465105</v>
      </c>
      <c r="I109" s="18">
        <f>I106*11.72/100</f>
        <v>90.009600000000006</v>
      </c>
      <c r="J109" s="258">
        <v>1700</v>
      </c>
      <c r="K109" s="39">
        <f t="shared" si="1"/>
        <v>153016.32000000001</v>
      </c>
      <c r="L109" s="269">
        <v>3</v>
      </c>
      <c r="M109" s="88">
        <v>101</v>
      </c>
      <c r="N109" s="15" t="s">
        <v>82</v>
      </c>
      <c r="O109" s="50">
        <v>2</v>
      </c>
      <c r="P109" s="15">
        <f>9.9*8.8</f>
        <v>87.12</v>
      </c>
      <c r="Q109" s="62" t="s">
        <v>75</v>
      </c>
      <c r="R109" s="260">
        <v>7700</v>
      </c>
      <c r="S109" s="18">
        <f t="shared" ref="S109:S110" si="4">P109*R109</f>
        <v>670824</v>
      </c>
      <c r="T109" s="27">
        <v>4</v>
      </c>
      <c r="U109" s="47">
        <f>+S109*12/100</f>
        <v>80498.880000000005</v>
      </c>
      <c r="V109" s="47">
        <f>SUM(S109-U109)</f>
        <v>590325.12</v>
      </c>
      <c r="W109" s="18">
        <f t="shared" si="2"/>
        <v>743341.44</v>
      </c>
      <c r="X109" s="47">
        <f t="shared" si="3"/>
        <v>743341.44</v>
      </c>
      <c r="Y109" s="18"/>
      <c r="Z109" s="18">
        <f t="shared" ref="Z109:Z110" si="5">+X109</f>
        <v>743341.44</v>
      </c>
      <c r="AA109" s="264">
        <v>0.02</v>
      </c>
      <c r="AB109" s="558">
        <f t="shared" ref="AB109:AB116" si="6">Z109*AA109/100</f>
        <v>148.66828799999999</v>
      </c>
      <c r="AC109" s="559"/>
      <c r="AD109" s="559"/>
      <c r="AE109" s="559"/>
      <c r="AF109" s="559"/>
    </row>
    <row r="110" spans="1:32" s="510" customFormat="1" ht="15" x14ac:dyDescent="0.25">
      <c r="A110" s="45"/>
      <c r="B110" s="881"/>
      <c r="C110" s="882"/>
      <c r="D110" s="560"/>
      <c r="E110" s="560"/>
      <c r="F110" s="883"/>
      <c r="G110" s="881"/>
      <c r="H110" s="2431">
        <f>P110/P111*100</f>
        <v>12.414223499062548</v>
      </c>
      <c r="I110" s="256">
        <f>I106*12.41/100</f>
        <v>95.308800000000005</v>
      </c>
      <c r="J110" s="258">
        <v>1700</v>
      </c>
      <c r="K110" s="39">
        <f t="shared" si="1"/>
        <v>162024.96000000002</v>
      </c>
      <c r="L110" s="881">
        <v>4</v>
      </c>
      <c r="M110" s="2025">
        <v>101</v>
      </c>
      <c r="N110" s="270" t="s">
        <v>82</v>
      </c>
      <c r="O110" s="58">
        <v>2</v>
      </c>
      <c r="P110" s="270">
        <f>7.1*13</f>
        <v>92.3</v>
      </c>
      <c r="Q110" s="886" t="s">
        <v>75</v>
      </c>
      <c r="R110" s="887">
        <v>7700</v>
      </c>
      <c r="S110" s="256">
        <f t="shared" si="4"/>
        <v>710710</v>
      </c>
      <c r="T110" s="270">
        <v>4</v>
      </c>
      <c r="U110" s="47">
        <f t="shared" ref="U110:U116" si="7">+S110*12/100</f>
        <v>85285.2</v>
      </c>
      <c r="V110" s="47">
        <f>SUM(S110-U110)</f>
        <v>625424.80000000005</v>
      </c>
      <c r="W110" s="18">
        <f t="shared" si="2"/>
        <v>787449.76</v>
      </c>
      <c r="X110" s="47">
        <f t="shared" si="3"/>
        <v>787449.76</v>
      </c>
      <c r="Y110" s="18"/>
      <c r="Z110" s="18">
        <f t="shared" si="5"/>
        <v>787449.76</v>
      </c>
      <c r="AA110" s="264">
        <v>0.02</v>
      </c>
      <c r="AB110" s="558">
        <f t="shared" si="6"/>
        <v>157.48995200000002</v>
      </c>
      <c r="AC110" s="559"/>
      <c r="AD110" s="559"/>
      <c r="AE110" s="559"/>
      <c r="AF110" s="559"/>
    </row>
    <row r="111" spans="1:32" s="510" customFormat="1" ht="15" x14ac:dyDescent="0.25">
      <c r="A111" s="45"/>
      <c r="B111" s="881"/>
      <c r="C111" s="882"/>
      <c r="D111" s="560"/>
      <c r="E111" s="560"/>
      <c r="F111" s="883"/>
      <c r="G111" s="881"/>
      <c r="H111" s="884"/>
      <c r="I111" s="256"/>
      <c r="J111" s="885"/>
      <c r="K111" s="64"/>
      <c r="L111" s="881"/>
      <c r="M111" s="2350"/>
      <c r="N111" s="270"/>
      <c r="O111" s="58"/>
      <c r="P111" s="2432">
        <f>SUM(P107:P110)</f>
        <v>743.50199999999984</v>
      </c>
      <c r="Q111" s="886"/>
      <c r="R111" s="887"/>
      <c r="S111" s="256"/>
      <c r="T111" s="270"/>
      <c r="U111" s="47"/>
      <c r="V111" s="47"/>
      <c r="W111" s="18"/>
      <c r="X111" s="47"/>
      <c r="Y111" s="18"/>
      <c r="Z111" s="18"/>
      <c r="AA111" s="264"/>
      <c r="AB111" s="558"/>
      <c r="AC111" s="559"/>
      <c r="AD111" s="559"/>
      <c r="AE111" s="559"/>
      <c r="AF111" s="559"/>
    </row>
    <row r="112" spans="1:32" s="510" customFormat="1" ht="15" x14ac:dyDescent="0.25">
      <c r="A112" s="45"/>
      <c r="B112" s="273">
        <v>1849</v>
      </c>
      <c r="C112" s="27">
        <v>572</v>
      </c>
      <c r="D112" s="27" t="s">
        <v>245</v>
      </c>
      <c r="E112" s="27">
        <v>5</v>
      </c>
      <c r="F112" s="27">
        <v>0</v>
      </c>
      <c r="G112" s="27">
        <v>3</v>
      </c>
      <c r="H112" s="557">
        <v>60</v>
      </c>
      <c r="I112" s="47">
        <f>F112*400+G112*100+H112</f>
        <v>360</v>
      </c>
      <c r="J112" s="265">
        <v>1700</v>
      </c>
      <c r="K112" s="48">
        <f>SUM(I112*J112)</f>
        <v>612000</v>
      </c>
      <c r="L112" s="45"/>
      <c r="M112" s="88"/>
      <c r="N112" s="27"/>
      <c r="O112" s="45"/>
      <c r="P112" s="27"/>
      <c r="Q112" s="62"/>
      <c r="R112" s="283"/>
      <c r="S112" s="47"/>
      <c r="T112" s="27"/>
      <c r="U112" s="47"/>
      <c r="V112" s="47"/>
      <c r="W112" s="18"/>
      <c r="X112" s="47"/>
      <c r="Y112" s="18"/>
      <c r="Z112" s="18"/>
      <c r="AA112" s="264"/>
      <c r="AB112" s="558"/>
      <c r="AC112" s="559"/>
      <c r="AD112" s="559"/>
      <c r="AE112" s="559"/>
      <c r="AF112" s="559"/>
    </row>
    <row r="113" spans="1:32" s="510" customFormat="1" ht="15" x14ac:dyDescent="0.25">
      <c r="A113" s="45"/>
      <c r="B113" s="269"/>
      <c r="C113" s="45"/>
      <c r="D113" s="27"/>
      <c r="E113" s="27"/>
      <c r="F113" s="291"/>
      <c r="G113" s="45"/>
      <c r="H113" s="2434">
        <f>P113/P117*100</f>
        <v>21.956087824351293</v>
      </c>
      <c r="I113" s="2435">
        <v>79.02</v>
      </c>
      <c r="J113" s="265">
        <v>1700</v>
      </c>
      <c r="K113" s="48">
        <f>I113*J113</f>
        <v>134334</v>
      </c>
      <c r="L113" s="45">
        <v>1</v>
      </c>
      <c r="M113" s="88">
        <v>101</v>
      </c>
      <c r="N113" s="27" t="s">
        <v>82</v>
      </c>
      <c r="O113" s="45">
        <v>2</v>
      </c>
      <c r="P113" s="27">
        <f>4.95*10</f>
        <v>49.5</v>
      </c>
      <c r="Q113" s="62" t="s">
        <v>75</v>
      </c>
      <c r="R113" s="283">
        <v>7700</v>
      </c>
      <c r="S113" s="47">
        <f>P113*R113</f>
        <v>381150</v>
      </c>
      <c r="T113" s="27">
        <v>4</v>
      </c>
      <c r="U113" s="47">
        <f t="shared" ref="U113" si="8">+S113*12/100</f>
        <v>45738</v>
      </c>
      <c r="V113" s="47">
        <f>SUM(S113-U113)</f>
        <v>335412</v>
      </c>
      <c r="W113" s="18">
        <f>K113+V113</f>
        <v>469746</v>
      </c>
      <c r="X113" s="47">
        <f>+W113</f>
        <v>469746</v>
      </c>
      <c r="Y113" s="18"/>
      <c r="Z113" s="18">
        <f>+X113</f>
        <v>469746</v>
      </c>
      <c r="AA113" s="264">
        <v>0.02</v>
      </c>
      <c r="AB113" s="558">
        <f t="shared" ref="AB113" si="9">Z113*AA113/100</f>
        <v>93.949200000000005</v>
      </c>
      <c r="AC113" s="559"/>
      <c r="AD113" s="559"/>
      <c r="AE113" s="559"/>
      <c r="AF113" s="559"/>
    </row>
    <row r="114" spans="1:32" s="510" customFormat="1" ht="15" x14ac:dyDescent="0.25">
      <c r="A114" s="45"/>
      <c r="B114" s="269"/>
      <c r="C114" s="285"/>
      <c r="D114" s="273"/>
      <c r="E114" s="273"/>
      <c r="F114" s="268"/>
      <c r="G114" s="269"/>
      <c r="H114" s="2430">
        <f>P114/P117*100</f>
        <v>35.928143712574844</v>
      </c>
      <c r="I114" s="2435">
        <f>360*35.93/100</f>
        <v>129.34799999999998</v>
      </c>
      <c r="J114" s="265">
        <v>1700</v>
      </c>
      <c r="K114" s="48">
        <f t="shared" ref="K114:K116" si="10">I114*J114</f>
        <v>219891.59999999998</v>
      </c>
      <c r="L114" s="45">
        <v>2</v>
      </c>
      <c r="M114" s="2025">
        <v>101</v>
      </c>
      <c r="N114" s="880" t="s">
        <v>82</v>
      </c>
      <c r="O114" s="27">
        <v>2</v>
      </c>
      <c r="P114" s="880">
        <f>9*9</f>
        <v>81</v>
      </c>
      <c r="Q114" s="62" t="s">
        <v>75</v>
      </c>
      <c r="R114" s="260">
        <v>7700</v>
      </c>
      <c r="S114" s="18">
        <f t="shared" ref="S114:S116" si="11">P114*R114</f>
        <v>623700</v>
      </c>
      <c r="T114" s="880">
        <v>4</v>
      </c>
      <c r="U114" s="47">
        <f t="shared" si="7"/>
        <v>74844</v>
      </c>
      <c r="V114" s="47">
        <f t="shared" ref="V114:V116" si="12">SUM(S114-U114)</f>
        <v>548856</v>
      </c>
      <c r="W114" s="18">
        <f t="shared" ref="W114:W116" si="13">+V114+K114</f>
        <v>768747.6</v>
      </c>
      <c r="X114" s="47">
        <f t="shared" ref="X114:X116" si="14">+W114</f>
        <v>768747.6</v>
      </c>
      <c r="Y114" s="18"/>
      <c r="Z114" s="18">
        <f t="shared" ref="Z114:Z116" si="15">+X114</f>
        <v>768747.6</v>
      </c>
      <c r="AA114" s="264">
        <v>0.02</v>
      </c>
      <c r="AB114" s="558">
        <f t="shared" si="6"/>
        <v>153.74951999999999</v>
      </c>
      <c r="AC114" s="559"/>
      <c r="AD114" s="559"/>
      <c r="AE114" s="559"/>
      <c r="AF114" s="559"/>
    </row>
    <row r="115" spans="1:32" s="510" customFormat="1" ht="15" x14ac:dyDescent="0.25">
      <c r="A115" s="45"/>
      <c r="B115" s="269"/>
      <c r="C115" s="285"/>
      <c r="D115" s="273"/>
      <c r="E115" s="273"/>
      <c r="F115" s="268"/>
      <c r="G115" s="269"/>
      <c r="H115" s="2430">
        <f>P115/P117*100</f>
        <v>24.945664227101354</v>
      </c>
      <c r="I115" s="2435">
        <f>360*24.95/100</f>
        <v>89.82</v>
      </c>
      <c r="J115" s="265">
        <v>1700</v>
      </c>
      <c r="K115" s="48">
        <f t="shared" si="10"/>
        <v>152694</v>
      </c>
      <c r="L115" s="45">
        <v>3</v>
      </c>
      <c r="M115" s="2025">
        <v>101</v>
      </c>
      <c r="N115" s="880" t="s">
        <v>82</v>
      </c>
      <c r="O115" s="27">
        <v>2</v>
      </c>
      <c r="P115" s="880">
        <f>7.4*7.6</f>
        <v>56.24</v>
      </c>
      <c r="Q115" s="62" t="s">
        <v>75</v>
      </c>
      <c r="R115" s="260">
        <v>7700</v>
      </c>
      <c r="S115" s="18">
        <f t="shared" si="11"/>
        <v>433048</v>
      </c>
      <c r="T115" s="880">
        <v>4</v>
      </c>
      <c r="U115" s="47">
        <f t="shared" si="7"/>
        <v>51965.760000000002</v>
      </c>
      <c r="V115" s="47">
        <f t="shared" si="12"/>
        <v>381082.24</v>
      </c>
      <c r="W115" s="18">
        <f t="shared" si="13"/>
        <v>533776.24</v>
      </c>
      <c r="X115" s="47">
        <f t="shared" si="14"/>
        <v>533776.24</v>
      </c>
      <c r="Y115" s="18"/>
      <c r="Z115" s="18">
        <f t="shared" si="15"/>
        <v>533776.24</v>
      </c>
      <c r="AA115" s="264">
        <v>0.02</v>
      </c>
      <c r="AB115" s="558">
        <f t="shared" si="6"/>
        <v>106.75524799999999</v>
      </c>
      <c r="AC115" s="559"/>
      <c r="AD115" s="559"/>
      <c r="AE115" s="559"/>
      <c r="AF115" s="559"/>
    </row>
    <row r="116" spans="1:32" s="510" customFormat="1" ht="15" x14ac:dyDescent="0.25">
      <c r="A116" s="45"/>
      <c r="B116" s="269"/>
      <c r="C116" s="285"/>
      <c r="D116" s="273"/>
      <c r="E116" s="273"/>
      <c r="F116" s="268"/>
      <c r="G116" s="269"/>
      <c r="H116" s="2430">
        <f>P116/P117*100</f>
        <v>17.170104235972502</v>
      </c>
      <c r="I116" s="2435">
        <f>360*17.17/100</f>
        <v>61.812000000000005</v>
      </c>
      <c r="J116" s="265">
        <v>1700</v>
      </c>
      <c r="K116" s="48">
        <f t="shared" si="10"/>
        <v>105080.40000000001</v>
      </c>
      <c r="L116" s="45">
        <v>4</v>
      </c>
      <c r="M116" s="88">
        <v>101</v>
      </c>
      <c r="N116" s="27" t="s">
        <v>82</v>
      </c>
      <c r="O116" s="50">
        <v>2</v>
      </c>
      <c r="P116" s="27">
        <f>4.9*7.9</f>
        <v>38.710000000000008</v>
      </c>
      <c r="Q116" s="62" t="s">
        <v>75</v>
      </c>
      <c r="R116" s="260">
        <v>7700</v>
      </c>
      <c r="S116" s="18">
        <f t="shared" si="11"/>
        <v>298067.00000000006</v>
      </c>
      <c r="T116" s="27">
        <v>4</v>
      </c>
      <c r="U116" s="47">
        <f t="shared" si="7"/>
        <v>35768.040000000008</v>
      </c>
      <c r="V116" s="47">
        <f t="shared" si="12"/>
        <v>262298.96000000008</v>
      </c>
      <c r="W116" s="18">
        <f t="shared" si="13"/>
        <v>367379.3600000001</v>
      </c>
      <c r="X116" s="47">
        <f t="shared" si="14"/>
        <v>367379.3600000001</v>
      </c>
      <c r="Y116" s="18"/>
      <c r="Z116" s="18">
        <f t="shared" si="15"/>
        <v>367379.3600000001</v>
      </c>
      <c r="AA116" s="264">
        <v>0.02</v>
      </c>
      <c r="AB116" s="558">
        <f t="shared" si="6"/>
        <v>73.475872000000024</v>
      </c>
      <c r="AC116" s="559"/>
      <c r="AD116" s="559"/>
      <c r="AE116" s="559"/>
      <c r="AF116" s="559"/>
    </row>
    <row r="117" spans="1:32" s="510" customFormat="1" ht="15" x14ac:dyDescent="0.25">
      <c r="A117" s="45"/>
      <c r="B117" s="287"/>
      <c r="C117" s="62"/>
      <c r="D117" s="273"/>
      <c r="E117" s="15"/>
      <c r="F117" s="268"/>
      <c r="G117" s="269"/>
      <c r="H117" s="266"/>
      <c r="I117" s="79"/>
      <c r="J117" s="258"/>
      <c r="K117" s="80"/>
      <c r="L117" s="45"/>
      <c r="M117" s="2025"/>
      <c r="N117" s="880"/>
      <c r="O117" s="27"/>
      <c r="P117" s="2433">
        <f>SUM(P113:P116)</f>
        <v>225.45000000000002</v>
      </c>
      <c r="Q117" s="62"/>
      <c r="R117" s="260"/>
      <c r="S117" s="18"/>
      <c r="T117" s="880"/>
      <c r="U117" s="47"/>
      <c r="V117" s="47"/>
      <c r="W117" s="18"/>
      <c r="X117" s="47"/>
      <c r="Y117" s="18"/>
      <c r="Z117" s="18"/>
      <c r="AA117" s="264"/>
      <c r="AB117" s="566"/>
      <c r="AC117" s="559"/>
      <c r="AD117" s="559"/>
      <c r="AE117" s="559"/>
      <c r="AF117" s="559"/>
    </row>
    <row r="118" spans="1:32" s="510" customFormat="1" ht="15" x14ac:dyDescent="0.25">
      <c r="A118" s="45"/>
      <c r="B118" s="287"/>
      <c r="C118" s="62"/>
      <c r="D118" s="273"/>
      <c r="E118" s="15"/>
      <c r="F118" s="268"/>
      <c r="G118" s="269"/>
      <c r="H118" s="266"/>
      <c r="I118" s="79"/>
      <c r="J118" s="258"/>
      <c r="K118" s="80"/>
      <c r="L118" s="45"/>
      <c r="M118" s="2025"/>
      <c r="N118" s="880"/>
      <c r="O118" s="27"/>
      <c r="P118" s="880"/>
      <c r="Q118" s="62"/>
      <c r="R118" s="260"/>
      <c r="S118" s="18"/>
      <c r="T118" s="880"/>
      <c r="U118" s="47"/>
      <c r="V118" s="47"/>
      <c r="W118" s="18"/>
      <c r="X118" s="47"/>
      <c r="Y118" s="18"/>
      <c r="Z118" s="18"/>
      <c r="AA118" s="264"/>
      <c r="AB118" s="566"/>
      <c r="AC118" s="559"/>
      <c r="AD118" s="559"/>
      <c r="AE118" s="559"/>
      <c r="AF118" s="559"/>
    </row>
    <row r="119" spans="1:32" s="510" customFormat="1" ht="15" x14ac:dyDescent="0.25">
      <c r="A119" s="45"/>
      <c r="B119" s="287"/>
      <c r="C119" s="62"/>
      <c r="D119" s="27"/>
      <c r="E119" s="15"/>
      <c r="F119" s="291"/>
      <c r="G119" s="45"/>
      <c r="H119" s="257"/>
      <c r="I119" s="79"/>
      <c r="J119" s="258"/>
      <c r="K119" s="80"/>
      <c r="L119" s="45"/>
      <c r="M119" s="88"/>
      <c r="N119" s="27"/>
      <c r="O119" s="50"/>
      <c r="P119" s="27"/>
      <c r="Q119" s="62"/>
      <c r="R119" s="260"/>
      <c r="S119" s="18"/>
      <c r="T119" s="880"/>
      <c r="U119" s="47"/>
      <c r="V119" s="47"/>
      <c r="W119" s="18"/>
      <c r="X119" s="47"/>
      <c r="Y119" s="18"/>
      <c r="Z119" s="18"/>
      <c r="AA119" s="264"/>
      <c r="AB119" s="566"/>
      <c r="AC119" s="559"/>
      <c r="AD119" s="559"/>
      <c r="AE119" s="559"/>
      <c r="AF119" s="559"/>
    </row>
    <row r="120" spans="1:32" s="510" customFormat="1" x14ac:dyDescent="0.2">
      <c r="A120" s="15"/>
      <c r="B120" s="21"/>
      <c r="C120" s="21"/>
      <c r="D120" s="15"/>
      <c r="E120" s="15"/>
      <c r="F120" s="15"/>
      <c r="G120" s="15"/>
      <c r="H120" s="22"/>
      <c r="I120" s="23"/>
      <c r="J120" s="24"/>
      <c r="K120" s="23"/>
      <c r="L120" s="15"/>
      <c r="M120" s="15"/>
      <c r="N120" s="15"/>
      <c r="O120" s="15"/>
      <c r="P120" s="22"/>
      <c r="Q120" s="25"/>
      <c r="R120" s="563"/>
      <c r="S120" s="23"/>
      <c r="T120" s="26"/>
      <c r="U120" s="24"/>
      <c r="V120" s="23"/>
      <c r="W120" s="23"/>
      <c r="X120" s="564"/>
      <c r="Y120" s="564"/>
      <c r="Z120" s="565"/>
      <c r="AA120" s="565"/>
      <c r="AB120" s="566"/>
      <c r="AC120" s="559"/>
      <c r="AD120" s="559"/>
      <c r="AE120" s="559"/>
      <c r="AF120" s="559"/>
    </row>
    <row r="121" spans="1:32" s="510" customFormat="1" x14ac:dyDescent="0.2">
      <c r="A121" s="15"/>
      <c r="B121" s="21"/>
      <c r="C121" s="21"/>
      <c r="D121" s="15"/>
      <c r="E121" s="15"/>
      <c r="F121" s="15"/>
      <c r="G121" s="15"/>
      <c r="H121" s="22"/>
      <c r="I121" s="23"/>
      <c r="J121" s="24"/>
      <c r="K121" s="23"/>
      <c r="L121" s="15"/>
      <c r="M121" s="15"/>
      <c r="N121" s="15"/>
      <c r="O121" s="15"/>
      <c r="P121" s="22"/>
      <c r="Q121" s="25"/>
      <c r="R121" s="563"/>
      <c r="S121" s="23"/>
      <c r="T121" s="26"/>
      <c r="U121" s="24"/>
      <c r="V121" s="23"/>
      <c r="W121" s="23"/>
      <c r="X121" s="564"/>
      <c r="Y121" s="564"/>
      <c r="Z121" s="565"/>
      <c r="AA121" s="565"/>
      <c r="AB121" s="566"/>
      <c r="AC121" s="559"/>
      <c r="AD121" s="559"/>
      <c r="AE121" s="559"/>
      <c r="AF121" s="559"/>
    </row>
    <row r="122" spans="1:32" s="510" customFormat="1" x14ac:dyDescent="0.2">
      <c r="A122" s="27"/>
      <c r="B122" s="28"/>
      <c r="C122" s="28"/>
      <c r="D122" s="27"/>
      <c r="E122" s="27"/>
      <c r="F122" s="27"/>
      <c r="G122" s="27"/>
      <c r="H122" s="29"/>
      <c r="I122" s="30"/>
      <c r="J122" s="31"/>
      <c r="K122" s="30"/>
      <c r="L122" s="27"/>
      <c r="M122" s="27"/>
      <c r="N122" s="27"/>
      <c r="O122" s="27"/>
      <c r="P122" s="27"/>
      <c r="Q122" s="32"/>
      <c r="R122" s="567"/>
      <c r="S122" s="30"/>
      <c r="T122" s="33"/>
      <c r="U122" s="31"/>
      <c r="V122" s="30"/>
      <c r="W122" s="30"/>
      <c r="X122" s="568"/>
      <c r="Y122" s="568"/>
      <c r="Z122" s="569"/>
      <c r="AA122" s="569"/>
      <c r="AB122" s="570"/>
      <c r="AC122" s="571"/>
      <c r="AD122" s="571"/>
      <c r="AE122" s="571"/>
      <c r="AF122" s="571"/>
    </row>
    <row r="123" spans="1:32" s="510" customFormat="1" x14ac:dyDescent="0.2">
      <c r="A123" s="270"/>
      <c r="B123" s="1128"/>
      <c r="C123" s="1128"/>
      <c r="D123" s="270"/>
      <c r="E123" s="270"/>
      <c r="F123" s="270"/>
      <c r="G123" s="270"/>
      <c r="H123" s="1460"/>
      <c r="I123" s="92"/>
      <c r="J123" s="2079"/>
      <c r="K123" s="92"/>
      <c r="L123" s="270"/>
      <c r="M123" s="270"/>
      <c r="N123" s="270"/>
      <c r="O123" s="270"/>
      <c r="P123" s="270"/>
      <c r="Q123" s="895"/>
      <c r="R123" s="2080"/>
      <c r="S123" s="92"/>
      <c r="T123" s="2081"/>
      <c r="U123" s="2079"/>
      <c r="V123" s="92"/>
      <c r="W123" s="92"/>
      <c r="X123" s="2082"/>
      <c r="Y123" s="2082"/>
      <c r="Z123" s="2083"/>
      <c r="AA123" s="2083"/>
      <c r="AB123" s="854"/>
      <c r="AC123" s="903"/>
      <c r="AD123" s="903"/>
      <c r="AE123" s="903"/>
      <c r="AF123" s="903"/>
    </row>
    <row r="124" spans="1:32" s="510" customFormat="1" ht="15" x14ac:dyDescent="0.25">
      <c r="A124" s="2027"/>
      <c r="B124" s="2027"/>
      <c r="C124" s="2027"/>
      <c r="D124" s="2027"/>
      <c r="E124" s="2027"/>
      <c r="F124" s="2027"/>
      <c r="G124" s="2027"/>
      <c r="H124" s="2028"/>
      <c r="I124" s="2029"/>
      <c r="J124" s="2030"/>
      <c r="K124" s="2029"/>
      <c r="L124" s="2029"/>
      <c r="M124" s="2029"/>
      <c r="N124" s="2029"/>
      <c r="O124" s="2029"/>
      <c r="P124" s="2029"/>
      <c r="Q124" s="2029"/>
      <c r="R124" s="2031"/>
      <c r="S124" s="2029"/>
      <c r="T124" s="2032"/>
      <c r="U124" s="2030"/>
      <c r="V124" s="2029"/>
      <c r="W124" s="2029"/>
      <c r="X124" s="2033"/>
      <c r="Y124" s="2033"/>
      <c r="Z124" s="2034"/>
      <c r="AA124" s="2034"/>
      <c r="AB124" s="2035">
        <f>SUM(AB107:AB123)</f>
        <v>953.19118400000002</v>
      </c>
      <c r="AC124" s="2036"/>
      <c r="AD124" s="2036"/>
      <c r="AE124" s="2036"/>
      <c r="AF124" s="2036"/>
    </row>
    <row r="125" spans="1:32" s="510" customFormat="1" ht="15.75" x14ac:dyDescent="0.25">
      <c r="A125" s="2820" t="s">
        <v>76</v>
      </c>
      <c r="B125" s="2820"/>
      <c r="C125" s="2821" t="s">
        <v>77</v>
      </c>
      <c r="D125" s="2821"/>
      <c r="E125" s="2821"/>
      <c r="F125" s="2821"/>
      <c r="G125" s="2821"/>
      <c r="H125" s="2821"/>
      <c r="I125" s="577" t="s">
        <v>78</v>
      </c>
      <c r="J125" s="577"/>
      <c r="K125" s="577"/>
      <c r="L125" s="577"/>
      <c r="M125" s="577"/>
      <c r="N125" s="577"/>
      <c r="AB125" s="578"/>
    </row>
    <row r="126" spans="1:32" s="510" customFormat="1" ht="15.75" x14ac:dyDescent="0.25">
      <c r="A126" s="739"/>
      <c r="B126" s="579"/>
      <c r="C126" s="577"/>
      <c r="D126" s="577"/>
      <c r="E126" s="577"/>
      <c r="F126" s="577"/>
      <c r="G126" s="577"/>
      <c r="H126" s="577"/>
      <c r="I126" s="577" t="s">
        <v>79</v>
      </c>
      <c r="J126" s="577"/>
      <c r="K126" s="577"/>
      <c r="L126" s="577"/>
      <c r="M126" s="577"/>
      <c r="N126" s="577"/>
      <c r="AB126" s="578"/>
    </row>
    <row r="127" spans="1:32" s="510" customFormat="1" ht="15.75" x14ac:dyDescent="0.25">
      <c r="A127" s="739"/>
      <c r="B127" s="579"/>
      <c r="C127" s="577"/>
      <c r="D127" s="577"/>
      <c r="E127" s="577"/>
      <c r="F127" s="577"/>
      <c r="G127" s="577"/>
      <c r="H127" s="577"/>
      <c r="I127" s="577" t="s">
        <v>80</v>
      </c>
      <c r="J127" s="577"/>
      <c r="K127" s="577"/>
      <c r="L127" s="577"/>
      <c r="M127" s="577"/>
      <c r="N127" s="577"/>
      <c r="AB127" s="578"/>
    </row>
    <row r="128" spans="1:32" s="510" customFormat="1" ht="15.75" x14ac:dyDescent="0.25">
      <c r="A128" s="739"/>
      <c r="B128" s="579"/>
      <c r="C128" s="577"/>
      <c r="D128" s="577"/>
      <c r="E128" s="577"/>
      <c r="F128" s="577"/>
      <c r="G128" s="577"/>
      <c r="H128" s="577"/>
      <c r="I128" s="577" t="s">
        <v>81</v>
      </c>
      <c r="J128" s="577"/>
      <c r="K128" s="577"/>
      <c r="L128" s="577"/>
      <c r="M128" s="577"/>
      <c r="N128" s="577"/>
      <c r="AB128" s="578"/>
    </row>
    <row r="129" spans="1:32" s="510" customFormat="1" ht="15.75" x14ac:dyDescent="0.25">
      <c r="A129" s="739"/>
      <c r="B129" s="579"/>
      <c r="C129" s="577"/>
      <c r="D129" s="577"/>
      <c r="E129" s="577"/>
      <c r="F129" s="577"/>
      <c r="G129" s="577"/>
      <c r="H129" s="577"/>
      <c r="I129" s="577" t="s">
        <v>88</v>
      </c>
      <c r="J129" s="577"/>
      <c r="K129" s="577"/>
      <c r="L129" s="577"/>
      <c r="M129" s="577"/>
      <c r="N129" s="577"/>
      <c r="AB129" s="578"/>
    </row>
    <row r="130" spans="1:32" s="510" customFormat="1" ht="18.75" x14ac:dyDescent="0.2">
      <c r="A130" s="735"/>
      <c r="B130" s="338"/>
      <c r="C130" s="338"/>
      <c r="D130" s="338"/>
      <c r="E130" s="338"/>
      <c r="F130" s="338"/>
      <c r="G130" s="338"/>
      <c r="H130" s="338"/>
      <c r="I130" s="338"/>
      <c r="J130" s="338"/>
      <c r="K130" s="338"/>
      <c r="L130" s="338"/>
      <c r="M130" s="338"/>
      <c r="N130" s="338"/>
      <c r="O130" s="338"/>
      <c r="P130" s="338"/>
      <c r="Q130" s="338"/>
      <c r="R130" s="338"/>
      <c r="S130" s="338"/>
      <c r="T130" s="338"/>
      <c r="U130" s="338"/>
      <c r="V130" s="338"/>
      <c r="W130" s="338"/>
      <c r="X130" s="338"/>
      <c r="Y130" s="338"/>
      <c r="Z130" s="338"/>
      <c r="AA130" s="2774" t="s">
        <v>0</v>
      </c>
      <c r="AB130" s="2774"/>
      <c r="AC130" s="338"/>
      <c r="AD130" s="338"/>
      <c r="AE130" s="338"/>
      <c r="AF130" s="338"/>
    </row>
    <row r="131" spans="1:32" s="510" customFormat="1" ht="18.75" x14ac:dyDescent="0.2">
      <c r="A131" s="2703" t="s">
        <v>1</v>
      </c>
      <c r="B131" s="2703"/>
      <c r="C131" s="2703"/>
      <c r="D131" s="2703"/>
      <c r="E131" s="2703"/>
      <c r="F131" s="2703"/>
      <c r="G131" s="2703"/>
      <c r="H131" s="2703"/>
      <c r="I131" s="2703"/>
      <c r="J131" s="2703"/>
      <c r="K131" s="2703"/>
      <c r="L131" s="2703"/>
      <c r="M131" s="2703"/>
      <c r="N131" s="2703"/>
      <c r="O131" s="2703"/>
      <c r="P131" s="2703"/>
      <c r="Q131" s="2703"/>
      <c r="R131" s="2703"/>
      <c r="S131" s="2703"/>
      <c r="T131" s="2703"/>
      <c r="U131" s="2703"/>
      <c r="V131" s="2703"/>
      <c r="W131" s="2703"/>
      <c r="X131" s="2703"/>
      <c r="Y131" s="2703"/>
      <c r="Z131" s="2703"/>
      <c r="AA131" s="2703"/>
      <c r="AB131" s="2703"/>
      <c r="AC131" s="344"/>
      <c r="AD131" s="344"/>
      <c r="AE131" s="344"/>
      <c r="AF131" s="344"/>
    </row>
    <row r="132" spans="1:32" s="510" customFormat="1" ht="21" x14ac:dyDescent="0.2">
      <c r="A132" s="2780" t="s">
        <v>537</v>
      </c>
      <c r="B132" s="2780"/>
      <c r="C132" s="2780"/>
      <c r="D132" s="2780"/>
      <c r="E132" s="2780"/>
      <c r="F132" s="2780"/>
      <c r="G132" s="2780"/>
      <c r="H132" s="2780"/>
      <c r="I132" s="2780"/>
      <c r="J132" s="2780"/>
      <c r="K132" s="2780"/>
      <c r="L132" s="2780"/>
      <c r="M132" s="2780"/>
      <c r="N132" s="2780"/>
      <c r="O132" s="2780"/>
      <c r="P132" s="2780"/>
      <c r="Q132" s="2780"/>
      <c r="R132" s="2780"/>
      <c r="S132" s="2780"/>
      <c r="T132" s="2780"/>
      <c r="U132" s="2780"/>
      <c r="V132" s="2780"/>
      <c r="W132" s="2780"/>
      <c r="X132" s="2780"/>
      <c r="Y132" s="2780"/>
      <c r="Z132" s="2780"/>
      <c r="AA132" s="2780"/>
      <c r="AB132" s="2780"/>
      <c r="AC132" s="345"/>
      <c r="AD132" s="345"/>
      <c r="AE132" s="345"/>
      <c r="AF132" s="345"/>
    </row>
    <row r="133" spans="1:32" s="510" customFormat="1" ht="15" x14ac:dyDescent="0.25">
      <c r="A133" s="2686" t="s">
        <v>2</v>
      </c>
      <c r="B133" s="511"/>
      <c r="C133" s="2686" t="s">
        <v>3</v>
      </c>
      <c r="D133" s="511"/>
      <c r="E133" s="511"/>
      <c r="F133" s="2693" t="s">
        <v>4</v>
      </c>
      <c r="G133" s="2693"/>
      <c r="H133" s="2693"/>
      <c r="I133" s="2694"/>
      <c r="J133" s="2694"/>
      <c r="K133" s="2695"/>
      <c r="L133" s="361"/>
      <c r="M133" s="2679" t="s">
        <v>5</v>
      </c>
      <c r="N133" s="2679"/>
      <c r="O133" s="2679"/>
      <c r="P133" s="2679"/>
      <c r="Q133" s="2696"/>
      <c r="R133" s="2696"/>
      <c r="S133" s="2696"/>
      <c r="T133" s="2696"/>
      <c r="U133" s="2696"/>
      <c r="V133" s="2697"/>
      <c r="W133" s="512" t="s">
        <v>6</v>
      </c>
      <c r="X133" s="513" t="s">
        <v>7</v>
      </c>
      <c r="Y133" s="514"/>
      <c r="Z133" s="514"/>
      <c r="AA133" s="513"/>
      <c r="AB133" s="515"/>
      <c r="AC133" s="516" t="s">
        <v>8</v>
      </c>
      <c r="AD133" s="346"/>
      <c r="AE133" s="346"/>
      <c r="AF133" s="517"/>
    </row>
    <row r="134" spans="1:32" s="510" customFormat="1" x14ac:dyDescent="0.2">
      <c r="A134" s="2687"/>
      <c r="B134" s="367"/>
      <c r="C134" s="2687"/>
      <c r="D134" s="518" t="s">
        <v>9</v>
      </c>
      <c r="E134" s="519" t="s">
        <v>10</v>
      </c>
      <c r="F134" s="2698" t="s">
        <v>11</v>
      </c>
      <c r="G134" s="2694"/>
      <c r="H134" s="2695"/>
      <c r="I134" s="511"/>
      <c r="J134" s="520" t="s">
        <v>12</v>
      </c>
      <c r="K134" s="511"/>
      <c r="L134" s="2679" t="s">
        <v>2</v>
      </c>
      <c r="M134" s="521"/>
      <c r="N134" s="521"/>
      <c r="O134" s="521"/>
      <c r="P134" s="522"/>
      <c r="Q134" s="523" t="s">
        <v>13</v>
      </c>
      <c r="R134" s="524" t="s">
        <v>12</v>
      </c>
      <c r="S134" s="521" t="s">
        <v>6</v>
      </c>
      <c r="T134" s="2682" t="s">
        <v>14</v>
      </c>
      <c r="U134" s="2683"/>
      <c r="V134" s="525" t="s">
        <v>7</v>
      </c>
      <c r="W134" s="526" t="s">
        <v>15</v>
      </c>
      <c r="X134" s="527" t="s">
        <v>16</v>
      </c>
      <c r="Y134" s="527" t="s">
        <v>17</v>
      </c>
      <c r="Z134" s="527" t="s">
        <v>18</v>
      </c>
      <c r="AA134" s="377"/>
      <c r="AB134" s="378" t="s">
        <v>19</v>
      </c>
      <c r="AC134" s="528" t="s">
        <v>20</v>
      </c>
      <c r="AD134" s="529"/>
      <c r="AE134" s="347" t="s">
        <v>21</v>
      </c>
      <c r="AF134" s="340" t="s">
        <v>22</v>
      </c>
    </row>
    <row r="135" spans="1:32" s="510" customFormat="1" x14ac:dyDescent="0.2">
      <c r="A135" s="2687"/>
      <c r="B135" s="2024" t="s">
        <v>23</v>
      </c>
      <c r="C135" s="2687"/>
      <c r="D135" s="518" t="s">
        <v>24</v>
      </c>
      <c r="E135" s="519" t="s">
        <v>25</v>
      </c>
      <c r="F135" s="2699"/>
      <c r="G135" s="2700"/>
      <c r="H135" s="2701"/>
      <c r="I135" s="518" t="s">
        <v>26</v>
      </c>
      <c r="J135" s="530" t="s">
        <v>15</v>
      </c>
      <c r="K135" s="531" t="s">
        <v>6</v>
      </c>
      <c r="L135" s="2680"/>
      <c r="M135" s="532" t="s">
        <v>27</v>
      </c>
      <c r="N135" s="532" t="s">
        <v>10</v>
      </c>
      <c r="O135" s="533" t="s">
        <v>10</v>
      </c>
      <c r="P135" s="534" t="s">
        <v>28</v>
      </c>
      <c r="Q135" s="535" t="s">
        <v>29</v>
      </c>
      <c r="R135" s="534" t="s">
        <v>15</v>
      </c>
      <c r="S135" s="385" t="s">
        <v>15</v>
      </c>
      <c r="T135" s="2684"/>
      <c r="U135" s="2685"/>
      <c r="V135" s="525" t="s">
        <v>30</v>
      </c>
      <c r="W135" s="526" t="s">
        <v>31</v>
      </c>
      <c r="X135" s="527" t="s">
        <v>30</v>
      </c>
      <c r="Y135" s="527" t="s">
        <v>32</v>
      </c>
      <c r="Z135" s="527" t="s">
        <v>7</v>
      </c>
      <c r="AA135" s="377" t="s">
        <v>33</v>
      </c>
      <c r="AB135" s="378" t="s">
        <v>34</v>
      </c>
      <c r="AC135" s="528" t="s">
        <v>35</v>
      </c>
      <c r="AD135" s="347" t="s">
        <v>36</v>
      </c>
      <c r="AE135" s="347" t="s">
        <v>37</v>
      </c>
      <c r="AF135" s="340" t="s">
        <v>38</v>
      </c>
    </row>
    <row r="136" spans="1:32" s="510" customFormat="1" x14ac:dyDescent="0.2">
      <c r="A136" s="2687"/>
      <c r="B136" s="2024" t="s">
        <v>39</v>
      </c>
      <c r="C136" s="2687"/>
      <c r="D136" s="518" t="s">
        <v>40</v>
      </c>
      <c r="E136" s="519" t="s">
        <v>41</v>
      </c>
      <c r="F136" s="2686" t="s">
        <v>42</v>
      </c>
      <c r="G136" s="2686" t="s">
        <v>43</v>
      </c>
      <c r="H136" s="2688" t="s">
        <v>44</v>
      </c>
      <c r="I136" s="518" t="s">
        <v>45</v>
      </c>
      <c r="J136" s="530" t="s">
        <v>46</v>
      </c>
      <c r="K136" s="531" t="s">
        <v>47</v>
      </c>
      <c r="L136" s="2680"/>
      <c r="M136" s="532" t="s">
        <v>30</v>
      </c>
      <c r="N136" s="532" t="s">
        <v>30</v>
      </c>
      <c r="O136" s="533" t="s">
        <v>25</v>
      </c>
      <c r="P136" s="534" t="s">
        <v>30</v>
      </c>
      <c r="Q136" s="535" t="s">
        <v>48</v>
      </c>
      <c r="R136" s="534" t="s">
        <v>49</v>
      </c>
      <c r="S136" s="385" t="s">
        <v>30</v>
      </c>
      <c r="T136" s="536" t="s">
        <v>50</v>
      </c>
      <c r="U136" s="537" t="s">
        <v>13</v>
      </c>
      <c r="V136" s="525" t="s">
        <v>51</v>
      </c>
      <c r="W136" s="526" t="s">
        <v>52</v>
      </c>
      <c r="X136" s="527" t="s">
        <v>53</v>
      </c>
      <c r="Y136" s="527" t="s">
        <v>54</v>
      </c>
      <c r="Z136" s="527" t="s">
        <v>55</v>
      </c>
      <c r="AA136" s="377" t="s">
        <v>56</v>
      </c>
      <c r="AB136" s="378" t="s">
        <v>57</v>
      </c>
      <c r="AC136" s="347" t="s">
        <v>58</v>
      </c>
      <c r="AD136" s="347" t="s">
        <v>59</v>
      </c>
      <c r="AE136" s="347" t="s">
        <v>59</v>
      </c>
      <c r="AF136" s="340" t="s">
        <v>60</v>
      </c>
    </row>
    <row r="137" spans="1:32" s="510" customFormat="1" ht="15" x14ac:dyDescent="0.25">
      <c r="A137" s="2687"/>
      <c r="B137" s="2024" t="s">
        <v>61</v>
      </c>
      <c r="C137" s="2687"/>
      <c r="D137" s="518" t="s">
        <v>62</v>
      </c>
      <c r="E137" s="519" t="s">
        <v>63</v>
      </c>
      <c r="F137" s="2687"/>
      <c r="G137" s="2687"/>
      <c r="H137" s="2689"/>
      <c r="I137" s="518" t="s">
        <v>64</v>
      </c>
      <c r="J137" s="530" t="s">
        <v>59</v>
      </c>
      <c r="K137" s="531" t="s">
        <v>59</v>
      </c>
      <c r="L137" s="2680"/>
      <c r="M137" s="532"/>
      <c r="N137" s="532"/>
      <c r="O137" s="533" t="s">
        <v>41</v>
      </c>
      <c r="P137" s="534" t="s">
        <v>65</v>
      </c>
      <c r="Q137" s="535" t="s">
        <v>66</v>
      </c>
      <c r="R137" s="534" t="s">
        <v>67</v>
      </c>
      <c r="S137" s="385" t="s">
        <v>59</v>
      </c>
      <c r="T137" s="538" t="s">
        <v>68</v>
      </c>
      <c r="U137" s="525" t="s">
        <v>14</v>
      </c>
      <c r="V137" s="525" t="s">
        <v>14</v>
      </c>
      <c r="W137" s="526" t="s">
        <v>30</v>
      </c>
      <c r="X137" s="539" t="s">
        <v>69</v>
      </c>
      <c r="Y137" s="539" t="s">
        <v>70</v>
      </c>
      <c r="Z137" s="527" t="s">
        <v>71</v>
      </c>
      <c r="AA137" s="377" t="s">
        <v>72</v>
      </c>
      <c r="AB137" s="540" t="s">
        <v>59</v>
      </c>
      <c r="AC137" s="347" t="s">
        <v>59</v>
      </c>
      <c r="AD137" s="347"/>
      <c r="AE137" s="347"/>
      <c r="AF137" s="340" t="s">
        <v>59</v>
      </c>
    </row>
    <row r="138" spans="1:32" s="510" customFormat="1" x14ac:dyDescent="0.2">
      <c r="A138" s="2692"/>
      <c r="B138" s="390"/>
      <c r="C138" s="2692"/>
      <c r="D138" s="541"/>
      <c r="E138" s="542"/>
      <c r="F138" s="390"/>
      <c r="G138" s="390"/>
      <c r="H138" s="391"/>
      <c r="I138" s="542"/>
      <c r="J138" s="543"/>
      <c r="K138" s="544"/>
      <c r="L138" s="2681"/>
      <c r="M138" s="545"/>
      <c r="N138" s="545"/>
      <c r="O138" s="545" t="s">
        <v>63</v>
      </c>
      <c r="P138" s="546"/>
      <c r="Q138" s="547" t="s">
        <v>72</v>
      </c>
      <c r="R138" s="548" t="s">
        <v>59</v>
      </c>
      <c r="S138" s="549"/>
      <c r="T138" s="548" t="s">
        <v>73</v>
      </c>
      <c r="U138" s="549" t="s">
        <v>59</v>
      </c>
      <c r="V138" s="550" t="s">
        <v>59</v>
      </c>
      <c r="W138" s="551" t="s">
        <v>59</v>
      </c>
      <c r="X138" s="552" t="s">
        <v>59</v>
      </c>
      <c r="Y138" s="552" t="s">
        <v>59</v>
      </c>
      <c r="Z138" s="552" t="s">
        <v>59</v>
      </c>
      <c r="AA138" s="402"/>
      <c r="AB138" s="403"/>
      <c r="AC138" s="348"/>
      <c r="AD138" s="348"/>
      <c r="AE138" s="348"/>
      <c r="AF138" s="341"/>
    </row>
    <row r="139" spans="1:32" s="510" customFormat="1" ht="15" x14ac:dyDescent="0.25">
      <c r="A139" s="45">
        <v>2</v>
      </c>
      <c r="B139" s="269">
        <v>38019</v>
      </c>
      <c r="C139" s="285" t="s">
        <v>246</v>
      </c>
      <c r="D139" s="27" t="s">
        <v>245</v>
      </c>
      <c r="E139" s="273">
        <v>5</v>
      </c>
      <c r="F139" s="268">
        <v>0</v>
      </c>
      <c r="G139" s="269">
        <v>3</v>
      </c>
      <c r="H139" s="266">
        <v>81.3</v>
      </c>
      <c r="I139" s="18">
        <f>F139*400+G139*100+H139</f>
        <v>381.3</v>
      </c>
      <c r="J139" s="23">
        <v>700</v>
      </c>
      <c r="K139" s="39">
        <f>SUM(I139*J139)</f>
        <v>266910</v>
      </c>
      <c r="L139" s="45"/>
      <c r="M139" s="61"/>
      <c r="N139" s="50"/>
      <c r="O139" s="50"/>
      <c r="P139" s="19"/>
      <c r="Q139" s="62"/>
      <c r="R139" s="260"/>
      <c r="S139" s="18"/>
      <c r="T139" s="20"/>
      <c r="U139" s="47"/>
      <c r="V139" s="47"/>
      <c r="W139" s="18"/>
      <c r="X139" s="47"/>
      <c r="Y139" s="18"/>
      <c r="Z139" s="18"/>
      <c r="AA139" s="264"/>
      <c r="AB139" s="566"/>
      <c r="AC139" s="559"/>
      <c r="AD139" s="559"/>
      <c r="AE139" s="559"/>
      <c r="AF139" s="559"/>
    </row>
    <row r="140" spans="1:32" s="510" customFormat="1" ht="15" x14ac:dyDescent="0.25">
      <c r="A140" s="45"/>
      <c r="B140" s="269"/>
      <c r="C140" s="285"/>
      <c r="D140" s="273"/>
      <c r="E140" s="273"/>
      <c r="F140" s="268"/>
      <c r="G140" s="269"/>
      <c r="H140" s="2430" t="e">
        <f>P140/P143*100</f>
        <v>#DIV/0!</v>
      </c>
      <c r="I140" s="2436">
        <v>316.16000000000003</v>
      </c>
      <c r="J140" s="23">
        <v>700</v>
      </c>
      <c r="K140" s="262">
        <f>I140*700</f>
        <v>221312.00000000003</v>
      </c>
      <c r="L140" s="45">
        <v>2</v>
      </c>
      <c r="M140" s="61">
        <v>103</v>
      </c>
      <c r="N140" s="50" t="s">
        <v>74</v>
      </c>
      <c r="O140" s="50">
        <v>2</v>
      </c>
      <c r="P140" s="19">
        <f>14.08*26.1</f>
        <v>367.488</v>
      </c>
      <c r="Q140" s="62" t="s">
        <v>75</v>
      </c>
      <c r="R140" s="260">
        <v>9050</v>
      </c>
      <c r="S140" s="18">
        <f>+P140*R140</f>
        <v>3325766.4</v>
      </c>
      <c r="T140" s="20">
        <v>29</v>
      </c>
      <c r="U140" s="47">
        <f>+S140*0.48</f>
        <v>1596367.872</v>
      </c>
      <c r="V140" s="47">
        <f>SUM(S140-U140)</f>
        <v>1729398.5279999999</v>
      </c>
      <c r="W140" s="18">
        <f t="shared" ref="W140:W142" si="16">K140+V140</f>
        <v>1950710.5279999999</v>
      </c>
      <c r="X140" s="47">
        <f>W140</f>
        <v>1950710.5279999999</v>
      </c>
      <c r="Y140" s="18" t="s">
        <v>125</v>
      </c>
      <c r="Z140" s="18">
        <v>0</v>
      </c>
      <c r="AA140" s="264">
        <v>0.02</v>
      </c>
      <c r="AB140" s="566">
        <f t="shared" ref="AB140:AB142" si="17">+Z140*AA140/100</f>
        <v>0</v>
      </c>
      <c r="AC140" s="559"/>
      <c r="AD140" s="559"/>
      <c r="AE140" s="559"/>
      <c r="AF140" s="559"/>
    </row>
    <row r="141" spans="1:32" s="510" customFormat="1" ht="15" x14ac:dyDescent="0.25">
      <c r="A141" s="45"/>
      <c r="B141" s="269"/>
      <c r="C141" s="285"/>
      <c r="D141" s="273"/>
      <c r="E141" s="273"/>
      <c r="F141" s="268"/>
      <c r="G141" s="269"/>
      <c r="H141" s="2430" t="e">
        <f>P141/P143*100</f>
        <v>#DIV/0!</v>
      </c>
      <c r="I141" s="18">
        <v>37.68</v>
      </c>
      <c r="J141" s="23">
        <v>700</v>
      </c>
      <c r="K141" s="262">
        <f t="shared" ref="K141:K142" si="18">I141*J141</f>
        <v>26376</v>
      </c>
      <c r="L141" s="269">
        <v>3</v>
      </c>
      <c r="M141" s="242">
        <v>401</v>
      </c>
      <c r="N141" s="269" t="s">
        <v>74</v>
      </c>
      <c r="O141" s="269">
        <v>2</v>
      </c>
      <c r="P141" s="266">
        <f>14.6*3</f>
        <v>43.8</v>
      </c>
      <c r="Q141" s="62" t="s">
        <v>75</v>
      </c>
      <c r="R141" s="260">
        <v>8000</v>
      </c>
      <c r="S141" s="18">
        <f>+P141*R141</f>
        <v>350400</v>
      </c>
      <c r="T141" s="20">
        <v>8</v>
      </c>
      <c r="U141" s="47">
        <f>+S141*0.08</f>
        <v>28032</v>
      </c>
      <c r="V141" s="47">
        <f>SUM(S141-U141)</f>
        <v>322368</v>
      </c>
      <c r="W141" s="18">
        <f t="shared" si="16"/>
        <v>348744</v>
      </c>
      <c r="X141" s="47">
        <f>W141</f>
        <v>348744</v>
      </c>
      <c r="Y141" s="18">
        <v>0</v>
      </c>
      <c r="Z141" s="18">
        <f>+X141</f>
        <v>348744</v>
      </c>
      <c r="AA141" s="264">
        <v>0.02</v>
      </c>
      <c r="AB141" s="566">
        <f t="shared" si="17"/>
        <v>69.748800000000003</v>
      </c>
      <c r="AC141" s="559"/>
      <c r="AD141" s="559"/>
      <c r="AE141" s="559"/>
      <c r="AF141" s="559"/>
    </row>
    <row r="142" spans="1:32" s="510" customFormat="1" ht="15" x14ac:dyDescent="0.25">
      <c r="A142" s="45"/>
      <c r="B142" s="269"/>
      <c r="C142" s="334"/>
      <c r="D142" s="270"/>
      <c r="E142" s="15"/>
      <c r="F142" s="27"/>
      <c r="G142" s="27"/>
      <c r="H142" s="2437" t="e">
        <f>P142/P143*100</f>
        <v>#DIV/0!</v>
      </c>
      <c r="I142" s="2435">
        <v>27.46</v>
      </c>
      <c r="J142" s="23">
        <v>700</v>
      </c>
      <c r="K142" s="262">
        <f t="shared" si="18"/>
        <v>19222</v>
      </c>
      <c r="L142" s="269">
        <v>4</v>
      </c>
      <c r="M142" s="242">
        <v>103</v>
      </c>
      <c r="N142" s="269" t="s">
        <v>74</v>
      </c>
      <c r="O142" s="269">
        <v>2</v>
      </c>
      <c r="P142" s="266">
        <f>5.15*6.2</f>
        <v>31.930000000000003</v>
      </c>
      <c r="Q142" s="285" t="s">
        <v>75</v>
      </c>
      <c r="R142" s="260">
        <v>9050</v>
      </c>
      <c r="S142" s="18">
        <f>+P142*R142</f>
        <v>288966.50000000006</v>
      </c>
      <c r="T142" s="20">
        <v>4</v>
      </c>
      <c r="U142" s="47">
        <f>+S142*0.04</f>
        <v>11558.660000000002</v>
      </c>
      <c r="V142" s="47">
        <f>SUM(S142-U142)</f>
        <v>277407.84000000008</v>
      </c>
      <c r="W142" s="18">
        <f t="shared" si="16"/>
        <v>296629.84000000008</v>
      </c>
      <c r="X142" s="47">
        <f>W142</f>
        <v>296629.84000000008</v>
      </c>
      <c r="Y142" s="18">
        <v>0</v>
      </c>
      <c r="Z142" s="18">
        <f>+X142</f>
        <v>296629.84000000008</v>
      </c>
      <c r="AA142" s="264">
        <v>0.02</v>
      </c>
      <c r="AB142" s="854">
        <f t="shared" si="17"/>
        <v>59.325968000000017</v>
      </c>
      <c r="AC142" s="559"/>
      <c r="AD142" s="559"/>
      <c r="AE142" s="559"/>
      <c r="AF142" s="559"/>
    </row>
    <row r="143" spans="1:32" s="510" customFormat="1" ht="15" x14ac:dyDescent="0.25">
      <c r="A143" s="45"/>
      <c r="B143" s="269"/>
      <c r="C143" s="285"/>
      <c r="D143" s="273"/>
      <c r="E143" s="273"/>
      <c r="F143" s="268"/>
      <c r="G143" s="269"/>
      <c r="H143" s="266"/>
      <c r="I143" s="18"/>
      <c r="J143" s="258"/>
      <c r="K143" s="39"/>
      <c r="L143" s="269"/>
      <c r="M143" s="2026"/>
      <c r="N143" s="15"/>
      <c r="O143" s="50"/>
      <c r="P143" s="266"/>
      <c r="Q143" s="62"/>
      <c r="R143" s="260"/>
      <c r="S143" s="18"/>
      <c r="T143" s="20"/>
      <c r="U143" s="47"/>
      <c r="V143" s="47"/>
      <c r="W143" s="18"/>
      <c r="X143" s="47"/>
      <c r="Y143" s="18"/>
      <c r="Z143" s="18"/>
      <c r="AA143" s="264"/>
      <c r="AB143" s="570"/>
      <c r="AC143" s="559"/>
      <c r="AD143" s="559"/>
      <c r="AE143" s="559"/>
      <c r="AF143" s="559"/>
    </row>
    <row r="144" spans="1:32" s="510" customFormat="1" ht="15" x14ac:dyDescent="0.25">
      <c r="A144" s="45"/>
      <c r="B144" s="269"/>
      <c r="C144" s="285"/>
      <c r="D144" s="273"/>
      <c r="E144" s="273"/>
      <c r="F144" s="268"/>
      <c r="G144" s="269"/>
      <c r="H144" s="266"/>
      <c r="I144" s="18"/>
      <c r="J144" s="258"/>
      <c r="K144" s="39"/>
      <c r="L144" s="269"/>
      <c r="M144" s="242"/>
      <c r="N144" s="269"/>
      <c r="O144" s="50"/>
      <c r="P144" s="266"/>
      <c r="Q144" s="62"/>
      <c r="R144" s="260"/>
      <c r="S144" s="18"/>
      <c r="T144" s="20"/>
      <c r="U144" s="47"/>
      <c r="V144" s="47"/>
      <c r="W144" s="18"/>
      <c r="X144" s="47"/>
      <c r="Y144" s="18"/>
      <c r="Z144" s="18"/>
      <c r="AA144" s="264"/>
      <c r="AB144" s="570"/>
      <c r="AC144" s="559"/>
      <c r="AD144" s="559"/>
      <c r="AE144" s="559"/>
      <c r="AF144" s="559"/>
    </row>
    <row r="145" spans="1:32" s="510" customFormat="1" ht="15" x14ac:dyDescent="0.25">
      <c r="A145" s="45"/>
      <c r="B145" s="269"/>
      <c r="C145" s="285"/>
      <c r="D145" s="273"/>
      <c r="E145" s="273"/>
      <c r="F145" s="268"/>
      <c r="G145" s="269"/>
      <c r="H145" s="266"/>
      <c r="I145" s="18"/>
      <c r="J145" s="258"/>
      <c r="K145" s="39"/>
      <c r="L145" s="269"/>
      <c r="M145" s="242"/>
      <c r="N145" s="269"/>
      <c r="O145" s="50"/>
      <c r="P145" s="266"/>
      <c r="Q145" s="62"/>
      <c r="R145" s="260"/>
      <c r="S145" s="18"/>
      <c r="T145" s="20"/>
      <c r="U145" s="47"/>
      <c r="V145" s="47"/>
      <c r="W145" s="18"/>
      <c r="X145" s="47"/>
      <c r="Y145" s="18"/>
      <c r="Z145" s="18"/>
      <c r="AA145" s="264"/>
      <c r="AB145" s="570"/>
      <c r="AC145" s="559"/>
      <c r="AD145" s="559"/>
      <c r="AE145" s="559"/>
      <c r="AF145" s="559"/>
    </row>
    <row r="146" spans="1:32" s="510" customFormat="1" ht="15" x14ac:dyDescent="0.25">
      <c r="A146" s="45"/>
      <c r="B146" s="269"/>
      <c r="C146" s="285"/>
      <c r="D146" s="273"/>
      <c r="E146" s="273"/>
      <c r="F146" s="268"/>
      <c r="G146" s="269"/>
      <c r="H146" s="266"/>
      <c r="I146" s="18"/>
      <c r="J146" s="258"/>
      <c r="K146" s="39"/>
      <c r="L146" s="269"/>
      <c r="M146" s="242"/>
      <c r="N146" s="269"/>
      <c r="O146" s="269"/>
      <c r="P146" s="266"/>
      <c r="Q146" s="285"/>
      <c r="R146" s="436"/>
      <c r="S146" s="282"/>
      <c r="T146" s="286"/>
      <c r="U146" s="282"/>
      <c r="V146" s="282"/>
      <c r="W146" s="282"/>
      <c r="X146" s="282"/>
      <c r="Y146" s="282"/>
      <c r="Z146" s="282"/>
      <c r="AA146" s="264"/>
      <c r="AB146" s="570"/>
      <c r="AC146" s="559"/>
      <c r="AD146" s="559"/>
      <c r="AE146" s="559"/>
      <c r="AF146" s="559"/>
    </row>
    <row r="147" spans="1:32" s="510" customFormat="1" x14ac:dyDescent="0.2">
      <c r="A147" s="15"/>
      <c r="B147" s="21"/>
      <c r="C147" s="21"/>
      <c r="D147" s="15"/>
      <c r="E147" s="15"/>
      <c r="F147" s="15"/>
      <c r="G147" s="15"/>
      <c r="H147" s="22"/>
      <c r="I147" s="23"/>
      <c r="J147" s="24"/>
      <c r="K147" s="23"/>
      <c r="L147" s="15"/>
      <c r="M147" s="15"/>
      <c r="N147" s="15"/>
      <c r="O147" s="15"/>
      <c r="P147" s="22"/>
      <c r="Q147" s="25"/>
      <c r="R147" s="563"/>
      <c r="S147" s="23"/>
      <c r="T147" s="26"/>
      <c r="U147" s="24"/>
      <c r="V147" s="23"/>
      <c r="W147" s="23"/>
      <c r="X147" s="564"/>
      <c r="Y147" s="564"/>
      <c r="Z147" s="565"/>
      <c r="AA147" s="565"/>
      <c r="AB147" s="566"/>
      <c r="AC147" s="559"/>
      <c r="AD147" s="559"/>
      <c r="AE147" s="559"/>
      <c r="AF147" s="559"/>
    </row>
    <row r="148" spans="1:32" s="510" customFormat="1" x14ac:dyDescent="0.2">
      <c r="A148" s="15"/>
      <c r="B148" s="21"/>
      <c r="C148" s="21"/>
      <c r="D148" s="15"/>
      <c r="E148" s="15"/>
      <c r="F148" s="15"/>
      <c r="G148" s="15"/>
      <c r="H148" s="22"/>
      <c r="I148" s="23"/>
      <c r="J148" s="24"/>
      <c r="K148" s="23"/>
      <c r="L148" s="15"/>
      <c r="M148" s="15"/>
      <c r="N148" s="15"/>
      <c r="O148" s="15"/>
      <c r="P148" s="22"/>
      <c r="Q148" s="25"/>
      <c r="R148" s="563"/>
      <c r="S148" s="23"/>
      <c r="T148" s="26"/>
      <c r="U148" s="24"/>
      <c r="V148" s="23"/>
      <c r="W148" s="23"/>
      <c r="X148" s="564"/>
      <c r="Y148" s="564"/>
      <c r="Z148" s="565"/>
      <c r="AA148" s="565"/>
      <c r="AB148" s="566"/>
      <c r="AC148" s="559"/>
      <c r="AD148" s="559"/>
      <c r="AE148" s="559"/>
      <c r="AF148" s="559"/>
    </row>
    <row r="149" spans="1:32" s="510" customFormat="1" x14ac:dyDescent="0.2">
      <c r="A149" s="15"/>
      <c r="B149" s="21"/>
      <c r="C149" s="21"/>
      <c r="D149" s="15"/>
      <c r="E149" s="15"/>
      <c r="F149" s="15"/>
      <c r="G149" s="15"/>
      <c r="H149" s="22"/>
      <c r="I149" s="23"/>
      <c r="J149" s="24"/>
      <c r="K149" s="23"/>
      <c r="L149" s="15"/>
      <c r="M149" s="15"/>
      <c r="N149" s="15"/>
      <c r="O149" s="15"/>
      <c r="P149" s="22"/>
      <c r="Q149" s="25"/>
      <c r="R149" s="563"/>
      <c r="S149" s="23"/>
      <c r="T149" s="26"/>
      <c r="U149" s="24"/>
      <c r="V149" s="23"/>
      <c r="W149" s="23"/>
      <c r="X149" s="564"/>
      <c r="Y149" s="564"/>
      <c r="Z149" s="565"/>
      <c r="AA149" s="565"/>
      <c r="AB149" s="566"/>
      <c r="AC149" s="559"/>
      <c r="AD149" s="559"/>
      <c r="AE149" s="559"/>
      <c r="AF149" s="559"/>
    </row>
    <row r="150" spans="1:32" s="510" customFormat="1" x14ac:dyDescent="0.2">
      <c r="A150" s="15"/>
      <c r="B150" s="21"/>
      <c r="C150" s="21"/>
      <c r="D150" s="15"/>
      <c r="E150" s="15"/>
      <c r="F150" s="15"/>
      <c r="G150" s="15"/>
      <c r="H150" s="22"/>
      <c r="I150" s="23"/>
      <c r="J150" s="24"/>
      <c r="K150" s="23"/>
      <c r="L150" s="15"/>
      <c r="M150" s="15"/>
      <c r="N150" s="15"/>
      <c r="O150" s="15"/>
      <c r="P150" s="22"/>
      <c r="Q150" s="25"/>
      <c r="R150" s="563"/>
      <c r="S150" s="23"/>
      <c r="T150" s="26"/>
      <c r="U150" s="24"/>
      <c r="V150" s="23"/>
      <c r="W150" s="23"/>
      <c r="X150" s="564"/>
      <c r="Y150" s="564"/>
      <c r="Z150" s="565"/>
      <c r="AA150" s="565"/>
      <c r="AB150" s="566"/>
      <c r="AC150" s="559"/>
      <c r="AD150" s="559"/>
      <c r="AE150" s="559"/>
      <c r="AF150" s="559"/>
    </row>
    <row r="151" spans="1:32" s="510" customFormat="1" x14ac:dyDescent="0.2">
      <c r="A151" s="15"/>
      <c r="B151" s="21"/>
      <c r="C151" s="21"/>
      <c r="D151" s="15"/>
      <c r="E151" s="15"/>
      <c r="F151" s="15"/>
      <c r="G151" s="15"/>
      <c r="H151" s="22"/>
      <c r="I151" s="23"/>
      <c r="J151" s="24"/>
      <c r="K151" s="23"/>
      <c r="L151" s="15"/>
      <c r="M151" s="15"/>
      <c r="N151" s="15"/>
      <c r="O151" s="15"/>
      <c r="P151" s="22"/>
      <c r="Q151" s="25"/>
      <c r="R151" s="563"/>
      <c r="S151" s="23"/>
      <c r="T151" s="26"/>
      <c r="U151" s="24"/>
      <c r="V151" s="23"/>
      <c r="W151" s="23"/>
      <c r="X151" s="564"/>
      <c r="Y151" s="564"/>
      <c r="Z151" s="565"/>
      <c r="AA151" s="565"/>
      <c r="AB151" s="566"/>
      <c r="AC151" s="559"/>
      <c r="AD151" s="559"/>
      <c r="AE151" s="559"/>
      <c r="AF151" s="559"/>
    </row>
    <row r="152" spans="1:32" s="510" customFormat="1" x14ac:dyDescent="0.2">
      <c r="A152" s="15"/>
      <c r="B152" s="21"/>
      <c r="C152" s="21"/>
      <c r="D152" s="15"/>
      <c r="E152" s="15"/>
      <c r="F152" s="15"/>
      <c r="G152" s="15"/>
      <c r="H152" s="22"/>
      <c r="I152" s="23"/>
      <c r="J152" s="24"/>
      <c r="K152" s="23"/>
      <c r="L152" s="15"/>
      <c r="M152" s="15"/>
      <c r="N152" s="15"/>
      <c r="O152" s="15"/>
      <c r="P152" s="22"/>
      <c r="Q152" s="25"/>
      <c r="R152" s="563"/>
      <c r="S152" s="23"/>
      <c r="T152" s="26"/>
      <c r="U152" s="24"/>
      <c r="V152" s="23"/>
      <c r="W152" s="23"/>
      <c r="X152" s="564"/>
      <c r="Y152" s="564"/>
      <c r="Z152" s="565"/>
      <c r="AA152" s="565"/>
      <c r="AB152" s="566"/>
      <c r="AC152" s="559"/>
      <c r="AD152" s="559"/>
      <c r="AE152" s="559"/>
      <c r="AF152" s="559"/>
    </row>
    <row r="153" spans="1:32" s="510" customFormat="1" x14ac:dyDescent="0.2">
      <c r="A153" s="15"/>
      <c r="B153" s="21"/>
      <c r="C153" s="21"/>
      <c r="D153" s="15"/>
      <c r="E153" s="15"/>
      <c r="F153" s="15"/>
      <c r="G153" s="15"/>
      <c r="H153" s="22"/>
      <c r="I153" s="23"/>
      <c r="J153" s="24"/>
      <c r="K153" s="23"/>
      <c r="L153" s="15"/>
      <c r="M153" s="15"/>
      <c r="N153" s="15"/>
      <c r="O153" s="15"/>
      <c r="P153" s="22"/>
      <c r="Q153" s="25"/>
      <c r="R153" s="563"/>
      <c r="S153" s="23"/>
      <c r="T153" s="26"/>
      <c r="U153" s="24"/>
      <c r="V153" s="23"/>
      <c r="W153" s="23"/>
      <c r="X153" s="564"/>
      <c r="Y153" s="564"/>
      <c r="Z153" s="565"/>
      <c r="AA153" s="565"/>
      <c r="AB153" s="566"/>
      <c r="AC153" s="559"/>
      <c r="AD153" s="559"/>
      <c r="AE153" s="559"/>
      <c r="AF153" s="559"/>
    </row>
    <row r="154" spans="1:32" s="510" customFormat="1" x14ac:dyDescent="0.2">
      <c r="A154" s="15"/>
      <c r="B154" s="21"/>
      <c r="C154" s="21"/>
      <c r="D154" s="15"/>
      <c r="E154" s="15"/>
      <c r="F154" s="15"/>
      <c r="G154" s="15"/>
      <c r="H154" s="22"/>
      <c r="I154" s="23"/>
      <c r="J154" s="24"/>
      <c r="K154" s="23"/>
      <c r="L154" s="15"/>
      <c r="M154" s="15"/>
      <c r="N154" s="15"/>
      <c r="O154" s="15"/>
      <c r="P154" s="22"/>
      <c r="Q154" s="25"/>
      <c r="R154" s="563"/>
      <c r="S154" s="23"/>
      <c r="T154" s="26"/>
      <c r="U154" s="24"/>
      <c r="V154" s="23"/>
      <c r="W154" s="23"/>
      <c r="X154" s="564"/>
      <c r="Y154" s="564"/>
      <c r="Z154" s="565"/>
      <c r="AA154" s="565"/>
      <c r="AB154" s="566"/>
      <c r="AC154" s="559"/>
      <c r="AD154" s="559"/>
      <c r="AE154" s="559"/>
      <c r="AF154" s="559"/>
    </row>
    <row r="155" spans="1:32" s="510" customFormat="1" x14ac:dyDescent="0.2">
      <c r="A155" s="27"/>
      <c r="B155" s="28"/>
      <c r="C155" s="28"/>
      <c r="D155" s="27"/>
      <c r="E155" s="27"/>
      <c r="F155" s="27"/>
      <c r="G155" s="27"/>
      <c r="H155" s="29"/>
      <c r="I155" s="30"/>
      <c r="J155" s="31"/>
      <c r="K155" s="30"/>
      <c r="L155" s="27"/>
      <c r="M155" s="27"/>
      <c r="N155" s="27"/>
      <c r="O155" s="27"/>
      <c r="P155" s="27"/>
      <c r="Q155" s="32"/>
      <c r="R155" s="567"/>
      <c r="S155" s="30"/>
      <c r="T155" s="33"/>
      <c r="U155" s="31"/>
      <c r="V155" s="30"/>
      <c r="W155" s="30"/>
      <c r="X155" s="568"/>
      <c r="Y155" s="568"/>
      <c r="Z155" s="569"/>
      <c r="AA155" s="569"/>
      <c r="AB155" s="570"/>
      <c r="AC155" s="571"/>
      <c r="AD155" s="571"/>
      <c r="AE155" s="571"/>
      <c r="AF155" s="571"/>
    </row>
    <row r="156" spans="1:32" s="510" customFormat="1" ht="15" x14ac:dyDescent="0.25">
      <c r="A156" s="2027"/>
      <c r="B156" s="2027"/>
      <c r="C156" s="2027"/>
      <c r="D156" s="2027"/>
      <c r="E156" s="2027"/>
      <c r="F156" s="2027"/>
      <c r="G156" s="2027"/>
      <c r="H156" s="2028"/>
      <c r="I156" s="2029"/>
      <c r="J156" s="2030"/>
      <c r="K156" s="2029"/>
      <c r="L156" s="2029"/>
      <c r="M156" s="2029"/>
      <c r="N156" s="2029"/>
      <c r="O156" s="2029"/>
      <c r="P156" s="2029"/>
      <c r="Q156" s="2029"/>
      <c r="R156" s="2031"/>
      <c r="S156" s="2029"/>
      <c r="T156" s="2032"/>
      <c r="U156" s="2030"/>
      <c r="V156" s="2029"/>
      <c r="W156" s="2029"/>
      <c r="X156" s="2033"/>
      <c r="Y156" s="2033"/>
      <c r="Z156" s="2034"/>
      <c r="AA156" s="2034"/>
      <c r="AB156" s="2035">
        <f>SUM(AB139:AB155)</f>
        <v>129.07476800000001</v>
      </c>
      <c r="AC156" s="2036"/>
      <c r="AD156" s="2036"/>
      <c r="AE156" s="2036"/>
      <c r="AF156" s="2036"/>
    </row>
    <row r="157" spans="1:32" s="510" customFormat="1" ht="15.75" x14ac:dyDescent="0.25">
      <c r="A157" s="2820" t="s">
        <v>76</v>
      </c>
      <c r="B157" s="2820"/>
      <c r="C157" s="2821" t="s">
        <v>77</v>
      </c>
      <c r="D157" s="2821"/>
      <c r="E157" s="2821"/>
      <c r="F157" s="2821"/>
      <c r="G157" s="2821"/>
      <c r="H157" s="2821"/>
      <c r="I157" s="577" t="s">
        <v>78</v>
      </c>
      <c r="J157" s="577"/>
      <c r="K157" s="577"/>
      <c r="L157" s="577"/>
      <c r="M157" s="577"/>
      <c r="N157" s="577"/>
      <c r="AB157" s="578"/>
    </row>
    <row r="158" spans="1:32" s="510" customFormat="1" ht="15.75" x14ac:dyDescent="0.25">
      <c r="A158" s="739"/>
      <c r="B158" s="579"/>
      <c r="C158" s="577"/>
      <c r="D158" s="577"/>
      <c r="E158" s="577"/>
      <c r="F158" s="577"/>
      <c r="G158" s="577"/>
      <c r="H158" s="577"/>
      <c r="I158" s="577" t="s">
        <v>79</v>
      </c>
      <c r="J158" s="577"/>
      <c r="K158" s="577"/>
      <c r="L158" s="577"/>
      <c r="M158" s="577"/>
      <c r="N158" s="577"/>
      <c r="AB158" s="578"/>
    </row>
    <row r="159" spans="1:32" s="510" customFormat="1" ht="15.75" x14ac:dyDescent="0.25">
      <c r="A159" s="739"/>
      <c r="B159" s="579"/>
      <c r="C159" s="577"/>
      <c r="D159" s="577"/>
      <c r="E159" s="577"/>
      <c r="F159" s="577"/>
      <c r="G159" s="577"/>
      <c r="H159" s="577"/>
      <c r="I159" s="577" t="s">
        <v>80</v>
      </c>
      <c r="J159" s="577"/>
      <c r="K159" s="577"/>
      <c r="L159" s="577"/>
      <c r="M159" s="577"/>
      <c r="N159" s="577"/>
      <c r="AB159" s="578"/>
    </row>
    <row r="160" spans="1:32" s="510" customFormat="1" ht="15.75" x14ac:dyDescent="0.25">
      <c r="A160" s="739"/>
      <c r="B160" s="579"/>
      <c r="C160" s="577"/>
      <c r="D160" s="577"/>
      <c r="E160" s="577"/>
      <c r="F160" s="577"/>
      <c r="G160" s="577"/>
      <c r="H160" s="577"/>
      <c r="I160" s="577" t="s">
        <v>81</v>
      </c>
      <c r="J160" s="577"/>
      <c r="K160" s="577"/>
      <c r="L160" s="577"/>
      <c r="M160" s="577"/>
      <c r="N160" s="577"/>
      <c r="AB160" s="578"/>
    </row>
    <row r="161" spans="1:35" s="510" customFormat="1" ht="15.75" x14ac:dyDescent="0.25">
      <c r="A161" s="739"/>
      <c r="B161" s="579"/>
      <c r="C161" s="577"/>
      <c r="D161" s="577"/>
      <c r="E161" s="577"/>
      <c r="F161" s="577"/>
      <c r="G161" s="577"/>
      <c r="H161" s="577"/>
      <c r="I161" s="577" t="s">
        <v>88</v>
      </c>
      <c r="J161" s="577"/>
      <c r="K161" s="577"/>
      <c r="L161" s="577"/>
      <c r="M161" s="577"/>
      <c r="N161" s="577"/>
      <c r="AB161" s="578"/>
    </row>
    <row r="162" spans="1:35" s="510" customFormat="1" ht="18.75" x14ac:dyDescent="0.2">
      <c r="A162" s="735"/>
      <c r="B162" s="338"/>
      <c r="C162" s="338"/>
      <c r="D162" s="338"/>
      <c r="E162" s="338"/>
      <c r="F162" s="338"/>
      <c r="G162" s="338"/>
      <c r="H162" s="338"/>
      <c r="I162" s="338"/>
      <c r="J162" s="338"/>
      <c r="K162" s="338"/>
      <c r="L162" s="338"/>
      <c r="M162" s="338"/>
      <c r="N162" s="338"/>
      <c r="O162" s="338"/>
      <c r="P162" s="338"/>
      <c r="Q162" s="338"/>
      <c r="R162" s="338"/>
      <c r="S162" s="338"/>
      <c r="T162" s="338"/>
      <c r="U162" s="338"/>
      <c r="V162" s="338"/>
      <c r="W162" s="338"/>
      <c r="X162" s="338"/>
      <c r="Y162" s="338"/>
      <c r="Z162" s="338"/>
      <c r="AA162" s="2774" t="s">
        <v>0</v>
      </c>
      <c r="AB162" s="2774"/>
    </row>
    <row r="163" spans="1:35" s="510" customFormat="1" ht="18.75" x14ac:dyDescent="0.2">
      <c r="A163" s="2703" t="s">
        <v>1</v>
      </c>
      <c r="B163" s="2703"/>
      <c r="C163" s="2703"/>
      <c r="D163" s="2703"/>
      <c r="E163" s="2703"/>
      <c r="F163" s="2703"/>
      <c r="G163" s="2703"/>
      <c r="H163" s="2703"/>
      <c r="I163" s="2703"/>
      <c r="J163" s="2703"/>
      <c r="K163" s="2703"/>
      <c r="L163" s="2703"/>
      <c r="M163" s="2703"/>
      <c r="N163" s="2703"/>
      <c r="O163" s="2703"/>
      <c r="P163" s="2703"/>
      <c r="Q163" s="2703"/>
      <c r="R163" s="2703"/>
      <c r="S163" s="2703"/>
      <c r="T163" s="2703"/>
      <c r="U163" s="2703"/>
      <c r="V163" s="2703"/>
      <c r="W163" s="2703"/>
      <c r="X163" s="2703"/>
      <c r="Y163" s="2703"/>
      <c r="Z163" s="2703"/>
      <c r="AA163" s="2703"/>
      <c r="AB163" s="2703"/>
    </row>
    <row r="164" spans="1:35" s="510" customFormat="1" ht="21" x14ac:dyDescent="0.2">
      <c r="A164" s="2780" t="s">
        <v>538</v>
      </c>
      <c r="B164" s="2780"/>
      <c r="C164" s="2780"/>
      <c r="D164" s="2780"/>
      <c r="E164" s="2780"/>
      <c r="F164" s="2780"/>
      <c r="G164" s="2780"/>
      <c r="H164" s="2780"/>
      <c r="I164" s="2780"/>
      <c r="J164" s="2780"/>
      <c r="K164" s="2780"/>
      <c r="L164" s="2780"/>
      <c r="M164" s="2780"/>
      <c r="N164" s="2780"/>
      <c r="O164" s="2780"/>
      <c r="P164" s="2780"/>
      <c r="Q164" s="2780"/>
      <c r="R164" s="2780"/>
      <c r="S164" s="2780"/>
      <c r="T164" s="2780"/>
      <c r="U164" s="2780"/>
      <c r="V164" s="2780"/>
      <c r="W164" s="2780"/>
      <c r="X164" s="2780"/>
      <c r="Y164" s="2780"/>
      <c r="Z164" s="2780"/>
      <c r="AA164" s="2780"/>
      <c r="AB164" s="2780"/>
    </row>
    <row r="165" spans="1:35" s="510" customFormat="1" ht="15" x14ac:dyDescent="0.25">
      <c r="A165" s="2686" t="s">
        <v>2</v>
      </c>
      <c r="B165" s="511"/>
      <c r="C165" s="2686" t="s">
        <v>3</v>
      </c>
      <c r="D165" s="511"/>
      <c r="E165" s="511"/>
      <c r="F165" s="2693" t="s">
        <v>4</v>
      </c>
      <c r="G165" s="2693"/>
      <c r="H165" s="2693"/>
      <c r="I165" s="2694"/>
      <c r="J165" s="2694"/>
      <c r="K165" s="2695"/>
      <c r="L165" s="361"/>
      <c r="M165" s="2679" t="s">
        <v>5</v>
      </c>
      <c r="N165" s="2679"/>
      <c r="O165" s="2679"/>
      <c r="P165" s="2679"/>
      <c r="Q165" s="2696"/>
      <c r="R165" s="2696"/>
      <c r="S165" s="2696"/>
      <c r="T165" s="2696"/>
      <c r="U165" s="2696"/>
      <c r="V165" s="2697"/>
      <c r="W165" s="512" t="s">
        <v>6</v>
      </c>
      <c r="X165" s="513" t="s">
        <v>7</v>
      </c>
      <c r="Y165" s="514"/>
      <c r="Z165" s="514"/>
      <c r="AA165" s="513"/>
      <c r="AB165" s="515"/>
    </row>
    <row r="166" spans="1:35" s="510" customFormat="1" x14ac:dyDescent="0.2">
      <c r="A166" s="2687"/>
      <c r="B166" s="367"/>
      <c r="C166" s="2687"/>
      <c r="D166" s="518" t="s">
        <v>9</v>
      </c>
      <c r="E166" s="519" t="s">
        <v>10</v>
      </c>
      <c r="F166" s="2698" t="s">
        <v>11</v>
      </c>
      <c r="G166" s="2694"/>
      <c r="H166" s="2695"/>
      <c r="I166" s="511"/>
      <c r="J166" s="520" t="s">
        <v>12</v>
      </c>
      <c r="K166" s="511"/>
      <c r="L166" s="2679" t="s">
        <v>2</v>
      </c>
      <c r="M166" s="521"/>
      <c r="N166" s="521"/>
      <c r="O166" s="521"/>
      <c r="P166" s="522"/>
      <c r="Q166" s="523" t="s">
        <v>13</v>
      </c>
      <c r="R166" s="524" t="s">
        <v>12</v>
      </c>
      <c r="S166" s="521" t="s">
        <v>6</v>
      </c>
      <c r="T166" s="2682" t="s">
        <v>14</v>
      </c>
      <c r="U166" s="2683"/>
      <c r="V166" s="525" t="s">
        <v>7</v>
      </c>
      <c r="W166" s="526" t="s">
        <v>15</v>
      </c>
      <c r="X166" s="527" t="s">
        <v>16</v>
      </c>
      <c r="Y166" s="527" t="s">
        <v>17</v>
      </c>
      <c r="Z166" s="527" t="s">
        <v>18</v>
      </c>
      <c r="AA166" s="377"/>
      <c r="AB166" s="378" t="s">
        <v>19</v>
      </c>
    </row>
    <row r="167" spans="1:35" s="510" customFormat="1" x14ac:dyDescent="0.2">
      <c r="A167" s="2687"/>
      <c r="B167" s="2024" t="s">
        <v>23</v>
      </c>
      <c r="C167" s="2687"/>
      <c r="D167" s="518" t="s">
        <v>24</v>
      </c>
      <c r="E167" s="519" t="s">
        <v>25</v>
      </c>
      <c r="F167" s="2699"/>
      <c r="G167" s="2700"/>
      <c r="H167" s="2701"/>
      <c r="I167" s="518" t="s">
        <v>26</v>
      </c>
      <c r="J167" s="530" t="s">
        <v>15</v>
      </c>
      <c r="K167" s="531" t="s">
        <v>6</v>
      </c>
      <c r="L167" s="2680"/>
      <c r="M167" s="532" t="s">
        <v>27</v>
      </c>
      <c r="N167" s="532" t="s">
        <v>10</v>
      </c>
      <c r="O167" s="533" t="s">
        <v>10</v>
      </c>
      <c r="P167" s="534" t="s">
        <v>28</v>
      </c>
      <c r="Q167" s="535" t="s">
        <v>29</v>
      </c>
      <c r="R167" s="534" t="s">
        <v>15</v>
      </c>
      <c r="S167" s="385" t="s">
        <v>15</v>
      </c>
      <c r="T167" s="2684"/>
      <c r="U167" s="2685"/>
      <c r="V167" s="525" t="s">
        <v>30</v>
      </c>
      <c r="W167" s="526" t="s">
        <v>31</v>
      </c>
      <c r="X167" s="527" t="s">
        <v>30</v>
      </c>
      <c r="Y167" s="527" t="s">
        <v>32</v>
      </c>
      <c r="Z167" s="527" t="s">
        <v>7</v>
      </c>
      <c r="AA167" s="377" t="s">
        <v>33</v>
      </c>
      <c r="AB167" s="378" t="s">
        <v>34</v>
      </c>
    </row>
    <row r="168" spans="1:35" s="510" customFormat="1" x14ac:dyDescent="0.2">
      <c r="A168" s="2687"/>
      <c r="B168" s="2024" t="s">
        <v>39</v>
      </c>
      <c r="C168" s="2687"/>
      <c r="D168" s="518" t="s">
        <v>40</v>
      </c>
      <c r="E168" s="519" t="s">
        <v>41</v>
      </c>
      <c r="F168" s="2686" t="s">
        <v>42</v>
      </c>
      <c r="G168" s="2686" t="s">
        <v>43</v>
      </c>
      <c r="H168" s="2688" t="s">
        <v>44</v>
      </c>
      <c r="I168" s="518" t="s">
        <v>45</v>
      </c>
      <c r="J168" s="530" t="s">
        <v>46</v>
      </c>
      <c r="K168" s="531" t="s">
        <v>47</v>
      </c>
      <c r="L168" s="2680"/>
      <c r="M168" s="532" t="s">
        <v>30</v>
      </c>
      <c r="N168" s="532" t="s">
        <v>30</v>
      </c>
      <c r="O168" s="533" t="s">
        <v>25</v>
      </c>
      <c r="P168" s="534" t="s">
        <v>30</v>
      </c>
      <c r="Q168" s="535" t="s">
        <v>48</v>
      </c>
      <c r="R168" s="534" t="s">
        <v>49</v>
      </c>
      <c r="S168" s="385" t="s">
        <v>30</v>
      </c>
      <c r="T168" s="536" t="s">
        <v>50</v>
      </c>
      <c r="U168" s="537" t="s">
        <v>13</v>
      </c>
      <c r="V168" s="525" t="s">
        <v>51</v>
      </c>
      <c r="W168" s="526" t="s">
        <v>52</v>
      </c>
      <c r="X168" s="527" t="s">
        <v>53</v>
      </c>
      <c r="Y168" s="527" t="s">
        <v>54</v>
      </c>
      <c r="Z168" s="527" t="s">
        <v>55</v>
      </c>
      <c r="AA168" s="377" t="s">
        <v>56</v>
      </c>
      <c r="AB168" s="378" t="s">
        <v>57</v>
      </c>
    </row>
    <row r="169" spans="1:35" s="510" customFormat="1" ht="15" x14ac:dyDescent="0.25">
      <c r="A169" s="2687"/>
      <c r="B169" s="2024" t="s">
        <v>61</v>
      </c>
      <c r="C169" s="2687"/>
      <c r="D169" s="518" t="s">
        <v>62</v>
      </c>
      <c r="E169" s="519" t="s">
        <v>63</v>
      </c>
      <c r="F169" s="2687"/>
      <c r="G169" s="2687"/>
      <c r="H169" s="2689"/>
      <c r="I169" s="518" t="s">
        <v>64</v>
      </c>
      <c r="J169" s="530" t="s">
        <v>59</v>
      </c>
      <c r="K169" s="531" t="s">
        <v>59</v>
      </c>
      <c r="L169" s="2680"/>
      <c r="M169" s="532"/>
      <c r="N169" s="532"/>
      <c r="O169" s="533" t="s">
        <v>41</v>
      </c>
      <c r="P169" s="534" t="s">
        <v>65</v>
      </c>
      <c r="Q169" s="535" t="s">
        <v>66</v>
      </c>
      <c r="R169" s="534" t="s">
        <v>67</v>
      </c>
      <c r="S169" s="385" t="s">
        <v>59</v>
      </c>
      <c r="T169" s="538" t="s">
        <v>68</v>
      </c>
      <c r="U169" s="525" t="s">
        <v>14</v>
      </c>
      <c r="V169" s="525" t="s">
        <v>14</v>
      </c>
      <c r="W169" s="526" t="s">
        <v>30</v>
      </c>
      <c r="X169" s="539" t="s">
        <v>69</v>
      </c>
      <c r="Y169" s="539" t="s">
        <v>70</v>
      </c>
      <c r="Z169" s="527" t="s">
        <v>71</v>
      </c>
      <c r="AA169" s="377" t="s">
        <v>72</v>
      </c>
      <c r="AB169" s="540" t="s">
        <v>59</v>
      </c>
    </row>
    <row r="170" spans="1:35" s="510" customFormat="1" x14ac:dyDescent="0.2">
      <c r="A170" s="2692"/>
      <c r="B170" s="390"/>
      <c r="C170" s="2692"/>
      <c r="D170" s="541"/>
      <c r="E170" s="542"/>
      <c r="F170" s="390"/>
      <c r="G170" s="390"/>
      <c r="H170" s="391"/>
      <c r="I170" s="542"/>
      <c r="J170" s="543"/>
      <c r="K170" s="544"/>
      <c r="L170" s="2681"/>
      <c r="M170" s="545"/>
      <c r="N170" s="545"/>
      <c r="O170" s="545" t="s">
        <v>63</v>
      </c>
      <c r="P170" s="546"/>
      <c r="Q170" s="547" t="s">
        <v>72</v>
      </c>
      <c r="R170" s="548" t="s">
        <v>59</v>
      </c>
      <c r="S170" s="549"/>
      <c r="T170" s="548" t="s">
        <v>73</v>
      </c>
      <c r="U170" s="549" t="s">
        <v>59</v>
      </c>
      <c r="V170" s="550" t="s">
        <v>59</v>
      </c>
      <c r="W170" s="551" t="s">
        <v>59</v>
      </c>
      <c r="X170" s="552" t="s">
        <v>59</v>
      </c>
      <c r="Y170" s="552" t="s">
        <v>59</v>
      </c>
      <c r="Z170" s="552" t="s">
        <v>59</v>
      </c>
      <c r="AA170" s="402"/>
      <c r="AB170" s="403"/>
    </row>
    <row r="171" spans="1:35" s="510" customFormat="1" ht="15" x14ac:dyDescent="0.25">
      <c r="A171" s="16">
        <v>1</v>
      </c>
      <c r="B171" s="333">
        <v>1833</v>
      </c>
      <c r="C171" s="41">
        <v>596</v>
      </c>
      <c r="D171" s="41" t="s">
        <v>245</v>
      </c>
      <c r="E171" s="15">
        <v>1</v>
      </c>
      <c r="F171" s="41">
        <v>1</v>
      </c>
      <c r="G171" s="41">
        <v>0</v>
      </c>
      <c r="H171" s="267">
        <v>67</v>
      </c>
      <c r="I171" s="18">
        <f>F171*400+G171*100+H171</f>
        <v>467</v>
      </c>
      <c r="J171" s="23">
        <v>300</v>
      </c>
      <c r="K171" s="39">
        <f>SUM(I171*J171)</f>
        <v>140100</v>
      </c>
      <c r="L171" s="45"/>
      <c r="M171" s="61"/>
      <c r="N171" s="50"/>
      <c r="O171" s="50">
        <v>1</v>
      </c>
      <c r="P171" s="19"/>
      <c r="Q171" s="62"/>
      <c r="R171" s="1077"/>
      <c r="S171" s="79"/>
      <c r="T171" s="20"/>
      <c r="U171" s="47"/>
      <c r="V171" s="47"/>
      <c r="W171" s="18">
        <f t="shared" ref="W171:W178" si="19">K171+V171</f>
        <v>140100</v>
      </c>
      <c r="X171" s="47">
        <f>W171</f>
        <v>140100</v>
      </c>
      <c r="Y171" s="18" t="s">
        <v>87</v>
      </c>
      <c r="Z171" s="18">
        <v>0</v>
      </c>
      <c r="AA171" s="264">
        <v>0.01</v>
      </c>
      <c r="AB171" s="853">
        <f>+Z171*AA171/100</f>
        <v>0</v>
      </c>
    </row>
    <row r="172" spans="1:35" s="510" customFormat="1" ht="15" x14ac:dyDescent="0.25">
      <c r="A172" s="90">
        <v>2</v>
      </c>
      <c r="B172" s="255">
        <v>9007</v>
      </c>
      <c r="C172" s="334" t="s">
        <v>247</v>
      </c>
      <c r="D172" s="15" t="s">
        <v>245</v>
      </c>
      <c r="E172" s="287">
        <v>1</v>
      </c>
      <c r="F172" s="709">
        <v>5</v>
      </c>
      <c r="G172" s="255">
        <v>1</v>
      </c>
      <c r="H172" s="326">
        <v>75</v>
      </c>
      <c r="I172" s="18">
        <f>F172*400+G172*100+H172</f>
        <v>2175</v>
      </c>
      <c r="J172" s="23">
        <v>1300</v>
      </c>
      <c r="K172" s="39">
        <f>SUM(I172*J172)</f>
        <v>2827500</v>
      </c>
      <c r="L172" s="255"/>
      <c r="M172" s="241"/>
      <c r="N172" s="255"/>
      <c r="O172" s="255">
        <v>1</v>
      </c>
      <c r="P172" s="848"/>
      <c r="Q172" s="334"/>
      <c r="R172" s="1077"/>
      <c r="S172" s="79"/>
      <c r="T172" s="1298"/>
      <c r="U172" s="79"/>
      <c r="V172" s="18"/>
      <c r="W172" s="18">
        <f t="shared" si="19"/>
        <v>2827500</v>
      </c>
      <c r="X172" s="47">
        <f t="shared" ref="X172:X178" si="20">W172</f>
        <v>2827500</v>
      </c>
      <c r="Y172" s="18" t="s">
        <v>87</v>
      </c>
      <c r="Z172" s="18">
        <v>0</v>
      </c>
      <c r="AA172" s="264">
        <v>0.01</v>
      </c>
      <c r="AB172" s="570">
        <f t="shared" ref="AB172:AB178" si="21">+Z172*AA172/100</f>
        <v>0</v>
      </c>
    </row>
    <row r="173" spans="1:35" s="510" customFormat="1" ht="15" x14ac:dyDescent="0.25">
      <c r="A173" s="90">
        <v>3</v>
      </c>
      <c r="B173" s="255">
        <v>33070</v>
      </c>
      <c r="C173" s="334" t="s">
        <v>142</v>
      </c>
      <c r="D173" s="15" t="s">
        <v>245</v>
      </c>
      <c r="E173" s="287">
        <v>1</v>
      </c>
      <c r="F173" s="709">
        <v>1</v>
      </c>
      <c r="G173" s="287">
        <v>2</v>
      </c>
      <c r="H173" s="848">
        <v>2</v>
      </c>
      <c r="I173" s="18">
        <f>F173*400+G173*100+H173</f>
        <v>602</v>
      </c>
      <c r="J173" s="23">
        <v>1100</v>
      </c>
      <c r="K173" s="39">
        <f>SUM(I173*J173)</f>
        <v>662200</v>
      </c>
      <c r="L173" s="269"/>
      <c r="M173" s="242"/>
      <c r="N173" s="269"/>
      <c r="O173" s="269">
        <v>1</v>
      </c>
      <c r="P173" s="266"/>
      <c r="Q173" s="285"/>
      <c r="R173" s="436"/>
      <c r="S173" s="282"/>
      <c r="T173" s="286"/>
      <c r="U173" s="282"/>
      <c r="V173" s="282"/>
      <c r="W173" s="18">
        <f t="shared" si="19"/>
        <v>662200</v>
      </c>
      <c r="X173" s="47">
        <f t="shared" si="20"/>
        <v>662200</v>
      </c>
      <c r="Y173" s="18" t="s">
        <v>87</v>
      </c>
      <c r="Z173" s="18">
        <v>0</v>
      </c>
      <c r="AA173" s="264">
        <v>0.01</v>
      </c>
      <c r="AB173" s="1299">
        <f t="shared" si="21"/>
        <v>0</v>
      </c>
    </row>
    <row r="174" spans="1:35" s="510" customFormat="1" ht="15" x14ac:dyDescent="0.25">
      <c r="A174" s="1300">
        <v>4</v>
      </c>
      <c r="B174" s="255">
        <v>9800</v>
      </c>
      <c r="C174" s="334" t="s">
        <v>248</v>
      </c>
      <c r="D174" s="15" t="s">
        <v>245</v>
      </c>
      <c r="E174" s="287">
        <v>2</v>
      </c>
      <c r="F174" s="709">
        <v>0</v>
      </c>
      <c r="G174" s="287">
        <v>3</v>
      </c>
      <c r="H174" s="266">
        <v>81</v>
      </c>
      <c r="I174" s="18">
        <f t="shared" ref="I174:I176" si="22">F174*400+G174*100+H174</f>
        <v>381</v>
      </c>
      <c r="J174" s="23">
        <v>1700</v>
      </c>
      <c r="K174" s="39">
        <f t="shared" ref="K174:K176" si="23">SUM(I174*J174)</f>
        <v>647700</v>
      </c>
      <c r="L174" s="45">
        <v>1</v>
      </c>
      <c r="M174" s="75">
        <v>103</v>
      </c>
      <c r="N174" s="45" t="s">
        <v>74</v>
      </c>
      <c r="O174" s="45">
        <v>2</v>
      </c>
      <c r="P174" s="257">
        <v>88.94</v>
      </c>
      <c r="Q174" s="62" t="s">
        <v>75</v>
      </c>
      <c r="R174" s="283">
        <v>9050</v>
      </c>
      <c r="S174" s="47">
        <f>P174*R174</f>
        <v>804907</v>
      </c>
      <c r="T174" s="20">
        <v>13</v>
      </c>
      <c r="U174" s="47">
        <f>+S174*0.16</f>
        <v>128785.12000000001</v>
      </c>
      <c r="V174" s="47">
        <f>+S174-U174</f>
        <v>676121.88</v>
      </c>
      <c r="W174" s="18">
        <f t="shared" si="19"/>
        <v>1323821.8799999999</v>
      </c>
      <c r="X174" s="47">
        <f t="shared" si="20"/>
        <v>1323821.8799999999</v>
      </c>
      <c r="Y174" s="18" t="s">
        <v>87</v>
      </c>
      <c r="Z174" s="18">
        <v>0</v>
      </c>
      <c r="AA174" s="264">
        <v>0.02</v>
      </c>
      <c r="AB174" s="570">
        <f t="shared" si="21"/>
        <v>0</v>
      </c>
    </row>
    <row r="175" spans="1:35" s="510" customFormat="1" ht="15" x14ac:dyDescent="0.25">
      <c r="A175" s="50">
        <v>5</v>
      </c>
      <c r="B175" s="269">
        <v>46138</v>
      </c>
      <c r="C175" s="334" t="s">
        <v>277</v>
      </c>
      <c r="D175" s="15" t="s">
        <v>245</v>
      </c>
      <c r="E175" s="287">
        <v>2</v>
      </c>
      <c r="F175" s="709">
        <v>0</v>
      </c>
      <c r="G175" s="255">
        <v>0</v>
      </c>
      <c r="H175" s="266">
        <v>50</v>
      </c>
      <c r="I175" s="18">
        <f t="shared" si="22"/>
        <v>50</v>
      </c>
      <c r="J175" s="23">
        <v>300</v>
      </c>
      <c r="K175" s="39">
        <f t="shared" si="23"/>
        <v>15000</v>
      </c>
      <c r="L175" s="45">
        <v>1</v>
      </c>
      <c r="M175" s="75">
        <v>103</v>
      </c>
      <c r="N175" s="45" t="s">
        <v>74</v>
      </c>
      <c r="O175" s="45">
        <v>2</v>
      </c>
      <c r="P175" s="257">
        <v>86.52</v>
      </c>
      <c r="Q175" s="62" t="s">
        <v>75</v>
      </c>
      <c r="R175" s="283">
        <v>9050</v>
      </c>
      <c r="S175" s="47">
        <f>P175*R175</f>
        <v>783006</v>
      </c>
      <c r="T175" s="20">
        <v>4</v>
      </c>
      <c r="U175" s="47">
        <f>+S175*0.04</f>
        <v>31320.240000000002</v>
      </c>
      <c r="V175" s="47">
        <f t="shared" ref="V175:V178" si="24">+S175-U175</f>
        <v>751685.76</v>
      </c>
      <c r="W175" s="18">
        <f t="shared" si="19"/>
        <v>766685.76</v>
      </c>
      <c r="X175" s="47">
        <f t="shared" si="20"/>
        <v>766685.76</v>
      </c>
      <c r="Y175" s="18"/>
      <c r="Z175" s="18">
        <f t="shared" ref="Z175:Z178" si="25">+X175</f>
        <v>766685.76</v>
      </c>
      <c r="AA175" s="264">
        <v>0.02</v>
      </c>
      <c r="AB175" s="854">
        <f t="shared" si="21"/>
        <v>153.337152</v>
      </c>
    </row>
    <row r="176" spans="1:35" s="510" customFormat="1" ht="15" x14ac:dyDescent="0.25">
      <c r="A176" s="50">
        <v>6</v>
      </c>
      <c r="B176" s="269">
        <v>33073</v>
      </c>
      <c r="C176" s="334" t="s">
        <v>248</v>
      </c>
      <c r="D176" s="15" t="s">
        <v>245</v>
      </c>
      <c r="E176" s="273">
        <v>2</v>
      </c>
      <c r="F176" s="268">
        <v>0</v>
      </c>
      <c r="G176" s="269">
        <v>1</v>
      </c>
      <c r="H176" s="266">
        <v>72</v>
      </c>
      <c r="I176" s="18">
        <f t="shared" si="22"/>
        <v>172</v>
      </c>
      <c r="J176" s="23">
        <v>1700</v>
      </c>
      <c r="K176" s="39">
        <f t="shared" si="23"/>
        <v>292400</v>
      </c>
      <c r="L176" s="45">
        <v>1</v>
      </c>
      <c r="M176" s="75">
        <v>103</v>
      </c>
      <c r="N176" s="45" t="s">
        <v>74</v>
      </c>
      <c r="O176" s="45">
        <v>2</v>
      </c>
      <c r="P176" s="257">
        <v>79.03</v>
      </c>
      <c r="Q176" s="62" t="s">
        <v>75</v>
      </c>
      <c r="R176" s="283">
        <v>9050</v>
      </c>
      <c r="S176" s="47">
        <f t="shared" ref="S176:S178" si="26">P176*R176</f>
        <v>715221.5</v>
      </c>
      <c r="T176" s="20">
        <v>4</v>
      </c>
      <c r="U176" s="47">
        <f t="shared" ref="U176:U178" si="27">+S176*0.04</f>
        <v>28608.86</v>
      </c>
      <c r="V176" s="47">
        <f t="shared" si="24"/>
        <v>686612.64</v>
      </c>
      <c r="W176" s="18">
        <f t="shared" si="19"/>
        <v>979012.64</v>
      </c>
      <c r="X176" s="47">
        <f t="shared" si="20"/>
        <v>979012.64</v>
      </c>
      <c r="Y176" s="18"/>
      <c r="Z176" s="18">
        <f t="shared" si="25"/>
        <v>979012.64</v>
      </c>
      <c r="AA176" s="264">
        <v>0.02</v>
      </c>
      <c r="AB176" s="570">
        <f t="shared" si="21"/>
        <v>195.80252800000002</v>
      </c>
      <c r="AI176" s="578">
        <v>29.584945649999998</v>
      </c>
    </row>
    <row r="177" spans="1:35" s="510" customFormat="1" ht="15" x14ac:dyDescent="0.25">
      <c r="A177" s="50"/>
      <c r="B177" s="269"/>
      <c r="C177" s="334"/>
      <c r="D177" s="15"/>
      <c r="E177" s="273"/>
      <c r="F177" s="268"/>
      <c r="G177" s="269"/>
      <c r="H177" s="266"/>
      <c r="I177" s="18"/>
      <c r="J177" s="23"/>
      <c r="K177" s="39"/>
      <c r="L177" s="45">
        <v>2</v>
      </c>
      <c r="M177" s="75">
        <v>103</v>
      </c>
      <c r="N177" s="45" t="s">
        <v>74</v>
      </c>
      <c r="O177" s="45">
        <v>2</v>
      </c>
      <c r="P177" s="257">
        <v>89.55</v>
      </c>
      <c r="Q177" s="62" t="s">
        <v>75</v>
      </c>
      <c r="R177" s="283">
        <v>9050</v>
      </c>
      <c r="S177" s="47">
        <f t="shared" si="26"/>
        <v>810427.5</v>
      </c>
      <c r="T177" s="20">
        <v>4</v>
      </c>
      <c r="U177" s="47">
        <f t="shared" si="27"/>
        <v>32417.100000000002</v>
      </c>
      <c r="V177" s="47">
        <f t="shared" si="24"/>
        <v>778010.4</v>
      </c>
      <c r="W177" s="18">
        <f t="shared" si="19"/>
        <v>778010.4</v>
      </c>
      <c r="X177" s="47">
        <f t="shared" si="20"/>
        <v>778010.4</v>
      </c>
      <c r="Y177" s="18"/>
      <c r="Z177" s="18">
        <f t="shared" si="25"/>
        <v>778010.4</v>
      </c>
      <c r="AA177" s="264">
        <v>0.02</v>
      </c>
      <c r="AB177" s="570">
        <f t="shared" si="21"/>
        <v>155.60208</v>
      </c>
      <c r="AI177" s="578">
        <v>23.583440250000002</v>
      </c>
    </row>
    <row r="178" spans="1:35" s="510" customFormat="1" ht="15" x14ac:dyDescent="0.25">
      <c r="A178" s="50"/>
      <c r="B178" s="269"/>
      <c r="C178" s="285"/>
      <c r="D178" s="273"/>
      <c r="E178" s="273"/>
      <c r="F178" s="268"/>
      <c r="G178" s="269"/>
      <c r="H178" s="266"/>
      <c r="I178" s="18"/>
      <c r="J178" s="261"/>
      <c r="K178" s="262"/>
      <c r="L178" s="45">
        <v>3</v>
      </c>
      <c r="M178" s="75">
        <v>103</v>
      </c>
      <c r="N178" s="45" t="s">
        <v>74</v>
      </c>
      <c r="O178" s="45">
        <v>2</v>
      </c>
      <c r="P178" s="257">
        <v>54.57</v>
      </c>
      <c r="Q178" s="62" t="s">
        <v>75</v>
      </c>
      <c r="R178" s="283">
        <v>9050</v>
      </c>
      <c r="S178" s="47">
        <f t="shared" si="26"/>
        <v>493858.5</v>
      </c>
      <c r="T178" s="20">
        <v>4</v>
      </c>
      <c r="U178" s="47">
        <f t="shared" si="27"/>
        <v>19754.34</v>
      </c>
      <c r="V178" s="47">
        <f t="shared" si="24"/>
        <v>474104.16</v>
      </c>
      <c r="W178" s="18">
        <f t="shared" si="19"/>
        <v>474104.16</v>
      </c>
      <c r="X178" s="47">
        <f t="shared" si="20"/>
        <v>474104.16</v>
      </c>
      <c r="Y178" s="18"/>
      <c r="Z178" s="18">
        <f t="shared" si="25"/>
        <v>474104.16</v>
      </c>
      <c r="AA178" s="264">
        <v>0.02</v>
      </c>
      <c r="AB178" s="570">
        <f t="shared" si="21"/>
        <v>94.820831999999996</v>
      </c>
      <c r="AI178" s="578">
        <v>14.37128235</v>
      </c>
    </row>
    <row r="179" spans="1:35" s="510" customFormat="1" x14ac:dyDescent="0.2">
      <c r="A179" s="45"/>
      <c r="B179" s="15"/>
      <c r="C179" s="15"/>
      <c r="D179" s="15"/>
      <c r="E179" s="15"/>
      <c r="F179" s="15"/>
      <c r="G179" s="15"/>
      <c r="H179" s="284"/>
      <c r="I179" s="18"/>
      <c r="J179" s="23"/>
      <c r="K179" s="39"/>
      <c r="L179" s="45"/>
      <c r="M179" s="61"/>
      <c r="N179" s="50"/>
      <c r="O179" s="50"/>
      <c r="P179" s="19"/>
      <c r="Q179" s="62"/>
      <c r="R179" s="260"/>
      <c r="S179" s="18"/>
      <c r="T179" s="20"/>
      <c r="U179" s="47"/>
      <c r="V179" s="47"/>
      <c r="W179" s="18"/>
      <c r="X179" s="47"/>
      <c r="Y179" s="18"/>
      <c r="Z179" s="18"/>
      <c r="AA179" s="264"/>
      <c r="AB179" s="854"/>
      <c r="AI179" s="578">
        <f>SUM(AI176:AI178)</f>
        <v>67.539668250000005</v>
      </c>
    </row>
    <row r="180" spans="1:35" s="510" customFormat="1" x14ac:dyDescent="0.2">
      <c r="A180" s="45"/>
      <c r="B180" s="15"/>
      <c r="C180" s="15"/>
      <c r="D180" s="15"/>
      <c r="E180" s="15"/>
      <c r="F180" s="15"/>
      <c r="G180" s="15"/>
      <c r="H180" s="284"/>
      <c r="I180" s="18"/>
      <c r="J180" s="23"/>
      <c r="K180" s="39"/>
      <c r="L180" s="45"/>
      <c r="M180" s="61"/>
      <c r="N180" s="50"/>
      <c r="O180" s="50"/>
      <c r="P180" s="19"/>
      <c r="Q180" s="62"/>
      <c r="R180" s="260"/>
      <c r="S180" s="18"/>
      <c r="T180" s="20"/>
      <c r="U180" s="47"/>
      <c r="V180" s="47"/>
      <c r="W180" s="18"/>
      <c r="X180" s="47"/>
      <c r="Y180" s="18"/>
      <c r="Z180" s="18"/>
      <c r="AA180" s="264"/>
      <c r="AB180" s="570"/>
    </row>
    <row r="181" spans="1:35" s="510" customFormat="1" x14ac:dyDescent="0.2">
      <c r="A181" s="15"/>
      <c r="B181" s="21"/>
      <c r="C181" s="21"/>
      <c r="D181" s="15"/>
      <c r="E181" s="15"/>
      <c r="F181" s="15"/>
      <c r="G181" s="15"/>
      <c r="H181" s="22"/>
      <c r="I181" s="23"/>
      <c r="J181" s="24"/>
      <c r="K181" s="23"/>
      <c r="L181" s="15"/>
      <c r="M181" s="15"/>
      <c r="N181" s="15"/>
      <c r="O181" s="15"/>
      <c r="P181" s="22"/>
      <c r="Q181" s="25"/>
      <c r="R181" s="563"/>
      <c r="S181" s="23"/>
      <c r="T181" s="26"/>
      <c r="U181" s="24"/>
      <c r="V181" s="23"/>
      <c r="W181" s="23"/>
      <c r="X181" s="564"/>
      <c r="Y181" s="564"/>
      <c r="Z181" s="565"/>
      <c r="AA181" s="565"/>
      <c r="AB181" s="566"/>
    </row>
    <row r="182" spans="1:35" s="510" customFormat="1" x14ac:dyDescent="0.2">
      <c r="A182" s="15"/>
      <c r="B182" s="21"/>
      <c r="C182" s="21"/>
      <c r="D182" s="15"/>
      <c r="E182" s="15"/>
      <c r="F182" s="15"/>
      <c r="G182" s="15"/>
      <c r="H182" s="22"/>
      <c r="I182" s="23"/>
      <c r="J182" s="24"/>
      <c r="K182" s="23"/>
      <c r="L182" s="15"/>
      <c r="M182" s="15"/>
      <c r="N182" s="15"/>
      <c r="O182" s="15"/>
      <c r="P182" s="22"/>
      <c r="Q182" s="25"/>
      <c r="R182" s="563"/>
      <c r="S182" s="23"/>
      <c r="T182" s="26"/>
      <c r="U182" s="24"/>
      <c r="V182" s="23"/>
      <c r="W182" s="23"/>
      <c r="X182" s="564"/>
      <c r="Y182" s="564"/>
      <c r="Z182" s="565"/>
      <c r="AA182" s="565"/>
      <c r="AB182" s="566"/>
    </row>
    <row r="183" spans="1:35" s="510" customFormat="1" x14ac:dyDescent="0.2">
      <c r="A183" s="15"/>
      <c r="B183" s="21"/>
      <c r="C183" s="21"/>
      <c r="D183" s="15"/>
      <c r="E183" s="15"/>
      <c r="F183" s="15"/>
      <c r="G183" s="15"/>
      <c r="H183" s="22"/>
      <c r="I183" s="23"/>
      <c r="J183" s="24"/>
      <c r="K183" s="23"/>
      <c r="L183" s="15"/>
      <c r="M183" s="15"/>
      <c r="N183" s="15"/>
      <c r="O183" s="15"/>
      <c r="P183" s="22"/>
      <c r="Q183" s="25"/>
      <c r="R183" s="563"/>
      <c r="S183" s="23"/>
      <c r="T183" s="26"/>
      <c r="U183" s="24"/>
      <c r="V183" s="23"/>
      <c r="W183" s="23"/>
      <c r="X183" s="564"/>
      <c r="Y183" s="564"/>
      <c r="Z183" s="565"/>
      <c r="AA183" s="565"/>
      <c r="AB183" s="566"/>
    </row>
    <row r="184" spans="1:35" s="510" customFormat="1" x14ac:dyDescent="0.2">
      <c r="A184" s="15"/>
      <c r="B184" s="21"/>
      <c r="C184" s="21"/>
      <c r="D184" s="15"/>
      <c r="E184" s="15"/>
      <c r="F184" s="15"/>
      <c r="G184" s="15"/>
      <c r="H184" s="22"/>
      <c r="I184" s="23"/>
      <c r="J184" s="24"/>
      <c r="K184" s="23"/>
      <c r="L184" s="15"/>
      <c r="M184" s="15"/>
      <c r="N184" s="15"/>
      <c r="O184" s="15"/>
      <c r="P184" s="22"/>
      <c r="Q184" s="25"/>
      <c r="R184" s="563"/>
      <c r="S184" s="23"/>
      <c r="T184" s="26"/>
      <c r="U184" s="24"/>
      <c r="V184" s="23"/>
      <c r="W184" s="23"/>
      <c r="X184" s="564"/>
      <c r="Y184" s="564"/>
      <c r="Z184" s="565"/>
      <c r="AA184" s="565"/>
      <c r="AB184" s="566"/>
    </row>
    <row r="185" spans="1:35" s="510" customFormat="1" x14ac:dyDescent="0.2">
      <c r="A185" s="15"/>
      <c r="B185" s="21"/>
      <c r="C185" s="21"/>
      <c r="D185" s="15"/>
      <c r="E185" s="15"/>
      <c r="F185" s="15"/>
      <c r="G185" s="15"/>
      <c r="H185" s="22"/>
      <c r="I185" s="23"/>
      <c r="J185" s="24"/>
      <c r="K185" s="23"/>
      <c r="L185" s="15"/>
      <c r="M185" s="15"/>
      <c r="N185" s="15"/>
      <c r="O185" s="15"/>
      <c r="P185" s="22"/>
      <c r="Q185" s="25"/>
      <c r="R185" s="563"/>
      <c r="S185" s="23"/>
      <c r="T185" s="26"/>
      <c r="U185" s="24"/>
      <c r="V185" s="23"/>
      <c r="W185" s="23"/>
      <c r="X185" s="564"/>
      <c r="Y185" s="564"/>
      <c r="Z185" s="565"/>
      <c r="AA185" s="565"/>
      <c r="AB185" s="566"/>
    </row>
    <row r="186" spans="1:35" s="510" customFormat="1" x14ac:dyDescent="0.2">
      <c r="A186" s="27"/>
      <c r="B186" s="28"/>
      <c r="C186" s="28"/>
      <c r="D186" s="27"/>
      <c r="E186" s="27"/>
      <c r="F186" s="27"/>
      <c r="G186" s="27"/>
      <c r="H186" s="29"/>
      <c r="I186" s="30"/>
      <c r="J186" s="31"/>
      <c r="K186" s="30"/>
      <c r="L186" s="27"/>
      <c r="M186" s="27"/>
      <c r="N186" s="27"/>
      <c r="O186" s="27"/>
      <c r="P186" s="27"/>
      <c r="Q186" s="32"/>
      <c r="R186" s="567"/>
      <c r="S186" s="30"/>
      <c r="T186" s="33"/>
      <c r="U186" s="31"/>
      <c r="V186" s="30"/>
      <c r="W186" s="30"/>
      <c r="X186" s="568"/>
      <c r="Y186" s="568"/>
      <c r="Z186" s="569"/>
      <c r="AA186" s="569"/>
      <c r="AB186" s="570"/>
    </row>
    <row r="187" spans="1:35" s="510" customFormat="1" ht="15" x14ac:dyDescent="0.25">
      <c r="A187" s="2027"/>
      <c r="B187" s="2027"/>
      <c r="C187" s="2027"/>
      <c r="D187" s="2027"/>
      <c r="E187" s="2027"/>
      <c r="F187" s="2027"/>
      <c r="G187" s="2027"/>
      <c r="H187" s="2028"/>
      <c r="I187" s="2029"/>
      <c r="J187" s="2030"/>
      <c r="K187" s="2029"/>
      <c r="L187" s="2029"/>
      <c r="M187" s="2029"/>
      <c r="N187" s="2029"/>
      <c r="O187" s="2029"/>
      <c r="P187" s="2029"/>
      <c r="Q187" s="2029"/>
      <c r="R187" s="2031"/>
      <c r="S187" s="2029"/>
      <c r="T187" s="2032"/>
      <c r="U187" s="2030"/>
      <c r="V187" s="2029"/>
      <c r="W187" s="2029"/>
      <c r="X187" s="2033"/>
      <c r="Y187" s="2033"/>
      <c r="Z187" s="2034"/>
      <c r="AA187" s="2034"/>
      <c r="AB187" s="2035">
        <f>SUM(AB171:AB186)</f>
        <v>599.562592</v>
      </c>
    </row>
    <row r="188" spans="1:35" s="510" customFormat="1" ht="15.75" x14ac:dyDescent="0.25">
      <c r="A188" s="2820" t="s">
        <v>76</v>
      </c>
      <c r="B188" s="2820"/>
      <c r="C188" s="2821" t="s">
        <v>77</v>
      </c>
      <c r="D188" s="2821"/>
      <c r="E188" s="2821"/>
      <c r="F188" s="2821"/>
      <c r="G188" s="2821"/>
      <c r="H188" s="2821"/>
      <c r="I188" s="577" t="s">
        <v>78</v>
      </c>
      <c r="J188" s="577"/>
      <c r="K188" s="577"/>
      <c r="L188" s="577"/>
      <c r="M188" s="577"/>
      <c r="N188" s="577"/>
      <c r="AB188" s="578"/>
    </row>
    <row r="189" spans="1:35" s="510" customFormat="1" ht="15.75" x14ac:dyDescent="0.25">
      <c r="A189" s="739"/>
      <c r="B189" s="579"/>
      <c r="C189" s="577"/>
      <c r="D189" s="577"/>
      <c r="E189" s="577"/>
      <c r="F189" s="577"/>
      <c r="G189" s="577"/>
      <c r="H189" s="577"/>
      <c r="I189" s="577" t="s">
        <v>79</v>
      </c>
      <c r="J189" s="577"/>
      <c r="K189" s="577"/>
      <c r="L189" s="577"/>
      <c r="M189" s="577"/>
      <c r="N189" s="577"/>
      <c r="AB189" s="578"/>
    </row>
    <row r="190" spans="1:35" s="510" customFormat="1" ht="15.75" x14ac:dyDescent="0.25">
      <c r="A190" s="739"/>
      <c r="B190" s="579"/>
      <c r="C190" s="577"/>
      <c r="D190" s="577"/>
      <c r="E190" s="577"/>
      <c r="F190" s="577"/>
      <c r="G190" s="577"/>
      <c r="H190" s="577"/>
      <c r="I190" s="577" t="s">
        <v>80</v>
      </c>
      <c r="J190" s="577"/>
      <c r="K190" s="577"/>
      <c r="L190" s="577"/>
      <c r="M190" s="577"/>
      <c r="N190" s="577"/>
      <c r="AB190" s="578"/>
    </row>
    <row r="191" spans="1:35" s="510" customFormat="1" ht="15.75" x14ac:dyDescent="0.25">
      <c r="A191" s="739"/>
      <c r="B191" s="579"/>
      <c r="C191" s="577"/>
      <c r="D191" s="577"/>
      <c r="E191" s="577"/>
      <c r="F191" s="577"/>
      <c r="G191" s="577"/>
      <c r="H191" s="577"/>
      <c r="I191" s="577" t="s">
        <v>81</v>
      </c>
      <c r="J191" s="577"/>
      <c r="K191" s="577"/>
      <c r="L191" s="577"/>
      <c r="M191" s="577"/>
      <c r="N191" s="577"/>
      <c r="AB191" s="578"/>
    </row>
    <row r="192" spans="1:35" s="510" customFormat="1" ht="15.75" x14ac:dyDescent="0.25">
      <c r="A192" s="739"/>
      <c r="B192" s="579"/>
      <c r="C192" s="577"/>
      <c r="D192" s="577"/>
      <c r="E192" s="577"/>
      <c r="F192" s="577"/>
      <c r="G192" s="577"/>
      <c r="H192" s="577"/>
      <c r="I192" s="577" t="s">
        <v>88</v>
      </c>
      <c r="J192" s="577"/>
      <c r="K192" s="577"/>
      <c r="L192" s="577"/>
      <c r="M192" s="577"/>
      <c r="N192" s="577"/>
      <c r="AB192" s="578"/>
    </row>
    <row r="193" spans="1:32" s="510" customFormat="1" ht="18.75" x14ac:dyDescent="0.2">
      <c r="A193" s="735"/>
      <c r="B193" s="338"/>
      <c r="C193" s="338"/>
      <c r="D193" s="338"/>
      <c r="E193" s="338"/>
      <c r="F193" s="338"/>
      <c r="G193" s="338"/>
      <c r="H193" s="338"/>
      <c r="I193" s="338"/>
      <c r="J193" s="338"/>
      <c r="K193" s="338"/>
      <c r="L193" s="338"/>
      <c r="M193" s="338"/>
      <c r="N193" s="338"/>
      <c r="O193" s="338"/>
      <c r="P193" s="338"/>
      <c r="Q193" s="338"/>
      <c r="R193" s="338"/>
      <c r="S193" s="338"/>
      <c r="T193" s="338"/>
      <c r="U193" s="338"/>
      <c r="V193" s="338"/>
      <c r="W193" s="338"/>
      <c r="X193" s="338"/>
      <c r="Y193" s="338"/>
      <c r="Z193" s="338"/>
      <c r="AA193" s="2774" t="s">
        <v>0</v>
      </c>
      <c r="AB193" s="2774"/>
      <c r="AC193" s="338"/>
      <c r="AD193" s="338"/>
      <c r="AE193" s="338"/>
      <c r="AF193" s="338"/>
    </row>
    <row r="194" spans="1:32" s="510" customFormat="1" ht="18.75" x14ac:dyDescent="0.2">
      <c r="A194" s="2703" t="s">
        <v>1</v>
      </c>
      <c r="B194" s="2703"/>
      <c r="C194" s="2703"/>
      <c r="D194" s="2703"/>
      <c r="E194" s="2703"/>
      <c r="F194" s="2703"/>
      <c r="G194" s="2703"/>
      <c r="H194" s="2703"/>
      <c r="I194" s="2703"/>
      <c r="J194" s="2703"/>
      <c r="K194" s="2703"/>
      <c r="L194" s="2703"/>
      <c r="M194" s="2703"/>
      <c r="N194" s="2703"/>
      <c r="O194" s="2703"/>
      <c r="P194" s="2703"/>
      <c r="Q194" s="2703"/>
      <c r="R194" s="2703"/>
      <c r="S194" s="2703"/>
      <c r="T194" s="2703"/>
      <c r="U194" s="2703"/>
      <c r="V194" s="2703"/>
      <c r="W194" s="2703"/>
      <c r="X194" s="2703"/>
      <c r="Y194" s="2703"/>
      <c r="Z194" s="2703"/>
      <c r="AA194" s="2703"/>
      <c r="AB194" s="2703"/>
      <c r="AC194" s="344"/>
      <c r="AD194" s="344"/>
      <c r="AE194" s="344"/>
      <c r="AF194" s="344"/>
    </row>
    <row r="195" spans="1:32" s="510" customFormat="1" ht="21" x14ac:dyDescent="0.2">
      <c r="A195" s="2780" t="s">
        <v>539</v>
      </c>
      <c r="B195" s="2780"/>
      <c r="C195" s="2780"/>
      <c r="D195" s="2780"/>
      <c r="E195" s="2780"/>
      <c r="F195" s="2780"/>
      <c r="G195" s="2780"/>
      <c r="H195" s="2780"/>
      <c r="I195" s="2780"/>
      <c r="J195" s="2780"/>
      <c r="K195" s="2780"/>
      <c r="L195" s="2780"/>
      <c r="M195" s="2780"/>
      <c r="N195" s="2780"/>
      <c r="O195" s="2780"/>
      <c r="P195" s="2780"/>
      <c r="Q195" s="2780"/>
      <c r="R195" s="2780"/>
      <c r="S195" s="2780"/>
      <c r="T195" s="2780"/>
      <c r="U195" s="2780"/>
      <c r="V195" s="2780"/>
      <c r="W195" s="2780"/>
      <c r="X195" s="2780"/>
      <c r="Y195" s="2780"/>
      <c r="Z195" s="2780"/>
      <c r="AA195" s="2780"/>
      <c r="AB195" s="2780"/>
      <c r="AC195" s="345"/>
      <c r="AD195" s="345"/>
      <c r="AE195" s="345"/>
      <c r="AF195" s="345"/>
    </row>
    <row r="196" spans="1:32" s="510" customFormat="1" ht="15" x14ac:dyDescent="0.25">
      <c r="A196" s="2686" t="s">
        <v>2</v>
      </c>
      <c r="B196" s="511"/>
      <c r="C196" s="2686" t="s">
        <v>3</v>
      </c>
      <c r="D196" s="511"/>
      <c r="E196" s="511"/>
      <c r="F196" s="2693" t="s">
        <v>4</v>
      </c>
      <c r="G196" s="2693"/>
      <c r="H196" s="2693"/>
      <c r="I196" s="2694"/>
      <c r="J196" s="2694"/>
      <c r="K196" s="2695"/>
      <c r="L196" s="361"/>
      <c r="M196" s="2679" t="s">
        <v>5</v>
      </c>
      <c r="N196" s="2679"/>
      <c r="O196" s="2679"/>
      <c r="P196" s="2679"/>
      <c r="Q196" s="2696"/>
      <c r="R196" s="2696"/>
      <c r="S196" s="2696"/>
      <c r="T196" s="2696"/>
      <c r="U196" s="2696"/>
      <c r="V196" s="2697"/>
      <c r="W196" s="512" t="s">
        <v>6</v>
      </c>
      <c r="X196" s="513" t="s">
        <v>7</v>
      </c>
      <c r="Y196" s="514"/>
      <c r="Z196" s="514"/>
      <c r="AA196" s="513"/>
      <c r="AB196" s="515"/>
      <c r="AC196" s="516" t="s">
        <v>8</v>
      </c>
      <c r="AD196" s="346"/>
      <c r="AE196" s="346"/>
      <c r="AF196" s="517"/>
    </row>
    <row r="197" spans="1:32" s="510" customFormat="1" x14ac:dyDescent="0.2">
      <c r="A197" s="2687"/>
      <c r="B197" s="367"/>
      <c r="C197" s="2687"/>
      <c r="D197" s="518" t="s">
        <v>9</v>
      </c>
      <c r="E197" s="519" t="s">
        <v>10</v>
      </c>
      <c r="F197" s="2698" t="s">
        <v>11</v>
      </c>
      <c r="G197" s="2694"/>
      <c r="H197" s="2695"/>
      <c r="I197" s="511"/>
      <c r="J197" s="520" t="s">
        <v>12</v>
      </c>
      <c r="K197" s="511"/>
      <c r="L197" s="2679" t="s">
        <v>2</v>
      </c>
      <c r="M197" s="521"/>
      <c r="N197" s="521"/>
      <c r="O197" s="521"/>
      <c r="P197" s="522"/>
      <c r="Q197" s="523" t="s">
        <v>13</v>
      </c>
      <c r="R197" s="524" t="s">
        <v>12</v>
      </c>
      <c r="S197" s="521" t="s">
        <v>6</v>
      </c>
      <c r="T197" s="2682" t="s">
        <v>14</v>
      </c>
      <c r="U197" s="2683"/>
      <c r="V197" s="525" t="s">
        <v>7</v>
      </c>
      <c r="W197" s="526" t="s">
        <v>15</v>
      </c>
      <c r="X197" s="527" t="s">
        <v>16</v>
      </c>
      <c r="Y197" s="527" t="s">
        <v>17</v>
      </c>
      <c r="Z197" s="527" t="s">
        <v>18</v>
      </c>
      <c r="AA197" s="377"/>
      <c r="AB197" s="378" t="s">
        <v>19</v>
      </c>
      <c r="AC197" s="528" t="s">
        <v>20</v>
      </c>
      <c r="AD197" s="529"/>
      <c r="AE197" s="347" t="s">
        <v>21</v>
      </c>
      <c r="AF197" s="340" t="s">
        <v>22</v>
      </c>
    </row>
    <row r="198" spans="1:32" s="510" customFormat="1" x14ac:dyDescent="0.2">
      <c r="A198" s="2687"/>
      <c r="B198" s="2024" t="s">
        <v>23</v>
      </c>
      <c r="C198" s="2687"/>
      <c r="D198" s="518" t="s">
        <v>24</v>
      </c>
      <c r="E198" s="519" t="s">
        <v>25</v>
      </c>
      <c r="F198" s="2699"/>
      <c r="G198" s="2700"/>
      <c r="H198" s="2701"/>
      <c r="I198" s="518" t="s">
        <v>26</v>
      </c>
      <c r="J198" s="530" t="s">
        <v>15</v>
      </c>
      <c r="K198" s="531" t="s">
        <v>6</v>
      </c>
      <c r="L198" s="2680"/>
      <c r="M198" s="532" t="s">
        <v>27</v>
      </c>
      <c r="N198" s="532" t="s">
        <v>10</v>
      </c>
      <c r="O198" s="533" t="s">
        <v>10</v>
      </c>
      <c r="P198" s="534" t="s">
        <v>28</v>
      </c>
      <c r="Q198" s="535" t="s">
        <v>29</v>
      </c>
      <c r="R198" s="534" t="s">
        <v>15</v>
      </c>
      <c r="S198" s="385" t="s">
        <v>15</v>
      </c>
      <c r="T198" s="2684"/>
      <c r="U198" s="2685"/>
      <c r="V198" s="525" t="s">
        <v>30</v>
      </c>
      <c r="W198" s="526" t="s">
        <v>31</v>
      </c>
      <c r="X198" s="527" t="s">
        <v>30</v>
      </c>
      <c r="Y198" s="527" t="s">
        <v>32</v>
      </c>
      <c r="Z198" s="527" t="s">
        <v>7</v>
      </c>
      <c r="AA198" s="377" t="s">
        <v>33</v>
      </c>
      <c r="AB198" s="378" t="s">
        <v>34</v>
      </c>
      <c r="AC198" s="528" t="s">
        <v>35</v>
      </c>
      <c r="AD198" s="347" t="s">
        <v>36</v>
      </c>
      <c r="AE198" s="347" t="s">
        <v>37</v>
      </c>
      <c r="AF198" s="340" t="s">
        <v>38</v>
      </c>
    </row>
    <row r="199" spans="1:32" s="510" customFormat="1" x14ac:dyDescent="0.2">
      <c r="A199" s="2687"/>
      <c r="B199" s="2024" t="s">
        <v>39</v>
      </c>
      <c r="C199" s="2687"/>
      <c r="D199" s="518" t="s">
        <v>40</v>
      </c>
      <c r="E199" s="519" t="s">
        <v>41</v>
      </c>
      <c r="F199" s="2686" t="s">
        <v>42</v>
      </c>
      <c r="G199" s="2686" t="s">
        <v>43</v>
      </c>
      <c r="H199" s="2688" t="s">
        <v>44</v>
      </c>
      <c r="I199" s="518" t="s">
        <v>45</v>
      </c>
      <c r="J199" s="530" t="s">
        <v>46</v>
      </c>
      <c r="K199" s="531" t="s">
        <v>47</v>
      </c>
      <c r="L199" s="2680"/>
      <c r="M199" s="532" t="s">
        <v>30</v>
      </c>
      <c r="N199" s="532" t="s">
        <v>30</v>
      </c>
      <c r="O199" s="533" t="s">
        <v>25</v>
      </c>
      <c r="P199" s="534" t="s">
        <v>30</v>
      </c>
      <c r="Q199" s="535" t="s">
        <v>48</v>
      </c>
      <c r="R199" s="534" t="s">
        <v>49</v>
      </c>
      <c r="S199" s="385" t="s">
        <v>30</v>
      </c>
      <c r="T199" s="536" t="s">
        <v>50</v>
      </c>
      <c r="U199" s="537" t="s">
        <v>13</v>
      </c>
      <c r="V199" s="525" t="s">
        <v>51</v>
      </c>
      <c r="W199" s="526" t="s">
        <v>52</v>
      </c>
      <c r="X199" s="527" t="s">
        <v>53</v>
      </c>
      <c r="Y199" s="527" t="s">
        <v>54</v>
      </c>
      <c r="Z199" s="527" t="s">
        <v>55</v>
      </c>
      <c r="AA199" s="377" t="s">
        <v>56</v>
      </c>
      <c r="AB199" s="378" t="s">
        <v>57</v>
      </c>
      <c r="AC199" s="347" t="s">
        <v>58</v>
      </c>
      <c r="AD199" s="347" t="s">
        <v>59</v>
      </c>
      <c r="AE199" s="347" t="s">
        <v>59</v>
      </c>
      <c r="AF199" s="340" t="s">
        <v>60</v>
      </c>
    </row>
    <row r="200" spans="1:32" s="510" customFormat="1" ht="15" x14ac:dyDescent="0.25">
      <c r="A200" s="2687"/>
      <c r="B200" s="2024" t="s">
        <v>61</v>
      </c>
      <c r="C200" s="2687"/>
      <c r="D200" s="518" t="s">
        <v>62</v>
      </c>
      <c r="E200" s="519" t="s">
        <v>63</v>
      </c>
      <c r="F200" s="2687"/>
      <c r="G200" s="2687"/>
      <c r="H200" s="2689"/>
      <c r="I200" s="518" t="s">
        <v>64</v>
      </c>
      <c r="J200" s="530" t="s">
        <v>59</v>
      </c>
      <c r="K200" s="531" t="s">
        <v>59</v>
      </c>
      <c r="L200" s="2680"/>
      <c r="M200" s="532"/>
      <c r="N200" s="532"/>
      <c r="O200" s="533" t="s">
        <v>41</v>
      </c>
      <c r="P200" s="534" t="s">
        <v>65</v>
      </c>
      <c r="Q200" s="535" t="s">
        <v>66</v>
      </c>
      <c r="R200" s="534" t="s">
        <v>67</v>
      </c>
      <c r="S200" s="385" t="s">
        <v>59</v>
      </c>
      <c r="T200" s="538" t="s">
        <v>68</v>
      </c>
      <c r="U200" s="525" t="s">
        <v>14</v>
      </c>
      <c r="V200" s="525" t="s">
        <v>14</v>
      </c>
      <c r="W200" s="526" t="s">
        <v>30</v>
      </c>
      <c r="X200" s="539" t="s">
        <v>69</v>
      </c>
      <c r="Y200" s="539" t="s">
        <v>70</v>
      </c>
      <c r="Z200" s="527" t="s">
        <v>71</v>
      </c>
      <c r="AA200" s="377" t="s">
        <v>72</v>
      </c>
      <c r="AB200" s="540" t="s">
        <v>59</v>
      </c>
      <c r="AC200" s="347" t="s">
        <v>59</v>
      </c>
      <c r="AD200" s="347"/>
      <c r="AE200" s="347"/>
      <c r="AF200" s="340" t="s">
        <v>59</v>
      </c>
    </row>
    <row r="201" spans="1:32" s="510" customFormat="1" x14ac:dyDescent="0.2">
      <c r="A201" s="2692"/>
      <c r="B201" s="390"/>
      <c r="C201" s="2692"/>
      <c r="D201" s="541"/>
      <c r="E201" s="542"/>
      <c r="F201" s="390"/>
      <c r="G201" s="390"/>
      <c r="H201" s="391"/>
      <c r="I201" s="542"/>
      <c r="J201" s="543"/>
      <c r="K201" s="544"/>
      <c r="L201" s="2681"/>
      <c r="M201" s="545"/>
      <c r="N201" s="545"/>
      <c r="O201" s="545" t="s">
        <v>63</v>
      </c>
      <c r="P201" s="546"/>
      <c r="Q201" s="547" t="s">
        <v>72</v>
      </c>
      <c r="R201" s="548" t="s">
        <v>59</v>
      </c>
      <c r="S201" s="549"/>
      <c r="T201" s="548" t="s">
        <v>73</v>
      </c>
      <c r="U201" s="549" t="s">
        <v>59</v>
      </c>
      <c r="V201" s="550" t="s">
        <v>59</v>
      </c>
      <c r="W201" s="551" t="s">
        <v>59</v>
      </c>
      <c r="X201" s="552" t="s">
        <v>59</v>
      </c>
      <c r="Y201" s="552" t="s">
        <v>59</v>
      </c>
      <c r="Z201" s="552" t="s">
        <v>59</v>
      </c>
      <c r="AA201" s="402"/>
      <c r="AB201" s="403"/>
      <c r="AC201" s="348"/>
      <c r="AD201" s="348"/>
      <c r="AE201" s="348"/>
      <c r="AF201" s="341"/>
    </row>
    <row r="202" spans="1:32" s="510" customFormat="1" ht="15" x14ac:dyDescent="0.25">
      <c r="A202" s="16">
        <v>1</v>
      </c>
      <c r="B202" s="333">
        <v>38014</v>
      </c>
      <c r="C202" s="41">
        <v>1424</v>
      </c>
      <c r="D202" s="41" t="s">
        <v>245</v>
      </c>
      <c r="E202" s="15">
        <v>4</v>
      </c>
      <c r="F202" s="41">
        <v>0</v>
      </c>
      <c r="G202" s="41">
        <v>1</v>
      </c>
      <c r="H202" s="267">
        <v>0</v>
      </c>
      <c r="I202" s="18">
        <f>F202*400+G202*100+H202</f>
        <v>100</v>
      </c>
      <c r="J202" s="23">
        <v>1100</v>
      </c>
      <c r="K202" s="39">
        <f>SUM(I202*J202)</f>
        <v>110000</v>
      </c>
      <c r="L202" s="45"/>
      <c r="M202" s="61"/>
      <c r="N202" s="50"/>
      <c r="O202" s="50"/>
      <c r="P202" s="19"/>
      <c r="Q202" s="62"/>
      <c r="R202" s="260"/>
      <c r="S202" s="18"/>
      <c r="T202" s="20"/>
      <c r="U202" s="47">
        <f>S202*T202/100</f>
        <v>0</v>
      </c>
      <c r="V202" s="47">
        <f>SUM(S202-U202)</f>
        <v>0</v>
      </c>
      <c r="W202" s="18">
        <f>K202+V202</f>
        <v>110000</v>
      </c>
      <c r="X202" s="47">
        <f>W202</f>
        <v>110000</v>
      </c>
      <c r="Y202" s="18">
        <v>0</v>
      </c>
      <c r="Z202" s="18">
        <f>X202</f>
        <v>110000</v>
      </c>
      <c r="AA202" s="264">
        <v>0.3</v>
      </c>
      <c r="AB202" s="853">
        <f>+Z202*AA202/100</f>
        <v>330</v>
      </c>
      <c r="AC202" s="555"/>
      <c r="AD202" s="556">
        <f>AB202-AC202</f>
        <v>330</v>
      </c>
      <c r="AE202" s="556">
        <f>IF(AD202&lt;=0,0,AD202*25/100)</f>
        <v>82.5</v>
      </c>
      <c r="AF202" s="556">
        <f>IF(AC202+AE202&gt;AB202,AB202,AC202+AE202)</f>
        <v>82.5</v>
      </c>
    </row>
    <row r="203" spans="1:32" s="510" customFormat="1" ht="15" x14ac:dyDescent="0.25">
      <c r="A203" s="45">
        <v>2</v>
      </c>
      <c r="B203" s="287">
        <v>9799</v>
      </c>
      <c r="C203" s="15">
        <v>583</v>
      </c>
      <c r="D203" s="15" t="s">
        <v>245</v>
      </c>
      <c r="E203" s="27">
        <v>5</v>
      </c>
      <c r="F203" s="27">
        <v>0</v>
      </c>
      <c r="G203" s="27">
        <v>3</v>
      </c>
      <c r="H203" s="557">
        <v>97.3</v>
      </c>
      <c r="I203" s="18">
        <f>F203*400+G203*100+H203</f>
        <v>397.3</v>
      </c>
      <c r="J203" s="23">
        <v>1100</v>
      </c>
      <c r="K203" s="39">
        <f>SUM(I203*J203)</f>
        <v>437030</v>
      </c>
      <c r="L203" s="75"/>
      <c r="M203" s="61"/>
      <c r="N203" s="50"/>
      <c r="O203" s="50"/>
      <c r="P203" s="19"/>
      <c r="Q203" s="62"/>
      <c r="R203" s="260"/>
      <c r="S203" s="18"/>
      <c r="T203" s="20"/>
      <c r="U203" s="47"/>
      <c r="V203" s="47"/>
      <c r="W203" s="18"/>
      <c r="X203" s="47"/>
      <c r="Y203" s="293"/>
      <c r="Z203" s="18"/>
      <c r="AA203" s="264"/>
      <c r="AB203" s="570"/>
      <c r="AC203" s="555"/>
      <c r="AD203" s="556"/>
      <c r="AE203" s="556"/>
      <c r="AF203" s="556"/>
    </row>
    <row r="204" spans="1:32" s="510" customFormat="1" x14ac:dyDescent="0.2">
      <c r="A204" s="15"/>
      <c r="B204" s="45"/>
      <c r="C204" s="62"/>
      <c r="D204" s="27"/>
      <c r="E204" s="27"/>
      <c r="F204" s="291"/>
      <c r="G204" s="45"/>
      <c r="H204" s="257"/>
      <c r="I204" s="18">
        <f>397.3-13</f>
        <v>384.3</v>
      </c>
      <c r="J204" s="23">
        <v>1100</v>
      </c>
      <c r="K204" s="39">
        <f t="shared" ref="K204:K205" si="28">SUM(I204*J204)</f>
        <v>422730</v>
      </c>
      <c r="L204" s="75">
        <v>1</v>
      </c>
      <c r="M204" s="61">
        <v>103</v>
      </c>
      <c r="N204" s="50" t="s">
        <v>74</v>
      </c>
      <c r="O204" s="50">
        <v>5</v>
      </c>
      <c r="P204" s="19">
        <v>67.260000000000005</v>
      </c>
      <c r="Q204" s="62" t="s">
        <v>278</v>
      </c>
      <c r="R204" s="260">
        <v>9050</v>
      </c>
      <c r="S204" s="18">
        <f>+P204*R204</f>
        <v>608703</v>
      </c>
      <c r="T204" s="20">
        <v>31</v>
      </c>
      <c r="U204" s="47">
        <f>+S204*52/100</f>
        <v>316525.56</v>
      </c>
      <c r="V204" s="47">
        <f>+S204-U204</f>
        <v>292177.44</v>
      </c>
      <c r="W204" s="18">
        <f t="shared" ref="W204:W205" si="29">K204+V204</f>
        <v>714907.44</v>
      </c>
      <c r="X204" s="47">
        <f>W204</f>
        <v>714907.44</v>
      </c>
      <c r="Y204" s="293" t="s">
        <v>89</v>
      </c>
      <c r="Z204" s="18">
        <v>0</v>
      </c>
      <c r="AA204" s="264">
        <v>0.02</v>
      </c>
      <c r="AB204" s="570">
        <f t="shared" ref="AB204:AB205" si="30">+Z204*AA204/100</f>
        <v>0</v>
      </c>
      <c r="AC204" s="555"/>
      <c r="AD204" s="556"/>
      <c r="AE204" s="556"/>
      <c r="AF204" s="556"/>
    </row>
    <row r="205" spans="1:32" s="510" customFormat="1" x14ac:dyDescent="0.2">
      <c r="A205" s="15"/>
      <c r="B205" s="21"/>
      <c r="C205" s="21"/>
      <c r="D205" s="15"/>
      <c r="E205" s="15"/>
      <c r="F205" s="15"/>
      <c r="G205" s="15"/>
      <c r="H205" s="22"/>
      <c r="I205" s="23">
        <v>13</v>
      </c>
      <c r="J205" s="23">
        <v>1100</v>
      </c>
      <c r="K205" s="39">
        <f t="shared" si="28"/>
        <v>14300</v>
      </c>
      <c r="L205" s="75">
        <v>2</v>
      </c>
      <c r="M205" s="61">
        <v>103</v>
      </c>
      <c r="N205" s="50" t="s">
        <v>74</v>
      </c>
      <c r="O205" s="50">
        <v>5</v>
      </c>
      <c r="P205" s="19">
        <f>5*2.5</f>
        <v>12.5</v>
      </c>
      <c r="Q205" s="62" t="s">
        <v>279</v>
      </c>
      <c r="R205" s="260">
        <v>9050</v>
      </c>
      <c r="S205" s="18">
        <f>+P205*R205</f>
        <v>113125</v>
      </c>
      <c r="T205" s="20">
        <v>21</v>
      </c>
      <c r="U205" s="47">
        <f>+S205*32/100</f>
        <v>36200</v>
      </c>
      <c r="V205" s="47">
        <f>+S205-U205</f>
        <v>76925</v>
      </c>
      <c r="W205" s="18">
        <f t="shared" si="29"/>
        <v>91225</v>
      </c>
      <c r="X205" s="47">
        <f>W205</f>
        <v>91225</v>
      </c>
      <c r="Y205" s="18">
        <v>0</v>
      </c>
      <c r="Z205" s="18">
        <f>+X205</f>
        <v>91225</v>
      </c>
      <c r="AA205" s="264">
        <v>0.3</v>
      </c>
      <c r="AB205" s="570">
        <f t="shared" si="30"/>
        <v>273.67500000000001</v>
      </c>
      <c r="AC205" s="559"/>
      <c r="AD205" s="559"/>
      <c r="AE205" s="559"/>
      <c r="AF205" s="559"/>
    </row>
    <row r="206" spans="1:32" s="510" customFormat="1" x14ac:dyDescent="0.2">
      <c r="A206" s="15"/>
      <c r="B206" s="21"/>
      <c r="C206" s="21"/>
      <c r="D206" s="15"/>
      <c r="E206" s="15"/>
      <c r="F206" s="15"/>
      <c r="G206" s="15"/>
      <c r="H206" s="22"/>
      <c r="I206" s="23"/>
      <c r="J206" s="24"/>
      <c r="K206" s="23"/>
      <c r="L206" s="15"/>
      <c r="M206" s="15"/>
      <c r="N206" s="15"/>
      <c r="O206" s="15"/>
      <c r="P206" s="22"/>
      <c r="Q206" s="25"/>
      <c r="R206" s="563"/>
      <c r="S206" s="23"/>
      <c r="T206" s="26"/>
      <c r="U206" s="24"/>
      <c r="V206" s="23"/>
      <c r="W206" s="23"/>
      <c r="X206" s="564"/>
      <c r="Y206" s="564"/>
      <c r="Z206" s="565"/>
      <c r="AA206" s="1079"/>
      <c r="AB206" s="566"/>
      <c r="AC206" s="559"/>
      <c r="AD206" s="559"/>
      <c r="AE206" s="559"/>
      <c r="AF206" s="559"/>
    </row>
    <row r="207" spans="1:32" s="510" customFormat="1" x14ac:dyDescent="0.2">
      <c r="A207" s="15"/>
      <c r="B207" s="21"/>
      <c r="C207" s="21"/>
      <c r="D207" s="15"/>
      <c r="E207" s="15"/>
      <c r="F207" s="15"/>
      <c r="G207" s="15"/>
      <c r="H207" s="22"/>
      <c r="I207" s="23"/>
      <c r="J207" s="24"/>
      <c r="K207" s="23"/>
      <c r="L207" s="15"/>
      <c r="M207" s="15"/>
      <c r="N207" s="15"/>
      <c r="O207" s="15"/>
      <c r="P207" s="22"/>
      <c r="Q207" s="25"/>
      <c r="R207" s="563"/>
      <c r="S207" s="23"/>
      <c r="T207" s="26"/>
      <c r="U207" s="24"/>
      <c r="V207" s="23"/>
      <c r="W207" s="23"/>
      <c r="X207" s="564"/>
      <c r="Y207" s="564"/>
      <c r="Z207" s="565"/>
      <c r="AA207" s="1079"/>
      <c r="AB207" s="566"/>
      <c r="AC207" s="559"/>
      <c r="AD207" s="559"/>
      <c r="AE207" s="559"/>
      <c r="AF207" s="559"/>
    </row>
    <row r="208" spans="1:32" s="510" customFormat="1" x14ac:dyDescent="0.2">
      <c r="A208" s="15"/>
      <c r="B208" s="21"/>
      <c r="C208" s="21"/>
      <c r="D208" s="15"/>
      <c r="E208" s="15"/>
      <c r="F208" s="15"/>
      <c r="G208" s="15"/>
      <c r="H208" s="22"/>
      <c r="I208" s="23"/>
      <c r="J208" s="24"/>
      <c r="K208" s="23"/>
      <c r="L208" s="15"/>
      <c r="M208" s="15"/>
      <c r="N208" s="15"/>
      <c r="O208" s="15"/>
      <c r="P208" s="22"/>
      <c r="Q208" s="25"/>
      <c r="R208" s="563"/>
      <c r="S208" s="23"/>
      <c r="T208" s="26"/>
      <c r="U208" s="24"/>
      <c r="V208" s="23"/>
      <c r="W208" s="23"/>
      <c r="X208" s="564"/>
      <c r="Y208" s="564"/>
      <c r="Z208" s="565"/>
      <c r="AA208" s="565"/>
      <c r="AB208" s="566"/>
      <c r="AC208" s="559"/>
      <c r="AD208" s="559"/>
      <c r="AE208" s="559"/>
      <c r="AF208" s="559"/>
    </row>
    <row r="209" spans="1:32" s="510" customFormat="1" x14ac:dyDescent="0.2">
      <c r="A209" s="15"/>
      <c r="B209" s="21"/>
      <c r="C209" s="21"/>
      <c r="D209" s="15"/>
      <c r="E209" s="15"/>
      <c r="F209" s="15"/>
      <c r="G209" s="15"/>
      <c r="H209" s="22"/>
      <c r="I209" s="23"/>
      <c r="J209" s="24"/>
      <c r="K209" s="23"/>
      <c r="L209" s="15"/>
      <c r="M209" s="15"/>
      <c r="N209" s="15"/>
      <c r="O209" s="15"/>
      <c r="P209" s="22"/>
      <c r="Q209" s="25"/>
      <c r="R209" s="563"/>
      <c r="S209" s="23"/>
      <c r="T209" s="26"/>
      <c r="U209" s="24"/>
      <c r="V209" s="23"/>
      <c r="W209" s="23"/>
      <c r="X209" s="564"/>
      <c r="Y209" s="564"/>
      <c r="Z209" s="565"/>
      <c r="AA209" s="565"/>
      <c r="AB209" s="566"/>
      <c r="AC209" s="559"/>
      <c r="AD209" s="559"/>
      <c r="AE209" s="559"/>
      <c r="AF209" s="559"/>
    </row>
    <row r="210" spans="1:32" s="510" customFormat="1" x14ac:dyDescent="0.2">
      <c r="A210" s="15"/>
      <c r="B210" s="21"/>
      <c r="C210" s="21"/>
      <c r="D210" s="15"/>
      <c r="E210" s="15"/>
      <c r="F210" s="15"/>
      <c r="G210" s="15"/>
      <c r="H210" s="22"/>
      <c r="I210" s="23"/>
      <c r="J210" s="24"/>
      <c r="K210" s="23"/>
      <c r="L210" s="15"/>
      <c r="M210" s="15"/>
      <c r="N210" s="15"/>
      <c r="O210" s="15"/>
      <c r="P210" s="22"/>
      <c r="Q210" s="25"/>
      <c r="R210" s="563"/>
      <c r="S210" s="23"/>
      <c r="T210" s="26"/>
      <c r="U210" s="24"/>
      <c r="V210" s="23"/>
      <c r="W210" s="23"/>
      <c r="X210" s="564"/>
      <c r="Y210" s="564"/>
      <c r="Z210" s="565"/>
      <c r="AA210" s="565"/>
      <c r="AB210" s="566"/>
      <c r="AC210" s="559"/>
      <c r="AD210" s="559"/>
      <c r="AE210" s="559"/>
      <c r="AF210" s="559"/>
    </row>
    <row r="211" spans="1:32" s="510" customFormat="1" x14ac:dyDescent="0.2">
      <c r="A211" s="15"/>
      <c r="B211" s="21"/>
      <c r="C211" s="21"/>
      <c r="D211" s="15"/>
      <c r="E211" s="15"/>
      <c r="F211" s="15"/>
      <c r="G211" s="15"/>
      <c r="H211" s="22"/>
      <c r="I211" s="23"/>
      <c r="J211" s="24"/>
      <c r="K211" s="23"/>
      <c r="L211" s="15"/>
      <c r="M211" s="15"/>
      <c r="N211" s="15"/>
      <c r="O211" s="15"/>
      <c r="P211" s="22"/>
      <c r="Q211" s="25"/>
      <c r="R211" s="563"/>
      <c r="S211" s="23"/>
      <c r="T211" s="26"/>
      <c r="U211" s="24"/>
      <c r="V211" s="23"/>
      <c r="W211" s="23"/>
      <c r="X211" s="564"/>
      <c r="Y211" s="564"/>
      <c r="Z211" s="565"/>
      <c r="AA211" s="565"/>
      <c r="AB211" s="566"/>
      <c r="AC211" s="559"/>
      <c r="AD211" s="559"/>
      <c r="AE211" s="559"/>
      <c r="AF211" s="559"/>
    </row>
    <row r="212" spans="1:32" s="510" customFormat="1" x14ac:dyDescent="0.2">
      <c r="A212" s="15"/>
      <c r="B212" s="21"/>
      <c r="C212" s="21"/>
      <c r="D212" s="15"/>
      <c r="E212" s="15"/>
      <c r="F212" s="15"/>
      <c r="G212" s="15"/>
      <c r="H212" s="22"/>
      <c r="I212" s="23"/>
      <c r="J212" s="24"/>
      <c r="K212" s="23"/>
      <c r="L212" s="15"/>
      <c r="M212" s="15"/>
      <c r="N212" s="15"/>
      <c r="O212" s="15"/>
      <c r="P212" s="22"/>
      <c r="Q212" s="25"/>
      <c r="R212" s="563"/>
      <c r="S212" s="23"/>
      <c r="T212" s="26"/>
      <c r="U212" s="24"/>
      <c r="V212" s="23"/>
      <c r="W212" s="23"/>
      <c r="X212" s="564"/>
      <c r="Y212" s="564"/>
      <c r="Z212" s="565"/>
      <c r="AA212" s="565"/>
      <c r="AB212" s="566"/>
      <c r="AC212" s="559"/>
      <c r="AD212" s="559"/>
      <c r="AE212" s="559"/>
      <c r="AF212" s="559"/>
    </row>
    <row r="213" spans="1:32" s="510" customFormat="1" x14ac:dyDescent="0.2">
      <c r="A213" s="15"/>
      <c r="B213" s="21"/>
      <c r="C213" s="21"/>
      <c r="D213" s="15"/>
      <c r="E213" s="15"/>
      <c r="F213" s="15"/>
      <c r="G213" s="15"/>
      <c r="H213" s="22"/>
      <c r="I213" s="23"/>
      <c r="J213" s="24"/>
      <c r="K213" s="23"/>
      <c r="L213" s="15"/>
      <c r="M213" s="15"/>
      <c r="N213" s="15"/>
      <c r="O213" s="15"/>
      <c r="P213" s="22"/>
      <c r="Q213" s="25"/>
      <c r="R213" s="563"/>
      <c r="S213" s="23"/>
      <c r="T213" s="26"/>
      <c r="U213" s="24"/>
      <c r="V213" s="23"/>
      <c r="W213" s="23"/>
      <c r="X213" s="564"/>
      <c r="Y213" s="564"/>
      <c r="Z213" s="565"/>
      <c r="AA213" s="565"/>
      <c r="AB213" s="566"/>
      <c r="AC213" s="559"/>
      <c r="AD213" s="559"/>
      <c r="AE213" s="559"/>
      <c r="AF213" s="559"/>
    </row>
    <row r="214" spans="1:32" s="510" customFormat="1" x14ac:dyDescent="0.2">
      <c r="A214" s="15"/>
      <c r="B214" s="21"/>
      <c r="C214" s="21"/>
      <c r="D214" s="15"/>
      <c r="E214" s="15"/>
      <c r="F214" s="15"/>
      <c r="G214" s="15"/>
      <c r="H214" s="22"/>
      <c r="I214" s="23"/>
      <c r="J214" s="24"/>
      <c r="K214" s="23"/>
      <c r="L214" s="15"/>
      <c r="M214" s="15"/>
      <c r="N214" s="15"/>
      <c r="O214" s="15"/>
      <c r="P214" s="22"/>
      <c r="Q214" s="25"/>
      <c r="R214" s="563"/>
      <c r="S214" s="23"/>
      <c r="T214" s="26"/>
      <c r="U214" s="24"/>
      <c r="V214" s="23"/>
      <c r="W214" s="23"/>
      <c r="X214" s="564"/>
      <c r="Y214" s="564"/>
      <c r="Z214" s="565"/>
      <c r="AA214" s="565"/>
      <c r="AB214" s="566"/>
      <c r="AC214" s="559"/>
      <c r="AD214" s="559"/>
      <c r="AE214" s="559"/>
      <c r="AF214" s="559"/>
    </row>
    <row r="215" spans="1:32" s="510" customFormat="1" x14ac:dyDescent="0.2">
      <c r="A215" s="15"/>
      <c r="B215" s="21"/>
      <c r="C215" s="21"/>
      <c r="D215" s="15"/>
      <c r="E215" s="15"/>
      <c r="F215" s="15"/>
      <c r="G215" s="15"/>
      <c r="H215" s="22"/>
      <c r="I215" s="23"/>
      <c r="J215" s="24"/>
      <c r="K215" s="23"/>
      <c r="L215" s="15"/>
      <c r="M215" s="15"/>
      <c r="N215" s="15"/>
      <c r="O215" s="15"/>
      <c r="P215" s="22"/>
      <c r="Q215" s="25"/>
      <c r="R215" s="563"/>
      <c r="S215" s="23"/>
      <c r="T215" s="26"/>
      <c r="U215" s="24"/>
      <c r="V215" s="23"/>
      <c r="W215" s="23"/>
      <c r="X215" s="564"/>
      <c r="Y215" s="564"/>
      <c r="Z215" s="565"/>
      <c r="AA215" s="565"/>
      <c r="AB215" s="566"/>
      <c r="AC215" s="559"/>
      <c r="AD215" s="559"/>
      <c r="AE215" s="559"/>
      <c r="AF215" s="559"/>
    </row>
    <row r="216" spans="1:32" s="510" customFormat="1" x14ac:dyDescent="0.2">
      <c r="A216" s="15"/>
      <c r="B216" s="21"/>
      <c r="C216" s="21"/>
      <c r="D216" s="15"/>
      <c r="E216" s="15"/>
      <c r="F216" s="15"/>
      <c r="G216" s="15"/>
      <c r="H216" s="22"/>
      <c r="I216" s="23"/>
      <c r="J216" s="24"/>
      <c r="K216" s="23"/>
      <c r="L216" s="15"/>
      <c r="M216" s="15"/>
      <c r="N216" s="15"/>
      <c r="O216" s="15"/>
      <c r="P216" s="22"/>
      <c r="Q216" s="25"/>
      <c r="R216" s="563"/>
      <c r="S216" s="23"/>
      <c r="T216" s="26"/>
      <c r="U216" s="24"/>
      <c r="V216" s="23"/>
      <c r="W216" s="23"/>
      <c r="X216" s="564"/>
      <c r="Y216" s="564"/>
      <c r="Z216" s="565"/>
      <c r="AA216" s="565"/>
      <c r="AB216" s="566"/>
      <c r="AC216" s="559"/>
      <c r="AD216" s="559"/>
      <c r="AE216" s="559"/>
      <c r="AF216" s="559"/>
    </row>
    <row r="217" spans="1:32" s="510" customFormat="1" x14ac:dyDescent="0.2">
      <c r="A217" s="15"/>
      <c r="B217" s="21"/>
      <c r="C217" s="21"/>
      <c r="D217" s="15"/>
      <c r="E217" s="15"/>
      <c r="F217" s="15"/>
      <c r="G217" s="15"/>
      <c r="H217" s="22"/>
      <c r="I217" s="23"/>
      <c r="J217" s="24"/>
      <c r="K217" s="23"/>
      <c r="L217" s="15"/>
      <c r="M217" s="15"/>
      <c r="N217" s="15"/>
      <c r="O217" s="15"/>
      <c r="P217" s="22"/>
      <c r="Q217" s="25"/>
      <c r="R217" s="563"/>
      <c r="S217" s="23"/>
      <c r="T217" s="26"/>
      <c r="U217" s="24"/>
      <c r="V217" s="23"/>
      <c r="W217" s="23"/>
      <c r="X217" s="564"/>
      <c r="Y217" s="564"/>
      <c r="Z217" s="565"/>
      <c r="AA217" s="565"/>
      <c r="AB217" s="566"/>
      <c r="AC217" s="559"/>
      <c r="AD217" s="559"/>
      <c r="AE217" s="559"/>
      <c r="AF217" s="559"/>
    </row>
    <row r="218" spans="1:32" s="510" customFormat="1" x14ac:dyDescent="0.2">
      <c r="A218" s="27"/>
      <c r="B218" s="28"/>
      <c r="C218" s="28"/>
      <c r="D218" s="27"/>
      <c r="E218" s="27"/>
      <c r="F218" s="27"/>
      <c r="G218" s="27"/>
      <c r="H218" s="29"/>
      <c r="I218" s="30"/>
      <c r="J218" s="31"/>
      <c r="K218" s="30"/>
      <c r="L218" s="27"/>
      <c r="M218" s="27"/>
      <c r="N218" s="27"/>
      <c r="O218" s="27"/>
      <c r="P218" s="27"/>
      <c r="Q218" s="32"/>
      <c r="R218" s="567"/>
      <c r="S218" s="30"/>
      <c r="T218" s="33"/>
      <c r="U218" s="31"/>
      <c r="V218" s="30"/>
      <c r="W218" s="30"/>
      <c r="X218" s="568"/>
      <c r="Y218" s="568"/>
      <c r="Z218" s="569"/>
      <c r="AA218" s="569"/>
      <c r="AB218" s="570"/>
      <c r="AC218" s="571"/>
      <c r="AD218" s="571"/>
      <c r="AE218" s="571"/>
      <c r="AF218" s="571"/>
    </row>
    <row r="219" spans="1:32" s="510" customFormat="1" ht="15" x14ac:dyDescent="0.25">
      <c r="A219" s="2027"/>
      <c r="B219" s="2027"/>
      <c r="C219" s="2027"/>
      <c r="D219" s="2027"/>
      <c r="E219" s="2027"/>
      <c r="F219" s="2027"/>
      <c r="G219" s="2027"/>
      <c r="H219" s="2028"/>
      <c r="I219" s="2029"/>
      <c r="J219" s="2030"/>
      <c r="K219" s="2029"/>
      <c r="L219" s="2029"/>
      <c r="M219" s="2029"/>
      <c r="N219" s="2029"/>
      <c r="O219" s="2029"/>
      <c r="P219" s="2029"/>
      <c r="Q219" s="2029"/>
      <c r="R219" s="2031"/>
      <c r="S219" s="2029"/>
      <c r="T219" s="2032"/>
      <c r="U219" s="2030"/>
      <c r="V219" s="2029"/>
      <c r="W219" s="2029"/>
      <c r="X219" s="2033"/>
      <c r="Y219" s="2033"/>
      <c r="Z219" s="2034"/>
      <c r="AA219" s="2034"/>
      <c r="AB219" s="2035">
        <f>SUM(AB202:AB213)</f>
        <v>603.67499999999995</v>
      </c>
      <c r="AC219" s="2036"/>
      <c r="AD219" s="2036"/>
      <c r="AE219" s="2036"/>
      <c r="AF219" s="2036"/>
    </row>
    <row r="220" spans="1:32" s="510" customFormat="1" ht="15.75" x14ac:dyDescent="0.25">
      <c r="A220" s="2820" t="s">
        <v>76</v>
      </c>
      <c r="B220" s="2820"/>
      <c r="C220" s="2821" t="s">
        <v>77</v>
      </c>
      <c r="D220" s="2821"/>
      <c r="E220" s="2821"/>
      <c r="F220" s="2821"/>
      <c r="G220" s="2821"/>
      <c r="H220" s="2821"/>
      <c r="I220" s="577" t="s">
        <v>78</v>
      </c>
      <c r="J220" s="577"/>
      <c r="K220" s="577"/>
      <c r="L220" s="577"/>
      <c r="M220" s="577"/>
      <c r="N220" s="577"/>
      <c r="AB220" s="578"/>
    </row>
    <row r="221" spans="1:32" s="510" customFormat="1" ht="15.75" x14ac:dyDescent="0.25">
      <c r="A221" s="739"/>
      <c r="B221" s="579"/>
      <c r="C221" s="577"/>
      <c r="D221" s="577"/>
      <c r="E221" s="577"/>
      <c r="F221" s="577"/>
      <c r="G221" s="577"/>
      <c r="H221" s="577"/>
      <c r="I221" s="577" t="s">
        <v>79</v>
      </c>
      <c r="J221" s="577"/>
      <c r="K221" s="577"/>
      <c r="L221" s="577"/>
      <c r="M221" s="577"/>
      <c r="N221" s="577"/>
      <c r="AB221" s="578"/>
    </row>
    <row r="222" spans="1:32" s="510" customFormat="1" ht="15.75" x14ac:dyDescent="0.25">
      <c r="A222" s="739"/>
      <c r="B222" s="579"/>
      <c r="C222" s="577"/>
      <c r="D222" s="577"/>
      <c r="E222" s="577"/>
      <c r="F222" s="577"/>
      <c r="G222" s="577"/>
      <c r="H222" s="577"/>
      <c r="I222" s="577" t="s">
        <v>80</v>
      </c>
      <c r="J222" s="577"/>
      <c r="K222" s="577"/>
      <c r="L222" s="577"/>
      <c r="M222" s="577"/>
      <c r="N222" s="577"/>
      <c r="AB222" s="578"/>
    </row>
    <row r="223" spans="1:32" s="510" customFormat="1" ht="15.75" x14ac:dyDescent="0.25">
      <c r="A223" s="739"/>
      <c r="B223" s="579"/>
      <c r="C223" s="577"/>
      <c r="D223" s="577"/>
      <c r="E223" s="577"/>
      <c r="F223" s="577"/>
      <c r="G223" s="577"/>
      <c r="H223" s="577"/>
      <c r="I223" s="577" t="s">
        <v>81</v>
      </c>
      <c r="J223" s="577"/>
      <c r="K223" s="577"/>
      <c r="L223" s="577"/>
      <c r="M223" s="577"/>
      <c r="N223" s="577"/>
      <c r="AB223" s="578"/>
    </row>
    <row r="224" spans="1:32" s="510" customFormat="1" ht="15.75" x14ac:dyDescent="0.25">
      <c r="A224" s="739"/>
      <c r="B224" s="579"/>
      <c r="C224" s="577"/>
      <c r="D224" s="577"/>
      <c r="E224" s="577"/>
      <c r="F224" s="577"/>
      <c r="G224" s="577"/>
      <c r="H224" s="577"/>
      <c r="I224" s="577" t="s">
        <v>88</v>
      </c>
      <c r="J224" s="577"/>
      <c r="K224" s="577"/>
      <c r="L224" s="577"/>
      <c r="M224" s="577"/>
      <c r="N224" s="577"/>
      <c r="AB224" s="578"/>
    </row>
    <row r="225" spans="1:32" s="510" customFormat="1" ht="18.75" x14ac:dyDescent="0.2">
      <c r="A225" s="735"/>
      <c r="B225" s="338"/>
      <c r="C225" s="338"/>
      <c r="D225" s="338"/>
      <c r="E225" s="338"/>
      <c r="F225" s="338"/>
      <c r="G225" s="338"/>
      <c r="H225" s="338"/>
      <c r="I225" s="338"/>
      <c r="J225" s="338"/>
      <c r="K225" s="338"/>
      <c r="L225" s="338"/>
      <c r="M225" s="338"/>
      <c r="N225" s="338"/>
      <c r="O225" s="338"/>
      <c r="P225" s="338"/>
      <c r="Q225" s="338"/>
      <c r="R225" s="338"/>
      <c r="S225" s="338"/>
      <c r="T225" s="338"/>
      <c r="U225" s="338"/>
      <c r="V225" s="338"/>
      <c r="W225" s="338"/>
      <c r="X225" s="338"/>
      <c r="Y225" s="338"/>
      <c r="Z225" s="338"/>
      <c r="AA225" s="2774" t="s">
        <v>0</v>
      </c>
      <c r="AB225" s="2774"/>
      <c r="AC225" s="338"/>
      <c r="AD225" s="338"/>
      <c r="AE225" s="338"/>
      <c r="AF225" s="338"/>
    </row>
    <row r="226" spans="1:32" s="510" customFormat="1" ht="18.75" x14ac:dyDescent="0.2">
      <c r="A226" s="2703" t="s">
        <v>1</v>
      </c>
      <c r="B226" s="2703"/>
      <c r="C226" s="2703"/>
      <c r="D226" s="2703"/>
      <c r="E226" s="2703"/>
      <c r="F226" s="2703"/>
      <c r="G226" s="2703"/>
      <c r="H226" s="2703"/>
      <c r="I226" s="2703"/>
      <c r="J226" s="2703"/>
      <c r="K226" s="2703"/>
      <c r="L226" s="2703"/>
      <c r="M226" s="2703"/>
      <c r="N226" s="2703"/>
      <c r="O226" s="2703"/>
      <c r="P226" s="2703"/>
      <c r="Q226" s="2703"/>
      <c r="R226" s="2703"/>
      <c r="S226" s="2703"/>
      <c r="T226" s="2703"/>
      <c r="U226" s="2703"/>
      <c r="V226" s="2703"/>
      <c r="W226" s="2703"/>
      <c r="X226" s="2703"/>
      <c r="Y226" s="2703"/>
      <c r="Z226" s="2703"/>
      <c r="AA226" s="2703"/>
      <c r="AB226" s="2703"/>
      <c r="AC226" s="344"/>
      <c r="AD226" s="344"/>
      <c r="AE226" s="344"/>
      <c r="AF226" s="344"/>
    </row>
    <row r="227" spans="1:32" s="510" customFormat="1" ht="21" x14ac:dyDescent="0.2">
      <c r="A227" s="2780" t="s">
        <v>540</v>
      </c>
      <c r="B227" s="2780"/>
      <c r="C227" s="2780"/>
      <c r="D227" s="2780"/>
      <c r="E227" s="2780"/>
      <c r="F227" s="2780"/>
      <c r="G227" s="2780"/>
      <c r="H227" s="2780"/>
      <c r="I227" s="2780"/>
      <c r="J227" s="2780"/>
      <c r="K227" s="2780"/>
      <c r="L227" s="2780"/>
      <c r="M227" s="2780"/>
      <c r="N227" s="2780"/>
      <c r="O227" s="2780"/>
      <c r="P227" s="2780"/>
      <c r="Q227" s="2780"/>
      <c r="R227" s="2780"/>
      <c r="S227" s="2780"/>
      <c r="T227" s="2780"/>
      <c r="U227" s="2780"/>
      <c r="V227" s="2780"/>
      <c r="W227" s="2780"/>
      <c r="X227" s="2780"/>
      <c r="Y227" s="2780"/>
      <c r="Z227" s="2780"/>
      <c r="AA227" s="2780"/>
      <c r="AB227" s="2780"/>
      <c r="AC227" s="345"/>
      <c r="AD227" s="345"/>
      <c r="AE227" s="345"/>
      <c r="AF227" s="345"/>
    </row>
    <row r="228" spans="1:32" s="510" customFormat="1" ht="15" x14ac:dyDescent="0.25">
      <c r="A228" s="2686" t="s">
        <v>2</v>
      </c>
      <c r="B228" s="511"/>
      <c r="C228" s="2686" t="s">
        <v>3</v>
      </c>
      <c r="D228" s="511"/>
      <c r="E228" s="511"/>
      <c r="F228" s="2693" t="s">
        <v>4</v>
      </c>
      <c r="G228" s="2693"/>
      <c r="H228" s="2693"/>
      <c r="I228" s="2694"/>
      <c r="J228" s="2694"/>
      <c r="K228" s="2695"/>
      <c r="L228" s="361"/>
      <c r="M228" s="2679" t="s">
        <v>5</v>
      </c>
      <c r="N228" s="2679"/>
      <c r="O228" s="2679"/>
      <c r="P228" s="2679"/>
      <c r="Q228" s="2696"/>
      <c r="R228" s="2696"/>
      <c r="S228" s="2696"/>
      <c r="T228" s="2696"/>
      <c r="U228" s="2696"/>
      <c r="V228" s="2697"/>
      <c r="W228" s="512" t="s">
        <v>6</v>
      </c>
      <c r="X228" s="513" t="s">
        <v>7</v>
      </c>
      <c r="Y228" s="514"/>
      <c r="Z228" s="514"/>
      <c r="AA228" s="513"/>
      <c r="AB228" s="515"/>
      <c r="AC228" s="516" t="s">
        <v>8</v>
      </c>
      <c r="AD228" s="346"/>
      <c r="AE228" s="346"/>
      <c r="AF228" s="517"/>
    </row>
    <row r="229" spans="1:32" s="510" customFormat="1" x14ac:dyDescent="0.2">
      <c r="A229" s="2687"/>
      <c r="B229" s="367"/>
      <c r="C229" s="2687"/>
      <c r="D229" s="518" t="s">
        <v>9</v>
      </c>
      <c r="E229" s="519" t="s">
        <v>10</v>
      </c>
      <c r="F229" s="2698" t="s">
        <v>11</v>
      </c>
      <c r="G229" s="2694"/>
      <c r="H229" s="2695"/>
      <c r="I229" s="511"/>
      <c r="J229" s="520" t="s">
        <v>12</v>
      </c>
      <c r="K229" s="511"/>
      <c r="L229" s="2679" t="s">
        <v>2</v>
      </c>
      <c r="M229" s="521"/>
      <c r="N229" s="521"/>
      <c r="O229" s="521"/>
      <c r="P229" s="522"/>
      <c r="Q229" s="523" t="s">
        <v>13</v>
      </c>
      <c r="R229" s="524" t="s">
        <v>12</v>
      </c>
      <c r="S229" s="521" t="s">
        <v>6</v>
      </c>
      <c r="T229" s="2682" t="s">
        <v>14</v>
      </c>
      <c r="U229" s="2683"/>
      <c r="V229" s="525" t="s">
        <v>7</v>
      </c>
      <c r="W229" s="526" t="s">
        <v>15</v>
      </c>
      <c r="X229" s="527" t="s">
        <v>16</v>
      </c>
      <c r="Y229" s="527" t="s">
        <v>17</v>
      </c>
      <c r="Z229" s="527" t="s">
        <v>18</v>
      </c>
      <c r="AA229" s="377"/>
      <c r="AB229" s="378" t="s">
        <v>19</v>
      </c>
      <c r="AC229" s="528" t="s">
        <v>20</v>
      </c>
      <c r="AD229" s="529"/>
      <c r="AE229" s="347" t="s">
        <v>21</v>
      </c>
      <c r="AF229" s="340" t="s">
        <v>22</v>
      </c>
    </row>
    <row r="230" spans="1:32" s="510" customFormat="1" x14ac:dyDescent="0.2">
      <c r="A230" s="2687"/>
      <c r="B230" s="2024" t="s">
        <v>23</v>
      </c>
      <c r="C230" s="2687"/>
      <c r="D230" s="518" t="s">
        <v>24</v>
      </c>
      <c r="E230" s="519" t="s">
        <v>25</v>
      </c>
      <c r="F230" s="2699"/>
      <c r="G230" s="2700"/>
      <c r="H230" s="2701"/>
      <c r="I230" s="518" t="s">
        <v>26</v>
      </c>
      <c r="J230" s="530" t="s">
        <v>15</v>
      </c>
      <c r="K230" s="531" t="s">
        <v>6</v>
      </c>
      <c r="L230" s="2680"/>
      <c r="M230" s="532" t="s">
        <v>27</v>
      </c>
      <c r="N230" s="532" t="s">
        <v>10</v>
      </c>
      <c r="O230" s="533" t="s">
        <v>10</v>
      </c>
      <c r="P230" s="534" t="s">
        <v>28</v>
      </c>
      <c r="Q230" s="535" t="s">
        <v>29</v>
      </c>
      <c r="R230" s="534" t="s">
        <v>15</v>
      </c>
      <c r="S230" s="385" t="s">
        <v>15</v>
      </c>
      <c r="T230" s="2684"/>
      <c r="U230" s="2685"/>
      <c r="V230" s="525" t="s">
        <v>30</v>
      </c>
      <c r="W230" s="526" t="s">
        <v>31</v>
      </c>
      <c r="X230" s="527" t="s">
        <v>30</v>
      </c>
      <c r="Y230" s="527" t="s">
        <v>32</v>
      </c>
      <c r="Z230" s="527" t="s">
        <v>7</v>
      </c>
      <c r="AA230" s="377" t="s">
        <v>33</v>
      </c>
      <c r="AB230" s="378" t="s">
        <v>34</v>
      </c>
      <c r="AC230" s="528" t="s">
        <v>35</v>
      </c>
      <c r="AD230" s="347" t="s">
        <v>36</v>
      </c>
      <c r="AE230" s="347" t="s">
        <v>37</v>
      </c>
      <c r="AF230" s="340" t="s">
        <v>38</v>
      </c>
    </row>
    <row r="231" spans="1:32" s="510" customFormat="1" x14ac:dyDescent="0.2">
      <c r="A231" s="2687"/>
      <c r="B231" s="2024" t="s">
        <v>39</v>
      </c>
      <c r="C231" s="2687"/>
      <c r="D231" s="518" t="s">
        <v>40</v>
      </c>
      <c r="E231" s="519" t="s">
        <v>41</v>
      </c>
      <c r="F231" s="2686" t="s">
        <v>42</v>
      </c>
      <c r="G231" s="2686" t="s">
        <v>43</v>
      </c>
      <c r="H231" s="2688" t="s">
        <v>44</v>
      </c>
      <c r="I231" s="518" t="s">
        <v>45</v>
      </c>
      <c r="J231" s="530" t="s">
        <v>46</v>
      </c>
      <c r="K231" s="531" t="s">
        <v>47</v>
      </c>
      <c r="L231" s="2680"/>
      <c r="M231" s="532" t="s">
        <v>30</v>
      </c>
      <c r="N231" s="532" t="s">
        <v>30</v>
      </c>
      <c r="O231" s="533" t="s">
        <v>25</v>
      </c>
      <c r="P231" s="534" t="s">
        <v>30</v>
      </c>
      <c r="Q231" s="535" t="s">
        <v>48</v>
      </c>
      <c r="R231" s="534" t="s">
        <v>49</v>
      </c>
      <c r="S231" s="385" t="s">
        <v>30</v>
      </c>
      <c r="T231" s="536" t="s">
        <v>50</v>
      </c>
      <c r="U231" s="537" t="s">
        <v>13</v>
      </c>
      <c r="V231" s="525" t="s">
        <v>51</v>
      </c>
      <c r="W231" s="526" t="s">
        <v>52</v>
      </c>
      <c r="X231" s="527" t="s">
        <v>53</v>
      </c>
      <c r="Y231" s="527" t="s">
        <v>54</v>
      </c>
      <c r="Z231" s="527" t="s">
        <v>55</v>
      </c>
      <c r="AA231" s="377" t="s">
        <v>56</v>
      </c>
      <c r="AB231" s="378" t="s">
        <v>57</v>
      </c>
      <c r="AC231" s="347" t="s">
        <v>58</v>
      </c>
      <c r="AD231" s="347" t="s">
        <v>59</v>
      </c>
      <c r="AE231" s="347" t="s">
        <v>59</v>
      </c>
      <c r="AF231" s="340" t="s">
        <v>60</v>
      </c>
    </row>
    <row r="232" spans="1:32" s="510" customFormat="1" ht="15" x14ac:dyDescent="0.25">
      <c r="A232" s="2687"/>
      <c r="B232" s="2024" t="s">
        <v>61</v>
      </c>
      <c r="C232" s="2687"/>
      <c r="D232" s="518" t="s">
        <v>62</v>
      </c>
      <c r="E232" s="519" t="s">
        <v>63</v>
      </c>
      <c r="F232" s="2687"/>
      <c r="G232" s="2687"/>
      <c r="H232" s="2689"/>
      <c r="I232" s="518" t="s">
        <v>64</v>
      </c>
      <c r="J232" s="530" t="s">
        <v>59</v>
      </c>
      <c r="K232" s="531" t="s">
        <v>59</v>
      </c>
      <c r="L232" s="2680"/>
      <c r="M232" s="532"/>
      <c r="N232" s="532"/>
      <c r="O232" s="533" t="s">
        <v>41</v>
      </c>
      <c r="P232" s="534" t="s">
        <v>65</v>
      </c>
      <c r="Q232" s="535" t="s">
        <v>66</v>
      </c>
      <c r="R232" s="534" t="s">
        <v>67</v>
      </c>
      <c r="S232" s="385" t="s">
        <v>59</v>
      </c>
      <c r="T232" s="538" t="s">
        <v>68</v>
      </c>
      <c r="U232" s="525" t="s">
        <v>14</v>
      </c>
      <c r="V232" s="525" t="s">
        <v>14</v>
      </c>
      <c r="W232" s="526" t="s">
        <v>30</v>
      </c>
      <c r="X232" s="539" t="s">
        <v>69</v>
      </c>
      <c r="Y232" s="539" t="s">
        <v>70</v>
      </c>
      <c r="Z232" s="527" t="s">
        <v>71</v>
      </c>
      <c r="AA232" s="377" t="s">
        <v>72</v>
      </c>
      <c r="AB232" s="540" t="s">
        <v>59</v>
      </c>
      <c r="AC232" s="347" t="s">
        <v>59</v>
      </c>
      <c r="AD232" s="347"/>
      <c r="AE232" s="347"/>
      <c r="AF232" s="340" t="s">
        <v>59</v>
      </c>
    </row>
    <row r="233" spans="1:32" s="510" customFormat="1" x14ac:dyDescent="0.2">
      <c r="A233" s="2692"/>
      <c r="B233" s="390"/>
      <c r="C233" s="2692"/>
      <c r="D233" s="541"/>
      <c r="E233" s="542"/>
      <c r="F233" s="390"/>
      <c r="G233" s="390"/>
      <c r="H233" s="391"/>
      <c r="I233" s="542"/>
      <c r="J233" s="543"/>
      <c r="K233" s="544"/>
      <c r="L233" s="2681"/>
      <c r="M233" s="545"/>
      <c r="N233" s="545"/>
      <c r="O233" s="545" t="s">
        <v>63</v>
      </c>
      <c r="P233" s="546"/>
      <c r="Q233" s="547" t="s">
        <v>72</v>
      </c>
      <c r="R233" s="548" t="s">
        <v>59</v>
      </c>
      <c r="S233" s="549"/>
      <c r="T233" s="548" t="s">
        <v>73</v>
      </c>
      <c r="U233" s="549" t="s">
        <v>59</v>
      </c>
      <c r="V233" s="550" t="s">
        <v>59</v>
      </c>
      <c r="W233" s="551" t="s">
        <v>59</v>
      </c>
      <c r="X233" s="552" t="s">
        <v>59</v>
      </c>
      <c r="Y233" s="552" t="s">
        <v>59</v>
      </c>
      <c r="Z233" s="552" t="s">
        <v>59</v>
      </c>
      <c r="AA233" s="402"/>
      <c r="AB233" s="403"/>
      <c r="AC233" s="348"/>
      <c r="AD233" s="348"/>
      <c r="AE233" s="348"/>
      <c r="AF233" s="341"/>
    </row>
    <row r="234" spans="1:32" s="510" customFormat="1" ht="15" x14ac:dyDescent="0.25">
      <c r="A234" s="16">
        <v>1</v>
      </c>
      <c r="B234" s="333">
        <v>32739</v>
      </c>
      <c r="C234" s="41">
        <v>1282</v>
      </c>
      <c r="D234" s="259" t="s">
        <v>245</v>
      </c>
      <c r="E234" s="15">
        <v>4</v>
      </c>
      <c r="F234" s="41">
        <v>0</v>
      </c>
      <c r="G234" s="41">
        <v>1</v>
      </c>
      <c r="H234" s="267">
        <v>0</v>
      </c>
      <c r="I234" s="18">
        <f>F234*400+G234*100+H234</f>
        <v>100</v>
      </c>
      <c r="J234" s="23">
        <v>1100</v>
      </c>
      <c r="K234" s="39">
        <f>SUM(I234*J234)</f>
        <v>110000</v>
      </c>
      <c r="L234" s="45"/>
      <c r="M234" s="82"/>
      <c r="N234" s="41"/>
      <c r="O234" s="50"/>
      <c r="P234" s="41"/>
      <c r="Q234" s="62"/>
      <c r="R234" s="260"/>
      <c r="S234" s="18"/>
      <c r="T234" s="20"/>
      <c r="U234" s="47"/>
      <c r="V234" s="47"/>
      <c r="W234" s="18">
        <f>K234+V234</f>
        <v>110000</v>
      </c>
      <c r="X234" s="47">
        <f>W234</f>
        <v>110000</v>
      </c>
      <c r="Y234" s="18">
        <v>0</v>
      </c>
      <c r="Z234" s="18">
        <f>+X234</f>
        <v>110000</v>
      </c>
      <c r="AA234" s="264">
        <v>0.3</v>
      </c>
      <c r="AB234" s="853">
        <f>+Z234*AA234/100</f>
        <v>330</v>
      </c>
      <c r="AC234" s="555"/>
      <c r="AD234" s="556">
        <f>AB234-AC234</f>
        <v>330</v>
      </c>
      <c r="AE234" s="556">
        <f>IF(AD234&lt;=0,0,AD234*25/100)</f>
        <v>82.5</v>
      </c>
      <c r="AF234" s="556">
        <f>IF(AC234+AE234&gt;AB234,AB234,AC234+AE234)</f>
        <v>82.5</v>
      </c>
    </row>
    <row r="235" spans="1:32" s="510" customFormat="1" ht="15" x14ac:dyDescent="0.25">
      <c r="A235" s="45">
        <v>2</v>
      </c>
      <c r="B235" s="269">
        <v>32738</v>
      </c>
      <c r="C235" s="285" t="s">
        <v>249</v>
      </c>
      <c r="D235" s="27" t="s">
        <v>245</v>
      </c>
      <c r="E235" s="273">
        <v>4</v>
      </c>
      <c r="F235" s="268">
        <v>0</v>
      </c>
      <c r="G235" s="269">
        <v>0</v>
      </c>
      <c r="H235" s="266">
        <v>22</v>
      </c>
      <c r="I235" s="18">
        <f>F235*400+G235*100+H235</f>
        <v>22</v>
      </c>
      <c r="J235" s="23">
        <v>1100</v>
      </c>
      <c r="K235" s="39">
        <f>SUM(I235*J235)</f>
        <v>24200</v>
      </c>
      <c r="L235" s="269"/>
      <c r="M235" s="242"/>
      <c r="N235" s="269"/>
      <c r="O235" s="269"/>
      <c r="P235" s="266"/>
      <c r="Q235" s="285"/>
      <c r="R235" s="436"/>
      <c r="S235" s="282"/>
      <c r="T235" s="286"/>
      <c r="U235" s="282"/>
      <c r="V235" s="282"/>
      <c r="W235" s="18">
        <f>K235+V235</f>
        <v>24200</v>
      </c>
      <c r="X235" s="47">
        <f>W235</f>
        <v>24200</v>
      </c>
      <c r="Y235" s="18">
        <v>0</v>
      </c>
      <c r="Z235" s="18">
        <f>+X235</f>
        <v>24200</v>
      </c>
      <c r="AA235" s="264">
        <v>0.3</v>
      </c>
      <c r="AB235" s="854">
        <f>+Z235*AA235/100</f>
        <v>72.599999999999994</v>
      </c>
      <c r="AC235" s="1057"/>
      <c r="AD235" s="556"/>
      <c r="AE235" s="556"/>
      <c r="AF235" s="556"/>
    </row>
    <row r="236" spans="1:32" s="510" customFormat="1" ht="15" x14ac:dyDescent="0.25">
      <c r="A236" s="15"/>
      <c r="B236" s="325"/>
      <c r="C236" s="21"/>
      <c r="D236" s="15"/>
      <c r="E236" s="15"/>
      <c r="F236" s="15"/>
      <c r="G236" s="15"/>
      <c r="H236" s="22"/>
      <c r="I236" s="23"/>
      <c r="J236" s="24"/>
      <c r="K236" s="23"/>
      <c r="L236" s="15"/>
      <c r="M236" s="15"/>
      <c r="N236" s="15"/>
      <c r="O236" s="15"/>
      <c r="P236" s="22"/>
      <c r="Q236" s="25"/>
      <c r="R236" s="563"/>
      <c r="S236" s="23"/>
      <c r="T236" s="26"/>
      <c r="U236" s="24"/>
      <c r="V236" s="23"/>
      <c r="W236" s="23"/>
      <c r="X236" s="564"/>
      <c r="Y236" s="564"/>
      <c r="Z236" s="565"/>
      <c r="AA236" s="565"/>
      <c r="AB236" s="566"/>
      <c r="AC236" s="559"/>
      <c r="AD236" s="559"/>
      <c r="AE236" s="559"/>
      <c r="AF236" s="559"/>
    </row>
    <row r="237" spans="1:32" s="510" customFormat="1" x14ac:dyDescent="0.2">
      <c r="A237" s="15"/>
      <c r="B237" s="21"/>
      <c r="C237" s="21"/>
      <c r="D237" s="15"/>
      <c r="E237" s="15"/>
      <c r="F237" s="15"/>
      <c r="G237" s="15"/>
      <c r="H237" s="22"/>
      <c r="I237" s="23"/>
      <c r="J237" s="24"/>
      <c r="K237" s="23"/>
      <c r="L237" s="15"/>
      <c r="M237" s="15"/>
      <c r="N237" s="15"/>
      <c r="O237" s="15"/>
      <c r="P237" s="22"/>
      <c r="Q237" s="25"/>
      <c r="R237" s="563"/>
      <c r="S237" s="23"/>
      <c r="T237" s="26"/>
      <c r="U237" s="24"/>
      <c r="V237" s="23"/>
      <c r="W237" s="23"/>
      <c r="X237" s="564"/>
      <c r="Y237" s="564"/>
      <c r="Z237" s="565"/>
      <c r="AA237" s="565"/>
      <c r="AB237" s="566"/>
      <c r="AC237" s="559"/>
      <c r="AD237" s="559"/>
      <c r="AE237" s="559"/>
      <c r="AF237" s="559"/>
    </row>
    <row r="238" spans="1:32" s="510" customFormat="1" x14ac:dyDescent="0.2">
      <c r="A238" s="15"/>
      <c r="B238" s="21"/>
      <c r="C238" s="21"/>
      <c r="D238" s="15"/>
      <c r="E238" s="15"/>
      <c r="F238" s="15"/>
      <c r="G238" s="15"/>
      <c r="H238" s="22"/>
      <c r="I238" s="23"/>
      <c r="J238" s="24"/>
      <c r="K238" s="23"/>
      <c r="L238" s="15"/>
      <c r="M238" s="15"/>
      <c r="N238" s="15"/>
      <c r="O238" s="15"/>
      <c r="P238" s="22"/>
      <c r="Q238" s="25"/>
      <c r="R238" s="563"/>
      <c r="S238" s="23"/>
      <c r="T238" s="26"/>
      <c r="U238" s="24"/>
      <c r="V238" s="23"/>
      <c r="W238" s="23"/>
      <c r="X238" s="564"/>
      <c r="Y238" s="564"/>
      <c r="Z238" s="565"/>
      <c r="AA238" s="565"/>
      <c r="AB238" s="566"/>
      <c r="AC238" s="559"/>
      <c r="AD238" s="559"/>
      <c r="AE238" s="559"/>
      <c r="AF238" s="559"/>
    </row>
    <row r="239" spans="1:32" s="510" customFormat="1" x14ac:dyDescent="0.2">
      <c r="A239" s="15"/>
      <c r="B239" s="21"/>
      <c r="C239" s="21"/>
      <c r="D239" s="15"/>
      <c r="E239" s="15"/>
      <c r="F239" s="15"/>
      <c r="G239" s="15"/>
      <c r="H239" s="22"/>
      <c r="I239" s="23"/>
      <c r="J239" s="24"/>
      <c r="K239" s="23"/>
      <c r="L239" s="15"/>
      <c r="M239" s="15"/>
      <c r="N239" s="15"/>
      <c r="O239" s="15"/>
      <c r="P239" s="22"/>
      <c r="Q239" s="25"/>
      <c r="R239" s="563"/>
      <c r="S239" s="23"/>
      <c r="T239" s="26"/>
      <c r="U239" s="24"/>
      <c r="V239" s="23"/>
      <c r="W239" s="23"/>
      <c r="X239" s="564"/>
      <c r="Y239" s="564"/>
      <c r="Z239" s="565"/>
      <c r="AA239" s="565"/>
      <c r="AB239" s="566"/>
      <c r="AC239" s="559"/>
      <c r="AD239" s="559"/>
      <c r="AE239" s="559"/>
      <c r="AF239" s="559"/>
    </row>
    <row r="240" spans="1:32" s="510" customFormat="1" x14ac:dyDescent="0.2">
      <c r="A240" s="15"/>
      <c r="B240" s="21"/>
      <c r="C240" s="21"/>
      <c r="D240" s="15"/>
      <c r="E240" s="15"/>
      <c r="F240" s="15"/>
      <c r="G240" s="15"/>
      <c r="H240" s="22"/>
      <c r="I240" s="23"/>
      <c r="J240" s="24"/>
      <c r="K240" s="23"/>
      <c r="L240" s="15"/>
      <c r="M240" s="15"/>
      <c r="N240" s="15"/>
      <c r="O240" s="15"/>
      <c r="P240" s="22"/>
      <c r="Q240" s="25"/>
      <c r="R240" s="563"/>
      <c r="S240" s="23"/>
      <c r="T240" s="26"/>
      <c r="U240" s="24"/>
      <c r="V240" s="23"/>
      <c r="W240" s="23"/>
      <c r="X240" s="564"/>
      <c r="Y240" s="564"/>
      <c r="Z240" s="565"/>
      <c r="AA240" s="565"/>
      <c r="AB240" s="566"/>
      <c r="AC240" s="559"/>
      <c r="AD240" s="559"/>
      <c r="AE240" s="559"/>
      <c r="AF240" s="559"/>
    </row>
    <row r="241" spans="1:32" s="510" customFormat="1" x14ac:dyDescent="0.2">
      <c r="A241" s="15"/>
      <c r="B241" s="21"/>
      <c r="C241" s="21"/>
      <c r="D241" s="15"/>
      <c r="E241" s="15"/>
      <c r="F241" s="15"/>
      <c r="G241" s="15"/>
      <c r="H241" s="22"/>
      <c r="I241" s="23"/>
      <c r="J241" s="24"/>
      <c r="K241" s="23"/>
      <c r="L241" s="15"/>
      <c r="M241" s="15"/>
      <c r="N241" s="15"/>
      <c r="O241" s="15"/>
      <c r="P241" s="22"/>
      <c r="Q241" s="25"/>
      <c r="R241" s="563"/>
      <c r="S241" s="23"/>
      <c r="T241" s="26"/>
      <c r="U241" s="24"/>
      <c r="V241" s="23"/>
      <c r="W241" s="23"/>
      <c r="X241" s="564"/>
      <c r="Y241" s="564"/>
      <c r="Z241" s="565"/>
      <c r="AA241" s="565"/>
      <c r="AB241" s="566"/>
      <c r="AC241" s="559"/>
      <c r="AD241" s="559"/>
      <c r="AE241" s="559"/>
      <c r="AF241" s="559"/>
    </row>
    <row r="242" spans="1:32" s="510" customFormat="1" x14ac:dyDescent="0.2">
      <c r="A242" s="15"/>
      <c r="B242" s="21"/>
      <c r="C242" s="21"/>
      <c r="D242" s="15"/>
      <c r="E242" s="15"/>
      <c r="F242" s="15"/>
      <c r="G242" s="15"/>
      <c r="H242" s="22"/>
      <c r="I242" s="23"/>
      <c r="J242" s="24"/>
      <c r="K242" s="23"/>
      <c r="L242" s="15"/>
      <c r="M242" s="15"/>
      <c r="N242" s="15"/>
      <c r="O242" s="15"/>
      <c r="P242" s="22"/>
      <c r="Q242" s="25"/>
      <c r="R242" s="563"/>
      <c r="S242" s="23"/>
      <c r="T242" s="26"/>
      <c r="U242" s="24"/>
      <c r="V242" s="23"/>
      <c r="W242" s="23"/>
      <c r="X242" s="564"/>
      <c r="Y242" s="564"/>
      <c r="Z242" s="565"/>
      <c r="AA242" s="565"/>
      <c r="AB242" s="566"/>
      <c r="AC242" s="559"/>
      <c r="AD242" s="559"/>
      <c r="AE242" s="559"/>
      <c r="AF242" s="559"/>
    </row>
    <row r="243" spans="1:32" s="510" customFormat="1" x14ac:dyDescent="0.2">
      <c r="A243" s="15"/>
      <c r="B243" s="21"/>
      <c r="C243" s="21"/>
      <c r="D243" s="15"/>
      <c r="E243" s="15"/>
      <c r="F243" s="15"/>
      <c r="G243" s="15"/>
      <c r="H243" s="22"/>
      <c r="I243" s="23"/>
      <c r="J243" s="24"/>
      <c r="K243" s="23"/>
      <c r="L243" s="15"/>
      <c r="M243" s="15"/>
      <c r="N243" s="15"/>
      <c r="O243" s="15"/>
      <c r="P243" s="22"/>
      <c r="Q243" s="25"/>
      <c r="R243" s="563"/>
      <c r="S243" s="23"/>
      <c r="T243" s="26"/>
      <c r="U243" s="24"/>
      <c r="V243" s="23"/>
      <c r="W243" s="23"/>
      <c r="X243" s="564"/>
      <c r="Y243" s="564"/>
      <c r="Z243" s="565"/>
      <c r="AA243" s="565"/>
      <c r="AB243" s="566"/>
      <c r="AC243" s="559"/>
      <c r="AD243" s="559"/>
      <c r="AE243" s="559"/>
      <c r="AF243" s="559"/>
    </row>
    <row r="244" spans="1:32" s="510" customFormat="1" x14ac:dyDescent="0.2">
      <c r="A244" s="15"/>
      <c r="B244" s="21"/>
      <c r="C244" s="21"/>
      <c r="D244" s="15"/>
      <c r="E244" s="15"/>
      <c r="F244" s="15"/>
      <c r="G244" s="15"/>
      <c r="H244" s="22"/>
      <c r="I244" s="23"/>
      <c r="J244" s="24"/>
      <c r="K244" s="23"/>
      <c r="L244" s="15"/>
      <c r="M244" s="15"/>
      <c r="N244" s="15"/>
      <c r="O244" s="15"/>
      <c r="P244" s="22"/>
      <c r="Q244" s="25"/>
      <c r="R244" s="563"/>
      <c r="S244" s="23"/>
      <c r="T244" s="26"/>
      <c r="U244" s="24"/>
      <c r="V244" s="23"/>
      <c r="W244" s="23"/>
      <c r="X244" s="564"/>
      <c r="Y244" s="564"/>
      <c r="Z244" s="565"/>
      <c r="AA244" s="565"/>
      <c r="AB244" s="566"/>
      <c r="AC244" s="559"/>
      <c r="AD244" s="559"/>
      <c r="AE244" s="559"/>
      <c r="AF244" s="559"/>
    </row>
    <row r="245" spans="1:32" s="510" customFormat="1" x14ac:dyDescent="0.2">
      <c r="A245" s="15"/>
      <c r="B245" s="21"/>
      <c r="C245" s="21"/>
      <c r="D245" s="15"/>
      <c r="E245" s="15"/>
      <c r="F245" s="15"/>
      <c r="G245" s="15"/>
      <c r="H245" s="22"/>
      <c r="I245" s="23"/>
      <c r="J245" s="24"/>
      <c r="K245" s="23"/>
      <c r="L245" s="15"/>
      <c r="M245" s="15"/>
      <c r="N245" s="15"/>
      <c r="O245" s="15"/>
      <c r="P245" s="22"/>
      <c r="Q245" s="25"/>
      <c r="R245" s="563"/>
      <c r="S245" s="23"/>
      <c r="T245" s="26"/>
      <c r="U245" s="24"/>
      <c r="V245" s="23"/>
      <c r="W245" s="23"/>
      <c r="X245" s="564"/>
      <c r="Y245" s="564"/>
      <c r="Z245" s="565"/>
      <c r="AA245" s="565"/>
      <c r="AB245" s="566"/>
      <c r="AC245" s="559"/>
      <c r="AD245" s="559"/>
      <c r="AE245" s="559"/>
      <c r="AF245" s="559"/>
    </row>
    <row r="246" spans="1:32" s="510" customFormat="1" x14ac:dyDescent="0.2">
      <c r="A246" s="15"/>
      <c r="B246" s="21"/>
      <c r="C246" s="21"/>
      <c r="D246" s="15"/>
      <c r="E246" s="15"/>
      <c r="F246" s="15"/>
      <c r="G246" s="15"/>
      <c r="H246" s="22"/>
      <c r="I246" s="23"/>
      <c r="J246" s="24"/>
      <c r="K246" s="23"/>
      <c r="L246" s="15"/>
      <c r="M246" s="15"/>
      <c r="N246" s="15"/>
      <c r="O246" s="15"/>
      <c r="P246" s="22"/>
      <c r="Q246" s="25"/>
      <c r="R246" s="563"/>
      <c r="S246" s="23"/>
      <c r="T246" s="26"/>
      <c r="U246" s="24"/>
      <c r="V246" s="23"/>
      <c r="W246" s="23"/>
      <c r="X246" s="564"/>
      <c r="Y246" s="564"/>
      <c r="Z246" s="565"/>
      <c r="AA246" s="565"/>
      <c r="AB246" s="566"/>
      <c r="AC246" s="559"/>
      <c r="AD246" s="559"/>
      <c r="AE246" s="559"/>
      <c r="AF246" s="559"/>
    </row>
    <row r="247" spans="1:32" s="510" customFormat="1" x14ac:dyDescent="0.2">
      <c r="A247" s="15"/>
      <c r="B247" s="21"/>
      <c r="C247" s="21"/>
      <c r="D247" s="15"/>
      <c r="E247" s="15"/>
      <c r="F247" s="15"/>
      <c r="G247" s="15"/>
      <c r="H247" s="22"/>
      <c r="I247" s="23"/>
      <c r="J247" s="24"/>
      <c r="K247" s="23"/>
      <c r="L247" s="15"/>
      <c r="M247" s="15"/>
      <c r="N247" s="15"/>
      <c r="O247" s="15"/>
      <c r="P247" s="22"/>
      <c r="Q247" s="25"/>
      <c r="R247" s="563"/>
      <c r="S247" s="23"/>
      <c r="T247" s="26"/>
      <c r="U247" s="24"/>
      <c r="V247" s="23"/>
      <c r="W247" s="23"/>
      <c r="X247" s="564"/>
      <c r="Y247" s="564"/>
      <c r="Z247" s="565"/>
      <c r="AA247" s="565"/>
      <c r="AB247" s="566"/>
      <c r="AC247" s="559"/>
      <c r="AD247" s="559"/>
      <c r="AE247" s="559"/>
      <c r="AF247" s="559"/>
    </row>
    <row r="248" spans="1:32" s="510" customFormat="1" x14ac:dyDescent="0.2">
      <c r="A248" s="15"/>
      <c r="B248" s="21"/>
      <c r="C248" s="21"/>
      <c r="D248" s="15"/>
      <c r="E248" s="15"/>
      <c r="F248" s="15"/>
      <c r="G248" s="15"/>
      <c r="H248" s="22"/>
      <c r="I248" s="23"/>
      <c r="J248" s="24"/>
      <c r="K248" s="23"/>
      <c r="L248" s="15"/>
      <c r="M248" s="15"/>
      <c r="N248" s="15"/>
      <c r="O248" s="15"/>
      <c r="P248" s="22"/>
      <c r="Q248" s="25"/>
      <c r="R248" s="563"/>
      <c r="S248" s="23"/>
      <c r="T248" s="26"/>
      <c r="U248" s="24"/>
      <c r="V248" s="23"/>
      <c r="W248" s="23"/>
      <c r="X248" s="564"/>
      <c r="Y248" s="564"/>
      <c r="Z248" s="565"/>
      <c r="AA248" s="565"/>
      <c r="AB248" s="566"/>
      <c r="AC248" s="559"/>
      <c r="AD248" s="559"/>
      <c r="AE248" s="559"/>
      <c r="AF248" s="559"/>
    </row>
    <row r="249" spans="1:32" s="510" customFormat="1" x14ac:dyDescent="0.2">
      <c r="A249" s="15"/>
      <c r="B249" s="21"/>
      <c r="C249" s="21"/>
      <c r="D249" s="15"/>
      <c r="E249" s="15"/>
      <c r="F249" s="15"/>
      <c r="G249" s="15"/>
      <c r="H249" s="22"/>
      <c r="I249" s="23"/>
      <c r="J249" s="24"/>
      <c r="K249" s="23"/>
      <c r="L249" s="15"/>
      <c r="M249" s="15"/>
      <c r="N249" s="15"/>
      <c r="O249" s="15"/>
      <c r="P249" s="22"/>
      <c r="Q249" s="25"/>
      <c r="R249" s="563"/>
      <c r="S249" s="23"/>
      <c r="T249" s="26"/>
      <c r="U249" s="24"/>
      <c r="V249" s="23"/>
      <c r="W249" s="23"/>
      <c r="X249" s="564"/>
      <c r="Y249" s="564"/>
      <c r="Z249" s="565"/>
      <c r="AA249" s="565"/>
      <c r="AB249" s="566"/>
      <c r="AC249" s="559"/>
      <c r="AD249" s="559"/>
      <c r="AE249" s="559"/>
      <c r="AF249" s="559"/>
    </row>
    <row r="250" spans="1:32" s="510" customFormat="1" x14ac:dyDescent="0.2">
      <c r="A250" s="15"/>
      <c r="B250" s="21"/>
      <c r="C250" s="21"/>
      <c r="D250" s="15"/>
      <c r="E250" s="15"/>
      <c r="F250" s="15"/>
      <c r="G250" s="15"/>
      <c r="H250" s="22"/>
      <c r="I250" s="23"/>
      <c r="J250" s="24"/>
      <c r="K250" s="23"/>
      <c r="L250" s="15"/>
      <c r="M250" s="15"/>
      <c r="N250" s="15"/>
      <c r="O250" s="15"/>
      <c r="P250" s="22"/>
      <c r="Q250" s="25"/>
      <c r="R250" s="563"/>
      <c r="S250" s="23"/>
      <c r="T250" s="26"/>
      <c r="U250" s="24"/>
      <c r="V250" s="23"/>
      <c r="W250" s="23"/>
      <c r="X250" s="564"/>
      <c r="Y250" s="564"/>
      <c r="Z250" s="565"/>
      <c r="AA250" s="565"/>
      <c r="AB250" s="566"/>
      <c r="AC250" s="559"/>
      <c r="AD250" s="559"/>
      <c r="AE250" s="559"/>
      <c r="AF250" s="559"/>
    </row>
    <row r="251" spans="1:32" s="510" customFormat="1" x14ac:dyDescent="0.2">
      <c r="A251" s="27"/>
      <c r="B251" s="28"/>
      <c r="C251" s="28"/>
      <c r="D251" s="27"/>
      <c r="E251" s="27"/>
      <c r="F251" s="27"/>
      <c r="G251" s="27"/>
      <c r="H251" s="29"/>
      <c r="I251" s="30"/>
      <c r="J251" s="31"/>
      <c r="K251" s="30"/>
      <c r="L251" s="27"/>
      <c r="M251" s="27"/>
      <c r="N251" s="27"/>
      <c r="O251" s="27"/>
      <c r="P251" s="27"/>
      <c r="Q251" s="32"/>
      <c r="R251" s="567"/>
      <c r="S251" s="30"/>
      <c r="T251" s="33"/>
      <c r="U251" s="31"/>
      <c r="V251" s="30"/>
      <c r="W251" s="30"/>
      <c r="X251" s="568"/>
      <c r="Y251" s="568"/>
      <c r="Z251" s="569"/>
      <c r="AA251" s="569"/>
      <c r="AB251" s="570"/>
      <c r="AC251" s="571"/>
      <c r="AD251" s="571"/>
      <c r="AE251" s="571"/>
      <c r="AF251" s="571"/>
    </row>
    <row r="252" spans="1:32" s="510" customFormat="1" x14ac:dyDescent="0.2">
      <c r="A252" s="270"/>
      <c r="B252" s="1128"/>
      <c r="C252" s="1128"/>
      <c r="D252" s="270"/>
      <c r="E252" s="270"/>
      <c r="F252" s="270"/>
      <c r="G252" s="270"/>
      <c r="H252" s="1460"/>
      <c r="I252" s="92"/>
      <c r="J252" s="2079"/>
      <c r="K252" s="92"/>
      <c r="L252" s="270"/>
      <c r="M252" s="270"/>
      <c r="N252" s="270"/>
      <c r="O252" s="270"/>
      <c r="P252" s="270"/>
      <c r="Q252" s="895"/>
      <c r="R252" s="2080"/>
      <c r="S252" s="92"/>
      <c r="T252" s="2081"/>
      <c r="U252" s="2079"/>
      <c r="V252" s="92"/>
      <c r="W252" s="92"/>
      <c r="X252" s="2082"/>
      <c r="Y252" s="2082"/>
      <c r="Z252" s="2083"/>
      <c r="AA252" s="2083"/>
      <c r="AB252" s="854"/>
      <c r="AC252" s="903"/>
      <c r="AD252" s="903"/>
      <c r="AE252" s="903"/>
      <c r="AF252" s="903"/>
    </row>
    <row r="253" spans="1:32" s="510" customFormat="1" ht="15" x14ac:dyDescent="0.25">
      <c r="A253" s="2027"/>
      <c r="B253" s="2027"/>
      <c r="C253" s="2027"/>
      <c r="D253" s="2027"/>
      <c r="E253" s="2027"/>
      <c r="F253" s="2027"/>
      <c r="G253" s="2027"/>
      <c r="H253" s="2028"/>
      <c r="I253" s="2029"/>
      <c r="J253" s="2030"/>
      <c r="K253" s="2029"/>
      <c r="L253" s="2029"/>
      <c r="M253" s="2029"/>
      <c r="N253" s="2029"/>
      <c r="O253" s="2029"/>
      <c r="P253" s="2029"/>
      <c r="Q253" s="2029"/>
      <c r="R253" s="2031"/>
      <c r="S253" s="2029"/>
      <c r="T253" s="2032"/>
      <c r="U253" s="2030"/>
      <c r="V253" s="2029"/>
      <c r="W253" s="2029"/>
      <c r="X253" s="2033"/>
      <c r="Y253" s="2033"/>
      <c r="Z253" s="2034"/>
      <c r="AA253" s="2034"/>
      <c r="AB253" s="2035">
        <f>SUM(AB234:AB251)</f>
        <v>402.6</v>
      </c>
      <c r="AC253" s="2036"/>
      <c r="AD253" s="2036"/>
      <c r="AE253" s="2036"/>
      <c r="AF253" s="2036"/>
    </row>
    <row r="254" spans="1:32" s="510" customFormat="1" ht="15.75" x14ac:dyDescent="0.25">
      <c r="A254" s="2820" t="s">
        <v>76</v>
      </c>
      <c r="B254" s="2820"/>
      <c r="C254" s="2821" t="s">
        <v>77</v>
      </c>
      <c r="D254" s="2821"/>
      <c r="E254" s="2821"/>
      <c r="F254" s="2821"/>
      <c r="G254" s="2821"/>
      <c r="H254" s="2821"/>
      <c r="I254" s="577" t="s">
        <v>78</v>
      </c>
      <c r="J254" s="577"/>
      <c r="K254" s="577"/>
      <c r="L254" s="577"/>
      <c r="M254" s="577"/>
      <c r="N254" s="577"/>
      <c r="AB254" s="578"/>
    </row>
    <row r="255" spans="1:32" s="510" customFormat="1" ht="15.75" x14ac:dyDescent="0.25">
      <c r="A255" s="739"/>
      <c r="B255" s="579"/>
      <c r="C255" s="577"/>
      <c r="D255" s="577"/>
      <c r="E255" s="577"/>
      <c r="F255" s="577"/>
      <c r="G255" s="577"/>
      <c r="H255" s="577"/>
      <c r="I255" s="577" t="s">
        <v>79</v>
      </c>
      <c r="J255" s="577"/>
      <c r="K255" s="577"/>
      <c r="L255" s="577"/>
      <c r="M255" s="577"/>
      <c r="N255" s="577"/>
      <c r="AB255" s="578"/>
    </row>
    <row r="256" spans="1:32" s="510" customFormat="1" ht="15.75" x14ac:dyDescent="0.25">
      <c r="A256" s="739"/>
      <c r="B256" s="579"/>
      <c r="C256" s="577"/>
      <c r="D256" s="577"/>
      <c r="E256" s="577"/>
      <c r="F256" s="577"/>
      <c r="G256" s="577"/>
      <c r="H256" s="577"/>
      <c r="I256" s="577" t="s">
        <v>80</v>
      </c>
      <c r="J256" s="577"/>
      <c r="K256" s="577"/>
      <c r="L256" s="577"/>
      <c r="M256" s="577"/>
      <c r="N256" s="577"/>
      <c r="AB256" s="578"/>
    </row>
    <row r="257" spans="1:32" s="510" customFormat="1" ht="15.75" x14ac:dyDescent="0.25">
      <c r="A257" s="739"/>
      <c r="B257" s="579"/>
      <c r="C257" s="577"/>
      <c r="D257" s="577"/>
      <c r="E257" s="577"/>
      <c r="F257" s="577"/>
      <c r="G257" s="577"/>
      <c r="H257" s="577"/>
      <c r="I257" s="577" t="s">
        <v>81</v>
      </c>
      <c r="J257" s="577"/>
      <c r="K257" s="577"/>
      <c r="L257" s="577"/>
      <c r="M257" s="577"/>
      <c r="N257" s="577"/>
      <c r="AB257" s="578"/>
    </row>
    <row r="258" spans="1:32" s="510" customFormat="1" ht="15.75" x14ac:dyDescent="0.25">
      <c r="A258" s="739"/>
      <c r="B258" s="579"/>
      <c r="C258" s="577"/>
      <c r="D258" s="577"/>
      <c r="E258" s="577"/>
      <c r="F258" s="577"/>
      <c r="G258" s="577"/>
      <c r="H258" s="577"/>
      <c r="I258" s="577" t="s">
        <v>88</v>
      </c>
      <c r="J258" s="577"/>
      <c r="K258" s="577"/>
      <c r="L258" s="577"/>
      <c r="M258" s="577"/>
      <c r="N258" s="577"/>
      <c r="AB258" s="578"/>
    </row>
    <row r="259" spans="1:32" s="510" customFormat="1" ht="18.75" x14ac:dyDescent="0.2">
      <c r="A259" s="735"/>
      <c r="B259" s="338"/>
      <c r="C259" s="338"/>
      <c r="D259" s="338"/>
      <c r="E259" s="338"/>
      <c r="F259" s="338"/>
      <c r="G259" s="338"/>
      <c r="H259" s="338"/>
      <c r="I259" s="338"/>
      <c r="J259" s="338"/>
      <c r="K259" s="338"/>
      <c r="L259" s="338"/>
      <c r="M259" s="338"/>
      <c r="N259" s="338"/>
      <c r="O259" s="338"/>
      <c r="P259" s="338"/>
      <c r="Q259" s="338"/>
      <c r="R259" s="338"/>
      <c r="S259" s="338"/>
      <c r="T259" s="338"/>
      <c r="U259" s="338"/>
      <c r="V259" s="338"/>
      <c r="W259" s="338"/>
      <c r="X259" s="338"/>
      <c r="Y259" s="338"/>
      <c r="Z259" s="338"/>
      <c r="AA259" s="2774" t="s">
        <v>0</v>
      </c>
      <c r="AB259" s="2774"/>
      <c r="AC259" s="338"/>
      <c r="AD259" s="338"/>
      <c r="AE259" s="338"/>
      <c r="AF259" s="338"/>
    </row>
    <row r="260" spans="1:32" s="510" customFormat="1" ht="18.75" x14ac:dyDescent="0.2">
      <c r="A260" s="2703" t="s">
        <v>1</v>
      </c>
      <c r="B260" s="2703"/>
      <c r="C260" s="2703"/>
      <c r="D260" s="2703"/>
      <c r="E260" s="2703"/>
      <c r="F260" s="2703"/>
      <c r="G260" s="2703"/>
      <c r="H260" s="2703"/>
      <c r="I260" s="2703"/>
      <c r="J260" s="2703"/>
      <c r="K260" s="2703"/>
      <c r="L260" s="2703"/>
      <c r="M260" s="2703"/>
      <c r="N260" s="2703"/>
      <c r="O260" s="2703"/>
      <c r="P260" s="2703"/>
      <c r="Q260" s="2703"/>
      <c r="R260" s="2703"/>
      <c r="S260" s="2703"/>
      <c r="T260" s="2703"/>
      <c r="U260" s="2703"/>
      <c r="V260" s="2703"/>
      <c r="W260" s="2703"/>
      <c r="X260" s="2703"/>
      <c r="Y260" s="2703"/>
      <c r="Z260" s="2703"/>
      <c r="AA260" s="2703"/>
      <c r="AB260" s="2703"/>
      <c r="AC260" s="344"/>
      <c r="AD260" s="344"/>
      <c r="AE260" s="344"/>
      <c r="AF260" s="344"/>
    </row>
    <row r="261" spans="1:32" s="510" customFormat="1" ht="21" x14ac:dyDescent="0.2">
      <c r="A261" s="2780" t="s">
        <v>541</v>
      </c>
      <c r="B261" s="2780"/>
      <c r="C261" s="2780"/>
      <c r="D261" s="2780"/>
      <c r="E261" s="2780"/>
      <c r="F261" s="2780"/>
      <c r="G261" s="2780"/>
      <c r="H261" s="2780"/>
      <c r="I261" s="2780"/>
      <c r="J261" s="2780"/>
      <c r="K261" s="2780"/>
      <c r="L261" s="2780"/>
      <c r="M261" s="2780"/>
      <c r="N261" s="2780"/>
      <c r="O261" s="2780"/>
      <c r="P261" s="2780"/>
      <c r="Q261" s="2780"/>
      <c r="R261" s="2780"/>
      <c r="S261" s="2780"/>
      <c r="T261" s="2780"/>
      <c r="U261" s="2780"/>
      <c r="V261" s="2780"/>
      <c r="W261" s="2780"/>
      <c r="X261" s="2780"/>
      <c r="Y261" s="2780"/>
      <c r="Z261" s="2780"/>
      <c r="AA261" s="2780"/>
      <c r="AB261" s="2780"/>
      <c r="AC261" s="345"/>
      <c r="AD261" s="345"/>
      <c r="AE261" s="345"/>
      <c r="AF261" s="345"/>
    </row>
    <row r="262" spans="1:32" s="510" customFormat="1" ht="15" x14ac:dyDescent="0.25">
      <c r="A262" s="2686" t="s">
        <v>2</v>
      </c>
      <c r="B262" s="511"/>
      <c r="C262" s="2686" t="s">
        <v>3</v>
      </c>
      <c r="D262" s="511"/>
      <c r="E262" s="511"/>
      <c r="F262" s="2693" t="s">
        <v>4</v>
      </c>
      <c r="G262" s="2693"/>
      <c r="H262" s="2693"/>
      <c r="I262" s="2694"/>
      <c r="J262" s="2694"/>
      <c r="K262" s="2695"/>
      <c r="L262" s="361"/>
      <c r="M262" s="2679" t="s">
        <v>5</v>
      </c>
      <c r="N262" s="2679"/>
      <c r="O262" s="2679"/>
      <c r="P262" s="2679"/>
      <c r="Q262" s="2696"/>
      <c r="R262" s="2696"/>
      <c r="S262" s="2696"/>
      <c r="T262" s="2696"/>
      <c r="U262" s="2696"/>
      <c r="V262" s="2697"/>
      <c r="W262" s="512" t="s">
        <v>6</v>
      </c>
      <c r="X262" s="513" t="s">
        <v>7</v>
      </c>
      <c r="Y262" s="514"/>
      <c r="Z262" s="514"/>
      <c r="AA262" s="513"/>
      <c r="AB262" s="515"/>
      <c r="AC262" s="516" t="s">
        <v>8</v>
      </c>
      <c r="AD262" s="346"/>
      <c r="AE262" s="346"/>
      <c r="AF262" s="517"/>
    </row>
    <row r="263" spans="1:32" s="510" customFormat="1" x14ac:dyDescent="0.2">
      <c r="A263" s="2687"/>
      <c r="B263" s="367"/>
      <c r="C263" s="2687"/>
      <c r="D263" s="518" t="s">
        <v>9</v>
      </c>
      <c r="E263" s="519" t="s">
        <v>10</v>
      </c>
      <c r="F263" s="2698" t="s">
        <v>11</v>
      </c>
      <c r="G263" s="2694"/>
      <c r="H263" s="2695"/>
      <c r="I263" s="511"/>
      <c r="J263" s="520" t="s">
        <v>12</v>
      </c>
      <c r="K263" s="511"/>
      <c r="L263" s="2679" t="s">
        <v>2</v>
      </c>
      <c r="M263" s="521"/>
      <c r="N263" s="521"/>
      <c r="O263" s="521"/>
      <c r="P263" s="522"/>
      <c r="Q263" s="523" t="s">
        <v>13</v>
      </c>
      <c r="R263" s="524" t="s">
        <v>12</v>
      </c>
      <c r="S263" s="521" t="s">
        <v>6</v>
      </c>
      <c r="T263" s="2682" t="s">
        <v>14</v>
      </c>
      <c r="U263" s="2683"/>
      <c r="V263" s="525" t="s">
        <v>7</v>
      </c>
      <c r="W263" s="526" t="s">
        <v>15</v>
      </c>
      <c r="X263" s="527" t="s">
        <v>16</v>
      </c>
      <c r="Y263" s="527" t="s">
        <v>17</v>
      </c>
      <c r="Z263" s="527" t="s">
        <v>18</v>
      </c>
      <c r="AA263" s="377"/>
      <c r="AB263" s="378" t="s">
        <v>19</v>
      </c>
      <c r="AC263" s="528" t="s">
        <v>20</v>
      </c>
      <c r="AD263" s="529"/>
      <c r="AE263" s="347" t="s">
        <v>21</v>
      </c>
      <c r="AF263" s="340" t="s">
        <v>22</v>
      </c>
    </row>
    <row r="264" spans="1:32" s="510" customFormat="1" x14ac:dyDescent="0.2">
      <c r="A264" s="2687"/>
      <c r="B264" s="2024" t="s">
        <v>23</v>
      </c>
      <c r="C264" s="2687"/>
      <c r="D264" s="518" t="s">
        <v>24</v>
      </c>
      <c r="E264" s="519" t="s">
        <v>25</v>
      </c>
      <c r="F264" s="2699"/>
      <c r="G264" s="2700"/>
      <c r="H264" s="2701"/>
      <c r="I264" s="518" t="s">
        <v>26</v>
      </c>
      <c r="J264" s="530" t="s">
        <v>15</v>
      </c>
      <c r="K264" s="531" t="s">
        <v>6</v>
      </c>
      <c r="L264" s="2680"/>
      <c r="M264" s="532" t="s">
        <v>27</v>
      </c>
      <c r="N264" s="532" t="s">
        <v>10</v>
      </c>
      <c r="O264" s="533" t="s">
        <v>10</v>
      </c>
      <c r="P264" s="534" t="s">
        <v>28</v>
      </c>
      <c r="Q264" s="535" t="s">
        <v>29</v>
      </c>
      <c r="R264" s="534" t="s">
        <v>15</v>
      </c>
      <c r="S264" s="385" t="s">
        <v>15</v>
      </c>
      <c r="T264" s="2684"/>
      <c r="U264" s="2685"/>
      <c r="V264" s="525" t="s">
        <v>30</v>
      </c>
      <c r="W264" s="526" t="s">
        <v>31</v>
      </c>
      <c r="X264" s="527" t="s">
        <v>30</v>
      </c>
      <c r="Y264" s="527" t="s">
        <v>32</v>
      </c>
      <c r="Z264" s="527" t="s">
        <v>7</v>
      </c>
      <c r="AA264" s="377" t="s">
        <v>33</v>
      </c>
      <c r="AB264" s="378" t="s">
        <v>34</v>
      </c>
      <c r="AC264" s="528" t="s">
        <v>35</v>
      </c>
      <c r="AD264" s="347" t="s">
        <v>36</v>
      </c>
      <c r="AE264" s="347" t="s">
        <v>37</v>
      </c>
      <c r="AF264" s="340" t="s">
        <v>38</v>
      </c>
    </row>
    <row r="265" spans="1:32" s="510" customFormat="1" x14ac:dyDescent="0.2">
      <c r="A265" s="2687"/>
      <c r="B265" s="2024" t="s">
        <v>39</v>
      </c>
      <c r="C265" s="2687"/>
      <c r="D265" s="518" t="s">
        <v>40</v>
      </c>
      <c r="E265" s="519" t="s">
        <v>41</v>
      </c>
      <c r="F265" s="2686" t="s">
        <v>42</v>
      </c>
      <c r="G265" s="2686" t="s">
        <v>43</v>
      </c>
      <c r="H265" s="2688" t="s">
        <v>44</v>
      </c>
      <c r="I265" s="518" t="s">
        <v>45</v>
      </c>
      <c r="J265" s="530" t="s">
        <v>46</v>
      </c>
      <c r="K265" s="531" t="s">
        <v>47</v>
      </c>
      <c r="L265" s="2680"/>
      <c r="M265" s="532" t="s">
        <v>30</v>
      </c>
      <c r="N265" s="532" t="s">
        <v>30</v>
      </c>
      <c r="O265" s="533" t="s">
        <v>25</v>
      </c>
      <c r="P265" s="534" t="s">
        <v>30</v>
      </c>
      <c r="Q265" s="535" t="s">
        <v>48</v>
      </c>
      <c r="R265" s="534" t="s">
        <v>49</v>
      </c>
      <c r="S265" s="385" t="s">
        <v>30</v>
      </c>
      <c r="T265" s="536" t="s">
        <v>50</v>
      </c>
      <c r="U265" s="537" t="s">
        <v>13</v>
      </c>
      <c r="V265" s="525" t="s">
        <v>51</v>
      </c>
      <c r="W265" s="526" t="s">
        <v>52</v>
      </c>
      <c r="X265" s="527" t="s">
        <v>53</v>
      </c>
      <c r="Y265" s="527" t="s">
        <v>54</v>
      </c>
      <c r="Z265" s="527" t="s">
        <v>55</v>
      </c>
      <c r="AA265" s="377" t="s">
        <v>56</v>
      </c>
      <c r="AB265" s="378" t="s">
        <v>57</v>
      </c>
      <c r="AC265" s="347" t="s">
        <v>58</v>
      </c>
      <c r="AD265" s="347" t="s">
        <v>59</v>
      </c>
      <c r="AE265" s="347" t="s">
        <v>59</v>
      </c>
      <c r="AF265" s="340" t="s">
        <v>60</v>
      </c>
    </row>
    <row r="266" spans="1:32" s="510" customFormat="1" ht="15" x14ac:dyDescent="0.25">
      <c r="A266" s="2687"/>
      <c r="B266" s="2024" t="s">
        <v>61</v>
      </c>
      <c r="C266" s="2687"/>
      <c r="D266" s="518" t="s">
        <v>62</v>
      </c>
      <c r="E266" s="519" t="s">
        <v>63</v>
      </c>
      <c r="F266" s="2687"/>
      <c r="G266" s="2687"/>
      <c r="H266" s="2689"/>
      <c r="I266" s="518" t="s">
        <v>64</v>
      </c>
      <c r="J266" s="530" t="s">
        <v>59</v>
      </c>
      <c r="K266" s="531" t="s">
        <v>59</v>
      </c>
      <c r="L266" s="2680"/>
      <c r="M266" s="532"/>
      <c r="N266" s="532"/>
      <c r="O266" s="533" t="s">
        <v>41</v>
      </c>
      <c r="P266" s="534" t="s">
        <v>65</v>
      </c>
      <c r="Q266" s="535" t="s">
        <v>66</v>
      </c>
      <c r="R266" s="534" t="s">
        <v>67</v>
      </c>
      <c r="S266" s="385" t="s">
        <v>59</v>
      </c>
      <c r="T266" s="538" t="s">
        <v>68</v>
      </c>
      <c r="U266" s="525" t="s">
        <v>14</v>
      </c>
      <c r="V266" s="525" t="s">
        <v>14</v>
      </c>
      <c r="W266" s="526" t="s">
        <v>30</v>
      </c>
      <c r="X266" s="539" t="s">
        <v>69</v>
      </c>
      <c r="Y266" s="539" t="s">
        <v>70</v>
      </c>
      <c r="Z266" s="527" t="s">
        <v>71</v>
      </c>
      <c r="AA266" s="377" t="s">
        <v>72</v>
      </c>
      <c r="AB266" s="540" t="s">
        <v>59</v>
      </c>
      <c r="AC266" s="347" t="s">
        <v>59</v>
      </c>
      <c r="AD266" s="347"/>
      <c r="AE266" s="347"/>
      <c r="AF266" s="340" t="s">
        <v>59</v>
      </c>
    </row>
    <row r="267" spans="1:32" s="510" customFormat="1" x14ac:dyDescent="0.2">
      <c r="A267" s="2692"/>
      <c r="B267" s="390"/>
      <c r="C267" s="2692"/>
      <c r="D267" s="541"/>
      <c r="E267" s="542"/>
      <c r="F267" s="390"/>
      <c r="G267" s="390"/>
      <c r="H267" s="391"/>
      <c r="I267" s="542"/>
      <c r="J267" s="543"/>
      <c r="K267" s="544"/>
      <c r="L267" s="2681"/>
      <c r="M267" s="545"/>
      <c r="N267" s="545"/>
      <c r="O267" s="545" t="s">
        <v>63</v>
      </c>
      <c r="P267" s="546"/>
      <c r="Q267" s="547" t="s">
        <v>72</v>
      </c>
      <c r="R267" s="548" t="s">
        <v>59</v>
      </c>
      <c r="S267" s="549"/>
      <c r="T267" s="548" t="s">
        <v>73</v>
      </c>
      <c r="U267" s="549" t="s">
        <v>59</v>
      </c>
      <c r="V267" s="550" t="s">
        <v>59</v>
      </c>
      <c r="W267" s="551" t="s">
        <v>59</v>
      </c>
      <c r="X267" s="552" t="s">
        <v>59</v>
      </c>
      <c r="Y267" s="552" t="s">
        <v>59</v>
      </c>
      <c r="Z267" s="552" t="s">
        <v>59</v>
      </c>
      <c r="AA267" s="402"/>
      <c r="AB267" s="403"/>
      <c r="AC267" s="348"/>
      <c r="AD267" s="348"/>
      <c r="AE267" s="348"/>
      <c r="AF267" s="341"/>
    </row>
    <row r="268" spans="1:32" s="510" customFormat="1" ht="15" x14ac:dyDescent="0.25">
      <c r="A268" s="45">
        <v>1</v>
      </c>
      <c r="B268" s="273">
        <v>58019</v>
      </c>
      <c r="C268" s="27">
        <v>2222</v>
      </c>
      <c r="D268" s="41" t="s">
        <v>245</v>
      </c>
      <c r="E268" s="27">
        <v>2</v>
      </c>
      <c r="F268" s="27">
        <v>0</v>
      </c>
      <c r="G268" s="27">
        <v>0</v>
      </c>
      <c r="H268" s="557">
        <v>56</v>
      </c>
      <c r="I268" s="18">
        <f t="shared" ref="I268:I269" si="31">F268*400+G268*100+H268</f>
        <v>56</v>
      </c>
      <c r="J268" s="23">
        <v>20000</v>
      </c>
      <c r="K268" s="39">
        <f t="shared" ref="K268:K270" si="32">SUM(I268*J268)</f>
        <v>1120000</v>
      </c>
      <c r="L268" s="45">
        <v>1</v>
      </c>
      <c r="M268" s="61">
        <v>105</v>
      </c>
      <c r="N268" s="50" t="s">
        <v>74</v>
      </c>
      <c r="O268" s="50">
        <v>2</v>
      </c>
      <c r="P268" s="19">
        <v>130</v>
      </c>
      <c r="Q268" s="62" t="s">
        <v>75</v>
      </c>
      <c r="R268" s="260">
        <v>8800</v>
      </c>
      <c r="S268" s="18">
        <f>R268*P268</f>
        <v>1144000</v>
      </c>
      <c r="T268" s="20">
        <v>7</v>
      </c>
      <c r="U268" s="47">
        <f>S268*0.07</f>
        <v>80080.000000000015</v>
      </c>
      <c r="V268" s="47">
        <f>S268-U268</f>
        <v>1063920</v>
      </c>
      <c r="W268" s="18">
        <f>V268+K268</f>
        <v>2183920</v>
      </c>
      <c r="X268" s="47">
        <f>W268</f>
        <v>2183920</v>
      </c>
      <c r="Y268" s="1419"/>
      <c r="Z268" s="18">
        <f>X268</f>
        <v>2183920</v>
      </c>
      <c r="AA268" s="264">
        <v>0.02</v>
      </c>
      <c r="AB268" s="554">
        <f>+Z268*AA268/100</f>
        <v>436.78399999999999</v>
      </c>
      <c r="AC268" s="555"/>
      <c r="AD268" s="556">
        <f>AB268-AC268</f>
        <v>436.78399999999999</v>
      </c>
      <c r="AE268" s="556">
        <f>IF(AD268&lt;=0,0,AD268*25/100)</f>
        <v>109.196</v>
      </c>
      <c r="AF268" s="556">
        <f>IF(AC268+AE268&gt;AB268,AB268,AC268+AE268)</f>
        <v>109.196</v>
      </c>
    </row>
    <row r="269" spans="1:32" s="510" customFormat="1" ht="15" x14ac:dyDescent="0.25">
      <c r="A269" s="45">
        <v>2</v>
      </c>
      <c r="B269" s="269">
        <v>58020</v>
      </c>
      <c r="C269" s="62" t="s">
        <v>250</v>
      </c>
      <c r="D269" s="15" t="s">
        <v>245</v>
      </c>
      <c r="E269" s="273">
        <v>2</v>
      </c>
      <c r="F269" s="268">
        <v>0</v>
      </c>
      <c r="G269" s="269">
        <v>0</v>
      </c>
      <c r="H269" s="257">
        <v>70</v>
      </c>
      <c r="I269" s="18">
        <f t="shared" si="31"/>
        <v>70</v>
      </c>
      <c r="J269" s="23">
        <v>20000</v>
      </c>
      <c r="K269" s="39">
        <f t="shared" si="32"/>
        <v>1400000</v>
      </c>
      <c r="L269" s="269">
        <v>2</v>
      </c>
      <c r="M269" s="242">
        <v>105</v>
      </c>
      <c r="N269" s="269" t="s">
        <v>74</v>
      </c>
      <c r="O269" s="269">
        <v>2</v>
      </c>
      <c r="P269" s="266">
        <v>130</v>
      </c>
      <c r="Q269" s="285" t="s">
        <v>75</v>
      </c>
      <c r="R269" s="436">
        <v>8800</v>
      </c>
      <c r="S269" s="18">
        <f t="shared" ref="S269:S270" si="33">R269*P269</f>
        <v>1144000</v>
      </c>
      <c r="T269" s="286">
        <v>7</v>
      </c>
      <c r="U269" s="47">
        <f>S269*0.07</f>
        <v>80080.000000000015</v>
      </c>
      <c r="V269" s="47">
        <f t="shared" ref="V269:V270" si="34">S269-U269</f>
        <v>1063920</v>
      </c>
      <c r="W269" s="18">
        <f t="shared" ref="W269:W270" si="35">V269+K269</f>
        <v>2463920</v>
      </c>
      <c r="X269" s="47">
        <f>W269</f>
        <v>2463920</v>
      </c>
      <c r="Y269" s="1419"/>
      <c r="Z269" s="18">
        <f>X269</f>
        <v>2463920</v>
      </c>
      <c r="AA269" s="264">
        <v>0.02</v>
      </c>
      <c r="AB269" s="570">
        <f>+Z269*AA269/100</f>
        <v>492.78399999999999</v>
      </c>
      <c r="AC269" s="559"/>
      <c r="AD269" s="559"/>
      <c r="AE269" s="559"/>
      <c r="AF269" s="559"/>
    </row>
    <row r="270" spans="1:32" s="510" customFormat="1" ht="15" x14ac:dyDescent="0.25">
      <c r="A270" s="45">
        <v>3</v>
      </c>
      <c r="B270" s="255">
        <v>58018</v>
      </c>
      <c r="C270" s="76" t="s">
        <v>280</v>
      </c>
      <c r="D270" s="15" t="s">
        <v>245</v>
      </c>
      <c r="E270" s="287">
        <v>2</v>
      </c>
      <c r="F270" s="709">
        <v>0</v>
      </c>
      <c r="G270" s="255">
        <v>0</v>
      </c>
      <c r="H270" s="19">
        <v>56</v>
      </c>
      <c r="I270" s="18">
        <v>56</v>
      </c>
      <c r="J270" s="23">
        <v>20000</v>
      </c>
      <c r="K270" s="39">
        <f t="shared" si="32"/>
        <v>1120000</v>
      </c>
      <c r="L270" s="255">
        <v>3</v>
      </c>
      <c r="M270" s="241">
        <v>105</v>
      </c>
      <c r="N270" s="273" t="s">
        <v>74</v>
      </c>
      <c r="O270" s="255">
        <v>2</v>
      </c>
      <c r="P270" s="848">
        <v>130</v>
      </c>
      <c r="Q270" s="1084" t="s">
        <v>75</v>
      </c>
      <c r="R270" s="1391">
        <v>8800</v>
      </c>
      <c r="S270" s="18">
        <f t="shared" si="33"/>
        <v>1144000</v>
      </c>
      <c r="T270" s="1464">
        <v>7</v>
      </c>
      <c r="U270" s="47">
        <f>S270*0.07</f>
        <v>80080.000000000015</v>
      </c>
      <c r="V270" s="47">
        <f t="shared" si="34"/>
        <v>1063920</v>
      </c>
      <c r="W270" s="18">
        <f t="shared" si="35"/>
        <v>2183920</v>
      </c>
      <c r="X270" s="47">
        <f>W270</f>
        <v>2183920</v>
      </c>
      <c r="Y270" s="1419"/>
      <c r="Z270" s="18">
        <f>X270</f>
        <v>2183920</v>
      </c>
      <c r="AA270" s="264">
        <v>0.02</v>
      </c>
      <c r="AB270" s="570">
        <f>+Z270*AA270/100</f>
        <v>436.78399999999999</v>
      </c>
      <c r="AC270" s="559"/>
      <c r="AD270" s="559"/>
      <c r="AE270" s="559"/>
      <c r="AF270" s="559"/>
    </row>
    <row r="271" spans="1:32" s="510" customFormat="1" ht="15" x14ac:dyDescent="0.25">
      <c r="A271" s="15"/>
      <c r="B271" s="325"/>
      <c r="C271" s="21"/>
      <c r="D271" s="15"/>
      <c r="E271" s="15"/>
      <c r="F271" s="15"/>
      <c r="G271" s="15"/>
      <c r="H271" s="22"/>
      <c r="I271" s="23"/>
      <c r="J271" s="24"/>
      <c r="K271" s="23"/>
      <c r="L271" s="15"/>
      <c r="M271" s="15"/>
      <c r="N271" s="15"/>
      <c r="O271" s="15"/>
      <c r="P271" s="22"/>
      <c r="Q271" s="25"/>
      <c r="R271" s="563"/>
      <c r="S271" s="23"/>
      <c r="T271" s="26"/>
      <c r="U271" s="24"/>
      <c r="V271" s="23"/>
      <c r="W271" s="23"/>
      <c r="X271" s="564"/>
      <c r="Y271" s="564"/>
      <c r="Z271" s="565"/>
      <c r="AA271" s="565"/>
      <c r="AB271" s="566"/>
      <c r="AC271" s="559"/>
      <c r="AD271" s="559"/>
      <c r="AE271" s="559"/>
      <c r="AF271" s="559"/>
    </row>
    <row r="272" spans="1:32" s="510" customFormat="1" x14ac:dyDescent="0.2">
      <c r="A272" s="15"/>
      <c r="B272" s="21"/>
      <c r="C272" s="21"/>
      <c r="D272" s="15"/>
      <c r="E272" s="15"/>
      <c r="F272" s="15"/>
      <c r="G272" s="15"/>
      <c r="H272" s="22"/>
      <c r="I272" s="23"/>
      <c r="J272" s="24"/>
      <c r="K272" s="23"/>
      <c r="L272" s="15"/>
      <c r="M272" s="15"/>
      <c r="N272" s="15"/>
      <c r="O272" s="15"/>
      <c r="P272" s="22"/>
      <c r="Q272" s="25"/>
      <c r="R272" s="563"/>
      <c r="S272" s="23"/>
      <c r="T272" s="26"/>
      <c r="U272" s="24"/>
      <c r="V272" s="23"/>
      <c r="W272" s="23"/>
      <c r="X272" s="564"/>
      <c r="Y272" s="564"/>
      <c r="Z272" s="565"/>
      <c r="AA272" s="565"/>
      <c r="AB272" s="566"/>
      <c r="AC272" s="559"/>
      <c r="AD272" s="559"/>
      <c r="AE272" s="559"/>
      <c r="AF272" s="559"/>
    </row>
    <row r="273" spans="1:32" s="510" customFormat="1" x14ac:dyDescent="0.2">
      <c r="A273" s="15"/>
      <c r="B273" s="21"/>
      <c r="C273" s="21"/>
      <c r="D273" s="15"/>
      <c r="E273" s="15"/>
      <c r="F273" s="15"/>
      <c r="G273" s="15"/>
      <c r="H273" s="22"/>
      <c r="I273" s="23"/>
      <c r="J273" s="24"/>
      <c r="K273" s="23"/>
      <c r="L273" s="15"/>
      <c r="M273" s="15"/>
      <c r="N273" s="15"/>
      <c r="O273" s="15"/>
      <c r="P273" s="22"/>
      <c r="Q273" s="25"/>
      <c r="R273" s="563"/>
      <c r="S273" s="23"/>
      <c r="T273" s="26"/>
      <c r="U273" s="24"/>
      <c r="V273" s="23"/>
      <c r="W273" s="23"/>
      <c r="X273" s="564"/>
      <c r="Y273" s="564"/>
      <c r="Z273" s="565"/>
      <c r="AA273" s="565"/>
      <c r="AB273" s="566"/>
      <c r="AC273" s="559"/>
      <c r="AD273" s="559"/>
      <c r="AE273" s="559"/>
      <c r="AF273" s="559"/>
    </row>
    <row r="274" spans="1:32" s="510" customFormat="1" x14ac:dyDescent="0.2">
      <c r="A274" s="15"/>
      <c r="B274" s="21"/>
      <c r="C274" s="21"/>
      <c r="D274" s="15"/>
      <c r="E274" s="15"/>
      <c r="F274" s="15"/>
      <c r="G274" s="15"/>
      <c r="H274" s="22"/>
      <c r="I274" s="23"/>
      <c r="J274" s="24"/>
      <c r="K274" s="23"/>
      <c r="L274" s="15"/>
      <c r="M274" s="15"/>
      <c r="N274" s="15"/>
      <c r="O274" s="15"/>
      <c r="P274" s="22"/>
      <c r="Q274" s="25"/>
      <c r="R274" s="563"/>
      <c r="S274" s="23"/>
      <c r="T274" s="26"/>
      <c r="U274" s="24"/>
      <c r="V274" s="23"/>
      <c r="W274" s="23"/>
      <c r="X274" s="564"/>
      <c r="Y274" s="564"/>
      <c r="Z274" s="565"/>
      <c r="AA274" s="565"/>
      <c r="AB274" s="566"/>
      <c r="AC274" s="559"/>
      <c r="AD274" s="559"/>
      <c r="AE274" s="559"/>
      <c r="AF274" s="559"/>
    </row>
    <row r="275" spans="1:32" s="510" customFormat="1" x14ac:dyDescent="0.2">
      <c r="A275" s="15"/>
      <c r="B275" s="21"/>
      <c r="C275" s="21"/>
      <c r="D275" s="15"/>
      <c r="E275" s="15"/>
      <c r="F275" s="15"/>
      <c r="G275" s="15"/>
      <c r="H275" s="22"/>
      <c r="I275" s="23"/>
      <c r="J275" s="24"/>
      <c r="K275" s="23"/>
      <c r="L275" s="15"/>
      <c r="M275" s="15"/>
      <c r="N275" s="15"/>
      <c r="O275" s="15"/>
      <c r="P275" s="22"/>
      <c r="Q275" s="25"/>
      <c r="R275" s="563"/>
      <c r="S275" s="23"/>
      <c r="T275" s="26"/>
      <c r="U275" s="24"/>
      <c r="V275" s="23"/>
      <c r="W275" s="23"/>
      <c r="X275" s="564"/>
      <c r="Y275" s="564"/>
      <c r="Z275" s="565"/>
      <c r="AA275" s="565"/>
      <c r="AB275" s="566"/>
      <c r="AC275" s="559"/>
      <c r="AD275" s="559"/>
      <c r="AE275" s="559"/>
      <c r="AF275" s="559"/>
    </row>
    <row r="276" spans="1:32" s="510" customFormat="1" x14ac:dyDescent="0.2">
      <c r="A276" s="15"/>
      <c r="B276" s="21"/>
      <c r="C276" s="21"/>
      <c r="D276" s="15"/>
      <c r="E276" s="15"/>
      <c r="F276" s="15"/>
      <c r="G276" s="15"/>
      <c r="H276" s="22"/>
      <c r="I276" s="23"/>
      <c r="J276" s="24"/>
      <c r="K276" s="23"/>
      <c r="L276" s="15"/>
      <c r="M276" s="15"/>
      <c r="N276" s="15"/>
      <c r="O276" s="15"/>
      <c r="P276" s="22"/>
      <c r="Q276" s="25"/>
      <c r="R276" s="563"/>
      <c r="S276" s="23"/>
      <c r="T276" s="26"/>
      <c r="U276" s="24"/>
      <c r="V276" s="23"/>
      <c r="W276" s="23"/>
      <c r="X276" s="564"/>
      <c r="Y276" s="564"/>
      <c r="Z276" s="565"/>
      <c r="AA276" s="565"/>
      <c r="AB276" s="566"/>
      <c r="AC276" s="559"/>
      <c r="AD276" s="559"/>
      <c r="AE276" s="559"/>
      <c r="AF276" s="559"/>
    </row>
    <row r="277" spans="1:32" s="510" customFormat="1" x14ac:dyDescent="0.2">
      <c r="A277" s="15"/>
      <c r="B277" s="21"/>
      <c r="C277" s="21"/>
      <c r="D277" s="15"/>
      <c r="E277" s="15"/>
      <c r="F277" s="15"/>
      <c r="G277" s="15"/>
      <c r="H277" s="22"/>
      <c r="I277" s="23"/>
      <c r="J277" s="24"/>
      <c r="K277" s="23"/>
      <c r="L277" s="15"/>
      <c r="M277" s="15"/>
      <c r="N277" s="15"/>
      <c r="O277" s="15"/>
      <c r="P277" s="22"/>
      <c r="Q277" s="25"/>
      <c r="R277" s="563"/>
      <c r="S277" s="23"/>
      <c r="T277" s="26"/>
      <c r="U277" s="24"/>
      <c r="V277" s="23"/>
      <c r="W277" s="23"/>
      <c r="X277" s="564"/>
      <c r="Y277" s="564"/>
      <c r="Z277" s="565"/>
      <c r="AA277" s="565"/>
      <c r="AB277" s="566"/>
      <c r="AC277" s="559"/>
      <c r="AD277" s="559"/>
      <c r="AE277" s="559"/>
      <c r="AF277" s="559"/>
    </row>
    <row r="278" spans="1:32" s="510" customFormat="1" x14ac:dyDescent="0.2">
      <c r="A278" s="15"/>
      <c r="B278" s="21"/>
      <c r="C278" s="21"/>
      <c r="D278" s="15"/>
      <c r="E278" s="15"/>
      <c r="F278" s="15"/>
      <c r="G278" s="15"/>
      <c r="H278" s="22"/>
      <c r="I278" s="23"/>
      <c r="J278" s="24"/>
      <c r="K278" s="23"/>
      <c r="L278" s="15"/>
      <c r="M278" s="15"/>
      <c r="N278" s="15"/>
      <c r="O278" s="15"/>
      <c r="P278" s="22"/>
      <c r="Q278" s="25"/>
      <c r="R278" s="563"/>
      <c r="S278" s="23"/>
      <c r="T278" s="26"/>
      <c r="U278" s="24"/>
      <c r="V278" s="23"/>
      <c r="W278" s="23"/>
      <c r="X278" s="564"/>
      <c r="Y278" s="564"/>
      <c r="Z278" s="565"/>
      <c r="AA278" s="565"/>
      <c r="AB278" s="566"/>
      <c r="AC278" s="559"/>
      <c r="AD278" s="559"/>
      <c r="AE278" s="559"/>
      <c r="AF278" s="559"/>
    </row>
    <row r="279" spans="1:32" s="510" customFormat="1" x14ac:dyDescent="0.2">
      <c r="A279" s="15"/>
      <c r="B279" s="21"/>
      <c r="C279" s="21"/>
      <c r="D279" s="15"/>
      <c r="E279" s="15"/>
      <c r="F279" s="15"/>
      <c r="G279" s="15"/>
      <c r="H279" s="22"/>
      <c r="I279" s="23"/>
      <c r="J279" s="24"/>
      <c r="K279" s="23"/>
      <c r="L279" s="15"/>
      <c r="M279" s="15"/>
      <c r="N279" s="15"/>
      <c r="O279" s="15"/>
      <c r="P279" s="22"/>
      <c r="Q279" s="25"/>
      <c r="R279" s="563"/>
      <c r="S279" s="23"/>
      <c r="T279" s="26"/>
      <c r="U279" s="24"/>
      <c r="V279" s="23"/>
      <c r="W279" s="23"/>
      <c r="X279" s="564"/>
      <c r="Y279" s="564"/>
      <c r="Z279" s="565"/>
      <c r="AA279" s="565"/>
      <c r="AB279" s="566"/>
      <c r="AC279" s="559"/>
      <c r="AD279" s="559"/>
      <c r="AE279" s="559"/>
      <c r="AF279" s="559"/>
    </row>
    <row r="280" spans="1:32" s="510" customFormat="1" x14ac:dyDescent="0.2">
      <c r="A280" s="15"/>
      <c r="B280" s="21"/>
      <c r="C280" s="21"/>
      <c r="D280" s="15"/>
      <c r="E280" s="15"/>
      <c r="F280" s="15"/>
      <c r="G280" s="15"/>
      <c r="H280" s="22"/>
      <c r="I280" s="23"/>
      <c r="J280" s="24"/>
      <c r="K280" s="23"/>
      <c r="L280" s="15"/>
      <c r="M280" s="15"/>
      <c r="N280" s="15"/>
      <c r="O280" s="15"/>
      <c r="P280" s="22"/>
      <c r="Q280" s="25"/>
      <c r="R280" s="563"/>
      <c r="S280" s="23"/>
      <c r="T280" s="26"/>
      <c r="U280" s="24"/>
      <c r="V280" s="23"/>
      <c r="W280" s="23"/>
      <c r="X280" s="564"/>
      <c r="Y280" s="564"/>
      <c r="Z280" s="565"/>
      <c r="AA280" s="565"/>
      <c r="AB280" s="566"/>
      <c r="AC280" s="559"/>
      <c r="AD280" s="559"/>
      <c r="AE280" s="559"/>
      <c r="AF280" s="559"/>
    </row>
    <row r="281" spans="1:32" s="510" customFormat="1" x14ac:dyDescent="0.2">
      <c r="A281" s="15"/>
      <c r="B281" s="21"/>
      <c r="C281" s="21"/>
      <c r="D281" s="15"/>
      <c r="E281" s="15"/>
      <c r="F281" s="15"/>
      <c r="G281" s="15"/>
      <c r="H281" s="22"/>
      <c r="I281" s="23"/>
      <c r="J281" s="24"/>
      <c r="K281" s="23"/>
      <c r="L281" s="15"/>
      <c r="M281" s="15"/>
      <c r="N281" s="15"/>
      <c r="O281" s="15"/>
      <c r="P281" s="22"/>
      <c r="Q281" s="25"/>
      <c r="R281" s="563"/>
      <c r="S281" s="23"/>
      <c r="T281" s="26"/>
      <c r="U281" s="24"/>
      <c r="V281" s="23"/>
      <c r="W281" s="23"/>
      <c r="X281" s="564"/>
      <c r="Y281" s="564"/>
      <c r="Z281" s="565"/>
      <c r="AA281" s="565"/>
      <c r="AB281" s="566"/>
      <c r="AC281" s="559"/>
      <c r="AD281" s="559"/>
      <c r="AE281" s="559"/>
      <c r="AF281" s="559"/>
    </row>
    <row r="282" spans="1:32" s="510" customFormat="1" x14ac:dyDescent="0.2">
      <c r="A282" s="15"/>
      <c r="B282" s="21"/>
      <c r="C282" s="21"/>
      <c r="D282" s="15"/>
      <c r="E282" s="15"/>
      <c r="F282" s="15"/>
      <c r="G282" s="15"/>
      <c r="H282" s="22"/>
      <c r="I282" s="23"/>
      <c r="J282" s="24"/>
      <c r="K282" s="23"/>
      <c r="L282" s="15"/>
      <c r="M282" s="15"/>
      <c r="N282" s="15"/>
      <c r="O282" s="15"/>
      <c r="P282" s="22"/>
      <c r="Q282" s="25"/>
      <c r="R282" s="563"/>
      <c r="S282" s="23"/>
      <c r="T282" s="26"/>
      <c r="U282" s="24"/>
      <c r="V282" s="23"/>
      <c r="W282" s="23"/>
      <c r="X282" s="564"/>
      <c r="Y282" s="564"/>
      <c r="Z282" s="565"/>
      <c r="AA282" s="565"/>
      <c r="AB282" s="566"/>
      <c r="AC282" s="559"/>
      <c r="AD282" s="559"/>
      <c r="AE282" s="559"/>
      <c r="AF282" s="559"/>
    </row>
    <row r="283" spans="1:32" s="510" customFormat="1" x14ac:dyDescent="0.2">
      <c r="A283" s="15"/>
      <c r="B283" s="21"/>
      <c r="C283" s="21"/>
      <c r="D283" s="15"/>
      <c r="E283" s="15"/>
      <c r="F283" s="15"/>
      <c r="G283" s="15"/>
      <c r="H283" s="22"/>
      <c r="I283" s="23"/>
      <c r="J283" s="24"/>
      <c r="K283" s="23"/>
      <c r="L283" s="15"/>
      <c r="M283" s="15"/>
      <c r="N283" s="15"/>
      <c r="O283" s="15"/>
      <c r="P283" s="22"/>
      <c r="Q283" s="25"/>
      <c r="R283" s="563"/>
      <c r="S283" s="23"/>
      <c r="T283" s="26"/>
      <c r="U283" s="24"/>
      <c r="V283" s="23"/>
      <c r="W283" s="23"/>
      <c r="X283" s="564"/>
      <c r="Y283" s="564"/>
      <c r="Z283" s="565"/>
      <c r="AA283" s="565"/>
      <c r="AB283" s="566"/>
      <c r="AC283" s="559"/>
      <c r="AD283" s="559"/>
      <c r="AE283" s="559"/>
      <c r="AF283" s="559"/>
    </row>
    <row r="284" spans="1:32" s="510" customFormat="1" x14ac:dyDescent="0.2">
      <c r="A284" s="27"/>
      <c r="B284" s="28"/>
      <c r="C284" s="28"/>
      <c r="D284" s="27"/>
      <c r="E284" s="27"/>
      <c r="F284" s="27"/>
      <c r="G284" s="27"/>
      <c r="H284" s="29"/>
      <c r="I284" s="30"/>
      <c r="J284" s="31"/>
      <c r="K284" s="30"/>
      <c r="L284" s="27"/>
      <c r="M284" s="27"/>
      <c r="N284" s="27"/>
      <c r="O284" s="27"/>
      <c r="P284" s="27"/>
      <c r="Q284" s="32"/>
      <c r="R284" s="567"/>
      <c r="S284" s="30"/>
      <c r="T284" s="33"/>
      <c r="U284" s="31"/>
      <c r="V284" s="30"/>
      <c r="W284" s="30"/>
      <c r="X284" s="568"/>
      <c r="Y284" s="568"/>
      <c r="Z284" s="569"/>
      <c r="AA284" s="569"/>
      <c r="AB284" s="570"/>
      <c r="AC284" s="571"/>
      <c r="AD284" s="571"/>
      <c r="AE284" s="571"/>
      <c r="AF284" s="571"/>
    </row>
    <row r="285" spans="1:32" s="510" customFormat="1" ht="15" x14ac:dyDescent="0.25">
      <c r="A285" s="2027"/>
      <c r="B285" s="2027"/>
      <c r="C285" s="2027"/>
      <c r="D285" s="2027"/>
      <c r="E285" s="2027"/>
      <c r="F285" s="2027"/>
      <c r="G285" s="2027"/>
      <c r="H285" s="2028"/>
      <c r="I285" s="2029"/>
      <c r="J285" s="2030"/>
      <c r="K285" s="2029"/>
      <c r="L285" s="2029"/>
      <c r="M285" s="2029"/>
      <c r="N285" s="2029"/>
      <c r="O285" s="2029"/>
      <c r="P285" s="2029"/>
      <c r="Q285" s="2029"/>
      <c r="R285" s="2031"/>
      <c r="S285" s="2029"/>
      <c r="T285" s="2032"/>
      <c r="U285" s="2030"/>
      <c r="V285" s="2029"/>
      <c r="W285" s="2029"/>
      <c r="X285" s="2033"/>
      <c r="Y285" s="2033"/>
      <c r="Z285" s="2034"/>
      <c r="AA285" s="2034"/>
      <c r="AB285" s="2035">
        <f>SUM(AB268:AB284)</f>
        <v>1366.3519999999999</v>
      </c>
      <c r="AC285" s="2036"/>
      <c r="AD285" s="2036"/>
      <c r="AE285" s="2036"/>
      <c r="AF285" s="2036"/>
    </row>
    <row r="286" spans="1:32" s="510" customFormat="1" ht="15.75" x14ac:dyDescent="0.25">
      <c r="A286" s="2820" t="s">
        <v>76</v>
      </c>
      <c r="B286" s="2820"/>
      <c r="C286" s="2821" t="s">
        <v>77</v>
      </c>
      <c r="D286" s="2821"/>
      <c r="E286" s="2821"/>
      <c r="F286" s="2821"/>
      <c r="G286" s="2821"/>
      <c r="H286" s="2821"/>
      <c r="I286" s="577" t="s">
        <v>78</v>
      </c>
      <c r="J286" s="577"/>
      <c r="K286" s="577"/>
      <c r="L286" s="577"/>
      <c r="M286" s="577"/>
      <c r="N286" s="577"/>
      <c r="AB286" s="578"/>
    </row>
    <row r="287" spans="1:32" s="510" customFormat="1" ht="15.75" x14ac:dyDescent="0.25">
      <c r="A287" s="739"/>
      <c r="B287" s="579"/>
      <c r="C287" s="577"/>
      <c r="D287" s="577"/>
      <c r="E287" s="577"/>
      <c r="F287" s="577"/>
      <c r="G287" s="577"/>
      <c r="H287" s="577"/>
      <c r="I287" s="577" t="s">
        <v>79</v>
      </c>
      <c r="J287" s="577"/>
      <c r="K287" s="577"/>
      <c r="L287" s="577"/>
      <c r="M287" s="577"/>
      <c r="N287" s="577"/>
      <c r="AB287" s="578"/>
    </row>
    <row r="288" spans="1:32" s="510" customFormat="1" ht="15.75" x14ac:dyDescent="0.25">
      <c r="A288" s="739"/>
      <c r="B288" s="579"/>
      <c r="C288" s="577"/>
      <c r="D288" s="577"/>
      <c r="E288" s="577"/>
      <c r="F288" s="577"/>
      <c r="G288" s="577"/>
      <c r="H288" s="577"/>
      <c r="I288" s="577" t="s">
        <v>80</v>
      </c>
      <c r="J288" s="577"/>
      <c r="K288" s="577"/>
      <c r="L288" s="577"/>
      <c r="M288" s="577"/>
      <c r="N288" s="577"/>
      <c r="AB288" s="578"/>
    </row>
    <row r="289" spans="1:28" s="510" customFormat="1" ht="15.75" x14ac:dyDescent="0.25">
      <c r="A289" s="739"/>
      <c r="B289" s="579"/>
      <c r="C289" s="577"/>
      <c r="D289" s="577"/>
      <c r="E289" s="577"/>
      <c r="F289" s="577"/>
      <c r="G289" s="577"/>
      <c r="H289" s="577"/>
      <c r="I289" s="577" t="s">
        <v>81</v>
      </c>
      <c r="J289" s="577"/>
      <c r="K289" s="577"/>
      <c r="L289" s="577"/>
      <c r="M289" s="577"/>
      <c r="N289" s="577"/>
      <c r="AB289" s="578"/>
    </row>
    <row r="290" spans="1:28" s="510" customFormat="1" ht="15.75" x14ac:dyDescent="0.25">
      <c r="A290" s="739"/>
      <c r="B290" s="579"/>
      <c r="C290" s="577"/>
      <c r="D290" s="577"/>
      <c r="E290" s="577"/>
      <c r="F290" s="577"/>
      <c r="G290" s="577"/>
      <c r="H290" s="577"/>
      <c r="I290" s="577" t="s">
        <v>88</v>
      </c>
      <c r="J290" s="577"/>
      <c r="K290" s="577"/>
      <c r="L290" s="577"/>
      <c r="M290" s="577"/>
      <c r="N290" s="577"/>
      <c r="AB290" s="578"/>
    </row>
    <row r="291" spans="1:28" ht="15.75" x14ac:dyDescent="0.25">
      <c r="A291" s="733"/>
      <c r="B291" s="509"/>
      <c r="C291" s="507"/>
      <c r="D291" s="507"/>
      <c r="E291" s="507"/>
      <c r="F291" s="507"/>
      <c r="G291" s="507"/>
      <c r="H291" s="507"/>
      <c r="I291" s="507"/>
      <c r="J291" s="507"/>
      <c r="K291" s="507"/>
      <c r="L291" s="507"/>
      <c r="M291" s="507"/>
      <c r="N291" s="507"/>
    </row>
    <row r="292" spans="1:28" ht="15.75" x14ac:dyDescent="0.25">
      <c r="A292" s="733"/>
      <c r="B292" s="509"/>
      <c r="C292" s="507"/>
      <c r="D292" s="507"/>
      <c r="E292" s="507"/>
      <c r="F292" s="507"/>
      <c r="G292" s="507"/>
      <c r="H292" s="507"/>
      <c r="I292" s="507"/>
      <c r="J292" s="507"/>
      <c r="K292" s="507"/>
      <c r="L292" s="507"/>
      <c r="M292" s="507"/>
      <c r="N292" s="507"/>
    </row>
    <row r="293" spans="1:28" ht="15.75" x14ac:dyDescent="0.25">
      <c r="A293" s="733"/>
      <c r="B293" s="509"/>
      <c r="C293" s="507"/>
      <c r="D293" s="507"/>
      <c r="E293" s="507"/>
      <c r="F293" s="507"/>
      <c r="G293" s="507"/>
      <c r="H293" s="507"/>
      <c r="I293" s="507"/>
      <c r="J293" s="507"/>
      <c r="K293" s="507"/>
      <c r="L293" s="507"/>
      <c r="M293" s="507"/>
      <c r="N293" s="507"/>
    </row>
    <row r="294" spans="1:28" ht="15.75" x14ac:dyDescent="0.25">
      <c r="A294" s="733"/>
      <c r="B294" s="509"/>
      <c r="C294" s="507"/>
      <c r="D294" s="507"/>
      <c r="E294" s="507"/>
      <c r="F294" s="507"/>
      <c r="G294" s="507"/>
      <c r="H294" s="507"/>
      <c r="I294" s="507"/>
      <c r="J294" s="507"/>
      <c r="K294" s="507"/>
      <c r="L294" s="507"/>
      <c r="M294" s="507"/>
      <c r="N294" s="507"/>
    </row>
    <row r="295" spans="1:28" ht="15.75" x14ac:dyDescent="0.25">
      <c r="A295" s="733"/>
      <c r="B295" s="509"/>
      <c r="C295" s="507"/>
      <c r="D295" s="507"/>
      <c r="E295" s="507"/>
      <c r="F295" s="507"/>
      <c r="G295" s="507"/>
      <c r="H295" s="507"/>
      <c r="I295" s="507"/>
      <c r="J295" s="507"/>
      <c r="K295" s="507"/>
      <c r="L295" s="507"/>
      <c r="M295" s="507"/>
      <c r="N295" s="507"/>
    </row>
    <row r="296" spans="1:28" ht="15.75" x14ac:dyDescent="0.25">
      <c r="A296" s="733"/>
      <c r="B296" s="509"/>
      <c r="C296" s="507"/>
      <c r="D296" s="507"/>
      <c r="E296" s="507"/>
      <c r="F296" s="507"/>
      <c r="G296" s="507"/>
      <c r="H296" s="507"/>
      <c r="I296" s="507"/>
      <c r="J296" s="507"/>
      <c r="K296" s="507"/>
      <c r="L296" s="507"/>
      <c r="M296" s="507"/>
      <c r="N296" s="507"/>
    </row>
    <row r="297" spans="1:28" ht="15.75" x14ac:dyDescent="0.25">
      <c r="A297" s="733"/>
      <c r="B297" s="509"/>
      <c r="C297" s="507"/>
      <c r="D297" s="507"/>
      <c r="E297" s="507"/>
      <c r="F297" s="507"/>
      <c r="G297" s="507"/>
      <c r="H297" s="507"/>
      <c r="I297" s="507"/>
      <c r="J297" s="507"/>
      <c r="K297" s="507"/>
      <c r="L297" s="507"/>
      <c r="M297" s="507"/>
      <c r="N297" s="507"/>
    </row>
    <row r="298" spans="1:28" ht="15.75" x14ac:dyDescent="0.25">
      <c r="A298" s="733"/>
      <c r="B298" s="509"/>
      <c r="C298" s="507"/>
      <c r="D298" s="507"/>
      <c r="E298" s="507"/>
      <c r="F298" s="507"/>
      <c r="G298" s="507"/>
      <c r="H298" s="507"/>
      <c r="I298" s="507"/>
      <c r="J298" s="507"/>
      <c r="K298" s="507"/>
      <c r="L298" s="507"/>
      <c r="M298" s="507"/>
      <c r="N298" s="507"/>
    </row>
    <row r="299" spans="1:28" ht="15.75" x14ac:dyDescent="0.25">
      <c r="A299" s="733"/>
      <c r="B299" s="509"/>
      <c r="C299" s="507"/>
      <c r="D299" s="507"/>
      <c r="E299" s="507"/>
      <c r="F299" s="507"/>
      <c r="G299" s="507"/>
      <c r="H299" s="507"/>
      <c r="I299" s="507"/>
      <c r="J299" s="507"/>
      <c r="K299" s="507"/>
      <c r="L299" s="507"/>
      <c r="M299" s="507"/>
      <c r="N299" s="507"/>
    </row>
    <row r="300" spans="1:28" ht="15.75" x14ac:dyDescent="0.25">
      <c r="A300" s="733"/>
      <c r="B300" s="509"/>
      <c r="C300" s="507"/>
      <c r="D300" s="507"/>
      <c r="E300" s="507"/>
      <c r="F300" s="507"/>
      <c r="G300" s="507"/>
      <c r="H300" s="507"/>
      <c r="I300" s="507"/>
      <c r="J300" s="507"/>
      <c r="K300" s="507"/>
      <c r="L300" s="507"/>
      <c r="M300" s="507"/>
      <c r="N300" s="507"/>
    </row>
    <row r="301" spans="1:28" ht="15.75" x14ac:dyDescent="0.25">
      <c r="A301" s="733"/>
      <c r="B301" s="509"/>
      <c r="C301" s="507"/>
      <c r="D301" s="507"/>
      <c r="E301" s="507"/>
      <c r="F301" s="507"/>
      <c r="G301" s="507"/>
      <c r="H301" s="507"/>
      <c r="I301" s="507"/>
      <c r="J301" s="507"/>
      <c r="K301" s="507"/>
      <c r="L301" s="507"/>
      <c r="M301" s="507"/>
      <c r="N301" s="507"/>
    </row>
    <row r="302" spans="1:28" ht="15.75" x14ac:dyDescent="0.25">
      <c r="A302" s="733"/>
      <c r="B302" s="509"/>
      <c r="C302" s="507"/>
      <c r="D302" s="507"/>
      <c r="E302" s="507"/>
      <c r="F302" s="507"/>
      <c r="G302" s="507"/>
      <c r="H302" s="507"/>
      <c r="I302" s="507"/>
      <c r="J302" s="507"/>
      <c r="K302" s="507"/>
      <c r="L302" s="507"/>
      <c r="M302" s="507"/>
      <c r="N302" s="507"/>
    </row>
    <row r="303" spans="1:28" ht="15.75" x14ac:dyDescent="0.25">
      <c r="A303" s="733"/>
      <c r="B303" s="509"/>
      <c r="C303" s="507"/>
      <c r="D303" s="507"/>
      <c r="E303" s="507"/>
      <c r="F303" s="507"/>
      <c r="G303" s="507"/>
      <c r="H303" s="507"/>
      <c r="I303" s="507"/>
      <c r="J303" s="507"/>
      <c r="K303" s="507"/>
      <c r="L303" s="507"/>
      <c r="M303" s="507"/>
      <c r="N303" s="507"/>
    </row>
    <row r="304" spans="1:28" ht="15.75" x14ac:dyDescent="0.25">
      <c r="A304" s="733"/>
      <c r="B304" s="509"/>
      <c r="C304" s="507"/>
      <c r="D304" s="507"/>
      <c r="E304" s="507"/>
      <c r="F304" s="507"/>
      <c r="G304" s="507"/>
      <c r="H304" s="507"/>
      <c r="I304" s="507"/>
      <c r="J304" s="507"/>
      <c r="K304" s="507"/>
      <c r="L304" s="507"/>
      <c r="M304" s="507"/>
      <c r="N304" s="507"/>
    </row>
    <row r="305" spans="1:14" ht="15.75" x14ac:dyDescent="0.25">
      <c r="A305" s="733"/>
      <c r="B305" s="509"/>
      <c r="C305" s="507"/>
      <c r="D305" s="507"/>
      <c r="E305" s="507"/>
      <c r="F305" s="507"/>
      <c r="G305" s="507"/>
      <c r="H305" s="507"/>
      <c r="I305" s="507"/>
      <c r="J305" s="507"/>
      <c r="K305" s="507"/>
      <c r="L305" s="507"/>
      <c r="M305" s="507"/>
      <c r="N305" s="507"/>
    </row>
    <row r="306" spans="1:14" ht="15.75" x14ac:dyDescent="0.25">
      <c r="A306" s="733"/>
      <c r="B306" s="509"/>
      <c r="C306" s="507"/>
      <c r="D306" s="507"/>
      <c r="E306" s="507"/>
      <c r="F306" s="507"/>
      <c r="G306" s="507"/>
      <c r="H306" s="507"/>
      <c r="I306" s="507"/>
      <c r="J306" s="507"/>
      <c r="K306" s="507"/>
      <c r="L306" s="507"/>
      <c r="M306" s="507"/>
      <c r="N306" s="507"/>
    </row>
    <row r="307" spans="1:14" ht="15.75" x14ac:dyDescent="0.25">
      <c r="A307" s="733"/>
      <c r="B307" s="509"/>
      <c r="C307" s="507"/>
      <c r="D307" s="507"/>
      <c r="E307" s="507"/>
      <c r="F307" s="507"/>
      <c r="G307" s="507"/>
      <c r="H307" s="507"/>
      <c r="I307" s="507"/>
      <c r="J307" s="507"/>
      <c r="K307" s="507"/>
      <c r="L307" s="507"/>
      <c r="M307" s="507"/>
      <c r="N307" s="507"/>
    </row>
    <row r="308" spans="1:14" ht="15.75" x14ac:dyDescent="0.25">
      <c r="A308" s="733"/>
      <c r="B308" s="509"/>
      <c r="C308" s="507"/>
      <c r="D308" s="507"/>
      <c r="E308" s="507"/>
      <c r="F308" s="507"/>
      <c r="G308" s="507"/>
      <c r="H308" s="507"/>
      <c r="I308" s="507"/>
      <c r="J308" s="507"/>
      <c r="K308" s="507"/>
      <c r="L308" s="507"/>
      <c r="M308" s="507"/>
      <c r="N308" s="507"/>
    </row>
    <row r="309" spans="1:14" ht="15.75" x14ac:dyDescent="0.25">
      <c r="A309" s="733"/>
      <c r="B309" s="509"/>
      <c r="C309" s="507"/>
      <c r="D309" s="507"/>
      <c r="E309" s="507"/>
      <c r="F309" s="507"/>
      <c r="G309" s="507"/>
      <c r="H309" s="507"/>
      <c r="I309" s="507"/>
      <c r="J309" s="507"/>
      <c r="K309" s="507"/>
      <c r="L309" s="507"/>
      <c r="M309" s="507"/>
      <c r="N309" s="507"/>
    </row>
    <row r="310" spans="1:14" ht="15.75" x14ac:dyDescent="0.25">
      <c r="A310" s="733"/>
      <c r="B310" s="509"/>
      <c r="C310" s="507"/>
      <c r="D310" s="507"/>
      <c r="E310" s="507"/>
      <c r="F310" s="507"/>
      <c r="G310" s="507"/>
      <c r="H310" s="507"/>
      <c r="I310" s="507"/>
      <c r="J310" s="507"/>
      <c r="K310" s="507"/>
      <c r="L310" s="507"/>
      <c r="M310" s="507"/>
      <c r="N310" s="507"/>
    </row>
    <row r="311" spans="1:14" ht="15.75" x14ac:dyDescent="0.25">
      <c r="A311" s="733"/>
      <c r="B311" s="509"/>
      <c r="C311" s="507"/>
      <c r="D311" s="507"/>
      <c r="E311" s="507"/>
      <c r="F311" s="507"/>
      <c r="G311" s="507"/>
      <c r="H311" s="507"/>
      <c r="I311" s="507"/>
      <c r="J311" s="507"/>
      <c r="K311" s="507"/>
      <c r="L311" s="507"/>
      <c r="M311" s="507"/>
      <c r="N311" s="507"/>
    </row>
    <row r="312" spans="1:14" ht="15.75" x14ac:dyDescent="0.25">
      <c r="A312" s="733"/>
      <c r="B312" s="509"/>
      <c r="C312" s="507"/>
      <c r="D312" s="507"/>
      <c r="E312" s="507"/>
      <c r="F312" s="507"/>
      <c r="G312" s="507"/>
      <c r="H312" s="507"/>
      <c r="I312" s="507"/>
      <c r="J312" s="507"/>
      <c r="K312" s="507"/>
      <c r="L312" s="507"/>
      <c r="M312" s="507"/>
      <c r="N312" s="507"/>
    </row>
    <row r="313" spans="1:14" ht="15.75" x14ac:dyDescent="0.25">
      <c r="A313" s="733"/>
      <c r="B313" s="509"/>
      <c r="C313" s="507"/>
      <c r="D313" s="507"/>
      <c r="E313" s="507"/>
      <c r="F313" s="507"/>
      <c r="G313" s="507"/>
      <c r="H313" s="507"/>
      <c r="I313" s="507"/>
      <c r="J313" s="507"/>
      <c r="K313" s="507"/>
      <c r="L313" s="507"/>
      <c r="M313" s="507"/>
      <c r="N313" s="507"/>
    </row>
    <row r="314" spans="1:14" ht="15.75" x14ac:dyDescent="0.25">
      <c r="A314" s="733"/>
      <c r="B314" s="509"/>
      <c r="C314" s="507"/>
      <c r="D314" s="507"/>
      <c r="E314" s="507"/>
      <c r="F314" s="507"/>
      <c r="G314" s="507"/>
      <c r="H314" s="507"/>
      <c r="I314" s="507"/>
      <c r="J314" s="507"/>
      <c r="K314" s="507"/>
      <c r="L314" s="507"/>
      <c r="M314" s="507"/>
      <c r="N314" s="507"/>
    </row>
    <row r="315" spans="1:14" ht="15.75" x14ac:dyDescent="0.25">
      <c r="A315" s="733"/>
      <c r="B315" s="509"/>
      <c r="C315" s="507"/>
      <c r="D315" s="507"/>
      <c r="E315" s="507"/>
      <c r="F315" s="507"/>
      <c r="G315" s="507"/>
      <c r="H315" s="507"/>
      <c r="I315" s="507"/>
      <c r="J315" s="507"/>
      <c r="K315" s="507"/>
      <c r="L315" s="507"/>
      <c r="M315" s="507"/>
      <c r="N315" s="507"/>
    </row>
    <row r="316" spans="1:14" ht="15.75" x14ac:dyDescent="0.25">
      <c r="A316" s="733"/>
      <c r="B316" s="509"/>
      <c r="C316" s="507"/>
      <c r="D316" s="507"/>
      <c r="E316" s="507"/>
      <c r="F316" s="507"/>
      <c r="G316" s="507"/>
      <c r="H316" s="507"/>
      <c r="I316" s="507"/>
      <c r="J316" s="507"/>
      <c r="K316" s="507"/>
      <c r="L316" s="507"/>
      <c r="M316" s="507"/>
      <c r="N316" s="507"/>
    </row>
    <row r="317" spans="1:14" ht="15.75" x14ac:dyDescent="0.25">
      <c r="A317" s="733"/>
      <c r="B317" s="509"/>
      <c r="C317" s="507"/>
      <c r="D317" s="507"/>
      <c r="E317" s="507"/>
      <c r="F317" s="507"/>
      <c r="G317" s="507"/>
      <c r="H317" s="507"/>
      <c r="I317" s="507"/>
      <c r="J317" s="507"/>
      <c r="K317" s="507"/>
      <c r="L317" s="507"/>
      <c r="M317" s="507"/>
      <c r="N317" s="507"/>
    </row>
    <row r="318" spans="1:14" ht="15.75" x14ac:dyDescent="0.25">
      <c r="A318" s="733"/>
      <c r="B318" s="509"/>
      <c r="C318" s="507"/>
      <c r="D318" s="507"/>
      <c r="E318" s="507"/>
      <c r="F318" s="507"/>
      <c r="G318" s="507"/>
      <c r="H318" s="507"/>
      <c r="I318" s="507"/>
      <c r="J318" s="507"/>
      <c r="K318" s="507"/>
      <c r="L318" s="507"/>
      <c r="M318" s="507"/>
      <c r="N318" s="507"/>
    </row>
    <row r="319" spans="1:14" ht="15.75" x14ac:dyDescent="0.25">
      <c r="A319" s="733"/>
      <c r="B319" s="509"/>
      <c r="C319" s="507"/>
      <c r="D319" s="507"/>
      <c r="E319" s="507"/>
      <c r="F319" s="507"/>
      <c r="G319" s="507"/>
      <c r="H319" s="507"/>
      <c r="I319" s="507"/>
      <c r="J319" s="507"/>
      <c r="K319" s="507"/>
      <c r="L319" s="507"/>
      <c r="M319" s="507"/>
      <c r="N319" s="507"/>
    </row>
    <row r="320" spans="1:14" ht="15.75" x14ac:dyDescent="0.25">
      <c r="A320" s="733"/>
      <c r="B320" s="509"/>
      <c r="C320" s="507"/>
      <c r="D320" s="507"/>
      <c r="E320" s="507"/>
      <c r="F320" s="507"/>
      <c r="G320" s="507"/>
      <c r="H320" s="507"/>
      <c r="I320" s="507"/>
      <c r="J320" s="507"/>
      <c r="K320" s="507"/>
      <c r="L320" s="507"/>
      <c r="M320" s="507"/>
      <c r="N320" s="507"/>
    </row>
    <row r="321" spans="1:14" ht="15.75" x14ac:dyDescent="0.25">
      <c r="A321" s="733"/>
      <c r="B321" s="509"/>
      <c r="C321" s="507"/>
      <c r="D321" s="507"/>
      <c r="E321" s="507"/>
      <c r="F321" s="507"/>
      <c r="G321" s="507"/>
      <c r="H321" s="507"/>
      <c r="I321" s="507"/>
      <c r="J321" s="507"/>
      <c r="K321" s="507"/>
      <c r="L321" s="507"/>
      <c r="M321" s="507"/>
      <c r="N321" s="507"/>
    </row>
    <row r="322" spans="1:14" ht="15.75" x14ac:dyDescent="0.25">
      <c r="A322" s="733"/>
      <c r="B322" s="509"/>
      <c r="C322" s="507"/>
      <c r="D322" s="507"/>
      <c r="E322" s="507"/>
      <c r="F322" s="507"/>
      <c r="G322" s="507"/>
      <c r="H322" s="507"/>
      <c r="I322" s="507"/>
      <c r="J322" s="507"/>
      <c r="K322" s="507"/>
      <c r="L322" s="507"/>
      <c r="M322" s="507"/>
      <c r="N322" s="507"/>
    </row>
    <row r="323" spans="1:14" ht="15.75" x14ac:dyDescent="0.25">
      <c r="A323" s="733"/>
      <c r="B323" s="509"/>
      <c r="C323" s="507"/>
      <c r="D323" s="507"/>
      <c r="E323" s="507"/>
      <c r="F323" s="507"/>
      <c r="G323" s="507"/>
      <c r="H323" s="507"/>
      <c r="I323" s="507"/>
      <c r="J323" s="507"/>
      <c r="K323" s="507"/>
      <c r="L323" s="507"/>
      <c r="M323" s="507"/>
      <c r="N323" s="507"/>
    </row>
    <row r="324" spans="1:14" ht="15.75" x14ac:dyDescent="0.25">
      <c r="A324" s="733"/>
      <c r="B324" s="509"/>
      <c r="C324" s="507"/>
      <c r="D324" s="507"/>
      <c r="E324" s="507"/>
      <c r="F324" s="507"/>
      <c r="G324" s="507"/>
      <c r="H324" s="507"/>
      <c r="I324" s="507"/>
      <c r="J324" s="507"/>
      <c r="K324" s="507"/>
      <c r="L324" s="507"/>
      <c r="M324" s="507"/>
      <c r="N324" s="507"/>
    </row>
    <row r="325" spans="1:14" ht="15.75" x14ac:dyDescent="0.25">
      <c r="A325" s="733"/>
      <c r="B325" s="509"/>
      <c r="C325" s="507"/>
      <c r="D325" s="507"/>
      <c r="E325" s="507"/>
      <c r="F325" s="507"/>
      <c r="G325" s="507"/>
      <c r="H325" s="507"/>
      <c r="I325" s="507"/>
      <c r="J325" s="507"/>
      <c r="K325" s="507"/>
      <c r="L325" s="507"/>
      <c r="M325" s="507"/>
      <c r="N325" s="507"/>
    </row>
    <row r="326" spans="1:14" ht="15.75" x14ac:dyDescent="0.25">
      <c r="A326" s="733"/>
      <c r="B326" s="509"/>
      <c r="C326" s="507"/>
      <c r="D326" s="507"/>
      <c r="E326" s="507"/>
      <c r="F326" s="507"/>
      <c r="G326" s="507"/>
      <c r="H326" s="507"/>
      <c r="I326" s="507"/>
      <c r="J326" s="507"/>
      <c r="K326" s="507"/>
      <c r="L326" s="507"/>
      <c r="M326" s="507"/>
      <c r="N326" s="507"/>
    </row>
    <row r="327" spans="1:14" ht="15.75" x14ac:dyDescent="0.25">
      <c r="A327" s="733"/>
      <c r="B327" s="509"/>
      <c r="C327" s="507"/>
      <c r="D327" s="507"/>
      <c r="E327" s="507"/>
      <c r="F327" s="507"/>
      <c r="G327" s="507"/>
      <c r="H327" s="507"/>
      <c r="I327" s="507"/>
      <c r="J327" s="507"/>
      <c r="K327" s="507"/>
      <c r="L327" s="507"/>
      <c r="M327" s="507"/>
      <c r="N327" s="507"/>
    </row>
    <row r="328" spans="1:14" ht="15.75" x14ac:dyDescent="0.25">
      <c r="A328" s="733"/>
      <c r="B328" s="509"/>
      <c r="C328" s="507"/>
      <c r="D328" s="507"/>
      <c r="E328" s="507"/>
      <c r="F328" s="507"/>
      <c r="G328" s="507"/>
      <c r="H328" s="507"/>
      <c r="I328" s="507"/>
      <c r="J328" s="507"/>
      <c r="K328" s="507"/>
      <c r="L328" s="507"/>
      <c r="M328" s="507"/>
      <c r="N328" s="507"/>
    </row>
    <row r="329" spans="1:14" ht="15.75" x14ac:dyDescent="0.25">
      <c r="A329" s="733"/>
      <c r="B329" s="509"/>
      <c r="C329" s="507"/>
      <c r="D329" s="507"/>
      <c r="E329" s="507"/>
      <c r="F329" s="507"/>
      <c r="G329" s="507"/>
      <c r="H329" s="507"/>
      <c r="I329" s="507"/>
      <c r="J329" s="507"/>
      <c r="K329" s="507"/>
      <c r="L329" s="507"/>
      <c r="M329" s="507"/>
      <c r="N329" s="507"/>
    </row>
    <row r="330" spans="1:14" ht="15.75" x14ac:dyDescent="0.25">
      <c r="A330" s="733"/>
      <c r="B330" s="509"/>
      <c r="C330" s="507"/>
      <c r="D330" s="507"/>
      <c r="E330" s="507"/>
      <c r="F330" s="507"/>
      <c r="G330" s="507"/>
      <c r="H330" s="507"/>
      <c r="I330" s="507"/>
      <c r="J330" s="507"/>
      <c r="K330" s="507"/>
      <c r="L330" s="507"/>
      <c r="M330" s="507"/>
      <c r="N330" s="507"/>
    </row>
    <row r="331" spans="1:14" ht="15.75" x14ac:dyDescent="0.25">
      <c r="A331" s="733"/>
      <c r="B331" s="509"/>
      <c r="C331" s="507"/>
      <c r="D331" s="507"/>
      <c r="E331" s="507"/>
      <c r="F331" s="507"/>
      <c r="G331" s="507"/>
      <c r="H331" s="507"/>
      <c r="I331" s="507"/>
      <c r="J331" s="507"/>
      <c r="K331" s="507"/>
      <c r="L331" s="507"/>
      <c r="M331" s="507"/>
      <c r="N331" s="507"/>
    </row>
    <row r="332" spans="1:14" ht="15.75" x14ac:dyDescent="0.25">
      <c r="A332" s="733"/>
      <c r="B332" s="509"/>
      <c r="C332" s="507"/>
      <c r="D332" s="507"/>
      <c r="E332" s="507"/>
      <c r="F332" s="507"/>
      <c r="G332" s="507"/>
      <c r="H332" s="507"/>
      <c r="I332" s="507"/>
      <c r="J332" s="507"/>
      <c r="K332" s="507"/>
      <c r="L332" s="507"/>
      <c r="M332" s="507"/>
      <c r="N332" s="507"/>
    </row>
    <row r="333" spans="1:14" ht="15.75" x14ac:dyDescent="0.25">
      <c r="A333" s="733"/>
      <c r="B333" s="509"/>
      <c r="C333" s="507"/>
      <c r="D333" s="507"/>
      <c r="E333" s="507"/>
      <c r="F333" s="507"/>
      <c r="G333" s="507"/>
      <c r="H333" s="507"/>
      <c r="I333" s="507"/>
      <c r="J333" s="507"/>
      <c r="K333" s="507"/>
      <c r="L333" s="507"/>
      <c r="M333" s="507"/>
      <c r="N333" s="507"/>
    </row>
    <row r="334" spans="1:14" ht="15.75" x14ac:dyDescent="0.25">
      <c r="A334" s="733"/>
      <c r="B334" s="509"/>
      <c r="C334" s="507"/>
      <c r="D334" s="507"/>
      <c r="E334" s="507"/>
      <c r="F334" s="507"/>
      <c r="G334" s="507"/>
      <c r="H334" s="507"/>
      <c r="I334" s="507"/>
      <c r="J334" s="507"/>
      <c r="K334" s="507"/>
      <c r="L334" s="507"/>
      <c r="M334" s="507"/>
      <c r="N334" s="507"/>
    </row>
    <row r="335" spans="1:14" ht="15.75" x14ac:dyDescent="0.25">
      <c r="A335" s="733"/>
      <c r="B335" s="509"/>
      <c r="C335" s="507"/>
      <c r="D335" s="507"/>
      <c r="E335" s="507"/>
      <c r="F335" s="507"/>
      <c r="G335" s="507"/>
      <c r="H335" s="507"/>
      <c r="I335" s="507"/>
      <c r="J335" s="507"/>
      <c r="K335" s="507"/>
      <c r="L335" s="507"/>
      <c r="M335" s="507"/>
      <c r="N335" s="507"/>
    </row>
    <row r="336" spans="1:14" ht="15.75" x14ac:dyDescent="0.25">
      <c r="A336" s="733"/>
      <c r="B336" s="509"/>
      <c r="C336" s="507"/>
      <c r="D336" s="507"/>
      <c r="E336" s="507"/>
      <c r="F336" s="507"/>
      <c r="G336" s="507"/>
      <c r="H336" s="507"/>
      <c r="I336" s="507"/>
      <c r="J336" s="507"/>
      <c r="K336" s="507"/>
      <c r="L336" s="507"/>
      <c r="M336" s="507"/>
      <c r="N336" s="507"/>
    </row>
    <row r="337" spans="1:14" ht="15.75" x14ac:dyDescent="0.25">
      <c r="A337" s="733"/>
      <c r="B337" s="509"/>
      <c r="C337" s="507"/>
      <c r="D337" s="507"/>
      <c r="E337" s="507"/>
      <c r="F337" s="507"/>
      <c r="G337" s="507"/>
      <c r="H337" s="507"/>
      <c r="I337" s="507"/>
      <c r="J337" s="507"/>
      <c r="K337" s="507"/>
      <c r="L337" s="507"/>
      <c r="M337" s="507"/>
      <c r="N337" s="507"/>
    </row>
    <row r="338" spans="1:14" ht="15.75" x14ac:dyDescent="0.25">
      <c r="A338" s="733"/>
      <c r="B338" s="509"/>
      <c r="C338" s="507"/>
      <c r="D338" s="507"/>
      <c r="E338" s="507"/>
      <c r="F338" s="507"/>
      <c r="G338" s="507"/>
      <c r="H338" s="507"/>
      <c r="I338" s="507"/>
      <c r="J338" s="507"/>
      <c r="K338" s="507"/>
      <c r="L338" s="507"/>
      <c r="M338" s="507"/>
      <c r="N338" s="507"/>
    </row>
    <row r="339" spans="1:14" ht="15.75" x14ac:dyDescent="0.25">
      <c r="A339" s="733"/>
      <c r="B339" s="509"/>
      <c r="C339" s="507"/>
      <c r="D339" s="507"/>
      <c r="E339" s="507"/>
      <c r="F339" s="507"/>
      <c r="G339" s="507"/>
      <c r="H339" s="507"/>
      <c r="I339" s="507"/>
      <c r="J339" s="507"/>
      <c r="K339" s="507"/>
      <c r="L339" s="507"/>
      <c r="M339" s="507"/>
      <c r="N339" s="507"/>
    </row>
    <row r="340" spans="1:14" ht="15.75" x14ac:dyDescent="0.25">
      <c r="A340" s="733"/>
      <c r="B340" s="509"/>
      <c r="C340" s="507"/>
      <c r="D340" s="507"/>
      <c r="E340" s="507"/>
      <c r="F340" s="507"/>
      <c r="G340" s="507"/>
      <c r="H340" s="507"/>
      <c r="I340" s="507"/>
      <c r="J340" s="507"/>
      <c r="K340" s="507"/>
      <c r="L340" s="507"/>
      <c r="M340" s="507"/>
      <c r="N340" s="507"/>
    </row>
    <row r="341" spans="1:14" ht="15.75" x14ac:dyDescent="0.25">
      <c r="A341" s="733"/>
      <c r="B341" s="509"/>
      <c r="C341" s="507"/>
      <c r="D341" s="507"/>
      <c r="E341" s="507"/>
      <c r="F341" s="507"/>
      <c r="G341" s="507"/>
      <c r="H341" s="507"/>
      <c r="I341" s="507"/>
      <c r="J341" s="507"/>
      <c r="K341" s="507"/>
      <c r="L341" s="507"/>
      <c r="M341" s="507"/>
      <c r="N341" s="507"/>
    </row>
    <row r="342" spans="1:14" ht="15.75" x14ac:dyDescent="0.25">
      <c r="A342" s="733"/>
      <c r="B342" s="509"/>
      <c r="C342" s="507"/>
      <c r="D342" s="507"/>
      <c r="E342" s="507"/>
      <c r="F342" s="507"/>
      <c r="G342" s="507"/>
      <c r="H342" s="507"/>
      <c r="I342" s="507"/>
      <c r="J342" s="507"/>
      <c r="K342" s="507"/>
      <c r="L342" s="507"/>
      <c r="M342" s="507"/>
      <c r="N342" s="507"/>
    </row>
    <row r="343" spans="1:14" ht="15.75" x14ac:dyDescent="0.25">
      <c r="A343" s="733"/>
      <c r="B343" s="509"/>
      <c r="C343" s="507"/>
      <c r="D343" s="507"/>
      <c r="E343" s="507"/>
      <c r="F343" s="507"/>
      <c r="G343" s="507"/>
      <c r="H343" s="507"/>
      <c r="I343" s="507"/>
      <c r="J343" s="507"/>
      <c r="K343" s="507"/>
      <c r="L343" s="507"/>
      <c r="M343" s="507"/>
      <c r="N343" s="507"/>
    </row>
    <row r="344" spans="1:14" ht="15.75" x14ac:dyDescent="0.25">
      <c r="A344" s="733"/>
      <c r="B344" s="509"/>
      <c r="C344" s="507"/>
      <c r="D344" s="507"/>
      <c r="E344" s="507"/>
      <c r="F344" s="507"/>
      <c r="G344" s="507"/>
      <c r="H344" s="507"/>
      <c r="I344" s="507"/>
      <c r="J344" s="507"/>
      <c r="K344" s="507"/>
      <c r="L344" s="507"/>
      <c r="M344" s="507"/>
      <c r="N344" s="507"/>
    </row>
    <row r="345" spans="1:14" ht="15.75" x14ac:dyDescent="0.25">
      <c r="A345" s="733"/>
      <c r="B345" s="509"/>
      <c r="C345" s="507"/>
      <c r="D345" s="507"/>
      <c r="E345" s="507"/>
      <c r="F345" s="507"/>
      <c r="G345" s="507"/>
      <c r="H345" s="507"/>
      <c r="I345" s="507"/>
      <c r="J345" s="507"/>
      <c r="K345" s="507"/>
      <c r="L345" s="507"/>
      <c r="M345" s="507"/>
      <c r="N345" s="507"/>
    </row>
    <row r="346" spans="1:14" ht="15.75" x14ac:dyDescent="0.25">
      <c r="A346" s="733"/>
      <c r="B346" s="509"/>
      <c r="C346" s="507"/>
      <c r="D346" s="507"/>
      <c r="E346" s="507"/>
      <c r="F346" s="507"/>
      <c r="G346" s="507"/>
      <c r="H346" s="507"/>
      <c r="I346" s="507"/>
      <c r="J346" s="507"/>
      <c r="K346" s="507"/>
      <c r="L346" s="507"/>
      <c r="M346" s="507"/>
      <c r="N346" s="507"/>
    </row>
    <row r="347" spans="1:14" ht="15.75" x14ac:dyDescent="0.25">
      <c r="A347" s="733"/>
      <c r="B347" s="509"/>
      <c r="C347" s="507"/>
      <c r="D347" s="507"/>
      <c r="E347" s="507"/>
      <c r="F347" s="507"/>
      <c r="G347" s="507"/>
      <c r="H347" s="507"/>
      <c r="I347" s="507"/>
      <c r="J347" s="507"/>
      <c r="K347" s="507"/>
      <c r="L347" s="507"/>
      <c r="M347" s="507"/>
      <c r="N347" s="507"/>
    </row>
    <row r="348" spans="1:14" ht="15.75" x14ac:dyDescent="0.25">
      <c r="A348" s="733"/>
      <c r="B348" s="509"/>
      <c r="C348" s="507"/>
      <c r="D348" s="507"/>
      <c r="E348" s="507"/>
      <c r="F348" s="507"/>
      <c r="G348" s="507"/>
      <c r="H348" s="507"/>
      <c r="I348" s="507"/>
      <c r="J348" s="507"/>
      <c r="K348" s="507"/>
      <c r="L348" s="507"/>
      <c r="M348" s="507"/>
      <c r="N348" s="507"/>
    </row>
    <row r="349" spans="1:14" ht="15.75" x14ac:dyDescent="0.25">
      <c r="A349" s="733"/>
      <c r="B349" s="509"/>
      <c r="C349" s="507"/>
      <c r="D349" s="507"/>
      <c r="E349" s="507"/>
      <c r="F349" s="507"/>
      <c r="G349" s="507"/>
      <c r="H349" s="507"/>
      <c r="I349" s="507"/>
      <c r="J349" s="507"/>
      <c r="K349" s="507"/>
      <c r="L349" s="507"/>
      <c r="M349" s="507"/>
      <c r="N349" s="507"/>
    </row>
    <row r="350" spans="1:14" ht="15.75" x14ac:dyDescent="0.25">
      <c r="A350" s="733"/>
      <c r="B350" s="509"/>
      <c r="C350" s="507"/>
      <c r="D350" s="507"/>
      <c r="E350" s="507"/>
      <c r="F350" s="507"/>
      <c r="G350" s="507"/>
      <c r="H350" s="507"/>
      <c r="I350" s="507"/>
      <c r="J350" s="507"/>
      <c r="K350" s="507"/>
      <c r="L350" s="507"/>
      <c r="M350" s="507"/>
      <c r="N350" s="507"/>
    </row>
    <row r="351" spans="1:14" ht="15.75" x14ac:dyDescent="0.25">
      <c r="A351" s="733"/>
      <c r="B351" s="509"/>
      <c r="C351" s="507"/>
      <c r="D351" s="507"/>
      <c r="E351" s="507"/>
      <c r="F351" s="507"/>
      <c r="G351" s="507"/>
      <c r="H351" s="507"/>
      <c r="I351" s="507"/>
      <c r="J351" s="507"/>
      <c r="K351" s="507"/>
      <c r="L351" s="507"/>
      <c r="M351" s="507"/>
      <c r="N351" s="507"/>
    </row>
    <row r="352" spans="1:14" ht="15.75" x14ac:dyDescent="0.25">
      <c r="A352" s="733"/>
      <c r="B352" s="509"/>
      <c r="C352" s="507"/>
      <c r="D352" s="507"/>
      <c r="E352" s="507"/>
      <c r="F352" s="507"/>
      <c r="G352" s="507"/>
      <c r="H352" s="507"/>
      <c r="I352" s="507"/>
      <c r="J352" s="507"/>
      <c r="K352" s="507"/>
      <c r="L352" s="507"/>
      <c r="M352" s="507"/>
      <c r="N352" s="507"/>
    </row>
    <row r="353" spans="1:14" ht="15.75" x14ac:dyDescent="0.25">
      <c r="A353" s="733"/>
      <c r="B353" s="509"/>
      <c r="C353" s="507"/>
      <c r="D353" s="507"/>
      <c r="E353" s="507"/>
      <c r="F353" s="507"/>
      <c r="G353" s="507"/>
      <c r="H353" s="507"/>
      <c r="I353" s="507"/>
      <c r="J353" s="507"/>
      <c r="K353" s="507"/>
      <c r="L353" s="507"/>
      <c r="M353" s="507"/>
      <c r="N353" s="507"/>
    </row>
    <row r="354" spans="1:14" ht="15.75" x14ac:dyDescent="0.25">
      <c r="A354" s="733"/>
      <c r="B354" s="509"/>
      <c r="C354" s="507"/>
      <c r="D354" s="507"/>
      <c r="E354" s="507"/>
      <c r="F354" s="507"/>
      <c r="G354" s="507"/>
      <c r="H354" s="507"/>
      <c r="I354" s="507"/>
      <c r="J354" s="507"/>
      <c r="K354" s="507"/>
      <c r="L354" s="507"/>
      <c r="M354" s="507"/>
      <c r="N354" s="507"/>
    </row>
    <row r="355" spans="1:14" ht="15.75" x14ac:dyDescent="0.25">
      <c r="A355" s="733"/>
      <c r="B355" s="509"/>
      <c r="C355" s="507"/>
      <c r="D355" s="507"/>
      <c r="E355" s="507"/>
      <c r="F355" s="507"/>
      <c r="G355" s="507"/>
      <c r="H355" s="507"/>
      <c r="I355" s="507"/>
      <c r="J355" s="507"/>
      <c r="K355" s="507"/>
      <c r="L355" s="507"/>
      <c r="M355" s="507"/>
      <c r="N355" s="507"/>
    </row>
    <row r="356" spans="1:14" ht="15.75" x14ac:dyDescent="0.25">
      <c r="A356" s="733"/>
      <c r="B356" s="509"/>
      <c r="C356" s="507"/>
      <c r="D356" s="507"/>
      <c r="E356" s="507"/>
      <c r="F356" s="507"/>
      <c r="G356" s="507"/>
      <c r="H356" s="507"/>
      <c r="I356" s="507"/>
      <c r="J356" s="507"/>
      <c r="K356" s="507"/>
      <c r="L356" s="507"/>
      <c r="M356" s="507"/>
      <c r="N356" s="507"/>
    </row>
    <row r="357" spans="1:14" ht="15.75" x14ac:dyDescent="0.25">
      <c r="A357" s="733"/>
      <c r="B357" s="509"/>
      <c r="C357" s="507"/>
      <c r="D357" s="507"/>
      <c r="E357" s="507"/>
      <c r="F357" s="507"/>
      <c r="G357" s="507"/>
      <c r="H357" s="507"/>
      <c r="I357" s="507"/>
      <c r="J357" s="507"/>
      <c r="K357" s="507"/>
      <c r="L357" s="507"/>
      <c r="M357" s="507"/>
      <c r="N357" s="507"/>
    </row>
    <row r="358" spans="1:14" ht="15.75" x14ac:dyDescent="0.25">
      <c r="A358" s="733"/>
      <c r="B358" s="509"/>
      <c r="C358" s="507"/>
      <c r="D358" s="507"/>
      <c r="E358" s="507"/>
      <c r="F358" s="507"/>
      <c r="G358" s="507"/>
      <c r="H358" s="507"/>
      <c r="I358" s="507"/>
      <c r="J358" s="507"/>
      <c r="K358" s="507"/>
      <c r="L358" s="507"/>
      <c r="M358" s="507"/>
      <c r="N358" s="507"/>
    </row>
    <row r="359" spans="1:14" ht="15.75" x14ac:dyDescent="0.25">
      <c r="A359" s="733"/>
      <c r="B359" s="509"/>
      <c r="C359" s="507"/>
      <c r="D359" s="507"/>
      <c r="E359" s="507"/>
      <c r="F359" s="507"/>
      <c r="G359" s="507"/>
      <c r="H359" s="507"/>
      <c r="I359" s="507"/>
      <c r="J359" s="507"/>
      <c r="K359" s="507"/>
      <c r="L359" s="507"/>
      <c r="M359" s="507"/>
      <c r="N359" s="507"/>
    </row>
    <row r="360" spans="1:14" ht="15.75" x14ac:dyDescent="0.25">
      <c r="A360" s="733"/>
      <c r="B360" s="509"/>
      <c r="C360" s="507"/>
      <c r="D360" s="507"/>
      <c r="E360" s="507"/>
      <c r="F360" s="507"/>
      <c r="G360" s="507"/>
      <c r="H360" s="507"/>
      <c r="I360" s="507"/>
      <c r="J360" s="507"/>
      <c r="K360" s="507"/>
      <c r="L360" s="507"/>
      <c r="M360" s="507"/>
      <c r="N360" s="507"/>
    </row>
    <row r="361" spans="1:14" ht="15.75" x14ac:dyDescent="0.25">
      <c r="A361" s="733"/>
      <c r="B361" s="509"/>
      <c r="C361" s="507"/>
      <c r="D361" s="507"/>
      <c r="E361" s="507"/>
      <c r="F361" s="507"/>
      <c r="G361" s="507"/>
      <c r="H361" s="507"/>
      <c r="I361" s="507"/>
      <c r="J361" s="507"/>
      <c r="K361" s="507"/>
      <c r="L361" s="507"/>
      <c r="M361" s="507"/>
      <c r="N361" s="507"/>
    </row>
    <row r="362" spans="1:14" ht="15.75" x14ac:dyDescent="0.25">
      <c r="A362" s="733"/>
      <c r="B362" s="509"/>
      <c r="C362" s="507"/>
      <c r="D362" s="507"/>
      <c r="E362" s="507"/>
      <c r="F362" s="507"/>
      <c r="G362" s="507"/>
      <c r="H362" s="507"/>
      <c r="I362" s="507"/>
      <c r="J362" s="507"/>
      <c r="K362" s="507"/>
      <c r="L362" s="507"/>
      <c r="M362" s="507"/>
      <c r="N362" s="507"/>
    </row>
    <row r="363" spans="1:14" ht="15.75" x14ac:dyDescent="0.25">
      <c r="A363" s="733"/>
      <c r="B363" s="509"/>
      <c r="C363" s="507"/>
      <c r="D363" s="507"/>
      <c r="E363" s="507"/>
      <c r="F363" s="507"/>
      <c r="G363" s="507"/>
      <c r="H363" s="507"/>
      <c r="I363" s="507"/>
      <c r="J363" s="507"/>
      <c r="K363" s="507"/>
      <c r="L363" s="507"/>
      <c r="M363" s="507"/>
      <c r="N363" s="507"/>
    </row>
    <row r="364" spans="1:14" ht="15.75" x14ac:dyDescent="0.25">
      <c r="A364" s="733"/>
      <c r="B364" s="509"/>
      <c r="C364" s="507"/>
      <c r="D364" s="507"/>
      <c r="E364" s="507"/>
      <c r="F364" s="507"/>
      <c r="G364" s="507"/>
      <c r="H364" s="507"/>
      <c r="I364" s="507"/>
      <c r="J364" s="507"/>
      <c r="K364" s="507"/>
      <c r="L364" s="507"/>
      <c r="M364" s="507"/>
      <c r="N364" s="507"/>
    </row>
    <row r="365" spans="1:14" ht="15.75" x14ac:dyDescent="0.25">
      <c r="A365" s="733"/>
      <c r="B365" s="509"/>
      <c r="C365" s="507"/>
      <c r="D365" s="507"/>
      <c r="E365" s="507"/>
      <c r="F365" s="507"/>
      <c r="G365" s="507"/>
      <c r="H365" s="507"/>
      <c r="I365" s="507"/>
      <c r="J365" s="507"/>
      <c r="K365" s="507"/>
      <c r="L365" s="507"/>
      <c r="M365" s="507"/>
      <c r="N365" s="507"/>
    </row>
    <row r="366" spans="1:14" ht="15.75" x14ac:dyDescent="0.25">
      <c r="A366" s="733"/>
      <c r="B366" s="509"/>
      <c r="C366" s="507"/>
      <c r="D366" s="507"/>
      <c r="E366" s="507"/>
      <c r="F366" s="507"/>
      <c r="G366" s="507"/>
      <c r="H366" s="507"/>
      <c r="I366" s="507"/>
      <c r="J366" s="507"/>
      <c r="K366" s="507"/>
      <c r="L366" s="507"/>
      <c r="M366" s="507"/>
      <c r="N366" s="507"/>
    </row>
    <row r="367" spans="1:14" ht="15.75" x14ac:dyDescent="0.25">
      <c r="A367" s="733"/>
      <c r="B367" s="509"/>
      <c r="C367" s="507"/>
      <c r="D367" s="507"/>
      <c r="E367" s="507"/>
      <c r="F367" s="507"/>
      <c r="G367" s="507"/>
      <c r="H367" s="507"/>
      <c r="I367" s="507"/>
      <c r="J367" s="507"/>
      <c r="K367" s="507"/>
      <c r="L367" s="507"/>
      <c r="M367" s="507"/>
      <c r="N367" s="507"/>
    </row>
    <row r="368" spans="1:14" ht="15.75" x14ac:dyDescent="0.25">
      <c r="A368" s="733"/>
      <c r="B368" s="509"/>
      <c r="C368" s="507"/>
      <c r="D368" s="507"/>
      <c r="E368" s="507"/>
      <c r="F368" s="507"/>
      <c r="G368" s="507"/>
      <c r="H368" s="507"/>
      <c r="I368" s="507"/>
      <c r="J368" s="507"/>
      <c r="K368" s="507"/>
      <c r="L368" s="507"/>
      <c r="M368" s="507"/>
      <c r="N368" s="507"/>
    </row>
    <row r="369" spans="1:14" ht="15.75" x14ac:dyDescent="0.25">
      <c r="A369" s="733"/>
      <c r="B369" s="509"/>
      <c r="C369" s="507"/>
      <c r="D369" s="507"/>
      <c r="E369" s="507"/>
      <c r="F369" s="507"/>
      <c r="G369" s="507"/>
      <c r="H369" s="507"/>
      <c r="I369" s="507"/>
      <c r="J369" s="507"/>
      <c r="K369" s="507"/>
      <c r="L369" s="507"/>
      <c r="M369" s="507"/>
      <c r="N369" s="507"/>
    </row>
    <row r="370" spans="1:14" ht="15.75" x14ac:dyDescent="0.25">
      <c r="A370" s="733"/>
      <c r="B370" s="509"/>
      <c r="C370" s="507"/>
      <c r="D370" s="507"/>
      <c r="E370" s="507"/>
      <c r="F370" s="507"/>
      <c r="G370" s="507"/>
      <c r="H370" s="507"/>
      <c r="I370" s="507"/>
      <c r="J370" s="507"/>
      <c r="K370" s="507"/>
      <c r="L370" s="507"/>
      <c r="M370" s="507"/>
      <c r="N370" s="507"/>
    </row>
    <row r="371" spans="1:14" ht="15.75" x14ac:dyDescent="0.25">
      <c r="A371" s="733"/>
      <c r="B371" s="509"/>
      <c r="C371" s="507"/>
      <c r="D371" s="507"/>
      <c r="E371" s="507"/>
      <c r="F371" s="507"/>
      <c r="G371" s="507"/>
      <c r="H371" s="507"/>
      <c r="I371" s="507"/>
      <c r="J371" s="507"/>
      <c r="K371" s="507"/>
      <c r="L371" s="507"/>
      <c r="M371" s="507"/>
      <c r="N371" s="507"/>
    </row>
    <row r="372" spans="1:14" ht="15.75" x14ac:dyDescent="0.25">
      <c r="A372" s="733"/>
      <c r="B372" s="509"/>
      <c r="C372" s="507"/>
      <c r="D372" s="507"/>
      <c r="E372" s="507"/>
      <c r="F372" s="507"/>
      <c r="G372" s="507"/>
      <c r="H372" s="507"/>
      <c r="I372" s="507"/>
      <c r="J372" s="507"/>
      <c r="K372" s="507"/>
      <c r="L372" s="507"/>
      <c r="M372" s="507"/>
      <c r="N372" s="507"/>
    </row>
    <row r="373" spans="1:14" ht="15.75" x14ac:dyDescent="0.25">
      <c r="A373" s="733"/>
      <c r="B373" s="509"/>
      <c r="C373" s="507"/>
      <c r="D373" s="507"/>
      <c r="E373" s="507"/>
      <c r="F373" s="507"/>
      <c r="G373" s="507"/>
      <c r="H373" s="507"/>
      <c r="I373" s="507"/>
      <c r="J373" s="507"/>
      <c r="K373" s="507"/>
      <c r="L373" s="507"/>
      <c r="M373" s="507"/>
      <c r="N373" s="507"/>
    </row>
    <row r="374" spans="1:14" ht="15.75" x14ac:dyDescent="0.25">
      <c r="A374" s="733"/>
      <c r="B374" s="509"/>
      <c r="C374" s="507"/>
      <c r="D374" s="507"/>
      <c r="E374" s="507"/>
      <c r="F374" s="507"/>
      <c r="G374" s="507"/>
      <c r="H374" s="507"/>
      <c r="I374" s="507"/>
      <c r="J374" s="507"/>
      <c r="K374" s="507"/>
      <c r="L374" s="507"/>
      <c r="M374" s="507"/>
      <c r="N374" s="507"/>
    </row>
    <row r="375" spans="1:14" ht="15.75" x14ac:dyDescent="0.25">
      <c r="A375" s="733"/>
      <c r="B375" s="509"/>
      <c r="C375" s="507"/>
      <c r="D375" s="507"/>
      <c r="E375" s="507"/>
      <c r="F375" s="507"/>
      <c r="G375" s="507"/>
      <c r="H375" s="507"/>
      <c r="I375" s="507"/>
      <c r="J375" s="507"/>
      <c r="K375" s="507"/>
      <c r="L375" s="507"/>
      <c r="M375" s="507"/>
      <c r="N375" s="507"/>
    </row>
    <row r="376" spans="1:14" ht="15.75" x14ac:dyDescent="0.25">
      <c r="A376" s="733"/>
      <c r="B376" s="509"/>
      <c r="C376" s="507"/>
      <c r="D376" s="507"/>
      <c r="E376" s="507"/>
      <c r="F376" s="507"/>
      <c r="G376" s="507"/>
      <c r="H376" s="507"/>
      <c r="I376" s="507"/>
      <c r="J376" s="507"/>
      <c r="K376" s="507"/>
      <c r="L376" s="507"/>
      <c r="M376" s="507"/>
      <c r="N376" s="507"/>
    </row>
    <row r="377" spans="1:14" ht="15.75" x14ac:dyDescent="0.25">
      <c r="A377" s="733"/>
      <c r="B377" s="509"/>
      <c r="C377" s="507"/>
      <c r="D377" s="507"/>
      <c r="E377" s="507"/>
      <c r="F377" s="507"/>
      <c r="G377" s="507"/>
      <c r="H377" s="507"/>
      <c r="I377" s="507"/>
      <c r="J377" s="507"/>
      <c r="K377" s="507"/>
      <c r="L377" s="507"/>
      <c r="M377" s="507"/>
      <c r="N377" s="507"/>
    </row>
    <row r="378" spans="1:14" ht="15.75" x14ac:dyDescent="0.25">
      <c r="A378" s="733"/>
      <c r="B378" s="509"/>
      <c r="C378" s="507"/>
      <c r="D378" s="507"/>
      <c r="E378" s="507"/>
      <c r="F378" s="507"/>
      <c r="G378" s="507"/>
      <c r="H378" s="507"/>
      <c r="I378" s="507"/>
      <c r="J378" s="507"/>
      <c r="K378" s="507"/>
      <c r="L378" s="507"/>
      <c r="M378" s="507"/>
      <c r="N378" s="507"/>
    </row>
    <row r="379" spans="1:14" ht="15.75" x14ac:dyDescent="0.25">
      <c r="A379" s="733"/>
      <c r="B379" s="509"/>
      <c r="C379" s="507"/>
      <c r="D379" s="507"/>
      <c r="E379" s="507"/>
      <c r="F379" s="507"/>
      <c r="G379" s="507"/>
      <c r="H379" s="507"/>
      <c r="I379" s="507"/>
      <c r="J379" s="507"/>
      <c r="K379" s="507"/>
      <c r="L379" s="507"/>
      <c r="M379" s="507"/>
      <c r="N379" s="507"/>
    </row>
    <row r="380" spans="1:14" ht="15.75" x14ac:dyDescent="0.25">
      <c r="A380" s="733"/>
      <c r="B380" s="509"/>
      <c r="C380" s="507"/>
      <c r="D380" s="507"/>
      <c r="E380" s="507"/>
      <c r="F380" s="507"/>
      <c r="G380" s="507"/>
      <c r="H380" s="507"/>
      <c r="I380" s="507"/>
      <c r="J380" s="507"/>
      <c r="K380" s="507"/>
      <c r="L380" s="507"/>
      <c r="M380" s="507"/>
      <c r="N380" s="507"/>
    </row>
    <row r="381" spans="1:14" ht="15.75" x14ac:dyDescent="0.25">
      <c r="A381" s="733"/>
      <c r="B381" s="509"/>
      <c r="C381" s="507"/>
      <c r="D381" s="507"/>
      <c r="E381" s="507"/>
      <c r="F381" s="507"/>
      <c r="G381" s="507"/>
      <c r="H381" s="507"/>
      <c r="I381" s="507"/>
      <c r="J381" s="507"/>
      <c r="K381" s="507"/>
      <c r="L381" s="507"/>
      <c r="M381" s="507"/>
      <c r="N381" s="507"/>
    </row>
    <row r="382" spans="1:14" ht="15.75" x14ac:dyDescent="0.25">
      <c r="A382" s="733"/>
      <c r="B382" s="509"/>
      <c r="C382" s="507"/>
      <c r="D382" s="507"/>
      <c r="E382" s="507"/>
      <c r="F382" s="507"/>
      <c r="G382" s="507"/>
      <c r="H382" s="507"/>
      <c r="I382" s="507"/>
      <c r="J382" s="507"/>
      <c r="K382" s="507"/>
      <c r="L382" s="507"/>
      <c r="M382" s="507"/>
      <c r="N382" s="507"/>
    </row>
    <row r="383" spans="1:14" ht="15.75" x14ac:dyDescent="0.25">
      <c r="A383" s="733"/>
      <c r="B383" s="509"/>
      <c r="C383" s="507"/>
      <c r="D383" s="507"/>
      <c r="E383" s="507"/>
      <c r="F383" s="507"/>
      <c r="G383" s="507"/>
      <c r="H383" s="507"/>
      <c r="I383" s="507"/>
      <c r="J383" s="507"/>
      <c r="K383" s="507"/>
      <c r="L383" s="507"/>
      <c r="M383" s="507"/>
      <c r="N383" s="507"/>
    </row>
    <row r="384" spans="1:14" ht="15.75" x14ac:dyDescent="0.25">
      <c r="A384" s="733"/>
      <c r="B384" s="509"/>
      <c r="C384" s="507"/>
      <c r="D384" s="507"/>
      <c r="E384" s="507"/>
      <c r="F384" s="507"/>
      <c r="G384" s="507"/>
      <c r="H384" s="507"/>
      <c r="I384" s="507"/>
      <c r="J384" s="507"/>
      <c r="K384" s="507"/>
      <c r="L384" s="507"/>
      <c r="M384" s="507"/>
      <c r="N384" s="507"/>
    </row>
    <row r="385" spans="1:14" ht="15.75" x14ac:dyDescent="0.25">
      <c r="A385" s="733"/>
      <c r="B385" s="509"/>
      <c r="C385" s="507"/>
      <c r="D385" s="507"/>
      <c r="E385" s="507"/>
      <c r="F385" s="507"/>
      <c r="G385" s="507"/>
      <c r="H385" s="507"/>
      <c r="I385" s="507"/>
      <c r="J385" s="507"/>
      <c r="K385" s="507"/>
      <c r="L385" s="507"/>
      <c r="M385" s="507"/>
      <c r="N385" s="507"/>
    </row>
    <row r="386" spans="1:14" ht="15.75" x14ac:dyDescent="0.25">
      <c r="A386" s="733"/>
      <c r="B386" s="509"/>
      <c r="C386" s="507"/>
      <c r="D386" s="507"/>
      <c r="E386" s="507"/>
      <c r="F386" s="507"/>
      <c r="G386" s="507"/>
      <c r="H386" s="507"/>
      <c r="I386" s="507"/>
      <c r="J386" s="507"/>
      <c r="K386" s="507"/>
      <c r="L386" s="507"/>
      <c r="M386" s="507"/>
      <c r="N386" s="507"/>
    </row>
    <row r="387" spans="1:14" ht="15.75" x14ac:dyDescent="0.25">
      <c r="A387" s="733"/>
      <c r="B387" s="509"/>
      <c r="C387" s="507"/>
      <c r="D387" s="507"/>
      <c r="E387" s="507"/>
      <c r="F387" s="507"/>
      <c r="G387" s="507"/>
      <c r="H387" s="507"/>
      <c r="I387" s="507"/>
      <c r="J387" s="507"/>
      <c r="K387" s="507"/>
      <c r="L387" s="507"/>
      <c r="M387" s="507"/>
      <c r="N387" s="507"/>
    </row>
    <row r="388" spans="1:14" ht="15.75" x14ac:dyDescent="0.25">
      <c r="A388" s="733"/>
      <c r="B388" s="509"/>
      <c r="C388" s="507"/>
      <c r="D388" s="507"/>
      <c r="E388" s="507"/>
      <c r="F388" s="507"/>
      <c r="G388" s="507"/>
      <c r="H388" s="507"/>
      <c r="I388" s="507"/>
      <c r="J388" s="507"/>
      <c r="K388" s="507"/>
      <c r="L388" s="507"/>
      <c r="M388" s="507"/>
      <c r="N388" s="507"/>
    </row>
    <row r="389" spans="1:14" ht="15.75" x14ac:dyDescent="0.25">
      <c r="A389" s="733"/>
      <c r="B389" s="509"/>
      <c r="C389" s="507"/>
      <c r="D389" s="507"/>
      <c r="E389" s="507"/>
      <c r="F389" s="507"/>
      <c r="G389" s="507"/>
      <c r="H389" s="507"/>
      <c r="I389" s="507"/>
      <c r="J389" s="507"/>
      <c r="K389" s="507"/>
      <c r="L389" s="507"/>
      <c r="M389" s="507"/>
      <c r="N389" s="507"/>
    </row>
    <row r="390" spans="1:14" ht="15.75" x14ac:dyDescent="0.25">
      <c r="A390" s="733"/>
      <c r="B390" s="509"/>
      <c r="C390" s="507"/>
      <c r="D390" s="507"/>
      <c r="E390" s="507"/>
      <c r="F390" s="507"/>
      <c r="G390" s="507"/>
      <c r="H390" s="507"/>
      <c r="I390" s="507"/>
      <c r="J390" s="507"/>
      <c r="K390" s="507"/>
      <c r="L390" s="507"/>
      <c r="M390" s="507"/>
      <c r="N390" s="507"/>
    </row>
    <row r="391" spans="1:14" ht="15.75" x14ac:dyDescent="0.25">
      <c r="A391" s="733"/>
      <c r="B391" s="509"/>
      <c r="C391" s="507"/>
      <c r="D391" s="507"/>
      <c r="E391" s="507"/>
      <c r="F391" s="507"/>
      <c r="G391" s="507"/>
      <c r="H391" s="507"/>
      <c r="I391" s="507"/>
      <c r="J391" s="507"/>
      <c r="K391" s="507"/>
      <c r="L391" s="507"/>
      <c r="M391" s="507"/>
      <c r="N391" s="507"/>
    </row>
    <row r="392" spans="1:14" ht="15.75" x14ac:dyDescent="0.25">
      <c r="A392" s="733"/>
      <c r="B392" s="509"/>
      <c r="C392" s="507"/>
      <c r="D392" s="507"/>
      <c r="E392" s="507"/>
      <c r="F392" s="507"/>
      <c r="G392" s="507"/>
      <c r="H392" s="507"/>
      <c r="I392" s="507"/>
      <c r="J392" s="507"/>
      <c r="K392" s="507"/>
      <c r="L392" s="507"/>
      <c r="M392" s="507"/>
      <c r="N392" s="507"/>
    </row>
    <row r="393" spans="1:14" ht="15.75" x14ac:dyDescent="0.25">
      <c r="A393" s="733"/>
      <c r="B393" s="509"/>
      <c r="C393" s="507"/>
      <c r="D393" s="507"/>
      <c r="E393" s="507"/>
      <c r="F393" s="507"/>
      <c r="G393" s="507"/>
      <c r="H393" s="507"/>
      <c r="I393" s="507"/>
      <c r="J393" s="507"/>
      <c r="K393" s="507"/>
      <c r="L393" s="507"/>
      <c r="M393" s="507"/>
      <c r="N393" s="507"/>
    </row>
    <row r="394" spans="1:14" ht="15.75" x14ac:dyDescent="0.25">
      <c r="A394" s="733"/>
      <c r="B394" s="509"/>
      <c r="C394" s="507"/>
      <c r="D394" s="507"/>
      <c r="E394" s="507"/>
      <c r="F394" s="507"/>
      <c r="G394" s="507"/>
      <c r="H394" s="507"/>
      <c r="I394" s="507"/>
      <c r="J394" s="507"/>
      <c r="K394" s="507"/>
      <c r="L394" s="507"/>
      <c r="M394" s="507"/>
      <c r="N394" s="507"/>
    </row>
    <row r="395" spans="1:14" ht="15.75" x14ac:dyDescent="0.25">
      <c r="A395" s="733"/>
      <c r="B395" s="509"/>
      <c r="C395" s="507"/>
      <c r="D395" s="507"/>
      <c r="E395" s="507"/>
      <c r="F395" s="507"/>
      <c r="G395" s="507"/>
      <c r="H395" s="507"/>
      <c r="I395" s="507"/>
      <c r="J395" s="507"/>
      <c r="K395" s="507"/>
      <c r="L395" s="507"/>
      <c r="M395" s="507"/>
      <c r="N395" s="507"/>
    </row>
    <row r="396" spans="1:14" ht="15.75" x14ac:dyDescent="0.25">
      <c r="A396" s="733"/>
      <c r="B396" s="509"/>
      <c r="C396" s="507"/>
      <c r="D396" s="507"/>
      <c r="E396" s="507"/>
      <c r="F396" s="507"/>
      <c r="G396" s="507"/>
      <c r="H396" s="507"/>
      <c r="I396" s="507"/>
      <c r="J396" s="507"/>
      <c r="K396" s="507"/>
      <c r="L396" s="507"/>
      <c r="M396" s="507"/>
      <c r="N396" s="507"/>
    </row>
    <row r="397" spans="1:14" ht="15.75" x14ac:dyDescent="0.25">
      <c r="A397" s="733"/>
      <c r="B397" s="509"/>
      <c r="C397" s="507"/>
      <c r="D397" s="507"/>
      <c r="E397" s="507"/>
      <c r="F397" s="507"/>
      <c r="G397" s="507"/>
      <c r="H397" s="507"/>
      <c r="I397" s="507"/>
      <c r="J397" s="507"/>
      <c r="K397" s="507"/>
      <c r="L397" s="507"/>
      <c r="M397" s="507"/>
      <c r="N397" s="507"/>
    </row>
    <row r="398" spans="1:14" ht="15.75" x14ac:dyDescent="0.25">
      <c r="A398" s="733"/>
      <c r="B398" s="509"/>
      <c r="C398" s="507"/>
      <c r="D398" s="507"/>
      <c r="E398" s="507"/>
      <c r="F398" s="507"/>
      <c r="G398" s="507"/>
      <c r="H398" s="507"/>
      <c r="I398" s="507"/>
      <c r="J398" s="507"/>
      <c r="K398" s="507"/>
      <c r="L398" s="507"/>
      <c r="M398" s="507"/>
      <c r="N398" s="507"/>
    </row>
    <row r="399" spans="1:14" ht="15.75" x14ac:dyDescent="0.25">
      <c r="A399" s="733"/>
      <c r="B399" s="509"/>
      <c r="C399" s="507"/>
      <c r="D399" s="507"/>
      <c r="E399" s="507"/>
      <c r="F399" s="507"/>
      <c r="G399" s="507"/>
      <c r="H399" s="507"/>
      <c r="I399" s="507"/>
      <c r="J399" s="507"/>
      <c r="K399" s="507"/>
      <c r="L399" s="507"/>
      <c r="M399" s="507"/>
      <c r="N399" s="507"/>
    </row>
    <row r="400" spans="1:14" ht="15.75" x14ac:dyDescent="0.25">
      <c r="A400" s="733"/>
      <c r="B400" s="509"/>
      <c r="C400" s="507"/>
      <c r="D400" s="507"/>
      <c r="E400" s="507"/>
      <c r="F400" s="507"/>
      <c r="G400" s="507"/>
      <c r="H400" s="507"/>
      <c r="I400" s="507"/>
      <c r="J400" s="507"/>
      <c r="K400" s="507"/>
      <c r="L400" s="507"/>
      <c r="M400" s="507"/>
      <c r="N400" s="507"/>
    </row>
    <row r="401" spans="1:14" ht="15.75" x14ac:dyDescent="0.25">
      <c r="A401" s="733"/>
      <c r="B401" s="509"/>
      <c r="C401" s="507"/>
      <c r="D401" s="507"/>
      <c r="E401" s="507"/>
      <c r="F401" s="507"/>
      <c r="G401" s="507"/>
      <c r="H401" s="507"/>
      <c r="I401" s="507"/>
      <c r="J401" s="507"/>
      <c r="K401" s="507"/>
      <c r="L401" s="507"/>
      <c r="M401" s="507"/>
      <c r="N401" s="507"/>
    </row>
    <row r="402" spans="1:14" ht="15.75" x14ac:dyDescent="0.25">
      <c r="A402" s="733"/>
      <c r="B402" s="509"/>
      <c r="C402" s="507"/>
      <c r="D402" s="507"/>
      <c r="E402" s="507"/>
      <c r="F402" s="507"/>
      <c r="G402" s="507"/>
      <c r="H402" s="507"/>
      <c r="I402" s="507"/>
      <c r="J402" s="507"/>
      <c r="K402" s="507"/>
      <c r="L402" s="507"/>
      <c r="M402" s="507"/>
      <c r="N402" s="507"/>
    </row>
    <row r="403" spans="1:14" ht="15.75" x14ac:dyDescent="0.25">
      <c r="A403" s="733"/>
      <c r="B403" s="509"/>
      <c r="C403" s="507"/>
      <c r="D403" s="507"/>
      <c r="E403" s="507"/>
      <c r="F403" s="507"/>
      <c r="G403" s="507"/>
      <c r="H403" s="507"/>
      <c r="I403" s="507"/>
      <c r="J403" s="507"/>
      <c r="K403" s="507"/>
      <c r="L403" s="507"/>
      <c r="M403" s="507"/>
      <c r="N403" s="507"/>
    </row>
    <row r="404" spans="1:14" ht="15.75" x14ac:dyDescent="0.25">
      <c r="A404" s="733"/>
      <c r="B404" s="509"/>
      <c r="C404" s="507"/>
      <c r="D404" s="507"/>
      <c r="E404" s="507"/>
      <c r="F404" s="507"/>
      <c r="G404" s="507"/>
      <c r="H404" s="507"/>
      <c r="I404" s="507"/>
      <c r="J404" s="507"/>
      <c r="K404" s="507"/>
      <c r="L404" s="507"/>
      <c r="M404" s="507"/>
      <c r="N404" s="507"/>
    </row>
    <row r="405" spans="1:14" ht="15.75" x14ac:dyDescent="0.25">
      <c r="A405" s="733"/>
      <c r="B405" s="509"/>
      <c r="C405" s="507"/>
      <c r="D405" s="507"/>
      <c r="E405" s="507"/>
      <c r="F405" s="507"/>
      <c r="G405" s="507"/>
      <c r="H405" s="507"/>
      <c r="I405" s="507"/>
      <c r="J405" s="507"/>
      <c r="K405" s="507"/>
      <c r="L405" s="507"/>
      <c r="M405" s="507"/>
      <c r="N405" s="507"/>
    </row>
    <row r="406" spans="1:14" ht="15.75" x14ac:dyDescent="0.25">
      <c r="A406" s="733"/>
      <c r="B406" s="509"/>
      <c r="C406" s="507"/>
      <c r="D406" s="507"/>
      <c r="E406" s="507"/>
      <c r="F406" s="507"/>
      <c r="G406" s="507"/>
      <c r="H406" s="507"/>
      <c r="I406" s="507"/>
      <c r="J406" s="507"/>
      <c r="K406" s="507"/>
      <c r="L406" s="507"/>
      <c r="M406" s="507"/>
      <c r="N406" s="507"/>
    </row>
    <row r="407" spans="1:14" ht="15.75" x14ac:dyDescent="0.25">
      <c r="A407" s="733"/>
      <c r="B407" s="509"/>
      <c r="C407" s="507"/>
      <c r="D407" s="507"/>
      <c r="E407" s="507"/>
      <c r="F407" s="507"/>
      <c r="G407" s="507"/>
      <c r="H407" s="507"/>
      <c r="I407" s="507"/>
      <c r="J407" s="507"/>
      <c r="K407" s="507"/>
      <c r="L407" s="507"/>
      <c r="M407" s="507"/>
      <c r="N407" s="507"/>
    </row>
    <row r="408" spans="1:14" ht="15.75" x14ac:dyDescent="0.25">
      <c r="A408" s="733"/>
      <c r="B408" s="509"/>
      <c r="C408" s="507"/>
      <c r="D408" s="507"/>
      <c r="E408" s="507"/>
      <c r="F408" s="507"/>
      <c r="G408" s="507"/>
      <c r="H408" s="507"/>
      <c r="I408" s="507"/>
      <c r="J408" s="507"/>
      <c r="K408" s="507"/>
      <c r="L408" s="507"/>
      <c r="M408" s="507"/>
      <c r="N408" s="507"/>
    </row>
    <row r="409" spans="1:14" ht="15.75" x14ac:dyDescent="0.25">
      <c r="A409" s="733"/>
      <c r="B409" s="509"/>
      <c r="C409" s="507"/>
      <c r="D409" s="507"/>
      <c r="E409" s="507"/>
      <c r="F409" s="507"/>
      <c r="G409" s="507"/>
      <c r="H409" s="507"/>
      <c r="I409" s="507"/>
      <c r="J409" s="507"/>
      <c r="K409" s="507"/>
      <c r="L409" s="507"/>
      <c r="M409" s="507"/>
      <c r="N409" s="507"/>
    </row>
    <row r="410" spans="1:14" ht="15.75" x14ac:dyDescent="0.25">
      <c r="A410" s="733"/>
      <c r="B410" s="509"/>
      <c r="C410" s="507"/>
      <c r="D410" s="507"/>
      <c r="E410" s="507"/>
      <c r="F410" s="507"/>
      <c r="G410" s="507"/>
      <c r="H410" s="507"/>
      <c r="I410" s="507"/>
      <c r="J410" s="507"/>
      <c r="K410" s="507"/>
      <c r="L410" s="507"/>
      <c r="M410" s="507"/>
      <c r="N410" s="507"/>
    </row>
    <row r="411" spans="1:14" ht="15.75" x14ac:dyDescent="0.25">
      <c r="A411" s="733"/>
      <c r="B411" s="509"/>
      <c r="C411" s="507"/>
      <c r="D411" s="507"/>
      <c r="E411" s="507"/>
      <c r="F411" s="507"/>
      <c r="G411" s="507"/>
      <c r="H411" s="507"/>
      <c r="I411" s="507"/>
      <c r="J411" s="507"/>
      <c r="K411" s="507"/>
      <c r="L411" s="507"/>
      <c r="M411" s="507"/>
      <c r="N411" s="507"/>
    </row>
    <row r="412" spans="1:14" ht="15.75" x14ac:dyDescent="0.25">
      <c r="A412" s="733"/>
      <c r="B412" s="509"/>
      <c r="C412" s="507"/>
      <c r="D412" s="507"/>
      <c r="E412" s="507"/>
      <c r="F412" s="507"/>
      <c r="G412" s="507"/>
      <c r="H412" s="507"/>
      <c r="I412" s="507"/>
      <c r="J412" s="507"/>
      <c r="K412" s="507"/>
      <c r="L412" s="507"/>
      <c r="M412" s="507"/>
      <c r="N412" s="507"/>
    </row>
    <row r="413" spans="1:14" ht="15.75" x14ac:dyDescent="0.25">
      <c r="A413" s="733"/>
      <c r="B413" s="509"/>
      <c r="C413" s="507"/>
      <c r="D413" s="507"/>
      <c r="E413" s="507"/>
      <c r="F413" s="507"/>
      <c r="G413" s="507"/>
      <c r="H413" s="507"/>
      <c r="I413" s="507"/>
      <c r="J413" s="507"/>
      <c r="K413" s="507"/>
      <c r="L413" s="507"/>
      <c r="M413" s="507"/>
      <c r="N413" s="507"/>
    </row>
    <row r="414" spans="1:14" ht="15.75" x14ac:dyDescent="0.25">
      <c r="A414" s="733"/>
      <c r="B414" s="509"/>
      <c r="C414" s="507"/>
      <c r="D414" s="507"/>
      <c r="E414" s="507"/>
      <c r="F414" s="507"/>
      <c r="G414" s="507"/>
      <c r="H414" s="507"/>
      <c r="I414" s="507"/>
      <c r="J414" s="507"/>
      <c r="K414" s="507"/>
      <c r="L414" s="507"/>
      <c r="M414" s="507"/>
      <c r="N414" s="507"/>
    </row>
    <row r="415" spans="1:14" ht="15.75" x14ac:dyDescent="0.25">
      <c r="A415" s="733"/>
      <c r="B415" s="509"/>
      <c r="C415" s="507"/>
      <c r="D415" s="507"/>
      <c r="E415" s="507"/>
      <c r="F415" s="507"/>
      <c r="G415" s="507"/>
      <c r="H415" s="507"/>
      <c r="I415" s="507"/>
      <c r="J415" s="507"/>
      <c r="K415" s="507"/>
      <c r="L415" s="507"/>
      <c r="M415" s="507"/>
      <c r="N415" s="507"/>
    </row>
    <row r="416" spans="1:14" ht="15.75" x14ac:dyDescent="0.25">
      <c r="A416" s="733"/>
      <c r="B416" s="509"/>
      <c r="C416" s="507"/>
      <c r="D416" s="507"/>
      <c r="E416" s="507"/>
      <c r="F416" s="507"/>
      <c r="G416" s="507"/>
      <c r="H416" s="507"/>
      <c r="I416" s="507"/>
      <c r="J416" s="507"/>
      <c r="K416" s="507"/>
      <c r="L416" s="507"/>
      <c r="M416" s="507"/>
      <c r="N416" s="507"/>
    </row>
    <row r="417" spans="1:14" ht="15.75" x14ac:dyDescent="0.25">
      <c r="A417" s="733"/>
      <c r="B417" s="509"/>
      <c r="C417" s="507"/>
      <c r="D417" s="507"/>
      <c r="E417" s="507"/>
      <c r="F417" s="507"/>
      <c r="G417" s="507"/>
      <c r="H417" s="507"/>
      <c r="I417" s="507"/>
      <c r="J417" s="507"/>
      <c r="K417" s="507"/>
      <c r="L417" s="507"/>
      <c r="M417" s="507"/>
      <c r="N417" s="507"/>
    </row>
    <row r="418" spans="1:14" ht="15.75" x14ac:dyDescent="0.25">
      <c r="A418" s="733"/>
      <c r="B418" s="509"/>
      <c r="C418" s="507"/>
      <c r="D418" s="507"/>
      <c r="E418" s="507"/>
      <c r="F418" s="507"/>
      <c r="G418" s="507"/>
      <c r="H418" s="507"/>
      <c r="I418" s="507"/>
      <c r="J418" s="507"/>
      <c r="K418" s="507"/>
      <c r="L418" s="507"/>
      <c r="M418" s="507"/>
      <c r="N418" s="507"/>
    </row>
    <row r="419" spans="1:14" ht="15.75" x14ac:dyDescent="0.25">
      <c r="A419" s="733"/>
      <c r="B419" s="509"/>
      <c r="C419" s="507"/>
      <c r="D419" s="507"/>
      <c r="E419" s="507"/>
      <c r="F419" s="507"/>
      <c r="G419" s="507"/>
      <c r="H419" s="507"/>
      <c r="I419" s="507"/>
      <c r="J419" s="507"/>
      <c r="K419" s="507"/>
      <c r="L419" s="507"/>
      <c r="M419" s="507"/>
      <c r="N419" s="507"/>
    </row>
    <row r="420" spans="1:14" ht="15.75" x14ac:dyDescent="0.25">
      <c r="A420" s="733"/>
      <c r="B420" s="509"/>
      <c r="C420" s="507"/>
      <c r="D420" s="507"/>
      <c r="E420" s="507"/>
      <c r="F420" s="507"/>
      <c r="G420" s="507"/>
      <c r="H420" s="507"/>
      <c r="I420" s="507"/>
      <c r="J420" s="507"/>
      <c r="K420" s="507"/>
      <c r="L420" s="507"/>
      <c r="M420" s="507"/>
      <c r="N420" s="507"/>
    </row>
    <row r="421" spans="1:14" ht="15.75" x14ac:dyDescent="0.25">
      <c r="A421" s="733"/>
      <c r="B421" s="509"/>
      <c r="C421" s="507"/>
      <c r="D421" s="507"/>
      <c r="E421" s="507"/>
      <c r="F421" s="507"/>
      <c r="G421" s="507"/>
      <c r="H421" s="507"/>
      <c r="I421" s="507"/>
      <c r="J421" s="507"/>
      <c r="K421" s="507"/>
      <c r="L421" s="507"/>
      <c r="M421" s="507"/>
      <c r="N421" s="507"/>
    </row>
    <row r="422" spans="1:14" ht="15.75" x14ac:dyDescent="0.25">
      <c r="A422" s="733"/>
      <c r="B422" s="509"/>
      <c r="C422" s="507"/>
      <c r="D422" s="507"/>
      <c r="E422" s="507"/>
      <c r="F422" s="507"/>
      <c r="G422" s="507"/>
      <c r="H422" s="507"/>
      <c r="I422" s="507"/>
      <c r="J422" s="507"/>
      <c r="K422" s="507"/>
      <c r="L422" s="507"/>
      <c r="M422" s="507"/>
      <c r="N422" s="507"/>
    </row>
    <row r="423" spans="1:14" ht="15.75" x14ac:dyDescent="0.25">
      <c r="A423" s="733"/>
      <c r="B423" s="509"/>
      <c r="C423" s="507"/>
      <c r="D423" s="507"/>
      <c r="E423" s="507"/>
      <c r="F423" s="507"/>
      <c r="G423" s="507"/>
      <c r="H423" s="507"/>
      <c r="I423" s="507"/>
      <c r="J423" s="507"/>
      <c r="K423" s="507"/>
      <c r="L423" s="507"/>
      <c r="M423" s="507"/>
      <c r="N423" s="507"/>
    </row>
    <row r="424" spans="1:14" ht="15.75" x14ac:dyDescent="0.25">
      <c r="A424" s="733"/>
      <c r="B424" s="509"/>
      <c r="C424" s="507"/>
      <c r="D424" s="507"/>
      <c r="E424" s="507"/>
      <c r="F424" s="507"/>
      <c r="G424" s="507"/>
      <c r="H424" s="507"/>
      <c r="I424" s="507"/>
      <c r="J424" s="507"/>
      <c r="K424" s="507"/>
      <c r="L424" s="507"/>
      <c r="M424" s="507"/>
      <c r="N424" s="507"/>
    </row>
    <row r="425" spans="1:14" ht="15.75" x14ac:dyDescent="0.25">
      <c r="A425" s="733"/>
      <c r="B425" s="509"/>
      <c r="C425" s="507"/>
      <c r="D425" s="507"/>
      <c r="E425" s="507"/>
      <c r="F425" s="507"/>
      <c r="G425" s="507"/>
      <c r="H425" s="507"/>
      <c r="I425" s="507"/>
      <c r="J425" s="507"/>
      <c r="K425" s="507"/>
      <c r="L425" s="507"/>
      <c r="M425" s="507"/>
      <c r="N425" s="507"/>
    </row>
    <row r="426" spans="1:14" ht="15.75" x14ac:dyDescent="0.25">
      <c r="A426" s="733"/>
      <c r="B426" s="509"/>
      <c r="C426" s="507"/>
      <c r="D426" s="507"/>
      <c r="E426" s="507"/>
      <c r="F426" s="507"/>
      <c r="G426" s="507"/>
      <c r="H426" s="507"/>
      <c r="I426" s="507"/>
      <c r="J426" s="507"/>
      <c r="K426" s="507"/>
      <c r="L426" s="507"/>
      <c r="M426" s="507"/>
      <c r="N426" s="507"/>
    </row>
    <row r="427" spans="1:14" ht="15.75" x14ac:dyDescent="0.25">
      <c r="A427" s="733"/>
      <c r="B427" s="509"/>
      <c r="C427" s="507"/>
      <c r="D427" s="507"/>
      <c r="E427" s="507"/>
      <c r="F427" s="507"/>
      <c r="G427" s="507"/>
      <c r="H427" s="507"/>
      <c r="I427" s="507"/>
      <c r="J427" s="507"/>
      <c r="K427" s="507"/>
      <c r="L427" s="507"/>
      <c r="M427" s="507"/>
      <c r="N427" s="507"/>
    </row>
    <row r="428" spans="1:14" ht="15.75" x14ac:dyDescent="0.25">
      <c r="A428" s="733"/>
      <c r="B428" s="509"/>
      <c r="C428" s="507"/>
      <c r="D428" s="507"/>
      <c r="E428" s="507"/>
      <c r="F428" s="507"/>
      <c r="G428" s="507"/>
      <c r="H428" s="507"/>
      <c r="I428" s="507"/>
      <c r="J428" s="507"/>
      <c r="K428" s="507"/>
      <c r="L428" s="507"/>
      <c r="M428" s="507"/>
      <c r="N428" s="507"/>
    </row>
    <row r="429" spans="1:14" ht="15.75" x14ac:dyDescent="0.25">
      <c r="A429" s="733"/>
      <c r="B429" s="509"/>
      <c r="C429" s="507"/>
      <c r="D429" s="507"/>
      <c r="E429" s="507"/>
      <c r="F429" s="507"/>
      <c r="G429" s="507"/>
      <c r="H429" s="507"/>
      <c r="I429" s="507"/>
      <c r="J429" s="507"/>
      <c r="K429" s="507"/>
      <c r="L429" s="507"/>
      <c r="M429" s="507"/>
      <c r="N429" s="507"/>
    </row>
    <row r="430" spans="1:14" ht="15.75" x14ac:dyDescent="0.25">
      <c r="A430" s="733"/>
      <c r="B430" s="509"/>
      <c r="C430" s="507"/>
      <c r="D430" s="507"/>
      <c r="E430" s="507"/>
      <c r="F430" s="507"/>
      <c r="G430" s="507"/>
      <c r="H430" s="507"/>
      <c r="I430" s="507"/>
      <c r="J430" s="507"/>
      <c r="K430" s="507"/>
      <c r="L430" s="507"/>
      <c r="M430" s="507"/>
      <c r="N430" s="507"/>
    </row>
    <row r="431" spans="1:14" ht="15.75" x14ac:dyDescent="0.25">
      <c r="A431" s="733"/>
      <c r="B431" s="509"/>
      <c r="C431" s="507"/>
      <c r="D431" s="507"/>
      <c r="E431" s="507"/>
      <c r="F431" s="507"/>
      <c r="G431" s="507"/>
      <c r="H431" s="507"/>
      <c r="I431" s="507"/>
      <c r="J431" s="507"/>
      <c r="K431" s="507"/>
      <c r="L431" s="507"/>
      <c r="M431" s="507"/>
      <c r="N431" s="507"/>
    </row>
    <row r="432" spans="1:14" ht="15.75" x14ac:dyDescent="0.25">
      <c r="A432" s="733"/>
      <c r="B432" s="509"/>
      <c r="C432" s="507"/>
      <c r="D432" s="507"/>
      <c r="E432" s="507"/>
      <c r="F432" s="507"/>
      <c r="G432" s="507"/>
      <c r="H432" s="507"/>
      <c r="I432" s="507"/>
      <c r="J432" s="507"/>
      <c r="K432" s="507"/>
      <c r="L432" s="507"/>
      <c r="M432" s="507"/>
      <c r="N432" s="507"/>
    </row>
    <row r="433" spans="1:14" ht="15.75" x14ac:dyDescent="0.25">
      <c r="A433" s="733"/>
      <c r="B433" s="509"/>
      <c r="C433" s="507"/>
      <c r="D433" s="507"/>
      <c r="E433" s="507"/>
      <c r="F433" s="507"/>
      <c r="G433" s="507"/>
      <c r="H433" s="507"/>
      <c r="I433" s="507"/>
      <c r="J433" s="507"/>
      <c r="K433" s="507"/>
      <c r="L433" s="507"/>
      <c r="M433" s="507"/>
      <c r="N433" s="507"/>
    </row>
    <row r="434" spans="1:14" ht="15.75" x14ac:dyDescent="0.25">
      <c r="A434" s="733"/>
      <c r="B434" s="509"/>
      <c r="C434" s="507"/>
      <c r="D434" s="507"/>
      <c r="E434" s="507"/>
      <c r="F434" s="507"/>
      <c r="G434" s="507"/>
      <c r="H434" s="507"/>
      <c r="I434" s="507"/>
      <c r="J434" s="507"/>
      <c r="K434" s="507"/>
      <c r="L434" s="507"/>
      <c r="M434" s="507"/>
      <c r="N434" s="507"/>
    </row>
    <row r="435" spans="1:14" ht="15.75" x14ac:dyDescent="0.25">
      <c r="A435" s="733"/>
      <c r="B435" s="509"/>
      <c r="C435" s="507"/>
      <c r="D435" s="507"/>
      <c r="E435" s="507"/>
      <c r="F435" s="507"/>
      <c r="G435" s="507"/>
      <c r="H435" s="507"/>
      <c r="I435" s="507"/>
      <c r="J435" s="507"/>
      <c r="K435" s="507"/>
      <c r="L435" s="507"/>
      <c r="M435" s="507"/>
      <c r="N435" s="507"/>
    </row>
    <row r="436" spans="1:14" ht="15.75" x14ac:dyDescent="0.25">
      <c r="A436" s="733"/>
      <c r="B436" s="509"/>
      <c r="C436" s="507"/>
      <c r="D436" s="507"/>
      <c r="E436" s="507"/>
      <c r="F436" s="507"/>
      <c r="G436" s="507"/>
      <c r="H436" s="507"/>
      <c r="I436" s="507"/>
      <c r="J436" s="507"/>
      <c r="K436" s="507"/>
      <c r="L436" s="507"/>
      <c r="M436" s="507"/>
      <c r="N436" s="507"/>
    </row>
    <row r="437" spans="1:14" ht="15.75" x14ac:dyDescent="0.25">
      <c r="A437" s="733"/>
      <c r="B437" s="509"/>
      <c r="C437" s="507"/>
      <c r="D437" s="507"/>
      <c r="E437" s="507"/>
      <c r="F437" s="507"/>
      <c r="G437" s="507"/>
      <c r="H437" s="507"/>
      <c r="I437" s="507"/>
      <c r="J437" s="507"/>
      <c r="K437" s="507"/>
      <c r="L437" s="507"/>
      <c r="M437" s="507"/>
      <c r="N437" s="507"/>
    </row>
    <row r="438" spans="1:14" ht="15.75" x14ac:dyDescent="0.25">
      <c r="A438" s="733"/>
      <c r="B438" s="509"/>
      <c r="C438" s="507"/>
      <c r="D438" s="507"/>
      <c r="E438" s="507"/>
      <c r="F438" s="507"/>
      <c r="G438" s="507"/>
      <c r="H438" s="507"/>
      <c r="I438" s="507"/>
      <c r="J438" s="507"/>
      <c r="K438" s="507"/>
      <c r="L438" s="507"/>
      <c r="M438" s="507"/>
      <c r="N438" s="507"/>
    </row>
    <row r="439" spans="1:14" ht="15.75" x14ac:dyDescent="0.25">
      <c r="A439" s="733"/>
      <c r="B439" s="509"/>
      <c r="C439" s="507"/>
      <c r="D439" s="507"/>
      <c r="E439" s="507"/>
      <c r="F439" s="507"/>
      <c r="G439" s="507"/>
      <c r="H439" s="507"/>
      <c r="I439" s="507"/>
      <c r="J439" s="507"/>
      <c r="K439" s="507"/>
      <c r="L439" s="507"/>
      <c r="M439" s="507"/>
      <c r="N439" s="507"/>
    </row>
    <row r="440" spans="1:14" ht="15.75" x14ac:dyDescent="0.25">
      <c r="A440" s="733"/>
      <c r="B440" s="509"/>
      <c r="C440" s="507"/>
      <c r="D440" s="507"/>
      <c r="E440" s="507"/>
      <c r="F440" s="507"/>
      <c r="G440" s="507"/>
      <c r="H440" s="507"/>
      <c r="I440" s="507"/>
      <c r="J440" s="507"/>
      <c r="K440" s="507"/>
      <c r="L440" s="507"/>
      <c r="M440" s="507"/>
      <c r="N440" s="507"/>
    </row>
    <row r="441" spans="1:14" ht="15.75" x14ac:dyDescent="0.25">
      <c r="A441" s="733"/>
      <c r="B441" s="509"/>
      <c r="C441" s="507"/>
      <c r="D441" s="507"/>
      <c r="E441" s="507"/>
      <c r="F441" s="507"/>
      <c r="G441" s="507"/>
      <c r="H441" s="507"/>
      <c r="I441" s="507"/>
      <c r="J441" s="507"/>
      <c r="K441" s="507"/>
      <c r="L441" s="507"/>
      <c r="M441" s="507"/>
      <c r="N441" s="507"/>
    </row>
    <row r="442" spans="1:14" ht="15.75" x14ac:dyDescent="0.25">
      <c r="A442" s="733"/>
      <c r="B442" s="509"/>
      <c r="C442" s="507"/>
      <c r="D442" s="507"/>
      <c r="E442" s="507"/>
      <c r="F442" s="507"/>
      <c r="G442" s="507"/>
      <c r="H442" s="507"/>
      <c r="I442" s="507"/>
      <c r="J442" s="507"/>
      <c r="K442" s="507"/>
      <c r="L442" s="507"/>
      <c r="M442" s="507"/>
      <c r="N442" s="507"/>
    </row>
    <row r="443" spans="1:14" ht="15.75" x14ac:dyDescent="0.25">
      <c r="A443" s="733"/>
      <c r="B443" s="509"/>
      <c r="C443" s="507"/>
      <c r="D443" s="507"/>
      <c r="E443" s="507"/>
      <c r="F443" s="507"/>
      <c r="G443" s="507"/>
      <c r="H443" s="507"/>
      <c r="I443" s="507"/>
      <c r="J443" s="507"/>
      <c r="K443" s="507"/>
      <c r="L443" s="507"/>
      <c r="M443" s="507"/>
      <c r="N443" s="507"/>
    </row>
    <row r="444" spans="1:14" ht="15.75" x14ac:dyDescent="0.25">
      <c r="A444" s="733"/>
      <c r="B444" s="509"/>
      <c r="C444" s="507"/>
      <c r="D444" s="507"/>
      <c r="E444" s="507"/>
      <c r="F444" s="507"/>
      <c r="G444" s="507"/>
      <c r="H444" s="507"/>
      <c r="I444" s="507"/>
      <c r="J444" s="507"/>
      <c r="K444" s="507"/>
      <c r="L444" s="507"/>
      <c r="M444" s="507"/>
      <c r="N444" s="507"/>
    </row>
    <row r="445" spans="1:14" ht="15.75" x14ac:dyDescent="0.25">
      <c r="A445" s="733"/>
      <c r="B445" s="509"/>
      <c r="C445" s="507"/>
      <c r="D445" s="507"/>
      <c r="E445" s="507"/>
      <c r="F445" s="507"/>
      <c r="G445" s="507"/>
      <c r="H445" s="507"/>
      <c r="I445" s="507"/>
      <c r="J445" s="507"/>
      <c r="K445" s="507"/>
      <c r="L445" s="507"/>
      <c r="M445" s="507"/>
      <c r="N445" s="507"/>
    </row>
    <row r="446" spans="1:14" ht="15.75" x14ac:dyDescent="0.25">
      <c r="A446" s="733"/>
      <c r="B446" s="509"/>
      <c r="C446" s="507"/>
      <c r="D446" s="507"/>
      <c r="E446" s="507"/>
      <c r="F446" s="507"/>
      <c r="G446" s="507"/>
      <c r="H446" s="507"/>
      <c r="I446" s="507"/>
      <c r="J446" s="507"/>
      <c r="K446" s="507"/>
      <c r="L446" s="507"/>
      <c r="M446" s="507"/>
      <c r="N446" s="507"/>
    </row>
    <row r="447" spans="1:14" ht="15.75" x14ac:dyDescent="0.25">
      <c r="A447" s="733"/>
      <c r="B447" s="509"/>
      <c r="C447" s="507"/>
      <c r="D447" s="507"/>
      <c r="E447" s="507"/>
      <c r="F447" s="507"/>
      <c r="G447" s="507"/>
      <c r="H447" s="507"/>
      <c r="I447" s="507"/>
      <c r="J447" s="507"/>
      <c r="K447" s="507"/>
      <c r="L447" s="507"/>
      <c r="M447" s="507"/>
      <c r="N447" s="507"/>
    </row>
    <row r="448" spans="1:14" ht="15.75" x14ac:dyDescent="0.25">
      <c r="A448" s="733"/>
      <c r="B448" s="509"/>
      <c r="C448" s="507"/>
      <c r="D448" s="507"/>
      <c r="E448" s="507"/>
      <c r="F448" s="507"/>
      <c r="G448" s="507"/>
      <c r="H448" s="507"/>
      <c r="I448" s="507"/>
      <c r="J448" s="507"/>
      <c r="K448" s="507"/>
      <c r="L448" s="507"/>
      <c r="M448" s="507"/>
      <c r="N448" s="507"/>
    </row>
    <row r="449" spans="1:14" ht="15.75" x14ac:dyDescent="0.25">
      <c r="A449" s="733"/>
      <c r="B449" s="509"/>
      <c r="C449" s="507"/>
      <c r="D449" s="507"/>
      <c r="E449" s="507"/>
      <c r="F449" s="507"/>
      <c r="G449" s="507"/>
      <c r="H449" s="507"/>
      <c r="I449" s="507"/>
      <c r="J449" s="507"/>
      <c r="K449" s="507"/>
      <c r="L449" s="507"/>
      <c r="M449" s="507"/>
      <c r="N449" s="507"/>
    </row>
    <row r="450" spans="1:14" ht="15.75" x14ac:dyDescent="0.25">
      <c r="A450" s="733"/>
      <c r="B450" s="509"/>
      <c r="C450" s="507"/>
      <c r="D450" s="507"/>
      <c r="E450" s="507"/>
      <c r="F450" s="507"/>
      <c r="G450" s="507"/>
      <c r="H450" s="507"/>
      <c r="I450" s="507"/>
      <c r="J450" s="507"/>
      <c r="K450" s="507"/>
      <c r="L450" s="507"/>
      <c r="M450" s="507"/>
      <c r="N450" s="507"/>
    </row>
    <row r="451" spans="1:14" ht="15.75" x14ac:dyDescent="0.25">
      <c r="A451" s="733"/>
      <c r="B451" s="509"/>
      <c r="C451" s="507"/>
      <c r="D451" s="507"/>
      <c r="E451" s="507"/>
      <c r="F451" s="507"/>
      <c r="G451" s="507"/>
      <c r="H451" s="507"/>
      <c r="I451" s="507"/>
      <c r="J451" s="507"/>
      <c r="K451" s="507"/>
      <c r="L451" s="507"/>
      <c r="M451" s="507"/>
      <c r="N451" s="507"/>
    </row>
    <row r="452" spans="1:14" ht="15.75" x14ac:dyDescent="0.25">
      <c r="A452" s="733"/>
      <c r="B452" s="509"/>
      <c r="C452" s="507"/>
      <c r="D452" s="507"/>
      <c r="E452" s="507"/>
      <c r="F452" s="507"/>
      <c r="G452" s="507"/>
      <c r="H452" s="507"/>
      <c r="I452" s="507"/>
      <c r="J452" s="507"/>
      <c r="K452" s="507"/>
      <c r="L452" s="507"/>
      <c r="M452" s="507"/>
      <c r="N452" s="507"/>
    </row>
    <row r="453" spans="1:14" ht="15.75" x14ac:dyDescent="0.25">
      <c r="A453" s="733"/>
      <c r="B453" s="509"/>
      <c r="C453" s="507"/>
      <c r="D453" s="507"/>
      <c r="E453" s="507"/>
      <c r="F453" s="507"/>
      <c r="G453" s="507"/>
      <c r="H453" s="507"/>
      <c r="I453" s="507"/>
      <c r="J453" s="507"/>
      <c r="K453" s="507"/>
      <c r="L453" s="507"/>
      <c r="M453" s="507"/>
      <c r="N453" s="507"/>
    </row>
    <row r="454" spans="1:14" ht="15.75" x14ac:dyDescent="0.25">
      <c r="A454" s="733"/>
      <c r="B454" s="509"/>
      <c r="C454" s="507"/>
      <c r="D454" s="507"/>
      <c r="E454" s="507"/>
      <c r="F454" s="507"/>
      <c r="G454" s="507"/>
      <c r="H454" s="507"/>
      <c r="I454" s="507"/>
      <c r="J454" s="507"/>
      <c r="K454" s="507"/>
      <c r="L454" s="507"/>
      <c r="M454" s="507"/>
      <c r="N454" s="507"/>
    </row>
    <row r="455" spans="1:14" ht="15.75" x14ac:dyDescent="0.25">
      <c r="A455" s="733"/>
      <c r="B455" s="509"/>
      <c r="C455" s="507"/>
      <c r="D455" s="507"/>
      <c r="E455" s="507"/>
      <c r="F455" s="507"/>
      <c r="G455" s="507"/>
      <c r="H455" s="507"/>
      <c r="I455" s="507"/>
      <c r="J455" s="507"/>
      <c r="K455" s="507"/>
      <c r="L455" s="507"/>
      <c r="M455" s="507"/>
      <c r="N455" s="507"/>
    </row>
    <row r="456" spans="1:14" ht="15.75" x14ac:dyDescent="0.25">
      <c r="A456" s="733"/>
      <c r="B456" s="509"/>
      <c r="C456" s="507"/>
      <c r="D456" s="507"/>
      <c r="E456" s="507"/>
      <c r="F456" s="507"/>
      <c r="G456" s="507"/>
      <c r="H456" s="507"/>
      <c r="I456" s="507"/>
      <c r="J456" s="507"/>
      <c r="K456" s="507"/>
      <c r="L456" s="507"/>
      <c r="M456" s="507"/>
      <c r="N456" s="507"/>
    </row>
    <row r="457" spans="1:14" ht="15.75" x14ac:dyDescent="0.25">
      <c r="A457" s="733"/>
      <c r="B457" s="509"/>
      <c r="C457" s="507"/>
      <c r="D457" s="507"/>
      <c r="E457" s="507"/>
      <c r="F457" s="507"/>
      <c r="G457" s="507"/>
      <c r="H457" s="507"/>
      <c r="I457" s="507"/>
      <c r="J457" s="507"/>
      <c r="K457" s="507"/>
      <c r="L457" s="507"/>
      <c r="M457" s="507"/>
      <c r="N457" s="507"/>
    </row>
    <row r="458" spans="1:14" ht="15.75" x14ac:dyDescent="0.25">
      <c r="A458" s="733"/>
      <c r="B458" s="509"/>
      <c r="C458" s="507"/>
      <c r="D458" s="507"/>
      <c r="E458" s="507"/>
      <c r="F458" s="507"/>
      <c r="G458" s="507"/>
      <c r="H458" s="507"/>
      <c r="I458" s="507"/>
      <c r="J458" s="507"/>
      <c r="K458" s="507"/>
      <c r="L458" s="507"/>
      <c r="M458" s="507"/>
      <c r="N458" s="507"/>
    </row>
    <row r="459" spans="1:14" ht="15.75" x14ac:dyDescent="0.25">
      <c r="A459" s="733"/>
      <c r="B459" s="509"/>
      <c r="C459" s="507"/>
      <c r="D459" s="507"/>
      <c r="E459" s="507"/>
      <c r="F459" s="507"/>
      <c r="G459" s="507"/>
      <c r="H459" s="507"/>
      <c r="I459" s="507"/>
      <c r="J459" s="507"/>
      <c r="K459" s="507"/>
      <c r="L459" s="507"/>
      <c r="M459" s="507"/>
      <c r="N459" s="507"/>
    </row>
    <row r="460" spans="1:14" ht="15.75" x14ac:dyDescent="0.25">
      <c r="A460" s="733"/>
      <c r="B460" s="509"/>
      <c r="C460" s="507"/>
      <c r="D460" s="507"/>
      <c r="E460" s="507"/>
      <c r="F460" s="507"/>
      <c r="G460" s="507"/>
      <c r="H460" s="507"/>
      <c r="I460" s="507"/>
      <c r="J460" s="507"/>
      <c r="K460" s="507"/>
      <c r="L460" s="507"/>
      <c r="M460" s="507"/>
      <c r="N460" s="507"/>
    </row>
    <row r="461" spans="1:14" ht="15.75" x14ac:dyDescent="0.25">
      <c r="A461" s="733"/>
      <c r="B461" s="509"/>
      <c r="C461" s="507"/>
      <c r="D461" s="507"/>
      <c r="E461" s="507"/>
      <c r="F461" s="507"/>
      <c r="G461" s="507"/>
      <c r="H461" s="507"/>
      <c r="I461" s="507"/>
      <c r="J461" s="507"/>
      <c r="K461" s="507"/>
      <c r="L461" s="507"/>
      <c r="M461" s="507"/>
      <c r="N461" s="507"/>
    </row>
    <row r="462" spans="1:14" ht="15.75" x14ac:dyDescent="0.25">
      <c r="A462" s="733"/>
      <c r="B462" s="509"/>
      <c r="C462" s="507"/>
      <c r="D462" s="507"/>
      <c r="E462" s="507"/>
      <c r="F462" s="507"/>
      <c r="G462" s="507"/>
      <c r="H462" s="507"/>
      <c r="I462" s="507"/>
      <c r="J462" s="507"/>
      <c r="K462" s="507"/>
      <c r="L462" s="507"/>
      <c r="M462" s="507"/>
      <c r="N462" s="507"/>
    </row>
    <row r="463" spans="1:14" ht="15.75" x14ac:dyDescent="0.25">
      <c r="A463" s="733"/>
      <c r="B463" s="509"/>
      <c r="C463" s="507"/>
      <c r="D463" s="507"/>
      <c r="E463" s="507"/>
      <c r="F463" s="507"/>
      <c r="G463" s="507"/>
      <c r="H463" s="507"/>
      <c r="I463" s="507"/>
      <c r="J463" s="507"/>
      <c r="K463" s="507"/>
      <c r="L463" s="507"/>
      <c r="M463" s="507"/>
      <c r="N463" s="507"/>
    </row>
    <row r="464" spans="1:14" ht="15.75" x14ac:dyDescent="0.25">
      <c r="A464" s="733"/>
      <c r="B464" s="509"/>
      <c r="C464" s="507"/>
      <c r="D464" s="507"/>
      <c r="E464" s="507"/>
      <c r="F464" s="507"/>
      <c r="G464" s="507"/>
      <c r="H464" s="507"/>
      <c r="I464" s="507"/>
      <c r="J464" s="507"/>
      <c r="K464" s="507"/>
      <c r="L464" s="507"/>
      <c r="M464" s="507"/>
      <c r="N464" s="507"/>
    </row>
    <row r="465" spans="1:14" ht="15.75" x14ac:dyDescent="0.25">
      <c r="A465" s="733"/>
      <c r="B465" s="509"/>
      <c r="C465" s="507"/>
      <c r="D465" s="507"/>
      <c r="E465" s="507"/>
      <c r="F465" s="507"/>
      <c r="G465" s="507"/>
      <c r="H465" s="507"/>
      <c r="I465" s="507"/>
      <c r="J465" s="507"/>
      <c r="K465" s="507"/>
      <c r="L465" s="507"/>
      <c r="M465" s="507"/>
      <c r="N465" s="507"/>
    </row>
    <row r="466" spans="1:14" ht="15.75" x14ac:dyDescent="0.25">
      <c r="A466" s="733"/>
      <c r="B466" s="509"/>
      <c r="C466" s="507"/>
      <c r="D466" s="507"/>
      <c r="E466" s="507"/>
      <c r="F466" s="507"/>
      <c r="G466" s="507"/>
      <c r="H466" s="507"/>
      <c r="I466" s="507"/>
      <c r="J466" s="507"/>
      <c r="K466" s="507"/>
      <c r="L466" s="507"/>
      <c r="M466" s="507"/>
      <c r="N466" s="507"/>
    </row>
    <row r="467" spans="1:14" ht="15.75" x14ac:dyDescent="0.25">
      <c r="A467" s="733"/>
      <c r="B467" s="509"/>
      <c r="C467" s="507"/>
      <c r="D467" s="507"/>
      <c r="E467" s="507"/>
      <c r="F467" s="507"/>
      <c r="G467" s="507"/>
      <c r="H467" s="507"/>
      <c r="I467" s="507"/>
      <c r="J467" s="507"/>
      <c r="K467" s="507"/>
      <c r="L467" s="507"/>
      <c r="M467" s="507"/>
      <c r="N467" s="507"/>
    </row>
    <row r="468" spans="1:14" ht="15.75" x14ac:dyDescent="0.25">
      <c r="A468" s="733"/>
      <c r="B468" s="509"/>
      <c r="C468" s="507"/>
      <c r="D468" s="507"/>
      <c r="E468" s="507"/>
      <c r="F468" s="507"/>
      <c r="G468" s="507"/>
      <c r="H468" s="507"/>
      <c r="I468" s="507"/>
      <c r="J468" s="507"/>
      <c r="K468" s="507"/>
      <c r="L468" s="507"/>
      <c r="M468" s="507"/>
      <c r="N468" s="507"/>
    </row>
    <row r="469" spans="1:14" ht="15.75" x14ac:dyDescent="0.25">
      <c r="A469" s="733"/>
      <c r="B469" s="509"/>
      <c r="C469" s="507"/>
      <c r="D469" s="507"/>
      <c r="E469" s="507"/>
      <c r="F469" s="507"/>
      <c r="G469" s="507"/>
      <c r="H469" s="507"/>
      <c r="I469" s="507"/>
      <c r="J469" s="507"/>
      <c r="K469" s="507"/>
      <c r="L469" s="507"/>
      <c r="M469" s="507"/>
      <c r="N469" s="507"/>
    </row>
    <row r="470" spans="1:14" ht="15.75" x14ac:dyDescent="0.25">
      <c r="A470" s="733"/>
      <c r="B470" s="509"/>
      <c r="C470" s="507"/>
      <c r="D470" s="507"/>
      <c r="E470" s="507"/>
      <c r="F470" s="507"/>
      <c r="G470" s="507"/>
      <c r="H470" s="507"/>
      <c r="I470" s="507"/>
      <c r="J470" s="507"/>
      <c r="K470" s="507"/>
      <c r="L470" s="507"/>
      <c r="M470" s="507"/>
      <c r="N470" s="507"/>
    </row>
    <row r="471" spans="1:14" ht="15.75" x14ac:dyDescent="0.25">
      <c r="A471" s="733"/>
      <c r="B471" s="509"/>
      <c r="C471" s="507"/>
      <c r="D471" s="507"/>
      <c r="E471" s="507"/>
      <c r="F471" s="507"/>
      <c r="G471" s="507"/>
      <c r="H471" s="507"/>
      <c r="I471" s="507"/>
      <c r="J471" s="507"/>
      <c r="K471" s="507"/>
      <c r="L471" s="507"/>
      <c r="M471" s="507"/>
      <c r="N471" s="507"/>
    </row>
    <row r="472" spans="1:14" ht="15.75" x14ac:dyDescent="0.25">
      <c r="A472" s="733"/>
      <c r="B472" s="509"/>
      <c r="C472" s="507"/>
      <c r="D472" s="507"/>
      <c r="E472" s="507"/>
      <c r="F472" s="507"/>
      <c r="G472" s="507"/>
      <c r="H472" s="507"/>
      <c r="I472" s="507"/>
      <c r="J472" s="507"/>
      <c r="K472" s="507"/>
      <c r="L472" s="507"/>
      <c r="M472" s="507"/>
      <c r="N472" s="507"/>
    </row>
    <row r="473" spans="1:14" ht="15.75" x14ac:dyDescent="0.25">
      <c r="A473" s="733"/>
      <c r="B473" s="509"/>
      <c r="C473" s="507"/>
      <c r="D473" s="507"/>
      <c r="E473" s="507"/>
      <c r="F473" s="507"/>
      <c r="G473" s="507"/>
      <c r="H473" s="507"/>
      <c r="I473" s="507"/>
      <c r="J473" s="507"/>
      <c r="K473" s="507"/>
      <c r="L473" s="507"/>
      <c r="M473" s="507"/>
      <c r="N473" s="507"/>
    </row>
    <row r="474" spans="1:14" ht="15.75" x14ac:dyDescent="0.25">
      <c r="A474" s="733"/>
      <c r="B474" s="509"/>
      <c r="C474" s="507"/>
      <c r="D474" s="507"/>
      <c r="E474" s="507"/>
      <c r="F474" s="507"/>
      <c r="G474" s="507"/>
      <c r="H474" s="507"/>
      <c r="I474" s="507"/>
      <c r="J474" s="507"/>
      <c r="K474" s="507"/>
      <c r="L474" s="507"/>
      <c r="M474" s="507"/>
      <c r="N474" s="507"/>
    </row>
    <row r="475" spans="1:14" ht="15.75" x14ac:dyDescent="0.25">
      <c r="A475" s="733"/>
      <c r="B475" s="509"/>
      <c r="C475" s="507"/>
      <c r="D475" s="507"/>
      <c r="E475" s="507"/>
      <c r="F475" s="507"/>
      <c r="G475" s="507"/>
      <c r="H475" s="507"/>
      <c r="I475" s="507"/>
      <c r="J475" s="507"/>
      <c r="K475" s="507"/>
      <c r="L475" s="507"/>
      <c r="M475" s="507"/>
      <c r="N475" s="507"/>
    </row>
    <row r="476" spans="1:14" ht="15.75" x14ac:dyDescent="0.25">
      <c r="A476" s="733"/>
      <c r="B476" s="509"/>
      <c r="C476" s="507"/>
      <c r="D476" s="507"/>
      <c r="E476" s="507"/>
      <c r="F476" s="507"/>
      <c r="G476" s="507"/>
      <c r="H476" s="507"/>
      <c r="I476" s="507"/>
      <c r="J476" s="507"/>
      <c r="K476" s="507"/>
      <c r="L476" s="507"/>
      <c r="M476" s="507"/>
      <c r="N476" s="507"/>
    </row>
    <row r="477" spans="1:14" ht="15.75" x14ac:dyDescent="0.25">
      <c r="A477" s="733"/>
      <c r="B477" s="509"/>
      <c r="C477" s="507"/>
      <c r="D477" s="507"/>
      <c r="E477" s="507"/>
      <c r="F477" s="507"/>
      <c r="G477" s="507"/>
      <c r="H477" s="507"/>
      <c r="I477" s="507"/>
      <c r="J477" s="507"/>
      <c r="K477" s="507"/>
      <c r="L477" s="507"/>
      <c r="M477" s="507"/>
      <c r="N477" s="507"/>
    </row>
    <row r="478" spans="1:14" ht="15.75" x14ac:dyDescent="0.25">
      <c r="A478" s="733"/>
      <c r="B478" s="509"/>
      <c r="C478" s="507"/>
      <c r="D478" s="507"/>
      <c r="E478" s="507"/>
      <c r="F478" s="507"/>
      <c r="G478" s="507"/>
      <c r="H478" s="507"/>
      <c r="I478" s="507"/>
      <c r="J478" s="507"/>
      <c r="K478" s="507"/>
      <c r="L478" s="507"/>
      <c r="M478" s="507"/>
      <c r="N478" s="507"/>
    </row>
    <row r="479" spans="1:14" ht="15.75" x14ac:dyDescent="0.25">
      <c r="A479" s="733"/>
      <c r="B479" s="509"/>
      <c r="C479" s="507"/>
      <c r="D479" s="507"/>
      <c r="E479" s="507"/>
      <c r="F479" s="507"/>
      <c r="G479" s="507"/>
      <c r="H479" s="507"/>
      <c r="I479" s="507"/>
      <c r="J479" s="507"/>
      <c r="K479" s="507"/>
      <c r="L479" s="507"/>
      <c r="M479" s="507"/>
      <c r="N479" s="507"/>
    </row>
    <row r="480" spans="1:14" ht="15.75" x14ac:dyDescent="0.25">
      <c r="A480" s="733"/>
      <c r="B480" s="509"/>
      <c r="C480" s="507"/>
      <c r="D480" s="507"/>
      <c r="E480" s="507"/>
      <c r="F480" s="507"/>
      <c r="G480" s="507"/>
      <c r="H480" s="507"/>
      <c r="I480" s="507"/>
      <c r="J480" s="507"/>
      <c r="K480" s="507"/>
      <c r="L480" s="507"/>
      <c r="M480" s="507"/>
      <c r="N480" s="507"/>
    </row>
    <row r="481" spans="1:14" ht="15.75" x14ac:dyDescent="0.25">
      <c r="A481" s="733"/>
      <c r="B481" s="509"/>
      <c r="C481" s="507"/>
      <c r="D481" s="507"/>
      <c r="E481" s="507"/>
      <c r="F481" s="507"/>
      <c r="G481" s="507"/>
      <c r="H481" s="507"/>
      <c r="I481" s="507"/>
      <c r="J481" s="507"/>
      <c r="K481" s="507"/>
      <c r="L481" s="507"/>
      <c r="M481" s="507"/>
      <c r="N481" s="507"/>
    </row>
    <row r="482" spans="1:14" ht="15.75" x14ac:dyDescent="0.25">
      <c r="A482" s="733"/>
      <c r="B482" s="509"/>
      <c r="C482" s="507"/>
      <c r="D482" s="507"/>
      <c r="E482" s="507"/>
      <c r="F482" s="507"/>
      <c r="G482" s="507"/>
      <c r="H482" s="507"/>
      <c r="I482" s="507"/>
      <c r="J482" s="507"/>
      <c r="K482" s="507"/>
      <c r="L482" s="507"/>
      <c r="M482" s="507"/>
      <c r="N482" s="507"/>
    </row>
    <row r="483" spans="1:14" ht="15.75" x14ac:dyDescent="0.25">
      <c r="A483" s="733"/>
      <c r="B483" s="509"/>
      <c r="C483" s="507"/>
      <c r="D483" s="507"/>
      <c r="E483" s="507"/>
      <c r="F483" s="507"/>
      <c r="G483" s="507"/>
      <c r="H483" s="507"/>
      <c r="I483" s="507"/>
      <c r="J483" s="507"/>
      <c r="K483" s="507"/>
      <c r="L483" s="507"/>
      <c r="M483" s="507"/>
      <c r="N483" s="507"/>
    </row>
    <row r="484" spans="1:14" ht="15.75" x14ac:dyDescent="0.25">
      <c r="A484" s="733"/>
      <c r="B484" s="509"/>
      <c r="C484" s="507"/>
      <c r="D484" s="507"/>
      <c r="E484" s="507"/>
      <c r="F484" s="507"/>
      <c r="G484" s="507"/>
      <c r="H484" s="507"/>
      <c r="I484" s="507"/>
      <c r="J484" s="507"/>
      <c r="K484" s="507"/>
      <c r="L484" s="507"/>
      <c r="M484" s="507"/>
      <c r="N484" s="507"/>
    </row>
    <row r="485" spans="1:14" ht="15.75" x14ac:dyDescent="0.25">
      <c r="A485" s="733"/>
      <c r="B485" s="509"/>
      <c r="C485" s="507"/>
      <c r="D485" s="507"/>
      <c r="E485" s="507"/>
      <c r="F485" s="507"/>
      <c r="G485" s="507"/>
      <c r="H485" s="507"/>
      <c r="I485" s="507"/>
      <c r="J485" s="507"/>
      <c r="K485" s="507"/>
      <c r="L485" s="507"/>
      <c r="M485" s="507"/>
      <c r="N485" s="507"/>
    </row>
    <row r="486" spans="1:14" ht="15.75" x14ac:dyDescent="0.25">
      <c r="A486" s="733"/>
      <c r="B486" s="509"/>
      <c r="C486" s="507"/>
      <c r="D486" s="507"/>
      <c r="E486" s="507"/>
      <c r="F486" s="507"/>
      <c r="G486" s="507"/>
      <c r="H486" s="507"/>
      <c r="I486" s="507"/>
      <c r="J486" s="507"/>
      <c r="K486" s="507"/>
      <c r="L486" s="507"/>
      <c r="M486" s="507"/>
      <c r="N486" s="507"/>
    </row>
    <row r="487" spans="1:14" ht="15.75" x14ac:dyDescent="0.25">
      <c r="A487" s="733"/>
      <c r="B487" s="509"/>
      <c r="C487" s="507"/>
      <c r="D487" s="507"/>
      <c r="E487" s="507"/>
      <c r="F487" s="507"/>
      <c r="G487" s="507"/>
      <c r="H487" s="507"/>
      <c r="I487" s="507"/>
      <c r="J487" s="507"/>
      <c r="K487" s="507"/>
      <c r="L487" s="507"/>
      <c r="M487" s="507"/>
      <c r="N487" s="507"/>
    </row>
    <row r="488" spans="1:14" ht="15.75" x14ac:dyDescent="0.25">
      <c r="A488" s="733"/>
      <c r="B488" s="509"/>
      <c r="C488" s="507"/>
      <c r="D488" s="507"/>
      <c r="E488" s="507"/>
      <c r="F488" s="507"/>
      <c r="G488" s="507"/>
      <c r="H488" s="507"/>
      <c r="I488" s="507"/>
      <c r="J488" s="507"/>
      <c r="K488" s="507"/>
      <c r="L488" s="507"/>
      <c r="M488" s="507"/>
      <c r="N488" s="507"/>
    </row>
    <row r="489" spans="1:14" ht="15.75" x14ac:dyDescent="0.25">
      <c r="A489" s="733"/>
      <c r="B489" s="509"/>
      <c r="C489" s="507"/>
      <c r="D489" s="507"/>
      <c r="E489" s="507"/>
      <c r="F489" s="507"/>
      <c r="G489" s="507"/>
      <c r="H489" s="507"/>
      <c r="I489" s="507"/>
      <c r="J489" s="507"/>
      <c r="K489" s="507"/>
      <c r="L489" s="507"/>
      <c r="M489" s="507"/>
      <c r="N489" s="507"/>
    </row>
    <row r="490" spans="1:14" ht="15.75" x14ac:dyDescent="0.25">
      <c r="A490" s="733"/>
      <c r="B490" s="509"/>
      <c r="C490" s="507"/>
      <c r="D490" s="507"/>
      <c r="E490" s="507"/>
      <c r="F490" s="507"/>
      <c r="G490" s="507"/>
      <c r="H490" s="507"/>
      <c r="I490" s="507"/>
      <c r="J490" s="507"/>
      <c r="K490" s="507"/>
      <c r="L490" s="507"/>
      <c r="M490" s="507"/>
      <c r="N490" s="507"/>
    </row>
    <row r="491" spans="1:14" ht="15.75" x14ac:dyDescent="0.25">
      <c r="A491" s="733"/>
      <c r="B491" s="509"/>
      <c r="C491" s="507"/>
      <c r="D491" s="507"/>
      <c r="E491" s="507"/>
      <c r="F491" s="507"/>
      <c r="G491" s="507"/>
      <c r="H491" s="507"/>
      <c r="I491" s="507"/>
      <c r="J491" s="507"/>
      <c r="K491" s="507"/>
      <c r="L491" s="507"/>
      <c r="M491" s="507"/>
      <c r="N491" s="507"/>
    </row>
    <row r="492" spans="1:14" ht="15.75" x14ac:dyDescent="0.25">
      <c r="A492" s="733"/>
      <c r="B492" s="509"/>
      <c r="C492" s="507"/>
      <c r="D492" s="507"/>
      <c r="E492" s="507"/>
      <c r="F492" s="507"/>
      <c r="G492" s="507"/>
      <c r="H492" s="507"/>
      <c r="I492" s="507"/>
      <c r="J492" s="507"/>
      <c r="K492" s="507"/>
      <c r="L492" s="507"/>
      <c r="M492" s="507"/>
      <c r="N492" s="507"/>
    </row>
    <row r="493" spans="1:14" ht="15.75" x14ac:dyDescent="0.25">
      <c r="A493" s="733"/>
      <c r="B493" s="509"/>
      <c r="C493" s="507"/>
      <c r="D493" s="507"/>
      <c r="E493" s="507"/>
      <c r="F493" s="507"/>
      <c r="G493" s="507"/>
      <c r="H493" s="507"/>
      <c r="I493" s="507"/>
      <c r="J493" s="507"/>
      <c r="K493" s="507"/>
      <c r="L493" s="507"/>
      <c r="M493" s="507"/>
      <c r="N493" s="507"/>
    </row>
    <row r="494" spans="1:14" ht="15.75" x14ac:dyDescent="0.25">
      <c r="A494" s="733"/>
      <c r="B494" s="509"/>
      <c r="C494" s="507"/>
      <c r="D494" s="507"/>
      <c r="E494" s="507"/>
      <c r="F494" s="507"/>
      <c r="G494" s="507"/>
      <c r="H494" s="507"/>
      <c r="I494" s="507"/>
      <c r="J494" s="507"/>
      <c r="K494" s="507"/>
      <c r="L494" s="507"/>
      <c r="M494" s="507"/>
      <c r="N494" s="507"/>
    </row>
    <row r="495" spans="1:14" ht="15.75" x14ac:dyDescent="0.25">
      <c r="A495" s="733"/>
      <c r="B495" s="509"/>
      <c r="C495" s="507"/>
      <c r="D495" s="507"/>
      <c r="E495" s="507"/>
      <c r="F495" s="507"/>
      <c r="G495" s="507"/>
      <c r="H495" s="507"/>
      <c r="I495" s="507"/>
      <c r="J495" s="507"/>
      <c r="K495" s="507"/>
      <c r="L495" s="507"/>
      <c r="M495" s="507"/>
      <c r="N495" s="507"/>
    </row>
    <row r="496" spans="1:14" ht="15.75" x14ac:dyDescent="0.25">
      <c r="A496" s="733"/>
      <c r="B496" s="509"/>
      <c r="C496" s="507"/>
      <c r="D496" s="507"/>
      <c r="E496" s="507"/>
      <c r="F496" s="507"/>
      <c r="G496" s="507"/>
      <c r="H496" s="507"/>
      <c r="I496" s="507"/>
      <c r="J496" s="507"/>
      <c r="K496" s="507"/>
      <c r="L496" s="507"/>
      <c r="M496" s="507"/>
      <c r="N496" s="507"/>
    </row>
    <row r="497" spans="1:14" ht="15.75" x14ac:dyDescent="0.25">
      <c r="A497" s="733"/>
      <c r="B497" s="509"/>
      <c r="C497" s="507"/>
      <c r="D497" s="507"/>
      <c r="E497" s="507"/>
      <c r="F497" s="507"/>
      <c r="G497" s="507"/>
      <c r="H497" s="507"/>
      <c r="I497" s="507"/>
      <c r="J497" s="507"/>
      <c r="K497" s="507"/>
      <c r="L497" s="507"/>
      <c r="M497" s="507"/>
      <c r="N497" s="507"/>
    </row>
    <row r="498" spans="1:14" ht="15.75" x14ac:dyDescent="0.25">
      <c r="A498" s="733"/>
      <c r="B498" s="509"/>
      <c r="C498" s="507"/>
      <c r="D498" s="507"/>
      <c r="E498" s="507"/>
      <c r="F498" s="507"/>
      <c r="G498" s="507"/>
      <c r="H498" s="507"/>
      <c r="I498" s="507"/>
      <c r="J498" s="507"/>
      <c r="K498" s="507"/>
      <c r="L498" s="507"/>
      <c r="M498" s="507"/>
      <c r="N498" s="507"/>
    </row>
    <row r="499" spans="1:14" ht="15.75" x14ac:dyDescent="0.25">
      <c r="A499" s="733"/>
      <c r="B499" s="509"/>
      <c r="C499" s="507"/>
      <c r="D499" s="507"/>
      <c r="E499" s="507"/>
      <c r="F499" s="507"/>
      <c r="G499" s="507"/>
      <c r="H499" s="507"/>
      <c r="I499" s="507"/>
      <c r="J499" s="507"/>
      <c r="K499" s="507"/>
      <c r="L499" s="507"/>
      <c r="M499" s="507"/>
      <c r="N499" s="507"/>
    </row>
    <row r="500" spans="1:14" ht="15.75" x14ac:dyDescent="0.25">
      <c r="A500" s="733"/>
      <c r="B500" s="509"/>
      <c r="C500" s="507"/>
      <c r="D500" s="507"/>
      <c r="E500" s="507"/>
      <c r="F500" s="507"/>
      <c r="G500" s="507"/>
      <c r="H500" s="507"/>
      <c r="I500" s="507"/>
      <c r="J500" s="507"/>
      <c r="K500" s="507"/>
      <c r="L500" s="507"/>
      <c r="M500" s="507"/>
      <c r="N500" s="507"/>
    </row>
    <row r="501" spans="1:14" ht="15.75" x14ac:dyDescent="0.25">
      <c r="A501" s="733"/>
      <c r="B501" s="509"/>
      <c r="C501" s="507"/>
      <c r="D501" s="507"/>
      <c r="E501" s="507"/>
      <c r="F501" s="507"/>
      <c r="G501" s="507"/>
      <c r="H501" s="507"/>
      <c r="I501" s="507"/>
      <c r="J501" s="507"/>
      <c r="K501" s="507"/>
      <c r="L501" s="507"/>
      <c r="M501" s="507"/>
      <c r="N501" s="507"/>
    </row>
    <row r="502" spans="1:14" ht="15.75" x14ac:dyDescent="0.25">
      <c r="A502" s="733"/>
      <c r="B502" s="509"/>
      <c r="C502" s="507"/>
      <c r="D502" s="507"/>
      <c r="E502" s="507"/>
      <c r="F502" s="507"/>
      <c r="G502" s="507"/>
      <c r="H502" s="507"/>
      <c r="I502" s="507"/>
      <c r="J502" s="507"/>
      <c r="K502" s="507"/>
      <c r="L502" s="507"/>
      <c r="M502" s="507"/>
      <c r="N502" s="507"/>
    </row>
    <row r="503" spans="1:14" ht="15.75" x14ac:dyDescent="0.25">
      <c r="A503" s="733"/>
      <c r="B503" s="509"/>
      <c r="C503" s="507"/>
      <c r="D503" s="507"/>
      <c r="E503" s="507"/>
      <c r="F503" s="507"/>
      <c r="G503" s="507"/>
      <c r="H503" s="507"/>
      <c r="I503" s="507"/>
      <c r="J503" s="507"/>
      <c r="K503" s="507"/>
      <c r="L503" s="507"/>
      <c r="M503" s="507"/>
      <c r="N503" s="507"/>
    </row>
    <row r="504" spans="1:14" ht="15.75" x14ac:dyDescent="0.25">
      <c r="A504" s="733"/>
      <c r="B504" s="509"/>
      <c r="C504" s="507"/>
      <c r="D504" s="507"/>
      <c r="E504" s="507"/>
      <c r="F504" s="507"/>
      <c r="G504" s="507"/>
      <c r="H504" s="507"/>
      <c r="I504" s="507"/>
      <c r="J504" s="507"/>
      <c r="K504" s="507"/>
      <c r="L504" s="507"/>
      <c r="M504" s="507"/>
      <c r="N504" s="507"/>
    </row>
    <row r="505" spans="1:14" ht="15.75" x14ac:dyDescent="0.25">
      <c r="A505" s="733"/>
      <c r="B505" s="509"/>
      <c r="C505" s="507"/>
      <c r="D505" s="507"/>
      <c r="E505" s="507"/>
      <c r="F505" s="507"/>
      <c r="G505" s="507"/>
      <c r="H505" s="507"/>
      <c r="I505" s="507"/>
      <c r="J505" s="507"/>
      <c r="K505" s="507"/>
      <c r="L505" s="507"/>
      <c r="M505" s="507"/>
      <c r="N505" s="507"/>
    </row>
    <row r="506" spans="1:14" ht="15.75" x14ac:dyDescent="0.25">
      <c r="A506" s="733"/>
      <c r="B506" s="509"/>
      <c r="C506" s="507"/>
      <c r="D506" s="507"/>
      <c r="E506" s="507"/>
      <c r="F506" s="507"/>
      <c r="G506" s="507"/>
      <c r="H506" s="507"/>
      <c r="I506" s="507"/>
      <c r="J506" s="507"/>
      <c r="K506" s="507"/>
      <c r="L506" s="507"/>
      <c r="M506" s="507"/>
      <c r="N506" s="507"/>
    </row>
    <row r="507" spans="1:14" ht="15.75" x14ac:dyDescent="0.25">
      <c r="A507" s="733"/>
      <c r="B507" s="509"/>
      <c r="C507" s="507"/>
      <c r="D507" s="507"/>
      <c r="E507" s="507"/>
      <c r="F507" s="507"/>
      <c r="G507" s="507"/>
      <c r="H507" s="507"/>
      <c r="I507" s="507"/>
      <c r="J507" s="507"/>
      <c r="K507" s="507"/>
      <c r="L507" s="507"/>
      <c r="M507" s="507"/>
      <c r="N507" s="507"/>
    </row>
    <row r="508" spans="1:14" ht="15.75" x14ac:dyDescent="0.25">
      <c r="A508" s="733"/>
      <c r="B508" s="509"/>
      <c r="C508" s="507"/>
      <c r="D508" s="507"/>
      <c r="E508" s="507"/>
      <c r="F508" s="507"/>
      <c r="G508" s="507"/>
      <c r="H508" s="507"/>
      <c r="I508" s="507"/>
      <c r="J508" s="507"/>
      <c r="K508" s="507"/>
      <c r="L508" s="507"/>
      <c r="M508" s="507"/>
      <c r="N508" s="507"/>
    </row>
    <row r="509" spans="1:14" ht="15.75" x14ac:dyDescent="0.25">
      <c r="A509" s="733"/>
      <c r="B509" s="509"/>
      <c r="C509" s="507"/>
      <c r="D509" s="507"/>
      <c r="E509" s="507"/>
      <c r="F509" s="507"/>
      <c r="G509" s="507"/>
      <c r="H509" s="507"/>
      <c r="I509" s="507"/>
      <c r="J509" s="507"/>
      <c r="K509" s="507"/>
      <c r="L509" s="507"/>
      <c r="M509" s="507"/>
      <c r="N509" s="507"/>
    </row>
    <row r="510" spans="1:14" ht="15.75" x14ac:dyDescent="0.25">
      <c r="A510" s="733"/>
      <c r="B510" s="509"/>
      <c r="C510" s="507"/>
      <c r="D510" s="507"/>
      <c r="E510" s="507"/>
      <c r="F510" s="507"/>
      <c r="G510" s="507"/>
      <c r="H510" s="507"/>
      <c r="I510" s="507"/>
      <c r="J510" s="507"/>
      <c r="K510" s="507"/>
      <c r="L510" s="507"/>
      <c r="M510" s="507"/>
      <c r="N510" s="507"/>
    </row>
    <row r="511" spans="1:14" ht="15.75" x14ac:dyDescent="0.25">
      <c r="A511" s="733"/>
      <c r="B511" s="509"/>
      <c r="C511" s="507"/>
      <c r="D511" s="507"/>
      <c r="E511" s="507"/>
      <c r="F511" s="507"/>
      <c r="G511" s="507"/>
      <c r="H511" s="507"/>
      <c r="I511" s="507"/>
      <c r="J511" s="507"/>
      <c r="K511" s="507"/>
      <c r="L511" s="507"/>
      <c r="M511" s="507"/>
      <c r="N511" s="507"/>
    </row>
    <row r="512" spans="1:14" ht="15.75" x14ac:dyDescent="0.25">
      <c r="A512" s="733"/>
      <c r="B512" s="509"/>
      <c r="C512" s="507"/>
      <c r="D512" s="507"/>
      <c r="E512" s="507"/>
      <c r="F512" s="507"/>
      <c r="G512" s="507"/>
      <c r="H512" s="507"/>
      <c r="I512" s="507"/>
      <c r="J512" s="507"/>
      <c r="K512" s="507"/>
      <c r="L512" s="507"/>
      <c r="M512" s="507"/>
      <c r="N512" s="507"/>
    </row>
    <row r="513" spans="1:14" ht="15.75" x14ac:dyDescent="0.25">
      <c r="A513" s="733"/>
      <c r="B513" s="509"/>
      <c r="C513" s="507"/>
      <c r="D513" s="507"/>
      <c r="E513" s="507"/>
      <c r="F513" s="507"/>
      <c r="G513" s="507"/>
      <c r="H513" s="507"/>
      <c r="I513" s="507"/>
      <c r="J513" s="507"/>
      <c r="K513" s="507"/>
      <c r="L513" s="507"/>
      <c r="M513" s="507"/>
      <c r="N513" s="507"/>
    </row>
    <row r="514" spans="1:14" ht="15.75" x14ac:dyDescent="0.25">
      <c r="A514" s="733"/>
      <c r="B514" s="509"/>
      <c r="C514" s="507"/>
      <c r="D514" s="507"/>
      <c r="E514" s="507"/>
      <c r="F514" s="507"/>
      <c r="G514" s="507"/>
      <c r="H514" s="507"/>
      <c r="I514" s="507"/>
      <c r="J514" s="507"/>
      <c r="K514" s="507"/>
      <c r="L514" s="507"/>
      <c r="M514" s="507"/>
      <c r="N514" s="507"/>
    </row>
    <row r="515" spans="1:14" ht="15.75" x14ac:dyDescent="0.25">
      <c r="A515" s="733"/>
      <c r="B515" s="509"/>
      <c r="C515" s="507"/>
      <c r="D515" s="507"/>
      <c r="E515" s="507"/>
      <c r="F515" s="507"/>
      <c r="G515" s="507"/>
      <c r="H515" s="507"/>
      <c r="I515" s="507"/>
      <c r="J515" s="507"/>
      <c r="K515" s="507"/>
      <c r="L515" s="507"/>
      <c r="M515" s="507"/>
      <c r="N515" s="507"/>
    </row>
    <row r="516" spans="1:14" ht="15.75" x14ac:dyDescent="0.25">
      <c r="A516" s="733"/>
      <c r="B516" s="509"/>
      <c r="C516" s="507"/>
      <c r="D516" s="507"/>
      <c r="E516" s="507"/>
      <c r="F516" s="507"/>
      <c r="G516" s="507"/>
      <c r="H516" s="507"/>
      <c r="I516" s="507"/>
      <c r="J516" s="507"/>
      <c r="K516" s="507"/>
      <c r="L516" s="507"/>
      <c r="M516" s="507"/>
      <c r="N516" s="507"/>
    </row>
    <row r="517" spans="1:14" ht="15.75" x14ac:dyDescent="0.25">
      <c r="A517" s="733"/>
      <c r="B517" s="509"/>
      <c r="C517" s="507"/>
      <c r="D517" s="507"/>
      <c r="E517" s="507"/>
      <c r="F517" s="507"/>
      <c r="G517" s="507"/>
      <c r="H517" s="507"/>
      <c r="I517" s="507"/>
      <c r="J517" s="507"/>
      <c r="K517" s="507"/>
      <c r="L517" s="507"/>
      <c r="M517" s="507"/>
      <c r="N517" s="507"/>
    </row>
    <row r="518" spans="1:14" ht="15.75" x14ac:dyDescent="0.25">
      <c r="A518" s="733"/>
      <c r="B518" s="509"/>
      <c r="C518" s="507"/>
      <c r="D518" s="507"/>
      <c r="E518" s="507"/>
      <c r="F518" s="507"/>
      <c r="G518" s="507"/>
      <c r="H518" s="507"/>
      <c r="I518" s="507"/>
      <c r="J518" s="507"/>
      <c r="K518" s="507"/>
      <c r="L518" s="507"/>
      <c r="M518" s="507"/>
      <c r="N518" s="507"/>
    </row>
    <row r="519" spans="1:14" ht="15.75" x14ac:dyDescent="0.25">
      <c r="A519" s="733"/>
      <c r="B519" s="509"/>
      <c r="C519" s="507"/>
      <c r="D519" s="507"/>
      <c r="E519" s="507"/>
      <c r="F519" s="507"/>
      <c r="G519" s="507"/>
      <c r="H519" s="507"/>
      <c r="I519" s="507"/>
      <c r="J519" s="507"/>
      <c r="K519" s="507"/>
      <c r="L519" s="507"/>
      <c r="M519" s="507"/>
      <c r="N519" s="507"/>
    </row>
    <row r="520" spans="1:14" ht="15.75" x14ac:dyDescent="0.25">
      <c r="A520" s="733"/>
      <c r="B520" s="509"/>
      <c r="C520" s="507"/>
      <c r="D520" s="507"/>
      <c r="E520" s="507"/>
      <c r="F520" s="507"/>
      <c r="G520" s="507"/>
      <c r="H520" s="507"/>
      <c r="I520" s="507"/>
      <c r="J520" s="507"/>
      <c r="K520" s="507"/>
      <c r="L520" s="507"/>
      <c r="M520" s="507"/>
      <c r="N520" s="507"/>
    </row>
    <row r="521" spans="1:14" ht="15.75" x14ac:dyDescent="0.25">
      <c r="A521" s="733"/>
      <c r="B521" s="509"/>
      <c r="C521" s="507"/>
      <c r="D521" s="507"/>
      <c r="E521" s="507"/>
      <c r="F521" s="507"/>
      <c r="G521" s="507"/>
      <c r="H521" s="507"/>
      <c r="I521" s="507"/>
      <c r="J521" s="507"/>
      <c r="K521" s="507"/>
      <c r="L521" s="507"/>
      <c r="M521" s="507"/>
      <c r="N521" s="507"/>
    </row>
    <row r="522" spans="1:14" ht="15.75" x14ac:dyDescent="0.25">
      <c r="A522" s="733"/>
      <c r="B522" s="509"/>
      <c r="C522" s="507"/>
      <c r="D522" s="507"/>
      <c r="E522" s="507"/>
      <c r="F522" s="507"/>
      <c r="G522" s="507"/>
      <c r="H522" s="507"/>
      <c r="I522" s="507"/>
      <c r="J522" s="507"/>
      <c r="K522" s="507"/>
      <c r="L522" s="507"/>
      <c r="M522" s="507"/>
      <c r="N522" s="507"/>
    </row>
    <row r="523" spans="1:14" ht="15.75" x14ac:dyDescent="0.25">
      <c r="A523" s="733"/>
      <c r="B523" s="509"/>
      <c r="C523" s="507"/>
      <c r="D523" s="507"/>
      <c r="E523" s="507"/>
      <c r="F523" s="507"/>
      <c r="G523" s="507"/>
      <c r="H523" s="507"/>
      <c r="I523" s="507"/>
      <c r="J523" s="507"/>
      <c r="K523" s="507"/>
      <c r="L523" s="507"/>
      <c r="M523" s="507"/>
      <c r="N523" s="507"/>
    </row>
    <row r="524" spans="1:14" ht="15.75" x14ac:dyDescent="0.25">
      <c r="A524" s="733"/>
      <c r="B524" s="509"/>
      <c r="C524" s="507"/>
      <c r="D524" s="507"/>
      <c r="E524" s="507"/>
      <c r="F524" s="507"/>
      <c r="G524" s="507"/>
      <c r="H524" s="507"/>
      <c r="I524" s="507"/>
      <c r="J524" s="507"/>
      <c r="K524" s="507"/>
      <c r="L524" s="507"/>
      <c r="M524" s="507"/>
      <c r="N524" s="507"/>
    </row>
    <row r="525" spans="1:14" ht="15.75" x14ac:dyDescent="0.25">
      <c r="A525" s="733"/>
      <c r="B525" s="509"/>
      <c r="C525" s="507"/>
      <c r="D525" s="507"/>
      <c r="E525" s="507"/>
      <c r="F525" s="507"/>
      <c r="G525" s="507"/>
      <c r="H525" s="507"/>
      <c r="I525" s="507"/>
      <c r="J525" s="507"/>
      <c r="K525" s="507"/>
      <c r="L525" s="507"/>
      <c r="M525" s="507"/>
      <c r="N525" s="507"/>
    </row>
    <row r="526" spans="1:14" ht="15.75" x14ac:dyDescent="0.25">
      <c r="A526" s="733"/>
      <c r="B526" s="509"/>
      <c r="C526" s="507"/>
      <c r="D526" s="507"/>
      <c r="E526" s="507"/>
      <c r="F526" s="507"/>
      <c r="G526" s="507"/>
      <c r="H526" s="507"/>
      <c r="I526" s="507"/>
      <c r="J526" s="507"/>
      <c r="K526" s="507"/>
      <c r="L526" s="507"/>
      <c r="M526" s="507"/>
      <c r="N526" s="507"/>
    </row>
    <row r="527" spans="1:14" ht="15.75" x14ac:dyDescent="0.25">
      <c r="A527" s="733"/>
      <c r="B527" s="509"/>
      <c r="C527" s="507"/>
      <c r="D527" s="507"/>
      <c r="E527" s="507"/>
      <c r="F527" s="507"/>
      <c r="G527" s="507"/>
      <c r="H527" s="507"/>
      <c r="I527" s="507"/>
      <c r="J527" s="507"/>
      <c r="K527" s="507"/>
      <c r="L527" s="507"/>
      <c r="M527" s="507"/>
      <c r="N527" s="507"/>
    </row>
    <row r="528" spans="1:14" ht="15.75" x14ac:dyDescent="0.25">
      <c r="A528" s="733"/>
      <c r="B528" s="509"/>
      <c r="C528" s="507"/>
      <c r="D528" s="507"/>
      <c r="E528" s="507"/>
      <c r="F528" s="507"/>
      <c r="G528" s="507"/>
      <c r="H528" s="507"/>
      <c r="I528" s="507"/>
      <c r="J528" s="507"/>
      <c r="K528" s="507"/>
      <c r="L528" s="507"/>
      <c r="M528" s="507"/>
      <c r="N528" s="507"/>
    </row>
    <row r="529" spans="1:14" ht="15.75" x14ac:dyDescent="0.25">
      <c r="A529" s="733"/>
      <c r="B529" s="509"/>
      <c r="C529" s="507"/>
      <c r="D529" s="507"/>
      <c r="E529" s="507"/>
      <c r="F529" s="507"/>
      <c r="G529" s="507"/>
      <c r="H529" s="507"/>
      <c r="I529" s="507"/>
      <c r="J529" s="507"/>
      <c r="K529" s="507"/>
      <c r="L529" s="507"/>
      <c r="M529" s="507"/>
      <c r="N529" s="507"/>
    </row>
    <row r="530" spans="1:14" ht="15.75" x14ac:dyDescent="0.25">
      <c r="A530" s="733"/>
      <c r="B530" s="509"/>
      <c r="C530" s="507"/>
      <c r="D530" s="507"/>
      <c r="E530" s="507"/>
      <c r="F530" s="507"/>
      <c r="G530" s="507"/>
      <c r="H530" s="507"/>
      <c r="I530" s="507"/>
      <c r="J530" s="507"/>
      <c r="K530" s="507"/>
      <c r="L530" s="507"/>
      <c r="M530" s="507"/>
      <c r="N530" s="507"/>
    </row>
    <row r="531" spans="1:14" ht="15.75" x14ac:dyDescent="0.25">
      <c r="A531" s="733"/>
      <c r="B531" s="509"/>
      <c r="C531" s="507"/>
      <c r="D531" s="507"/>
      <c r="E531" s="507"/>
      <c r="F531" s="507"/>
      <c r="G531" s="507"/>
      <c r="H531" s="507"/>
      <c r="I531" s="507"/>
      <c r="J531" s="507"/>
      <c r="K531" s="507"/>
      <c r="L531" s="507"/>
      <c r="M531" s="507"/>
      <c r="N531" s="507"/>
    </row>
    <row r="532" spans="1:14" ht="15.75" x14ac:dyDescent="0.25">
      <c r="A532" s="733"/>
      <c r="B532" s="509"/>
      <c r="C532" s="507"/>
      <c r="D532" s="507"/>
      <c r="E532" s="507"/>
      <c r="F532" s="507"/>
      <c r="G532" s="507"/>
      <c r="H532" s="507"/>
      <c r="I532" s="507"/>
      <c r="J532" s="507"/>
      <c r="K532" s="507"/>
      <c r="L532" s="507"/>
      <c r="M532" s="507"/>
      <c r="N532" s="507"/>
    </row>
    <row r="533" spans="1:14" ht="15.75" x14ac:dyDescent="0.25">
      <c r="A533" s="733"/>
      <c r="B533" s="509"/>
      <c r="C533" s="507"/>
      <c r="D533" s="507"/>
      <c r="E533" s="507"/>
      <c r="F533" s="507"/>
      <c r="G533" s="507"/>
      <c r="H533" s="507"/>
      <c r="I533" s="507"/>
      <c r="J533" s="507"/>
      <c r="K533" s="507"/>
      <c r="L533" s="507"/>
      <c r="M533" s="507"/>
      <c r="N533" s="507"/>
    </row>
    <row r="534" spans="1:14" ht="15.75" x14ac:dyDescent="0.25">
      <c r="A534" s="733"/>
      <c r="B534" s="509"/>
      <c r="C534" s="507"/>
      <c r="D534" s="507"/>
      <c r="E534" s="507"/>
      <c r="F534" s="507"/>
      <c r="G534" s="507"/>
      <c r="H534" s="507"/>
      <c r="I534" s="507"/>
      <c r="J534" s="507"/>
      <c r="K534" s="507"/>
      <c r="L534" s="507"/>
      <c r="M534" s="507"/>
      <c r="N534" s="507"/>
    </row>
    <row r="535" spans="1:14" ht="15.75" x14ac:dyDescent="0.25">
      <c r="A535" s="733"/>
      <c r="B535" s="509"/>
      <c r="C535" s="507"/>
      <c r="D535" s="507"/>
      <c r="E535" s="507"/>
      <c r="F535" s="507"/>
      <c r="G535" s="507"/>
      <c r="H535" s="507"/>
      <c r="I535" s="507"/>
      <c r="J535" s="507"/>
      <c r="K535" s="507"/>
      <c r="L535" s="507"/>
      <c r="M535" s="507"/>
      <c r="N535" s="507"/>
    </row>
    <row r="536" spans="1:14" ht="15.75" x14ac:dyDescent="0.25">
      <c r="A536" s="733"/>
      <c r="B536" s="509"/>
      <c r="C536" s="507"/>
      <c r="D536" s="507"/>
      <c r="E536" s="507"/>
      <c r="F536" s="507"/>
      <c r="G536" s="507"/>
      <c r="H536" s="507"/>
      <c r="I536" s="507"/>
      <c r="J536" s="507"/>
      <c r="K536" s="507"/>
      <c r="L536" s="507"/>
      <c r="M536" s="507"/>
      <c r="N536" s="507"/>
    </row>
    <row r="537" spans="1:14" ht="15.75" x14ac:dyDescent="0.25">
      <c r="A537" s="733"/>
      <c r="B537" s="509"/>
      <c r="C537" s="507"/>
      <c r="D537" s="507"/>
      <c r="E537" s="507"/>
      <c r="F537" s="507"/>
      <c r="G537" s="507"/>
      <c r="H537" s="507"/>
      <c r="I537" s="507"/>
      <c r="J537" s="507"/>
      <c r="K537" s="507"/>
      <c r="L537" s="507"/>
      <c r="M537" s="507"/>
      <c r="N537" s="507"/>
    </row>
    <row r="538" spans="1:14" ht="15.75" x14ac:dyDescent="0.25">
      <c r="A538" s="733"/>
      <c r="B538" s="509"/>
      <c r="C538" s="507"/>
      <c r="D538" s="507"/>
      <c r="E538" s="507"/>
      <c r="F538" s="507"/>
      <c r="G538" s="507"/>
      <c r="H538" s="507"/>
      <c r="I538" s="507"/>
      <c r="J538" s="507"/>
      <c r="K538" s="507"/>
      <c r="L538" s="507"/>
      <c r="M538" s="507"/>
      <c r="N538" s="507"/>
    </row>
    <row r="539" spans="1:14" ht="15.75" x14ac:dyDescent="0.25">
      <c r="A539" s="733"/>
      <c r="B539" s="509"/>
      <c r="C539" s="507"/>
      <c r="D539" s="507"/>
      <c r="E539" s="507"/>
      <c r="F539" s="507"/>
      <c r="G539" s="507"/>
      <c r="H539" s="507"/>
      <c r="I539" s="507"/>
      <c r="J539" s="507"/>
      <c r="K539" s="507"/>
      <c r="L539" s="507"/>
      <c r="M539" s="507"/>
      <c r="N539" s="507"/>
    </row>
    <row r="540" spans="1:14" ht="15.75" x14ac:dyDescent="0.25">
      <c r="A540" s="733"/>
      <c r="B540" s="509"/>
      <c r="C540" s="507"/>
      <c r="D540" s="507"/>
      <c r="E540" s="507"/>
      <c r="F540" s="507"/>
      <c r="G540" s="507"/>
      <c r="H540" s="507"/>
      <c r="I540" s="507"/>
      <c r="J540" s="507"/>
      <c r="K540" s="507"/>
      <c r="L540" s="507"/>
      <c r="M540" s="507"/>
      <c r="N540" s="507"/>
    </row>
    <row r="541" spans="1:14" ht="15.75" x14ac:dyDescent="0.25">
      <c r="A541" s="733"/>
      <c r="B541" s="509"/>
      <c r="C541" s="507"/>
      <c r="D541" s="507"/>
      <c r="E541" s="507"/>
      <c r="F541" s="507"/>
      <c r="G541" s="507"/>
      <c r="H541" s="507"/>
      <c r="I541" s="507"/>
      <c r="J541" s="507"/>
      <c r="K541" s="507"/>
      <c r="L541" s="507"/>
      <c r="M541" s="507"/>
      <c r="N541" s="507"/>
    </row>
    <row r="542" spans="1:14" ht="15.75" x14ac:dyDescent="0.25">
      <c r="A542" s="733"/>
      <c r="B542" s="509"/>
      <c r="C542" s="507"/>
      <c r="D542" s="507"/>
      <c r="E542" s="507"/>
      <c r="F542" s="507"/>
      <c r="G542" s="507"/>
      <c r="H542" s="507"/>
      <c r="I542" s="507"/>
      <c r="J542" s="507"/>
      <c r="K542" s="507"/>
      <c r="L542" s="507"/>
      <c r="M542" s="507"/>
      <c r="N542" s="507"/>
    </row>
    <row r="543" spans="1:14" ht="15.75" x14ac:dyDescent="0.25">
      <c r="A543" s="733"/>
      <c r="B543" s="509"/>
      <c r="C543" s="507"/>
      <c r="D543" s="507"/>
      <c r="E543" s="507"/>
      <c r="F543" s="507"/>
      <c r="G543" s="507"/>
      <c r="H543" s="507"/>
      <c r="I543" s="507"/>
      <c r="J543" s="507"/>
      <c r="K543" s="507"/>
      <c r="L543" s="507"/>
      <c r="M543" s="507"/>
      <c r="N543" s="507"/>
    </row>
    <row r="544" spans="1:14" ht="15.75" x14ac:dyDescent="0.25">
      <c r="A544" s="733"/>
      <c r="B544" s="509"/>
      <c r="C544" s="507"/>
      <c r="D544" s="507"/>
      <c r="E544" s="507"/>
      <c r="F544" s="507"/>
      <c r="G544" s="507"/>
      <c r="H544" s="507"/>
      <c r="I544" s="507"/>
      <c r="J544" s="507"/>
      <c r="K544" s="507"/>
      <c r="L544" s="507"/>
      <c r="M544" s="507"/>
      <c r="N544" s="507"/>
    </row>
    <row r="545" spans="1:14" ht="15.75" x14ac:dyDescent="0.25">
      <c r="A545" s="733"/>
      <c r="B545" s="509"/>
      <c r="C545" s="507"/>
      <c r="D545" s="507"/>
      <c r="E545" s="507"/>
      <c r="F545" s="507"/>
      <c r="G545" s="507"/>
      <c r="H545" s="507"/>
      <c r="I545" s="507"/>
      <c r="J545" s="507"/>
      <c r="K545" s="507"/>
      <c r="L545" s="507"/>
      <c r="M545" s="507"/>
      <c r="N545" s="507"/>
    </row>
    <row r="546" spans="1:14" ht="15.75" x14ac:dyDescent="0.25">
      <c r="A546" s="733"/>
      <c r="B546" s="509"/>
      <c r="C546" s="507"/>
      <c r="D546" s="507"/>
      <c r="E546" s="507"/>
      <c r="F546" s="507"/>
      <c r="G546" s="507"/>
      <c r="H546" s="507"/>
      <c r="I546" s="507"/>
      <c r="J546" s="507"/>
      <c r="K546" s="507"/>
      <c r="L546" s="507"/>
      <c r="M546" s="507"/>
      <c r="N546" s="507"/>
    </row>
    <row r="547" spans="1:14" ht="15.75" x14ac:dyDescent="0.25">
      <c r="A547" s="733"/>
      <c r="B547" s="509"/>
      <c r="C547" s="507"/>
      <c r="D547" s="507"/>
      <c r="E547" s="507"/>
      <c r="F547" s="507"/>
      <c r="G547" s="507"/>
      <c r="H547" s="507"/>
      <c r="I547" s="507"/>
      <c r="J547" s="507"/>
      <c r="K547" s="507"/>
      <c r="L547" s="507"/>
      <c r="M547" s="507"/>
      <c r="N547" s="507"/>
    </row>
    <row r="548" spans="1:14" ht="15.75" x14ac:dyDescent="0.25">
      <c r="A548" s="733"/>
      <c r="B548" s="509"/>
      <c r="C548" s="507"/>
      <c r="D548" s="507"/>
      <c r="E548" s="507"/>
      <c r="F548" s="507"/>
      <c r="G548" s="507"/>
      <c r="H548" s="507"/>
      <c r="I548" s="507"/>
      <c r="J548" s="507"/>
      <c r="K548" s="507"/>
      <c r="L548" s="507"/>
      <c r="M548" s="507"/>
      <c r="N548" s="507"/>
    </row>
    <row r="549" spans="1:14" ht="15.75" x14ac:dyDescent="0.25">
      <c r="A549" s="733"/>
      <c r="B549" s="509"/>
      <c r="C549" s="507"/>
      <c r="D549" s="507"/>
      <c r="E549" s="507"/>
      <c r="F549" s="507"/>
      <c r="G549" s="507"/>
      <c r="H549" s="507"/>
      <c r="I549" s="507"/>
      <c r="J549" s="507"/>
      <c r="K549" s="507"/>
      <c r="L549" s="507"/>
      <c r="M549" s="507"/>
      <c r="N549" s="507"/>
    </row>
    <row r="550" spans="1:14" ht="15.75" x14ac:dyDescent="0.25">
      <c r="A550" s="733"/>
      <c r="B550" s="509"/>
      <c r="C550" s="507"/>
      <c r="D550" s="507"/>
      <c r="E550" s="507"/>
      <c r="F550" s="507"/>
      <c r="G550" s="507"/>
      <c r="H550" s="507"/>
      <c r="I550" s="507"/>
      <c r="J550" s="507"/>
      <c r="K550" s="507"/>
      <c r="L550" s="507"/>
      <c r="M550" s="507"/>
      <c r="N550" s="507"/>
    </row>
    <row r="551" spans="1:14" ht="15.75" x14ac:dyDescent="0.25">
      <c r="A551" s="733"/>
      <c r="B551" s="509"/>
      <c r="C551" s="507"/>
      <c r="D551" s="507"/>
      <c r="E551" s="507"/>
      <c r="F551" s="507"/>
      <c r="G551" s="507"/>
      <c r="H551" s="507"/>
      <c r="I551" s="507"/>
      <c r="J551" s="507"/>
      <c r="K551" s="507"/>
      <c r="L551" s="507"/>
      <c r="M551" s="507"/>
      <c r="N551" s="507"/>
    </row>
    <row r="552" spans="1:14" ht="15.75" x14ac:dyDescent="0.25">
      <c r="A552" s="733"/>
      <c r="B552" s="509"/>
      <c r="C552" s="507"/>
      <c r="D552" s="507"/>
      <c r="E552" s="507"/>
      <c r="F552" s="507"/>
      <c r="G552" s="507"/>
      <c r="H552" s="507"/>
      <c r="I552" s="507"/>
      <c r="J552" s="507"/>
      <c r="K552" s="507"/>
      <c r="L552" s="507"/>
      <c r="M552" s="507"/>
      <c r="N552" s="507"/>
    </row>
    <row r="553" spans="1:14" ht="15.75" x14ac:dyDescent="0.25">
      <c r="A553" s="733"/>
      <c r="B553" s="509"/>
      <c r="C553" s="507"/>
      <c r="D553" s="507"/>
      <c r="E553" s="507"/>
      <c r="F553" s="507"/>
      <c r="G553" s="507"/>
      <c r="H553" s="507"/>
      <c r="I553" s="507"/>
      <c r="J553" s="507"/>
      <c r="K553" s="507"/>
      <c r="L553" s="507"/>
      <c r="M553" s="507"/>
      <c r="N553" s="507"/>
    </row>
    <row r="554" spans="1:14" ht="15.75" x14ac:dyDescent="0.25">
      <c r="A554" s="733"/>
      <c r="B554" s="509"/>
      <c r="C554" s="507"/>
      <c r="D554" s="507"/>
      <c r="E554" s="507"/>
      <c r="F554" s="507"/>
      <c r="G554" s="507"/>
      <c r="H554" s="507"/>
      <c r="I554" s="507"/>
      <c r="J554" s="507"/>
      <c r="K554" s="507"/>
      <c r="L554" s="507"/>
      <c r="M554" s="507"/>
      <c r="N554" s="507"/>
    </row>
    <row r="555" spans="1:14" ht="15.75" x14ac:dyDescent="0.25">
      <c r="A555" s="733"/>
      <c r="B555" s="509"/>
      <c r="C555" s="507"/>
      <c r="D555" s="507"/>
      <c r="E555" s="507"/>
      <c r="F555" s="507"/>
      <c r="G555" s="507"/>
      <c r="H555" s="507"/>
      <c r="I555" s="507"/>
      <c r="J555" s="507"/>
      <c r="K555" s="507"/>
      <c r="L555" s="507"/>
      <c r="M555" s="507"/>
      <c r="N555" s="507"/>
    </row>
    <row r="556" spans="1:14" ht="15.75" x14ac:dyDescent="0.25">
      <c r="A556" s="733"/>
      <c r="B556" s="509"/>
      <c r="C556" s="507"/>
      <c r="D556" s="507"/>
      <c r="E556" s="507"/>
      <c r="F556" s="507"/>
      <c r="G556" s="507"/>
      <c r="H556" s="507"/>
      <c r="I556" s="507"/>
      <c r="J556" s="507"/>
      <c r="K556" s="507"/>
      <c r="L556" s="507"/>
      <c r="M556" s="507"/>
      <c r="N556" s="507"/>
    </row>
    <row r="557" spans="1:14" ht="15.75" x14ac:dyDescent="0.25">
      <c r="A557" s="733"/>
      <c r="B557" s="509"/>
      <c r="C557" s="507"/>
      <c r="D557" s="507"/>
      <c r="E557" s="507"/>
      <c r="F557" s="507"/>
      <c r="G557" s="507"/>
      <c r="H557" s="507"/>
      <c r="I557" s="507"/>
      <c r="J557" s="507"/>
      <c r="K557" s="507"/>
      <c r="L557" s="507"/>
      <c r="M557" s="507"/>
      <c r="N557" s="507"/>
    </row>
    <row r="558" spans="1:14" ht="15.75" x14ac:dyDescent="0.25">
      <c r="A558" s="733"/>
      <c r="B558" s="509"/>
      <c r="C558" s="507"/>
      <c r="D558" s="507"/>
      <c r="E558" s="507"/>
      <c r="F558" s="507"/>
      <c r="G558" s="507"/>
      <c r="H558" s="507"/>
      <c r="I558" s="507"/>
      <c r="J558" s="507"/>
      <c r="K558" s="507"/>
      <c r="L558" s="507"/>
      <c r="M558" s="507"/>
      <c r="N558" s="507"/>
    </row>
    <row r="559" spans="1:14" ht="15.75" x14ac:dyDescent="0.25">
      <c r="A559" s="733"/>
      <c r="B559" s="509"/>
      <c r="C559" s="507"/>
      <c r="D559" s="507"/>
      <c r="E559" s="507"/>
      <c r="F559" s="507"/>
      <c r="G559" s="507"/>
      <c r="H559" s="507"/>
      <c r="I559" s="507"/>
      <c r="J559" s="507"/>
      <c r="K559" s="507"/>
      <c r="L559" s="507"/>
      <c r="M559" s="507"/>
      <c r="N559" s="507"/>
    </row>
    <row r="560" spans="1:14" ht="15.75" x14ac:dyDescent="0.25">
      <c r="A560" s="733"/>
      <c r="B560" s="509"/>
      <c r="C560" s="507"/>
      <c r="D560" s="507"/>
      <c r="E560" s="507"/>
      <c r="F560" s="507"/>
      <c r="G560" s="507"/>
      <c r="H560" s="507"/>
      <c r="I560" s="507"/>
      <c r="J560" s="507"/>
      <c r="K560" s="507"/>
      <c r="L560" s="507"/>
      <c r="M560" s="507"/>
      <c r="N560" s="507"/>
    </row>
    <row r="561" spans="1:14" ht="15.75" x14ac:dyDescent="0.25">
      <c r="A561" s="733"/>
      <c r="B561" s="509"/>
      <c r="C561" s="507"/>
      <c r="D561" s="507"/>
      <c r="E561" s="507"/>
      <c r="F561" s="507"/>
      <c r="G561" s="507"/>
      <c r="H561" s="507"/>
      <c r="I561" s="507"/>
      <c r="J561" s="507"/>
      <c r="K561" s="507"/>
      <c r="L561" s="507"/>
      <c r="M561" s="507"/>
      <c r="N561" s="507"/>
    </row>
    <row r="562" spans="1:14" ht="15.75" x14ac:dyDescent="0.25">
      <c r="A562" s="733"/>
      <c r="B562" s="509"/>
      <c r="C562" s="507"/>
      <c r="D562" s="507"/>
      <c r="E562" s="507"/>
      <c r="F562" s="507"/>
      <c r="G562" s="507"/>
      <c r="H562" s="507"/>
      <c r="I562" s="507"/>
      <c r="J562" s="507"/>
      <c r="K562" s="507"/>
      <c r="L562" s="507"/>
      <c r="M562" s="507"/>
      <c r="N562" s="507"/>
    </row>
    <row r="563" spans="1:14" ht="15.75" x14ac:dyDescent="0.25">
      <c r="A563" s="733"/>
      <c r="B563" s="509"/>
      <c r="C563" s="507"/>
      <c r="D563" s="507"/>
      <c r="E563" s="507"/>
      <c r="F563" s="507"/>
      <c r="G563" s="507"/>
      <c r="H563" s="507"/>
      <c r="I563" s="507"/>
      <c r="J563" s="507"/>
      <c r="K563" s="507"/>
      <c r="L563" s="507"/>
      <c r="M563" s="507"/>
      <c r="N563" s="507"/>
    </row>
    <row r="564" spans="1:14" ht="15.75" x14ac:dyDescent="0.25">
      <c r="A564" s="733"/>
      <c r="B564" s="509"/>
      <c r="C564" s="507"/>
      <c r="D564" s="507"/>
      <c r="E564" s="507"/>
      <c r="F564" s="507"/>
      <c r="G564" s="507"/>
      <c r="H564" s="507"/>
      <c r="I564" s="507"/>
      <c r="J564" s="507"/>
      <c r="K564" s="507"/>
      <c r="L564" s="507"/>
      <c r="M564" s="507"/>
      <c r="N564" s="507"/>
    </row>
    <row r="565" spans="1:14" ht="15.75" x14ac:dyDescent="0.25">
      <c r="A565" s="733"/>
      <c r="B565" s="509"/>
      <c r="C565" s="507"/>
      <c r="D565" s="507"/>
      <c r="E565" s="507"/>
      <c r="F565" s="507"/>
      <c r="G565" s="507"/>
      <c r="H565" s="507"/>
      <c r="I565" s="507"/>
      <c r="J565" s="507"/>
      <c r="K565" s="507"/>
      <c r="L565" s="507"/>
      <c r="M565" s="507"/>
      <c r="N565" s="507"/>
    </row>
    <row r="566" spans="1:14" ht="15.75" x14ac:dyDescent="0.25">
      <c r="A566" s="733"/>
      <c r="B566" s="509"/>
      <c r="C566" s="507"/>
      <c r="D566" s="507"/>
      <c r="E566" s="507"/>
      <c r="F566" s="507"/>
      <c r="G566" s="507"/>
      <c r="H566" s="507"/>
      <c r="I566" s="507"/>
      <c r="J566" s="507"/>
      <c r="K566" s="507"/>
      <c r="L566" s="507"/>
      <c r="M566" s="507"/>
      <c r="N566" s="507"/>
    </row>
    <row r="567" spans="1:14" ht="15.75" x14ac:dyDescent="0.25">
      <c r="A567" s="733"/>
      <c r="B567" s="509"/>
      <c r="C567" s="507"/>
      <c r="D567" s="507"/>
      <c r="E567" s="507"/>
      <c r="F567" s="507"/>
      <c r="G567" s="507"/>
      <c r="H567" s="507"/>
      <c r="I567" s="507"/>
      <c r="J567" s="507"/>
      <c r="K567" s="507"/>
      <c r="L567" s="507"/>
      <c r="M567" s="507"/>
      <c r="N567" s="507"/>
    </row>
    <row r="568" spans="1:14" ht="15.75" x14ac:dyDescent="0.25">
      <c r="A568" s="733"/>
      <c r="B568" s="509"/>
      <c r="C568" s="507"/>
      <c r="D568" s="507"/>
      <c r="E568" s="507"/>
      <c r="F568" s="507"/>
      <c r="G568" s="507"/>
      <c r="H568" s="507"/>
      <c r="I568" s="507"/>
      <c r="J568" s="507"/>
      <c r="K568" s="507"/>
      <c r="L568" s="507"/>
      <c r="M568" s="507"/>
      <c r="N568" s="507"/>
    </row>
    <row r="569" spans="1:14" ht="15.75" x14ac:dyDescent="0.25">
      <c r="A569" s="733"/>
      <c r="B569" s="509"/>
      <c r="C569" s="507"/>
      <c r="D569" s="507"/>
      <c r="E569" s="507"/>
      <c r="F569" s="507"/>
      <c r="G569" s="507"/>
      <c r="H569" s="507"/>
      <c r="I569" s="507"/>
      <c r="J569" s="507"/>
      <c r="K569" s="507"/>
      <c r="L569" s="507"/>
      <c r="M569" s="507"/>
      <c r="N569" s="507"/>
    </row>
    <row r="570" spans="1:14" ht="15.75" x14ac:dyDescent="0.25">
      <c r="A570" s="733"/>
      <c r="B570" s="509"/>
      <c r="C570" s="507"/>
      <c r="D570" s="507"/>
      <c r="E570" s="507"/>
      <c r="F570" s="507"/>
      <c r="G570" s="507"/>
      <c r="H570" s="507"/>
      <c r="I570" s="507"/>
      <c r="J570" s="507"/>
      <c r="K570" s="507"/>
      <c r="L570" s="507"/>
      <c r="M570" s="507"/>
      <c r="N570" s="507"/>
    </row>
    <row r="571" spans="1:14" ht="15.75" x14ac:dyDescent="0.25">
      <c r="A571" s="733"/>
      <c r="B571" s="509"/>
      <c r="C571" s="507"/>
      <c r="D571" s="507"/>
      <c r="E571" s="507"/>
      <c r="F571" s="507"/>
      <c r="G571" s="507"/>
      <c r="H571" s="507"/>
      <c r="I571" s="507"/>
      <c r="J571" s="507"/>
      <c r="K571" s="507"/>
      <c r="L571" s="507"/>
      <c r="M571" s="507"/>
      <c r="N571" s="507"/>
    </row>
    <row r="572" spans="1:14" ht="15.75" x14ac:dyDescent="0.25">
      <c r="A572" s="733"/>
      <c r="B572" s="509"/>
      <c r="C572" s="507"/>
      <c r="D572" s="507"/>
      <c r="E572" s="507"/>
      <c r="F572" s="507"/>
      <c r="G572" s="507"/>
      <c r="H572" s="507"/>
      <c r="I572" s="507"/>
      <c r="J572" s="507"/>
      <c r="K572" s="507"/>
      <c r="L572" s="507"/>
      <c r="M572" s="507"/>
      <c r="N572" s="507"/>
    </row>
    <row r="573" spans="1:14" ht="15.75" x14ac:dyDescent="0.25">
      <c r="A573" s="733"/>
      <c r="B573" s="509"/>
      <c r="C573" s="507"/>
      <c r="D573" s="507"/>
      <c r="E573" s="507"/>
      <c r="F573" s="507"/>
      <c r="G573" s="507"/>
      <c r="H573" s="507"/>
      <c r="I573" s="507"/>
      <c r="J573" s="507"/>
      <c r="K573" s="507"/>
      <c r="L573" s="507"/>
      <c r="M573" s="507"/>
      <c r="N573" s="507"/>
    </row>
    <row r="574" spans="1:14" ht="15.75" x14ac:dyDescent="0.25">
      <c r="A574" s="733"/>
      <c r="B574" s="509"/>
      <c r="C574" s="507"/>
      <c r="D574" s="507"/>
      <c r="E574" s="507"/>
      <c r="F574" s="507"/>
      <c r="G574" s="507"/>
      <c r="H574" s="507"/>
      <c r="I574" s="507"/>
      <c r="J574" s="507"/>
      <c r="K574" s="507"/>
      <c r="L574" s="507"/>
      <c r="M574" s="507"/>
      <c r="N574" s="507"/>
    </row>
    <row r="575" spans="1:14" ht="15.75" x14ac:dyDescent="0.25">
      <c r="A575" s="733"/>
      <c r="B575" s="509"/>
      <c r="C575" s="507"/>
      <c r="D575" s="507"/>
      <c r="E575" s="507"/>
      <c r="F575" s="507"/>
      <c r="G575" s="507"/>
      <c r="H575" s="507"/>
      <c r="I575" s="507"/>
      <c r="J575" s="507"/>
      <c r="K575" s="507"/>
      <c r="L575" s="507"/>
      <c r="M575" s="507"/>
      <c r="N575" s="507"/>
    </row>
    <row r="576" spans="1:14" ht="15.75" x14ac:dyDescent="0.25">
      <c r="A576" s="733"/>
      <c r="B576" s="509"/>
      <c r="C576" s="507"/>
      <c r="D576" s="507"/>
      <c r="E576" s="507"/>
      <c r="F576" s="507"/>
      <c r="G576" s="507"/>
      <c r="H576" s="507"/>
      <c r="I576" s="507"/>
      <c r="J576" s="507"/>
      <c r="K576" s="507"/>
      <c r="L576" s="507"/>
      <c r="M576" s="507"/>
      <c r="N576" s="507"/>
    </row>
    <row r="577" spans="1:14" ht="15.75" x14ac:dyDescent="0.25">
      <c r="A577" s="733"/>
      <c r="B577" s="509"/>
      <c r="C577" s="507"/>
      <c r="D577" s="507"/>
      <c r="E577" s="507"/>
      <c r="F577" s="507"/>
      <c r="G577" s="507"/>
      <c r="H577" s="507"/>
      <c r="I577" s="507"/>
      <c r="J577" s="507"/>
      <c r="K577" s="507"/>
      <c r="L577" s="507"/>
      <c r="M577" s="507"/>
      <c r="N577" s="507"/>
    </row>
    <row r="578" spans="1:14" ht="15.75" x14ac:dyDescent="0.25">
      <c r="A578" s="733"/>
      <c r="B578" s="509"/>
      <c r="C578" s="507"/>
      <c r="D578" s="507"/>
      <c r="E578" s="507"/>
      <c r="F578" s="507"/>
      <c r="G578" s="507"/>
      <c r="H578" s="507"/>
      <c r="I578" s="507"/>
      <c r="J578" s="507"/>
      <c r="K578" s="507"/>
      <c r="L578" s="507"/>
      <c r="M578" s="507"/>
      <c r="N578" s="507"/>
    </row>
    <row r="579" spans="1:14" ht="15.75" x14ac:dyDescent="0.25">
      <c r="A579" s="733"/>
      <c r="B579" s="509"/>
      <c r="C579" s="507"/>
      <c r="D579" s="507"/>
      <c r="E579" s="507"/>
      <c r="F579" s="507"/>
      <c r="G579" s="507"/>
      <c r="H579" s="507"/>
      <c r="I579" s="507"/>
      <c r="J579" s="507"/>
      <c r="K579" s="507"/>
      <c r="L579" s="507"/>
      <c r="M579" s="507"/>
      <c r="N579" s="507"/>
    </row>
    <row r="580" spans="1:14" ht="15.75" x14ac:dyDescent="0.25">
      <c r="A580" s="733"/>
      <c r="B580" s="509"/>
      <c r="C580" s="507"/>
      <c r="D580" s="507"/>
      <c r="E580" s="507"/>
      <c r="F580" s="507"/>
      <c r="G580" s="507"/>
      <c r="H580" s="507"/>
      <c r="I580" s="507"/>
      <c r="J580" s="507"/>
      <c r="K580" s="507"/>
      <c r="L580" s="507"/>
      <c r="M580" s="507"/>
      <c r="N580" s="507"/>
    </row>
    <row r="581" spans="1:14" ht="15.75" x14ac:dyDescent="0.25">
      <c r="A581" s="733"/>
      <c r="B581" s="509"/>
      <c r="C581" s="507"/>
      <c r="D581" s="507"/>
      <c r="E581" s="507"/>
      <c r="F581" s="507"/>
      <c r="G581" s="507"/>
      <c r="H581" s="507"/>
      <c r="I581" s="507"/>
      <c r="J581" s="507"/>
      <c r="K581" s="507"/>
      <c r="L581" s="507"/>
      <c r="M581" s="507"/>
      <c r="N581" s="507"/>
    </row>
    <row r="582" spans="1:14" ht="15.75" x14ac:dyDescent="0.25">
      <c r="A582" s="733"/>
      <c r="B582" s="509"/>
      <c r="C582" s="507"/>
      <c r="D582" s="507"/>
      <c r="E582" s="507"/>
      <c r="F582" s="507"/>
      <c r="G582" s="507"/>
      <c r="H582" s="507"/>
      <c r="I582" s="507"/>
      <c r="J582" s="507"/>
      <c r="K582" s="507"/>
      <c r="L582" s="507"/>
      <c r="M582" s="507"/>
      <c r="N582" s="507"/>
    </row>
    <row r="583" spans="1:14" ht="15.75" x14ac:dyDescent="0.25">
      <c r="A583" s="733"/>
      <c r="B583" s="509"/>
      <c r="C583" s="507"/>
      <c r="D583" s="507"/>
      <c r="E583" s="507"/>
      <c r="F583" s="507"/>
      <c r="G583" s="507"/>
      <c r="H583" s="507"/>
      <c r="I583" s="507"/>
      <c r="J583" s="507"/>
      <c r="K583" s="507"/>
      <c r="L583" s="507"/>
      <c r="M583" s="507"/>
      <c r="N583" s="507"/>
    </row>
    <row r="584" spans="1:14" ht="15.75" x14ac:dyDescent="0.25">
      <c r="A584" s="733"/>
      <c r="B584" s="509"/>
      <c r="C584" s="507"/>
      <c r="D584" s="507"/>
      <c r="E584" s="507"/>
      <c r="F584" s="507"/>
      <c r="G584" s="507"/>
      <c r="H584" s="507"/>
      <c r="I584" s="507"/>
      <c r="J584" s="507"/>
      <c r="K584" s="507"/>
      <c r="L584" s="507"/>
      <c r="M584" s="507"/>
      <c r="N584" s="507"/>
    </row>
    <row r="585" spans="1:14" ht="15.75" x14ac:dyDescent="0.25">
      <c r="A585" s="733"/>
      <c r="B585" s="509"/>
      <c r="C585" s="507"/>
      <c r="D585" s="507"/>
      <c r="E585" s="507"/>
      <c r="F585" s="507"/>
      <c r="G585" s="507"/>
      <c r="H585" s="507"/>
      <c r="I585" s="507"/>
      <c r="J585" s="507"/>
      <c r="K585" s="507"/>
      <c r="L585" s="507"/>
      <c r="M585" s="507"/>
      <c r="N585" s="507"/>
    </row>
    <row r="586" spans="1:14" ht="15.75" x14ac:dyDescent="0.25">
      <c r="A586" s="733"/>
      <c r="B586" s="509"/>
      <c r="C586" s="507"/>
      <c r="D586" s="507"/>
      <c r="E586" s="507"/>
      <c r="F586" s="507"/>
      <c r="G586" s="507"/>
      <c r="H586" s="507"/>
      <c r="I586" s="507"/>
      <c r="J586" s="507"/>
      <c r="K586" s="507"/>
      <c r="L586" s="507"/>
      <c r="M586" s="507"/>
      <c r="N586" s="507"/>
    </row>
    <row r="587" spans="1:14" ht="15.75" x14ac:dyDescent="0.25">
      <c r="A587" s="733"/>
      <c r="B587" s="509"/>
      <c r="C587" s="507"/>
      <c r="D587" s="507"/>
      <c r="E587" s="507"/>
      <c r="F587" s="507"/>
      <c r="G587" s="507"/>
      <c r="H587" s="507"/>
      <c r="I587" s="507"/>
      <c r="J587" s="507"/>
      <c r="K587" s="507"/>
      <c r="L587" s="507"/>
      <c r="M587" s="507"/>
      <c r="N587" s="507"/>
    </row>
    <row r="588" spans="1:14" ht="15.75" x14ac:dyDescent="0.25">
      <c r="A588" s="733"/>
      <c r="B588" s="509"/>
      <c r="C588" s="507"/>
      <c r="D588" s="507"/>
      <c r="E588" s="507"/>
      <c r="F588" s="507"/>
      <c r="G588" s="507"/>
      <c r="H588" s="507"/>
      <c r="I588" s="507"/>
      <c r="J588" s="507"/>
      <c r="K588" s="507"/>
      <c r="L588" s="507"/>
      <c r="M588" s="507"/>
      <c r="N588" s="507"/>
    </row>
    <row r="589" spans="1:14" ht="15.75" x14ac:dyDescent="0.25">
      <c r="A589" s="733"/>
      <c r="B589" s="509"/>
      <c r="C589" s="507"/>
      <c r="D589" s="507"/>
      <c r="E589" s="507"/>
      <c r="F589" s="507"/>
      <c r="G589" s="507"/>
      <c r="H589" s="507"/>
      <c r="I589" s="507"/>
      <c r="J589" s="507"/>
      <c r="K589" s="507"/>
      <c r="L589" s="507"/>
      <c r="M589" s="507"/>
      <c r="N589" s="507"/>
    </row>
    <row r="590" spans="1:14" ht="15.75" x14ac:dyDescent="0.25">
      <c r="A590" s="733"/>
      <c r="B590" s="509"/>
      <c r="C590" s="507"/>
      <c r="D590" s="507"/>
      <c r="E590" s="507"/>
      <c r="F590" s="507"/>
      <c r="G590" s="507"/>
      <c r="H590" s="507"/>
      <c r="I590" s="507"/>
      <c r="J590" s="507"/>
      <c r="K590" s="507"/>
      <c r="L590" s="507"/>
      <c r="M590" s="507"/>
      <c r="N590" s="507"/>
    </row>
    <row r="591" spans="1:14" ht="15.75" x14ac:dyDescent="0.25">
      <c r="A591" s="733"/>
      <c r="B591" s="509"/>
      <c r="C591" s="507"/>
      <c r="D591" s="507"/>
      <c r="E591" s="507"/>
      <c r="F591" s="507"/>
      <c r="G591" s="507"/>
      <c r="H591" s="507"/>
      <c r="I591" s="507"/>
      <c r="J591" s="507"/>
      <c r="K591" s="507"/>
      <c r="L591" s="507"/>
      <c r="M591" s="507"/>
      <c r="N591" s="507"/>
    </row>
    <row r="592" spans="1:14" ht="15.75" x14ac:dyDescent="0.25">
      <c r="A592" s="733"/>
      <c r="B592" s="509"/>
      <c r="C592" s="507"/>
      <c r="D592" s="507"/>
      <c r="E592" s="507"/>
      <c r="F592" s="507"/>
      <c r="G592" s="507"/>
      <c r="H592" s="507"/>
      <c r="I592" s="507"/>
      <c r="J592" s="507"/>
      <c r="K592" s="507"/>
      <c r="L592" s="507"/>
      <c r="M592" s="507"/>
      <c r="N592" s="507"/>
    </row>
    <row r="593" spans="1:14" ht="15.75" x14ac:dyDescent="0.25">
      <c r="A593" s="733"/>
      <c r="B593" s="509"/>
      <c r="C593" s="507"/>
      <c r="D593" s="507"/>
      <c r="E593" s="507"/>
      <c r="F593" s="507"/>
      <c r="G593" s="507"/>
      <c r="H593" s="507"/>
      <c r="I593" s="507"/>
      <c r="J593" s="507"/>
      <c r="K593" s="507"/>
      <c r="L593" s="507"/>
      <c r="M593" s="507"/>
      <c r="N593" s="507"/>
    </row>
    <row r="594" spans="1:14" ht="15.75" x14ac:dyDescent="0.25">
      <c r="A594" s="733"/>
      <c r="B594" s="509"/>
      <c r="C594" s="507"/>
      <c r="D594" s="507"/>
      <c r="E594" s="507"/>
      <c r="F594" s="507"/>
      <c r="G594" s="507"/>
      <c r="H594" s="507"/>
      <c r="I594" s="507"/>
      <c r="J594" s="507"/>
      <c r="K594" s="507"/>
      <c r="L594" s="507"/>
      <c r="M594" s="507"/>
      <c r="N594" s="507"/>
    </row>
    <row r="595" spans="1:14" ht="15.75" x14ac:dyDescent="0.25">
      <c r="A595" s="733"/>
      <c r="B595" s="509"/>
      <c r="C595" s="507"/>
      <c r="D595" s="507"/>
      <c r="E595" s="507"/>
      <c r="F595" s="507"/>
      <c r="G595" s="507"/>
      <c r="H595" s="507"/>
      <c r="I595" s="507"/>
      <c r="J595" s="507"/>
      <c r="K595" s="507"/>
      <c r="L595" s="507"/>
      <c r="M595" s="507"/>
      <c r="N595" s="507"/>
    </row>
    <row r="596" spans="1:14" ht="15.75" x14ac:dyDescent="0.25">
      <c r="A596" s="733"/>
      <c r="B596" s="509"/>
      <c r="C596" s="507"/>
      <c r="D596" s="507"/>
      <c r="E596" s="507"/>
      <c r="F596" s="507"/>
      <c r="G596" s="507"/>
      <c r="H596" s="507"/>
      <c r="I596" s="507"/>
      <c r="J596" s="507"/>
      <c r="K596" s="507"/>
      <c r="L596" s="507"/>
      <c r="M596" s="507"/>
      <c r="N596" s="507"/>
    </row>
    <row r="597" spans="1:14" ht="15.75" x14ac:dyDescent="0.25">
      <c r="A597" s="733"/>
      <c r="B597" s="509"/>
      <c r="C597" s="507"/>
      <c r="D597" s="507"/>
      <c r="E597" s="507"/>
      <c r="F597" s="507"/>
      <c r="G597" s="507"/>
      <c r="H597" s="507"/>
      <c r="I597" s="507"/>
      <c r="J597" s="507"/>
      <c r="K597" s="507"/>
      <c r="L597" s="507"/>
      <c r="M597" s="507"/>
      <c r="N597" s="507"/>
    </row>
    <row r="598" spans="1:14" ht="15.75" x14ac:dyDescent="0.25">
      <c r="A598" s="733"/>
      <c r="B598" s="509"/>
      <c r="C598" s="507"/>
      <c r="D598" s="507"/>
      <c r="E598" s="507"/>
      <c r="F598" s="507"/>
      <c r="G598" s="507"/>
      <c r="H598" s="507"/>
      <c r="I598" s="507"/>
      <c r="J598" s="507"/>
      <c r="K598" s="507"/>
      <c r="L598" s="507"/>
      <c r="M598" s="507"/>
      <c r="N598" s="507"/>
    </row>
    <row r="599" spans="1:14" ht="15.75" x14ac:dyDescent="0.25">
      <c r="A599" s="733"/>
      <c r="B599" s="509"/>
      <c r="C599" s="507"/>
      <c r="D599" s="507"/>
      <c r="E599" s="507"/>
      <c r="F599" s="507"/>
      <c r="G599" s="507"/>
      <c r="H599" s="507"/>
      <c r="I599" s="507"/>
      <c r="J599" s="507"/>
      <c r="K599" s="507"/>
      <c r="L599" s="507"/>
      <c r="M599" s="507"/>
      <c r="N599" s="507"/>
    </row>
    <row r="600" spans="1:14" ht="15.75" x14ac:dyDescent="0.25">
      <c r="A600" s="733"/>
      <c r="B600" s="509"/>
      <c r="C600" s="507"/>
      <c r="D600" s="507"/>
      <c r="E600" s="507"/>
      <c r="F600" s="507"/>
      <c r="G600" s="507"/>
      <c r="H600" s="507"/>
      <c r="I600" s="507"/>
      <c r="J600" s="507"/>
      <c r="K600" s="507"/>
      <c r="L600" s="507"/>
      <c r="M600" s="507"/>
      <c r="N600" s="507"/>
    </row>
    <row r="601" spans="1:14" ht="15.75" x14ac:dyDescent="0.25">
      <c r="A601" s="733"/>
      <c r="B601" s="509"/>
      <c r="C601" s="507"/>
      <c r="D601" s="507"/>
      <c r="E601" s="507"/>
      <c r="F601" s="507"/>
      <c r="G601" s="507"/>
      <c r="H601" s="507"/>
      <c r="I601" s="507"/>
      <c r="J601" s="507"/>
      <c r="K601" s="507"/>
      <c r="L601" s="507"/>
      <c r="M601" s="507"/>
      <c r="N601" s="507"/>
    </row>
    <row r="602" spans="1:14" ht="15.75" x14ac:dyDescent="0.25">
      <c r="A602" s="733"/>
      <c r="B602" s="509"/>
      <c r="C602" s="507"/>
      <c r="D602" s="507"/>
      <c r="E602" s="507"/>
      <c r="F602" s="507"/>
      <c r="G602" s="507"/>
      <c r="H602" s="507"/>
      <c r="I602" s="507"/>
      <c r="J602" s="507"/>
      <c r="K602" s="507"/>
      <c r="L602" s="507"/>
      <c r="M602" s="507"/>
      <c r="N602" s="507"/>
    </row>
  </sheetData>
  <mergeCells count="135">
    <mergeCell ref="A286:B286"/>
    <mergeCell ref="C286:H286"/>
    <mergeCell ref="A262:A267"/>
    <mergeCell ref="C262:C267"/>
    <mergeCell ref="F262:K262"/>
    <mergeCell ref="M262:V262"/>
    <mergeCell ref="F263:H264"/>
    <mergeCell ref="L263:L267"/>
    <mergeCell ref="T263:U264"/>
    <mergeCell ref="F265:F266"/>
    <mergeCell ref="G265:G266"/>
    <mergeCell ref="H265:H266"/>
    <mergeCell ref="H231:H232"/>
    <mergeCell ref="A254:B254"/>
    <mergeCell ref="C254:H254"/>
    <mergeCell ref="AA259:AB259"/>
    <mergeCell ref="A260:AB260"/>
    <mergeCell ref="A261:AB261"/>
    <mergeCell ref="A227:AB227"/>
    <mergeCell ref="A228:A233"/>
    <mergeCell ref="C228:C233"/>
    <mergeCell ref="F228:K228"/>
    <mergeCell ref="M228:V228"/>
    <mergeCell ref="F229:H230"/>
    <mergeCell ref="L229:L233"/>
    <mergeCell ref="T229:U230"/>
    <mergeCell ref="F231:F232"/>
    <mergeCell ref="G231:G232"/>
    <mergeCell ref="G199:G200"/>
    <mergeCell ref="H199:H200"/>
    <mergeCell ref="A220:B220"/>
    <mergeCell ref="C220:H220"/>
    <mergeCell ref="AA225:AB225"/>
    <mergeCell ref="A226:AB226"/>
    <mergeCell ref="A194:AB194"/>
    <mergeCell ref="A195:AB195"/>
    <mergeCell ref="A196:A201"/>
    <mergeCell ref="C196:C201"/>
    <mergeCell ref="F196:K196"/>
    <mergeCell ref="M196:V196"/>
    <mergeCell ref="F197:H198"/>
    <mergeCell ref="L197:L201"/>
    <mergeCell ref="T197:U198"/>
    <mergeCell ref="F199:F200"/>
    <mergeCell ref="AA193:AB193"/>
    <mergeCell ref="AA162:AB162"/>
    <mergeCell ref="A163:AB163"/>
    <mergeCell ref="A164:AB164"/>
    <mergeCell ref="A165:A170"/>
    <mergeCell ref="C165:C170"/>
    <mergeCell ref="F165:K165"/>
    <mergeCell ref="M165:V165"/>
    <mergeCell ref="F166:H167"/>
    <mergeCell ref="L166:L170"/>
    <mergeCell ref="T166:U167"/>
    <mergeCell ref="A157:B157"/>
    <mergeCell ref="C157:H157"/>
    <mergeCell ref="A125:B125"/>
    <mergeCell ref="C125:H125"/>
    <mergeCell ref="F168:F169"/>
    <mergeCell ref="G168:G169"/>
    <mergeCell ref="H168:H169"/>
    <mergeCell ref="A188:B188"/>
    <mergeCell ref="C188:H188"/>
    <mergeCell ref="AA130:AB130"/>
    <mergeCell ref="A131:AB131"/>
    <mergeCell ref="A132:AB132"/>
    <mergeCell ref="A133:A138"/>
    <mergeCell ref="C133:C138"/>
    <mergeCell ref="F133:K133"/>
    <mergeCell ref="M133:V133"/>
    <mergeCell ref="F134:H135"/>
    <mergeCell ref="A100:A105"/>
    <mergeCell ref="C100:C105"/>
    <mergeCell ref="F100:K100"/>
    <mergeCell ref="M100:V100"/>
    <mergeCell ref="F101:H102"/>
    <mergeCell ref="L101:L105"/>
    <mergeCell ref="T101:U102"/>
    <mergeCell ref="F103:F104"/>
    <mergeCell ref="G103:G104"/>
    <mergeCell ref="H103:H104"/>
    <mergeCell ref="L134:L138"/>
    <mergeCell ref="T134:U135"/>
    <mergeCell ref="F136:F137"/>
    <mergeCell ref="G136:G137"/>
    <mergeCell ref="H136:H137"/>
    <mergeCell ref="H71:H72"/>
    <mergeCell ref="A92:B92"/>
    <mergeCell ref="C92:H92"/>
    <mergeCell ref="AA97:AB97"/>
    <mergeCell ref="A98:AB98"/>
    <mergeCell ref="A99:AB99"/>
    <mergeCell ref="A67:AB67"/>
    <mergeCell ref="A68:A73"/>
    <mergeCell ref="C68:C73"/>
    <mergeCell ref="F68:K68"/>
    <mergeCell ref="M68:V68"/>
    <mergeCell ref="F69:H70"/>
    <mergeCell ref="L69:L73"/>
    <mergeCell ref="T69:U70"/>
    <mergeCell ref="F71:F72"/>
    <mergeCell ref="G71:G72"/>
    <mergeCell ref="G39:G40"/>
    <mergeCell ref="H39:H40"/>
    <mergeCell ref="A60:B60"/>
    <mergeCell ref="C60:H60"/>
    <mergeCell ref="AA65:AB65"/>
    <mergeCell ref="A66:AB66"/>
    <mergeCell ref="A34:AB34"/>
    <mergeCell ref="A35:AB35"/>
    <mergeCell ref="A36:A41"/>
    <mergeCell ref="C36:C41"/>
    <mergeCell ref="F36:K36"/>
    <mergeCell ref="M36:V36"/>
    <mergeCell ref="F37:H38"/>
    <mergeCell ref="L37:L41"/>
    <mergeCell ref="T37:U38"/>
    <mergeCell ref="F39:F40"/>
    <mergeCell ref="F7:F8"/>
    <mergeCell ref="G7:G8"/>
    <mergeCell ref="H7:H8"/>
    <mergeCell ref="A28:B28"/>
    <mergeCell ref="C28:H28"/>
    <mergeCell ref="AA33:AB33"/>
    <mergeCell ref="AA1:AB1"/>
    <mergeCell ref="A2:AB2"/>
    <mergeCell ref="A3:AB3"/>
    <mergeCell ref="A4:A9"/>
    <mergeCell ref="C4:C9"/>
    <mergeCell ref="F4:K4"/>
    <mergeCell ref="M4:V4"/>
    <mergeCell ref="F5:H6"/>
    <mergeCell ref="L5:L9"/>
    <mergeCell ref="T5:U6"/>
  </mergeCells>
  <pageMargins left="3.937007874015748E-2" right="3.937007874015748E-2" top="0.55118110236220474" bottom="0.55118110236220474" header="0.31496062992125984" footer="0.31496062992125984"/>
  <pageSetup paperSize="9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694"/>
  <sheetViews>
    <sheetView tabSelected="1" topLeftCell="V58" workbookViewId="0">
      <selection activeCell="AM16" sqref="AM16"/>
    </sheetView>
  </sheetViews>
  <sheetFormatPr defaultRowHeight="14.25" x14ac:dyDescent="0.2"/>
  <cols>
    <col min="1" max="1" width="3.375" customWidth="1"/>
    <col min="2" max="2" width="5.875" customWidth="1"/>
    <col min="3" max="3" width="4.5" customWidth="1"/>
    <col min="4" max="4" width="4.25" customWidth="1"/>
    <col min="5" max="6" width="3.125" customWidth="1"/>
    <col min="7" max="7" width="2.125" customWidth="1"/>
    <col min="8" max="8" width="6" customWidth="1"/>
    <col min="9" max="9" width="9" customWidth="1"/>
    <col min="10" max="10" width="8.5" customWidth="1"/>
    <col min="11" max="11" width="12.5" customWidth="1"/>
    <col min="12" max="12" width="2.625" customWidth="1"/>
    <col min="13" max="13" width="3.875" customWidth="1"/>
    <col min="14" max="14" width="3.625" customWidth="1"/>
    <col min="15" max="15" width="3.5" customWidth="1"/>
    <col min="16" max="16" width="5.75" bestFit="1" customWidth="1"/>
    <col min="17" max="17" width="4.875" bestFit="1" customWidth="1"/>
    <col min="18" max="18" width="6.5" customWidth="1"/>
    <col min="19" max="19" width="11.625" customWidth="1"/>
    <col min="20" max="20" width="3.75" customWidth="1"/>
    <col min="21" max="21" width="8.5" customWidth="1"/>
    <col min="22" max="22" width="10.625" customWidth="1"/>
    <col min="23" max="23" width="12.125" customWidth="1"/>
    <col min="24" max="24" width="11.875" customWidth="1"/>
    <col min="25" max="25" width="3.375" customWidth="1"/>
    <col min="26" max="26" width="14" customWidth="1"/>
    <col min="27" max="27" width="4.5" customWidth="1"/>
    <col min="28" max="28" width="2.375" customWidth="1"/>
    <col min="29" max="29" width="10" style="2539" customWidth="1"/>
    <col min="30" max="32" width="0" hidden="1" customWidth="1"/>
    <col min="33" max="33" width="1" hidden="1" customWidth="1"/>
    <col min="34" max="34" width="13.875" customWidth="1"/>
    <col min="35" max="35" width="17.875" style="2476" customWidth="1"/>
    <col min="36" max="36" width="21.75" customWidth="1"/>
  </cols>
  <sheetData>
    <row r="1" spans="1:35" ht="21.75" customHeight="1" x14ac:dyDescent="0.2">
      <c r="A1" s="2707" t="s">
        <v>1</v>
      </c>
      <c r="B1" s="2707"/>
      <c r="C1" s="2707"/>
      <c r="D1" s="2707"/>
      <c r="E1" s="2707"/>
      <c r="F1" s="2707"/>
      <c r="G1" s="2707"/>
      <c r="H1" s="2707"/>
      <c r="I1" s="2707"/>
      <c r="J1" s="2707"/>
      <c r="K1" s="2707"/>
      <c r="L1" s="2707"/>
      <c r="M1" s="2707"/>
      <c r="N1" s="2707"/>
      <c r="O1" s="2707"/>
      <c r="P1" s="2707"/>
      <c r="Q1" s="2707"/>
      <c r="R1" s="2707"/>
      <c r="S1" s="2707"/>
      <c r="T1" s="2707"/>
      <c r="U1" s="2707"/>
      <c r="V1" s="2707"/>
      <c r="W1" s="2707"/>
      <c r="X1" s="2707"/>
      <c r="Y1" s="2707"/>
      <c r="Z1" s="2707"/>
      <c r="AA1" s="2707"/>
      <c r="AB1" s="2707"/>
      <c r="AC1" s="2707"/>
      <c r="AI1"/>
    </row>
    <row r="2" spans="1:35" ht="18" x14ac:dyDescent="0.2">
      <c r="A2" s="2846" t="s">
        <v>984</v>
      </c>
      <c r="B2" s="2846"/>
      <c r="C2" s="2846"/>
      <c r="D2" s="2846"/>
      <c r="E2" s="2846"/>
      <c r="F2" s="2846"/>
      <c r="G2" s="2846"/>
      <c r="H2" s="2846"/>
      <c r="I2" s="2846"/>
      <c r="J2" s="2846"/>
      <c r="K2" s="2846"/>
      <c r="L2" s="2846"/>
      <c r="M2" s="2846"/>
      <c r="N2" s="2846"/>
      <c r="O2" s="2846"/>
      <c r="P2" s="2846"/>
      <c r="Q2" s="2846"/>
      <c r="R2" s="2846"/>
      <c r="S2" s="2846"/>
      <c r="T2" s="2846"/>
      <c r="U2" s="2846"/>
      <c r="V2" s="2846"/>
      <c r="W2" s="2846"/>
      <c r="X2" s="2846"/>
      <c r="Y2" s="2846"/>
      <c r="Z2" s="2846"/>
      <c r="AA2" s="2846"/>
      <c r="AB2" s="2846"/>
      <c r="AC2" s="2846"/>
      <c r="AD2" s="2192"/>
      <c r="AI2"/>
    </row>
    <row r="3" spans="1:35" ht="15" x14ac:dyDescent="0.25">
      <c r="A3" s="2709" t="s">
        <v>2</v>
      </c>
      <c r="B3" s="2572"/>
      <c r="C3" s="2709" t="s">
        <v>3</v>
      </c>
      <c r="D3" s="2572"/>
      <c r="E3" s="2572"/>
      <c r="F3" s="2712" t="s">
        <v>4</v>
      </c>
      <c r="G3" s="2712"/>
      <c r="H3" s="2712"/>
      <c r="I3" s="2713"/>
      <c r="J3" s="2713"/>
      <c r="K3" s="2714"/>
      <c r="L3" s="2"/>
      <c r="M3" s="2715" t="s">
        <v>5</v>
      </c>
      <c r="N3" s="2715"/>
      <c r="O3" s="2715"/>
      <c r="P3" s="2715"/>
      <c r="Q3" s="2716"/>
      <c r="R3" s="2716"/>
      <c r="S3" s="2716"/>
      <c r="T3" s="2716"/>
      <c r="U3" s="2716"/>
      <c r="V3" s="2717"/>
      <c r="W3" s="2573" t="s">
        <v>6</v>
      </c>
      <c r="X3" s="2574" t="s">
        <v>7</v>
      </c>
      <c r="Y3" s="2575"/>
      <c r="Z3" s="2575"/>
      <c r="AA3" s="2574"/>
      <c r="AB3" s="2574"/>
      <c r="AC3" s="2576"/>
      <c r="AD3" s="2221" t="s">
        <v>8</v>
      </c>
      <c r="AH3" s="2845" t="s">
        <v>76</v>
      </c>
      <c r="AI3"/>
    </row>
    <row r="4" spans="1:35" x14ac:dyDescent="0.2">
      <c r="A4" s="2710"/>
      <c r="B4" s="4"/>
      <c r="C4" s="2710"/>
      <c r="D4" s="2577" t="s">
        <v>9</v>
      </c>
      <c r="E4" s="2578" t="s">
        <v>10</v>
      </c>
      <c r="F4" s="2718" t="s">
        <v>11</v>
      </c>
      <c r="G4" s="2713"/>
      <c r="H4" s="2714"/>
      <c r="I4" s="2572"/>
      <c r="J4" s="2579" t="s">
        <v>12</v>
      </c>
      <c r="K4" s="2572"/>
      <c r="L4" s="2715" t="s">
        <v>2</v>
      </c>
      <c r="M4" s="2580"/>
      <c r="N4" s="2580"/>
      <c r="O4" s="2580"/>
      <c r="P4" s="2581"/>
      <c r="Q4" s="2582" t="s">
        <v>13</v>
      </c>
      <c r="R4" s="2583" t="s">
        <v>12</v>
      </c>
      <c r="S4" s="2580" t="s">
        <v>6</v>
      </c>
      <c r="T4" s="2724" t="s">
        <v>14</v>
      </c>
      <c r="U4" s="2725"/>
      <c r="V4" s="2584" t="s">
        <v>7</v>
      </c>
      <c r="W4" s="2585" t="s">
        <v>15</v>
      </c>
      <c r="X4" s="2586" t="s">
        <v>16</v>
      </c>
      <c r="Y4" s="2586" t="s">
        <v>17</v>
      </c>
      <c r="Z4" s="2586" t="s">
        <v>18</v>
      </c>
      <c r="AA4" s="5"/>
      <c r="AB4" s="5"/>
      <c r="AC4" s="55" t="s">
        <v>19</v>
      </c>
      <c r="AD4" s="2223" t="s">
        <v>20</v>
      </c>
      <c r="AH4" s="2845"/>
      <c r="AI4"/>
    </row>
    <row r="5" spans="1:35" x14ac:dyDescent="0.2">
      <c r="A5" s="2710"/>
      <c r="B5" s="2454" t="s">
        <v>23</v>
      </c>
      <c r="C5" s="2710"/>
      <c r="D5" s="2577" t="s">
        <v>24</v>
      </c>
      <c r="E5" s="2578" t="s">
        <v>25</v>
      </c>
      <c r="F5" s="2719"/>
      <c r="G5" s="2720"/>
      <c r="H5" s="2721"/>
      <c r="I5" s="2577" t="s">
        <v>26</v>
      </c>
      <c r="J5" s="2587" t="s">
        <v>15</v>
      </c>
      <c r="K5" s="2588" t="s">
        <v>6</v>
      </c>
      <c r="L5" s="2722"/>
      <c r="M5" s="2589" t="s">
        <v>27</v>
      </c>
      <c r="N5" s="2589" t="s">
        <v>10</v>
      </c>
      <c r="O5" s="2590" t="s">
        <v>10</v>
      </c>
      <c r="P5" s="2591" t="s">
        <v>28</v>
      </c>
      <c r="Q5" s="2592" t="s">
        <v>29</v>
      </c>
      <c r="R5" s="2591" t="s">
        <v>15</v>
      </c>
      <c r="S5" s="8" t="s">
        <v>15</v>
      </c>
      <c r="T5" s="2726"/>
      <c r="U5" s="2727"/>
      <c r="V5" s="2584" t="s">
        <v>30</v>
      </c>
      <c r="W5" s="2585" t="s">
        <v>31</v>
      </c>
      <c r="X5" s="2586" t="s">
        <v>30</v>
      </c>
      <c r="Y5" s="2586" t="s">
        <v>32</v>
      </c>
      <c r="Z5" s="2586" t="s">
        <v>7</v>
      </c>
      <c r="AA5" s="5" t="s">
        <v>33</v>
      </c>
      <c r="AB5" s="5"/>
      <c r="AC5" s="55" t="s">
        <v>34</v>
      </c>
      <c r="AD5" s="2223" t="s">
        <v>35</v>
      </c>
      <c r="AH5" s="2845"/>
      <c r="AI5"/>
    </row>
    <row r="6" spans="1:35" x14ac:dyDescent="0.2">
      <c r="A6" s="2710"/>
      <c r="B6" s="2454" t="s">
        <v>39</v>
      </c>
      <c r="C6" s="2710"/>
      <c r="D6" s="2577" t="s">
        <v>40</v>
      </c>
      <c r="E6" s="2578" t="s">
        <v>41</v>
      </c>
      <c r="F6" s="2709" t="s">
        <v>42</v>
      </c>
      <c r="G6" s="2709" t="s">
        <v>43</v>
      </c>
      <c r="H6" s="2728" t="s">
        <v>44</v>
      </c>
      <c r="I6" s="2577" t="s">
        <v>45</v>
      </c>
      <c r="J6" s="2587" t="s">
        <v>46</v>
      </c>
      <c r="K6" s="2588" t="s">
        <v>47</v>
      </c>
      <c r="L6" s="2722"/>
      <c r="M6" s="2589" t="s">
        <v>30</v>
      </c>
      <c r="N6" s="2589" t="s">
        <v>30</v>
      </c>
      <c r="O6" s="2590" t="s">
        <v>25</v>
      </c>
      <c r="P6" s="2591" t="s">
        <v>30</v>
      </c>
      <c r="Q6" s="2592" t="s">
        <v>48</v>
      </c>
      <c r="R6" s="2591" t="s">
        <v>49</v>
      </c>
      <c r="S6" s="8" t="s">
        <v>30</v>
      </c>
      <c r="T6" s="2593" t="s">
        <v>50</v>
      </c>
      <c r="U6" s="2594" t="s">
        <v>13</v>
      </c>
      <c r="V6" s="2584" t="s">
        <v>51</v>
      </c>
      <c r="W6" s="2585" t="s">
        <v>52</v>
      </c>
      <c r="X6" s="2586" t="s">
        <v>53</v>
      </c>
      <c r="Y6" s="2586" t="s">
        <v>54</v>
      </c>
      <c r="Z6" s="2586" t="s">
        <v>55</v>
      </c>
      <c r="AA6" s="5" t="s">
        <v>56</v>
      </c>
      <c r="AB6" s="5"/>
      <c r="AC6" s="55" t="s">
        <v>57</v>
      </c>
      <c r="AD6" s="6" t="s">
        <v>58</v>
      </c>
      <c r="AH6" s="2845"/>
      <c r="AI6"/>
    </row>
    <row r="7" spans="1:35" ht="15" x14ac:dyDescent="0.25">
      <c r="A7" s="2710"/>
      <c r="B7" s="2454" t="s">
        <v>61</v>
      </c>
      <c r="C7" s="2710"/>
      <c r="D7" s="2577" t="s">
        <v>62</v>
      </c>
      <c r="E7" s="2578" t="s">
        <v>63</v>
      </c>
      <c r="F7" s="2710"/>
      <c r="G7" s="2710"/>
      <c r="H7" s="2729"/>
      <c r="I7" s="2577" t="s">
        <v>64</v>
      </c>
      <c r="J7" s="2587" t="s">
        <v>59</v>
      </c>
      <c r="K7" s="2588" t="s">
        <v>59</v>
      </c>
      <c r="L7" s="2722"/>
      <c r="M7" s="2589"/>
      <c r="N7" s="2589"/>
      <c r="O7" s="2590" t="s">
        <v>41</v>
      </c>
      <c r="P7" s="2591" t="s">
        <v>65</v>
      </c>
      <c r="Q7" s="2592" t="s">
        <v>66</v>
      </c>
      <c r="R7" s="2591" t="s">
        <v>67</v>
      </c>
      <c r="S7" s="8" t="s">
        <v>59</v>
      </c>
      <c r="T7" s="2595" t="s">
        <v>68</v>
      </c>
      <c r="U7" s="2584" t="s">
        <v>14</v>
      </c>
      <c r="V7" s="2584" t="s">
        <v>14</v>
      </c>
      <c r="W7" s="2585" t="s">
        <v>30</v>
      </c>
      <c r="X7" s="2596" t="s">
        <v>69</v>
      </c>
      <c r="Y7" s="2596" t="s">
        <v>70</v>
      </c>
      <c r="Z7" s="2586" t="s">
        <v>71</v>
      </c>
      <c r="AA7" s="5" t="s">
        <v>72</v>
      </c>
      <c r="AB7" s="5"/>
      <c r="AC7" s="2597" t="s">
        <v>59</v>
      </c>
      <c r="AD7" s="6" t="s">
        <v>59</v>
      </c>
      <c r="AH7" s="2845"/>
      <c r="AI7"/>
    </row>
    <row r="8" spans="1:35" x14ac:dyDescent="0.2">
      <c r="A8" s="2711"/>
      <c r="B8" s="9"/>
      <c r="C8" s="2711"/>
      <c r="D8" s="2598"/>
      <c r="E8" s="2599"/>
      <c r="F8" s="9"/>
      <c r="G8" s="9"/>
      <c r="H8" s="10"/>
      <c r="I8" s="2599"/>
      <c r="J8" s="2600"/>
      <c r="K8" s="2601"/>
      <c r="L8" s="2723"/>
      <c r="M8" s="2602"/>
      <c r="N8" s="2602"/>
      <c r="O8" s="2602" t="s">
        <v>63</v>
      </c>
      <c r="P8" s="2603"/>
      <c r="Q8" s="2604" t="s">
        <v>72</v>
      </c>
      <c r="R8" s="2605" t="s">
        <v>59</v>
      </c>
      <c r="S8" s="2606"/>
      <c r="T8" s="2605" t="s">
        <v>73</v>
      </c>
      <c r="U8" s="2606" t="s">
        <v>59</v>
      </c>
      <c r="V8" s="2607" t="s">
        <v>59</v>
      </c>
      <c r="W8" s="2608" t="s">
        <v>59</v>
      </c>
      <c r="X8" s="2609" t="s">
        <v>59</v>
      </c>
      <c r="Y8" s="2609" t="s">
        <v>59</v>
      </c>
      <c r="Z8" s="2609" t="s">
        <v>59</v>
      </c>
      <c r="AA8" s="11"/>
      <c r="AB8" s="11"/>
      <c r="AC8" s="56"/>
      <c r="AD8" s="12"/>
      <c r="AH8" s="2845"/>
      <c r="AI8"/>
    </row>
    <row r="9" spans="1:35" ht="15" x14ac:dyDescent="0.25">
      <c r="A9" s="2113">
        <v>1</v>
      </c>
      <c r="B9" s="2114">
        <v>1841</v>
      </c>
      <c r="C9" s="2114">
        <v>87</v>
      </c>
      <c r="D9" s="2107" t="s">
        <v>245</v>
      </c>
      <c r="E9" s="1582">
        <v>1</v>
      </c>
      <c r="F9" s="2472">
        <v>5</v>
      </c>
      <c r="G9" s="2114">
        <v>3</v>
      </c>
      <c r="H9" s="2115">
        <v>10</v>
      </c>
      <c r="I9" s="18">
        <f>F9*400+G9*100+H9</f>
        <v>2310</v>
      </c>
      <c r="J9" s="2473">
        <v>280</v>
      </c>
      <c r="K9" s="39">
        <f t="shared" ref="K9:K24" si="0">SUM(I9*J9)</f>
        <v>646800</v>
      </c>
      <c r="L9" s="45"/>
      <c r="M9" s="61"/>
      <c r="N9" s="50"/>
      <c r="O9" s="1506"/>
      <c r="P9" s="19"/>
      <c r="Q9" s="62"/>
      <c r="R9" s="1718"/>
      <c r="S9" s="18"/>
      <c r="T9" s="20"/>
      <c r="U9" s="1664"/>
      <c r="V9" s="47"/>
      <c r="W9" s="18">
        <f>K9+V9</f>
        <v>646800</v>
      </c>
      <c r="X9" s="47">
        <f>W9</f>
        <v>646800</v>
      </c>
      <c r="Y9" s="2474">
        <v>0</v>
      </c>
      <c r="Z9" s="18">
        <f>+X9</f>
        <v>646800</v>
      </c>
      <c r="AA9" s="1678">
        <v>0.01</v>
      </c>
      <c r="AB9" s="1678"/>
      <c r="AC9" s="2475">
        <f>+Z9*AA9/100</f>
        <v>64.680000000000007</v>
      </c>
      <c r="AD9" s="2475">
        <f t="shared" ref="AD9:AG24" si="1">+AA9*AB9/100</f>
        <v>0</v>
      </c>
      <c r="AE9" s="2475">
        <f t="shared" si="1"/>
        <v>0</v>
      </c>
      <c r="AF9" s="2475">
        <f t="shared" si="1"/>
        <v>0</v>
      </c>
      <c r="AG9" s="2475">
        <f t="shared" si="1"/>
        <v>0</v>
      </c>
      <c r="AH9" s="2475"/>
      <c r="AI9"/>
    </row>
    <row r="10" spans="1:35" ht="15" x14ac:dyDescent="0.25">
      <c r="A10" s="2113">
        <v>2</v>
      </c>
      <c r="B10" s="2113">
        <v>1905</v>
      </c>
      <c r="C10" s="2100" t="s">
        <v>711</v>
      </c>
      <c r="D10" s="2107" t="s">
        <v>245</v>
      </c>
      <c r="E10" s="1582">
        <v>1</v>
      </c>
      <c r="F10" s="2472">
        <v>4</v>
      </c>
      <c r="G10" s="2113">
        <v>1</v>
      </c>
      <c r="H10" s="2477">
        <v>12</v>
      </c>
      <c r="I10" s="18">
        <f>F10*400+G10*100+H10</f>
        <v>1712</v>
      </c>
      <c r="J10" s="2473">
        <v>300</v>
      </c>
      <c r="K10" s="39">
        <f t="shared" si="0"/>
        <v>513600</v>
      </c>
      <c r="L10" s="2119"/>
      <c r="M10" s="52"/>
      <c r="N10" s="2119"/>
      <c r="O10" s="2119"/>
      <c r="P10" s="2123"/>
      <c r="Q10" s="2120"/>
      <c r="R10" s="2478"/>
      <c r="S10" s="2479"/>
      <c r="T10" s="2480"/>
      <c r="U10" s="1664"/>
      <c r="V10" s="47"/>
      <c r="W10" s="18">
        <f t="shared" ref="W10:W24" si="2">K10+V10</f>
        <v>513600</v>
      </c>
      <c r="X10" s="47">
        <f>W10</f>
        <v>513600</v>
      </c>
      <c r="Y10" s="2474">
        <v>0</v>
      </c>
      <c r="Z10" s="18">
        <f t="shared" ref="Z10:Z22" si="3">+X10</f>
        <v>513600</v>
      </c>
      <c r="AA10" s="1678">
        <v>0.01</v>
      </c>
      <c r="AB10" s="1678"/>
      <c r="AC10" s="2481">
        <f t="shared" ref="AC10:AG26" si="4">+Z10*AA10/100</f>
        <v>51.36</v>
      </c>
      <c r="AD10" s="2481">
        <f t="shared" si="1"/>
        <v>0</v>
      </c>
      <c r="AE10" s="2481">
        <f t="shared" si="1"/>
        <v>0</v>
      </c>
      <c r="AF10" s="2481">
        <f t="shared" si="1"/>
        <v>0</v>
      </c>
      <c r="AG10" s="2481">
        <f t="shared" si="1"/>
        <v>0</v>
      </c>
      <c r="AH10" s="2482"/>
      <c r="AI10"/>
    </row>
    <row r="11" spans="1:35" ht="15" x14ac:dyDescent="0.25">
      <c r="A11" s="2113">
        <v>3</v>
      </c>
      <c r="B11" s="2113">
        <v>1906</v>
      </c>
      <c r="C11" s="2100" t="s">
        <v>712</v>
      </c>
      <c r="D11" s="2114" t="s">
        <v>245</v>
      </c>
      <c r="E11" s="1582">
        <v>1</v>
      </c>
      <c r="F11" s="2472">
        <v>3</v>
      </c>
      <c r="G11" s="2113">
        <v>1</v>
      </c>
      <c r="H11" s="2477">
        <v>52</v>
      </c>
      <c r="I11" s="18">
        <f t="shared" ref="I11:I24" si="5">F11*400+G11*100+H11</f>
        <v>1352</v>
      </c>
      <c r="J11" s="2473">
        <v>300</v>
      </c>
      <c r="K11" s="39">
        <f t="shared" si="0"/>
        <v>405600</v>
      </c>
      <c r="L11" s="2119"/>
      <c r="M11" s="52"/>
      <c r="N11" s="2119"/>
      <c r="O11" s="2119"/>
      <c r="P11" s="2123"/>
      <c r="Q11" s="2120"/>
      <c r="R11" s="2478"/>
      <c r="S11" s="2479"/>
      <c r="T11" s="2480"/>
      <c r="U11" s="1664"/>
      <c r="V11" s="47"/>
      <c r="W11" s="18">
        <f t="shared" si="2"/>
        <v>405600</v>
      </c>
      <c r="X11" s="47">
        <f>+W11</f>
        <v>405600</v>
      </c>
      <c r="Y11" s="2474">
        <v>0</v>
      </c>
      <c r="Z11" s="18">
        <f t="shared" si="3"/>
        <v>405600</v>
      </c>
      <c r="AA11" s="1678">
        <v>0.01</v>
      </c>
      <c r="AB11" s="1678"/>
      <c r="AC11" s="2481">
        <f t="shared" si="4"/>
        <v>40.56</v>
      </c>
      <c r="AD11" s="2481">
        <f t="shared" si="1"/>
        <v>0</v>
      </c>
      <c r="AE11" s="2481">
        <f t="shared" si="1"/>
        <v>0</v>
      </c>
      <c r="AF11" s="2481">
        <f t="shared" si="1"/>
        <v>0</v>
      </c>
      <c r="AG11" s="2481">
        <f t="shared" si="1"/>
        <v>0</v>
      </c>
      <c r="AH11" s="2483" t="s">
        <v>713</v>
      </c>
      <c r="AI11"/>
    </row>
    <row r="12" spans="1:35" ht="15" x14ac:dyDescent="0.25">
      <c r="A12" s="2113">
        <v>4</v>
      </c>
      <c r="B12" s="2113">
        <v>1907</v>
      </c>
      <c r="C12" s="2484" t="s">
        <v>714</v>
      </c>
      <c r="D12" s="2107" t="s">
        <v>245</v>
      </c>
      <c r="E12" s="1715">
        <v>1</v>
      </c>
      <c r="F12" s="2485">
        <v>3</v>
      </c>
      <c r="G12" s="2109">
        <v>0</v>
      </c>
      <c r="H12" s="2486">
        <v>84</v>
      </c>
      <c r="I12" s="18">
        <f t="shared" si="5"/>
        <v>1284</v>
      </c>
      <c r="J12" s="2473">
        <v>300</v>
      </c>
      <c r="K12" s="39">
        <f t="shared" si="0"/>
        <v>385200</v>
      </c>
      <c r="L12" s="61"/>
      <c r="M12" s="105"/>
      <c r="N12" s="1311"/>
      <c r="O12" s="1506"/>
      <c r="P12" s="105"/>
      <c r="Q12" s="2487"/>
      <c r="R12" s="2228"/>
      <c r="S12" s="2229"/>
      <c r="T12" s="1311"/>
      <c r="U12" s="127"/>
      <c r="V12" s="77"/>
      <c r="W12" s="18">
        <f t="shared" si="2"/>
        <v>385200</v>
      </c>
      <c r="X12" s="47">
        <f t="shared" ref="X12:X25" si="6">+W12</f>
        <v>385200</v>
      </c>
      <c r="Y12" s="2474">
        <v>1</v>
      </c>
      <c r="Z12" s="18">
        <f t="shared" si="3"/>
        <v>385200</v>
      </c>
      <c r="AA12" s="1678">
        <v>0.01</v>
      </c>
      <c r="AB12" s="1678"/>
      <c r="AC12" s="2481">
        <f t="shared" si="4"/>
        <v>38.520000000000003</v>
      </c>
      <c r="AD12" s="2481">
        <f t="shared" si="1"/>
        <v>0</v>
      </c>
      <c r="AE12" s="2481">
        <f t="shared" si="1"/>
        <v>0</v>
      </c>
      <c r="AF12" s="2481">
        <f t="shared" si="1"/>
        <v>0</v>
      </c>
      <c r="AG12" s="2481">
        <f t="shared" si="1"/>
        <v>0</v>
      </c>
      <c r="AH12" s="2482"/>
      <c r="AI12"/>
    </row>
    <row r="13" spans="1:35" x14ac:dyDescent="0.2">
      <c r="A13" s="2113">
        <v>5</v>
      </c>
      <c r="B13" s="2113">
        <v>1908</v>
      </c>
      <c r="C13" s="2100" t="s">
        <v>715</v>
      </c>
      <c r="D13" s="2114" t="s">
        <v>245</v>
      </c>
      <c r="E13" s="1508">
        <v>1</v>
      </c>
      <c r="F13" s="2485">
        <v>2</v>
      </c>
      <c r="G13" s="2109">
        <v>0</v>
      </c>
      <c r="H13" s="2486">
        <v>44</v>
      </c>
      <c r="I13" s="18">
        <f t="shared" si="5"/>
        <v>844</v>
      </c>
      <c r="J13" s="2473">
        <v>300</v>
      </c>
      <c r="K13" s="39">
        <f t="shared" si="0"/>
        <v>253200</v>
      </c>
      <c r="L13" s="2109"/>
      <c r="M13" s="100"/>
      <c r="N13" s="2109"/>
      <c r="O13" s="2109"/>
      <c r="P13" s="2486"/>
      <c r="Q13" s="2488"/>
      <c r="R13" s="2101"/>
      <c r="S13" s="2102"/>
      <c r="T13" s="2489"/>
      <c r="U13" s="2102"/>
      <c r="V13" s="2102"/>
      <c r="W13" s="18">
        <f t="shared" si="2"/>
        <v>253200</v>
      </c>
      <c r="X13" s="47">
        <f t="shared" si="6"/>
        <v>253200</v>
      </c>
      <c r="Y13" s="2474">
        <v>3</v>
      </c>
      <c r="Z13" s="18">
        <f t="shared" si="3"/>
        <v>253200</v>
      </c>
      <c r="AA13" s="1678">
        <v>0.01</v>
      </c>
      <c r="AB13" s="2490"/>
      <c r="AC13" s="2481">
        <f t="shared" si="4"/>
        <v>25.32</v>
      </c>
      <c r="AD13" s="2481">
        <f t="shared" si="1"/>
        <v>0</v>
      </c>
      <c r="AE13" s="2481">
        <f t="shared" si="1"/>
        <v>0</v>
      </c>
      <c r="AF13" s="2481">
        <f t="shared" si="1"/>
        <v>0</v>
      </c>
      <c r="AG13" s="2481">
        <f t="shared" si="1"/>
        <v>0</v>
      </c>
      <c r="AH13" s="2491"/>
      <c r="AI13"/>
    </row>
    <row r="14" spans="1:35" x14ac:dyDescent="0.2">
      <c r="A14" s="2113">
        <v>6</v>
      </c>
      <c r="B14" s="2113">
        <v>1866</v>
      </c>
      <c r="C14" s="2100" t="s">
        <v>716</v>
      </c>
      <c r="D14" s="2114" t="s">
        <v>717</v>
      </c>
      <c r="E14" s="1508">
        <v>1</v>
      </c>
      <c r="F14" s="2485">
        <v>1</v>
      </c>
      <c r="G14" s="2109">
        <v>1</v>
      </c>
      <c r="H14" s="2486">
        <v>52</v>
      </c>
      <c r="I14" s="18">
        <f t="shared" si="5"/>
        <v>552</v>
      </c>
      <c r="J14" s="2473">
        <v>300</v>
      </c>
      <c r="K14" s="39">
        <f t="shared" si="0"/>
        <v>165600</v>
      </c>
      <c r="L14" s="2109"/>
      <c r="M14" s="100"/>
      <c r="N14" s="2109"/>
      <c r="O14" s="2109"/>
      <c r="P14" s="2486"/>
      <c r="Q14" s="2488"/>
      <c r="R14" s="2101"/>
      <c r="S14" s="2102"/>
      <c r="T14" s="2489"/>
      <c r="U14" s="2102"/>
      <c r="V14" s="2102"/>
      <c r="W14" s="18">
        <f t="shared" si="2"/>
        <v>165600</v>
      </c>
      <c r="X14" s="47">
        <f t="shared" si="6"/>
        <v>165600</v>
      </c>
      <c r="Y14" s="2474">
        <v>4</v>
      </c>
      <c r="Z14" s="18">
        <f t="shared" si="3"/>
        <v>165600</v>
      </c>
      <c r="AA14" s="1678">
        <v>0.01</v>
      </c>
      <c r="AB14" s="1678"/>
      <c r="AC14" s="2481">
        <f t="shared" si="4"/>
        <v>16.559999999999999</v>
      </c>
      <c r="AD14" s="2481">
        <f t="shared" si="1"/>
        <v>0</v>
      </c>
      <c r="AE14" s="2481">
        <f t="shared" si="1"/>
        <v>0</v>
      </c>
      <c r="AF14" s="2481">
        <f t="shared" si="1"/>
        <v>0</v>
      </c>
      <c r="AG14" s="2481">
        <f t="shared" si="1"/>
        <v>0</v>
      </c>
      <c r="AH14" s="2481"/>
      <c r="AI14"/>
    </row>
    <row r="15" spans="1:35" x14ac:dyDescent="0.2">
      <c r="A15" s="2113">
        <v>7</v>
      </c>
      <c r="B15" s="2113">
        <v>1895</v>
      </c>
      <c r="C15" s="2100" t="s">
        <v>718</v>
      </c>
      <c r="D15" s="2114" t="s">
        <v>245</v>
      </c>
      <c r="E15" s="1508">
        <v>1</v>
      </c>
      <c r="F15" s="2485">
        <v>11</v>
      </c>
      <c r="G15" s="2109">
        <v>3</v>
      </c>
      <c r="H15" s="2486">
        <v>28</v>
      </c>
      <c r="I15" s="1794">
        <f t="shared" si="5"/>
        <v>4728</v>
      </c>
      <c r="J15" s="1687">
        <v>300</v>
      </c>
      <c r="K15" s="2492">
        <f t="shared" si="0"/>
        <v>1418400</v>
      </c>
      <c r="L15" s="2109"/>
      <c r="M15" s="100"/>
      <c r="N15" s="2109"/>
      <c r="O15" s="2109"/>
      <c r="P15" s="2486"/>
      <c r="Q15" s="2488"/>
      <c r="R15" s="2493"/>
      <c r="S15" s="2494"/>
      <c r="T15" s="2495"/>
      <c r="U15" s="2494"/>
      <c r="V15" s="2494"/>
      <c r="W15" s="18">
        <f t="shared" si="2"/>
        <v>1418400</v>
      </c>
      <c r="X15" s="1791">
        <f t="shared" si="6"/>
        <v>1418400</v>
      </c>
      <c r="Y15" s="2496">
        <v>5</v>
      </c>
      <c r="Z15" s="1794">
        <f t="shared" si="3"/>
        <v>1418400</v>
      </c>
      <c r="AA15" s="2497">
        <v>0.01</v>
      </c>
      <c r="AB15" s="2498"/>
      <c r="AC15" s="2481">
        <f t="shared" si="4"/>
        <v>141.84</v>
      </c>
      <c r="AD15" s="2481">
        <f t="shared" si="1"/>
        <v>0</v>
      </c>
      <c r="AE15" s="2481">
        <f t="shared" si="1"/>
        <v>0</v>
      </c>
      <c r="AF15" s="2481">
        <f t="shared" si="1"/>
        <v>0</v>
      </c>
      <c r="AG15" s="2481">
        <f t="shared" si="1"/>
        <v>0</v>
      </c>
      <c r="AH15" s="2491"/>
      <c r="AI15"/>
    </row>
    <row r="16" spans="1:35" x14ac:dyDescent="0.2">
      <c r="A16" s="2113">
        <v>8</v>
      </c>
      <c r="B16" s="2113">
        <v>1896</v>
      </c>
      <c r="C16" s="2100" t="s">
        <v>719</v>
      </c>
      <c r="D16" s="2114" t="s">
        <v>245</v>
      </c>
      <c r="E16" s="1508">
        <v>1</v>
      </c>
      <c r="F16" s="2485">
        <v>2</v>
      </c>
      <c r="G16" s="2109">
        <v>1</v>
      </c>
      <c r="H16" s="2486">
        <v>63.8</v>
      </c>
      <c r="I16" s="1794">
        <f t="shared" si="5"/>
        <v>963.8</v>
      </c>
      <c r="J16" s="1687">
        <v>300</v>
      </c>
      <c r="K16" s="2492">
        <f t="shared" si="0"/>
        <v>289140</v>
      </c>
      <c r="L16" s="2109"/>
      <c r="M16" s="100"/>
      <c r="N16" s="2109"/>
      <c r="O16" s="2109"/>
      <c r="P16" s="2486"/>
      <c r="Q16" s="2488"/>
      <c r="R16" s="2493"/>
      <c r="S16" s="2494"/>
      <c r="T16" s="2495"/>
      <c r="U16" s="2494"/>
      <c r="V16" s="2494"/>
      <c r="W16" s="18">
        <f t="shared" si="2"/>
        <v>289140</v>
      </c>
      <c r="X16" s="1791">
        <f t="shared" si="6"/>
        <v>289140</v>
      </c>
      <c r="Y16" s="2496">
        <v>6</v>
      </c>
      <c r="Z16" s="1794">
        <f t="shared" si="3"/>
        <v>289140</v>
      </c>
      <c r="AA16" s="2497">
        <v>0.01</v>
      </c>
      <c r="AB16" s="2497"/>
      <c r="AC16" s="2481">
        <f t="shared" si="4"/>
        <v>28.914000000000001</v>
      </c>
      <c r="AD16" s="2481">
        <f t="shared" si="1"/>
        <v>0</v>
      </c>
      <c r="AE16" s="2481">
        <f t="shared" si="1"/>
        <v>0</v>
      </c>
      <c r="AF16" s="2481">
        <f t="shared" si="1"/>
        <v>0</v>
      </c>
      <c r="AG16" s="2481">
        <f t="shared" si="1"/>
        <v>0</v>
      </c>
      <c r="AH16" s="2481"/>
      <c r="AI16"/>
    </row>
    <row r="17" spans="1:35" x14ac:dyDescent="0.2">
      <c r="A17" s="2113">
        <v>9</v>
      </c>
      <c r="B17" s="2113">
        <v>43910</v>
      </c>
      <c r="C17" s="2100" t="s">
        <v>720</v>
      </c>
      <c r="D17" s="2114" t="s">
        <v>245</v>
      </c>
      <c r="E17" s="1508">
        <v>1</v>
      </c>
      <c r="F17" s="2472">
        <v>1</v>
      </c>
      <c r="G17" s="2113">
        <v>2</v>
      </c>
      <c r="H17" s="2477">
        <v>67</v>
      </c>
      <c r="I17" s="1794">
        <f t="shared" si="5"/>
        <v>667</v>
      </c>
      <c r="J17" s="1687">
        <v>300</v>
      </c>
      <c r="K17" s="2492">
        <f t="shared" si="0"/>
        <v>200100</v>
      </c>
      <c r="L17" s="2109"/>
      <c r="M17" s="100"/>
      <c r="N17" s="2109"/>
      <c r="O17" s="2109"/>
      <c r="P17" s="2486"/>
      <c r="Q17" s="2488"/>
      <c r="R17" s="2493"/>
      <c r="S17" s="2494"/>
      <c r="T17" s="2495"/>
      <c r="U17" s="2494"/>
      <c r="V17" s="2494"/>
      <c r="W17" s="18">
        <f t="shared" si="2"/>
        <v>200100</v>
      </c>
      <c r="X17" s="1791">
        <f t="shared" si="6"/>
        <v>200100</v>
      </c>
      <c r="Y17" s="2496">
        <v>7</v>
      </c>
      <c r="Z17" s="1794">
        <f t="shared" si="3"/>
        <v>200100</v>
      </c>
      <c r="AA17" s="2497">
        <v>0.01</v>
      </c>
      <c r="AB17" s="2498"/>
      <c r="AC17" s="2481">
        <f t="shared" si="4"/>
        <v>20.010000000000002</v>
      </c>
      <c r="AD17" s="2481">
        <f t="shared" si="1"/>
        <v>0</v>
      </c>
      <c r="AE17" s="2481">
        <f t="shared" si="1"/>
        <v>0</v>
      </c>
      <c r="AF17" s="2481">
        <f t="shared" si="1"/>
        <v>0</v>
      </c>
      <c r="AG17" s="2481">
        <f t="shared" si="1"/>
        <v>0</v>
      </c>
      <c r="AH17" s="2491"/>
    </row>
    <row r="18" spans="1:35" x14ac:dyDescent="0.2">
      <c r="A18" s="2113">
        <v>10</v>
      </c>
      <c r="B18" s="2113">
        <v>54525</v>
      </c>
      <c r="C18" s="2100" t="s">
        <v>721</v>
      </c>
      <c r="D18" s="2114" t="s">
        <v>245</v>
      </c>
      <c r="E18" s="1508">
        <v>1</v>
      </c>
      <c r="F18" s="2472">
        <v>1</v>
      </c>
      <c r="G18" s="2113">
        <v>0</v>
      </c>
      <c r="H18" s="2477">
        <v>81.900000000000006</v>
      </c>
      <c r="I18" s="1794">
        <f t="shared" si="5"/>
        <v>481.9</v>
      </c>
      <c r="J18" s="1687">
        <v>300</v>
      </c>
      <c r="K18" s="2492">
        <f t="shared" si="0"/>
        <v>144570</v>
      </c>
      <c r="L18" s="2109"/>
      <c r="M18" s="100"/>
      <c r="N18" s="2109"/>
      <c r="O18" s="2109"/>
      <c r="P18" s="2486"/>
      <c r="Q18" s="2488"/>
      <c r="R18" s="2493"/>
      <c r="S18" s="2494"/>
      <c r="T18" s="2495"/>
      <c r="U18" s="2494"/>
      <c r="V18" s="2494"/>
      <c r="W18" s="18">
        <f t="shared" si="2"/>
        <v>144570</v>
      </c>
      <c r="X18" s="1791">
        <f t="shared" si="6"/>
        <v>144570</v>
      </c>
      <c r="Y18" s="2496">
        <v>8</v>
      </c>
      <c r="Z18" s="1794">
        <f t="shared" si="3"/>
        <v>144570</v>
      </c>
      <c r="AA18" s="2497">
        <v>0.01</v>
      </c>
      <c r="AB18" s="2497"/>
      <c r="AC18" s="2481">
        <f t="shared" si="4"/>
        <v>14.457000000000001</v>
      </c>
      <c r="AD18" s="2481">
        <f t="shared" si="1"/>
        <v>0</v>
      </c>
      <c r="AE18" s="2481">
        <f t="shared" si="1"/>
        <v>0</v>
      </c>
      <c r="AF18" s="2481">
        <f t="shared" si="1"/>
        <v>0</v>
      </c>
      <c r="AG18" s="2481">
        <f t="shared" si="1"/>
        <v>0</v>
      </c>
      <c r="AH18" s="2481"/>
    </row>
    <row r="19" spans="1:35" x14ac:dyDescent="0.2">
      <c r="A19" s="2113">
        <v>11</v>
      </c>
      <c r="B19" s="2113">
        <v>1867</v>
      </c>
      <c r="C19" s="2100" t="s">
        <v>722</v>
      </c>
      <c r="D19" s="2114" t="s">
        <v>245</v>
      </c>
      <c r="E19" s="1508">
        <v>1</v>
      </c>
      <c r="F19" s="2472">
        <v>0</v>
      </c>
      <c r="G19" s="2113">
        <v>1</v>
      </c>
      <c r="H19" s="2477">
        <v>10</v>
      </c>
      <c r="I19" s="1794">
        <f t="shared" si="5"/>
        <v>110</v>
      </c>
      <c r="J19" s="1687">
        <v>300</v>
      </c>
      <c r="K19" s="2492">
        <f t="shared" si="0"/>
        <v>33000</v>
      </c>
      <c r="L19" s="2109"/>
      <c r="M19" s="100"/>
      <c r="N19" s="2109"/>
      <c r="O19" s="2109"/>
      <c r="P19" s="2486"/>
      <c r="Q19" s="2488"/>
      <c r="R19" s="2493"/>
      <c r="S19" s="2494"/>
      <c r="T19" s="2495"/>
      <c r="U19" s="2494"/>
      <c r="V19" s="2494"/>
      <c r="W19" s="18">
        <f t="shared" si="2"/>
        <v>33000</v>
      </c>
      <c r="X19" s="1791">
        <f t="shared" si="6"/>
        <v>33000</v>
      </c>
      <c r="Y19" s="2496">
        <v>9</v>
      </c>
      <c r="Z19" s="1794">
        <f t="shared" si="3"/>
        <v>33000</v>
      </c>
      <c r="AA19" s="2497">
        <v>0.01</v>
      </c>
      <c r="AB19" s="2498"/>
      <c r="AC19" s="2481">
        <f t="shared" si="4"/>
        <v>3.3</v>
      </c>
      <c r="AD19" s="2481">
        <f t="shared" si="1"/>
        <v>0</v>
      </c>
      <c r="AE19" s="2481">
        <f t="shared" si="1"/>
        <v>0</v>
      </c>
      <c r="AF19" s="2481">
        <f t="shared" si="1"/>
        <v>0</v>
      </c>
      <c r="AG19" s="2481">
        <f t="shared" si="1"/>
        <v>0</v>
      </c>
      <c r="AH19" s="2491"/>
    </row>
    <row r="20" spans="1:35" x14ac:dyDescent="0.2">
      <c r="A20" s="2113">
        <v>12</v>
      </c>
      <c r="B20" s="2113">
        <v>1832</v>
      </c>
      <c r="C20" s="2100" t="s">
        <v>723</v>
      </c>
      <c r="D20" s="2114" t="s">
        <v>245</v>
      </c>
      <c r="E20" s="1508">
        <v>1</v>
      </c>
      <c r="F20" s="2472">
        <v>4</v>
      </c>
      <c r="G20" s="2113">
        <v>3</v>
      </c>
      <c r="H20" s="2477">
        <v>35.6</v>
      </c>
      <c r="I20" s="1794">
        <f t="shared" si="5"/>
        <v>1935.6</v>
      </c>
      <c r="J20" s="1687">
        <v>300</v>
      </c>
      <c r="K20" s="2492">
        <f t="shared" si="0"/>
        <v>580680</v>
      </c>
      <c r="L20" s="2109"/>
      <c r="M20" s="100"/>
      <c r="N20" s="2109"/>
      <c r="O20" s="2109"/>
      <c r="P20" s="2486"/>
      <c r="Q20" s="2488"/>
      <c r="R20" s="2493"/>
      <c r="S20" s="2494"/>
      <c r="T20" s="2495"/>
      <c r="U20" s="2494"/>
      <c r="V20" s="2494"/>
      <c r="W20" s="18">
        <f t="shared" si="2"/>
        <v>580680</v>
      </c>
      <c r="X20" s="1791">
        <f t="shared" si="6"/>
        <v>580680</v>
      </c>
      <c r="Y20" s="2496">
        <v>10</v>
      </c>
      <c r="Z20" s="1794">
        <f t="shared" si="3"/>
        <v>580680</v>
      </c>
      <c r="AA20" s="2497">
        <v>0.01</v>
      </c>
      <c r="AB20" s="2498"/>
      <c r="AC20" s="2481">
        <f t="shared" si="4"/>
        <v>58.068000000000005</v>
      </c>
      <c r="AD20" s="2481">
        <f t="shared" si="1"/>
        <v>0</v>
      </c>
      <c r="AE20" s="2481">
        <f t="shared" si="1"/>
        <v>0</v>
      </c>
      <c r="AF20" s="2481">
        <f t="shared" si="1"/>
        <v>0</v>
      </c>
      <c r="AG20" s="2481">
        <f t="shared" si="1"/>
        <v>0</v>
      </c>
      <c r="AH20" s="2499"/>
    </row>
    <row r="21" spans="1:35" x14ac:dyDescent="0.2">
      <c r="A21" s="2113">
        <v>13</v>
      </c>
      <c r="B21" s="2113">
        <v>25030</v>
      </c>
      <c r="C21" s="2100" t="s">
        <v>724</v>
      </c>
      <c r="D21" s="2114" t="s">
        <v>245</v>
      </c>
      <c r="E21" s="1508">
        <v>1</v>
      </c>
      <c r="F21" s="2472">
        <v>4</v>
      </c>
      <c r="G21" s="2113">
        <v>2</v>
      </c>
      <c r="H21" s="2477">
        <v>79.8</v>
      </c>
      <c r="I21" s="1794">
        <f t="shared" si="5"/>
        <v>1879.8</v>
      </c>
      <c r="J21" s="1687">
        <v>300</v>
      </c>
      <c r="K21" s="2492">
        <f t="shared" si="0"/>
        <v>563940</v>
      </c>
      <c r="L21" s="2109"/>
      <c r="M21" s="100"/>
      <c r="N21" s="2109"/>
      <c r="O21" s="2109"/>
      <c r="P21" s="2486"/>
      <c r="Q21" s="2488"/>
      <c r="R21" s="2493"/>
      <c r="S21" s="2494"/>
      <c r="T21" s="2495"/>
      <c r="U21" s="2494"/>
      <c r="V21" s="2494"/>
      <c r="W21" s="18">
        <f t="shared" si="2"/>
        <v>563940</v>
      </c>
      <c r="X21" s="1791">
        <f t="shared" si="6"/>
        <v>563940</v>
      </c>
      <c r="Y21" s="2496">
        <v>11</v>
      </c>
      <c r="Z21" s="1794">
        <f t="shared" si="3"/>
        <v>563940</v>
      </c>
      <c r="AA21" s="2497">
        <v>0.01</v>
      </c>
      <c r="AB21" s="2497"/>
      <c r="AC21" s="2481">
        <f t="shared" si="4"/>
        <v>56.394000000000005</v>
      </c>
      <c r="AD21" s="2481">
        <f t="shared" si="1"/>
        <v>0</v>
      </c>
      <c r="AE21" s="2481">
        <f t="shared" si="1"/>
        <v>0</v>
      </c>
      <c r="AF21" s="2481">
        <f t="shared" si="1"/>
        <v>0</v>
      </c>
      <c r="AG21" s="2481">
        <f t="shared" si="1"/>
        <v>0</v>
      </c>
      <c r="AH21" s="2481"/>
    </row>
    <row r="22" spans="1:35" x14ac:dyDescent="0.2">
      <c r="A22" s="2113">
        <v>14</v>
      </c>
      <c r="B22" s="2113">
        <v>51241</v>
      </c>
      <c r="C22" s="2100" t="s">
        <v>725</v>
      </c>
      <c r="D22" s="2114" t="s">
        <v>245</v>
      </c>
      <c r="E22" s="1508">
        <v>1</v>
      </c>
      <c r="F22" s="2472">
        <v>1</v>
      </c>
      <c r="G22" s="2113">
        <v>2</v>
      </c>
      <c r="H22" s="2477">
        <v>0</v>
      </c>
      <c r="I22" s="1794">
        <f t="shared" si="5"/>
        <v>600</v>
      </c>
      <c r="J22" s="1687">
        <v>300</v>
      </c>
      <c r="K22" s="2492">
        <f t="shared" si="0"/>
        <v>180000</v>
      </c>
      <c r="L22" s="2109"/>
      <c r="M22" s="100"/>
      <c r="N22" s="2109"/>
      <c r="O22" s="2109"/>
      <c r="P22" s="2486"/>
      <c r="Q22" s="2488"/>
      <c r="R22" s="2493"/>
      <c r="S22" s="2494"/>
      <c r="T22" s="2495"/>
      <c r="U22" s="2494"/>
      <c r="V22" s="2494"/>
      <c r="W22" s="18">
        <f t="shared" si="2"/>
        <v>180000</v>
      </c>
      <c r="X22" s="1791">
        <f t="shared" si="6"/>
        <v>180000</v>
      </c>
      <c r="Y22" s="2496">
        <v>12</v>
      </c>
      <c r="Z22" s="1794">
        <f t="shared" si="3"/>
        <v>180000</v>
      </c>
      <c r="AA22" s="2497">
        <v>0.01</v>
      </c>
      <c r="AB22" s="2498"/>
      <c r="AC22" s="2481">
        <f t="shared" si="4"/>
        <v>18</v>
      </c>
      <c r="AD22" s="2481">
        <f t="shared" si="1"/>
        <v>0</v>
      </c>
      <c r="AE22" s="2481">
        <f t="shared" si="1"/>
        <v>0</v>
      </c>
      <c r="AF22" s="2481">
        <f t="shared" si="1"/>
        <v>0</v>
      </c>
      <c r="AG22" s="2481">
        <f t="shared" si="1"/>
        <v>0</v>
      </c>
      <c r="AH22" s="2491"/>
    </row>
    <row r="23" spans="1:35" x14ac:dyDescent="0.2">
      <c r="A23" s="2113">
        <v>15</v>
      </c>
      <c r="B23" s="2113">
        <v>51242</v>
      </c>
      <c r="C23" s="2100" t="s">
        <v>726</v>
      </c>
      <c r="D23" s="2114" t="s">
        <v>245</v>
      </c>
      <c r="E23" s="1508">
        <v>1</v>
      </c>
      <c r="F23" s="2472">
        <v>1</v>
      </c>
      <c r="G23" s="2113">
        <v>2</v>
      </c>
      <c r="H23" s="2477">
        <v>0</v>
      </c>
      <c r="I23" s="1794">
        <f t="shared" si="5"/>
        <v>600</v>
      </c>
      <c r="J23" s="1687">
        <v>300</v>
      </c>
      <c r="K23" s="2492">
        <f t="shared" si="0"/>
        <v>180000</v>
      </c>
      <c r="L23" s="2109"/>
      <c r="M23" s="100"/>
      <c r="N23" s="2109"/>
      <c r="O23" s="2109"/>
      <c r="P23" s="2486"/>
      <c r="Q23" s="2488"/>
      <c r="R23" s="2493"/>
      <c r="S23" s="2494"/>
      <c r="T23" s="2495"/>
      <c r="U23" s="2494"/>
      <c r="V23" s="2494"/>
      <c r="W23" s="18">
        <f t="shared" si="2"/>
        <v>180000</v>
      </c>
      <c r="X23" s="1791">
        <f t="shared" si="6"/>
        <v>180000</v>
      </c>
      <c r="Y23" s="2496">
        <v>13</v>
      </c>
      <c r="Z23" s="1791">
        <f>+X23</f>
        <v>180000</v>
      </c>
      <c r="AA23" s="2500">
        <v>0.01</v>
      </c>
      <c r="AB23" s="2500"/>
      <c r="AC23" s="2481">
        <f t="shared" si="4"/>
        <v>18</v>
      </c>
      <c r="AD23" s="2481">
        <f t="shared" si="1"/>
        <v>0</v>
      </c>
      <c r="AE23" s="2481">
        <f t="shared" si="1"/>
        <v>0</v>
      </c>
      <c r="AF23" s="2481">
        <f t="shared" si="1"/>
        <v>0</v>
      </c>
      <c r="AG23" s="2481">
        <f t="shared" si="1"/>
        <v>0</v>
      </c>
      <c r="AH23" s="2501" t="s">
        <v>727</v>
      </c>
    </row>
    <row r="24" spans="1:35" x14ac:dyDescent="0.2">
      <c r="A24" s="2113">
        <v>16</v>
      </c>
      <c r="B24" s="2114">
        <v>1829</v>
      </c>
      <c r="C24" s="2114">
        <v>594</v>
      </c>
      <c r="D24" s="40" t="s">
        <v>245</v>
      </c>
      <c r="E24" s="1492">
        <v>1</v>
      </c>
      <c r="F24" s="2114">
        <v>1</v>
      </c>
      <c r="G24" s="2114">
        <v>2</v>
      </c>
      <c r="H24" s="2115">
        <v>92</v>
      </c>
      <c r="I24" s="18">
        <f t="shared" si="5"/>
        <v>692</v>
      </c>
      <c r="J24" s="2473">
        <v>300</v>
      </c>
      <c r="K24" s="39">
        <f t="shared" si="0"/>
        <v>207600</v>
      </c>
      <c r="L24" s="45"/>
      <c r="M24" s="61"/>
      <c r="N24" s="50"/>
      <c r="O24" s="1506"/>
      <c r="P24" s="19"/>
      <c r="Q24" s="62"/>
      <c r="R24" s="1718"/>
      <c r="S24" s="18"/>
      <c r="T24" s="20"/>
      <c r="U24" s="1664"/>
      <c r="V24" s="47"/>
      <c r="W24" s="18">
        <f t="shared" si="2"/>
        <v>207600</v>
      </c>
      <c r="X24" s="1791">
        <f t="shared" si="6"/>
        <v>207600</v>
      </c>
      <c r="Y24" s="2496">
        <v>13</v>
      </c>
      <c r="Z24" s="2502">
        <f>+X24</f>
        <v>207600</v>
      </c>
      <c r="AA24" s="2498">
        <v>0.01</v>
      </c>
      <c r="AB24" s="2498"/>
      <c r="AC24" s="2481">
        <f t="shared" si="4"/>
        <v>20.76</v>
      </c>
      <c r="AD24" s="2481">
        <f t="shared" si="1"/>
        <v>0</v>
      </c>
      <c r="AE24" s="2481">
        <f t="shared" si="1"/>
        <v>0</v>
      </c>
      <c r="AF24" s="2481">
        <f t="shared" si="1"/>
        <v>0</v>
      </c>
      <c r="AG24" s="2481">
        <f t="shared" si="1"/>
        <v>0</v>
      </c>
      <c r="AH24" s="2491"/>
    </row>
    <row r="25" spans="1:35" ht="15" x14ac:dyDescent="0.25">
      <c r="A25" s="2113">
        <v>17</v>
      </c>
      <c r="B25" s="2113">
        <v>1902</v>
      </c>
      <c r="C25" s="2100" t="s">
        <v>728</v>
      </c>
      <c r="D25" s="2114" t="s">
        <v>245</v>
      </c>
      <c r="E25" s="1582">
        <v>1</v>
      </c>
      <c r="F25" s="2472">
        <v>9</v>
      </c>
      <c r="G25" s="2113">
        <v>1</v>
      </c>
      <c r="H25" s="2477">
        <v>20</v>
      </c>
      <c r="I25" s="1794">
        <f>F25*400+G25*100+H25</f>
        <v>3720</v>
      </c>
      <c r="J25" s="1687">
        <v>1300</v>
      </c>
      <c r="K25" s="2492">
        <f>SUM(I25*J25)</f>
        <v>4836000</v>
      </c>
      <c r="L25" s="2109"/>
      <c r="M25" s="100"/>
      <c r="N25" s="2109"/>
      <c r="O25" s="2109"/>
      <c r="P25" s="2486"/>
      <c r="Q25" s="2488"/>
      <c r="R25" s="2493"/>
      <c r="S25" s="2494"/>
      <c r="T25" s="2495"/>
      <c r="U25" s="2494"/>
      <c r="V25" s="2494"/>
      <c r="W25" s="1794">
        <f>+K25</f>
        <v>4836000</v>
      </c>
      <c r="X25" s="1791">
        <f t="shared" si="6"/>
        <v>4836000</v>
      </c>
      <c r="Y25" s="2496">
        <v>14</v>
      </c>
      <c r="Z25" s="1794">
        <f>+X25</f>
        <v>4836000</v>
      </c>
      <c r="AA25" s="2497">
        <v>0.01</v>
      </c>
      <c r="AB25" s="2497"/>
      <c r="AC25" s="2481">
        <f t="shared" si="4"/>
        <v>483.6</v>
      </c>
      <c r="AD25" s="2481">
        <f t="shared" si="4"/>
        <v>0</v>
      </c>
      <c r="AE25" s="2481">
        <f t="shared" si="4"/>
        <v>0</v>
      </c>
      <c r="AF25" s="2481">
        <f t="shared" si="4"/>
        <v>0</v>
      </c>
      <c r="AG25" s="2481">
        <f t="shared" si="4"/>
        <v>0</v>
      </c>
      <c r="AH25" s="2503"/>
    </row>
    <row r="26" spans="1:35" s="2515" customFormat="1" ht="15" x14ac:dyDescent="0.25">
      <c r="A26" s="2541">
        <v>18</v>
      </c>
      <c r="B26" s="2504">
        <v>1430</v>
      </c>
      <c r="C26" s="2504">
        <v>92</v>
      </c>
      <c r="D26" s="2505" t="s">
        <v>245</v>
      </c>
      <c r="E26" s="2506">
        <v>1</v>
      </c>
      <c r="F26" s="2504">
        <v>54</v>
      </c>
      <c r="G26" s="2504">
        <v>3</v>
      </c>
      <c r="H26" s="2507">
        <v>28.7</v>
      </c>
      <c r="I26" s="879">
        <f t="shared" ref="I26" si="7">F26*400+G26*100+H26</f>
        <v>21928.7</v>
      </c>
      <c r="J26" s="2508">
        <v>610</v>
      </c>
      <c r="K26" s="1449">
        <f t="shared" ref="K26" si="8">SUM(I26*J26)</f>
        <v>13376507</v>
      </c>
      <c r="L26" s="1450"/>
      <c r="M26" s="271"/>
      <c r="N26" s="1036"/>
      <c r="O26" s="2509"/>
      <c r="P26" s="1451"/>
      <c r="Q26" s="1452"/>
      <c r="R26" s="2510"/>
      <c r="S26" s="879"/>
      <c r="T26" s="1454"/>
      <c r="U26" s="2511"/>
      <c r="V26" s="1455"/>
      <c r="W26" s="879">
        <f>K26+V26</f>
        <v>13376507</v>
      </c>
      <c r="X26" s="1455">
        <f>W26</f>
        <v>13376507</v>
      </c>
      <c r="Y26" s="2512">
        <v>0</v>
      </c>
      <c r="Z26" s="1455">
        <f t="shared" ref="Z26" si="9">+X26</f>
        <v>13376507</v>
      </c>
      <c r="AA26" s="2513">
        <v>0.01</v>
      </c>
      <c r="AB26" s="2513"/>
      <c r="AC26" s="2481">
        <f t="shared" si="4"/>
        <v>1337.6507000000001</v>
      </c>
      <c r="AD26" s="2481">
        <f t="shared" si="4"/>
        <v>0</v>
      </c>
      <c r="AE26" s="2481">
        <f t="shared" si="4"/>
        <v>0</v>
      </c>
      <c r="AF26" s="2481">
        <f t="shared" si="4"/>
        <v>0</v>
      </c>
      <c r="AG26" s="2481">
        <f t="shared" si="4"/>
        <v>0</v>
      </c>
      <c r="AH26" s="2514"/>
      <c r="AI26" s="2516"/>
    </row>
    <row r="27" spans="1:35" ht="15.75" thickBot="1" x14ac:dyDescent="0.3">
      <c r="A27" s="2113"/>
      <c r="B27" s="2113"/>
      <c r="C27" s="2100"/>
      <c r="D27" s="2114"/>
      <c r="E27" s="1582"/>
      <c r="F27" s="2472"/>
      <c r="G27" s="2113"/>
      <c r="H27" s="2477"/>
      <c r="I27" s="1794"/>
      <c r="J27" s="1687"/>
      <c r="K27" s="2492"/>
      <c r="L27" s="2109"/>
      <c r="M27" s="100"/>
      <c r="N27" s="2109"/>
      <c r="O27" s="2109"/>
      <c r="P27" s="2486"/>
      <c r="Q27" s="2488"/>
      <c r="R27" s="2493"/>
      <c r="S27" s="2494"/>
      <c r="T27" s="2495"/>
      <c r="U27" s="2494"/>
      <c r="V27" s="2494"/>
      <c r="W27" s="1794"/>
      <c r="X27" s="1791"/>
      <c r="Y27" s="2496"/>
      <c r="Z27" s="1794"/>
      <c r="AA27" s="2497"/>
      <c r="AB27" s="2497"/>
      <c r="AC27" s="2482"/>
      <c r="AD27" s="2610"/>
      <c r="AE27" s="2610"/>
      <c r="AF27" s="2610"/>
      <c r="AG27" s="2610"/>
      <c r="AH27" s="2611"/>
    </row>
    <row r="28" spans="1:35" ht="15.75" thickTop="1" thickBot="1" x14ac:dyDescent="0.25">
      <c r="A28" s="34"/>
      <c r="B28" s="34"/>
      <c r="C28" s="34"/>
      <c r="D28" s="34"/>
      <c r="E28" s="34"/>
      <c r="F28" s="34"/>
      <c r="G28" s="34"/>
      <c r="H28" s="35"/>
      <c r="I28" s="36"/>
      <c r="J28" s="37"/>
      <c r="K28" s="2562"/>
      <c r="L28" s="2562"/>
      <c r="M28" s="2562"/>
      <c r="N28" s="2562"/>
      <c r="O28" s="2562"/>
      <c r="P28" s="2562"/>
      <c r="Q28" s="2562"/>
      <c r="R28" s="2563"/>
      <c r="S28" s="2562"/>
      <c r="T28" s="38"/>
      <c r="U28" s="2564"/>
      <c r="V28" s="2562"/>
      <c r="W28" s="2839"/>
      <c r="X28" s="2840"/>
      <c r="Y28" s="2841"/>
      <c r="Z28" s="2612">
        <f>SUM(Z9:Z26)</f>
        <v>24379937</v>
      </c>
      <c r="AA28" s="2613">
        <v>0.01</v>
      </c>
      <c r="AB28" s="2613"/>
      <c r="AC28" s="2614">
        <f>SUM(AC9:AC26)</f>
        <v>2437.9937</v>
      </c>
      <c r="AD28" s="2561"/>
      <c r="AE28" s="2561"/>
      <c r="AF28" s="2561"/>
      <c r="AG28" s="2561"/>
      <c r="AH28" s="2614"/>
    </row>
    <row r="29" spans="1:35" ht="16.5" thickTop="1" x14ac:dyDescent="0.25">
      <c r="A29" s="2854" t="s">
        <v>76</v>
      </c>
      <c r="B29" s="2854"/>
      <c r="C29" s="2843" t="s">
        <v>77</v>
      </c>
      <c r="D29" s="2843"/>
      <c r="E29" s="2843"/>
      <c r="F29" s="2843"/>
      <c r="G29" s="2843"/>
      <c r="H29" s="2843"/>
      <c r="I29" s="2567" t="s">
        <v>78</v>
      </c>
      <c r="J29" s="2567"/>
      <c r="K29" s="2567"/>
      <c r="L29" s="2567"/>
      <c r="M29" s="2567"/>
      <c r="N29" s="2567"/>
      <c r="AC29" s="2476"/>
    </row>
    <row r="30" spans="1:35" ht="15.75" x14ac:dyDescent="0.25">
      <c r="A30" s="2568"/>
      <c r="B30" s="2569"/>
      <c r="C30" s="2567"/>
      <c r="D30" s="2567"/>
      <c r="E30" s="2567"/>
      <c r="F30" s="2567"/>
      <c r="G30" s="2567"/>
      <c r="H30" s="2567"/>
      <c r="I30" s="2567" t="s">
        <v>79</v>
      </c>
      <c r="J30" s="2567"/>
      <c r="K30" s="2567"/>
      <c r="L30" s="2567"/>
      <c r="M30" s="2567"/>
      <c r="N30" s="2567"/>
      <c r="AC30" s="2476"/>
    </row>
    <row r="31" spans="1:35" ht="15.75" x14ac:dyDescent="0.25">
      <c r="A31" s="2568"/>
      <c r="B31" s="2569"/>
      <c r="C31" s="2567"/>
      <c r="D31" s="2567"/>
      <c r="E31" s="2567"/>
      <c r="F31" s="2567"/>
      <c r="G31" s="2567"/>
      <c r="H31" s="2567"/>
      <c r="I31" s="2567" t="s">
        <v>80</v>
      </c>
      <c r="J31" s="2567"/>
      <c r="K31" s="2567"/>
      <c r="L31" s="2567"/>
      <c r="M31" s="2567"/>
      <c r="N31" s="2567"/>
      <c r="AC31" s="2476"/>
    </row>
    <row r="32" spans="1:35" ht="15.75" x14ac:dyDescent="0.25">
      <c r="A32" s="2568"/>
      <c r="B32" s="2569"/>
      <c r="C32" s="2567"/>
      <c r="D32" s="2567"/>
      <c r="E32" s="2567"/>
      <c r="F32" s="2567"/>
      <c r="G32" s="2567"/>
      <c r="H32" s="2567"/>
      <c r="I32" s="2567" t="s">
        <v>81</v>
      </c>
      <c r="J32" s="2567"/>
      <c r="K32" s="2567"/>
      <c r="L32" s="2567"/>
      <c r="M32" s="2567"/>
      <c r="N32" s="2567"/>
      <c r="AC32" s="2476"/>
    </row>
    <row r="33" spans="1:36" ht="15.75" x14ac:dyDescent="0.25">
      <c r="A33" s="2568"/>
      <c r="B33" s="2569"/>
      <c r="C33" s="2567"/>
      <c r="D33" s="2567"/>
      <c r="E33" s="2567"/>
      <c r="F33" s="2567"/>
      <c r="G33" s="2567"/>
      <c r="H33" s="2567"/>
      <c r="I33" s="2567" t="s">
        <v>88</v>
      </c>
      <c r="J33" s="2567"/>
      <c r="K33" s="2567"/>
      <c r="L33" s="2567"/>
      <c r="M33" s="2567"/>
      <c r="N33" s="2567"/>
      <c r="AC33" s="2476"/>
    </row>
    <row r="34" spans="1:36" ht="18.75" x14ac:dyDescent="0.25">
      <c r="A34" s="2568"/>
      <c r="B34" s="2569"/>
      <c r="C34" s="2567"/>
      <c r="D34" s="2567"/>
      <c r="E34" s="2567"/>
      <c r="F34" s="2567"/>
      <c r="G34" s="2567"/>
      <c r="H34" s="2567"/>
      <c r="I34" s="2567"/>
      <c r="J34" s="2567"/>
      <c r="K34" s="2567"/>
      <c r="L34" s="2567"/>
      <c r="M34" s="2567"/>
      <c r="N34" s="2567"/>
      <c r="AA34" s="2776" t="s">
        <v>0</v>
      </c>
      <c r="AB34" s="2776"/>
      <c r="AC34" s="2776"/>
      <c r="AD34" s="2776"/>
      <c r="AJ34" s="2539"/>
    </row>
    <row r="35" spans="1:36" ht="18.75" x14ac:dyDescent="0.2">
      <c r="A35" s="2707" t="s">
        <v>1</v>
      </c>
      <c r="B35" s="2707"/>
      <c r="C35" s="2707"/>
      <c r="D35" s="2707"/>
      <c r="E35" s="2707"/>
      <c r="F35" s="2707"/>
      <c r="G35" s="2707"/>
      <c r="H35" s="2707"/>
      <c r="I35" s="2707"/>
      <c r="J35" s="2707"/>
      <c r="K35" s="2707"/>
      <c r="L35" s="2707"/>
      <c r="M35" s="2707"/>
      <c r="N35" s="2707"/>
      <c r="O35" s="2707"/>
      <c r="P35" s="2707"/>
      <c r="Q35" s="2707"/>
      <c r="R35" s="2707"/>
      <c r="S35" s="2707"/>
      <c r="T35" s="2707"/>
      <c r="U35" s="2707"/>
      <c r="V35" s="2707"/>
      <c r="W35" s="2707"/>
      <c r="X35" s="2707"/>
      <c r="Y35" s="2707"/>
      <c r="Z35" s="2707"/>
      <c r="AA35" s="2707"/>
      <c r="AB35" s="2707"/>
      <c r="AC35" s="2707"/>
      <c r="AJ35" s="2539"/>
    </row>
    <row r="36" spans="1:36" ht="18" x14ac:dyDescent="0.2">
      <c r="A36" s="2846" t="s">
        <v>984</v>
      </c>
      <c r="B36" s="2846"/>
      <c r="C36" s="2846"/>
      <c r="D36" s="2846"/>
      <c r="E36" s="2846"/>
      <c r="F36" s="2846"/>
      <c r="G36" s="2846"/>
      <c r="H36" s="2846"/>
      <c r="I36" s="2846"/>
      <c r="J36" s="2846"/>
      <c r="K36" s="2846"/>
      <c r="L36" s="2846"/>
      <c r="M36" s="2846"/>
      <c r="N36" s="2846"/>
      <c r="O36" s="2846"/>
      <c r="P36" s="2846"/>
      <c r="Q36" s="2846"/>
      <c r="R36" s="2846"/>
      <c r="S36" s="2846"/>
      <c r="T36" s="2846"/>
      <c r="U36" s="2846"/>
      <c r="V36" s="2846"/>
      <c r="W36" s="2846"/>
      <c r="X36" s="2846"/>
      <c r="Y36" s="2846"/>
      <c r="Z36" s="2846"/>
      <c r="AA36" s="2846"/>
      <c r="AB36" s="2846"/>
      <c r="AC36" s="2846"/>
      <c r="AD36" s="2192"/>
      <c r="AE36" s="2192"/>
      <c r="AF36" s="2192"/>
      <c r="AG36" s="2192"/>
      <c r="AH36" s="2615"/>
    </row>
    <row r="37" spans="1:36" ht="15" x14ac:dyDescent="0.25">
      <c r="A37" s="2709" t="s">
        <v>2</v>
      </c>
      <c r="B37" s="2572"/>
      <c r="C37" s="2709" t="s">
        <v>3</v>
      </c>
      <c r="D37" s="2572"/>
      <c r="E37" s="2572"/>
      <c r="F37" s="2852" t="s">
        <v>4</v>
      </c>
      <c r="G37" s="2712"/>
      <c r="H37" s="2712"/>
      <c r="I37" s="2712"/>
      <c r="J37" s="2712"/>
      <c r="K37" s="2853"/>
      <c r="L37" s="2"/>
      <c r="M37" s="2716" t="s">
        <v>5</v>
      </c>
      <c r="N37" s="2716"/>
      <c r="O37" s="2716"/>
      <c r="P37" s="2716"/>
      <c r="Q37" s="2716"/>
      <c r="R37" s="2716"/>
      <c r="S37" s="2716"/>
      <c r="T37" s="2716"/>
      <c r="U37" s="2716"/>
      <c r="V37" s="2717"/>
      <c r="W37" s="2573" t="s">
        <v>6</v>
      </c>
      <c r="X37" s="2574" t="s">
        <v>7</v>
      </c>
      <c r="Y37" s="2575"/>
      <c r="Z37" s="2575"/>
      <c r="AA37" s="2574"/>
      <c r="AB37" s="2574"/>
      <c r="AC37" s="2576"/>
      <c r="AD37" s="2221" t="s">
        <v>8</v>
      </c>
      <c r="AE37" s="3"/>
      <c r="AF37" s="3"/>
      <c r="AG37" s="2616"/>
      <c r="AH37" s="2845" t="s">
        <v>76</v>
      </c>
    </row>
    <row r="38" spans="1:36" x14ac:dyDescent="0.2">
      <c r="A38" s="2710"/>
      <c r="B38" s="4"/>
      <c r="C38" s="2710"/>
      <c r="D38" s="2577" t="s">
        <v>9</v>
      </c>
      <c r="E38" s="2578" t="s">
        <v>10</v>
      </c>
      <c r="F38" s="2718" t="s">
        <v>11</v>
      </c>
      <c r="G38" s="2713"/>
      <c r="H38" s="2714"/>
      <c r="I38" s="2572"/>
      <c r="J38" s="2579" t="s">
        <v>12</v>
      </c>
      <c r="K38" s="2572"/>
      <c r="L38" s="2849" t="s">
        <v>2</v>
      </c>
      <c r="M38" s="2580"/>
      <c r="N38" s="2580"/>
      <c r="O38" s="2580"/>
      <c r="P38" s="2581"/>
      <c r="Q38" s="2582" t="s">
        <v>13</v>
      </c>
      <c r="R38" s="2583" t="s">
        <v>12</v>
      </c>
      <c r="S38" s="2580" t="s">
        <v>6</v>
      </c>
      <c r="T38" s="2724" t="s">
        <v>14</v>
      </c>
      <c r="U38" s="2725"/>
      <c r="V38" s="2584" t="s">
        <v>7</v>
      </c>
      <c r="W38" s="2585" t="s">
        <v>15</v>
      </c>
      <c r="X38" s="2586" t="s">
        <v>16</v>
      </c>
      <c r="Y38" s="2586" t="s">
        <v>17</v>
      </c>
      <c r="Z38" s="2586" t="s">
        <v>18</v>
      </c>
      <c r="AA38" s="5"/>
      <c r="AB38" s="5"/>
      <c r="AC38" s="55" t="s">
        <v>19</v>
      </c>
      <c r="AD38" s="2223" t="s">
        <v>20</v>
      </c>
      <c r="AE38" s="2617"/>
      <c r="AF38" s="6" t="s">
        <v>21</v>
      </c>
      <c r="AG38" s="7" t="s">
        <v>22</v>
      </c>
      <c r="AH38" s="2845"/>
    </row>
    <row r="39" spans="1:36" x14ac:dyDescent="0.2">
      <c r="A39" s="2710"/>
      <c r="B39" s="2454" t="s">
        <v>23</v>
      </c>
      <c r="C39" s="2710"/>
      <c r="D39" s="2577" t="s">
        <v>24</v>
      </c>
      <c r="E39" s="2578" t="s">
        <v>25</v>
      </c>
      <c r="F39" s="2719"/>
      <c r="G39" s="2720"/>
      <c r="H39" s="2721"/>
      <c r="I39" s="2577" t="s">
        <v>26</v>
      </c>
      <c r="J39" s="2587" t="s">
        <v>15</v>
      </c>
      <c r="K39" s="2588" t="s">
        <v>6</v>
      </c>
      <c r="L39" s="2850"/>
      <c r="M39" s="2589" t="s">
        <v>27</v>
      </c>
      <c r="N39" s="2589" t="s">
        <v>10</v>
      </c>
      <c r="O39" s="2590" t="s">
        <v>10</v>
      </c>
      <c r="P39" s="2591" t="s">
        <v>28</v>
      </c>
      <c r="Q39" s="2592" t="s">
        <v>29</v>
      </c>
      <c r="R39" s="2591" t="s">
        <v>15</v>
      </c>
      <c r="S39" s="8" t="s">
        <v>15</v>
      </c>
      <c r="T39" s="2726"/>
      <c r="U39" s="2727"/>
      <c r="V39" s="2584" t="s">
        <v>30</v>
      </c>
      <c r="W39" s="2585" t="s">
        <v>31</v>
      </c>
      <c r="X39" s="2586" t="s">
        <v>30</v>
      </c>
      <c r="Y39" s="2586" t="s">
        <v>32</v>
      </c>
      <c r="Z39" s="2586" t="s">
        <v>7</v>
      </c>
      <c r="AA39" s="5" t="s">
        <v>33</v>
      </c>
      <c r="AB39" s="5"/>
      <c r="AC39" s="55" t="s">
        <v>34</v>
      </c>
      <c r="AD39" s="2223" t="s">
        <v>35</v>
      </c>
      <c r="AE39" s="6" t="s">
        <v>36</v>
      </c>
      <c r="AF39" s="6" t="s">
        <v>37</v>
      </c>
      <c r="AG39" s="7" t="s">
        <v>38</v>
      </c>
      <c r="AH39" s="2845"/>
    </row>
    <row r="40" spans="1:36" x14ac:dyDescent="0.2">
      <c r="A40" s="2710"/>
      <c r="B40" s="2454" t="s">
        <v>39</v>
      </c>
      <c r="C40" s="2710"/>
      <c r="D40" s="2577" t="s">
        <v>40</v>
      </c>
      <c r="E40" s="2578" t="s">
        <v>41</v>
      </c>
      <c r="F40" s="2709" t="s">
        <v>42</v>
      </c>
      <c r="G40" s="2709" t="s">
        <v>43</v>
      </c>
      <c r="H40" s="2728" t="s">
        <v>44</v>
      </c>
      <c r="I40" s="2577" t="s">
        <v>45</v>
      </c>
      <c r="J40" s="2587" t="s">
        <v>46</v>
      </c>
      <c r="K40" s="2588" t="s">
        <v>47</v>
      </c>
      <c r="L40" s="2850"/>
      <c r="M40" s="2589" t="s">
        <v>30</v>
      </c>
      <c r="N40" s="2589" t="s">
        <v>30</v>
      </c>
      <c r="O40" s="2590" t="s">
        <v>25</v>
      </c>
      <c r="P40" s="2591" t="s">
        <v>30</v>
      </c>
      <c r="Q40" s="2592" t="s">
        <v>48</v>
      </c>
      <c r="R40" s="2591" t="s">
        <v>49</v>
      </c>
      <c r="S40" s="8" t="s">
        <v>30</v>
      </c>
      <c r="T40" s="2593" t="s">
        <v>50</v>
      </c>
      <c r="U40" s="2594" t="s">
        <v>13</v>
      </c>
      <c r="V40" s="2584" t="s">
        <v>51</v>
      </c>
      <c r="W40" s="2585" t="s">
        <v>52</v>
      </c>
      <c r="X40" s="2586" t="s">
        <v>53</v>
      </c>
      <c r="Y40" s="2586" t="s">
        <v>54</v>
      </c>
      <c r="Z40" s="2586" t="s">
        <v>55</v>
      </c>
      <c r="AA40" s="5" t="s">
        <v>56</v>
      </c>
      <c r="AB40" s="5"/>
      <c r="AC40" s="55" t="s">
        <v>57</v>
      </c>
      <c r="AD40" s="6" t="s">
        <v>58</v>
      </c>
      <c r="AE40" s="6" t="s">
        <v>59</v>
      </c>
      <c r="AF40" s="6" t="s">
        <v>59</v>
      </c>
      <c r="AG40" s="7" t="s">
        <v>60</v>
      </c>
      <c r="AH40" s="2845"/>
    </row>
    <row r="41" spans="1:36" ht="15" x14ac:dyDescent="0.25">
      <c r="A41" s="2710"/>
      <c r="B41" s="2454" t="s">
        <v>61</v>
      </c>
      <c r="C41" s="2710"/>
      <c r="D41" s="2577" t="s">
        <v>62</v>
      </c>
      <c r="E41" s="2578" t="s">
        <v>63</v>
      </c>
      <c r="F41" s="2710"/>
      <c r="G41" s="2710"/>
      <c r="H41" s="2729"/>
      <c r="I41" s="2577" t="s">
        <v>64</v>
      </c>
      <c r="J41" s="2587" t="s">
        <v>59</v>
      </c>
      <c r="K41" s="2588" t="s">
        <v>59</v>
      </c>
      <c r="L41" s="2850"/>
      <c r="M41" s="2589"/>
      <c r="N41" s="2589"/>
      <c r="O41" s="2590" t="s">
        <v>41</v>
      </c>
      <c r="P41" s="2591" t="s">
        <v>65</v>
      </c>
      <c r="Q41" s="2592" t="s">
        <v>66</v>
      </c>
      <c r="R41" s="2591" t="s">
        <v>67</v>
      </c>
      <c r="S41" s="8" t="s">
        <v>59</v>
      </c>
      <c r="T41" s="2595" t="s">
        <v>68</v>
      </c>
      <c r="U41" s="2584" t="s">
        <v>14</v>
      </c>
      <c r="V41" s="2584" t="s">
        <v>14</v>
      </c>
      <c r="W41" s="2585" t="s">
        <v>30</v>
      </c>
      <c r="X41" s="2596" t="s">
        <v>69</v>
      </c>
      <c r="Y41" s="2596" t="s">
        <v>70</v>
      </c>
      <c r="Z41" s="2586" t="s">
        <v>71</v>
      </c>
      <c r="AA41" s="5" t="s">
        <v>72</v>
      </c>
      <c r="AB41" s="5"/>
      <c r="AC41" s="2597" t="s">
        <v>59</v>
      </c>
      <c r="AD41" s="6" t="s">
        <v>59</v>
      </c>
      <c r="AE41" s="6"/>
      <c r="AF41" s="6"/>
      <c r="AG41" s="7" t="s">
        <v>59</v>
      </c>
      <c r="AH41" s="2845"/>
    </row>
    <row r="42" spans="1:36" x14ac:dyDescent="0.2">
      <c r="A42" s="2711"/>
      <c r="B42" s="9"/>
      <c r="C42" s="2711"/>
      <c r="D42" s="2598"/>
      <c r="E42" s="2599"/>
      <c r="F42" s="9"/>
      <c r="G42" s="9"/>
      <c r="H42" s="10"/>
      <c r="I42" s="2599"/>
      <c r="J42" s="2600"/>
      <c r="K42" s="2601"/>
      <c r="L42" s="2851"/>
      <c r="M42" s="2602"/>
      <c r="N42" s="2602"/>
      <c r="O42" s="2602" t="s">
        <v>63</v>
      </c>
      <c r="P42" s="2603"/>
      <c r="Q42" s="2604" t="s">
        <v>72</v>
      </c>
      <c r="R42" s="2605" t="s">
        <v>59</v>
      </c>
      <c r="S42" s="2606"/>
      <c r="T42" s="2605" t="s">
        <v>73</v>
      </c>
      <c r="U42" s="2606" t="s">
        <v>59</v>
      </c>
      <c r="V42" s="2607" t="s">
        <v>59</v>
      </c>
      <c r="W42" s="2608" t="s">
        <v>59</v>
      </c>
      <c r="X42" s="2609" t="s">
        <v>59</v>
      </c>
      <c r="Y42" s="2609" t="s">
        <v>59</v>
      </c>
      <c r="Z42" s="2609" t="s">
        <v>59</v>
      </c>
      <c r="AA42" s="11"/>
      <c r="AB42" s="11"/>
      <c r="AC42" s="56"/>
      <c r="AD42" s="12"/>
      <c r="AE42" s="12"/>
      <c r="AF42" s="12"/>
      <c r="AG42" s="13"/>
      <c r="AH42" s="2845"/>
    </row>
    <row r="43" spans="1:36" ht="15" x14ac:dyDescent="0.25">
      <c r="A43" s="2113">
        <v>19</v>
      </c>
      <c r="B43" s="2113">
        <v>1874</v>
      </c>
      <c r="C43" s="2100" t="s">
        <v>729</v>
      </c>
      <c r="D43" s="2107" t="s">
        <v>245</v>
      </c>
      <c r="E43" s="1582">
        <v>1</v>
      </c>
      <c r="F43" s="2122">
        <v>0</v>
      </c>
      <c r="G43" s="2119">
        <v>1</v>
      </c>
      <c r="H43" s="2477">
        <v>60</v>
      </c>
      <c r="I43" s="18">
        <f t="shared" ref="I43:I59" si="10">F43*400+G43*100+H43</f>
        <v>160</v>
      </c>
      <c r="J43" s="2473">
        <v>2750</v>
      </c>
      <c r="K43" s="39">
        <f t="shared" ref="K43:K59" si="11">SUM(I43*J43)</f>
        <v>440000</v>
      </c>
      <c r="L43" s="2119"/>
      <c r="M43" s="52"/>
      <c r="N43" s="2119"/>
      <c r="O43" s="2119"/>
      <c r="P43" s="2123"/>
      <c r="Q43" s="2120"/>
      <c r="R43" s="2478"/>
      <c r="S43" s="2479"/>
      <c r="T43" s="2480"/>
      <c r="U43" s="1664"/>
      <c r="V43" s="47"/>
      <c r="W43" s="18">
        <f t="shared" ref="W43:W59" si="12">+K43</f>
        <v>440000</v>
      </c>
      <c r="X43" s="47">
        <f>W43</f>
        <v>440000</v>
      </c>
      <c r="Y43" s="2474">
        <v>0</v>
      </c>
      <c r="Z43" s="18">
        <f t="shared" ref="Z43:Z59" si="13">+X43</f>
        <v>440000</v>
      </c>
      <c r="AA43" s="1678">
        <v>0.01</v>
      </c>
      <c r="AB43" s="1678"/>
      <c r="AC43" s="2482">
        <f>Z43*AA43/100</f>
        <v>44</v>
      </c>
      <c r="AD43" s="2482">
        <f t="shared" ref="AD43:AG53" si="14">+AA43*AB43/100</f>
        <v>0</v>
      </c>
      <c r="AE43" s="2482">
        <f t="shared" si="14"/>
        <v>0</v>
      </c>
      <c r="AF43" s="2482">
        <f t="shared" si="14"/>
        <v>0</v>
      </c>
      <c r="AG43" s="2482">
        <f t="shared" si="14"/>
        <v>0</v>
      </c>
      <c r="AH43" s="2482"/>
    </row>
    <row r="44" spans="1:36" ht="15" x14ac:dyDescent="0.25">
      <c r="A44" s="2113">
        <v>20</v>
      </c>
      <c r="B44" s="1786">
        <v>1880</v>
      </c>
      <c r="C44" s="2100" t="s">
        <v>730</v>
      </c>
      <c r="D44" s="2114" t="s">
        <v>245</v>
      </c>
      <c r="E44" s="1582">
        <v>1</v>
      </c>
      <c r="F44" s="2122">
        <v>0</v>
      </c>
      <c r="G44" s="2119">
        <v>0</v>
      </c>
      <c r="H44" s="2477">
        <v>10</v>
      </c>
      <c r="I44" s="18">
        <f t="shared" si="10"/>
        <v>10</v>
      </c>
      <c r="J44" s="2473">
        <v>20000</v>
      </c>
      <c r="K44" s="39">
        <f t="shared" si="11"/>
        <v>200000</v>
      </c>
      <c r="L44" s="2119"/>
      <c r="M44" s="52"/>
      <c r="N44" s="2119"/>
      <c r="O44" s="2119"/>
      <c r="P44" s="2123"/>
      <c r="Q44" s="2120"/>
      <c r="R44" s="2478"/>
      <c r="S44" s="2479"/>
      <c r="T44" s="2480"/>
      <c r="U44" s="1664"/>
      <c r="V44" s="47"/>
      <c r="W44" s="18">
        <f t="shared" si="12"/>
        <v>200000</v>
      </c>
      <c r="X44" s="47">
        <f t="shared" ref="X44:X59" si="15">+W44</f>
        <v>200000</v>
      </c>
      <c r="Y44" s="2474">
        <v>0</v>
      </c>
      <c r="Z44" s="18">
        <f t="shared" si="13"/>
        <v>200000</v>
      </c>
      <c r="AA44" s="1678">
        <v>0.01</v>
      </c>
      <c r="AB44" s="1678"/>
      <c r="AC44" s="2482">
        <f t="shared" ref="AC44:AC59" si="16">Z44*AA44/100</f>
        <v>20</v>
      </c>
      <c r="AD44" s="2482">
        <f t="shared" si="14"/>
        <v>0</v>
      </c>
      <c r="AE44" s="2482">
        <f t="shared" si="14"/>
        <v>0</v>
      </c>
      <c r="AF44" s="2482">
        <f t="shared" si="14"/>
        <v>0</v>
      </c>
      <c r="AG44" s="2482">
        <f t="shared" si="14"/>
        <v>0</v>
      </c>
      <c r="AH44" s="2482"/>
    </row>
    <row r="45" spans="1:36" ht="15" x14ac:dyDescent="0.25">
      <c r="A45" s="2113">
        <v>21</v>
      </c>
      <c r="B45" s="1814">
        <v>1882</v>
      </c>
      <c r="C45" s="2488" t="s">
        <v>731</v>
      </c>
      <c r="D45" s="2107" t="s">
        <v>245</v>
      </c>
      <c r="E45" s="1582">
        <v>1</v>
      </c>
      <c r="F45" s="2517">
        <v>0</v>
      </c>
      <c r="G45" s="2518">
        <v>1</v>
      </c>
      <c r="H45" s="2519">
        <v>30.8</v>
      </c>
      <c r="I45" s="18">
        <f t="shared" si="10"/>
        <v>130.80000000000001</v>
      </c>
      <c r="J45" s="2473">
        <v>20000</v>
      </c>
      <c r="K45" s="39">
        <f t="shared" si="11"/>
        <v>2616000</v>
      </c>
      <c r="L45" s="61"/>
      <c r="M45" s="105"/>
      <c r="N45" s="1311"/>
      <c r="O45" s="1506"/>
      <c r="P45" s="105"/>
      <c r="Q45" s="2487"/>
      <c r="R45" s="2228"/>
      <c r="S45" s="2229"/>
      <c r="T45" s="1311"/>
      <c r="U45" s="127"/>
      <c r="V45" s="77"/>
      <c r="W45" s="18">
        <f t="shared" si="12"/>
        <v>2616000</v>
      </c>
      <c r="X45" s="47">
        <f t="shared" si="15"/>
        <v>2616000</v>
      </c>
      <c r="Y45" s="2474">
        <v>1</v>
      </c>
      <c r="Z45" s="18">
        <f t="shared" si="13"/>
        <v>2616000</v>
      </c>
      <c r="AA45" s="1678">
        <v>0.01</v>
      </c>
      <c r="AB45" s="1678"/>
      <c r="AC45" s="2482">
        <f t="shared" si="16"/>
        <v>261.60000000000002</v>
      </c>
      <c r="AD45" s="2482">
        <f t="shared" si="14"/>
        <v>0</v>
      </c>
      <c r="AE45" s="2482">
        <f t="shared" si="14"/>
        <v>0</v>
      </c>
      <c r="AF45" s="2482">
        <f t="shared" si="14"/>
        <v>0</v>
      </c>
      <c r="AG45" s="2482">
        <f t="shared" si="14"/>
        <v>0</v>
      </c>
      <c r="AH45" s="2482"/>
    </row>
    <row r="46" spans="1:36" ht="15" x14ac:dyDescent="0.25">
      <c r="A46" s="2113">
        <v>22</v>
      </c>
      <c r="B46" s="2113">
        <v>1876</v>
      </c>
      <c r="C46" s="2100" t="s">
        <v>732</v>
      </c>
      <c r="D46" s="2114" t="s">
        <v>717</v>
      </c>
      <c r="E46" s="1582">
        <v>1</v>
      </c>
      <c r="F46" s="2485">
        <v>0</v>
      </c>
      <c r="G46" s="2109">
        <v>1</v>
      </c>
      <c r="H46" s="2486">
        <v>80</v>
      </c>
      <c r="I46" s="18">
        <f t="shared" si="10"/>
        <v>180</v>
      </c>
      <c r="J46" s="2473">
        <v>10000</v>
      </c>
      <c r="K46" s="39">
        <f t="shared" si="11"/>
        <v>1800000</v>
      </c>
      <c r="L46" s="2109"/>
      <c r="M46" s="100"/>
      <c r="N46" s="2109"/>
      <c r="O46" s="2109"/>
      <c r="P46" s="2486"/>
      <c r="Q46" s="2488"/>
      <c r="R46" s="2101"/>
      <c r="S46" s="2102"/>
      <c r="T46" s="2489"/>
      <c r="U46" s="2102"/>
      <c r="V46" s="2102"/>
      <c r="W46" s="18">
        <f t="shared" si="12"/>
        <v>1800000</v>
      </c>
      <c r="X46" s="47">
        <f t="shared" si="15"/>
        <v>1800000</v>
      </c>
      <c r="Y46" s="2474">
        <v>4</v>
      </c>
      <c r="Z46" s="18">
        <f t="shared" si="13"/>
        <v>1800000</v>
      </c>
      <c r="AA46" s="1678">
        <v>0.01</v>
      </c>
      <c r="AB46" s="2490"/>
      <c r="AC46" s="2482">
        <f t="shared" si="16"/>
        <v>180</v>
      </c>
      <c r="AD46" s="2491">
        <f t="shared" si="14"/>
        <v>0</v>
      </c>
      <c r="AE46" s="2491">
        <f t="shared" si="14"/>
        <v>0</v>
      </c>
      <c r="AF46" s="2491">
        <f t="shared" si="14"/>
        <v>0</v>
      </c>
      <c r="AG46" s="2491">
        <f t="shared" si="14"/>
        <v>0</v>
      </c>
      <c r="AH46" s="2482"/>
    </row>
    <row r="47" spans="1:36" ht="15" x14ac:dyDescent="0.25">
      <c r="A47" s="2113">
        <v>23</v>
      </c>
      <c r="B47" s="2113">
        <v>1877</v>
      </c>
      <c r="C47" s="2100" t="s">
        <v>733</v>
      </c>
      <c r="D47" s="2114" t="s">
        <v>245</v>
      </c>
      <c r="E47" s="1582">
        <v>1</v>
      </c>
      <c r="F47" s="2472">
        <v>0</v>
      </c>
      <c r="G47" s="2113">
        <v>2</v>
      </c>
      <c r="H47" s="2477">
        <v>29.2</v>
      </c>
      <c r="I47" s="1794">
        <f t="shared" si="10"/>
        <v>229.2</v>
      </c>
      <c r="J47" s="1687">
        <v>20000</v>
      </c>
      <c r="K47" s="2492">
        <f t="shared" si="11"/>
        <v>4584000</v>
      </c>
      <c r="L47" s="2109"/>
      <c r="M47" s="100"/>
      <c r="N47" s="2109"/>
      <c r="O47" s="2109"/>
      <c r="P47" s="2486"/>
      <c r="Q47" s="2488"/>
      <c r="R47" s="2493"/>
      <c r="S47" s="2494"/>
      <c r="T47" s="2495"/>
      <c r="U47" s="2494"/>
      <c r="V47" s="2494"/>
      <c r="W47" s="1794">
        <f t="shared" si="12"/>
        <v>4584000</v>
      </c>
      <c r="X47" s="1791">
        <f t="shared" si="15"/>
        <v>4584000</v>
      </c>
      <c r="Y47" s="2496">
        <v>8</v>
      </c>
      <c r="Z47" s="1794">
        <f t="shared" si="13"/>
        <v>4584000</v>
      </c>
      <c r="AA47" s="2497">
        <v>0.01</v>
      </c>
      <c r="AB47" s="2498"/>
      <c r="AC47" s="2482">
        <f t="shared" si="16"/>
        <v>458.4</v>
      </c>
      <c r="AD47" s="2491">
        <f t="shared" si="14"/>
        <v>0</v>
      </c>
      <c r="AE47" s="2491">
        <f t="shared" si="14"/>
        <v>0</v>
      </c>
      <c r="AF47" s="2491">
        <f t="shared" si="14"/>
        <v>0</v>
      </c>
      <c r="AG47" s="2491">
        <f t="shared" si="14"/>
        <v>0</v>
      </c>
      <c r="AH47" s="2482"/>
    </row>
    <row r="48" spans="1:36" ht="15" x14ac:dyDescent="0.25">
      <c r="A48" s="2113">
        <v>24</v>
      </c>
      <c r="B48" s="2113">
        <v>1869</v>
      </c>
      <c r="C48" s="2100" t="s">
        <v>734</v>
      </c>
      <c r="D48" s="2114" t="s">
        <v>245</v>
      </c>
      <c r="E48" s="1582">
        <v>1</v>
      </c>
      <c r="F48" s="2472">
        <v>25</v>
      </c>
      <c r="G48" s="2113">
        <v>0</v>
      </c>
      <c r="H48" s="2477">
        <v>32</v>
      </c>
      <c r="I48" s="1794">
        <f t="shared" si="10"/>
        <v>10032</v>
      </c>
      <c r="J48" s="1687">
        <v>300</v>
      </c>
      <c r="K48" s="2492">
        <f t="shared" si="11"/>
        <v>3009600</v>
      </c>
      <c r="L48" s="2109"/>
      <c r="M48" s="100"/>
      <c r="N48" s="2109"/>
      <c r="O48" s="2109"/>
      <c r="P48" s="2486"/>
      <c r="Q48" s="2488"/>
      <c r="R48" s="2493"/>
      <c r="S48" s="2494"/>
      <c r="T48" s="2495"/>
      <c r="U48" s="2494"/>
      <c r="V48" s="2494"/>
      <c r="W48" s="1794">
        <f t="shared" si="12"/>
        <v>3009600</v>
      </c>
      <c r="X48" s="1791">
        <f t="shared" si="15"/>
        <v>3009600</v>
      </c>
      <c r="Y48" s="2496">
        <v>7</v>
      </c>
      <c r="Z48" s="1794">
        <f t="shared" si="13"/>
        <v>3009600</v>
      </c>
      <c r="AA48" s="2497">
        <v>0.01</v>
      </c>
      <c r="AB48" s="2498"/>
      <c r="AC48" s="2482">
        <f t="shared" si="16"/>
        <v>300.95999999999998</v>
      </c>
      <c r="AD48" s="2491">
        <f t="shared" si="14"/>
        <v>0</v>
      </c>
      <c r="AE48" s="2491">
        <f t="shared" si="14"/>
        <v>0</v>
      </c>
      <c r="AF48" s="2491">
        <f t="shared" si="14"/>
        <v>0</v>
      </c>
      <c r="AG48" s="2491">
        <f t="shared" si="14"/>
        <v>0</v>
      </c>
      <c r="AH48" s="2482"/>
    </row>
    <row r="49" spans="1:35" ht="15" x14ac:dyDescent="0.25">
      <c r="A49" s="2113">
        <v>25</v>
      </c>
      <c r="B49" s="2113">
        <v>1837</v>
      </c>
      <c r="C49" s="2100" t="s">
        <v>735</v>
      </c>
      <c r="D49" s="2114" t="s">
        <v>245</v>
      </c>
      <c r="E49" s="1582">
        <v>3</v>
      </c>
      <c r="F49" s="2472">
        <v>0</v>
      </c>
      <c r="G49" s="2113">
        <v>3</v>
      </c>
      <c r="H49" s="2477">
        <v>77</v>
      </c>
      <c r="I49" s="1794">
        <f t="shared" si="10"/>
        <v>377</v>
      </c>
      <c r="J49" s="1687">
        <v>700</v>
      </c>
      <c r="K49" s="2492">
        <f t="shared" si="11"/>
        <v>263900</v>
      </c>
      <c r="L49" s="2109"/>
      <c r="M49" s="100"/>
      <c r="N49" s="2109"/>
      <c r="O49" s="2109"/>
      <c r="P49" s="2486"/>
      <c r="Q49" s="2488"/>
      <c r="R49" s="2493"/>
      <c r="S49" s="2494"/>
      <c r="T49" s="2495"/>
      <c r="U49" s="2494"/>
      <c r="V49" s="2494"/>
      <c r="W49" s="1794">
        <f t="shared" si="12"/>
        <v>263900</v>
      </c>
      <c r="X49" s="1791">
        <f t="shared" si="15"/>
        <v>263900</v>
      </c>
      <c r="Y49" s="2496">
        <v>9</v>
      </c>
      <c r="Z49" s="1794">
        <f t="shared" si="13"/>
        <v>263900</v>
      </c>
      <c r="AA49" s="2497">
        <v>0.3</v>
      </c>
      <c r="AB49" s="2498"/>
      <c r="AC49" s="2482">
        <f t="shared" si="16"/>
        <v>791.7</v>
      </c>
      <c r="AD49" s="2491">
        <f t="shared" si="14"/>
        <v>0</v>
      </c>
      <c r="AE49" s="2491">
        <f t="shared" si="14"/>
        <v>0</v>
      </c>
      <c r="AF49" s="2491">
        <f t="shared" si="14"/>
        <v>0</v>
      </c>
      <c r="AG49" s="2491">
        <f t="shared" si="14"/>
        <v>0</v>
      </c>
      <c r="AH49" s="2482"/>
    </row>
    <row r="50" spans="1:35" ht="15" x14ac:dyDescent="0.25">
      <c r="A50" s="2113">
        <v>26</v>
      </c>
      <c r="B50" s="2113">
        <v>1887</v>
      </c>
      <c r="C50" s="2100" t="s">
        <v>736</v>
      </c>
      <c r="D50" s="2114" t="s">
        <v>245</v>
      </c>
      <c r="E50" s="1582">
        <v>3</v>
      </c>
      <c r="F50" s="2472">
        <v>5</v>
      </c>
      <c r="G50" s="2113">
        <v>0</v>
      </c>
      <c r="H50" s="2477">
        <v>24.3</v>
      </c>
      <c r="I50" s="1794">
        <f t="shared" si="10"/>
        <v>2024.3</v>
      </c>
      <c r="J50" s="1687">
        <v>280</v>
      </c>
      <c r="K50" s="2492">
        <f t="shared" si="11"/>
        <v>566804</v>
      </c>
      <c r="L50" s="2109"/>
      <c r="M50" s="100"/>
      <c r="N50" s="2109"/>
      <c r="O50" s="2109"/>
      <c r="P50" s="2486"/>
      <c r="Q50" s="2488"/>
      <c r="R50" s="2493"/>
      <c r="S50" s="2494"/>
      <c r="T50" s="2495"/>
      <c r="U50" s="2494"/>
      <c r="V50" s="2494"/>
      <c r="W50" s="1794">
        <f t="shared" si="12"/>
        <v>566804</v>
      </c>
      <c r="X50" s="1791">
        <f t="shared" si="15"/>
        <v>566804</v>
      </c>
      <c r="Y50" s="2496">
        <v>10</v>
      </c>
      <c r="Z50" s="1794">
        <f t="shared" si="13"/>
        <v>566804</v>
      </c>
      <c r="AA50" s="2497">
        <v>0.3</v>
      </c>
      <c r="AB50" s="2498"/>
      <c r="AC50" s="2482">
        <f t="shared" si="16"/>
        <v>1700.4119999999998</v>
      </c>
      <c r="AD50" s="2499">
        <f t="shared" si="14"/>
        <v>0</v>
      </c>
      <c r="AE50" s="2499">
        <f t="shared" si="14"/>
        <v>0</v>
      </c>
      <c r="AF50" s="2499">
        <f t="shared" si="14"/>
        <v>0</v>
      </c>
      <c r="AG50" s="2499">
        <f t="shared" si="14"/>
        <v>0</v>
      </c>
      <c r="AH50" s="2482"/>
    </row>
    <row r="51" spans="1:35" s="2533" customFormat="1" ht="15" x14ac:dyDescent="0.25">
      <c r="A51" s="2113">
        <v>27</v>
      </c>
      <c r="B51" s="2520">
        <v>1879</v>
      </c>
      <c r="C51" s="2521" t="s">
        <v>737</v>
      </c>
      <c r="D51" s="2522" t="s">
        <v>245</v>
      </c>
      <c r="E51" s="2523">
        <v>3</v>
      </c>
      <c r="F51" s="2524">
        <v>0</v>
      </c>
      <c r="G51" s="2520">
        <v>1</v>
      </c>
      <c r="H51" s="2525">
        <v>89.5</v>
      </c>
      <c r="I51" s="1794">
        <f t="shared" si="10"/>
        <v>189.5</v>
      </c>
      <c r="J51" s="1687">
        <v>10000</v>
      </c>
      <c r="K51" s="2492">
        <f t="shared" si="11"/>
        <v>1895000</v>
      </c>
      <c r="L51" s="2526"/>
      <c r="M51" s="2527"/>
      <c r="N51" s="2526"/>
      <c r="O51" s="2526"/>
      <c r="P51" s="2528"/>
      <c r="Q51" s="2529"/>
      <c r="R51" s="2493"/>
      <c r="S51" s="2494"/>
      <c r="T51" s="2495"/>
      <c r="U51" s="2494"/>
      <c r="V51" s="2494"/>
      <c r="W51" s="1794">
        <f t="shared" si="12"/>
        <v>1895000</v>
      </c>
      <c r="X51" s="1791">
        <f t="shared" si="15"/>
        <v>1895000</v>
      </c>
      <c r="Y51" s="2496">
        <v>11</v>
      </c>
      <c r="Z51" s="1794">
        <f t="shared" si="13"/>
        <v>1895000</v>
      </c>
      <c r="AA51" s="2497">
        <v>0.3</v>
      </c>
      <c r="AB51" s="2497"/>
      <c r="AC51" s="2530">
        <f t="shared" si="16"/>
        <v>5685</v>
      </c>
      <c r="AD51" s="2531">
        <f t="shared" si="14"/>
        <v>0</v>
      </c>
      <c r="AE51" s="2531">
        <f t="shared" si="14"/>
        <v>0</v>
      </c>
      <c r="AF51" s="2531">
        <f t="shared" si="14"/>
        <v>0</v>
      </c>
      <c r="AG51" s="2531">
        <f t="shared" si="14"/>
        <v>0</v>
      </c>
      <c r="AH51" s="2530"/>
      <c r="AI51" s="2532"/>
    </row>
    <row r="52" spans="1:35" ht="15" x14ac:dyDescent="0.25">
      <c r="A52" s="2113">
        <v>28</v>
      </c>
      <c r="B52" s="2113">
        <v>1892</v>
      </c>
      <c r="C52" s="2100" t="s">
        <v>738</v>
      </c>
      <c r="D52" s="2114" t="s">
        <v>245</v>
      </c>
      <c r="E52" s="1582">
        <v>3</v>
      </c>
      <c r="F52" s="2472">
        <v>0</v>
      </c>
      <c r="G52" s="2113">
        <v>1</v>
      </c>
      <c r="H52" s="2477">
        <v>56</v>
      </c>
      <c r="I52" s="1794">
        <f t="shared" si="10"/>
        <v>156</v>
      </c>
      <c r="J52" s="1687">
        <v>300</v>
      </c>
      <c r="K52" s="2492">
        <f t="shared" si="11"/>
        <v>46800</v>
      </c>
      <c r="L52" s="2109"/>
      <c r="M52" s="100"/>
      <c r="N52" s="2109"/>
      <c r="O52" s="2109"/>
      <c r="P52" s="2486"/>
      <c r="Q52" s="2488"/>
      <c r="R52" s="2493"/>
      <c r="S52" s="2494"/>
      <c r="T52" s="2495"/>
      <c r="U52" s="2494"/>
      <c r="V52" s="2494"/>
      <c r="W52" s="1794">
        <f t="shared" si="12"/>
        <v>46800</v>
      </c>
      <c r="X52" s="1791">
        <f t="shared" si="15"/>
        <v>46800</v>
      </c>
      <c r="Y52" s="2496">
        <v>12</v>
      </c>
      <c r="Z52" s="1794">
        <f t="shared" si="13"/>
        <v>46800</v>
      </c>
      <c r="AA52" s="2497">
        <v>0.3</v>
      </c>
      <c r="AB52" s="2498"/>
      <c r="AC52" s="2482">
        <f t="shared" si="16"/>
        <v>140.4</v>
      </c>
      <c r="AD52" s="2491">
        <f t="shared" si="14"/>
        <v>0</v>
      </c>
      <c r="AE52" s="2491">
        <f t="shared" si="14"/>
        <v>0</v>
      </c>
      <c r="AF52" s="2491">
        <f t="shared" si="14"/>
        <v>0</v>
      </c>
      <c r="AG52" s="2491">
        <f t="shared" si="14"/>
        <v>0</v>
      </c>
      <c r="AH52" s="2482"/>
    </row>
    <row r="53" spans="1:35" ht="15" x14ac:dyDescent="0.25">
      <c r="A53" s="2113">
        <v>29</v>
      </c>
      <c r="B53" s="2113">
        <v>22758</v>
      </c>
      <c r="C53" s="2100" t="s">
        <v>739</v>
      </c>
      <c r="D53" s="2114" t="s">
        <v>245</v>
      </c>
      <c r="E53" s="1582">
        <v>3</v>
      </c>
      <c r="F53" s="2472">
        <v>3</v>
      </c>
      <c r="G53" s="2113">
        <v>0</v>
      </c>
      <c r="H53" s="2477">
        <v>13.5</v>
      </c>
      <c r="I53" s="1794">
        <f t="shared" si="10"/>
        <v>1213.5</v>
      </c>
      <c r="J53" s="1687">
        <v>300</v>
      </c>
      <c r="K53" s="2492">
        <f t="shared" si="11"/>
        <v>364050</v>
      </c>
      <c r="L53" s="2109"/>
      <c r="M53" s="100"/>
      <c r="N53" s="2109"/>
      <c r="O53" s="2109"/>
      <c r="P53" s="2486"/>
      <c r="Q53" s="2488"/>
      <c r="R53" s="2493"/>
      <c r="S53" s="2494"/>
      <c r="T53" s="2495"/>
      <c r="U53" s="2494"/>
      <c r="V53" s="2494"/>
      <c r="W53" s="1794">
        <f t="shared" si="12"/>
        <v>364050</v>
      </c>
      <c r="X53" s="1791">
        <f t="shared" si="15"/>
        <v>364050</v>
      </c>
      <c r="Y53" s="2496">
        <v>13</v>
      </c>
      <c r="Z53" s="1794">
        <f t="shared" si="13"/>
        <v>364050</v>
      </c>
      <c r="AA53" s="2497">
        <v>0.3</v>
      </c>
      <c r="AB53" s="2497"/>
      <c r="AC53" s="2482">
        <f t="shared" si="16"/>
        <v>1092.1500000000001</v>
      </c>
      <c r="AD53" s="2481">
        <f t="shared" si="14"/>
        <v>0</v>
      </c>
      <c r="AE53" s="2481">
        <f t="shared" si="14"/>
        <v>0</v>
      </c>
      <c r="AF53" s="2481">
        <f t="shared" si="14"/>
        <v>0</v>
      </c>
      <c r="AG53" s="2481">
        <f t="shared" si="14"/>
        <v>0</v>
      </c>
      <c r="AH53" s="2482"/>
    </row>
    <row r="54" spans="1:35" ht="15" x14ac:dyDescent="0.25">
      <c r="A54" s="2113">
        <v>30</v>
      </c>
      <c r="B54" s="2113">
        <v>67773</v>
      </c>
      <c r="C54" s="2100" t="s">
        <v>740</v>
      </c>
      <c r="D54" s="2114" t="s">
        <v>245</v>
      </c>
      <c r="E54" s="1582">
        <v>3</v>
      </c>
      <c r="F54" s="2472">
        <v>0</v>
      </c>
      <c r="G54" s="2113">
        <v>0</v>
      </c>
      <c r="H54" s="2477">
        <v>93.4</v>
      </c>
      <c r="I54" s="1794">
        <f t="shared" si="10"/>
        <v>93.4</v>
      </c>
      <c r="J54" s="1687">
        <v>20000</v>
      </c>
      <c r="K54" s="2492">
        <f t="shared" si="11"/>
        <v>1868000</v>
      </c>
      <c r="L54" s="2119"/>
      <c r="M54" s="52"/>
      <c r="N54" s="2119"/>
      <c r="O54" s="2119"/>
      <c r="P54" s="2123"/>
      <c r="Q54" s="2120"/>
      <c r="R54" s="2478"/>
      <c r="S54" s="2479"/>
      <c r="T54" s="2480"/>
      <c r="U54" s="1664"/>
      <c r="V54" s="47"/>
      <c r="W54" s="1794">
        <f t="shared" si="12"/>
        <v>1868000</v>
      </c>
      <c r="X54" s="1791">
        <f t="shared" si="15"/>
        <v>1868000</v>
      </c>
      <c r="Y54" s="2474"/>
      <c r="Z54" s="1794">
        <f t="shared" si="13"/>
        <v>1868000</v>
      </c>
      <c r="AA54" s="2497">
        <v>0.3</v>
      </c>
      <c r="AB54" s="2498"/>
      <c r="AC54" s="2482">
        <f t="shared" si="16"/>
        <v>5604</v>
      </c>
      <c r="AD54" s="2481" t="e">
        <f>+#REF!*#REF!/100</f>
        <v>#REF!</v>
      </c>
      <c r="AE54" s="2481" t="e">
        <f>+#REF!*#REF!/100</f>
        <v>#REF!</v>
      </c>
      <c r="AF54" s="2481" t="e">
        <f>+#REF!*AD54/100</f>
        <v>#REF!</v>
      </c>
      <c r="AG54" s="2481" t="e">
        <f>+AD54*AE54/100</f>
        <v>#REF!</v>
      </c>
      <c r="AH54" s="2482"/>
    </row>
    <row r="55" spans="1:35" ht="15" x14ac:dyDescent="0.25">
      <c r="A55" s="2113">
        <v>31</v>
      </c>
      <c r="B55" s="2113">
        <v>67774</v>
      </c>
      <c r="C55" s="2484" t="s">
        <v>741</v>
      </c>
      <c r="D55" s="2114" t="s">
        <v>245</v>
      </c>
      <c r="E55" s="1715">
        <v>3</v>
      </c>
      <c r="F55" s="2485">
        <v>0</v>
      </c>
      <c r="G55" s="2109">
        <v>1</v>
      </c>
      <c r="H55" s="2486">
        <v>2.5</v>
      </c>
      <c r="I55" s="1794">
        <f t="shared" si="10"/>
        <v>102.5</v>
      </c>
      <c r="J55" s="1687">
        <v>20000</v>
      </c>
      <c r="K55" s="2492">
        <f t="shared" si="11"/>
        <v>2050000</v>
      </c>
      <c r="L55" s="61"/>
      <c r="M55" s="105"/>
      <c r="N55" s="1311"/>
      <c r="O55" s="1506"/>
      <c r="P55" s="105"/>
      <c r="Q55" s="2487"/>
      <c r="R55" s="2228"/>
      <c r="S55" s="2229"/>
      <c r="T55" s="1311"/>
      <c r="U55" s="127"/>
      <c r="V55" s="77"/>
      <c r="W55" s="1794">
        <f t="shared" si="12"/>
        <v>2050000</v>
      </c>
      <c r="X55" s="1791">
        <f t="shared" si="15"/>
        <v>2050000</v>
      </c>
      <c r="Y55" s="2474"/>
      <c r="Z55" s="1794">
        <f t="shared" si="13"/>
        <v>2050000</v>
      </c>
      <c r="AA55" s="2497">
        <v>0.3</v>
      </c>
      <c r="AB55" s="2498"/>
      <c r="AC55" s="2482">
        <f t="shared" si="16"/>
        <v>6150</v>
      </c>
      <c r="AD55" s="2481" t="e">
        <f>+#REF!*#REF!/100</f>
        <v>#REF!</v>
      </c>
      <c r="AE55" s="2481" t="e">
        <f>+#REF!*#REF!/100</f>
        <v>#REF!</v>
      </c>
      <c r="AF55" s="2481" t="e">
        <f>+#REF!*AD55/100</f>
        <v>#REF!</v>
      </c>
      <c r="AG55" s="2481" t="e">
        <f>+AD55*AE55/100</f>
        <v>#REF!</v>
      </c>
      <c r="AH55" s="2482"/>
    </row>
    <row r="56" spans="1:35" x14ac:dyDescent="0.2">
      <c r="A56" s="2113">
        <v>32</v>
      </c>
      <c r="B56" s="2113">
        <v>67775</v>
      </c>
      <c r="C56" s="2100" t="s">
        <v>742</v>
      </c>
      <c r="D56" s="2114" t="s">
        <v>245</v>
      </c>
      <c r="E56" s="1508">
        <v>3</v>
      </c>
      <c r="F56" s="2485">
        <v>0</v>
      </c>
      <c r="G56" s="2109">
        <v>0</v>
      </c>
      <c r="H56" s="2486">
        <v>54.4</v>
      </c>
      <c r="I56" s="1794">
        <f t="shared" si="10"/>
        <v>54.4</v>
      </c>
      <c r="J56" s="1687">
        <v>20000</v>
      </c>
      <c r="K56" s="2492">
        <f t="shared" si="11"/>
        <v>1088000</v>
      </c>
      <c r="L56" s="2109"/>
      <c r="M56" s="100"/>
      <c r="N56" s="2109"/>
      <c r="O56" s="2109"/>
      <c r="P56" s="2486"/>
      <c r="Q56" s="2488"/>
      <c r="R56" s="2101"/>
      <c r="S56" s="2102"/>
      <c r="T56" s="2489"/>
      <c r="U56" s="2102"/>
      <c r="V56" s="2102"/>
      <c r="W56" s="1794">
        <f t="shared" si="12"/>
        <v>1088000</v>
      </c>
      <c r="X56" s="1791">
        <f t="shared" si="15"/>
        <v>1088000</v>
      </c>
      <c r="Y56" s="2474"/>
      <c r="Z56" s="1794">
        <f t="shared" si="13"/>
        <v>1088000</v>
      </c>
      <c r="AA56" s="2497">
        <v>0.3</v>
      </c>
      <c r="AB56" s="2498"/>
      <c r="AC56" s="2482">
        <f t="shared" si="16"/>
        <v>3264</v>
      </c>
      <c r="AD56" s="2482"/>
      <c r="AE56" s="2482"/>
      <c r="AF56" s="2482"/>
      <c r="AG56" s="2482"/>
      <c r="AH56" s="2482"/>
    </row>
    <row r="57" spans="1:35" ht="15" x14ac:dyDescent="0.25">
      <c r="A57" s="2113">
        <v>33</v>
      </c>
      <c r="B57" s="2113">
        <v>67776</v>
      </c>
      <c r="C57" s="2484" t="s">
        <v>743</v>
      </c>
      <c r="D57" s="2114" t="s">
        <v>245</v>
      </c>
      <c r="E57" s="1715">
        <v>3</v>
      </c>
      <c r="F57" s="2485">
        <v>0</v>
      </c>
      <c r="G57" s="2109">
        <v>0</v>
      </c>
      <c r="H57" s="2486">
        <v>77.599999999999994</v>
      </c>
      <c r="I57" s="1794">
        <f t="shared" si="10"/>
        <v>77.599999999999994</v>
      </c>
      <c r="J57" s="1687">
        <v>20000</v>
      </c>
      <c r="K57" s="2492">
        <f t="shared" si="11"/>
        <v>1552000</v>
      </c>
      <c r="L57" s="2109"/>
      <c r="M57" s="100"/>
      <c r="N57" s="2109"/>
      <c r="O57" s="2109"/>
      <c r="P57" s="2486"/>
      <c r="Q57" s="2488"/>
      <c r="R57" s="2101"/>
      <c r="S57" s="2102"/>
      <c r="T57" s="2489"/>
      <c r="U57" s="2102"/>
      <c r="V57" s="2102"/>
      <c r="W57" s="1794">
        <f t="shared" si="12"/>
        <v>1552000</v>
      </c>
      <c r="X57" s="1791">
        <f t="shared" si="15"/>
        <v>1552000</v>
      </c>
      <c r="Y57" s="2474"/>
      <c r="Z57" s="1794">
        <f t="shared" si="13"/>
        <v>1552000</v>
      </c>
      <c r="AA57" s="2497">
        <v>0.3</v>
      </c>
      <c r="AB57" s="2498"/>
      <c r="AC57" s="2482">
        <f t="shared" si="16"/>
        <v>4656</v>
      </c>
      <c r="AD57" s="2482"/>
      <c r="AE57" s="2482"/>
      <c r="AF57" s="2482"/>
      <c r="AG57" s="2482"/>
      <c r="AH57" s="2482"/>
    </row>
    <row r="58" spans="1:35" ht="15" x14ac:dyDescent="0.25">
      <c r="A58" s="2113">
        <v>34</v>
      </c>
      <c r="B58" s="2113">
        <v>67778</v>
      </c>
      <c r="C58" s="2484" t="s">
        <v>744</v>
      </c>
      <c r="D58" s="2114" t="s">
        <v>245</v>
      </c>
      <c r="E58" s="1508">
        <v>3</v>
      </c>
      <c r="F58" s="2485">
        <v>0</v>
      </c>
      <c r="G58" s="2109">
        <v>1</v>
      </c>
      <c r="H58" s="2486">
        <v>62.7</v>
      </c>
      <c r="I58" s="1794">
        <f t="shared" si="10"/>
        <v>162.69999999999999</v>
      </c>
      <c r="J58" s="1687">
        <v>20000</v>
      </c>
      <c r="K58" s="2492">
        <f t="shared" si="11"/>
        <v>3254000</v>
      </c>
      <c r="L58" s="2109"/>
      <c r="M58" s="100"/>
      <c r="N58" s="2109"/>
      <c r="O58" s="2109"/>
      <c r="P58" s="2486"/>
      <c r="Q58" s="2488"/>
      <c r="R58" s="2493"/>
      <c r="S58" s="2494"/>
      <c r="T58" s="2495"/>
      <c r="U58" s="2494"/>
      <c r="V58" s="2494"/>
      <c r="W58" s="1794">
        <f t="shared" si="12"/>
        <v>3254000</v>
      </c>
      <c r="X58" s="1791">
        <f t="shared" si="15"/>
        <v>3254000</v>
      </c>
      <c r="Y58" s="2496"/>
      <c r="Z58" s="1794">
        <f t="shared" si="13"/>
        <v>3254000</v>
      </c>
      <c r="AA58" s="2497">
        <v>0.3</v>
      </c>
      <c r="AB58" s="2498"/>
      <c r="AC58" s="2482">
        <f t="shared" si="16"/>
        <v>9762</v>
      </c>
      <c r="AD58" s="2534"/>
      <c r="AE58" s="2534"/>
      <c r="AF58" s="2534"/>
      <c r="AG58" s="2534"/>
      <c r="AH58" s="2482"/>
    </row>
    <row r="59" spans="1:35" ht="15" x14ac:dyDescent="0.25">
      <c r="A59" s="2113">
        <v>35</v>
      </c>
      <c r="B59" s="2113">
        <v>67779</v>
      </c>
      <c r="C59" s="2100" t="s">
        <v>745</v>
      </c>
      <c r="D59" s="2114" t="s">
        <v>245</v>
      </c>
      <c r="E59" s="1715">
        <v>3</v>
      </c>
      <c r="F59" s="2472">
        <v>0</v>
      </c>
      <c r="G59" s="2113">
        <v>1</v>
      </c>
      <c r="H59" s="2477">
        <v>2</v>
      </c>
      <c r="I59" s="1794">
        <f t="shared" si="10"/>
        <v>102</v>
      </c>
      <c r="J59" s="1687">
        <v>20000</v>
      </c>
      <c r="K59" s="2492">
        <f t="shared" si="11"/>
        <v>2040000</v>
      </c>
      <c r="L59" s="2109"/>
      <c r="M59" s="100"/>
      <c r="N59" s="2109"/>
      <c r="O59" s="2109"/>
      <c r="P59" s="2486"/>
      <c r="Q59" s="2488"/>
      <c r="R59" s="2493"/>
      <c r="S59" s="2494"/>
      <c r="T59" s="2495"/>
      <c r="U59" s="2494"/>
      <c r="V59" s="2494"/>
      <c r="W59" s="1794">
        <f t="shared" si="12"/>
        <v>2040000</v>
      </c>
      <c r="X59" s="1791">
        <f t="shared" si="15"/>
        <v>2040000</v>
      </c>
      <c r="Y59" s="2496"/>
      <c r="Z59" s="1794">
        <f t="shared" si="13"/>
        <v>2040000</v>
      </c>
      <c r="AA59" s="2497">
        <v>0.3</v>
      </c>
      <c r="AB59" s="2498"/>
      <c r="AC59" s="2482">
        <f t="shared" si="16"/>
        <v>6120</v>
      </c>
      <c r="AD59" s="2534"/>
      <c r="AE59" s="2534"/>
      <c r="AF59" s="2534"/>
      <c r="AG59" s="2534"/>
      <c r="AH59" s="2482"/>
    </row>
    <row r="60" spans="1:35" ht="15" x14ac:dyDescent="0.25">
      <c r="A60" s="2113"/>
      <c r="B60" s="2113"/>
      <c r="C60" s="2100"/>
      <c r="D60" s="2114"/>
      <c r="E60" s="1715"/>
      <c r="F60" s="2472"/>
      <c r="G60" s="2113"/>
      <c r="H60" s="2477"/>
      <c r="I60" s="1794"/>
      <c r="J60" s="1687"/>
      <c r="K60" s="2492"/>
      <c r="L60" s="2109"/>
      <c r="M60" s="100"/>
      <c r="N60" s="2109"/>
      <c r="O60" s="2109"/>
      <c r="P60" s="2486"/>
      <c r="Q60" s="2488"/>
      <c r="R60" s="2493"/>
      <c r="S60" s="2494"/>
      <c r="T60" s="2495"/>
      <c r="U60" s="2494"/>
      <c r="V60" s="2494"/>
      <c r="W60" s="1794"/>
      <c r="X60" s="1791"/>
      <c r="Y60" s="2496"/>
      <c r="Z60" s="2618"/>
      <c r="AA60" s="2619"/>
      <c r="AB60" s="2619"/>
      <c r="AC60" s="2534"/>
      <c r="AD60" s="2534"/>
      <c r="AE60" s="2534"/>
      <c r="AF60" s="2534"/>
      <c r="AG60" s="2534"/>
      <c r="AH60" s="2534"/>
    </row>
    <row r="61" spans="1:35" x14ac:dyDescent="0.2">
      <c r="A61" s="34"/>
      <c r="B61" s="34"/>
      <c r="C61" s="34"/>
      <c r="D61" s="34"/>
      <c r="E61" s="34"/>
      <c r="F61" s="34"/>
      <c r="G61" s="34"/>
      <c r="H61" s="35"/>
      <c r="I61" s="36"/>
      <c r="J61" s="37"/>
      <c r="K61" s="2562"/>
      <c r="L61" s="2562"/>
      <c r="M61" s="2562"/>
      <c r="N61" s="2562"/>
      <c r="O61" s="2562"/>
      <c r="P61" s="2562"/>
      <c r="Q61" s="2562"/>
      <c r="R61" s="2563"/>
      <c r="S61" s="2562"/>
      <c r="T61" s="38"/>
      <c r="U61" s="2564"/>
      <c r="V61" s="2562"/>
      <c r="W61" s="2562"/>
      <c r="X61" s="2620"/>
      <c r="Y61" s="2620"/>
      <c r="Z61" s="2621">
        <f>SUM(Z43:Z60)</f>
        <v>27638154</v>
      </c>
      <c r="AA61" s="2621"/>
      <c r="AB61" s="2621"/>
      <c r="AC61" s="2534">
        <f>SUM(AC43:AC60)</f>
        <v>46230.622000000003</v>
      </c>
      <c r="AD61" s="2621" t="e">
        <f t="shared" ref="AD61:AG61" si="17">SUM(AD43:AD60)</f>
        <v>#REF!</v>
      </c>
      <c r="AE61" s="2621" t="e">
        <f t="shared" si="17"/>
        <v>#REF!</v>
      </c>
      <c r="AF61" s="2621" t="e">
        <f t="shared" si="17"/>
        <v>#REF!</v>
      </c>
      <c r="AG61" s="2621" t="e">
        <f t="shared" si="17"/>
        <v>#REF!</v>
      </c>
      <c r="AH61" s="2621"/>
    </row>
    <row r="62" spans="1:35" x14ac:dyDescent="0.2">
      <c r="A62" s="796"/>
      <c r="B62" s="796"/>
      <c r="C62" s="796"/>
      <c r="D62" s="796"/>
      <c r="E62" s="796"/>
      <c r="F62" s="796"/>
      <c r="G62" s="796"/>
      <c r="H62" s="2622"/>
      <c r="I62" s="64"/>
      <c r="J62" s="2623"/>
      <c r="K62" s="2624"/>
      <c r="L62" s="2624"/>
      <c r="M62" s="2624"/>
      <c r="N62" s="2624"/>
      <c r="O62" s="2624"/>
      <c r="P62" s="2624"/>
      <c r="Q62" s="2624"/>
      <c r="R62" s="2625"/>
      <c r="S62" s="2624"/>
      <c r="T62" s="2626"/>
      <c r="U62" s="2627"/>
      <c r="V62" s="2624"/>
      <c r="W62" s="2624"/>
      <c r="X62" s="2628"/>
      <c r="Y62" s="2628"/>
      <c r="Z62" s="2629"/>
      <c r="AA62" s="2629"/>
      <c r="AB62" s="2629"/>
      <c r="AC62" s="2630"/>
      <c r="AD62" s="2631"/>
      <c r="AE62" s="2631"/>
      <c r="AF62" s="2631"/>
      <c r="AG62" s="2631"/>
      <c r="AH62" s="2631"/>
    </row>
    <row r="63" spans="1:35" ht="15.75" x14ac:dyDescent="0.25">
      <c r="A63" s="2854" t="s">
        <v>76</v>
      </c>
      <c r="B63" s="2854"/>
      <c r="C63" s="2843" t="s">
        <v>77</v>
      </c>
      <c r="D63" s="2843"/>
      <c r="E63" s="2843"/>
      <c r="F63" s="2843"/>
      <c r="G63" s="2843"/>
      <c r="H63" s="2843"/>
      <c r="I63" s="2567" t="s">
        <v>78</v>
      </c>
      <c r="J63" s="2567"/>
      <c r="K63" s="2567"/>
      <c r="L63" s="2567"/>
      <c r="M63" s="2567"/>
      <c r="N63" s="2567"/>
      <c r="AC63" s="2476"/>
    </row>
    <row r="64" spans="1:35" ht="15.75" x14ac:dyDescent="0.25">
      <c r="A64" s="2568"/>
      <c r="B64" s="2569"/>
      <c r="C64" s="2567"/>
      <c r="D64" s="2567"/>
      <c r="E64" s="2567"/>
      <c r="F64" s="2567"/>
      <c r="G64" s="2567"/>
      <c r="H64" s="2567"/>
      <c r="I64" s="2567" t="s">
        <v>79</v>
      </c>
      <c r="J64" s="2567"/>
      <c r="K64" s="2567"/>
      <c r="L64" s="2567"/>
      <c r="M64" s="2567"/>
      <c r="N64" s="2567"/>
      <c r="AC64" s="2476"/>
    </row>
    <row r="65" spans="1:35" ht="15.75" x14ac:dyDescent="0.25">
      <c r="A65" s="2568"/>
      <c r="B65" s="2569"/>
      <c r="C65" s="2567"/>
      <c r="D65" s="2567"/>
      <c r="E65" s="2567"/>
      <c r="F65" s="2567"/>
      <c r="G65" s="2567"/>
      <c r="H65" s="2567"/>
      <c r="I65" s="2567" t="s">
        <v>80</v>
      </c>
      <c r="J65" s="2567"/>
      <c r="K65" s="2567"/>
      <c r="L65" s="2567"/>
      <c r="M65" s="2567"/>
      <c r="N65" s="2632"/>
      <c r="O65" s="2633"/>
      <c r="P65" s="2632"/>
      <c r="Q65" s="2634"/>
      <c r="R65" s="2632"/>
      <c r="S65" s="2632"/>
      <c r="T65" s="2635"/>
      <c r="U65" s="2623"/>
      <c r="V65" s="2636"/>
      <c r="W65" s="2623"/>
      <c r="X65" s="2632"/>
      <c r="Y65" s="1927"/>
      <c r="Z65" s="2632"/>
      <c r="AA65" s="2632"/>
      <c r="AB65" s="2632"/>
      <c r="AC65" s="2637"/>
      <c r="AD65" s="2633"/>
      <c r="AE65" s="2638"/>
      <c r="AF65" s="2639"/>
      <c r="AG65" s="2640"/>
      <c r="AH65" s="2640"/>
      <c r="AI65"/>
    </row>
    <row r="66" spans="1:35" ht="15.75" x14ac:dyDescent="0.25">
      <c r="A66" s="2568"/>
      <c r="B66" s="2569"/>
      <c r="C66" s="2567"/>
      <c r="D66" s="2567"/>
      <c r="E66" s="2567"/>
      <c r="F66" s="2567"/>
      <c r="G66" s="2567"/>
      <c r="H66" s="2567"/>
      <c r="I66" s="2567" t="s">
        <v>81</v>
      </c>
      <c r="J66" s="2567"/>
      <c r="K66" s="2567"/>
      <c r="L66" s="2567"/>
      <c r="M66" s="2567"/>
      <c r="N66" s="2567"/>
      <c r="AC66" s="2476"/>
      <c r="AI66"/>
    </row>
    <row r="67" spans="1:35" ht="15.75" x14ac:dyDescent="0.25">
      <c r="A67" s="2568"/>
      <c r="B67" s="2569"/>
      <c r="C67" s="2567"/>
      <c r="D67" s="2567"/>
      <c r="E67" s="2567"/>
      <c r="F67" s="2567"/>
      <c r="G67" s="2567"/>
      <c r="H67" s="2567"/>
      <c r="I67" s="2567" t="s">
        <v>88</v>
      </c>
      <c r="J67" s="2567"/>
      <c r="K67" s="2567"/>
      <c r="L67" s="2567"/>
      <c r="M67" s="2567"/>
      <c r="N67" s="2567"/>
      <c r="AC67" s="2476"/>
      <c r="AI67"/>
    </row>
    <row r="68" spans="1:35" ht="18.75" x14ac:dyDescent="0.25">
      <c r="A68" s="2568"/>
      <c r="B68" s="2569"/>
      <c r="C68" s="2567"/>
      <c r="D68" s="2567"/>
      <c r="E68" s="2567"/>
      <c r="F68" s="2567"/>
      <c r="G68" s="2567"/>
      <c r="H68" s="2567"/>
      <c r="I68" s="2567"/>
      <c r="J68" s="2567"/>
      <c r="K68" s="2567"/>
      <c r="L68" s="2567"/>
      <c r="M68" s="2567"/>
      <c r="N68" s="2567"/>
      <c r="AA68" s="2776" t="s">
        <v>0</v>
      </c>
      <c r="AB68" s="2776"/>
      <c r="AC68" s="2776"/>
      <c r="AD68" s="2776"/>
      <c r="AI68"/>
    </row>
    <row r="69" spans="1:35" ht="18.75" x14ac:dyDescent="0.2">
      <c r="A69" s="2707" t="s">
        <v>1</v>
      </c>
      <c r="B69" s="2707"/>
      <c r="C69" s="2707"/>
      <c r="D69" s="2707"/>
      <c r="E69" s="2707"/>
      <c r="F69" s="2707"/>
      <c r="G69" s="2707"/>
      <c r="H69" s="2707"/>
      <c r="I69" s="2707"/>
      <c r="J69" s="2707"/>
      <c r="K69" s="2707"/>
      <c r="L69" s="2707"/>
      <c r="M69" s="2707"/>
      <c r="N69" s="2707"/>
      <c r="O69" s="2707"/>
      <c r="P69" s="2707"/>
      <c r="Q69" s="2707"/>
      <c r="R69" s="2707"/>
      <c r="S69" s="2707"/>
      <c r="T69" s="2707"/>
      <c r="U69" s="2707"/>
      <c r="V69" s="2707"/>
      <c r="W69" s="2707"/>
      <c r="X69" s="2707"/>
      <c r="Y69" s="2707"/>
      <c r="Z69" s="2707"/>
      <c r="AA69" s="2707"/>
      <c r="AB69" s="2707"/>
      <c r="AC69" s="2707"/>
      <c r="AI69"/>
    </row>
    <row r="70" spans="1:35" ht="18" x14ac:dyDescent="0.2">
      <c r="A70" s="2846" t="s">
        <v>984</v>
      </c>
      <c r="B70" s="2846"/>
      <c r="C70" s="2846"/>
      <c r="D70" s="2846"/>
      <c r="E70" s="2846"/>
      <c r="F70" s="2846"/>
      <c r="G70" s="2846"/>
      <c r="H70" s="2846"/>
      <c r="I70" s="2846"/>
      <c r="J70" s="2846"/>
      <c r="K70" s="2846"/>
      <c r="L70" s="2846"/>
      <c r="M70" s="2846"/>
      <c r="N70" s="2846"/>
      <c r="O70" s="2846"/>
      <c r="P70" s="2846"/>
      <c r="Q70" s="2846"/>
      <c r="R70" s="2846"/>
      <c r="S70" s="2846"/>
      <c r="T70" s="2846"/>
      <c r="U70" s="2846"/>
      <c r="V70" s="2846"/>
      <c r="W70" s="2846"/>
      <c r="X70" s="2846"/>
      <c r="Y70" s="2846"/>
      <c r="Z70" s="2846"/>
      <c r="AA70" s="2846"/>
      <c r="AB70" s="2846"/>
      <c r="AC70" s="2846"/>
      <c r="AD70" s="2192"/>
      <c r="AI70"/>
    </row>
    <row r="71" spans="1:35" ht="15" x14ac:dyDescent="0.25">
      <c r="A71" s="2709" t="s">
        <v>2</v>
      </c>
      <c r="B71" s="2572"/>
      <c r="C71" s="2709" t="s">
        <v>3</v>
      </c>
      <c r="D71" s="2572"/>
      <c r="E71" s="2572"/>
      <c r="F71" s="2712" t="s">
        <v>4</v>
      </c>
      <c r="G71" s="2712"/>
      <c r="H71" s="2712"/>
      <c r="I71" s="2713"/>
      <c r="J71" s="2713"/>
      <c r="K71" s="2714"/>
      <c r="L71" s="2"/>
      <c r="M71" s="2715" t="s">
        <v>5</v>
      </c>
      <c r="N71" s="2715"/>
      <c r="O71" s="2715"/>
      <c r="P71" s="2715"/>
      <c r="Q71" s="2716"/>
      <c r="R71" s="2716"/>
      <c r="S71" s="2716"/>
      <c r="T71" s="2716"/>
      <c r="U71" s="2716"/>
      <c r="V71" s="2717"/>
      <c r="W71" s="2573" t="s">
        <v>6</v>
      </c>
      <c r="X71" s="2574" t="s">
        <v>7</v>
      </c>
      <c r="Y71" s="2575"/>
      <c r="Z71" s="2575"/>
      <c r="AA71" s="2574"/>
      <c r="AB71" s="2574"/>
      <c r="AC71" s="2576"/>
      <c r="AD71" s="2221" t="s">
        <v>8</v>
      </c>
      <c r="AH71" s="2845" t="s">
        <v>76</v>
      </c>
      <c r="AI71"/>
    </row>
    <row r="72" spans="1:35" x14ac:dyDescent="0.2">
      <c r="A72" s="2710"/>
      <c r="B72" s="4"/>
      <c r="C72" s="2710"/>
      <c r="D72" s="2577" t="s">
        <v>9</v>
      </c>
      <c r="E72" s="2578" t="s">
        <v>10</v>
      </c>
      <c r="F72" s="2718" t="s">
        <v>11</v>
      </c>
      <c r="G72" s="2713"/>
      <c r="H72" s="2714"/>
      <c r="I72" s="2572"/>
      <c r="J72" s="2579" t="s">
        <v>12</v>
      </c>
      <c r="K72" s="2572"/>
      <c r="L72" s="2715" t="s">
        <v>2</v>
      </c>
      <c r="M72" s="2580"/>
      <c r="N72" s="2580"/>
      <c r="O72" s="2580"/>
      <c r="P72" s="2581"/>
      <c r="Q72" s="2582" t="s">
        <v>13</v>
      </c>
      <c r="R72" s="2583" t="s">
        <v>12</v>
      </c>
      <c r="S72" s="2580" t="s">
        <v>6</v>
      </c>
      <c r="T72" s="2724" t="s">
        <v>14</v>
      </c>
      <c r="U72" s="2725"/>
      <c r="V72" s="2584" t="s">
        <v>7</v>
      </c>
      <c r="W72" s="2585" t="s">
        <v>15</v>
      </c>
      <c r="X72" s="2586" t="s">
        <v>16</v>
      </c>
      <c r="Y72" s="2586" t="s">
        <v>17</v>
      </c>
      <c r="Z72" s="2586" t="s">
        <v>18</v>
      </c>
      <c r="AA72" s="5"/>
      <c r="AB72" s="5"/>
      <c r="AC72" s="55" t="s">
        <v>19</v>
      </c>
      <c r="AD72" s="2223" t="s">
        <v>20</v>
      </c>
      <c r="AH72" s="2845"/>
      <c r="AI72"/>
    </row>
    <row r="73" spans="1:35" x14ac:dyDescent="0.2">
      <c r="A73" s="2710"/>
      <c r="B73" s="2454" t="s">
        <v>23</v>
      </c>
      <c r="C73" s="2710"/>
      <c r="D73" s="2577" t="s">
        <v>24</v>
      </c>
      <c r="E73" s="2578" t="s">
        <v>25</v>
      </c>
      <c r="F73" s="2719"/>
      <c r="G73" s="2720"/>
      <c r="H73" s="2721"/>
      <c r="I73" s="2577" t="s">
        <v>26</v>
      </c>
      <c r="J73" s="2587" t="s">
        <v>15</v>
      </c>
      <c r="K73" s="2588" t="s">
        <v>6</v>
      </c>
      <c r="L73" s="2722"/>
      <c r="M73" s="2589" t="s">
        <v>27</v>
      </c>
      <c r="N73" s="2589" t="s">
        <v>10</v>
      </c>
      <c r="O73" s="2590" t="s">
        <v>10</v>
      </c>
      <c r="P73" s="2591" t="s">
        <v>28</v>
      </c>
      <c r="Q73" s="2592" t="s">
        <v>29</v>
      </c>
      <c r="R73" s="2591" t="s">
        <v>15</v>
      </c>
      <c r="S73" s="8" t="s">
        <v>15</v>
      </c>
      <c r="T73" s="2726"/>
      <c r="U73" s="2727"/>
      <c r="V73" s="2584" t="s">
        <v>30</v>
      </c>
      <c r="W73" s="2585" t="s">
        <v>31</v>
      </c>
      <c r="X73" s="2586" t="s">
        <v>30</v>
      </c>
      <c r="Y73" s="2586" t="s">
        <v>32</v>
      </c>
      <c r="Z73" s="2586" t="s">
        <v>7</v>
      </c>
      <c r="AA73" s="5" t="s">
        <v>33</v>
      </c>
      <c r="AB73" s="5"/>
      <c r="AC73" s="55" t="s">
        <v>34</v>
      </c>
      <c r="AD73" s="2223" t="s">
        <v>35</v>
      </c>
      <c r="AH73" s="2845"/>
      <c r="AI73"/>
    </row>
    <row r="74" spans="1:35" x14ac:dyDescent="0.2">
      <c r="A74" s="2710"/>
      <c r="B74" s="2454" t="s">
        <v>39</v>
      </c>
      <c r="C74" s="2710"/>
      <c r="D74" s="2577" t="s">
        <v>40</v>
      </c>
      <c r="E74" s="2578" t="s">
        <v>41</v>
      </c>
      <c r="F74" s="2709" t="s">
        <v>42</v>
      </c>
      <c r="G74" s="2709" t="s">
        <v>43</v>
      </c>
      <c r="H74" s="2728" t="s">
        <v>44</v>
      </c>
      <c r="I74" s="2577" t="s">
        <v>45</v>
      </c>
      <c r="J74" s="2587" t="s">
        <v>46</v>
      </c>
      <c r="K74" s="2588" t="s">
        <v>47</v>
      </c>
      <c r="L74" s="2722"/>
      <c r="M74" s="2589" t="s">
        <v>30</v>
      </c>
      <c r="N74" s="2589" t="s">
        <v>30</v>
      </c>
      <c r="O74" s="2590" t="s">
        <v>25</v>
      </c>
      <c r="P74" s="2591" t="s">
        <v>30</v>
      </c>
      <c r="Q74" s="2592" t="s">
        <v>48</v>
      </c>
      <c r="R74" s="2591" t="s">
        <v>49</v>
      </c>
      <c r="S74" s="8" t="s">
        <v>30</v>
      </c>
      <c r="T74" s="2593" t="s">
        <v>50</v>
      </c>
      <c r="U74" s="2594" t="s">
        <v>13</v>
      </c>
      <c r="V74" s="2584" t="s">
        <v>51</v>
      </c>
      <c r="W74" s="2585" t="s">
        <v>52</v>
      </c>
      <c r="X74" s="2586" t="s">
        <v>53</v>
      </c>
      <c r="Y74" s="2586" t="s">
        <v>54</v>
      </c>
      <c r="Z74" s="2586" t="s">
        <v>55</v>
      </c>
      <c r="AA74" s="5" t="s">
        <v>56</v>
      </c>
      <c r="AB74" s="5"/>
      <c r="AC74" s="55" t="s">
        <v>57</v>
      </c>
      <c r="AD74" s="6" t="s">
        <v>58</v>
      </c>
      <c r="AH74" s="2845"/>
      <c r="AI74"/>
    </row>
    <row r="75" spans="1:35" ht="15" x14ac:dyDescent="0.25">
      <c r="A75" s="2710"/>
      <c r="B75" s="2454" t="s">
        <v>61</v>
      </c>
      <c r="C75" s="2710"/>
      <c r="D75" s="2577" t="s">
        <v>62</v>
      </c>
      <c r="E75" s="2578" t="s">
        <v>63</v>
      </c>
      <c r="F75" s="2710"/>
      <c r="G75" s="2710"/>
      <c r="H75" s="2729"/>
      <c r="I75" s="2577" t="s">
        <v>64</v>
      </c>
      <c r="J75" s="2587" t="s">
        <v>59</v>
      </c>
      <c r="K75" s="2588" t="s">
        <v>59</v>
      </c>
      <c r="L75" s="2722"/>
      <c r="M75" s="2589"/>
      <c r="N75" s="2589"/>
      <c r="O75" s="2590" t="s">
        <v>41</v>
      </c>
      <c r="P75" s="2591" t="s">
        <v>65</v>
      </c>
      <c r="Q75" s="2592" t="s">
        <v>66</v>
      </c>
      <c r="R75" s="2591" t="s">
        <v>67</v>
      </c>
      <c r="S75" s="8" t="s">
        <v>59</v>
      </c>
      <c r="T75" s="2595" t="s">
        <v>68</v>
      </c>
      <c r="U75" s="2584" t="s">
        <v>14</v>
      </c>
      <c r="V75" s="2584" t="s">
        <v>14</v>
      </c>
      <c r="W75" s="2585" t="s">
        <v>30</v>
      </c>
      <c r="X75" s="2596" t="s">
        <v>69</v>
      </c>
      <c r="Y75" s="2596" t="s">
        <v>70</v>
      </c>
      <c r="Z75" s="2586" t="s">
        <v>71</v>
      </c>
      <c r="AA75" s="5" t="s">
        <v>72</v>
      </c>
      <c r="AB75" s="5"/>
      <c r="AC75" s="2597" t="s">
        <v>59</v>
      </c>
      <c r="AD75" s="6" t="s">
        <v>59</v>
      </c>
      <c r="AH75" s="2845"/>
      <c r="AI75"/>
    </row>
    <row r="76" spans="1:35" x14ac:dyDescent="0.2">
      <c r="A76" s="2711"/>
      <c r="B76" s="9"/>
      <c r="C76" s="2711"/>
      <c r="D76" s="2598"/>
      <c r="E76" s="2599"/>
      <c r="F76" s="9"/>
      <c r="G76" s="9"/>
      <c r="H76" s="10"/>
      <c r="I76" s="2599"/>
      <c r="J76" s="2600"/>
      <c r="K76" s="2601"/>
      <c r="L76" s="2723"/>
      <c r="M76" s="2602"/>
      <c r="N76" s="2602"/>
      <c r="O76" s="2602" t="s">
        <v>63</v>
      </c>
      <c r="P76" s="2603"/>
      <c r="Q76" s="2604" t="s">
        <v>72</v>
      </c>
      <c r="R76" s="2605" t="s">
        <v>59</v>
      </c>
      <c r="S76" s="2606"/>
      <c r="T76" s="2605" t="s">
        <v>73</v>
      </c>
      <c r="U76" s="2606" t="s">
        <v>59</v>
      </c>
      <c r="V76" s="2607" t="s">
        <v>59</v>
      </c>
      <c r="W76" s="2608" t="s">
        <v>59</v>
      </c>
      <c r="X76" s="2609" t="s">
        <v>59</v>
      </c>
      <c r="Y76" s="2609" t="s">
        <v>59</v>
      </c>
      <c r="Z76" s="2609" t="s">
        <v>59</v>
      </c>
      <c r="AA76" s="11"/>
      <c r="AB76" s="11"/>
      <c r="AC76" s="56"/>
      <c r="AD76" s="12"/>
      <c r="AH76" s="2845"/>
      <c r="AI76"/>
    </row>
    <row r="77" spans="1:35" ht="15" x14ac:dyDescent="0.25">
      <c r="A77" s="2113">
        <v>36</v>
      </c>
      <c r="B77" s="2113">
        <v>67780</v>
      </c>
      <c r="C77" s="2484" t="s">
        <v>746</v>
      </c>
      <c r="D77" s="2114" t="s">
        <v>245</v>
      </c>
      <c r="E77" s="1508">
        <v>3</v>
      </c>
      <c r="F77" s="2472">
        <v>0</v>
      </c>
      <c r="G77" s="2113">
        <v>0</v>
      </c>
      <c r="H77" s="2477">
        <v>84.7</v>
      </c>
      <c r="I77" s="1794">
        <f t="shared" ref="I77:I93" si="18">F77*400+G77*100+H77</f>
        <v>84.7</v>
      </c>
      <c r="J77" s="1687">
        <v>20000</v>
      </c>
      <c r="K77" s="2492">
        <f t="shared" ref="K77:K93" si="19">SUM(I77*J77)</f>
        <v>1694000</v>
      </c>
      <c r="L77" s="2109"/>
      <c r="M77" s="100"/>
      <c r="N77" s="2109"/>
      <c r="O77" s="2109"/>
      <c r="P77" s="2486"/>
      <c r="Q77" s="2488"/>
      <c r="R77" s="2493"/>
      <c r="S77" s="2494"/>
      <c r="T77" s="2495"/>
      <c r="U77" s="2494"/>
      <c r="V77" s="2494"/>
      <c r="W77" s="1794">
        <f t="shared" ref="W77:W93" si="20">+K77</f>
        <v>1694000</v>
      </c>
      <c r="X77" s="1791">
        <f t="shared" ref="X77:X93" si="21">+W77</f>
        <v>1694000</v>
      </c>
      <c r="Y77" s="2496"/>
      <c r="Z77" s="1794">
        <f t="shared" ref="Z77:Z93" si="22">+X77</f>
        <v>1694000</v>
      </c>
      <c r="AA77" s="2497">
        <v>0.3</v>
      </c>
      <c r="AB77" s="2498"/>
      <c r="AC77" s="2491">
        <f t="shared" ref="AC77:AG93" si="23">+Z77*AA77/100</f>
        <v>5082</v>
      </c>
      <c r="AD77" s="2535"/>
      <c r="AH77" s="2482"/>
      <c r="AI77"/>
    </row>
    <row r="78" spans="1:35" x14ac:dyDescent="0.2">
      <c r="A78" s="2113">
        <v>37</v>
      </c>
      <c r="B78" s="2113">
        <v>67781</v>
      </c>
      <c r="C78" s="2100" t="s">
        <v>747</v>
      </c>
      <c r="D78" s="2114" t="s">
        <v>245</v>
      </c>
      <c r="E78" s="1508">
        <v>3</v>
      </c>
      <c r="F78" s="2472">
        <v>0</v>
      </c>
      <c r="G78" s="2113">
        <v>0</v>
      </c>
      <c r="H78" s="2477">
        <v>91.9</v>
      </c>
      <c r="I78" s="1794">
        <f t="shared" si="18"/>
        <v>91.9</v>
      </c>
      <c r="J78" s="1687">
        <v>20000</v>
      </c>
      <c r="K78" s="2492">
        <f t="shared" si="19"/>
        <v>1838000</v>
      </c>
      <c r="L78" s="2109"/>
      <c r="M78" s="100"/>
      <c r="N78" s="2109"/>
      <c r="O78" s="2109"/>
      <c r="P78" s="2486"/>
      <c r="Q78" s="2488"/>
      <c r="R78" s="2493"/>
      <c r="S78" s="2494"/>
      <c r="T78" s="2495"/>
      <c r="U78" s="2494"/>
      <c r="V78" s="2494"/>
      <c r="W78" s="1794">
        <f t="shared" si="20"/>
        <v>1838000</v>
      </c>
      <c r="X78" s="1791">
        <f t="shared" si="21"/>
        <v>1838000</v>
      </c>
      <c r="Y78" s="2496"/>
      <c r="Z78" s="1794">
        <f t="shared" si="22"/>
        <v>1838000</v>
      </c>
      <c r="AA78" s="2497">
        <v>0.3</v>
      </c>
      <c r="AB78" s="2498"/>
      <c r="AC78" s="2491">
        <f t="shared" si="23"/>
        <v>5514</v>
      </c>
      <c r="AD78" s="2536"/>
      <c r="AH78" s="2482"/>
      <c r="AI78"/>
    </row>
    <row r="79" spans="1:35" ht="15" x14ac:dyDescent="0.25">
      <c r="A79" s="2113">
        <v>38</v>
      </c>
      <c r="B79" s="2113">
        <v>67782</v>
      </c>
      <c r="C79" s="2484" t="s">
        <v>748</v>
      </c>
      <c r="D79" s="2114" t="s">
        <v>245</v>
      </c>
      <c r="E79" s="1508">
        <v>3</v>
      </c>
      <c r="F79" s="2472">
        <v>0</v>
      </c>
      <c r="G79" s="2113">
        <v>0</v>
      </c>
      <c r="H79" s="2477">
        <v>90.2</v>
      </c>
      <c r="I79" s="1794">
        <f t="shared" si="18"/>
        <v>90.2</v>
      </c>
      <c r="J79" s="1687">
        <v>20000</v>
      </c>
      <c r="K79" s="2492">
        <f t="shared" si="19"/>
        <v>1804000</v>
      </c>
      <c r="L79" s="2109"/>
      <c r="M79" s="100"/>
      <c r="N79" s="2109"/>
      <c r="O79" s="2109"/>
      <c r="P79" s="2486"/>
      <c r="Q79" s="2488"/>
      <c r="R79" s="2493"/>
      <c r="S79" s="2494"/>
      <c r="T79" s="2495"/>
      <c r="U79" s="2494"/>
      <c r="V79" s="2494"/>
      <c r="W79" s="1794">
        <f t="shared" si="20"/>
        <v>1804000</v>
      </c>
      <c r="X79" s="1791">
        <f t="shared" si="21"/>
        <v>1804000</v>
      </c>
      <c r="Y79" s="2496"/>
      <c r="Z79" s="1794">
        <f t="shared" si="22"/>
        <v>1804000</v>
      </c>
      <c r="AA79" s="2497">
        <v>0.3</v>
      </c>
      <c r="AB79" s="2498"/>
      <c r="AC79" s="2491">
        <f t="shared" si="23"/>
        <v>5412</v>
      </c>
      <c r="AD79" s="2536"/>
      <c r="AH79" s="2482"/>
      <c r="AI79"/>
    </row>
    <row r="80" spans="1:35" x14ac:dyDescent="0.2">
      <c r="A80" s="2113">
        <v>39</v>
      </c>
      <c r="B80" s="2113">
        <v>67783</v>
      </c>
      <c r="C80" s="2100" t="s">
        <v>749</v>
      </c>
      <c r="D80" s="2114" t="s">
        <v>245</v>
      </c>
      <c r="E80" s="1508">
        <v>3</v>
      </c>
      <c r="F80" s="2472">
        <v>0</v>
      </c>
      <c r="G80" s="2113">
        <v>0</v>
      </c>
      <c r="H80" s="2477">
        <v>72.2</v>
      </c>
      <c r="I80" s="1794">
        <f t="shared" si="18"/>
        <v>72.2</v>
      </c>
      <c r="J80" s="1687">
        <v>20000</v>
      </c>
      <c r="K80" s="2492">
        <f t="shared" si="19"/>
        <v>1444000</v>
      </c>
      <c r="L80" s="2109"/>
      <c r="M80" s="100"/>
      <c r="N80" s="2109"/>
      <c r="O80" s="2109"/>
      <c r="P80" s="2486"/>
      <c r="Q80" s="2488"/>
      <c r="R80" s="2493"/>
      <c r="S80" s="2494"/>
      <c r="T80" s="2495"/>
      <c r="U80" s="2494"/>
      <c r="V80" s="2494"/>
      <c r="W80" s="1794">
        <f t="shared" si="20"/>
        <v>1444000</v>
      </c>
      <c r="X80" s="1791">
        <f t="shared" si="21"/>
        <v>1444000</v>
      </c>
      <c r="Y80" s="2496"/>
      <c r="Z80" s="1794">
        <f t="shared" si="22"/>
        <v>1444000</v>
      </c>
      <c r="AA80" s="2497">
        <v>0.3</v>
      </c>
      <c r="AB80" s="2498"/>
      <c r="AC80" s="2491">
        <f t="shared" si="23"/>
        <v>4332</v>
      </c>
      <c r="AD80" s="2536"/>
      <c r="AH80" s="2482"/>
      <c r="AI80"/>
    </row>
    <row r="81" spans="1:35" ht="15" x14ac:dyDescent="0.25">
      <c r="A81" s="2113">
        <v>40</v>
      </c>
      <c r="B81" s="2113">
        <v>67784</v>
      </c>
      <c r="C81" s="2484" t="s">
        <v>750</v>
      </c>
      <c r="D81" s="2114" t="s">
        <v>245</v>
      </c>
      <c r="E81" s="1508">
        <v>3</v>
      </c>
      <c r="F81" s="2472">
        <v>0</v>
      </c>
      <c r="G81" s="2113">
        <v>0</v>
      </c>
      <c r="H81" s="2477">
        <v>68.400000000000006</v>
      </c>
      <c r="I81" s="1794">
        <f t="shared" si="18"/>
        <v>68.400000000000006</v>
      </c>
      <c r="J81" s="1687">
        <v>20000</v>
      </c>
      <c r="K81" s="2492">
        <f t="shared" si="19"/>
        <v>1368000</v>
      </c>
      <c r="L81" s="2109"/>
      <c r="M81" s="100"/>
      <c r="N81" s="2109"/>
      <c r="O81" s="2109"/>
      <c r="P81" s="2486"/>
      <c r="Q81" s="2488"/>
      <c r="R81" s="2493"/>
      <c r="S81" s="2494"/>
      <c r="T81" s="2495"/>
      <c r="U81" s="2494"/>
      <c r="V81" s="2494"/>
      <c r="W81" s="1794">
        <f t="shared" si="20"/>
        <v>1368000</v>
      </c>
      <c r="X81" s="1791">
        <f t="shared" si="21"/>
        <v>1368000</v>
      </c>
      <c r="Y81" s="2496"/>
      <c r="Z81" s="1794">
        <f t="shared" si="22"/>
        <v>1368000</v>
      </c>
      <c r="AA81" s="2497">
        <v>0.3</v>
      </c>
      <c r="AB81" s="2498"/>
      <c r="AC81" s="2491">
        <f t="shared" si="23"/>
        <v>4104</v>
      </c>
      <c r="AD81" s="2536"/>
      <c r="AH81" s="2482"/>
      <c r="AI81"/>
    </row>
    <row r="82" spans="1:35" x14ac:dyDescent="0.2">
      <c r="A82" s="2113">
        <v>41</v>
      </c>
      <c r="B82" s="2113">
        <v>67785</v>
      </c>
      <c r="C82" s="2100" t="s">
        <v>751</v>
      </c>
      <c r="D82" s="2114" t="s">
        <v>245</v>
      </c>
      <c r="E82" s="1508">
        <v>3</v>
      </c>
      <c r="F82" s="2472">
        <v>0</v>
      </c>
      <c r="G82" s="2113">
        <v>0</v>
      </c>
      <c r="H82" s="2477">
        <v>72.400000000000006</v>
      </c>
      <c r="I82" s="1794">
        <f t="shared" si="18"/>
        <v>72.400000000000006</v>
      </c>
      <c r="J82" s="1687">
        <v>20000</v>
      </c>
      <c r="K82" s="2492">
        <f t="shared" si="19"/>
        <v>1448000</v>
      </c>
      <c r="L82" s="2109"/>
      <c r="M82" s="100"/>
      <c r="N82" s="2109"/>
      <c r="O82" s="2109"/>
      <c r="P82" s="2486"/>
      <c r="Q82" s="2488"/>
      <c r="R82" s="2493"/>
      <c r="S82" s="2494"/>
      <c r="T82" s="2495"/>
      <c r="U82" s="2494"/>
      <c r="V82" s="2494"/>
      <c r="W82" s="1794">
        <f t="shared" si="20"/>
        <v>1448000</v>
      </c>
      <c r="X82" s="1791">
        <f t="shared" si="21"/>
        <v>1448000</v>
      </c>
      <c r="Y82" s="2496"/>
      <c r="Z82" s="1794">
        <f t="shared" si="22"/>
        <v>1448000</v>
      </c>
      <c r="AA82" s="2497">
        <v>0.3</v>
      </c>
      <c r="AB82" s="2498"/>
      <c r="AC82" s="2491">
        <f t="shared" si="23"/>
        <v>4344</v>
      </c>
      <c r="AD82" s="2536"/>
      <c r="AH82" s="2482"/>
      <c r="AI82"/>
    </row>
    <row r="83" spans="1:35" ht="15" x14ac:dyDescent="0.25">
      <c r="A83" s="2113">
        <v>42</v>
      </c>
      <c r="B83" s="2113">
        <v>67786</v>
      </c>
      <c r="C83" s="2484" t="s">
        <v>752</v>
      </c>
      <c r="D83" s="2114" t="s">
        <v>245</v>
      </c>
      <c r="E83" s="1508">
        <v>3</v>
      </c>
      <c r="F83" s="2114">
        <v>0</v>
      </c>
      <c r="G83" s="2114">
        <v>1</v>
      </c>
      <c r="H83" s="2115">
        <v>0.3</v>
      </c>
      <c r="I83" s="1794">
        <f t="shared" si="18"/>
        <v>100.3</v>
      </c>
      <c r="J83" s="1687">
        <v>20000</v>
      </c>
      <c r="K83" s="2492">
        <f t="shared" si="19"/>
        <v>2006000</v>
      </c>
      <c r="L83" s="45"/>
      <c r="M83" s="61"/>
      <c r="N83" s="50"/>
      <c r="O83" s="1506"/>
      <c r="P83" s="19"/>
      <c r="Q83" s="62"/>
      <c r="R83" s="1718"/>
      <c r="S83" s="18"/>
      <c r="T83" s="20"/>
      <c r="U83" s="1664"/>
      <c r="V83" s="47"/>
      <c r="W83" s="1794">
        <f t="shared" si="20"/>
        <v>2006000</v>
      </c>
      <c r="X83" s="1791">
        <f t="shared" si="21"/>
        <v>2006000</v>
      </c>
      <c r="Y83" s="2474"/>
      <c r="Z83" s="1794">
        <f t="shared" si="22"/>
        <v>2006000</v>
      </c>
      <c r="AA83" s="2497">
        <v>0.3</v>
      </c>
      <c r="AB83" s="2498"/>
      <c r="AC83" s="2491">
        <f t="shared" si="23"/>
        <v>6018</v>
      </c>
      <c r="AD83" s="2536"/>
      <c r="AH83" s="2482"/>
      <c r="AI83"/>
    </row>
    <row r="84" spans="1:35" x14ac:dyDescent="0.2">
      <c r="A84" s="2113">
        <v>43</v>
      </c>
      <c r="B84" s="2113">
        <v>67791</v>
      </c>
      <c r="C84" s="2100" t="s">
        <v>753</v>
      </c>
      <c r="D84" s="2114" t="s">
        <v>245</v>
      </c>
      <c r="E84" s="1508">
        <v>3</v>
      </c>
      <c r="F84" s="2485">
        <v>0</v>
      </c>
      <c r="G84" s="2109">
        <v>0</v>
      </c>
      <c r="H84" s="2486">
        <v>68.400000000000006</v>
      </c>
      <c r="I84" s="1794">
        <f t="shared" si="18"/>
        <v>68.400000000000006</v>
      </c>
      <c r="J84" s="1687">
        <v>20000</v>
      </c>
      <c r="K84" s="2492">
        <f t="shared" si="19"/>
        <v>1368000</v>
      </c>
      <c r="L84" s="2109"/>
      <c r="M84" s="100"/>
      <c r="N84" s="2109"/>
      <c r="O84" s="2109"/>
      <c r="P84" s="2486"/>
      <c r="Q84" s="2488"/>
      <c r="R84" s="2101"/>
      <c r="S84" s="2102"/>
      <c r="T84" s="2489"/>
      <c r="U84" s="2102"/>
      <c r="V84" s="2102"/>
      <c r="W84" s="1794">
        <f t="shared" si="20"/>
        <v>1368000</v>
      </c>
      <c r="X84" s="1791">
        <f t="shared" si="21"/>
        <v>1368000</v>
      </c>
      <c r="Y84" s="2474"/>
      <c r="Z84" s="1794">
        <f t="shared" si="22"/>
        <v>1368000</v>
      </c>
      <c r="AA84" s="2497">
        <v>0.3</v>
      </c>
      <c r="AB84" s="2498"/>
      <c r="AC84" s="2491">
        <f t="shared" si="23"/>
        <v>4104</v>
      </c>
      <c r="AD84" s="2536"/>
      <c r="AH84" s="2482"/>
      <c r="AI84"/>
    </row>
    <row r="85" spans="1:35" x14ac:dyDescent="0.2">
      <c r="A85" s="2113">
        <v>44</v>
      </c>
      <c r="B85" s="2113">
        <v>67792</v>
      </c>
      <c r="C85" s="2100" t="s">
        <v>754</v>
      </c>
      <c r="D85" s="2114" t="s">
        <v>245</v>
      </c>
      <c r="E85" s="1508">
        <v>3</v>
      </c>
      <c r="F85" s="2485">
        <v>0</v>
      </c>
      <c r="G85" s="2109">
        <v>0</v>
      </c>
      <c r="H85" s="2486">
        <v>65</v>
      </c>
      <c r="I85" s="1794">
        <f t="shared" si="18"/>
        <v>65</v>
      </c>
      <c r="J85" s="1687">
        <v>20000</v>
      </c>
      <c r="K85" s="2492">
        <f t="shared" si="19"/>
        <v>1300000</v>
      </c>
      <c r="L85" s="2109"/>
      <c r="M85" s="100"/>
      <c r="N85" s="2109"/>
      <c r="O85" s="2109"/>
      <c r="P85" s="2486"/>
      <c r="Q85" s="2488"/>
      <c r="R85" s="2101"/>
      <c r="S85" s="2102"/>
      <c r="T85" s="2489"/>
      <c r="U85" s="2102"/>
      <c r="V85" s="2102"/>
      <c r="W85" s="1794">
        <f t="shared" si="20"/>
        <v>1300000</v>
      </c>
      <c r="X85" s="1791">
        <f t="shared" si="21"/>
        <v>1300000</v>
      </c>
      <c r="Y85" s="2474"/>
      <c r="Z85" s="1794">
        <f t="shared" si="22"/>
        <v>1300000</v>
      </c>
      <c r="AA85" s="2497">
        <v>0.3</v>
      </c>
      <c r="AB85" s="2498"/>
      <c r="AC85" s="2491">
        <f t="shared" si="23"/>
        <v>3900</v>
      </c>
      <c r="AD85" s="2536"/>
      <c r="AH85" s="2482"/>
      <c r="AI85"/>
    </row>
    <row r="86" spans="1:35" x14ac:dyDescent="0.2">
      <c r="A86" s="2113">
        <v>45</v>
      </c>
      <c r="B86" s="2113">
        <v>67793</v>
      </c>
      <c r="C86" s="2100" t="s">
        <v>755</v>
      </c>
      <c r="D86" s="2114" t="s">
        <v>245</v>
      </c>
      <c r="E86" s="1508">
        <v>3</v>
      </c>
      <c r="F86" s="2485">
        <v>0</v>
      </c>
      <c r="G86" s="2109">
        <v>0</v>
      </c>
      <c r="H86" s="2486">
        <v>65.400000000000006</v>
      </c>
      <c r="I86" s="1794">
        <f t="shared" si="18"/>
        <v>65.400000000000006</v>
      </c>
      <c r="J86" s="1687">
        <v>20000</v>
      </c>
      <c r="K86" s="2492">
        <f t="shared" si="19"/>
        <v>1308000</v>
      </c>
      <c r="L86" s="2109"/>
      <c r="M86" s="100"/>
      <c r="N86" s="2109"/>
      <c r="O86" s="2109"/>
      <c r="P86" s="2486"/>
      <c r="Q86" s="2488"/>
      <c r="R86" s="2493"/>
      <c r="S86" s="2494"/>
      <c r="T86" s="2495"/>
      <c r="U86" s="2494"/>
      <c r="V86" s="2494"/>
      <c r="W86" s="1794">
        <f t="shared" si="20"/>
        <v>1308000</v>
      </c>
      <c r="X86" s="1791">
        <f t="shared" si="21"/>
        <v>1308000</v>
      </c>
      <c r="Y86" s="2496"/>
      <c r="Z86" s="1794">
        <f t="shared" si="22"/>
        <v>1308000</v>
      </c>
      <c r="AA86" s="2497">
        <v>0.3</v>
      </c>
      <c r="AB86" s="2498"/>
      <c r="AC86" s="2491">
        <f t="shared" si="23"/>
        <v>3924</v>
      </c>
      <c r="AD86" s="2536"/>
      <c r="AH86" s="2482"/>
      <c r="AI86"/>
    </row>
    <row r="87" spans="1:35" x14ac:dyDescent="0.2">
      <c r="A87" s="2113">
        <v>46</v>
      </c>
      <c r="B87" s="2113">
        <v>67794</v>
      </c>
      <c r="C87" s="2100" t="s">
        <v>756</v>
      </c>
      <c r="D87" s="2114" t="s">
        <v>245</v>
      </c>
      <c r="E87" s="1508">
        <v>3</v>
      </c>
      <c r="F87" s="2485">
        <v>0</v>
      </c>
      <c r="G87" s="2109">
        <v>0</v>
      </c>
      <c r="H87" s="2486">
        <v>60.3</v>
      </c>
      <c r="I87" s="1794">
        <f t="shared" si="18"/>
        <v>60.3</v>
      </c>
      <c r="J87" s="1687">
        <v>20000</v>
      </c>
      <c r="K87" s="2492">
        <f t="shared" si="19"/>
        <v>1206000</v>
      </c>
      <c r="L87" s="2109"/>
      <c r="M87" s="100"/>
      <c r="N87" s="2109"/>
      <c r="O87" s="2109"/>
      <c r="P87" s="2486"/>
      <c r="Q87" s="2488"/>
      <c r="R87" s="2493"/>
      <c r="S87" s="2494"/>
      <c r="T87" s="2495"/>
      <c r="U87" s="2494"/>
      <c r="V87" s="2494"/>
      <c r="W87" s="1794">
        <f t="shared" si="20"/>
        <v>1206000</v>
      </c>
      <c r="X87" s="1791">
        <f t="shared" si="21"/>
        <v>1206000</v>
      </c>
      <c r="Y87" s="2496"/>
      <c r="Z87" s="1794">
        <f t="shared" si="22"/>
        <v>1206000</v>
      </c>
      <c r="AA87" s="2497">
        <v>0.3</v>
      </c>
      <c r="AB87" s="2498"/>
      <c r="AC87" s="2491">
        <f t="shared" si="23"/>
        <v>3618</v>
      </c>
      <c r="AD87" s="2536"/>
      <c r="AH87" s="2482"/>
      <c r="AI87"/>
    </row>
    <row r="88" spans="1:35" x14ac:dyDescent="0.2">
      <c r="A88" s="2113">
        <v>47</v>
      </c>
      <c r="B88" s="2113">
        <v>67795</v>
      </c>
      <c r="C88" s="2100" t="s">
        <v>757</v>
      </c>
      <c r="D88" s="2114" t="s">
        <v>245</v>
      </c>
      <c r="E88" s="1508">
        <v>3</v>
      </c>
      <c r="F88" s="2472">
        <v>0</v>
      </c>
      <c r="G88" s="2113">
        <v>0</v>
      </c>
      <c r="H88" s="2477">
        <v>60.9</v>
      </c>
      <c r="I88" s="1794">
        <f t="shared" si="18"/>
        <v>60.9</v>
      </c>
      <c r="J88" s="1687">
        <v>20000</v>
      </c>
      <c r="K88" s="2492">
        <f t="shared" si="19"/>
        <v>1218000</v>
      </c>
      <c r="L88" s="2109"/>
      <c r="M88" s="100"/>
      <c r="N88" s="2109"/>
      <c r="O88" s="2109"/>
      <c r="P88" s="2486"/>
      <c r="Q88" s="2488"/>
      <c r="R88" s="2493"/>
      <c r="S88" s="2494"/>
      <c r="T88" s="2495"/>
      <c r="U88" s="2494"/>
      <c r="V88" s="2494"/>
      <c r="W88" s="1794">
        <f t="shared" si="20"/>
        <v>1218000</v>
      </c>
      <c r="X88" s="1791">
        <f t="shared" si="21"/>
        <v>1218000</v>
      </c>
      <c r="Y88" s="2496"/>
      <c r="Z88" s="1794">
        <f t="shared" si="22"/>
        <v>1218000</v>
      </c>
      <c r="AA88" s="2497">
        <v>0.3</v>
      </c>
      <c r="AB88" s="2498"/>
      <c r="AC88" s="2491">
        <f t="shared" si="23"/>
        <v>3654</v>
      </c>
      <c r="AD88" s="2536"/>
      <c r="AH88" s="2482"/>
      <c r="AI88"/>
    </row>
    <row r="89" spans="1:35" x14ac:dyDescent="0.2">
      <c r="A89" s="2113">
        <v>48</v>
      </c>
      <c r="B89" s="2113">
        <v>67796</v>
      </c>
      <c r="C89" s="2100" t="s">
        <v>758</v>
      </c>
      <c r="D89" s="2114" t="s">
        <v>245</v>
      </c>
      <c r="E89" s="1508">
        <v>3</v>
      </c>
      <c r="F89" s="2472">
        <v>0</v>
      </c>
      <c r="G89" s="2113">
        <v>0</v>
      </c>
      <c r="H89" s="2477">
        <v>53</v>
      </c>
      <c r="I89" s="1794">
        <f t="shared" si="18"/>
        <v>53</v>
      </c>
      <c r="J89" s="1687">
        <v>20000</v>
      </c>
      <c r="K89" s="2492">
        <f t="shared" si="19"/>
        <v>1060000</v>
      </c>
      <c r="L89" s="2109"/>
      <c r="M89" s="100"/>
      <c r="N89" s="2109"/>
      <c r="O89" s="2109"/>
      <c r="P89" s="2486"/>
      <c r="Q89" s="2488"/>
      <c r="R89" s="2493"/>
      <c r="S89" s="2494"/>
      <c r="T89" s="2495"/>
      <c r="U89" s="2494"/>
      <c r="V89" s="2494"/>
      <c r="W89" s="1794">
        <f t="shared" si="20"/>
        <v>1060000</v>
      </c>
      <c r="X89" s="1791">
        <f t="shared" si="21"/>
        <v>1060000</v>
      </c>
      <c r="Y89" s="2496"/>
      <c r="Z89" s="1794">
        <f t="shared" si="22"/>
        <v>1060000</v>
      </c>
      <c r="AA89" s="2497">
        <v>0.3</v>
      </c>
      <c r="AB89" s="2498"/>
      <c r="AC89" s="2491">
        <f t="shared" si="23"/>
        <v>3180</v>
      </c>
      <c r="AD89" s="2536"/>
      <c r="AH89" s="2482"/>
      <c r="AI89"/>
    </row>
    <row r="90" spans="1:35" x14ac:dyDescent="0.2">
      <c r="A90" s="2113">
        <v>49</v>
      </c>
      <c r="B90" s="2113">
        <v>67797</v>
      </c>
      <c r="C90" s="2100" t="s">
        <v>759</v>
      </c>
      <c r="D90" s="2114" t="s">
        <v>245</v>
      </c>
      <c r="E90" s="1508">
        <v>3</v>
      </c>
      <c r="F90" s="2472">
        <v>0</v>
      </c>
      <c r="G90" s="2113">
        <v>0</v>
      </c>
      <c r="H90" s="2477">
        <v>52.1</v>
      </c>
      <c r="I90" s="1794">
        <f t="shared" si="18"/>
        <v>52.1</v>
      </c>
      <c r="J90" s="1687">
        <v>20000</v>
      </c>
      <c r="K90" s="2492">
        <f t="shared" si="19"/>
        <v>1042000</v>
      </c>
      <c r="L90" s="2109"/>
      <c r="M90" s="100"/>
      <c r="N90" s="2109"/>
      <c r="O90" s="2109"/>
      <c r="P90" s="2486"/>
      <c r="Q90" s="2488"/>
      <c r="R90" s="2493"/>
      <c r="S90" s="2494"/>
      <c r="T90" s="2495"/>
      <c r="U90" s="2494"/>
      <c r="V90" s="2494"/>
      <c r="W90" s="1794">
        <f t="shared" si="20"/>
        <v>1042000</v>
      </c>
      <c r="X90" s="1791">
        <f t="shared" si="21"/>
        <v>1042000</v>
      </c>
      <c r="Y90" s="2496"/>
      <c r="Z90" s="1794">
        <f t="shared" si="22"/>
        <v>1042000</v>
      </c>
      <c r="AA90" s="2497">
        <v>0.3</v>
      </c>
      <c r="AB90" s="2498"/>
      <c r="AC90" s="2491">
        <f t="shared" si="23"/>
        <v>3126</v>
      </c>
      <c r="AD90" s="2536"/>
      <c r="AH90" s="2482"/>
      <c r="AI90"/>
    </row>
    <row r="91" spans="1:35" x14ac:dyDescent="0.2">
      <c r="A91" s="2113">
        <v>50</v>
      </c>
      <c r="B91" s="2113">
        <v>67798</v>
      </c>
      <c r="C91" s="2100" t="s">
        <v>760</v>
      </c>
      <c r="D91" s="2114" t="s">
        <v>245</v>
      </c>
      <c r="E91" s="1508">
        <v>3</v>
      </c>
      <c r="F91" s="2472">
        <v>0</v>
      </c>
      <c r="G91" s="2113">
        <v>0</v>
      </c>
      <c r="H91" s="2477">
        <v>58.5</v>
      </c>
      <c r="I91" s="1794">
        <f t="shared" si="18"/>
        <v>58.5</v>
      </c>
      <c r="J91" s="1687">
        <v>20000</v>
      </c>
      <c r="K91" s="2492">
        <f t="shared" si="19"/>
        <v>1170000</v>
      </c>
      <c r="L91" s="2109"/>
      <c r="M91" s="100"/>
      <c r="N91" s="2109"/>
      <c r="O91" s="2109"/>
      <c r="P91" s="2486"/>
      <c r="Q91" s="2488"/>
      <c r="R91" s="2493"/>
      <c r="S91" s="2494"/>
      <c r="T91" s="2495"/>
      <c r="U91" s="2494"/>
      <c r="V91" s="2494"/>
      <c r="W91" s="1794">
        <f t="shared" si="20"/>
        <v>1170000</v>
      </c>
      <c r="X91" s="1791">
        <f t="shared" si="21"/>
        <v>1170000</v>
      </c>
      <c r="Y91" s="2496"/>
      <c r="Z91" s="1794">
        <f t="shared" si="22"/>
        <v>1170000</v>
      </c>
      <c r="AA91" s="2497">
        <v>0.3</v>
      </c>
      <c r="AB91" s="2498"/>
      <c r="AC91" s="2491">
        <f t="shared" si="23"/>
        <v>3510</v>
      </c>
      <c r="AD91" s="2536"/>
      <c r="AH91" s="2482"/>
      <c r="AI91"/>
    </row>
    <row r="92" spans="1:35" x14ac:dyDescent="0.2">
      <c r="A92" s="2113">
        <v>51</v>
      </c>
      <c r="B92" s="2113">
        <v>67799</v>
      </c>
      <c r="C92" s="2100" t="s">
        <v>761</v>
      </c>
      <c r="D92" s="2114" t="s">
        <v>245</v>
      </c>
      <c r="E92" s="1508">
        <v>3</v>
      </c>
      <c r="F92" s="2472">
        <v>0</v>
      </c>
      <c r="G92" s="2113">
        <v>0</v>
      </c>
      <c r="H92" s="2477">
        <v>56.2</v>
      </c>
      <c r="I92" s="1794">
        <f t="shared" si="18"/>
        <v>56.2</v>
      </c>
      <c r="J92" s="1687">
        <v>20000</v>
      </c>
      <c r="K92" s="2492">
        <f t="shared" si="19"/>
        <v>1124000</v>
      </c>
      <c r="L92" s="2109"/>
      <c r="M92" s="100"/>
      <c r="N92" s="2109"/>
      <c r="O92" s="2109"/>
      <c r="P92" s="2486"/>
      <c r="Q92" s="2488"/>
      <c r="R92" s="2493"/>
      <c r="S92" s="2494"/>
      <c r="T92" s="2495"/>
      <c r="U92" s="2494"/>
      <c r="V92" s="2494"/>
      <c r="W92" s="1794">
        <f t="shared" si="20"/>
        <v>1124000</v>
      </c>
      <c r="X92" s="1791">
        <f t="shared" si="21"/>
        <v>1124000</v>
      </c>
      <c r="Y92" s="2496"/>
      <c r="Z92" s="1794">
        <f t="shared" si="22"/>
        <v>1124000</v>
      </c>
      <c r="AA92" s="2497">
        <v>0.3</v>
      </c>
      <c r="AB92" s="2498"/>
      <c r="AC92" s="2491">
        <f t="shared" si="23"/>
        <v>3372</v>
      </c>
      <c r="AD92" s="2536"/>
      <c r="AH92" s="2482"/>
      <c r="AI92"/>
    </row>
    <row r="93" spans="1:35" x14ac:dyDescent="0.2">
      <c r="A93" s="2113">
        <v>52</v>
      </c>
      <c r="B93" s="2113">
        <v>67800</v>
      </c>
      <c r="C93" s="2100" t="s">
        <v>762</v>
      </c>
      <c r="D93" s="2114" t="s">
        <v>245</v>
      </c>
      <c r="E93" s="1508">
        <v>3</v>
      </c>
      <c r="F93" s="2472">
        <v>0</v>
      </c>
      <c r="G93" s="2113">
        <v>0</v>
      </c>
      <c r="H93" s="2477">
        <v>56.2</v>
      </c>
      <c r="I93" s="1794">
        <f t="shared" si="18"/>
        <v>56.2</v>
      </c>
      <c r="J93" s="1687">
        <v>20000</v>
      </c>
      <c r="K93" s="2492">
        <f t="shared" si="19"/>
        <v>1124000</v>
      </c>
      <c r="L93" s="2109"/>
      <c r="M93" s="100"/>
      <c r="N93" s="2109"/>
      <c r="O93" s="2109"/>
      <c r="P93" s="2486"/>
      <c r="Q93" s="2488"/>
      <c r="R93" s="2493"/>
      <c r="S93" s="2494"/>
      <c r="T93" s="2495"/>
      <c r="U93" s="2494"/>
      <c r="V93" s="2494"/>
      <c r="W93" s="1794">
        <f t="shared" si="20"/>
        <v>1124000</v>
      </c>
      <c r="X93" s="1791">
        <f t="shared" si="21"/>
        <v>1124000</v>
      </c>
      <c r="Y93" s="2496"/>
      <c r="Z93" s="1794">
        <f t="shared" si="22"/>
        <v>1124000</v>
      </c>
      <c r="AA93" s="2497">
        <v>0.3</v>
      </c>
      <c r="AB93" s="2498"/>
      <c r="AC93" s="2491">
        <f t="shared" si="23"/>
        <v>3372</v>
      </c>
      <c r="AD93" s="2491">
        <f t="shared" si="23"/>
        <v>0</v>
      </c>
      <c r="AE93" s="2491">
        <f t="shared" si="23"/>
        <v>0</v>
      </c>
      <c r="AF93" s="2491">
        <f t="shared" si="23"/>
        <v>0</v>
      </c>
      <c r="AG93" s="2491">
        <f t="shared" si="23"/>
        <v>0</v>
      </c>
      <c r="AH93" s="2491"/>
      <c r="AI93"/>
    </row>
    <row r="94" spans="1:35" ht="15" thickBot="1" x14ac:dyDescent="0.25">
      <c r="A94" s="2641"/>
      <c r="B94" s="2642"/>
      <c r="C94" s="2643"/>
      <c r="D94" s="2644"/>
      <c r="E94" s="2645"/>
      <c r="F94" s="2646"/>
      <c r="G94" s="2644"/>
      <c r="H94" s="2647"/>
      <c r="I94" s="2648"/>
      <c r="J94" s="2649"/>
      <c r="K94" s="2641"/>
      <c r="L94" s="2641"/>
      <c r="M94" s="2650"/>
      <c r="N94" s="2641"/>
      <c r="O94" s="2641"/>
      <c r="P94" s="2647"/>
      <c r="Q94" s="2643"/>
      <c r="R94" s="2651"/>
      <c r="S94" s="2652"/>
      <c r="T94" s="2653"/>
      <c r="U94" s="2652"/>
      <c r="V94" s="2652"/>
      <c r="W94" s="2648"/>
      <c r="X94" s="2648"/>
      <c r="Y94" s="2654"/>
      <c r="Z94" s="2612">
        <f>SUM(Z77:Z93)</f>
        <v>23522000</v>
      </c>
      <c r="AA94" s="2613"/>
      <c r="AB94" s="2613"/>
      <c r="AC94" s="2614">
        <f>SUM(AC77:AC93)</f>
        <v>70566</v>
      </c>
      <c r="AD94" s="2614">
        <f t="shared" ref="AD94:AG94" si="24">SUM(AD77:AD93)</f>
        <v>0</v>
      </c>
      <c r="AE94" s="2614">
        <f t="shared" si="24"/>
        <v>0</v>
      </c>
      <c r="AF94" s="2614">
        <f t="shared" si="24"/>
        <v>0</v>
      </c>
      <c r="AG94" s="2614">
        <f t="shared" si="24"/>
        <v>0</v>
      </c>
      <c r="AH94" s="2655"/>
      <c r="AI94"/>
    </row>
    <row r="95" spans="1:35" ht="16.5" thickTop="1" x14ac:dyDescent="0.25">
      <c r="A95" s="2854" t="s">
        <v>76</v>
      </c>
      <c r="B95" s="2854"/>
      <c r="C95" s="2843" t="s">
        <v>77</v>
      </c>
      <c r="D95" s="2843"/>
      <c r="E95" s="2843"/>
      <c r="F95" s="2843"/>
      <c r="G95" s="2843"/>
      <c r="H95" s="2843"/>
      <c r="I95" s="2567" t="s">
        <v>78</v>
      </c>
      <c r="J95" s="2567"/>
      <c r="K95" s="2567"/>
      <c r="L95" s="2567"/>
      <c r="M95" s="2567"/>
      <c r="N95" s="2567"/>
      <c r="AC95" s="2476"/>
      <c r="AI95"/>
    </row>
    <row r="96" spans="1:35" ht="15.75" x14ac:dyDescent="0.25">
      <c r="A96" s="2568"/>
      <c r="B96" s="2569"/>
      <c r="C96" s="2567"/>
      <c r="D96" s="2567"/>
      <c r="E96" s="2567"/>
      <c r="F96" s="2567"/>
      <c r="G96" s="2567"/>
      <c r="H96" s="2567"/>
      <c r="I96" s="2567" t="s">
        <v>79</v>
      </c>
      <c r="J96" s="2567"/>
      <c r="K96" s="2567"/>
      <c r="L96" s="2567"/>
      <c r="M96" s="2567"/>
      <c r="N96" s="2567"/>
      <c r="AC96" s="2476"/>
      <c r="AI96"/>
    </row>
    <row r="97" spans="1:35" ht="15.75" x14ac:dyDescent="0.25">
      <c r="A97" s="2568"/>
      <c r="B97" s="2569"/>
      <c r="C97" s="2567"/>
      <c r="D97" s="2567"/>
      <c r="E97" s="2567"/>
      <c r="F97" s="2567"/>
      <c r="G97" s="2567"/>
      <c r="H97" s="2567"/>
      <c r="I97" s="2567" t="s">
        <v>80</v>
      </c>
      <c r="J97" s="2567"/>
      <c r="K97" s="2567"/>
      <c r="L97" s="2567"/>
      <c r="M97" s="2567"/>
      <c r="N97" s="2567"/>
      <c r="AC97" s="2476"/>
      <c r="AI97"/>
    </row>
    <row r="98" spans="1:35" ht="15.75" x14ac:dyDescent="0.25">
      <c r="A98" s="2568"/>
      <c r="B98" s="2569"/>
      <c r="C98" s="2567"/>
      <c r="D98" s="2567"/>
      <c r="E98" s="2567"/>
      <c r="F98" s="2567"/>
      <c r="G98" s="2567"/>
      <c r="H98" s="2567"/>
      <c r="I98" s="2567" t="s">
        <v>81</v>
      </c>
      <c r="J98" s="2567"/>
      <c r="K98" s="2567"/>
      <c r="L98" s="2567"/>
      <c r="M98" s="2567"/>
      <c r="N98" s="2567"/>
      <c r="AC98" s="2476"/>
      <c r="AI98"/>
    </row>
    <row r="99" spans="1:35" ht="15.75" x14ac:dyDescent="0.25">
      <c r="A99" s="2568"/>
      <c r="B99" s="2569"/>
      <c r="C99" s="2567"/>
      <c r="D99" s="2567"/>
      <c r="E99" s="2567"/>
      <c r="F99" s="2567"/>
      <c r="G99" s="2567"/>
      <c r="H99" s="2567"/>
      <c r="I99" s="2567" t="s">
        <v>88</v>
      </c>
      <c r="J99" s="2567"/>
      <c r="K99" s="2567"/>
      <c r="L99" s="2567"/>
      <c r="M99" s="2567"/>
      <c r="N99" s="2567"/>
      <c r="AC99" s="2476"/>
      <c r="AI99"/>
    </row>
    <row r="100" spans="1:35" ht="15.75" x14ac:dyDescent="0.25">
      <c r="A100" s="2568"/>
      <c r="B100" s="2569"/>
      <c r="C100" s="2567"/>
      <c r="D100" s="2567"/>
      <c r="E100" s="2567"/>
      <c r="F100" s="2567"/>
      <c r="G100" s="2567"/>
      <c r="H100" s="2567"/>
      <c r="I100" s="2567"/>
      <c r="J100" s="2567"/>
      <c r="K100" s="2567"/>
      <c r="L100" s="2567"/>
      <c r="M100" s="2567"/>
      <c r="N100" s="2567"/>
      <c r="AC100" s="2476"/>
      <c r="AI100"/>
    </row>
    <row r="101" spans="1:35" ht="15.75" x14ac:dyDescent="0.25">
      <c r="A101" s="2568"/>
      <c r="B101" s="2569"/>
      <c r="C101" s="2567"/>
      <c r="D101" s="2567"/>
      <c r="E101" s="2567"/>
      <c r="F101" s="2567"/>
      <c r="G101" s="2567"/>
      <c r="H101" s="2567"/>
      <c r="I101" s="2567"/>
      <c r="J101" s="2567"/>
      <c r="K101" s="2567"/>
      <c r="L101" s="2567"/>
      <c r="M101" s="2567"/>
      <c r="N101" s="2567"/>
      <c r="AC101" s="2476"/>
      <c r="AI101"/>
    </row>
    <row r="102" spans="1:35" ht="18.75" x14ac:dyDescent="0.25">
      <c r="A102" s="2568"/>
      <c r="B102" s="2569"/>
      <c r="C102" s="2567"/>
      <c r="D102" s="2567"/>
      <c r="E102" s="2567"/>
      <c r="F102" s="2567"/>
      <c r="G102" s="2567"/>
      <c r="H102" s="2567"/>
      <c r="I102" s="2567"/>
      <c r="J102" s="2567"/>
      <c r="K102" s="2567"/>
      <c r="L102" s="2567"/>
      <c r="M102" s="2567"/>
      <c r="N102" s="2567"/>
      <c r="AA102" s="2776" t="s">
        <v>0</v>
      </c>
      <c r="AB102" s="2776"/>
      <c r="AC102" s="2776"/>
      <c r="AD102" s="2776"/>
      <c r="AI102"/>
    </row>
    <row r="103" spans="1:35" ht="18.75" x14ac:dyDescent="0.2">
      <c r="A103" s="2707" t="s">
        <v>1</v>
      </c>
      <c r="B103" s="2707"/>
      <c r="C103" s="2707"/>
      <c r="D103" s="2707"/>
      <c r="E103" s="2707"/>
      <c r="F103" s="2707"/>
      <c r="G103" s="2707"/>
      <c r="H103" s="2707"/>
      <c r="I103" s="2707"/>
      <c r="J103" s="2707"/>
      <c r="K103" s="2707"/>
      <c r="L103" s="2707"/>
      <c r="M103" s="2707"/>
      <c r="N103" s="2707"/>
      <c r="O103" s="2707"/>
      <c r="P103" s="2707"/>
      <c r="Q103" s="2707"/>
      <c r="R103" s="2707"/>
      <c r="S103" s="2707"/>
      <c r="T103" s="2707"/>
      <c r="U103" s="2707"/>
      <c r="V103" s="2707"/>
      <c r="W103" s="2707"/>
      <c r="X103" s="2707"/>
      <c r="Y103" s="2707"/>
      <c r="Z103" s="2707"/>
      <c r="AA103" s="2707"/>
      <c r="AB103" s="2707"/>
      <c r="AC103" s="2707"/>
      <c r="AI103"/>
    </row>
    <row r="104" spans="1:35" ht="18" x14ac:dyDescent="0.2">
      <c r="A104" s="2846" t="s">
        <v>984</v>
      </c>
      <c r="B104" s="2846"/>
      <c r="C104" s="2846"/>
      <c r="D104" s="2846"/>
      <c r="E104" s="2846"/>
      <c r="F104" s="2846"/>
      <c r="G104" s="2846"/>
      <c r="H104" s="2846"/>
      <c r="I104" s="2846"/>
      <c r="J104" s="2846"/>
      <c r="K104" s="2846"/>
      <c r="L104" s="2846"/>
      <c r="M104" s="2846"/>
      <c r="N104" s="2846"/>
      <c r="O104" s="2846"/>
      <c r="P104" s="2846"/>
      <c r="Q104" s="2846"/>
      <c r="R104" s="2846"/>
      <c r="S104" s="2846"/>
      <c r="T104" s="2846"/>
      <c r="U104" s="2846"/>
      <c r="V104" s="2846"/>
      <c r="W104" s="2846"/>
      <c r="X104" s="2846"/>
      <c r="Y104" s="2846"/>
      <c r="Z104" s="2846"/>
      <c r="AA104" s="2846"/>
      <c r="AB104" s="2846"/>
      <c r="AC104" s="2846"/>
      <c r="AD104" s="2192"/>
      <c r="AI104"/>
    </row>
    <row r="105" spans="1:35" ht="15" x14ac:dyDescent="0.25">
      <c r="A105" s="2709" t="s">
        <v>2</v>
      </c>
      <c r="B105" s="2572"/>
      <c r="C105" s="2709" t="s">
        <v>3</v>
      </c>
      <c r="D105" s="2572"/>
      <c r="E105" s="2572"/>
      <c r="F105" s="2712" t="s">
        <v>4</v>
      </c>
      <c r="G105" s="2712"/>
      <c r="H105" s="2712"/>
      <c r="I105" s="2713"/>
      <c r="J105" s="2713"/>
      <c r="K105" s="2714"/>
      <c r="L105" s="2"/>
      <c r="M105" s="2715" t="s">
        <v>5</v>
      </c>
      <c r="N105" s="2715"/>
      <c r="O105" s="2715"/>
      <c r="P105" s="2715"/>
      <c r="Q105" s="2716"/>
      <c r="R105" s="2716"/>
      <c r="S105" s="2716"/>
      <c r="T105" s="2716"/>
      <c r="U105" s="2716"/>
      <c r="V105" s="2717"/>
      <c r="W105" s="2573" t="s">
        <v>6</v>
      </c>
      <c r="X105" s="2574" t="s">
        <v>7</v>
      </c>
      <c r="Y105" s="2575"/>
      <c r="Z105" s="2575"/>
      <c r="AA105" s="2574"/>
      <c r="AB105" s="2574"/>
      <c r="AC105" s="2576"/>
      <c r="AD105" s="2221" t="s">
        <v>8</v>
      </c>
      <c r="AH105" s="2845" t="s">
        <v>76</v>
      </c>
      <c r="AI105"/>
    </row>
    <row r="106" spans="1:35" x14ac:dyDescent="0.2">
      <c r="A106" s="2710"/>
      <c r="B106" s="4"/>
      <c r="C106" s="2710"/>
      <c r="D106" s="2577" t="s">
        <v>9</v>
      </c>
      <c r="E106" s="2578" t="s">
        <v>10</v>
      </c>
      <c r="F106" s="2718" t="s">
        <v>11</v>
      </c>
      <c r="G106" s="2713"/>
      <c r="H106" s="2714"/>
      <c r="I106" s="2572"/>
      <c r="J106" s="2579" t="s">
        <v>12</v>
      </c>
      <c r="K106" s="2572"/>
      <c r="L106" s="2715" t="s">
        <v>2</v>
      </c>
      <c r="M106" s="2580"/>
      <c r="N106" s="2580"/>
      <c r="O106" s="2580"/>
      <c r="P106" s="2581"/>
      <c r="Q106" s="2582" t="s">
        <v>13</v>
      </c>
      <c r="R106" s="2583" t="s">
        <v>12</v>
      </c>
      <c r="S106" s="2580" t="s">
        <v>6</v>
      </c>
      <c r="T106" s="2724" t="s">
        <v>14</v>
      </c>
      <c r="U106" s="2725"/>
      <c r="V106" s="2584" t="s">
        <v>7</v>
      </c>
      <c r="W106" s="2585" t="s">
        <v>15</v>
      </c>
      <c r="X106" s="2586" t="s">
        <v>16</v>
      </c>
      <c r="Y106" s="2586" t="s">
        <v>17</v>
      </c>
      <c r="Z106" s="2586" t="s">
        <v>18</v>
      </c>
      <c r="AA106" s="5"/>
      <c r="AB106" s="5"/>
      <c r="AC106" s="55" t="s">
        <v>19</v>
      </c>
      <c r="AD106" s="2223" t="s">
        <v>20</v>
      </c>
      <c r="AH106" s="2845"/>
      <c r="AI106"/>
    </row>
    <row r="107" spans="1:35" x14ac:dyDescent="0.2">
      <c r="A107" s="2710"/>
      <c r="B107" s="2454" t="s">
        <v>23</v>
      </c>
      <c r="C107" s="2710"/>
      <c r="D107" s="2577" t="s">
        <v>24</v>
      </c>
      <c r="E107" s="2578" t="s">
        <v>25</v>
      </c>
      <c r="F107" s="2719"/>
      <c r="G107" s="2720"/>
      <c r="H107" s="2721"/>
      <c r="I107" s="2577" t="s">
        <v>26</v>
      </c>
      <c r="J107" s="2587" t="s">
        <v>15</v>
      </c>
      <c r="K107" s="2588" t="s">
        <v>6</v>
      </c>
      <c r="L107" s="2722"/>
      <c r="M107" s="2589" t="s">
        <v>27</v>
      </c>
      <c r="N107" s="2589" t="s">
        <v>10</v>
      </c>
      <c r="O107" s="2590" t="s">
        <v>10</v>
      </c>
      <c r="P107" s="2591" t="s">
        <v>28</v>
      </c>
      <c r="Q107" s="2592" t="s">
        <v>29</v>
      </c>
      <c r="R107" s="2591" t="s">
        <v>15</v>
      </c>
      <c r="S107" s="8" t="s">
        <v>15</v>
      </c>
      <c r="T107" s="2726"/>
      <c r="U107" s="2727"/>
      <c r="V107" s="2584" t="s">
        <v>30</v>
      </c>
      <c r="W107" s="2585" t="s">
        <v>31</v>
      </c>
      <c r="X107" s="2586" t="s">
        <v>30</v>
      </c>
      <c r="Y107" s="2586" t="s">
        <v>32</v>
      </c>
      <c r="Z107" s="2586" t="s">
        <v>7</v>
      </c>
      <c r="AA107" s="5" t="s">
        <v>33</v>
      </c>
      <c r="AB107" s="5"/>
      <c r="AC107" s="55" t="s">
        <v>34</v>
      </c>
      <c r="AD107" s="2223" t="s">
        <v>35</v>
      </c>
      <c r="AH107" s="2845"/>
      <c r="AI107"/>
    </row>
    <row r="108" spans="1:35" x14ac:dyDescent="0.2">
      <c r="A108" s="2710"/>
      <c r="B108" s="2454" t="s">
        <v>39</v>
      </c>
      <c r="C108" s="2710"/>
      <c r="D108" s="2577" t="s">
        <v>40</v>
      </c>
      <c r="E108" s="2578" t="s">
        <v>41</v>
      </c>
      <c r="F108" s="2709" t="s">
        <v>42</v>
      </c>
      <c r="G108" s="2709" t="s">
        <v>43</v>
      </c>
      <c r="H108" s="2728" t="s">
        <v>44</v>
      </c>
      <c r="I108" s="2577" t="s">
        <v>45</v>
      </c>
      <c r="J108" s="2587" t="s">
        <v>46</v>
      </c>
      <c r="K108" s="2588" t="s">
        <v>47</v>
      </c>
      <c r="L108" s="2722"/>
      <c r="M108" s="2589" t="s">
        <v>30</v>
      </c>
      <c r="N108" s="2589" t="s">
        <v>30</v>
      </c>
      <c r="O108" s="2590" t="s">
        <v>25</v>
      </c>
      <c r="P108" s="2591" t="s">
        <v>30</v>
      </c>
      <c r="Q108" s="2592" t="s">
        <v>48</v>
      </c>
      <c r="R108" s="2591" t="s">
        <v>49</v>
      </c>
      <c r="S108" s="8" t="s">
        <v>30</v>
      </c>
      <c r="T108" s="2593" t="s">
        <v>50</v>
      </c>
      <c r="U108" s="2594" t="s">
        <v>13</v>
      </c>
      <c r="V108" s="2584" t="s">
        <v>51</v>
      </c>
      <c r="W108" s="2585" t="s">
        <v>52</v>
      </c>
      <c r="X108" s="2586" t="s">
        <v>53</v>
      </c>
      <c r="Y108" s="2586" t="s">
        <v>54</v>
      </c>
      <c r="Z108" s="2586" t="s">
        <v>55</v>
      </c>
      <c r="AA108" s="5" t="s">
        <v>56</v>
      </c>
      <c r="AB108" s="5"/>
      <c r="AC108" s="55" t="s">
        <v>57</v>
      </c>
      <c r="AD108" s="6" t="s">
        <v>58</v>
      </c>
      <c r="AH108" s="2845"/>
      <c r="AI108"/>
    </row>
    <row r="109" spans="1:35" ht="15" x14ac:dyDescent="0.25">
      <c r="A109" s="2710"/>
      <c r="B109" s="2454" t="s">
        <v>61</v>
      </c>
      <c r="C109" s="2710"/>
      <c r="D109" s="2577" t="s">
        <v>62</v>
      </c>
      <c r="E109" s="2578" t="s">
        <v>63</v>
      </c>
      <c r="F109" s="2710"/>
      <c r="G109" s="2710"/>
      <c r="H109" s="2729"/>
      <c r="I109" s="2577" t="s">
        <v>64</v>
      </c>
      <c r="J109" s="2587" t="s">
        <v>59</v>
      </c>
      <c r="K109" s="2588" t="s">
        <v>59</v>
      </c>
      <c r="L109" s="2722"/>
      <c r="M109" s="2589"/>
      <c r="N109" s="2589"/>
      <c r="O109" s="2590" t="s">
        <v>41</v>
      </c>
      <c r="P109" s="2591" t="s">
        <v>65</v>
      </c>
      <c r="Q109" s="2592" t="s">
        <v>66</v>
      </c>
      <c r="R109" s="2591" t="s">
        <v>67</v>
      </c>
      <c r="S109" s="8" t="s">
        <v>59</v>
      </c>
      <c r="T109" s="2595" t="s">
        <v>68</v>
      </c>
      <c r="U109" s="2584" t="s">
        <v>14</v>
      </c>
      <c r="V109" s="2584" t="s">
        <v>14</v>
      </c>
      <c r="W109" s="2585" t="s">
        <v>30</v>
      </c>
      <c r="X109" s="2596" t="s">
        <v>69</v>
      </c>
      <c r="Y109" s="2596" t="s">
        <v>70</v>
      </c>
      <c r="Z109" s="2586" t="s">
        <v>71</v>
      </c>
      <c r="AA109" s="5" t="s">
        <v>72</v>
      </c>
      <c r="AB109" s="5"/>
      <c r="AC109" s="2597" t="s">
        <v>59</v>
      </c>
      <c r="AD109" s="6" t="s">
        <v>59</v>
      </c>
      <c r="AH109" s="2845"/>
      <c r="AI109"/>
    </row>
    <row r="110" spans="1:35" x14ac:dyDescent="0.2">
      <c r="A110" s="2711"/>
      <c r="B110" s="9"/>
      <c r="C110" s="2711"/>
      <c r="D110" s="2598"/>
      <c r="E110" s="2599"/>
      <c r="F110" s="9"/>
      <c r="G110" s="9"/>
      <c r="H110" s="10"/>
      <c r="I110" s="2599"/>
      <c r="J110" s="2600"/>
      <c r="K110" s="2601"/>
      <c r="L110" s="2723"/>
      <c r="M110" s="2602"/>
      <c r="N110" s="2602"/>
      <c r="O110" s="2602" t="s">
        <v>63</v>
      </c>
      <c r="P110" s="2603"/>
      <c r="Q110" s="2604" t="s">
        <v>72</v>
      </c>
      <c r="R110" s="2605" t="s">
        <v>59</v>
      </c>
      <c r="S110" s="2606"/>
      <c r="T110" s="2605" t="s">
        <v>73</v>
      </c>
      <c r="U110" s="2606" t="s">
        <v>59</v>
      </c>
      <c r="V110" s="2607" t="s">
        <v>59</v>
      </c>
      <c r="W110" s="2608" t="s">
        <v>59</v>
      </c>
      <c r="X110" s="2609" t="s">
        <v>59</v>
      </c>
      <c r="Y110" s="2609" t="s">
        <v>59</v>
      </c>
      <c r="Z110" s="2609" t="s">
        <v>59</v>
      </c>
      <c r="AA110" s="11"/>
      <c r="AB110" s="11"/>
      <c r="AC110" s="56"/>
      <c r="AD110" s="12"/>
      <c r="AH110" s="2845"/>
      <c r="AI110"/>
    </row>
    <row r="111" spans="1:35" x14ac:dyDescent="0.2">
      <c r="A111" s="2113">
        <v>53</v>
      </c>
      <c r="B111" s="2113">
        <v>67801</v>
      </c>
      <c r="C111" s="2100" t="s">
        <v>763</v>
      </c>
      <c r="D111" s="2114" t="s">
        <v>245</v>
      </c>
      <c r="E111" s="1508">
        <v>3</v>
      </c>
      <c r="F111" s="2472">
        <v>0</v>
      </c>
      <c r="G111" s="2113">
        <v>0</v>
      </c>
      <c r="H111" s="2477">
        <v>79.8</v>
      </c>
      <c r="I111" s="1794">
        <f t="shared" ref="I111:I127" si="25">F111*400+G111*100+H111</f>
        <v>79.8</v>
      </c>
      <c r="J111" s="1687">
        <v>20000</v>
      </c>
      <c r="K111" s="2492">
        <f t="shared" ref="K111:K127" si="26">SUM(I111*J111)</f>
        <v>1596000</v>
      </c>
      <c r="L111" s="2109"/>
      <c r="M111" s="100"/>
      <c r="N111" s="2109"/>
      <c r="O111" s="2109"/>
      <c r="P111" s="2486"/>
      <c r="Q111" s="2488"/>
      <c r="R111" s="2493"/>
      <c r="S111" s="2494"/>
      <c r="T111" s="2495"/>
      <c r="U111" s="2494"/>
      <c r="V111" s="2494"/>
      <c r="W111" s="1794">
        <f t="shared" ref="W111:W127" si="27">+K111</f>
        <v>1596000</v>
      </c>
      <c r="X111" s="1791">
        <f t="shared" ref="X111:X127" si="28">+W111</f>
        <v>1596000</v>
      </c>
      <c r="Y111" s="2496"/>
      <c r="Z111" s="1794">
        <f t="shared" ref="Z111:Z127" si="29">+X111</f>
        <v>1596000</v>
      </c>
      <c r="AA111" s="2497">
        <v>0.3</v>
      </c>
      <c r="AB111" s="2498"/>
      <c r="AC111" s="2491">
        <f t="shared" ref="AC111:AC120" si="30">+Z111*AA111/100</f>
        <v>4788</v>
      </c>
      <c r="AD111" s="2535"/>
      <c r="AH111" s="2482"/>
      <c r="AI111"/>
    </row>
    <row r="112" spans="1:35" x14ac:dyDescent="0.2">
      <c r="A112" s="2113">
        <v>54</v>
      </c>
      <c r="B112" s="2113">
        <v>67802</v>
      </c>
      <c r="C112" s="2100" t="s">
        <v>764</v>
      </c>
      <c r="D112" s="2114" t="s">
        <v>245</v>
      </c>
      <c r="E112" s="1508">
        <v>3</v>
      </c>
      <c r="F112" s="2114">
        <v>0</v>
      </c>
      <c r="G112" s="2114">
        <v>0</v>
      </c>
      <c r="H112" s="2115">
        <v>63.7</v>
      </c>
      <c r="I112" s="1794">
        <f t="shared" si="25"/>
        <v>63.7</v>
      </c>
      <c r="J112" s="1687">
        <v>20000</v>
      </c>
      <c r="K112" s="2492">
        <f t="shared" si="26"/>
        <v>1274000</v>
      </c>
      <c r="L112" s="45"/>
      <c r="M112" s="61"/>
      <c r="N112" s="50"/>
      <c r="O112" s="1506"/>
      <c r="P112" s="19"/>
      <c r="Q112" s="62"/>
      <c r="R112" s="1718"/>
      <c r="S112" s="18"/>
      <c r="T112" s="20"/>
      <c r="U112" s="1664"/>
      <c r="V112" s="47"/>
      <c r="W112" s="1794">
        <f t="shared" si="27"/>
        <v>1274000</v>
      </c>
      <c r="X112" s="1791">
        <f t="shared" si="28"/>
        <v>1274000</v>
      </c>
      <c r="Y112" s="2474"/>
      <c r="Z112" s="1794">
        <f t="shared" si="29"/>
        <v>1274000</v>
      </c>
      <c r="AA112" s="2497">
        <v>0.3</v>
      </c>
      <c r="AB112" s="2498"/>
      <c r="AC112" s="2491">
        <f t="shared" si="30"/>
        <v>3822</v>
      </c>
      <c r="AD112" s="2536"/>
      <c r="AH112" s="2482"/>
      <c r="AI112"/>
    </row>
    <row r="113" spans="1:38" x14ac:dyDescent="0.2">
      <c r="A113" s="2113">
        <v>55</v>
      </c>
      <c r="B113" s="2113">
        <v>67803</v>
      </c>
      <c r="C113" s="2100" t="s">
        <v>765</v>
      </c>
      <c r="D113" s="2114" t="s">
        <v>245</v>
      </c>
      <c r="E113" s="1508">
        <v>3</v>
      </c>
      <c r="F113" s="2485">
        <v>0</v>
      </c>
      <c r="G113" s="2109">
        <v>0</v>
      </c>
      <c r="H113" s="2486">
        <v>53</v>
      </c>
      <c r="I113" s="1794">
        <f t="shared" si="25"/>
        <v>53</v>
      </c>
      <c r="J113" s="1687">
        <v>20000</v>
      </c>
      <c r="K113" s="2492">
        <f t="shared" si="26"/>
        <v>1060000</v>
      </c>
      <c r="L113" s="2109"/>
      <c r="M113" s="100"/>
      <c r="N113" s="2109"/>
      <c r="O113" s="2109"/>
      <c r="P113" s="2486"/>
      <c r="Q113" s="2488"/>
      <c r="R113" s="2493"/>
      <c r="S113" s="2494"/>
      <c r="T113" s="2495"/>
      <c r="U113" s="2494"/>
      <c r="V113" s="2494"/>
      <c r="W113" s="1794">
        <f t="shared" si="27"/>
        <v>1060000</v>
      </c>
      <c r="X113" s="1791">
        <f t="shared" si="28"/>
        <v>1060000</v>
      </c>
      <c r="Y113" s="2496"/>
      <c r="Z113" s="1794">
        <f t="shared" si="29"/>
        <v>1060000</v>
      </c>
      <c r="AA113" s="2497">
        <v>0.3</v>
      </c>
      <c r="AB113" s="2498"/>
      <c r="AC113" s="2491">
        <f t="shared" si="30"/>
        <v>3180</v>
      </c>
      <c r="AD113" s="2536"/>
      <c r="AH113" s="2482"/>
    </row>
    <row r="114" spans="1:38" ht="15" x14ac:dyDescent="0.25">
      <c r="A114" s="2113">
        <v>56</v>
      </c>
      <c r="B114" s="2113">
        <v>67804</v>
      </c>
      <c r="C114" s="2100" t="s">
        <v>766</v>
      </c>
      <c r="D114" s="2114" t="s">
        <v>245</v>
      </c>
      <c r="E114" s="1508">
        <v>3</v>
      </c>
      <c r="F114" s="2472">
        <v>0</v>
      </c>
      <c r="G114" s="2113">
        <v>0</v>
      </c>
      <c r="H114" s="2477">
        <v>52.7</v>
      </c>
      <c r="I114" s="1794">
        <f t="shared" si="25"/>
        <v>52.7</v>
      </c>
      <c r="J114" s="1687">
        <v>20000</v>
      </c>
      <c r="K114" s="2492">
        <f t="shared" si="26"/>
        <v>1054000</v>
      </c>
      <c r="L114" s="2119"/>
      <c r="M114" s="52"/>
      <c r="N114" s="2119"/>
      <c r="O114" s="2119"/>
      <c r="P114" s="2123"/>
      <c r="Q114" s="2120"/>
      <c r="R114" s="2478"/>
      <c r="S114" s="2479"/>
      <c r="T114" s="2480"/>
      <c r="U114" s="1664"/>
      <c r="V114" s="47"/>
      <c r="W114" s="1794">
        <f t="shared" si="27"/>
        <v>1054000</v>
      </c>
      <c r="X114" s="1791">
        <f t="shared" si="28"/>
        <v>1054000</v>
      </c>
      <c r="Y114" s="2474"/>
      <c r="Z114" s="1794">
        <f t="shared" si="29"/>
        <v>1054000</v>
      </c>
      <c r="AA114" s="2497">
        <v>0.3</v>
      </c>
      <c r="AB114" s="2498"/>
      <c r="AC114" s="2491">
        <f t="shared" si="30"/>
        <v>3162</v>
      </c>
      <c r="AD114" s="2536"/>
      <c r="AH114" s="2482"/>
    </row>
    <row r="115" spans="1:38" ht="15" x14ac:dyDescent="0.25">
      <c r="A115" s="2113">
        <v>57</v>
      </c>
      <c r="B115" s="2113">
        <v>67805</v>
      </c>
      <c r="C115" s="2100" t="s">
        <v>767</v>
      </c>
      <c r="D115" s="2114" t="s">
        <v>245</v>
      </c>
      <c r="E115" s="1508">
        <v>3</v>
      </c>
      <c r="F115" s="2472">
        <v>0</v>
      </c>
      <c r="G115" s="2113">
        <v>0</v>
      </c>
      <c r="H115" s="2477">
        <v>60.8</v>
      </c>
      <c r="I115" s="1794">
        <f t="shared" si="25"/>
        <v>60.8</v>
      </c>
      <c r="J115" s="1687">
        <v>20000</v>
      </c>
      <c r="K115" s="2492">
        <f t="shared" si="26"/>
        <v>1216000</v>
      </c>
      <c r="L115" s="2119"/>
      <c r="M115" s="52"/>
      <c r="N115" s="2119"/>
      <c r="O115" s="2119"/>
      <c r="P115" s="2123"/>
      <c r="Q115" s="2120"/>
      <c r="R115" s="2478"/>
      <c r="S115" s="2479"/>
      <c r="T115" s="2480"/>
      <c r="U115" s="1664"/>
      <c r="V115" s="47"/>
      <c r="W115" s="1794">
        <f t="shared" si="27"/>
        <v>1216000</v>
      </c>
      <c r="X115" s="1791">
        <f t="shared" si="28"/>
        <v>1216000</v>
      </c>
      <c r="Y115" s="2474"/>
      <c r="Z115" s="1794">
        <f t="shared" si="29"/>
        <v>1216000</v>
      </c>
      <c r="AA115" s="2497">
        <v>0.3</v>
      </c>
      <c r="AB115" s="2498"/>
      <c r="AC115" s="2491">
        <f t="shared" si="30"/>
        <v>3648</v>
      </c>
      <c r="AD115" s="2536"/>
      <c r="AH115" s="2482"/>
    </row>
    <row r="116" spans="1:38" x14ac:dyDescent="0.2">
      <c r="A116" s="2113">
        <v>58</v>
      </c>
      <c r="B116" s="2113">
        <v>67806</v>
      </c>
      <c r="C116" s="2100" t="s">
        <v>768</v>
      </c>
      <c r="D116" s="2114" t="s">
        <v>245</v>
      </c>
      <c r="E116" s="1508">
        <v>3</v>
      </c>
      <c r="F116" s="2485">
        <v>0</v>
      </c>
      <c r="G116" s="2109">
        <v>0</v>
      </c>
      <c r="H116" s="2486">
        <v>58.2</v>
      </c>
      <c r="I116" s="1794">
        <f t="shared" si="25"/>
        <v>58.2</v>
      </c>
      <c r="J116" s="1687">
        <v>20000</v>
      </c>
      <c r="K116" s="2492">
        <f t="shared" si="26"/>
        <v>1164000</v>
      </c>
      <c r="L116" s="61"/>
      <c r="M116" s="105"/>
      <c r="N116" s="1311"/>
      <c r="O116" s="1506"/>
      <c r="P116" s="105"/>
      <c r="Q116" s="2487"/>
      <c r="R116" s="2228"/>
      <c r="S116" s="2229"/>
      <c r="T116" s="1311"/>
      <c r="U116" s="127"/>
      <c r="V116" s="77"/>
      <c r="W116" s="1794">
        <f t="shared" si="27"/>
        <v>1164000</v>
      </c>
      <c r="X116" s="1791">
        <f t="shared" si="28"/>
        <v>1164000</v>
      </c>
      <c r="Y116" s="2474"/>
      <c r="Z116" s="1794">
        <f t="shared" si="29"/>
        <v>1164000</v>
      </c>
      <c r="AA116" s="2497">
        <v>0.3</v>
      </c>
      <c r="AB116" s="2498"/>
      <c r="AC116" s="2491">
        <f t="shared" si="30"/>
        <v>3492</v>
      </c>
      <c r="AD116" s="2536"/>
      <c r="AH116" s="2482"/>
    </row>
    <row r="117" spans="1:38" x14ac:dyDescent="0.2">
      <c r="A117" s="2113">
        <v>59</v>
      </c>
      <c r="B117" s="2113">
        <v>67807</v>
      </c>
      <c r="C117" s="2100" t="s">
        <v>769</v>
      </c>
      <c r="D117" s="2114" t="s">
        <v>245</v>
      </c>
      <c r="E117" s="1508">
        <v>3</v>
      </c>
      <c r="F117" s="2485">
        <v>0</v>
      </c>
      <c r="G117" s="2109">
        <v>0</v>
      </c>
      <c r="H117" s="2486">
        <v>56.9</v>
      </c>
      <c r="I117" s="1794">
        <f t="shared" si="25"/>
        <v>56.9</v>
      </c>
      <c r="J117" s="1687">
        <v>20000</v>
      </c>
      <c r="K117" s="2492">
        <f t="shared" si="26"/>
        <v>1138000</v>
      </c>
      <c r="L117" s="2109"/>
      <c r="M117" s="100"/>
      <c r="N117" s="2109"/>
      <c r="O117" s="2109"/>
      <c r="P117" s="2486"/>
      <c r="Q117" s="2488"/>
      <c r="R117" s="2101"/>
      <c r="S117" s="2102"/>
      <c r="T117" s="2489"/>
      <c r="U117" s="2102"/>
      <c r="V117" s="2102"/>
      <c r="W117" s="1794">
        <f t="shared" si="27"/>
        <v>1138000</v>
      </c>
      <c r="X117" s="1791">
        <f t="shared" si="28"/>
        <v>1138000</v>
      </c>
      <c r="Y117" s="2474"/>
      <c r="Z117" s="1794">
        <f t="shared" si="29"/>
        <v>1138000</v>
      </c>
      <c r="AA117" s="2497">
        <v>0.3</v>
      </c>
      <c r="AB117" s="2498"/>
      <c r="AC117" s="2491">
        <f t="shared" si="30"/>
        <v>3414</v>
      </c>
      <c r="AD117" s="2536"/>
      <c r="AH117" s="2482"/>
    </row>
    <row r="118" spans="1:38" x14ac:dyDescent="0.2">
      <c r="A118" s="2113">
        <v>60</v>
      </c>
      <c r="B118" s="2113">
        <v>67808</v>
      </c>
      <c r="C118" s="2100" t="s">
        <v>770</v>
      </c>
      <c r="D118" s="2114" t="s">
        <v>245</v>
      </c>
      <c r="E118" s="1508">
        <v>3</v>
      </c>
      <c r="F118" s="2485">
        <v>0</v>
      </c>
      <c r="G118" s="2109">
        <v>0</v>
      </c>
      <c r="H118" s="2486">
        <v>78.599999999999994</v>
      </c>
      <c r="I118" s="1794">
        <f t="shared" si="25"/>
        <v>78.599999999999994</v>
      </c>
      <c r="J118" s="1687">
        <v>20000</v>
      </c>
      <c r="K118" s="2492">
        <f t="shared" si="26"/>
        <v>1572000</v>
      </c>
      <c r="L118" s="2109"/>
      <c r="M118" s="100"/>
      <c r="N118" s="2109"/>
      <c r="O118" s="2109"/>
      <c r="P118" s="2486"/>
      <c r="Q118" s="2488"/>
      <c r="R118" s="2101"/>
      <c r="S118" s="2102"/>
      <c r="T118" s="2489"/>
      <c r="U118" s="2102"/>
      <c r="V118" s="2102"/>
      <c r="W118" s="1794">
        <f t="shared" si="27"/>
        <v>1572000</v>
      </c>
      <c r="X118" s="1791">
        <f t="shared" si="28"/>
        <v>1572000</v>
      </c>
      <c r="Y118" s="2474"/>
      <c r="Z118" s="1794">
        <f t="shared" si="29"/>
        <v>1572000</v>
      </c>
      <c r="AA118" s="2497">
        <v>0.3</v>
      </c>
      <c r="AB118" s="2498"/>
      <c r="AC118" s="2491">
        <f t="shared" si="30"/>
        <v>4716</v>
      </c>
      <c r="AD118" s="2536"/>
      <c r="AH118" s="2482"/>
    </row>
    <row r="119" spans="1:38" x14ac:dyDescent="0.2">
      <c r="A119" s="2113">
        <v>61</v>
      </c>
      <c r="B119" s="2113">
        <v>67809</v>
      </c>
      <c r="C119" s="2100" t="s">
        <v>771</v>
      </c>
      <c r="D119" s="2114" t="s">
        <v>245</v>
      </c>
      <c r="E119" s="1508">
        <v>3</v>
      </c>
      <c r="F119" s="2485">
        <v>0</v>
      </c>
      <c r="G119" s="2109">
        <v>0</v>
      </c>
      <c r="H119" s="2486">
        <v>60.6</v>
      </c>
      <c r="I119" s="1794">
        <f t="shared" si="25"/>
        <v>60.6</v>
      </c>
      <c r="J119" s="1687">
        <v>20000</v>
      </c>
      <c r="K119" s="2492">
        <f t="shared" si="26"/>
        <v>1212000</v>
      </c>
      <c r="L119" s="2109"/>
      <c r="M119" s="100"/>
      <c r="N119" s="2109"/>
      <c r="O119" s="2109"/>
      <c r="P119" s="2486"/>
      <c r="Q119" s="2488"/>
      <c r="R119" s="2493"/>
      <c r="S119" s="2494"/>
      <c r="T119" s="2495"/>
      <c r="U119" s="2494"/>
      <c r="V119" s="2494"/>
      <c r="W119" s="1794">
        <f t="shared" si="27"/>
        <v>1212000</v>
      </c>
      <c r="X119" s="1791">
        <f t="shared" si="28"/>
        <v>1212000</v>
      </c>
      <c r="Y119" s="2496"/>
      <c r="Z119" s="1794">
        <f t="shared" si="29"/>
        <v>1212000</v>
      </c>
      <c r="AA119" s="2497">
        <v>0.3</v>
      </c>
      <c r="AB119" s="2498"/>
      <c r="AC119" s="2491">
        <f t="shared" si="30"/>
        <v>3636</v>
      </c>
      <c r="AD119" s="2536"/>
      <c r="AH119" s="2482"/>
    </row>
    <row r="120" spans="1:38" x14ac:dyDescent="0.2">
      <c r="A120" s="2113">
        <v>62</v>
      </c>
      <c r="B120" s="2113">
        <v>67810</v>
      </c>
      <c r="C120" s="2100" t="s">
        <v>772</v>
      </c>
      <c r="D120" s="2114" t="s">
        <v>245</v>
      </c>
      <c r="E120" s="1508">
        <v>3</v>
      </c>
      <c r="F120" s="2485">
        <v>0</v>
      </c>
      <c r="G120" s="2109">
        <v>0</v>
      </c>
      <c r="H120" s="2486">
        <v>62.3</v>
      </c>
      <c r="I120" s="1794">
        <f t="shared" si="25"/>
        <v>62.3</v>
      </c>
      <c r="J120" s="1687">
        <v>20000</v>
      </c>
      <c r="K120" s="2492">
        <f t="shared" si="26"/>
        <v>1246000</v>
      </c>
      <c r="L120" s="2109"/>
      <c r="M120" s="100"/>
      <c r="N120" s="2109"/>
      <c r="O120" s="2109"/>
      <c r="P120" s="2486"/>
      <c r="Q120" s="2488"/>
      <c r="R120" s="2493"/>
      <c r="S120" s="2494"/>
      <c r="T120" s="2495"/>
      <c r="U120" s="2494"/>
      <c r="V120" s="2494"/>
      <c r="W120" s="1794">
        <f t="shared" si="27"/>
        <v>1246000</v>
      </c>
      <c r="X120" s="1791">
        <f t="shared" si="28"/>
        <v>1246000</v>
      </c>
      <c r="Y120" s="2496"/>
      <c r="Z120" s="1794">
        <f t="shared" si="29"/>
        <v>1246000</v>
      </c>
      <c r="AA120" s="2497">
        <v>0.3</v>
      </c>
      <c r="AB120" s="2498"/>
      <c r="AC120" s="2491">
        <f t="shared" si="30"/>
        <v>3738</v>
      </c>
      <c r="AD120" s="2536"/>
      <c r="AH120" s="2482"/>
    </row>
    <row r="121" spans="1:38" x14ac:dyDescent="0.2">
      <c r="A121" s="2113">
        <v>63</v>
      </c>
      <c r="B121" s="2113">
        <v>67811</v>
      </c>
      <c r="C121" s="2100" t="s">
        <v>773</v>
      </c>
      <c r="D121" s="2114" t="s">
        <v>245</v>
      </c>
      <c r="E121" s="1508">
        <v>3</v>
      </c>
      <c r="F121" s="2472">
        <v>0</v>
      </c>
      <c r="G121" s="2113">
        <v>0</v>
      </c>
      <c r="H121" s="2477">
        <v>64.7</v>
      </c>
      <c r="I121" s="1794">
        <f t="shared" si="25"/>
        <v>64.7</v>
      </c>
      <c r="J121" s="1687">
        <v>20000</v>
      </c>
      <c r="K121" s="2492">
        <f t="shared" si="26"/>
        <v>1294000</v>
      </c>
      <c r="L121" s="2109"/>
      <c r="M121" s="100"/>
      <c r="N121" s="2109"/>
      <c r="O121" s="2109"/>
      <c r="P121" s="2486"/>
      <c r="Q121" s="2488"/>
      <c r="R121" s="2493"/>
      <c r="S121" s="2494"/>
      <c r="T121" s="2495"/>
      <c r="U121" s="2494"/>
      <c r="V121" s="2494"/>
      <c r="W121" s="1794">
        <f t="shared" si="27"/>
        <v>1294000</v>
      </c>
      <c r="X121" s="1791">
        <f t="shared" si="28"/>
        <v>1294000</v>
      </c>
      <c r="Y121" s="2496"/>
      <c r="Z121" s="1794">
        <f t="shared" si="29"/>
        <v>1294000</v>
      </c>
      <c r="AA121" s="2497">
        <v>0.3</v>
      </c>
      <c r="AB121" s="2498"/>
      <c r="AC121" s="2491">
        <f>Z121*AA121/100</f>
        <v>3882</v>
      </c>
      <c r="AD121" s="2536"/>
      <c r="AH121" s="2482"/>
      <c r="AJ121" s="2539"/>
    </row>
    <row r="122" spans="1:38" x14ac:dyDescent="0.2">
      <c r="A122" s="2113">
        <v>64</v>
      </c>
      <c r="B122" s="2113">
        <v>67812</v>
      </c>
      <c r="C122" s="2100" t="s">
        <v>774</v>
      </c>
      <c r="D122" s="2114" t="s">
        <v>245</v>
      </c>
      <c r="E122" s="1508">
        <v>3</v>
      </c>
      <c r="F122" s="2472">
        <v>0</v>
      </c>
      <c r="G122" s="2113">
        <v>0</v>
      </c>
      <c r="H122" s="2477">
        <v>55.1</v>
      </c>
      <c r="I122" s="1794">
        <f t="shared" si="25"/>
        <v>55.1</v>
      </c>
      <c r="J122" s="1687">
        <v>20000</v>
      </c>
      <c r="K122" s="2492">
        <f t="shared" si="26"/>
        <v>1102000</v>
      </c>
      <c r="L122" s="2109"/>
      <c r="M122" s="100"/>
      <c r="N122" s="2109"/>
      <c r="O122" s="2109"/>
      <c r="P122" s="2486"/>
      <c r="Q122" s="2488"/>
      <c r="R122" s="2493"/>
      <c r="S122" s="2494"/>
      <c r="T122" s="2495"/>
      <c r="U122" s="2494"/>
      <c r="V122" s="2494"/>
      <c r="W122" s="1794">
        <f t="shared" si="27"/>
        <v>1102000</v>
      </c>
      <c r="X122" s="1791">
        <f t="shared" si="28"/>
        <v>1102000</v>
      </c>
      <c r="Y122" s="2496"/>
      <c r="Z122" s="1794">
        <f t="shared" si="29"/>
        <v>1102000</v>
      </c>
      <c r="AA122" s="2497">
        <v>0.3</v>
      </c>
      <c r="AB122" s="2498"/>
      <c r="AC122" s="2491">
        <f t="shared" ref="AC122:AC128" si="31">Z122*AA122/100</f>
        <v>3306</v>
      </c>
      <c r="AD122" s="2536"/>
      <c r="AH122" s="2482"/>
    </row>
    <row r="123" spans="1:38" x14ac:dyDescent="0.2">
      <c r="A123" s="2113">
        <v>65</v>
      </c>
      <c r="B123" s="2113">
        <v>67813</v>
      </c>
      <c r="C123" s="2100" t="s">
        <v>775</v>
      </c>
      <c r="D123" s="2114" t="s">
        <v>245</v>
      </c>
      <c r="E123" s="1508">
        <v>3</v>
      </c>
      <c r="F123" s="2472">
        <v>0</v>
      </c>
      <c r="G123" s="2113">
        <v>0</v>
      </c>
      <c r="H123" s="2477">
        <v>56</v>
      </c>
      <c r="I123" s="1794">
        <f t="shared" si="25"/>
        <v>56</v>
      </c>
      <c r="J123" s="1687">
        <v>20000</v>
      </c>
      <c r="K123" s="2492">
        <f t="shared" si="26"/>
        <v>1120000</v>
      </c>
      <c r="L123" s="2109"/>
      <c r="M123" s="100"/>
      <c r="N123" s="2109"/>
      <c r="O123" s="2109"/>
      <c r="P123" s="2486"/>
      <c r="Q123" s="2488"/>
      <c r="R123" s="2493"/>
      <c r="S123" s="2494"/>
      <c r="T123" s="2495"/>
      <c r="U123" s="2494"/>
      <c r="V123" s="2494"/>
      <c r="W123" s="1794">
        <f t="shared" si="27"/>
        <v>1120000</v>
      </c>
      <c r="X123" s="1791">
        <f t="shared" si="28"/>
        <v>1120000</v>
      </c>
      <c r="Y123" s="2496"/>
      <c r="Z123" s="1794">
        <f t="shared" si="29"/>
        <v>1120000</v>
      </c>
      <c r="AA123" s="2497">
        <v>0.3</v>
      </c>
      <c r="AB123" s="2498"/>
      <c r="AC123" s="2491">
        <f t="shared" si="31"/>
        <v>3360</v>
      </c>
      <c r="AD123" s="2536"/>
      <c r="AH123" s="2482"/>
    </row>
    <row r="124" spans="1:38" x14ac:dyDescent="0.2">
      <c r="A124" s="2113">
        <v>66</v>
      </c>
      <c r="B124" s="2113">
        <v>67814</v>
      </c>
      <c r="C124" s="2100" t="s">
        <v>776</v>
      </c>
      <c r="D124" s="2114" t="s">
        <v>245</v>
      </c>
      <c r="E124" s="1508">
        <v>3</v>
      </c>
      <c r="F124" s="2472">
        <v>0</v>
      </c>
      <c r="G124" s="2113">
        <v>0</v>
      </c>
      <c r="H124" s="2477">
        <v>53</v>
      </c>
      <c r="I124" s="1794">
        <f t="shared" si="25"/>
        <v>53</v>
      </c>
      <c r="J124" s="1687">
        <v>20000</v>
      </c>
      <c r="K124" s="2492">
        <f t="shared" si="26"/>
        <v>1060000</v>
      </c>
      <c r="L124" s="2109"/>
      <c r="M124" s="100"/>
      <c r="N124" s="2109"/>
      <c r="O124" s="2109"/>
      <c r="P124" s="2486"/>
      <c r="Q124" s="2488"/>
      <c r="R124" s="2493"/>
      <c r="S124" s="2494"/>
      <c r="T124" s="2495"/>
      <c r="U124" s="2494"/>
      <c r="V124" s="2494"/>
      <c r="W124" s="1794">
        <f t="shared" si="27"/>
        <v>1060000</v>
      </c>
      <c r="X124" s="1791">
        <f t="shared" si="28"/>
        <v>1060000</v>
      </c>
      <c r="Y124" s="2496"/>
      <c r="Z124" s="1794">
        <f t="shared" si="29"/>
        <v>1060000</v>
      </c>
      <c r="AA124" s="2497">
        <v>0.3</v>
      </c>
      <c r="AB124" s="2498"/>
      <c r="AC124" s="2491">
        <f t="shared" si="31"/>
        <v>3180</v>
      </c>
      <c r="AD124" s="2536"/>
      <c r="AH124" s="2482"/>
    </row>
    <row r="125" spans="1:38" x14ac:dyDescent="0.2">
      <c r="A125" s="2113">
        <v>67</v>
      </c>
      <c r="B125" s="2113">
        <v>67815</v>
      </c>
      <c r="C125" s="2100" t="s">
        <v>777</v>
      </c>
      <c r="D125" s="2114" t="s">
        <v>245</v>
      </c>
      <c r="E125" s="1508">
        <v>3</v>
      </c>
      <c r="F125" s="2472">
        <v>0</v>
      </c>
      <c r="G125" s="2113">
        <v>0</v>
      </c>
      <c r="H125" s="2477">
        <v>54.3</v>
      </c>
      <c r="I125" s="1794">
        <f t="shared" si="25"/>
        <v>54.3</v>
      </c>
      <c r="J125" s="1687">
        <v>20000</v>
      </c>
      <c r="K125" s="2492">
        <f t="shared" si="26"/>
        <v>1086000</v>
      </c>
      <c r="L125" s="2109"/>
      <c r="M125" s="100"/>
      <c r="N125" s="2109"/>
      <c r="O125" s="2109"/>
      <c r="P125" s="2486"/>
      <c r="Q125" s="2488"/>
      <c r="R125" s="2493"/>
      <c r="S125" s="2494"/>
      <c r="T125" s="2495"/>
      <c r="U125" s="2494"/>
      <c r="V125" s="2494"/>
      <c r="W125" s="1794">
        <f t="shared" si="27"/>
        <v>1086000</v>
      </c>
      <c r="X125" s="1791">
        <f t="shared" si="28"/>
        <v>1086000</v>
      </c>
      <c r="Y125" s="2496"/>
      <c r="Z125" s="1794">
        <f t="shared" si="29"/>
        <v>1086000</v>
      </c>
      <c r="AA125" s="2497">
        <v>0.3</v>
      </c>
      <c r="AB125" s="2498"/>
      <c r="AC125" s="2491">
        <f t="shared" si="31"/>
        <v>3258</v>
      </c>
      <c r="AD125" s="2536"/>
      <c r="AH125" s="2482"/>
    </row>
    <row r="126" spans="1:38" x14ac:dyDescent="0.2">
      <c r="A126" s="2113">
        <v>68</v>
      </c>
      <c r="B126" s="2113">
        <v>67816</v>
      </c>
      <c r="C126" s="2100" t="s">
        <v>778</v>
      </c>
      <c r="D126" s="2114" t="s">
        <v>245</v>
      </c>
      <c r="E126" s="1508">
        <v>3</v>
      </c>
      <c r="F126" s="2472">
        <v>0</v>
      </c>
      <c r="G126" s="2113">
        <v>0</v>
      </c>
      <c r="H126" s="2477">
        <v>55.5</v>
      </c>
      <c r="I126" s="1794">
        <f t="shared" si="25"/>
        <v>55.5</v>
      </c>
      <c r="J126" s="1687">
        <v>20000</v>
      </c>
      <c r="K126" s="2492">
        <f t="shared" si="26"/>
        <v>1110000</v>
      </c>
      <c r="L126" s="2109"/>
      <c r="M126" s="100"/>
      <c r="N126" s="2109"/>
      <c r="O126" s="2109"/>
      <c r="P126" s="2486"/>
      <c r="Q126" s="2488"/>
      <c r="R126" s="2493"/>
      <c r="S126" s="2494"/>
      <c r="T126" s="2495"/>
      <c r="U126" s="2494"/>
      <c r="V126" s="2494"/>
      <c r="W126" s="1794">
        <f t="shared" si="27"/>
        <v>1110000</v>
      </c>
      <c r="X126" s="1791">
        <f t="shared" si="28"/>
        <v>1110000</v>
      </c>
      <c r="Y126" s="2496"/>
      <c r="Z126" s="1794">
        <f t="shared" si="29"/>
        <v>1110000</v>
      </c>
      <c r="AA126" s="2497">
        <v>0.3</v>
      </c>
      <c r="AB126" s="2498"/>
      <c r="AC126" s="2491">
        <f t="shared" si="31"/>
        <v>3330</v>
      </c>
      <c r="AD126" s="2536"/>
      <c r="AH126" s="2482"/>
    </row>
    <row r="127" spans="1:38" x14ac:dyDescent="0.2">
      <c r="A127" s="2113">
        <v>69</v>
      </c>
      <c r="B127" s="2113">
        <v>67817</v>
      </c>
      <c r="C127" s="2100" t="s">
        <v>779</v>
      </c>
      <c r="D127" s="2114" t="s">
        <v>245</v>
      </c>
      <c r="E127" s="1508">
        <v>3</v>
      </c>
      <c r="F127" s="2472">
        <v>0</v>
      </c>
      <c r="G127" s="2113">
        <v>0</v>
      </c>
      <c r="H127" s="2477">
        <v>59.8</v>
      </c>
      <c r="I127" s="1794">
        <f t="shared" si="25"/>
        <v>59.8</v>
      </c>
      <c r="J127" s="1687">
        <v>20000</v>
      </c>
      <c r="K127" s="2492">
        <f t="shared" si="26"/>
        <v>1196000</v>
      </c>
      <c r="L127" s="2109"/>
      <c r="M127" s="100"/>
      <c r="N127" s="2109"/>
      <c r="O127" s="2109"/>
      <c r="P127" s="2486"/>
      <c r="Q127" s="2488"/>
      <c r="R127" s="2493"/>
      <c r="S127" s="2494"/>
      <c r="T127" s="2495"/>
      <c r="U127" s="2494"/>
      <c r="V127" s="2494"/>
      <c r="W127" s="1794">
        <f t="shared" si="27"/>
        <v>1196000</v>
      </c>
      <c r="X127" s="1791">
        <f t="shared" si="28"/>
        <v>1196000</v>
      </c>
      <c r="Y127" s="2496"/>
      <c r="Z127" s="1794">
        <f t="shared" si="29"/>
        <v>1196000</v>
      </c>
      <c r="AA127" s="2497">
        <v>0.3</v>
      </c>
      <c r="AB127" s="2498"/>
      <c r="AC127" s="2491">
        <f t="shared" si="31"/>
        <v>3588</v>
      </c>
      <c r="AD127" s="2540"/>
      <c r="AH127" s="2491"/>
    </row>
    <row r="128" spans="1:38" s="2515" customFormat="1" x14ac:dyDescent="0.2">
      <c r="A128" s="2113">
        <v>70</v>
      </c>
      <c r="B128" s="2541">
        <v>67823</v>
      </c>
      <c r="C128" s="2542" t="s">
        <v>780</v>
      </c>
      <c r="D128" s="2504" t="s">
        <v>245</v>
      </c>
      <c r="E128" s="2543">
        <v>3</v>
      </c>
      <c r="F128" s="2504">
        <v>0</v>
      </c>
      <c r="G128" s="2504">
        <v>0</v>
      </c>
      <c r="H128" s="2507">
        <v>67.2</v>
      </c>
      <c r="I128" s="879">
        <v>67.2</v>
      </c>
      <c r="J128" s="2508">
        <v>20000</v>
      </c>
      <c r="K128" s="1449">
        <v>1344000</v>
      </c>
      <c r="L128" s="1450"/>
      <c r="M128" s="271"/>
      <c r="N128" s="1036"/>
      <c r="O128" s="2509"/>
      <c r="P128" s="1451"/>
      <c r="Q128" s="1452"/>
      <c r="R128" s="2510"/>
      <c r="S128" s="879"/>
      <c r="T128" s="1454"/>
      <c r="U128" s="2511"/>
      <c r="V128" s="1455"/>
      <c r="W128" s="879">
        <v>1344000</v>
      </c>
      <c r="X128" s="1455">
        <v>1344000</v>
      </c>
      <c r="Y128" s="2512"/>
      <c r="Z128" s="879">
        <v>1344000</v>
      </c>
      <c r="AA128" s="2544">
        <v>0.3</v>
      </c>
      <c r="AB128" s="2545"/>
      <c r="AC128" s="2491">
        <f t="shared" si="31"/>
        <v>4032</v>
      </c>
      <c r="AD128" s="2540"/>
      <c r="AE128"/>
      <c r="AF128"/>
      <c r="AG128"/>
      <c r="AH128" s="2546"/>
      <c r="AI128" s="2516"/>
      <c r="AK128"/>
      <c r="AL128"/>
    </row>
    <row r="129" spans="1:52" ht="15" x14ac:dyDescent="0.25">
      <c r="A129" s="2113"/>
      <c r="B129" s="2113"/>
      <c r="C129" s="2100"/>
      <c r="D129" s="2114"/>
      <c r="E129" s="1582"/>
      <c r="F129" s="2485"/>
      <c r="G129" s="2109"/>
      <c r="H129" s="2486"/>
      <c r="I129" s="1794"/>
      <c r="J129" s="1687"/>
      <c r="K129" s="2492"/>
      <c r="L129" s="2109"/>
      <c r="M129" s="100"/>
      <c r="N129" s="2109"/>
      <c r="O129" s="2109"/>
      <c r="P129" s="2486"/>
      <c r="Q129" s="2488"/>
      <c r="R129" s="2101"/>
      <c r="S129" s="2102"/>
      <c r="T129" s="2489"/>
      <c r="U129" s="2102"/>
      <c r="V129" s="2102"/>
      <c r="W129" s="1794"/>
      <c r="X129" s="1791"/>
      <c r="Y129" s="2474"/>
      <c r="Z129" s="1794"/>
      <c r="AA129" s="2497"/>
      <c r="AB129" s="2498"/>
      <c r="AC129" s="2491"/>
      <c r="AD129" s="2558"/>
      <c r="AG129" s="2558"/>
      <c r="AH129" s="2491"/>
      <c r="AK129" s="2515"/>
      <c r="AL129" s="2515"/>
    </row>
    <row r="130" spans="1:52" ht="15" thickBot="1" x14ac:dyDescent="0.25">
      <c r="A130" s="34"/>
      <c r="B130" s="34"/>
      <c r="C130" s="34"/>
      <c r="D130" s="34"/>
      <c r="E130" s="34"/>
      <c r="F130" s="34"/>
      <c r="G130" s="34"/>
      <c r="H130" s="35"/>
      <c r="I130" s="36"/>
      <c r="J130" s="37"/>
      <c r="K130" s="2562"/>
      <c r="L130" s="2562"/>
      <c r="M130" s="2562"/>
      <c r="N130" s="2562"/>
      <c r="O130" s="2562"/>
      <c r="P130" s="2562"/>
      <c r="Q130" s="2562"/>
      <c r="R130" s="2563"/>
      <c r="S130" s="2562"/>
      <c r="T130" s="38"/>
      <c r="U130" s="2564"/>
      <c r="V130" s="2562"/>
      <c r="W130" s="2839"/>
      <c r="X130" s="2840"/>
      <c r="Y130" s="2841"/>
      <c r="Z130" s="2612">
        <f>SUM(Z111:Z128)</f>
        <v>21844000</v>
      </c>
      <c r="AA130" s="2613"/>
      <c r="AB130" s="2613"/>
      <c r="AC130" s="2614">
        <f>SUM(AC111:AC129)</f>
        <v>65532</v>
      </c>
      <c r="AD130" s="2614">
        <f>SUM(AD111:AD128)</f>
        <v>0</v>
      </c>
      <c r="AE130" s="2614">
        <f>SUM(AE111:AE128)</f>
        <v>0</v>
      </c>
      <c r="AF130" s="2614">
        <f>SUM(AF111:AF128)</f>
        <v>0</v>
      </c>
      <c r="AG130" s="2614">
        <f>SUM(AG111:AG128)</f>
        <v>0</v>
      </c>
      <c r="AH130" s="2614"/>
    </row>
    <row r="131" spans="1:52" ht="16.5" thickTop="1" x14ac:dyDescent="0.25">
      <c r="A131" s="2842" t="s">
        <v>76</v>
      </c>
      <c r="B131" s="2842"/>
      <c r="C131" s="2843" t="s">
        <v>77</v>
      </c>
      <c r="D131" s="2843"/>
      <c r="E131" s="2843"/>
      <c r="F131" s="2843"/>
      <c r="G131" s="2843"/>
      <c r="H131" s="2843"/>
      <c r="I131" s="2567" t="s">
        <v>78</v>
      </c>
      <c r="J131" s="2567"/>
      <c r="K131" s="2567"/>
      <c r="L131" s="2567"/>
      <c r="M131" s="2567"/>
      <c r="N131" s="2567"/>
      <c r="AC131" s="2476"/>
      <c r="AI131" s="2656"/>
      <c r="AJ131" s="2632"/>
      <c r="AM131" s="2639"/>
      <c r="AN131" s="2640"/>
      <c r="AO131" s="2639"/>
      <c r="AP131" s="2639"/>
      <c r="AQ131" s="2623"/>
      <c r="AR131" s="2623"/>
      <c r="AS131" s="2657"/>
      <c r="AT131" s="2623"/>
      <c r="AU131" s="2658"/>
      <c r="AV131" s="2658"/>
      <c r="AW131" s="2630"/>
    </row>
    <row r="132" spans="1:52" ht="15.75" x14ac:dyDescent="0.25">
      <c r="A132" s="2568"/>
      <c r="B132" s="2569"/>
      <c r="C132" s="2567"/>
      <c r="D132" s="2567"/>
      <c r="E132" s="2567"/>
      <c r="F132" s="2567"/>
      <c r="G132" s="2567"/>
      <c r="H132" s="2567"/>
      <c r="I132" s="2567" t="s">
        <v>79</v>
      </c>
      <c r="J132" s="2567"/>
      <c r="K132" s="2567"/>
      <c r="L132" s="2567"/>
      <c r="M132" s="2567"/>
      <c r="N132" s="2567"/>
      <c r="AC132" s="2476"/>
      <c r="AE132" s="2113">
        <v>67787</v>
      </c>
      <c r="AF132" s="2100" t="s">
        <v>966</v>
      </c>
      <c r="AG132" s="2113" t="s">
        <v>245</v>
      </c>
      <c r="AH132" s="2634"/>
      <c r="AI132" s="2659"/>
      <c r="AJ132" s="2660"/>
      <c r="AK132" s="2632"/>
      <c r="AL132" s="2638"/>
      <c r="AM132" s="2661"/>
      <c r="AN132" s="2662"/>
      <c r="AO132" s="2663"/>
      <c r="AP132" s="64"/>
      <c r="AQ132" s="2623"/>
      <c r="AR132" s="2623"/>
      <c r="AS132" s="2664"/>
      <c r="AT132" s="2623"/>
      <c r="AU132" s="2658"/>
      <c r="AV132" s="2658"/>
      <c r="AW132" s="2630"/>
    </row>
    <row r="133" spans="1:52" ht="15.75" x14ac:dyDescent="0.25">
      <c r="A133" s="2568"/>
      <c r="B133" s="2569"/>
      <c r="C133" s="2567"/>
      <c r="D133" s="2567"/>
      <c r="E133" s="2567"/>
      <c r="F133" s="2567"/>
      <c r="G133" s="2567"/>
      <c r="H133" s="2567"/>
      <c r="I133" s="2567" t="s">
        <v>80</v>
      </c>
      <c r="J133" s="2567"/>
      <c r="K133" s="2567"/>
      <c r="L133" s="2567"/>
      <c r="M133" s="2567"/>
      <c r="N133" s="2567"/>
      <c r="AC133" s="2476"/>
      <c r="AE133" s="2113">
        <v>67788</v>
      </c>
      <c r="AF133" s="2100" t="s">
        <v>740</v>
      </c>
      <c r="AG133" s="2113" t="s">
        <v>245</v>
      </c>
      <c r="AH133" s="2665"/>
      <c r="AI133" s="2659"/>
      <c r="AJ133" s="2660"/>
      <c r="AK133" s="2660"/>
      <c r="AL133" s="2666"/>
      <c r="AM133" s="2661"/>
      <c r="AN133" s="2662"/>
      <c r="AO133" s="2663"/>
      <c r="AP133" s="64"/>
      <c r="AQ133" s="2623"/>
      <c r="AR133" s="2623"/>
      <c r="AS133" s="2664"/>
      <c r="AT133" s="2623"/>
      <c r="AU133" s="2658"/>
      <c r="AV133" s="2658"/>
      <c r="AW133" s="2630"/>
    </row>
    <row r="134" spans="1:52" ht="15.75" x14ac:dyDescent="0.25">
      <c r="A134" s="2568"/>
      <c r="B134" s="2569"/>
      <c r="C134" s="2567"/>
      <c r="D134" s="2567"/>
      <c r="E134" s="2567"/>
      <c r="F134" s="2567"/>
      <c r="G134" s="2567"/>
      <c r="H134" s="2567"/>
      <c r="I134" s="2567" t="s">
        <v>81</v>
      </c>
      <c r="J134" s="2567"/>
      <c r="K134" s="2567"/>
      <c r="L134" s="2567"/>
      <c r="M134" s="2567"/>
      <c r="N134" s="2567"/>
      <c r="AC134" s="2476"/>
      <c r="AE134" s="2113">
        <v>67789</v>
      </c>
      <c r="AF134" s="2100" t="s">
        <v>963</v>
      </c>
      <c r="AG134" s="2113" t="s">
        <v>245</v>
      </c>
      <c r="AH134" s="2665"/>
      <c r="AK134" s="2660"/>
      <c r="AL134" s="2666"/>
    </row>
    <row r="135" spans="1:52" ht="15.75" x14ac:dyDescent="0.25">
      <c r="A135" s="2568"/>
      <c r="B135" s="2569"/>
      <c r="C135" s="2567"/>
      <c r="D135" s="2567"/>
      <c r="E135" s="2567"/>
      <c r="F135" s="2567"/>
      <c r="G135" s="2567"/>
      <c r="H135" s="2567"/>
      <c r="I135" s="2567" t="s">
        <v>88</v>
      </c>
      <c r="J135" s="2567"/>
      <c r="K135" s="2567"/>
      <c r="L135" s="2567"/>
      <c r="M135" s="2567"/>
      <c r="N135" s="2567"/>
      <c r="AC135" s="2476"/>
    </row>
    <row r="136" spans="1:52" ht="15.75" x14ac:dyDescent="0.25">
      <c r="A136" s="2568"/>
      <c r="B136" s="2569"/>
      <c r="C136" s="2567"/>
      <c r="D136" s="2567"/>
      <c r="E136" s="2567"/>
      <c r="F136" s="2567"/>
      <c r="G136" s="2567"/>
      <c r="H136" s="2567"/>
      <c r="I136" s="2567"/>
      <c r="J136" s="2567"/>
      <c r="K136" s="2567"/>
      <c r="L136" s="2567"/>
      <c r="M136" s="2567"/>
      <c r="N136" s="2567"/>
      <c r="AC136" s="2476"/>
    </row>
    <row r="137" spans="1:52" ht="15.75" x14ac:dyDescent="0.25">
      <c r="A137" s="2568"/>
      <c r="B137" s="2569"/>
      <c r="C137" s="2567"/>
      <c r="D137" s="2567"/>
      <c r="E137" s="2567"/>
      <c r="F137" s="2567"/>
      <c r="G137" s="2567"/>
      <c r="H137" s="2567"/>
      <c r="I137" s="2567"/>
      <c r="J137" s="2567"/>
      <c r="K137" s="2567"/>
      <c r="L137" s="2567"/>
      <c r="M137" s="2567"/>
      <c r="N137" s="2567"/>
      <c r="AC137" s="2476"/>
    </row>
    <row r="138" spans="1:52" ht="15.75" x14ac:dyDescent="0.25">
      <c r="A138" s="2568"/>
      <c r="B138" s="2569"/>
      <c r="C138" s="2567"/>
      <c r="D138" s="2567"/>
      <c r="E138" s="2567"/>
      <c r="F138" s="2567"/>
      <c r="G138" s="2567"/>
      <c r="H138" s="2567"/>
      <c r="I138" s="2567"/>
      <c r="J138" s="2567"/>
      <c r="K138" s="2567"/>
      <c r="L138" s="2567"/>
      <c r="M138" s="2567"/>
      <c r="N138" s="2567"/>
      <c r="AC138" s="2476"/>
    </row>
    <row r="139" spans="1:52" ht="15.75" x14ac:dyDescent="0.25">
      <c r="A139" s="2568"/>
      <c r="B139" s="2569"/>
      <c r="C139" s="2567"/>
      <c r="D139" s="2567"/>
      <c r="E139" s="2567"/>
      <c r="F139" s="2567"/>
      <c r="G139" s="2567"/>
      <c r="H139" s="2567"/>
      <c r="I139" s="2567"/>
      <c r="J139" s="2567"/>
      <c r="K139" s="2567"/>
      <c r="L139" s="2567"/>
      <c r="M139" s="2567"/>
      <c r="N139" s="2567"/>
      <c r="AC139" s="2476"/>
    </row>
    <row r="140" spans="1:52" ht="15.75" x14ac:dyDescent="0.25">
      <c r="A140" s="2568"/>
      <c r="B140" s="2569"/>
      <c r="C140" s="2567"/>
      <c r="D140" s="2567"/>
      <c r="E140" s="2567"/>
      <c r="F140" s="2567"/>
      <c r="G140" s="2567"/>
      <c r="H140" s="2567"/>
      <c r="I140" s="2567"/>
      <c r="J140" s="2567"/>
      <c r="K140" s="2567"/>
      <c r="L140" s="2567"/>
      <c r="M140" s="2567"/>
      <c r="N140" s="2567"/>
      <c r="AC140" s="2476"/>
    </row>
    <row r="141" spans="1:52" ht="15.75" x14ac:dyDescent="0.25">
      <c r="A141" s="2568"/>
      <c r="B141" s="2569"/>
      <c r="C141" s="2567"/>
      <c r="D141" s="2567"/>
      <c r="E141" s="2567"/>
      <c r="F141" s="2567"/>
      <c r="G141" s="2567"/>
      <c r="H141" s="2567"/>
      <c r="I141" s="2567"/>
      <c r="J141" s="2567"/>
      <c r="K141" s="2567"/>
      <c r="L141" s="2567"/>
      <c r="M141" s="2567"/>
      <c r="N141" s="2567"/>
      <c r="AC141" s="2476"/>
    </row>
    <row r="142" spans="1:52" ht="15.75" x14ac:dyDescent="0.25">
      <c r="A142" s="2568"/>
      <c r="B142" s="2569"/>
      <c r="C142" s="2567"/>
      <c r="D142" s="2567"/>
      <c r="E142" s="2567"/>
      <c r="F142" s="2567"/>
      <c r="G142" s="2567"/>
      <c r="H142" s="2567"/>
      <c r="I142" s="2567"/>
      <c r="J142" s="2567"/>
      <c r="K142" s="2567"/>
      <c r="L142" s="2567"/>
      <c r="M142" s="2567"/>
      <c r="N142" s="2567"/>
      <c r="AC142" s="2476"/>
    </row>
    <row r="143" spans="1:52" ht="18.75" x14ac:dyDescent="0.25">
      <c r="A143" s="2568"/>
      <c r="B143" s="2569"/>
      <c r="C143" s="2567"/>
      <c r="D143" s="2567"/>
      <c r="E143" s="2567"/>
      <c r="F143" s="2567"/>
      <c r="G143" s="2567"/>
      <c r="H143" s="2567"/>
      <c r="I143" s="2567"/>
      <c r="J143" s="2567"/>
      <c r="K143" s="2567"/>
      <c r="L143" s="2567"/>
      <c r="M143" s="2567"/>
      <c r="N143" s="2567"/>
      <c r="AA143" s="2471" t="s">
        <v>0</v>
      </c>
      <c r="AB143" s="2471"/>
      <c r="AC143" s="2667"/>
      <c r="AD143" s="2471"/>
      <c r="AG143" s="2568"/>
      <c r="AH143" s="2569"/>
      <c r="AK143" s="2567"/>
      <c r="AM143" s="2452"/>
      <c r="AN143" s="2452"/>
      <c r="AO143" s="2452"/>
      <c r="AP143" s="2452"/>
      <c r="AQ143" s="2452"/>
      <c r="AR143" s="2452"/>
      <c r="AS143" s="2452"/>
      <c r="AT143" s="2452"/>
      <c r="AU143" s="2452"/>
      <c r="AV143" s="2452"/>
      <c r="AW143" s="2452"/>
      <c r="AX143" s="2452"/>
      <c r="AY143" s="2452"/>
      <c r="AZ143" s="2452"/>
    </row>
    <row r="144" spans="1:52" ht="21.75" customHeight="1" x14ac:dyDescent="0.2">
      <c r="A144" s="2707" t="s">
        <v>1</v>
      </c>
      <c r="B144" s="2707"/>
      <c r="C144" s="2707"/>
      <c r="D144" s="2707"/>
      <c r="E144" s="2707"/>
      <c r="F144" s="2707"/>
      <c r="G144" s="2707"/>
      <c r="H144" s="2707"/>
      <c r="I144" s="2707"/>
      <c r="J144" s="2707"/>
      <c r="K144" s="2707"/>
      <c r="L144" s="2707"/>
      <c r="M144" s="2707"/>
      <c r="N144" s="2707"/>
      <c r="O144" s="2707"/>
      <c r="P144" s="2707"/>
      <c r="Q144" s="2707"/>
      <c r="R144" s="2707"/>
      <c r="S144" s="2707"/>
      <c r="T144" s="2707"/>
      <c r="U144" s="2707"/>
      <c r="V144" s="2707"/>
      <c r="W144" s="2707"/>
      <c r="X144" s="2707"/>
      <c r="Y144" s="2707"/>
      <c r="Z144" s="2707"/>
      <c r="AA144" s="2707"/>
      <c r="AB144" s="2707"/>
      <c r="AC144" s="2707"/>
      <c r="AK144" s="2452"/>
      <c r="AL144" s="2452"/>
    </row>
    <row r="145" spans="1:35" ht="18" customHeight="1" x14ac:dyDescent="0.2">
      <c r="A145" s="2846" t="s">
        <v>984</v>
      </c>
      <c r="B145" s="2846"/>
      <c r="C145" s="2846"/>
      <c r="D145" s="2846"/>
      <c r="E145" s="2846"/>
      <c r="F145" s="2846"/>
      <c r="G145" s="2846"/>
      <c r="H145" s="2846"/>
      <c r="I145" s="2846"/>
      <c r="J145" s="2846"/>
      <c r="K145" s="2846"/>
      <c r="L145" s="2846"/>
      <c r="M145" s="2846"/>
      <c r="N145" s="2846"/>
      <c r="O145" s="2846"/>
      <c r="P145" s="2846"/>
      <c r="Q145" s="2846"/>
      <c r="R145" s="2846"/>
      <c r="S145" s="2846"/>
      <c r="T145" s="2846"/>
      <c r="U145" s="2846"/>
      <c r="V145" s="2846"/>
      <c r="W145" s="2846"/>
      <c r="X145" s="2846"/>
      <c r="Y145" s="2846"/>
      <c r="Z145" s="2846"/>
      <c r="AA145" s="2846"/>
      <c r="AB145" s="2846"/>
      <c r="AC145" s="2846"/>
      <c r="AD145" s="2192"/>
      <c r="AI145"/>
    </row>
    <row r="146" spans="1:35" ht="15" x14ac:dyDescent="0.25">
      <c r="A146" s="2453" t="s">
        <v>2</v>
      </c>
      <c r="B146" s="2572"/>
      <c r="C146" s="2453" t="s">
        <v>3</v>
      </c>
      <c r="D146" s="2572"/>
      <c r="E146" s="2572"/>
      <c r="F146" s="2668" t="s">
        <v>4</v>
      </c>
      <c r="G146" s="2456"/>
      <c r="H146" s="2456"/>
      <c r="I146" s="2456"/>
      <c r="J146" s="2456"/>
      <c r="K146" s="2669"/>
      <c r="L146" s="2"/>
      <c r="M146" s="2459" t="s">
        <v>5</v>
      </c>
      <c r="N146" s="2459"/>
      <c r="O146" s="2459"/>
      <c r="P146" s="2459"/>
      <c r="Q146" s="2459"/>
      <c r="R146" s="2459"/>
      <c r="S146" s="2459"/>
      <c r="T146" s="2459"/>
      <c r="U146" s="2459"/>
      <c r="V146" s="2460"/>
      <c r="W146" s="2573" t="s">
        <v>6</v>
      </c>
      <c r="X146" s="2574" t="s">
        <v>7</v>
      </c>
      <c r="Y146" s="2575"/>
      <c r="Z146" s="2575"/>
      <c r="AA146" s="2574"/>
      <c r="AB146" s="2574"/>
      <c r="AC146" s="2576"/>
      <c r="AD146" s="2221" t="s">
        <v>8</v>
      </c>
      <c r="AG146" s="2221" t="s">
        <v>8</v>
      </c>
      <c r="AH146" s="2845" t="s">
        <v>76</v>
      </c>
      <c r="AI146"/>
    </row>
    <row r="147" spans="1:35" x14ac:dyDescent="0.2">
      <c r="A147" s="2454"/>
      <c r="B147" s="4"/>
      <c r="C147" s="2454"/>
      <c r="D147" s="2577" t="s">
        <v>9</v>
      </c>
      <c r="E147" s="2578" t="s">
        <v>10</v>
      </c>
      <c r="F147" s="2461" t="s">
        <v>11</v>
      </c>
      <c r="G147" s="2457"/>
      <c r="H147" s="2458"/>
      <c r="I147" s="2572"/>
      <c r="J147" s="2579" t="s">
        <v>12</v>
      </c>
      <c r="K147" s="2572"/>
      <c r="L147" s="141" t="s">
        <v>2</v>
      </c>
      <c r="M147" s="2580"/>
      <c r="N147" s="2580"/>
      <c r="O147" s="2580"/>
      <c r="P147" s="2581"/>
      <c r="Q147" s="2582" t="s">
        <v>13</v>
      </c>
      <c r="R147" s="2583" t="s">
        <v>12</v>
      </c>
      <c r="S147" s="2580" t="s">
        <v>6</v>
      </c>
      <c r="T147" s="2465" t="s">
        <v>14</v>
      </c>
      <c r="U147" s="2466"/>
      <c r="V147" s="2584" t="s">
        <v>7</v>
      </c>
      <c r="W147" s="2585" t="s">
        <v>15</v>
      </c>
      <c r="X147" s="2586" t="s">
        <v>16</v>
      </c>
      <c r="Y147" s="2586" t="s">
        <v>17</v>
      </c>
      <c r="Z147" s="2586" t="s">
        <v>18</v>
      </c>
      <c r="AA147" s="5"/>
      <c r="AB147" s="5"/>
      <c r="AC147" s="55" t="s">
        <v>19</v>
      </c>
      <c r="AD147" s="2223" t="s">
        <v>20</v>
      </c>
      <c r="AG147" s="2223" t="s">
        <v>20</v>
      </c>
      <c r="AH147" s="2845"/>
      <c r="AI147"/>
    </row>
    <row r="148" spans="1:35" x14ac:dyDescent="0.2">
      <c r="A148" s="2454"/>
      <c r="B148" s="2454" t="s">
        <v>23</v>
      </c>
      <c r="C148" s="2454"/>
      <c r="D148" s="2577" t="s">
        <v>24</v>
      </c>
      <c r="E148" s="2578" t="s">
        <v>25</v>
      </c>
      <c r="F148" s="2462"/>
      <c r="G148" s="2463"/>
      <c r="H148" s="2464"/>
      <c r="I148" s="2577" t="s">
        <v>26</v>
      </c>
      <c r="J148" s="2587" t="s">
        <v>15</v>
      </c>
      <c r="K148" s="2588" t="s">
        <v>6</v>
      </c>
      <c r="L148" s="142"/>
      <c r="M148" s="2589" t="s">
        <v>27</v>
      </c>
      <c r="N148" s="2589" t="s">
        <v>10</v>
      </c>
      <c r="O148" s="2590" t="s">
        <v>10</v>
      </c>
      <c r="P148" s="2591" t="s">
        <v>28</v>
      </c>
      <c r="Q148" s="2592" t="s">
        <v>29</v>
      </c>
      <c r="R148" s="2591" t="s">
        <v>15</v>
      </c>
      <c r="S148" s="8" t="s">
        <v>15</v>
      </c>
      <c r="T148" s="2467"/>
      <c r="U148" s="2468"/>
      <c r="V148" s="2584" t="s">
        <v>30</v>
      </c>
      <c r="W148" s="2585" t="s">
        <v>31</v>
      </c>
      <c r="X148" s="2586" t="s">
        <v>30</v>
      </c>
      <c r="Y148" s="2586" t="s">
        <v>32</v>
      </c>
      <c r="Z148" s="2586" t="s">
        <v>7</v>
      </c>
      <c r="AA148" s="5" t="s">
        <v>33</v>
      </c>
      <c r="AB148" s="5"/>
      <c r="AC148" s="55" t="s">
        <v>34</v>
      </c>
      <c r="AD148" s="2223" t="s">
        <v>35</v>
      </c>
      <c r="AG148" s="2223" t="s">
        <v>35</v>
      </c>
      <c r="AH148" s="2845"/>
      <c r="AI148"/>
    </row>
    <row r="149" spans="1:35" x14ac:dyDescent="0.2">
      <c r="A149" s="2454"/>
      <c r="B149" s="2454" t="s">
        <v>39</v>
      </c>
      <c r="C149" s="2454"/>
      <c r="D149" s="2577" t="s">
        <v>40</v>
      </c>
      <c r="E149" s="2578" t="s">
        <v>41</v>
      </c>
      <c r="F149" s="2453" t="s">
        <v>42</v>
      </c>
      <c r="G149" s="2453" t="s">
        <v>43</v>
      </c>
      <c r="H149" s="2469" t="s">
        <v>44</v>
      </c>
      <c r="I149" s="2577" t="s">
        <v>45</v>
      </c>
      <c r="J149" s="2587" t="s">
        <v>46</v>
      </c>
      <c r="K149" s="2588" t="s">
        <v>47</v>
      </c>
      <c r="L149" s="142"/>
      <c r="M149" s="2589" t="s">
        <v>30</v>
      </c>
      <c r="N149" s="2589" t="s">
        <v>30</v>
      </c>
      <c r="O149" s="2590" t="s">
        <v>25</v>
      </c>
      <c r="P149" s="2591" t="s">
        <v>30</v>
      </c>
      <c r="Q149" s="2592" t="s">
        <v>48</v>
      </c>
      <c r="R149" s="2591" t="s">
        <v>49</v>
      </c>
      <c r="S149" s="8" t="s">
        <v>30</v>
      </c>
      <c r="T149" s="2593" t="s">
        <v>50</v>
      </c>
      <c r="U149" s="2594" t="s">
        <v>13</v>
      </c>
      <c r="V149" s="2584" t="s">
        <v>51</v>
      </c>
      <c r="W149" s="2585" t="s">
        <v>52</v>
      </c>
      <c r="X149" s="2586" t="s">
        <v>53</v>
      </c>
      <c r="Y149" s="2586" t="s">
        <v>54</v>
      </c>
      <c r="Z149" s="2586" t="s">
        <v>55</v>
      </c>
      <c r="AA149" s="5" t="s">
        <v>56</v>
      </c>
      <c r="AB149" s="5"/>
      <c r="AC149" s="55" t="s">
        <v>57</v>
      </c>
      <c r="AD149" s="6" t="s">
        <v>58</v>
      </c>
      <c r="AG149" s="6" t="s">
        <v>58</v>
      </c>
      <c r="AH149" s="2845"/>
      <c r="AI149"/>
    </row>
    <row r="150" spans="1:35" ht="15" x14ac:dyDescent="0.25">
      <c r="A150" s="2454"/>
      <c r="B150" s="2454" t="s">
        <v>61</v>
      </c>
      <c r="C150" s="2454"/>
      <c r="D150" s="2577" t="s">
        <v>62</v>
      </c>
      <c r="E150" s="2578" t="s">
        <v>63</v>
      </c>
      <c r="F150" s="2454"/>
      <c r="G150" s="2454"/>
      <c r="H150" s="2470"/>
      <c r="I150" s="2577" t="s">
        <v>64</v>
      </c>
      <c r="J150" s="2587" t="s">
        <v>59</v>
      </c>
      <c r="K150" s="2588" t="s">
        <v>59</v>
      </c>
      <c r="L150" s="142"/>
      <c r="M150" s="2589"/>
      <c r="N150" s="2589"/>
      <c r="O150" s="2590" t="s">
        <v>41</v>
      </c>
      <c r="P150" s="2591" t="s">
        <v>65</v>
      </c>
      <c r="Q150" s="2592" t="s">
        <v>66</v>
      </c>
      <c r="R150" s="2591" t="s">
        <v>67</v>
      </c>
      <c r="S150" s="8" t="s">
        <v>59</v>
      </c>
      <c r="T150" s="2595" t="s">
        <v>68</v>
      </c>
      <c r="U150" s="2584" t="s">
        <v>14</v>
      </c>
      <c r="V150" s="2584" t="s">
        <v>14</v>
      </c>
      <c r="W150" s="2585" t="s">
        <v>30</v>
      </c>
      <c r="X150" s="2596" t="s">
        <v>69</v>
      </c>
      <c r="Y150" s="2596" t="s">
        <v>70</v>
      </c>
      <c r="Z150" s="2586" t="s">
        <v>71</v>
      </c>
      <c r="AA150" s="5" t="s">
        <v>72</v>
      </c>
      <c r="AB150" s="5"/>
      <c r="AC150" s="2597" t="s">
        <v>59</v>
      </c>
      <c r="AD150" s="6" t="s">
        <v>59</v>
      </c>
      <c r="AG150" s="6" t="s">
        <v>59</v>
      </c>
      <c r="AH150" s="2845"/>
      <c r="AI150"/>
    </row>
    <row r="151" spans="1:35" x14ac:dyDescent="0.2">
      <c r="A151" s="2455"/>
      <c r="B151" s="9"/>
      <c r="C151" s="2455"/>
      <c r="D151" s="2598"/>
      <c r="E151" s="2599"/>
      <c r="F151" s="9"/>
      <c r="G151" s="9"/>
      <c r="H151" s="10"/>
      <c r="I151" s="2599"/>
      <c r="J151" s="2600"/>
      <c r="K151" s="2601"/>
      <c r="L151" s="143"/>
      <c r="M151" s="2602"/>
      <c r="N151" s="2602"/>
      <c r="O151" s="2602" t="s">
        <v>63</v>
      </c>
      <c r="P151" s="2603"/>
      <c r="Q151" s="2604" t="s">
        <v>72</v>
      </c>
      <c r="R151" s="2605" t="s">
        <v>59</v>
      </c>
      <c r="S151" s="2606"/>
      <c r="T151" s="2605" t="s">
        <v>73</v>
      </c>
      <c r="U151" s="2606" t="s">
        <v>59</v>
      </c>
      <c r="V151" s="2607" t="s">
        <v>59</v>
      </c>
      <c r="W151" s="2608" t="s">
        <v>59</v>
      </c>
      <c r="X151" s="2609" t="s">
        <v>59</v>
      </c>
      <c r="Y151" s="2609" t="s">
        <v>59</v>
      </c>
      <c r="Z151" s="2609" t="s">
        <v>59</v>
      </c>
      <c r="AA151" s="11"/>
      <c r="AB151" s="11"/>
      <c r="AC151" s="56"/>
      <c r="AD151" s="12"/>
      <c r="AG151" s="12"/>
      <c r="AH151" s="2845"/>
      <c r="AI151"/>
    </row>
    <row r="152" spans="1:35" ht="15" x14ac:dyDescent="0.25">
      <c r="A152" s="2113">
        <v>71</v>
      </c>
      <c r="B152" s="2113">
        <v>67824</v>
      </c>
      <c r="C152" s="2100" t="s">
        <v>781</v>
      </c>
      <c r="D152" s="2114" t="s">
        <v>245</v>
      </c>
      <c r="E152" s="1582">
        <v>3</v>
      </c>
      <c r="F152" s="2485">
        <v>0</v>
      </c>
      <c r="G152" s="2109">
        <v>0</v>
      </c>
      <c r="H152" s="2486">
        <v>63.4</v>
      </c>
      <c r="I152" s="1794">
        <f t="shared" ref="I152:I170" si="32">F152*400+G152*100+H152</f>
        <v>63.4</v>
      </c>
      <c r="J152" s="1687">
        <v>20000</v>
      </c>
      <c r="K152" s="2492">
        <f t="shared" ref="K152:K170" si="33">SUM(I152*J152)</f>
        <v>1268000</v>
      </c>
      <c r="L152" s="2109"/>
      <c r="M152" s="100"/>
      <c r="N152" s="2109"/>
      <c r="O152" s="2109"/>
      <c r="P152" s="2486"/>
      <c r="Q152" s="2488"/>
      <c r="R152" s="2101"/>
      <c r="S152" s="2102"/>
      <c r="T152" s="2489"/>
      <c r="U152" s="2102"/>
      <c r="V152" s="2102"/>
      <c r="W152" s="1794">
        <f t="shared" ref="W152:W170" si="34">+K152</f>
        <v>1268000</v>
      </c>
      <c r="X152" s="1791">
        <f t="shared" ref="X152:X170" si="35">+W152</f>
        <v>1268000</v>
      </c>
      <c r="Y152" s="2474"/>
      <c r="Z152" s="1794">
        <f t="shared" ref="Z152:Z170" si="36">+X152</f>
        <v>1268000</v>
      </c>
      <c r="AA152" s="2497">
        <v>0.3</v>
      </c>
      <c r="AB152" s="2498"/>
      <c r="AC152" s="2491">
        <f t="shared" ref="AC152:AC170" si="37">+Z152*AA152/100</f>
        <v>3804</v>
      </c>
      <c r="AD152" s="2536"/>
      <c r="AG152" s="2536"/>
      <c r="AH152" s="2482"/>
      <c r="AI152"/>
    </row>
    <row r="153" spans="1:35" ht="15" x14ac:dyDescent="0.25">
      <c r="A153" s="2113">
        <v>72</v>
      </c>
      <c r="B153" s="2113">
        <v>67825</v>
      </c>
      <c r="C153" s="2100" t="s">
        <v>782</v>
      </c>
      <c r="D153" s="2114" t="s">
        <v>245</v>
      </c>
      <c r="E153" s="1582">
        <v>3</v>
      </c>
      <c r="F153" s="2485">
        <v>0</v>
      </c>
      <c r="G153" s="2109">
        <v>0</v>
      </c>
      <c r="H153" s="2486">
        <v>71.099999999999994</v>
      </c>
      <c r="I153" s="1794">
        <f t="shared" si="32"/>
        <v>71.099999999999994</v>
      </c>
      <c r="J153" s="1687">
        <v>20000</v>
      </c>
      <c r="K153" s="2492">
        <f t="shared" si="33"/>
        <v>1422000</v>
      </c>
      <c r="L153" s="2109"/>
      <c r="M153" s="100"/>
      <c r="N153" s="2109"/>
      <c r="O153" s="2109"/>
      <c r="P153" s="2486"/>
      <c r="Q153" s="2488"/>
      <c r="R153" s="2493"/>
      <c r="S153" s="2494"/>
      <c r="T153" s="2495"/>
      <c r="U153" s="2494"/>
      <c r="V153" s="2494"/>
      <c r="W153" s="1794">
        <f t="shared" si="34"/>
        <v>1422000</v>
      </c>
      <c r="X153" s="1791">
        <f t="shared" si="35"/>
        <v>1422000</v>
      </c>
      <c r="Y153" s="2496"/>
      <c r="Z153" s="1794">
        <f t="shared" si="36"/>
        <v>1422000</v>
      </c>
      <c r="AA153" s="2497">
        <v>0.3</v>
      </c>
      <c r="AB153" s="2498"/>
      <c r="AC153" s="2491">
        <f t="shared" si="37"/>
        <v>4266</v>
      </c>
      <c r="AD153" s="2536"/>
      <c r="AG153" s="2536"/>
      <c r="AH153" s="2482"/>
      <c r="AI153"/>
    </row>
    <row r="154" spans="1:35" ht="15" x14ac:dyDescent="0.25">
      <c r="A154" s="2113">
        <v>73</v>
      </c>
      <c r="B154" s="2113">
        <v>67826</v>
      </c>
      <c r="C154" s="2100" t="s">
        <v>783</v>
      </c>
      <c r="D154" s="2114" t="s">
        <v>245</v>
      </c>
      <c r="E154" s="1582">
        <v>3</v>
      </c>
      <c r="F154" s="2485">
        <v>0</v>
      </c>
      <c r="G154" s="2109">
        <v>0</v>
      </c>
      <c r="H154" s="2486">
        <v>66.3</v>
      </c>
      <c r="I154" s="1794">
        <f t="shared" si="32"/>
        <v>66.3</v>
      </c>
      <c r="J154" s="1687">
        <v>20000</v>
      </c>
      <c r="K154" s="2492">
        <f t="shared" si="33"/>
        <v>1326000</v>
      </c>
      <c r="L154" s="2109"/>
      <c r="M154" s="100"/>
      <c r="N154" s="2109"/>
      <c r="O154" s="2109"/>
      <c r="P154" s="2486"/>
      <c r="Q154" s="2488"/>
      <c r="R154" s="2493"/>
      <c r="S154" s="2494"/>
      <c r="T154" s="2495"/>
      <c r="U154" s="2494"/>
      <c r="V154" s="2494"/>
      <c r="W154" s="1794">
        <f t="shared" si="34"/>
        <v>1326000</v>
      </c>
      <c r="X154" s="1791">
        <f t="shared" si="35"/>
        <v>1326000</v>
      </c>
      <c r="Y154" s="2496"/>
      <c r="Z154" s="1794">
        <f t="shared" si="36"/>
        <v>1326000</v>
      </c>
      <c r="AA154" s="2497">
        <v>0.3</v>
      </c>
      <c r="AB154" s="2498"/>
      <c r="AC154" s="2491">
        <f t="shared" si="37"/>
        <v>3978</v>
      </c>
      <c r="AD154" s="2536"/>
      <c r="AG154" s="2536"/>
      <c r="AH154" s="2482"/>
      <c r="AI154"/>
    </row>
    <row r="155" spans="1:35" ht="15" x14ac:dyDescent="0.25">
      <c r="A155" s="2113">
        <v>74</v>
      </c>
      <c r="B155" s="2113">
        <v>67827</v>
      </c>
      <c r="C155" s="2100" t="s">
        <v>784</v>
      </c>
      <c r="D155" s="2114" t="s">
        <v>245</v>
      </c>
      <c r="E155" s="1582">
        <v>3</v>
      </c>
      <c r="F155" s="2472">
        <v>0</v>
      </c>
      <c r="G155" s="2113">
        <v>0</v>
      </c>
      <c r="H155" s="2477">
        <v>74.5</v>
      </c>
      <c r="I155" s="1794">
        <f t="shared" si="32"/>
        <v>74.5</v>
      </c>
      <c r="J155" s="1687">
        <v>20000</v>
      </c>
      <c r="K155" s="2492">
        <f t="shared" si="33"/>
        <v>1490000</v>
      </c>
      <c r="L155" s="2109"/>
      <c r="M155" s="100"/>
      <c r="N155" s="2109"/>
      <c r="O155" s="2109"/>
      <c r="P155" s="2486"/>
      <c r="Q155" s="2488"/>
      <c r="R155" s="2493"/>
      <c r="S155" s="2494"/>
      <c r="T155" s="2495"/>
      <c r="U155" s="2494"/>
      <c r="V155" s="2494"/>
      <c r="W155" s="1794">
        <f t="shared" si="34"/>
        <v>1490000</v>
      </c>
      <c r="X155" s="1791">
        <f t="shared" si="35"/>
        <v>1490000</v>
      </c>
      <c r="Y155" s="2496"/>
      <c r="Z155" s="1794">
        <f t="shared" si="36"/>
        <v>1490000</v>
      </c>
      <c r="AA155" s="2497">
        <v>0.3</v>
      </c>
      <c r="AB155" s="2498"/>
      <c r="AC155" s="2491">
        <f t="shared" si="37"/>
        <v>4470</v>
      </c>
      <c r="AD155" s="2536"/>
      <c r="AG155" s="2536"/>
      <c r="AH155" s="2482"/>
      <c r="AI155"/>
    </row>
    <row r="156" spans="1:35" ht="15" x14ac:dyDescent="0.25">
      <c r="A156" s="2113">
        <v>75</v>
      </c>
      <c r="B156" s="2113">
        <v>67828</v>
      </c>
      <c r="C156" s="2100" t="s">
        <v>785</v>
      </c>
      <c r="D156" s="2114" t="s">
        <v>245</v>
      </c>
      <c r="E156" s="1582">
        <v>3</v>
      </c>
      <c r="F156" s="2472">
        <v>0</v>
      </c>
      <c r="G156" s="2113">
        <v>0</v>
      </c>
      <c r="H156" s="2477">
        <v>84.1</v>
      </c>
      <c r="I156" s="1794">
        <f t="shared" si="32"/>
        <v>84.1</v>
      </c>
      <c r="J156" s="1687">
        <v>20000</v>
      </c>
      <c r="K156" s="2492">
        <f t="shared" si="33"/>
        <v>1682000</v>
      </c>
      <c r="L156" s="2109"/>
      <c r="M156" s="100"/>
      <c r="N156" s="2109"/>
      <c r="O156" s="2109"/>
      <c r="P156" s="2486"/>
      <c r="Q156" s="2488"/>
      <c r="R156" s="2493"/>
      <c r="S156" s="2494"/>
      <c r="T156" s="2495"/>
      <c r="U156" s="2494"/>
      <c r="V156" s="2494"/>
      <c r="W156" s="1794">
        <f t="shared" si="34"/>
        <v>1682000</v>
      </c>
      <c r="X156" s="1791">
        <f t="shared" si="35"/>
        <v>1682000</v>
      </c>
      <c r="Y156" s="2496"/>
      <c r="Z156" s="1794">
        <f t="shared" si="36"/>
        <v>1682000</v>
      </c>
      <c r="AA156" s="2497">
        <v>0.3</v>
      </c>
      <c r="AB156" s="2498"/>
      <c r="AC156" s="2491">
        <f t="shared" si="37"/>
        <v>5046</v>
      </c>
      <c r="AD156" s="2536"/>
      <c r="AG156" s="2536"/>
      <c r="AH156" s="2482"/>
      <c r="AI156"/>
    </row>
    <row r="157" spans="1:35" ht="15" x14ac:dyDescent="0.25">
      <c r="A157" s="2113">
        <v>76</v>
      </c>
      <c r="B157" s="2113">
        <v>67829</v>
      </c>
      <c r="C157" s="2100" t="s">
        <v>786</v>
      </c>
      <c r="D157" s="2114" t="s">
        <v>245</v>
      </c>
      <c r="E157" s="1582">
        <v>3</v>
      </c>
      <c r="F157" s="2472">
        <v>0</v>
      </c>
      <c r="G157" s="2113">
        <v>0</v>
      </c>
      <c r="H157" s="2477">
        <v>67.400000000000006</v>
      </c>
      <c r="I157" s="1794">
        <f t="shared" si="32"/>
        <v>67.400000000000006</v>
      </c>
      <c r="J157" s="1687">
        <v>20000</v>
      </c>
      <c r="K157" s="2492">
        <f t="shared" si="33"/>
        <v>1348000</v>
      </c>
      <c r="L157" s="2109"/>
      <c r="M157" s="100"/>
      <c r="N157" s="2109"/>
      <c r="O157" s="2109"/>
      <c r="P157" s="2486"/>
      <c r="Q157" s="2488"/>
      <c r="R157" s="2493"/>
      <c r="S157" s="2494"/>
      <c r="T157" s="2495"/>
      <c r="U157" s="2494"/>
      <c r="V157" s="2494"/>
      <c r="W157" s="1794">
        <f t="shared" si="34"/>
        <v>1348000</v>
      </c>
      <c r="X157" s="1791">
        <f t="shared" si="35"/>
        <v>1348000</v>
      </c>
      <c r="Y157" s="2496"/>
      <c r="Z157" s="1794">
        <f t="shared" si="36"/>
        <v>1348000</v>
      </c>
      <c r="AA157" s="2497">
        <v>0.3</v>
      </c>
      <c r="AB157" s="2498"/>
      <c r="AC157" s="2491">
        <f t="shared" si="37"/>
        <v>4044</v>
      </c>
      <c r="AD157" s="2536"/>
      <c r="AG157" s="2536"/>
      <c r="AH157" s="2482"/>
      <c r="AI157"/>
    </row>
    <row r="158" spans="1:35" ht="15" x14ac:dyDescent="0.25">
      <c r="A158" s="2113">
        <v>77</v>
      </c>
      <c r="B158" s="2113">
        <v>67830</v>
      </c>
      <c r="C158" s="2100" t="s">
        <v>787</v>
      </c>
      <c r="D158" s="2114" t="s">
        <v>245</v>
      </c>
      <c r="E158" s="1582">
        <v>3</v>
      </c>
      <c r="F158" s="2472">
        <v>0</v>
      </c>
      <c r="G158" s="2113">
        <v>1</v>
      </c>
      <c r="H158" s="2477">
        <v>4.8</v>
      </c>
      <c r="I158" s="1794">
        <f t="shared" si="32"/>
        <v>104.8</v>
      </c>
      <c r="J158" s="1687">
        <v>20000</v>
      </c>
      <c r="K158" s="2492">
        <f t="shared" si="33"/>
        <v>2096000</v>
      </c>
      <c r="L158" s="2109"/>
      <c r="M158" s="100"/>
      <c r="N158" s="2109"/>
      <c r="O158" s="2109"/>
      <c r="P158" s="2486"/>
      <c r="Q158" s="2488"/>
      <c r="R158" s="2493"/>
      <c r="S158" s="2494"/>
      <c r="T158" s="2495"/>
      <c r="U158" s="2494"/>
      <c r="V158" s="2494"/>
      <c r="W158" s="1794">
        <f t="shared" si="34"/>
        <v>2096000</v>
      </c>
      <c r="X158" s="1791">
        <f t="shared" si="35"/>
        <v>2096000</v>
      </c>
      <c r="Y158" s="2496"/>
      <c r="Z158" s="1794">
        <f t="shared" si="36"/>
        <v>2096000</v>
      </c>
      <c r="AA158" s="2497">
        <v>0.3</v>
      </c>
      <c r="AB158" s="2498"/>
      <c r="AC158" s="2491">
        <f t="shared" si="37"/>
        <v>6288</v>
      </c>
      <c r="AD158" s="2536"/>
      <c r="AG158" s="2536"/>
      <c r="AH158" s="2482"/>
      <c r="AI158"/>
    </row>
    <row r="159" spans="1:35" ht="15" x14ac:dyDescent="0.25">
      <c r="A159" s="2113">
        <v>78</v>
      </c>
      <c r="B159" s="2113">
        <v>67837</v>
      </c>
      <c r="C159" s="2100" t="s">
        <v>788</v>
      </c>
      <c r="D159" s="2114" t="s">
        <v>245</v>
      </c>
      <c r="E159" s="1582">
        <v>3</v>
      </c>
      <c r="F159" s="2472">
        <v>0</v>
      </c>
      <c r="G159" s="2113">
        <v>1</v>
      </c>
      <c r="H159" s="2477">
        <v>3.5</v>
      </c>
      <c r="I159" s="1794">
        <f t="shared" si="32"/>
        <v>103.5</v>
      </c>
      <c r="J159" s="1687">
        <v>20000</v>
      </c>
      <c r="K159" s="2492">
        <f t="shared" si="33"/>
        <v>2070000</v>
      </c>
      <c r="L159" s="2119"/>
      <c r="M159" s="52"/>
      <c r="N159" s="2119"/>
      <c r="O159" s="2119"/>
      <c r="P159" s="2123"/>
      <c r="Q159" s="2120"/>
      <c r="R159" s="2478"/>
      <c r="S159" s="2479"/>
      <c r="T159" s="2480"/>
      <c r="U159" s="1664"/>
      <c r="V159" s="47"/>
      <c r="W159" s="1794">
        <f t="shared" si="34"/>
        <v>2070000</v>
      </c>
      <c r="X159" s="1791">
        <f t="shared" si="35"/>
        <v>2070000</v>
      </c>
      <c r="Y159" s="2474"/>
      <c r="Z159" s="1794">
        <f t="shared" si="36"/>
        <v>2070000</v>
      </c>
      <c r="AA159" s="2497">
        <v>0.3</v>
      </c>
      <c r="AB159" s="2498"/>
      <c r="AC159" s="2491">
        <f t="shared" si="37"/>
        <v>6210</v>
      </c>
      <c r="AD159" s="2536"/>
      <c r="AG159" s="2536"/>
      <c r="AH159" s="2482"/>
      <c r="AI159"/>
    </row>
    <row r="160" spans="1:35" x14ac:dyDescent="0.2">
      <c r="A160" s="2113">
        <v>79</v>
      </c>
      <c r="B160" s="2113">
        <v>67838</v>
      </c>
      <c r="C160" s="2100" t="s">
        <v>789</v>
      </c>
      <c r="D160" s="2114" t="s">
        <v>245</v>
      </c>
      <c r="E160" s="1508">
        <v>3</v>
      </c>
      <c r="F160" s="2485">
        <v>0</v>
      </c>
      <c r="G160" s="2109">
        <v>0</v>
      </c>
      <c r="H160" s="2486">
        <v>68</v>
      </c>
      <c r="I160" s="1794">
        <f t="shared" si="32"/>
        <v>68</v>
      </c>
      <c r="J160" s="1687">
        <v>20000</v>
      </c>
      <c r="K160" s="2492">
        <f t="shared" si="33"/>
        <v>1360000</v>
      </c>
      <c r="L160" s="61"/>
      <c r="M160" s="105"/>
      <c r="N160" s="1311"/>
      <c r="O160" s="1506"/>
      <c r="P160" s="105"/>
      <c r="Q160" s="2487"/>
      <c r="R160" s="2228"/>
      <c r="S160" s="2229"/>
      <c r="T160" s="1311"/>
      <c r="U160" s="127"/>
      <c r="V160" s="77"/>
      <c r="W160" s="1794">
        <f t="shared" si="34"/>
        <v>1360000</v>
      </c>
      <c r="X160" s="1791">
        <f t="shared" si="35"/>
        <v>1360000</v>
      </c>
      <c r="Y160" s="2474"/>
      <c r="Z160" s="1794">
        <f t="shared" si="36"/>
        <v>1360000</v>
      </c>
      <c r="AA160" s="2497">
        <v>0.3</v>
      </c>
      <c r="AB160" s="2498"/>
      <c r="AC160" s="2491">
        <f t="shared" si="37"/>
        <v>4080</v>
      </c>
      <c r="AD160" s="2540"/>
      <c r="AG160" s="2540"/>
      <c r="AH160" s="2482"/>
      <c r="AI160"/>
    </row>
    <row r="161" spans="1:38" x14ac:dyDescent="0.2">
      <c r="A161" s="2113">
        <v>80</v>
      </c>
      <c r="B161" s="2113">
        <v>67839</v>
      </c>
      <c r="C161" s="2100" t="s">
        <v>790</v>
      </c>
      <c r="D161" s="2114" t="s">
        <v>245</v>
      </c>
      <c r="E161" s="1508">
        <v>3</v>
      </c>
      <c r="F161" s="2485">
        <v>0</v>
      </c>
      <c r="G161" s="2109">
        <v>0</v>
      </c>
      <c r="H161" s="2486">
        <v>71.099999999999994</v>
      </c>
      <c r="I161" s="1794">
        <f t="shared" si="32"/>
        <v>71.099999999999994</v>
      </c>
      <c r="J161" s="1687">
        <v>20000</v>
      </c>
      <c r="K161" s="2492">
        <f t="shared" si="33"/>
        <v>1422000</v>
      </c>
      <c r="L161" s="2109"/>
      <c r="M161" s="100"/>
      <c r="N161" s="2109"/>
      <c r="O161" s="2109"/>
      <c r="P161" s="2486"/>
      <c r="Q161" s="2488"/>
      <c r="R161" s="2101"/>
      <c r="S161" s="2102"/>
      <c r="T161" s="2489"/>
      <c r="U161" s="2102"/>
      <c r="V161" s="2102"/>
      <c r="W161" s="1794">
        <f t="shared" si="34"/>
        <v>1422000</v>
      </c>
      <c r="X161" s="1791">
        <f t="shared" si="35"/>
        <v>1422000</v>
      </c>
      <c r="Y161" s="2474"/>
      <c r="Z161" s="1794">
        <f t="shared" si="36"/>
        <v>1422000</v>
      </c>
      <c r="AA161" s="2497">
        <v>0.3</v>
      </c>
      <c r="AB161" s="2498"/>
      <c r="AC161" s="2491">
        <f t="shared" si="37"/>
        <v>4266</v>
      </c>
      <c r="AD161" s="2535"/>
      <c r="AH161" s="2482"/>
    </row>
    <row r="162" spans="1:38" x14ac:dyDescent="0.2">
      <c r="A162" s="2113">
        <v>81</v>
      </c>
      <c r="B162" s="2113">
        <v>67840</v>
      </c>
      <c r="C162" s="2100" t="s">
        <v>791</v>
      </c>
      <c r="D162" s="2114" t="s">
        <v>245</v>
      </c>
      <c r="E162" s="1508">
        <v>3</v>
      </c>
      <c r="F162" s="2485">
        <v>0</v>
      </c>
      <c r="G162" s="2109">
        <v>1</v>
      </c>
      <c r="H162" s="2486">
        <v>6.5</v>
      </c>
      <c r="I162" s="1794">
        <f t="shared" si="32"/>
        <v>106.5</v>
      </c>
      <c r="J162" s="1687">
        <v>20000</v>
      </c>
      <c r="K162" s="2492">
        <f t="shared" si="33"/>
        <v>2130000</v>
      </c>
      <c r="L162" s="2109"/>
      <c r="M162" s="100"/>
      <c r="N162" s="2109"/>
      <c r="O162" s="2109"/>
      <c r="P162" s="2486"/>
      <c r="Q162" s="2488"/>
      <c r="R162" s="2101"/>
      <c r="S162" s="2102"/>
      <c r="T162" s="2489"/>
      <c r="U162" s="2102"/>
      <c r="V162" s="2102"/>
      <c r="W162" s="1794">
        <f t="shared" si="34"/>
        <v>2130000</v>
      </c>
      <c r="X162" s="1791">
        <f t="shared" si="35"/>
        <v>2130000</v>
      </c>
      <c r="Y162" s="2474"/>
      <c r="Z162" s="1794">
        <f t="shared" si="36"/>
        <v>2130000</v>
      </c>
      <c r="AA162" s="2497">
        <v>0.3</v>
      </c>
      <c r="AB162" s="2498"/>
      <c r="AC162" s="2491">
        <f t="shared" si="37"/>
        <v>6390</v>
      </c>
      <c r="AD162" s="2536"/>
      <c r="AH162" s="2482"/>
    </row>
    <row r="163" spans="1:38" x14ac:dyDescent="0.2">
      <c r="A163" s="2113">
        <v>82</v>
      </c>
      <c r="B163" s="2113">
        <v>67841</v>
      </c>
      <c r="C163" s="2100" t="s">
        <v>792</v>
      </c>
      <c r="D163" s="2114" t="s">
        <v>245</v>
      </c>
      <c r="E163" s="1508">
        <v>3</v>
      </c>
      <c r="F163" s="2485">
        <v>0</v>
      </c>
      <c r="G163" s="2109">
        <v>0</v>
      </c>
      <c r="H163" s="2486">
        <v>63.8</v>
      </c>
      <c r="I163" s="1794">
        <f t="shared" si="32"/>
        <v>63.8</v>
      </c>
      <c r="J163" s="1687">
        <v>20000</v>
      </c>
      <c r="K163" s="2492">
        <f t="shared" si="33"/>
        <v>1276000</v>
      </c>
      <c r="L163" s="2109"/>
      <c r="M163" s="100"/>
      <c r="N163" s="2109"/>
      <c r="O163" s="2109"/>
      <c r="P163" s="2486"/>
      <c r="Q163" s="2488"/>
      <c r="R163" s="2493"/>
      <c r="S163" s="2494"/>
      <c r="T163" s="2495"/>
      <c r="U163" s="2494"/>
      <c r="V163" s="2494"/>
      <c r="W163" s="1794">
        <f t="shared" si="34"/>
        <v>1276000</v>
      </c>
      <c r="X163" s="1791">
        <f t="shared" si="35"/>
        <v>1276000</v>
      </c>
      <c r="Y163" s="2496"/>
      <c r="Z163" s="1794">
        <f t="shared" si="36"/>
        <v>1276000</v>
      </c>
      <c r="AA163" s="2497">
        <v>0.3</v>
      </c>
      <c r="AB163" s="2498"/>
      <c r="AC163" s="2491">
        <f t="shared" si="37"/>
        <v>3828</v>
      </c>
      <c r="AD163" s="2536"/>
      <c r="AH163" s="2482"/>
    </row>
    <row r="164" spans="1:38" x14ac:dyDescent="0.2">
      <c r="A164" s="2113">
        <v>83</v>
      </c>
      <c r="B164" s="2113">
        <v>67842</v>
      </c>
      <c r="C164" s="2100" t="s">
        <v>793</v>
      </c>
      <c r="D164" s="2114" t="s">
        <v>245</v>
      </c>
      <c r="E164" s="1508">
        <v>3</v>
      </c>
      <c r="F164" s="2485">
        <v>0</v>
      </c>
      <c r="G164" s="2109">
        <v>0</v>
      </c>
      <c r="H164" s="2486">
        <v>88.8</v>
      </c>
      <c r="I164" s="1794">
        <v>88.8</v>
      </c>
      <c r="J164" s="1687">
        <v>20000</v>
      </c>
      <c r="K164" s="2492">
        <f t="shared" si="33"/>
        <v>1776000</v>
      </c>
      <c r="L164" s="2109"/>
      <c r="M164" s="100"/>
      <c r="N164" s="2109"/>
      <c r="O164" s="2109"/>
      <c r="P164" s="2486"/>
      <c r="Q164" s="2488"/>
      <c r="R164" s="2493"/>
      <c r="S164" s="2494"/>
      <c r="T164" s="2495"/>
      <c r="U164" s="2494"/>
      <c r="V164" s="2494"/>
      <c r="W164" s="1794">
        <v>1243200</v>
      </c>
      <c r="X164" s="1791">
        <v>1243200</v>
      </c>
      <c r="Y164" s="2496"/>
      <c r="Z164" s="1794">
        <v>1243200</v>
      </c>
      <c r="AA164" s="2497">
        <v>0.3</v>
      </c>
      <c r="AB164" s="2498"/>
      <c r="AC164" s="2491">
        <f t="shared" si="37"/>
        <v>3729.6</v>
      </c>
      <c r="AD164" s="2536"/>
      <c r="AH164" s="2482"/>
    </row>
    <row r="165" spans="1:38" s="2515" customFormat="1" x14ac:dyDescent="0.2">
      <c r="A165" s="2113">
        <v>84</v>
      </c>
      <c r="B165" s="2541">
        <v>67849</v>
      </c>
      <c r="C165" s="2542" t="s">
        <v>794</v>
      </c>
      <c r="D165" s="2504" t="s">
        <v>245</v>
      </c>
      <c r="E165" s="2543">
        <v>3</v>
      </c>
      <c r="F165" s="2547">
        <v>0</v>
      </c>
      <c r="G165" s="2541">
        <v>0</v>
      </c>
      <c r="H165" s="2548">
        <v>70.099999999999994</v>
      </c>
      <c r="I165" s="879">
        <f t="shared" si="32"/>
        <v>70.099999999999994</v>
      </c>
      <c r="J165" s="2508">
        <v>20000</v>
      </c>
      <c r="K165" s="1449">
        <f t="shared" si="33"/>
        <v>1402000</v>
      </c>
      <c r="L165" s="2549"/>
      <c r="M165" s="2550"/>
      <c r="N165" s="2549"/>
      <c r="O165" s="2549"/>
      <c r="P165" s="2551"/>
      <c r="Q165" s="2552"/>
      <c r="R165" s="2553"/>
      <c r="S165" s="2554"/>
      <c r="T165" s="2555"/>
      <c r="U165" s="2554"/>
      <c r="V165" s="2554"/>
      <c r="W165" s="879">
        <f t="shared" si="34"/>
        <v>1402000</v>
      </c>
      <c r="X165" s="1455">
        <f t="shared" si="35"/>
        <v>1402000</v>
      </c>
      <c r="Y165" s="2512"/>
      <c r="Z165" s="879">
        <f t="shared" si="36"/>
        <v>1402000</v>
      </c>
      <c r="AA165" s="2544">
        <v>0.3</v>
      </c>
      <c r="AB165" s="2545"/>
      <c r="AC165" s="2491">
        <f t="shared" si="37"/>
        <v>4206</v>
      </c>
      <c r="AD165" s="2556"/>
      <c r="AH165" s="2482"/>
      <c r="AI165" s="2516"/>
      <c r="AK165"/>
      <c r="AL165"/>
    </row>
    <row r="166" spans="1:38" x14ac:dyDescent="0.2">
      <c r="A166" s="2113">
        <v>85</v>
      </c>
      <c r="B166" s="2113">
        <v>67850</v>
      </c>
      <c r="C166" s="2100" t="s">
        <v>795</v>
      </c>
      <c r="D166" s="2114" t="s">
        <v>245</v>
      </c>
      <c r="E166" s="1508">
        <v>3</v>
      </c>
      <c r="F166" s="2114">
        <v>0</v>
      </c>
      <c r="G166" s="2114">
        <v>0</v>
      </c>
      <c r="H166" s="2115">
        <v>63.4</v>
      </c>
      <c r="I166" s="1794">
        <f t="shared" si="32"/>
        <v>63.4</v>
      </c>
      <c r="J166" s="1687">
        <v>20000</v>
      </c>
      <c r="K166" s="2492">
        <f t="shared" si="33"/>
        <v>1268000</v>
      </c>
      <c r="L166" s="45"/>
      <c r="M166" s="61"/>
      <c r="N166" s="50"/>
      <c r="O166" s="1506"/>
      <c r="P166" s="19"/>
      <c r="Q166" s="62"/>
      <c r="R166" s="1718"/>
      <c r="S166" s="18"/>
      <c r="T166" s="20"/>
      <c r="U166" s="1664"/>
      <c r="V166" s="47"/>
      <c r="W166" s="1794">
        <f t="shared" si="34"/>
        <v>1268000</v>
      </c>
      <c r="X166" s="1791">
        <f t="shared" si="35"/>
        <v>1268000</v>
      </c>
      <c r="Y166" s="2474"/>
      <c r="Z166" s="1794">
        <f t="shared" si="36"/>
        <v>1268000</v>
      </c>
      <c r="AA166" s="2497">
        <v>0.3</v>
      </c>
      <c r="AB166" s="2498"/>
      <c r="AC166" s="2491">
        <f t="shared" si="37"/>
        <v>3804</v>
      </c>
      <c r="AD166" s="2536"/>
      <c r="AH166" s="2482"/>
      <c r="AK166" s="2515"/>
      <c r="AL166" s="2515"/>
    </row>
    <row r="167" spans="1:38" x14ac:dyDescent="0.2">
      <c r="A167" s="2113">
        <v>86</v>
      </c>
      <c r="B167" s="2113">
        <v>67851</v>
      </c>
      <c r="C167" s="2100" t="s">
        <v>796</v>
      </c>
      <c r="D167" s="2114" t="s">
        <v>797</v>
      </c>
      <c r="E167" s="1508">
        <v>3</v>
      </c>
      <c r="F167" s="2114">
        <v>0</v>
      </c>
      <c r="G167" s="2114">
        <v>0</v>
      </c>
      <c r="H167" s="2115">
        <v>63.4</v>
      </c>
      <c r="I167" s="1794">
        <f t="shared" si="32"/>
        <v>63.4</v>
      </c>
      <c r="J167" s="1687">
        <v>20000</v>
      </c>
      <c r="K167" s="2492">
        <f t="shared" si="33"/>
        <v>1268000</v>
      </c>
      <c r="L167" s="45"/>
      <c r="M167" s="61"/>
      <c r="N167" s="50"/>
      <c r="O167" s="1506"/>
      <c r="P167" s="19"/>
      <c r="Q167" s="62"/>
      <c r="R167" s="1718"/>
      <c r="S167" s="18"/>
      <c r="T167" s="20"/>
      <c r="U167" s="1664"/>
      <c r="V167" s="47"/>
      <c r="W167" s="1794">
        <f t="shared" si="34"/>
        <v>1268000</v>
      </c>
      <c r="X167" s="1791">
        <f t="shared" si="35"/>
        <v>1268000</v>
      </c>
      <c r="Y167" s="2474"/>
      <c r="Z167" s="1794">
        <f t="shared" si="36"/>
        <v>1268000</v>
      </c>
      <c r="AA167" s="2497">
        <v>0.3</v>
      </c>
      <c r="AB167" s="2498"/>
      <c r="AC167" s="2491">
        <f t="shared" si="37"/>
        <v>3804</v>
      </c>
      <c r="AD167" s="2536"/>
      <c r="AH167" s="2482"/>
    </row>
    <row r="168" spans="1:38" x14ac:dyDescent="0.2">
      <c r="A168" s="2113">
        <v>87</v>
      </c>
      <c r="B168" s="2113">
        <v>67852</v>
      </c>
      <c r="C168" s="2100" t="s">
        <v>798</v>
      </c>
      <c r="D168" s="2114" t="s">
        <v>799</v>
      </c>
      <c r="E168" s="1508">
        <v>3</v>
      </c>
      <c r="F168" s="2114">
        <v>0</v>
      </c>
      <c r="G168" s="2114">
        <v>0</v>
      </c>
      <c r="H168" s="2115">
        <v>67.2</v>
      </c>
      <c r="I168" s="1794">
        <f t="shared" si="32"/>
        <v>67.2</v>
      </c>
      <c r="J168" s="1687">
        <v>20000</v>
      </c>
      <c r="K168" s="2492">
        <f t="shared" si="33"/>
        <v>1344000</v>
      </c>
      <c r="L168" s="45"/>
      <c r="M168" s="61"/>
      <c r="N168" s="50"/>
      <c r="O168" s="1506"/>
      <c r="P168" s="19"/>
      <c r="Q168" s="62"/>
      <c r="R168" s="1718"/>
      <c r="S168" s="18"/>
      <c r="T168" s="20"/>
      <c r="U168" s="1664"/>
      <c r="V168" s="47"/>
      <c r="W168" s="1794">
        <f t="shared" si="34"/>
        <v>1344000</v>
      </c>
      <c r="X168" s="1791">
        <f t="shared" si="35"/>
        <v>1344000</v>
      </c>
      <c r="Y168" s="2474"/>
      <c r="Z168" s="1794">
        <f t="shared" si="36"/>
        <v>1344000</v>
      </c>
      <c r="AA168" s="2497">
        <v>0.3</v>
      </c>
      <c r="AB168" s="2498"/>
      <c r="AC168" s="2491">
        <f t="shared" si="37"/>
        <v>4032</v>
      </c>
      <c r="AD168" s="2536"/>
      <c r="AH168" s="2491"/>
    </row>
    <row r="169" spans="1:38" x14ac:dyDescent="0.2">
      <c r="A169" s="2113">
        <v>88</v>
      </c>
      <c r="B169" s="2113">
        <v>67853</v>
      </c>
      <c r="C169" s="2100" t="s">
        <v>800</v>
      </c>
      <c r="D169" s="2114" t="s">
        <v>801</v>
      </c>
      <c r="E169" s="1508">
        <v>3</v>
      </c>
      <c r="F169" s="2114">
        <v>0</v>
      </c>
      <c r="G169" s="2114">
        <v>0</v>
      </c>
      <c r="H169" s="2115">
        <v>70.2</v>
      </c>
      <c r="I169" s="1794">
        <f t="shared" si="32"/>
        <v>70.2</v>
      </c>
      <c r="J169" s="1687">
        <v>20000</v>
      </c>
      <c r="K169" s="2492">
        <f t="shared" si="33"/>
        <v>1404000</v>
      </c>
      <c r="L169" s="45"/>
      <c r="M169" s="61"/>
      <c r="N169" s="50"/>
      <c r="O169" s="1506"/>
      <c r="P169" s="19"/>
      <c r="Q169" s="62"/>
      <c r="R169" s="1718"/>
      <c r="S169" s="18"/>
      <c r="T169" s="20"/>
      <c r="U169" s="1664"/>
      <c r="V169" s="47"/>
      <c r="W169" s="1794">
        <f t="shared" si="34"/>
        <v>1404000</v>
      </c>
      <c r="X169" s="1791">
        <f t="shared" si="35"/>
        <v>1404000</v>
      </c>
      <c r="Y169" s="2474"/>
      <c r="Z169" s="1794">
        <f t="shared" si="36"/>
        <v>1404000</v>
      </c>
      <c r="AA169" s="2497">
        <v>0.3</v>
      </c>
      <c r="AB169" s="2498"/>
      <c r="AC169" s="2491">
        <f t="shared" si="37"/>
        <v>4212</v>
      </c>
      <c r="AD169" s="2536"/>
      <c r="AH169" s="2546"/>
    </row>
    <row r="170" spans="1:38" x14ac:dyDescent="0.2">
      <c r="A170" s="2113">
        <v>89</v>
      </c>
      <c r="B170" s="2113">
        <v>67854</v>
      </c>
      <c r="C170" s="2100" t="s">
        <v>802</v>
      </c>
      <c r="D170" s="2114" t="s">
        <v>803</v>
      </c>
      <c r="E170" s="1508">
        <v>3</v>
      </c>
      <c r="F170" s="2114">
        <v>0</v>
      </c>
      <c r="G170" s="2114">
        <v>0</v>
      </c>
      <c r="H170" s="2115">
        <v>63.1</v>
      </c>
      <c r="I170" s="1794">
        <f t="shared" si="32"/>
        <v>63.1</v>
      </c>
      <c r="J170" s="1687">
        <v>20000</v>
      </c>
      <c r="K170" s="2492">
        <f t="shared" si="33"/>
        <v>1262000</v>
      </c>
      <c r="L170" s="45"/>
      <c r="M170" s="61"/>
      <c r="N170" s="50"/>
      <c r="O170" s="1506"/>
      <c r="P170" s="19"/>
      <c r="Q170" s="62"/>
      <c r="R170" s="1718"/>
      <c r="S170" s="18"/>
      <c r="T170" s="20"/>
      <c r="U170" s="1664"/>
      <c r="V170" s="47"/>
      <c r="W170" s="1794">
        <f t="shared" si="34"/>
        <v>1262000</v>
      </c>
      <c r="X170" s="1791">
        <f t="shared" si="35"/>
        <v>1262000</v>
      </c>
      <c r="Y170" s="2474"/>
      <c r="Z170" s="2502">
        <f t="shared" si="36"/>
        <v>1262000</v>
      </c>
      <c r="AA170" s="2498">
        <v>0.3</v>
      </c>
      <c r="AB170" s="2498"/>
      <c r="AC170" s="2491">
        <f t="shared" si="37"/>
        <v>3786</v>
      </c>
      <c r="AD170" s="2536"/>
      <c r="AH170" s="2491"/>
    </row>
    <row r="171" spans="1:38" ht="15" thickBot="1" x14ac:dyDescent="0.25">
      <c r="A171" s="34"/>
      <c r="B171" s="34"/>
      <c r="C171" s="34"/>
      <c r="D171" s="34"/>
      <c r="E171" s="34"/>
      <c r="F171" s="34"/>
      <c r="G171" s="34"/>
      <c r="H171" s="35"/>
      <c r="I171" s="36"/>
      <c r="J171" s="37"/>
      <c r="K171" s="2562"/>
      <c r="L171" s="2562"/>
      <c r="M171" s="2562"/>
      <c r="N171" s="2562"/>
      <c r="O171" s="2562"/>
      <c r="P171" s="2562"/>
      <c r="Q171" s="2562"/>
      <c r="R171" s="2563"/>
      <c r="S171" s="2562"/>
      <c r="T171" s="38"/>
      <c r="U171" s="2564"/>
      <c r="V171" s="2562"/>
      <c r="W171" s="2670"/>
      <c r="X171" s="2671"/>
      <c r="Y171" s="2672"/>
      <c r="Z171" s="2655">
        <f>SUM(Z152:Z170)</f>
        <v>28081200</v>
      </c>
      <c r="AA171" s="2673"/>
      <c r="AB171" s="2673"/>
      <c r="AC171" s="2614">
        <f>SUM(AC152:AC170)</f>
        <v>84243.6</v>
      </c>
      <c r="AD171" s="2561">
        <f t="shared" ref="AD171:AG171" si="38">SUM(AD152:AD170)</f>
        <v>0</v>
      </c>
      <c r="AE171" s="2561">
        <f t="shared" si="38"/>
        <v>0</v>
      </c>
      <c r="AF171" s="2561">
        <f t="shared" si="38"/>
        <v>0</v>
      </c>
      <c r="AG171" s="2561">
        <f t="shared" si="38"/>
        <v>0</v>
      </c>
      <c r="AH171" s="2614"/>
    </row>
    <row r="172" spans="1:38" ht="16.5" thickTop="1" x14ac:dyDescent="0.25">
      <c r="A172" s="2847" t="s">
        <v>76</v>
      </c>
      <c r="B172" s="2847"/>
      <c r="C172" s="2843" t="s">
        <v>77</v>
      </c>
      <c r="D172" s="2843"/>
      <c r="E172" s="2843"/>
      <c r="F172" s="2843"/>
      <c r="G172" s="2843"/>
      <c r="H172" s="2843"/>
      <c r="I172" s="2567" t="s">
        <v>78</v>
      </c>
      <c r="J172" s="2567"/>
      <c r="K172" s="2567"/>
      <c r="L172" s="2567"/>
      <c r="M172" s="2567"/>
      <c r="N172" s="2567"/>
      <c r="AC172" s="2476"/>
    </row>
    <row r="173" spans="1:38" ht="15.75" x14ac:dyDescent="0.25">
      <c r="A173" s="2568"/>
      <c r="B173" s="2569"/>
      <c r="C173" s="2567"/>
      <c r="D173" s="2567"/>
      <c r="E173" s="2567"/>
      <c r="F173" s="2567"/>
      <c r="G173" s="2567"/>
      <c r="H173" s="2567"/>
      <c r="I173" s="2567" t="s">
        <v>79</v>
      </c>
      <c r="J173" s="2567"/>
      <c r="K173" s="2567"/>
      <c r="L173" s="2567"/>
      <c r="M173" s="2567"/>
      <c r="N173" s="2567"/>
      <c r="AC173" s="2476"/>
    </row>
    <row r="174" spans="1:38" ht="15.75" x14ac:dyDescent="0.25">
      <c r="A174" s="2568"/>
      <c r="B174" s="2569"/>
      <c r="C174" s="2567"/>
      <c r="D174" s="2567"/>
      <c r="E174" s="2567"/>
      <c r="F174" s="2567"/>
      <c r="G174" s="2567"/>
      <c r="H174" s="2567"/>
      <c r="I174" s="2567" t="s">
        <v>80</v>
      </c>
      <c r="J174" s="2567"/>
      <c r="K174" s="2567"/>
      <c r="L174" s="2567"/>
      <c r="M174" s="2567"/>
      <c r="N174" s="2567"/>
      <c r="AC174" s="2476"/>
    </row>
    <row r="175" spans="1:38" ht="15.75" x14ac:dyDescent="0.25">
      <c r="A175" s="2568"/>
      <c r="B175" s="2569"/>
      <c r="C175" s="2567"/>
      <c r="D175" s="2567"/>
      <c r="E175" s="2567"/>
      <c r="F175" s="2567"/>
      <c r="G175" s="2567"/>
      <c r="H175" s="2567"/>
      <c r="I175" s="2567" t="s">
        <v>81</v>
      </c>
      <c r="J175" s="2567"/>
      <c r="K175" s="2567"/>
      <c r="L175" s="2567"/>
      <c r="M175" s="2567"/>
      <c r="N175" s="2567"/>
      <c r="AC175" s="2476"/>
    </row>
    <row r="176" spans="1:38" ht="15.75" x14ac:dyDescent="0.25">
      <c r="A176" s="2568"/>
      <c r="B176" s="2569"/>
      <c r="C176" s="2567"/>
      <c r="D176" s="2567"/>
      <c r="E176" s="2567"/>
      <c r="F176" s="2567"/>
      <c r="G176" s="2567"/>
      <c r="H176" s="2567"/>
      <c r="I176" s="2567" t="s">
        <v>88</v>
      </c>
      <c r="J176" s="2567"/>
      <c r="K176" s="2567"/>
      <c r="L176" s="2567"/>
      <c r="M176" s="2567"/>
      <c r="N176" s="2567"/>
      <c r="AC176" s="2476"/>
    </row>
    <row r="177" spans="1:35" ht="15.75" x14ac:dyDescent="0.25">
      <c r="A177" s="2568"/>
      <c r="B177" s="2569"/>
      <c r="C177" s="2567"/>
      <c r="D177" s="2567"/>
      <c r="E177" s="2567"/>
      <c r="F177" s="2567"/>
      <c r="G177" s="2567"/>
      <c r="H177" s="2567"/>
      <c r="I177" s="2567"/>
      <c r="J177" s="2567"/>
      <c r="K177" s="2567"/>
      <c r="L177" s="2567"/>
      <c r="M177" s="2567"/>
      <c r="N177" s="2567"/>
      <c r="AC177" s="2476"/>
      <c r="AI177"/>
    </row>
    <row r="178" spans="1:35" ht="15.75" x14ac:dyDescent="0.25">
      <c r="A178" s="2568"/>
      <c r="B178" s="2569"/>
      <c r="C178" s="2567"/>
      <c r="D178" s="2567"/>
      <c r="E178" s="2567"/>
      <c r="F178" s="2567"/>
      <c r="G178" s="2567"/>
      <c r="H178" s="2567"/>
      <c r="I178" s="2567"/>
      <c r="J178" s="2567"/>
      <c r="K178" s="2567"/>
      <c r="L178" s="2567"/>
      <c r="M178" s="2567"/>
      <c r="N178" s="2567"/>
      <c r="AC178" s="2476"/>
      <c r="AI178"/>
    </row>
    <row r="179" spans="1:35" ht="15.75" x14ac:dyDescent="0.25">
      <c r="A179" s="2568"/>
      <c r="B179" s="2569"/>
      <c r="C179" s="2567"/>
      <c r="D179" s="2567"/>
      <c r="E179" s="2567"/>
      <c r="F179" s="2567"/>
      <c r="G179" s="2567"/>
      <c r="H179" s="2567"/>
      <c r="I179" s="2567"/>
      <c r="J179" s="2567"/>
      <c r="K179" s="2567"/>
      <c r="L179" s="2567"/>
      <c r="M179" s="2567"/>
      <c r="N179" s="2567"/>
      <c r="AC179" s="2476"/>
      <c r="AI179"/>
    </row>
    <row r="180" spans="1:35" ht="15.75" x14ac:dyDescent="0.25">
      <c r="A180" s="2568"/>
      <c r="B180" s="2569"/>
      <c r="C180" s="2567"/>
      <c r="D180" s="2567"/>
      <c r="E180" s="2567"/>
      <c r="F180" s="2567"/>
      <c r="G180" s="2567"/>
      <c r="H180" s="2567"/>
      <c r="I180" s="2567"/>
      <c r="J180" s="2567"/>
      <c r="K180" s="2567"/>
      <c r="L180" s="2567"/>
      <c r="M180" s="2567"/>
      <c r="N180" s="2567"/>
      <c r="AC180" s="2476"/>
      <c r="AI180"/>
    </row>
    <row r="181" spans="1:35" ht="15.75" x14ac:dyDescent="0.25">
      <c r="A181" s="2568"/>
      <c r="B181" s="2569"/>
      <c r="C181" s="2567"/>
      <c r="D181" s="2567"/>
      <c r="E181" s="2567"/>
      <c r="F181" s="2567"/>
      <c r="G181" s="2567"/>
      <c r="H181" s="2567"/>
      <c r="I181" s="2567"/>
      <c r="J181" s="2567"/>
      <c r="K181" s="2567"/>
      <c r="L181" s="2567"/>
      <c r="M181" s="2567"/>
      <c r="N181" s="2567"/>
      <c r="AC181" s="2476"/>
      <c r="AI181"/>
    </row>
    <row r="182" spans="1:35" ht="15.75" x14ac:dyDescent="0.25">
      <c r="A182" s="2568"/>
      <c r="B182" s="2569"/>
      <c r="C182" s="2567"/>
      <c r="D182" s="2567"/>
      <c r="E182" s="2567"/>
      <c r="F182" s="2567"/>
      <c r="G182" s="2567"/>
      <c r="H182" s="2567"/>
      <c r="I182" s="2567"/>
      <c r="J182" s="2567"/>
      <c r="K182" s="2567"/>
      <c r="L182" s="2567"/>
      <c r="M182" s="2567"/>
      <c r="N182" s="2567"/>
      <c r="AC182" s="2476"/>
      <c r="AI182"/>
    </row>
    <row r="183" spans="1:35" ht="15.75" x14ac:dyDescent="0.25">
      <c r="A183" s="2568"/>
      <c r="B183" s="2569"/>
      <c r="C183" s="2567"/>
      <c r="D183" s="2567"/>
      <c r="E183" s="2567"/>
      <c r="F183" s="2567"/>
      <c r="G183" s="2567"/>
      <c r="H183" s="2567"/>
      <c r="I183" s="2567"/>
      <c r="J183" s="2567"/>
      <c r="K183" s="2567"/>
      <c r="L183" s="2567"/>
      <c r="M183" s="2567"/>
      <c r="N183" s="2567"/>
      <c r="AC183" s="2476"/>
      <c r="AI183"/>
    </row>
    <row r="184" spans="1:35" ht="15.75" x14ac:dyDescent="0.25">
      <c r="A184" s="2568"/>
      <c r="B184" s="2569"/>
      <c r="C184" s="2567"/>
      <c r="D184" s="2567"/>
      <c r="E184" s="2567"/>
      <c r="F184" s="2567"/>
      <c r="G184" s="2567"/>
      <c r="H184" s="2567"/>
      <c r="I184" s="2567"/>
      <c r="J184" s="2567"/>
      <c r="K184" s="2567"/>
      <c r="L184" s="2567"/>
      <c r="M184" s="2567"/>
      <c r="N184" s="2567"/>
      <c r="AC184" s="2476"/>
      <c r="AI184"/>
    </row>
    <row r="185" spans="1:35" ht="18.75" x14ac:dyDescent="0.25">
      <c r="A185" s="2568"/>
      <c r="B185" s="2569"/>
      <c r="C185" s="2567"/>
      <c r="D185" s="2567"/>
      <c r="E185" s="2567"/>
      <c r="F185" s="2567"/>
      <c r="G185" s="2567"/>
      <c r="H185" s="2567"/>
      <c r="I185" s="2567"/>
      <c r="J185" s="2567"/>
      <c r="K185" s="2567"/>
      <c r="L185" s="2567"/>
      <c r="M185" s="2567"/>
      <c r="N185" s="2567"/>
      <c r="AA185" s="2471" t="s">
        <v>0</v>
      </c>
      <c r="AB185" s="2471"/>
      <c r="AC185" s="2667"/>
      <c r="AD185" s="2471"/>
      <c r="AI185"/>
    </row>
    <row r="186" spans="1:35" ht="18.75" x14ac:dyDescent="0.2">
      <c r="A186" s="2707" t="s">
        <v>1</v>
      </c>
      <c r="B186" s="2707"/>
      <c r="C186" s="2707"/>
      <c r="D186" s="2707"/>
      <c r="E186" s="2707"/>
      <c r="F186" s="2707"/>
      <c r="G186" s="2707"/>
      <c r="H186" s="2707"/>
      <c r="I186" s="2707"/>
      <c r="J186" s="2707"/>
      <c r="K186" s="2707"/>
      <c r="L186" s="2707"/>
      <c r="M186" s="2707"/>
      <c r="N186" s="2707"/>
      <c r="O186" s="2707"/>
      <c r="P186" s="2707"/>
      <c r="Q186" s="2707"/>
      <c r="R186" s="2707"/>
      <c r="S186" s="2707"/>
      <c r="T186" s="2707"/>
      <c r="U186" s="2707"/>
      <c r="V186" s="2707"/>
      <c r="W186" s="2707"/>
      <c r="X186" s="2707"/>
      <c r="Y186" s="2707"/>
      <c r="Z186" s="2707"/>
      <c r="AA186" s="2707"/>
      <c r="AB186" s="2707"/>
      <c r="AC186" s="2707"/>
      <c r="AI186"/>
    </row>
    <row r="187" spans="1:35" ht="18" x14ac:dyDescent="0.2">
      <c r="A187" s="2846" t="s">
        <v>984</v>
      </c>
      <c r="B187" s="2846"/>
      <c r="C187" s="2846"/>
      <c r="D187" s="2846"/>
      <c r="E187" s="2846"/>
      <c r="F187" s="2846"/>
      <c r="G187" s="2846"/>
      <c r="H187" s="2846"/>
      <c r="I187" s="2846"/>
      <c r="J187" s="2846"/>
      <c r="K187" s="2846"/>
      <c r="L187" s="2846"/>
      <c r="M187" s="2846"/>
      <c r="N187" s="2846"/>
      <c r="O187" s="2846"/>
      <c r="P187" s="2846"/>
      <c r="Q187" s="2846"/>
      <c r="R187" s="2846"/>
      <c r="S187" s="2846"/>
      <c r="T187" s="2846"/>
      <c r="U187" s="2846"/>
      <c r="V187" s="2846"/>
      <c r="W187" s="2846"/>
      <c r="X187" s="2846"/>
      <c r="Y187" s="2846"/>
      <c r="Z187" s="2846"/>
      <c r="AA187" s="2846"/>
      <c r="AB187" s="2846"/>
      <c r="AC187" s="2846"/>
      <c r="AD187" s="2192"/>
      <c r="AI187"/>
    </row>
    <row r="188" spans="1:35" ht="15" x14ac:dyDescent="0.25">
      <c r="A188" s="2709" t="s">
        <v>2</v>
      </c>
      <c r="B188" s="2572"/>
      <c r="C188" s="2709" t="s">
        <v>3</v>
      </c>
      <c r="D188" s="2572"/>
      <c r="E188" s="2572"/>
      <c r="F188" s="2852" t="s">
        <v>4</v>
      </c>
      <c r="G188" s="2712"/>
      <c r="H188" s="2712"/>
      <c r="I188" s="2712"/>
      <c r="J188" s="2712"/>
      <c r="K188" s="2853"/>
      <c r="L188" s="2"/>
      <c r="M188" s="2716" t="s">
        <v>5</v>
      </c>
      <c r="N188" s="2716"/>
      <c r="O188" s="2716"/>
      <c r="P188" s="2716"/>
      <c r="Q188" s="2716"/>
      <c r="R188" s="2716"/>
      <c r="S188" s="2716"/>
      <c r="T188" s="2716"/>
      <c r="U188" s="2716"/>
      <c r="V188" s="2717"/>
      <c r="W188" s="2573" t="s">
        <v>6</v>
      </c>
      <c r="X188" s="2574" t="s">
        <v>7</v>
      </c>
      <c r="Y188" s="2575"/>
      <c r="Z188" s="2575"/>
      <c r="AA188" s="2574"/>
      <c r="AB188" s="2574"/>
      <c r="AC188" s="2576"/>
      <c r="AD188" s="2221" t="s">
        <v>8</v>
      </c>
      <c r="AH188" s="2845" t="s">
        <v>76</v>
      </c>
      <c r="AI188"/>
    </row>
    <row r="189" spans="1:35" x14ac:dyDescent="0.2">
      <c r="A189" s="2710"/>
      <c r="B189" s="4"/>
      <c r="C189" s="2710"/>
      <c r="D189" s="2577" t="s">
        <v>9</v>
      </c>
      <c r="E189" s="2578" t="s">
        <v>10</v>
      </c>
      <c r="F189" s="2718" t="s">
        <v>11</v>
      </c>
      <c r="G189" s="2713"/>
      <c r="H189" s="2714"/>
      <c r="I189" s="2572"/>
      <c r="J189" s="2579" t="s">
        <v>12</v>
      </c>
      <c r="K189" s="2572"/>
      <c r="L189" s="2849" t="s">
        <v>2</v>
      </c>
      <c r="M189" s="2580"/>
      <c r="N189" s="2580"/>
      <c r="O189" s="2580"/>
      <c r="P189" s="2581"/>
      <c r="Q189" s="2582" t="s">
        <v>13</v>
      </c>
      <c r="R189" s="2583" t="s">
        <v>12</v>
      </c>
      <c r="S189" s="2580" t="s">
        <v>6</v>
      </c>
      <c r="T189" s="2724" t="s">
        <v>14</v>
      </c>
      <c r="U189" s="2725"/>
      <c r="V189" s="2584" t="s">
        <v>7</v>
      </c>
      <c r="W189" s="2585" t="s">
        <v>15</v>
      </c>
      <c r="X189" s="2586" t="s">
        <v>16</v>
      </c>
      <c r="Y189" s="2586" t="s">
        <v>17</v>
      </c>
      <c r="Z189" s="2586" t="s">
        <v>18</v>
      </c>
      <c r="AA189" s="5"/>
      <c r="AB189" s="5"/>
      <c r="AC189" s="55" t="s">
        <v>19</v>
      </c>
      <c r="AD189" s="2223" t="s">
        <v>20</v>
      </c>
      <c r="AH189" s="2845"/>
      <c r="AI189"/>
    </row>
    <row r="190" spans="1:35" x14ac:dyDescent="0.2">
      <c r="A190" s="2710"/>
      <c r="B190" s="2454" t="s">
        <v>23</v>
      </c>
      <c r="C190" s="2710"/>
      <c r="D190" s="2577" t="s">
        <v>24</v>
      </c>
      <c r="E190" s="2578" t="s">
        <v>25</v>
      </c>
      <c r="F190" s="2719"/>
      <c r="G190" s="2720"/>
      <c r="H190" s="2721"/>
      <c r="I190" s="2577" t="s">
        <v>26</v>
      </c>
      <c r="J190" s="2587" t="s">
        <v>15</v>
      </c>
      <c r="K190" s="2588" t="s">
        <v>6</v>
      </c>
      <c r="L190" s="2850"/>
      <c r="M190" s="2589" t="s">
        <v>27</v>
      </c>
      <c r="N190" s="2589" t="s">
        <v>10</v>
      </c>
      <c r="O190" s="2590" t="s">
        <v>10</v>
      </c>
      <c r="P190" s="2591" t="s">
        <v>28</v>
      </c>
      <c r="Q190" s="2592" t="s">
        <v>29</v>
      </c>
      <c r="R190" s="2591" t="s">
        <v>15</v>
      </c>
      <c r="S190" s="8" t="s">
        <v>15</v>
      </c>
      <c r="T190" s="2726"/>
      <c r="U190" s="2727"/>
      <c r="V190" s="2584" t="s">
        <v>30</v>
      </c>
      <c r="W190" s="2585" t="s">
        <v>31</v>
      </c>
      <c r="X190" s="2586" t="s">
        <v>30</v>
      </c>
      <c r="Y190" s="2586" t="s">
        <v>32</v>
      </c>
      <c r="Z190" s="2586" t="s">
        <v>7</v>
      </c>
      <c r="AA190" s="5" t="s">
        <v>33</v>
      </c>
      <c r="AB190" s="5"/>
      <c r="AC190" s="55" t="s">
        <v>34</v>
      </c>
      <c r="AD190" s="2223" t="s">
        <v>35</v>
      </c>
      <c r="AH190" s="2845"/>
      <c r="AI190"/>
    </row>
    <row r="191" spans="1:35" x14ac:dyDescent="0.2">
      <c r="A191" s="2710"/>
      <c r="B191" s="2454" t="s">
        <v>39</v>
      </c>
      <c r="C191" s="2710"/>
      <c r="D191" s="2577" t="s">
        <v>40</v>
      </c>
      <c r="E191" s="2578" t="s">
        <v>41</v>
      </c>
      <c r="F191" s="2709" t="s">
        <v>42</v>
      </c>
      <c r="G191" s="2709" t="s">
        <v>43</v>
      </c>
      <c r="H191" s="2728" t="s">
        <v>44</v>
      </c>
      <c r="I191" s="2577" t="s">
        <v>45</v>
      </c>
      <c r="J191" s="2587" t="s">
        <v>46</v>
      </c>
      <c r="K191" s="2588" t="s">
        <v>47</v>
      </c>
      <c r="L191" s="2850"/>
      <c r="M191" s="2589" t="s">
        <v>30</v>
      </c>
      <c r="N191" s="2589" t="s">
        <v>30</v>
      </c>
      <c r="O191" s="2590" t="s">
        <v>25</v>
      </c>
      <c r="P191" s="2591" t="s">
        <v>30</v>
      </c>
      <c r="Q191" s="2592" t="s">
        <v>48</v>
      </c>
      <c r="R191" s="2591" t="s">
        <v>49</v>
      </c>
      <c r="S191" s="8" t="s">
        <v>30</v>
      </c>
      <c r="T191" s="2593" t="s">
        <v>50</v>
      </c>
      <c r="U191" s="2594" t="s">
        <v>13</v>
      </c>
      <c r="V191" s="2584" t="s">
        <v>51</v>
      </c>
      <c r="W191" s="2585" t="s">
        <v>52</v>
      </c>
      <c r="X191" s="2586" t="s">
        <v>53</v>
      </c>
      <c r="Y191" s="2586" t="s">
        <v>54</v>
      </c>
      <c r="Z191" s="2586" t="s">
        <v>55</v>
      </c>
      <c r="AA191" s="5" t="s">
        <v>56</v>
      </c>
      <c r="AB191" s="5"/>
      <c r="AC191" s="55" t="s">
        <v>57</v>
      </c>
      <c r="AD191" s="6" t="s">
        <v>58</v>
      </c>
      <c r="AH191" s="2845"/>
      <c r="AI191"/>
    </row>
    <row r="192" spans="1:35" ht="15" x14ac:dyDescent="0.25">
      <c r="A192" s="2710"/>
      <c r="B192" s="2454" t="s">
        <v>61</v>
      </c>
      <c r="C192" s="2710"/>
      <c r="D192" s="2577" t="s">
        <v>62</v>
      </c>
      <c r="E192" s="2578" t="s">
        <v>63</v>
      </c>
      <c r="F192" s="2710"/>
      <c r="G192" s="2710"/>
      <c r="H192" s="2729"/>
      <c r="I192" s="2577" t="s">
        <v>64</v>
      </c>
      <c r="J192" s="2587" t="s">
        <v>59</v>
      </c>
      <c r="K192" s="2588" t="s">
        <v>59</v>
      </c>
      <c r="L192" s="2850"/>
      <c r="M192" s="2589"/>
      <c r="N192" s="2589"/>
      <c r="O192" s="2590" t="s">
        <v>41</v>
      </c>
      <c r="P192" s="2591" t="s">
        <v>65</v>
      </c>
      <c r="Q192" s="2592" t="s">
        <v>66</v>
      </c>
      <c r="R192" s="2591" t="s">
        <v>67</v>
      </c>
      <c r="S192" s="8" t="s">
        <v>59</v>
      </c>
      <c r="T192" s="2595" t="s">
        <v>68</v>
      </c>
      <c r="U192" s="2584" t="s">
        <v>14</v>
      </c>
      <c r="V192" s="2584" t="s">
        <v>14</v>
      </c>
      <c r="W192" s="2585" t="s">
        <v>30</v>
      </c>
      <c r="X192" s="2596" t="s">
        <v>69</v>
      </c>
      <c r="Y192" s="2596" t="s">
        <v>70</v>
      </c>
      <c r="Z192" s="2586" t="s">
        <v>71</v>
      </c>
      <c r="AA192" s="5" t="s">
        <v>72</v>
      </c>
      <c r="AB192" s="5"/>
      <c r="AC192" s="2597" t="s">
        <v>59</v>
      </c>
      <c r="AD192" s="6" t="s">
        <v>59</v>
      </c>
      <c r="AH192" s="2845"/>
      <c r="AI192"/>
    </row>
    <row r="193" spans="1:35" x14ac:dyDescent="0.2">
      <c r="A193" s="2711"/>
      <c r="B193" s="9"/>
      <c r="C193" s="2711"/>
      <c r="D193" s="2598"/>
      <c r="E193" s="2599"/>
      <c r="F193" s="9"/>
      <c r="G193" s="9"/>
      <c r="H193" s="10"/>
      <c r="I193" s="2599"/>
      <c r="J193" s="2600"/>
      <c r="K193" s="2601"/>
      <c r="L193" s="2851"/>
      <c r="M193" s="2602"/>
      <c r="N193" s="2602"/>
      <c r="O193" s="2602" t="s">
        <v>63</v>
      </c>
      <c r="P193" s="2603"/>
      <c r="Q193" s="2604" t="s">
        <v>72</v>
      </c>
      <c r="R193" s="2605" t="s">
        <v>59</v>
      </c>
      <c r="S193" s="2606"/>
      <c r="T193" s="2605" t="s">
        <v>73</v>
      </c>
      <c r="U193" s="2606" t="s">
        <v>59</v>
      </c>
      <c r="V193" s="2607" t="s">
        <v>59</v>
      </c>
      <c r="W193" s="2608" t="s">
        <v>59</v>
      </c>
      <c r="X193" s="2609" t="s">
        <v>59</v>
      </c>
      <c r="Y193" s="2609" t="s">
        <v>59</v>
      </c>
      <c r="Z193" s="2609" t="s">
        <v>59</v>
      </c>
      <c r="AA193" s="11"/>
      <c r="AB193" s="11"/>
      <c r="AC193" s="56"/>
      <c r="AD193" s="12"/>
      <c r="AH193" s="2845"/>
      <c r="AI193"/>
    </row>
    <row r="194" spans="1:35" x14ac:dyDescent="0.2">
      <c r="A194" s="2113">
        <v>90</v>
      </c>
      <c r="B194" s="2113">
        <v>67855</v>
      </c>
      <c r="C194" s="2100" t="s">
        <v>804</v>
      </c>
      <c r="D194" s="2114" t="s">
        <v>805</v>
      </c>
      <c r="E194" s="1508">
        <v>3</v>
      </c>
      <c r="F194" s="2114">
        <v>0</v>
      </c>
      <c r="G194" s="2114">
        <v>0</v>
      </c>
      <c r="H194" s="2115">
        <v>69.3</v>
      </c>
      <c r="I194" s="1794">
        <f t="shared" ref="I194:I212" si="39">F194*400+G194*100+H194</f>
        <v>69.3</v>
      </c>
      <c r="J194" s="1687">
        <v>20000</v>
      </c>
      <c r="K194" s="2492">
        <f>SUM(I194*J194)</f>
        <v>1386000</v>
      </c>
      <c r="L194" s="45"/>
      <c r="M194" s="61"/>
      <c r="N194" s="50"/>
      <c r="O194" s="1506"/>
      <c r="P194" s="19"/>
      <c r="Q194" s="62"/>
      <c r="R194" s="1718"/>
      <c r="S194" s="18"/>
      <c r="T194" s="20"/>
      <c r="U194" s="1664"/>
      <c r="V194" s="47"/>
      <c r="W194" s="1794">
        <f t="shared" ref="W194:W212" si="40">+K194</f>
        <v>1386000</v>
      </c>
      <c r="X194" s="1791">
        <f t="shared" ref="X194:X212" si="41">+W194</f>
        <v>1386000</v>
      </c>
      <c r="Y194" s="2474"/>
      <c r="Z194" s="1794">
        <f t="shared" ref="Z194:Z212" si="42">+X194</f>
        <v>1386000</v>
      </c>
      <c r="AA194" s="2497">
        <v>0.3</v>
      </c>
      <c r="AB194" s="2498"/>
      <c r="AC194" s="2491">
        <f t="shared" ref="AC194:AC212" si="43">+Z194*AA194/100</f>
        <v>4158</v>
      </c>
      <c r="AD194" s="2540"/>
      <c r="AH194" s="2482"/>
      <c r="AI194"/>
    </row>
    <row r="195" spans="1:35" x14ac:dyDescent="0.2">
      <c r="A195" s="2113">
        <v>91</v>
      </c>
      <c r="B195" s="2113">
        <v>67856</v>
      </c>
      <c r="C195" s="2100" t="s">
        <v>806</v>
      </c>
      <c r="D195" s="2114" t="s">
        <v>245</v>
      </c>
      <c r="E195" s="1508">
        <v>3</v>
      </c>
      <c r="F195" s="2114">
        <v>0</v>
      </c>
      <c r="G195" s="2114">
        <v>0</v>
      </c>
      <c r="H195" s="2557">
        <v>67.7</v>
      </c>
      <c r="I195" s="2502">
        <f t="shared" si="39"/>
        <v>67.7</v>
      </c>
      <c r="J195" s="1687">
        <v>20000</v>
      </c>
      <c r="K195" s="2492">
        <f>SUM(I195*J195)</f>
        <v>1354000</v>
      </c>
      <c r="L195" s="45"/>
      <c r="M195" s="61"/>
      <c r="N195" s="50"/>
      <c r="O195" s="1506"/>
      <c r="P195" s="19"/>
      <c r="Q195" s="62"/>
      <c r="R195" s="1718"/>
      <c r="S195" s="18"/>
      <c r="T195" s="20"/>
      <c r="U195" s="1664"/>
      <c r="V195" s="47"/>
      <c r="W195" s="1794">
        <f t="shared" si="40"/>
        <v>1354000</v>
      </c>
      <c r="X195" s="1791">
        <f t="shared" si="41"/>
        <v>1354000</v>
      </c>
      <c r="Y195" s="2474"/>
      <c r="Z195" s="1794">
        <f t="shared" si="42"/>
        <v>1354000</v>
      </c>
      <c r="AA195" s="2497">
        <v>0.3</v>
      </c>
      <c r="AB195" s="2490"/>
      <c r="AC195" s="2491">
        <f t="shared" si="43"/>
        <v>4062</v>
      </c>
      <c r="AD195" s="2558"/>
      <c r="AH195" s="2482"/>
      <c r="AI195"/>
    </row>
    <row r="196" spans="1:35" x14ac:dyDescent="0.2">
      <c r="A196" s="2113">
        <v>92</v>
      </c>
      <c r="B196" s="2113">
        <v>67857</v>
      </c>
      <c r="C196" s="2100" t="s">
        <v>807</v>
      </c>
      <c r="D196" s="2114" t="s">
        <v>245</v>
      </c>
      <c r="E196" s="1508">
        <v>3</v>
      </c>
      <c r="F196" s="2114">
        <v>0</v>
      </c>
      <c r="G196" s="2114">
        <v>0</v>
      </c>
      <c r="H196" s="2557">
        <v>60</v>
      </c>
      <c r="I196" s="2502">
        <f t="shared" si="39"/>
        <v>60</v>
      </c>
      <c r="J196" s="1687">
        <v>20000</v>
      </c>
      <c r="K196" s="2492">
        <f>SUM(I196*J196)</f>
        <v>1200000</v>
      </c>
      <c r="L196" s="45"/>
      <c r="M196" s="61"/>
      <c r="N196" s="50"/>
      <c r="O196" s="1506"/>
      <c r="P196" s="19"/>
      <c r="Q196" s="62"/>
      <c r="R196" s="1718"/>
      <c r="S196" s="18"/>
      <c r="T196" s="20"/>
      <c r="U196" s="1664"/>
      <c r="V196" s="47"/>
      <c r="W196" s="1794">
        <f t="shared" si="40"/>
        <v>1200000</v>
      </c>
      <c r="X196" s="1791">
        <f t="shared" si="41"/>
        <v>1200000</v>
      </c>
      <c r="Y196" s="2474"/>
      <c r="Z196" s="1794">
        <f t="shared" si="42"/>
        <v>1200000</v>
      </c>
      <c r="AA196" s="2497">
        <v>0.3</v>
      </c>
      <c r="AB196" s="2490"/>
      <c r="AC196" s="2491">
        <f t="shared" si="43"/>
        <v>3600</v>
      </c>
      <c r="AD196" s="2558"/>
      <c r="AH196" s="2482"/>
      <c r="AI196"/>
    </row>
    <row r="197" spans="1:35" x14ac:dyDescent="0.2">
      <c r="A197" s="2113">
        <v>93</v>
      </c>
      <c r="B197" s="2113">
        <v>67858</v>
      </c>
      <c r="C197" s="2100" t="s">
        <v>808</v>
      </c>
      <c r="D197" s="2114" t="s">
        <v>245</v>
      </c>
      <c r="E197" s="1508">
        <v>3</v>
      </c>
      <c r="F197" s="2485">
        <v>0</v>
      </c>
      <c r="G197" s="2109">
        <v>0</v>
      </c>
      <c r="H197" s="2486">
        <v>60</v>
      </c>
      <c r="I197" s="1794">
        <f t="shared" si="39"/>
        <v>60</v>
      </c>
      <c r="J197" s="1687">
        <v>20000</v>
      </c>
      <c r="K197" s="2492">
        <f t="shared" ref="K197:K208" si="44">SUM(I197*J197)</f>
        <v>1200000</v>
      </c>
      <c r="L197" s="2109"/>
      <c r="M197" s="100"/>
      <c r="N197" s="2109"/>
      <c r="O197" s="2109"/>
      <c r="P197" s="2486"/>
      <c r="Q197" s="2488"/>
      <c r="R197" s="2101"/>
      <c r="S197" s="2102"/>
      <c r="T197" s="2489"/>
      <c r="U197" s="2102"/>
      <c r="V197" s="2102"/>
      <c r="W197" s="1794">
        <f t="shared" si="40"/>
        <v>1200000</v>
      </c>
      <c r="X197" s="1791">
        <f t="shared" si="41"/>
        <v>1200000</v>
      </c>
      <c r="Y197" s="2474"/>
      <c r="Z197" s="1794">
        <f t="shared" si="42"/>
        <v>1200000</v>
      </c>
      <c r="AA197" s="2497">
        <v>0.3</v>
      </c>
      <c r="AB197" s="2498"/>
      <c r="AC197" s="2491">
        <f t="shared" si="43"/>
        <v>3600</v>
      </c>
      <c r="AD197" s="2535"/>
      <c r="AH197" s="2482"/>
      <c r="AI197"/>
    </row>
    <row r="198" spans="1:35" x14ac:dyDescent="0.2">
      <c r="A198" s="2113">
        <v>94</v>
      </c>
      <c r="B198" s="2113">
        <v>67859</v>
      </c>
      <c r="C198" s="2100" t="s">
        <v>809</v>
      </c>
      <c r="D198" s="2114" t="s">
        <v>245</v>
      </c>
      <c r="E198" s="1508">
        <v>3</v>
      </c>
      <c r="F198" s="2485">
        <v>0</v>
      </c>
      <c r="G198" s="2109">
        <v>0</v>
      </c>
      <c r="H198" s="2486">
        <v>63.6</v>
      </c>
      <c r="I198" s="1794">
        <f t="shared" si="39"/>
        <v>63.6</v>
      </c>
      <c r="J198" s="1687">
        <v>20000</v>
      </c>
      <c r="K198" s="2492">
        <f t="shared" si="44"/>
        <v>1272000</v>
      </c>
      <c r="L198" s="2109"/>
      <c r="M198" s="100"/>
      <c r="N198" s="2109"/>
      <c r="O198" s="2109"/>
      <c r="P198" s="2486"/>
      <c r="Q198" s="2488"/>
      <c r="R198" s="2101"/>
      <c r="S198" s="2102"/>
      <c r="T198" s="2489"/>
      <c r="U198" s="2102"/>
      <c r="V198" s="2102"/>
      <c r="W198" s="1794">
        <f t="shared" si="40"/>
        <v>1272000</v>
      </c>
      <c r="X198" s="1791">
        <f t="shared" si="41"/>
        <v>1272000</v>
      </c>
      <c r="Y198" s="2474"/>
      <c r="Z198" s="1794">
        <f t="shared" si="42"/>
        <v>1272000</v>
      </c>
      <c r="AA198" s="2497">
        <v>0.3</v>
      </c>
      <c r="AB198" s="2498"/>
      <c r="AC198" s="2491">
        <f t="shared" si="43"/>
        <v>3816</v>
      </c>
      <c r="AD198" s="2536"/>
      <c r="AH198" s="2482"/>
      <c r="AI198"/>
    </row>
    <row r="199" spans="1:35" x14ac:dyDescent="0.2">
      <c r="A199" s="2113">
        <v>95</v>
      </c>
      <c r="B199" s="2113">
        <v>67860</v>
      </c>
      <c r="C199" s="2100" t="s">
        <v>810</v>
      </c>
      <c r="D199" s="2114" t="s">
        <v>245</v>
      </c>
      <c r="E199" s="1508">
        <v>3</v>
      </c>
      <c r="F199" s="2485">
        <v>0</v>
      </c>
      <c r="G199" s="2109">
        <v>0</v>
      </c>
      <c r="H199" s="2486">
        <v>59.9</v>
      </c>
      <c r="I199" s="1794">
        <f t="shared" si="39"/>
        <v>59.9</v>
      </c>
      <c r="J199" s="1687">
        <v>20000</v>
      </c>
      <c r="K199" s="2492">
        <f t="shared" si="44"/>
        <v>1198000</v>
      </c>
      <c r="L199" s="2109"/>
      <c r="M199" s="100"/>
      <c r="N199" s="2109"/>
      <c r="O199" s="2109"/>
      <c r="P199" s="2486"/>
      <c r="Q199" s="2488"/>
      <c r="R199" s="2493"/>
      <c r="S199" s="2494"/>
      <c r="T199" s="2495"/>
      <c r="U199" s="2494"/>
      <c r="V199" s="2494"/>
      <c r="W199" s="1794">
        <f t="shared" si="40"/>
        <v>1198000</v>
      </c>
      <c r="X199" s="1791">
        <f t="shared" si="41"/>
        <v>1198000</v>
      </c>
      <c r="Y199" s="2496"/>
      <c r="Z199" s="1794">
        <f t="shared" si="42"/>
        <v>1198000</v>
      </c>
      <c r="AA199" s="2497">
        <v>0.3</v>
      </c>
      <c r="AB199" s="2498"/>
      <c r="AC199" s="2491">
        <f t="shared" si="43"/>
        <v>3594</v>
      </c>
      <c r="AD199" s="2536"/>
      <c r="AH199" s="2482"/>
      <c r="AI199"/>
    </row>
    <row r="200" spans="1:35" x14ac:dyDescent="0.2">
      <c r="A200" s="2113">
        <v>96</v>
      </c>
      <c r="B200" s="2113">
        <v>67861</v>
      </c>
      <c r="C200" s="2100" t="s">
        <v>811</v>
      </c>
      <c r="D200" s="2114" t="s">
        <v>245</v>
      </c>
      <c r="E200" s="1508">
        <v>3</v>
      </c>
      <c r="F200" s="2485">
        <v>0</v>
      </c>
      <c r="G200" s="2109">
        <v>0</v>
      </c>
      <c r="H200" s="2486">
        <v>56.3</v>
      </c>
      <c r="I200" s="1794">
        <f t="shared" si="39"/>
        <v>56.3</v>
      </c>
      <c r="J200" s="1687">
        <v>20000</v>
      </c>
      <c r="K200" s="2492">
        <f t="shared" si="44"/>
        <v>1126000</v>
      </c>
      <c r="L200" s="2109"/>
      <c r="M200" s="100"/>
      <c r="N200" s="2109"/>
      <c r="O200" s="2109"/>
      <c r="P200" s="2486"/>
      <c r="Q200" s="2488"/>
      <c r="R200" s="2493"/>
      <c r="S200" s="2494"/>
      <c r="T200" s="2495"/>
      <c r="U200" s="2494"/>
      <c r="V200" s="2494"/>
      <c r="W200" s="1794">
        <f t="shared" si="40"/>
        <v>1126000</v>
      </c>
      <c r="X200" s="1791">
        <f t="shared" si="41"/>
        <v>1126000</v>
      </c>
      <c r="Y200" s="2496"/>
      <c r="Z200" s="1794">
        <f t="shared" si="42"/>
        <v>1126000</v>
      </c>
      <c r="AA200" s="2497">
        <v>0.3</v>
      </c>
      <c r="AB200" s="2498"/>
      <c r="AC200" s="2491">
        <f t="shared" si="43"/>
        <v>3378</v>
      </c>
      <c r="AD200" s="2536"/>
      <c r="AH200" s="2482"/>
      <c r="AI200"/>
    </row>
    <row r="201" spans="1:35" x14ac:dyDescent="0.2">
      <c r="A201" s="2113">
        <v>97</v>
      </c>
      <c r="B201" s="2113">
        <v>67862</v>
      </c>
      <c r="C201" s="2100" t="s">
        <v>812</v>
      </c>
      <c r="D201" s="2114" t="s">
        <v>245</v>
      </c>
      <c r="E201" s="1508">
        <v>3</v>
      </c>
      <c r="F201" s="2472">
        <v>0</v>
      </c>
      <c r="G201" s="2113">
        <v>0</v>
      </c>
      <c r="H201" s="2477">
        <v>86.7</v>
      </c>
      <c r="I201" s="1794">
        <f t="shared" si="39"/>
        <v>86.7</v>
      </c>
      <c r="J201" s="1687">
        <v>20000</v>
      </c>
      <c r="K201" s="2492">
        <f t="shared" si="44"/>
        <v>1734000</v>
      </c>
      <c r="L201" s="2109"/>
      <c r="M201" s="100"/>
      <c r="N201" s="2109"/>
      <c r="O201" s="2109"/>
      <c r="P201" s="2486"/>
      <c r="Q201" s="2488"/>
      <c r="R201" s="2493"/>
      <c r="S201" s="2494"/>
      <c r="T201" s="2495"/>
      <c r="U201" s="2494"/>
      <c r="V201" s="2494"/>
      <c r="W201" s="1794">
        <f t="shared" si="40"/>
        <v>1734000</v>
      </c>
      <c r="X201" s="1791">
        <f t="shared" si="41"/>
        <v>1734000</v>
      </c>
      <c r="Y201" s="2496"/>
      <c r="Z201" s="1794">
        <f t="shared" si="42"/>
        <v>1734000</v>
      </c>
      <c r="AA201" s="2497">
        <v>0.3</v>
      </c>
      <c r="AB201" s="2498"/>
      <c r="AC201" s="2491">
        <f t="shared" si="43"/>
        <v>5202</v>
      </c>
      <c r="AD201" s="2536"/>
      <c r="AH201" s="2482"/>
      <c r="AI201"/>
    </row>
    <row r="202" spans="1:35" x14ac:dyDescent="0.2">
      <c r="A202" s="2113">
        <v>98</v>
      </c>
      <c r="B202" s="2113">
        <v>67863</v>
      </c>
      <c r="C202" s="2100" t="s">
        <v>813</v>
      </c>
      <c r="D202" s="2114" t="s">
        <v>245</v>
      </c>
      <c r="E202" s="1508">
        <v>3</v>
      </c>
      <c r="F202" s="2472">
        <v>0</v>
      </c>
      <c r="G202" s="2113">
        <v>0</v>
      </c>
      <c r="H202" s="2477">
        <v>67.5</v>
      </c>
      <c r="I202" s="1794">
        <f t="shared" si="39"/>
        <v>67.5</v>
      </c>
      <c r="J202" s="1687">
        <v>20000</v>
      </c>
      <c r="K202" s="2492">
        <f t="shared" si="44"/>
        <v>1350000</v>
      </c>
      <c r="L202" s="2109"/>
      <c r="M202" s="100"/>
      <c r="N202" s="2109"/>
      <c r="O202" s="2109"/>
      <c r="P202" s="2486"/>
      <c r="Q202" s="2488"/>
      <c r="R202" s="2493"/>
      <c r="S202" s="2494"/>
      <c r="T202" s="2495"/>
      <c r="U202" s="2494"/>
      <c r="V202" s="2494"/>
      <c r="W202" s="1794">
        <f t="shared" si="40"/>
        <v>1350000</v>
      </c>
      <c r="X202" s="1791">
        <f t="shared" si="41"/>
        <v>1350000</v>
      </c>
      <c r="Y202" s="2496"/>
      <c r="Z202" s="1794">
        <f t="shared" si="42"/>
        <v>1350000</v>
      </c>
      <c r="AA202" s="2497">
        <v>0.3</v>
      </c>
      <c r="AB202" s="2498"/>
      <c r="AC202" s="2491">
        <f t="shared" si="43"/>
        <v>4050</v>
      </c>
      <c r="AD202" s="2536"/>
      <c r="AH202" s="2482"/>
      <c r="AI202"/>
    </row>
    <row r="203" spans="1:35" x14ac:dyDescent="0.2">
      <c r="A203" s="2113">
        <v>99</v>
      </c>
      <c r="B203" s="2113">
        <v>67864</v>
      </c>
      <c r="C203" s="2100" t="s">
        <v>814</v>
      </c>
      <c r="D203" s="2114" t="s">
        <v>245</v>
      </c>
      <c r="E203" s="1508">
        <v>3</v>
      </c>
      <c r="F203" s="2472">
        <v>0</v>
      </c>
      <c r="G203" s="2113">
        <v>0</v>
      </c>
      <c r="H203" s="2477">
        <v>81.599999999999994</v>
      </c>
      <c r="I203" s="1794">
        <f t="shared" si="39"/>
        <v>81.599999999999994</v>
      </c>
      <c r="J203" s="1687">
        <v>20000</v>
      </c>
      <c r="K203" s="2492">
        <f t="shared" si="44"/>
        <v>1632000</v>
      </c>
      <c r="L203" s="2109"/>
      <c r="M203" s="100"/>
      <c r="N203" s="2109"/>
      <c r="O203" s="2109"/>
      <c r="P203" s="2486"/>
      <c r="Q203" s="2488"/>
      <c r="R203" s="2493"/>
      <c r="S203" s="2494"/>
      <c r="T203" s="2495"/>
      <c r="U203" s="2494"/>
      <c r="V203" s="2494"/>
      <c r="W203" s="1794">
        <f t="shared" si="40"/>
        <v>1632000</v>
      </c>
      <c r="X203" s="1791">
        <f t="shared" si="41"/>
        <v>1632000</v>
      </c>
      <c r="Y203" s="2496"/>
      <c r="Z203" s="1794">
        <f t="shared" si="42"/>
        <v>1632000</v>
      </c>
      <c r="AA203" s="2497">
        <v>0.3</v>
      </c>
      <c r="AB203" s="2498"/>
      <c r="AC203" s="2491">
        <f t="shared" si="43"/>
        <v>4896</v>
      </c>
      <c r="AD203" s="2536"/>
      <c r="AH203" s="2482"/>
      <c r="AI203"/>
    </row>
    <row r="204" spans="1:35" x14ac:dyDescent="0.2">
      <c r="A204" s="2113">
        <v>100</v>
      </c>
      <c r="B204" s="2113">
        <v>67865</v>
      </c>
      <c r="C204" s="2100" t="s">
        <v>815</v>
      </c>
      <c r="D204" s="2114" t="s">
        <v>245</v>
      </c>
      <c r="E204" s="1508">
        <v>3</v>
      </c>
      <c r="F204" s="2472">
        <v>0</v>
      </c>
      <c r="G204" s="2113">
        <v>1</v>
      </c>
      <c r="H204" s="2477">
        <v>6</v>
      </c>
      <c r="I204" s="1794">
        <f t="shared" si="39"/>
        <v>106</v>
      </c>
      <c r="J204" s="1687">
        <v>20000</v>
      </c>
      <c r="K204" s="2492">
        <f t="shared" si="44"/>
        <v>2120000</v>
      </c>
      <c r="L204" s="2109"/>
      <c r="M204" s="100"/>
      <c r="N204" s="2109"/>
      <c r="O204" s="2109"/>
      <c r="P204" s="2486"/>
      <c r="Q204" s="2488"/>
      <c r="R204" s="2493"/>
      <c r="S204" s="2494"/>
      <c r="T204" s="2495"/>
      <c r="U204" s="2494"/>
      <c r="V204" s="2494"/>
      <c r="W204" s="1794">
        <f t="shared" si="40"/>
        <v>2120000</v>
      </c>
      <c r="X204" s="1791">
        <f t="shared" si="41"/>
        <v>2120000</v>
      </c>
      <c r="Y204" s="2496"/>
      <c r="Z204" s="1794">
        <f t="shared" si="42"/>
        <v>2120000</v>
      </c>
      <c r="AA204" s="2497">
        <v>0.3</v>
      </c>
      <c r="AB204" s="2498"/>
      <c r="AC204" s="2491">
        <f t="shared" si="43"/>
        <v>6360</v>
      </c>
      <c r="AD204" s="2536"/>
      <c r="AH204" s="2482"/>
      <c r="AI204"/>
    </row>
    <row r="205" spans="1:35" x14ac:dyDescent="0.2">
      <c r="A205" s="2113">
        <v>101</v>
      </c>
      <c r="B205" s="2113">
        <v>67866</v>
      </c>
      <c r="C205" s="2100" t="s">
        <v>816</v>
      </c>
      <c r="D205" s="2114" t="s">
        <v>245</v>
      </c>
      <c r="E205" s="1508">
        <v>3</v>
      </c>
      <c r="F205" s="2472">
        <v>0</v>
      </c>
      <c r="G205" s="2113">
        <v>1</v>
      </c>
      <c r="H205" s="2477">
        <v>34</v>
      </c>
      <c r="I205" s="1794">
        <f t="shared" si="39"/>
        <v>134</v>
      </c>
      <c r="J205" s="1687">
        <v>20000</v>
      </c>
      <c r="K205" s="2492">
        <f t="shared" si="44"/>
        <v>2680000</v>
      </c>
      <c r="L205" s="2109"/>
      <c r="M205" s="100"/>
      <c r="N205" s="2109"/>
      <c r="O205" s="2109"/>
      <c r="P205" s="2486"/>
      <c r="Q205" s="2488"/>
      <c r="R205" s="2493"/>
      <c r="S205" s="2494"/>
      <c r="T205" s="2495"/>
      <c r="U205" s="2494"/>
      <c r="V205" s="2494"/>
      <c r="W205" s="1794">
        <f t="shared" si="40"/>
        <v>2680000</v>
      </c>
      <c r="X205" s="1791">
        <f t="shared" si="41"/>
        <v>2680000</v>
      </c>
      <c r="Y205" s="2496"/>
      <c r="Z205" s="1794">
        <f t="shared" si="42"/>
        <v>2680000</v>
      </c>
      <c r="AA205" s="2497">
        <v>0.3</v>
      </c>
      <c r="AB205" s="2498"/>
      <c r="AC205" s="2491">
        <f t="shared" si="43"/>
        <v>8040</v>
      </c>
      <c r="AD205" s="2536"/>
      <c r="AH205" s="2482"/>
      <c r="AI205"/>
    </row>
    <row r="206" spans="1:35" x14ac:dyDescent="0.2">
      <c r="A206" s="2113">
        <v>102</v>
      </c>
      <c r="B206" s="2113">
        <v>67867</v>
      </c>
      <c r="C206" s="2100" t="s">
        <v>817</v>
      </c>
      <c r="D206" s="2114" t="s">
        <v>245</v>
      </c>
      <c r="E206" s="1508">
        <v>3</v>
      </c>
      <c r="F206" s="2472">
        <v>0</v>
      </c>
      <c r="G206" s="2113">
        <v>0</v>
      </c>
      <c r="H206" s="2477">
        <v>57.3</v>
      </c>
      <c r="I206" s="1794">
        <f t="shared" si="39"/>
        <v>57.3</v>
      </c>
      <c r="J206" s="1687">
        <v>20000</v>
      </c>
      <c r="K206" s="2492">
        <f t="shared" si="44"/>
        <v>1146000</v>
      </c>
      <c r="L206" s="2109"/>
      <c r="M206" s="100"/>
      <c r="N206" s="2109"/>
      <c r="O206" s="2109"/>
      <c r="P206" s="2486"/>
      <c r="Q206" s="2488"/>
      <c r="R206" s="2493"/>
      <c r="S206" s="2494"/>
      <c r="T206" s="2495"/>
      <c r="U206" s="2494"/>
      <c r="V206" s="2494"/>
      <c r="W206" s="1794">
        <f t="shared" si="40"/>
        <v>1146000</v>
      </c>
      <c r="X206" s="1791">
        <f t="shared" si="41"/>
        <v>1146000</v>
      </c>
      <c r="Y206" s="2496"/>
      <c r="Z206" s="1794">
        <f t="shared" si="42"/>
        <v>1146000</v>
      </c>
      <c r="AA206" s="2497">
        <v>0.3</v>
      </c>
      <c r="AB206" s="2498"/>
      <c r="AC206" s="2491">
        <f t="shared" si="43"/>
        <v>3438</v>
      </c>
      <c r="AD206" s="2536"/>
      <c r="AH206" s="2482"/>
      <c r="AI206"/>
    </row>
    <row r="207" spans="1:35" x14ac:dyDescent="0.2">
      <c r="A207" s="2113">
        <v>103</v>
      </c>
      <c r="B207" s="2113">
        <v>67868</v>
      </c>
      <c r="C207" s="2100" t="s">
        <v>818</v>
      </c>
      <c r="D207" s="2114" t="s">
        <v>245</v>
      </c>
      <c r="E207" s="1508">
        <v>3</v>
      </c>
      <c r="F207" s="2472">
        <v>0</v>
      </c>
      <c r="G207" s="2113">
        <v>0</v>
      </c>
      <c r="H207" s="2477">
        <v>56.1</v>
      </c>
      <c r="I207" s="1794">
        <f t="shared" si="39"/>
        <v>56.1</v>
      </c>
      <c r="J207" s="1687">
        <v>20000</v>
      </c>
      <c r="K207" s="2492">
        <f t="shared" si="44"/>
        <v>1122000</v>
      </c>
      <c r="L207" s="2109"/>
      <c r="M207" s="100"/>
      <c r="N207" s="2109"/>
      <c r="O207" s="2109"/>
      <c r="P207" s="2486"/>
      <c r="Q207" s="2488"/>
      <c r="R207" s="2493"/>
      <c r="S207" s="2494"/>
      <c r="T207" s="2495"/>
      <c r="U207" s="2494"/>
      <c r="V207" s="2494"/>
      <c r="W207" s="1794">
        <f t="shared" si="40"/>
        <v>1122000</v>
      </c>
      <c r="X207" s="1791">
        <f t="shared" si="41"/>
        <v>1122000</v>
      </c>
      <c r="Y207" s="2496"/>
      <c r="Z207" s="1794">
        <f t="shared" si="42"/>
        <v>1122000</v>
      </c>
      <c r="AA207" s="2497">
        <v>0.3</v>
      </c>
      <c r="AB207" s="2498"/>
      <c r="AC207" s="2491">
        <f t="shared" si="43"/>
        <v>3366</v>
      </c>
      <c r="AD207" s="2536"/>
      <c r="AH207" s="2482"/>
      <c r="AI207"/>
    </row>
    <row r="208" spans="1:35" x14ac:dyDescent="0.2">
      <c r="A208" s="2113">
        <v>104</v>
      </c>
      <c r="B208" s="2113">
        <v>67869</v>
      </c>
      <c r="C208" s="2100" t="s">
        <v>819</v>
      </c>
      <c r="D208" s="2114" t="s">
        <v>245</v>
      </c>
      <c r="E208" s="1508">
        <v>3</v>
      </c>
      <c r="F208" s="2114">
        <v>0</v>
      </c>
      <c r="G208" s="2114">
        <v>0</v>
      </c>
      <c r="H208" s="2115">
        <v>87.6</v>
      </c>
      <c r="I208" s="1794">
        <f t="shared" si="39"/>
        <v>87.6</v>
      </c>
      <c r="J208" s="1687">
        <v>20000</v>
      </c>
      <c r="K208" s="2492">
        <f t="shared" si="44"/>
        <v>1752000</v>
      </c>
      <c r="L208" s="45"/>
      <c r="M208" s="61"/>
      <c r="N208" s="50"/>
      <c r="O208" s="1506"/>
      <c r="P208" s="19"/>
      <c r="Q208" s="62"/>
      <c r="R208" s="1718"/>
      <c r="S208" s="18"/>
      <c r="T208" s="20"/>
      <c r="U208" s="1664"/>
      <c r="V208" s="47"/>
      <c r="W208" s="1794">
        <f t="shared" si="40"/>
        <v>1752000</v>
      </c>
      <c r="X208" s="1791">
        <f t="shared" si="41"/>
        <v>1752000</v>
      </c>
      <c r="Y208" s="2474"/>
      <c r="Z208" s="1794">
        <f t="shared" si="42"/>
        <v>1752000</v>
      </c>
      <c r="AA208" s="2497">
        <v>0.3</v>
      </c>
      <c r="AB208" s="2498"/>
      <c r="AC208" s="2491">
        <f t="shared" si="43"/>
        <v>5256</v>
      </c>
      <c r="AD208" s="2536"/>
      <c r="AH208" s="2482"/>
      <c r="AI208"/>
    </row>
    <row r="209" spans="1:35" x14ac:dyDescent="0.2">
      <c r="A209" s="2113">
        <v>105</v>
      </c>
      <c r="B209" s="2113">
        <v>67870</v>
      </c>
      <c r="C209" s="2100" t="s">
        <v>820</v>
      </c>
      <c r="D209" s="2114" t="s">
        <v>245</v>
      </c>
      <c r="E209" s="1508">
        <v>3</v>
      </c>
      <c r="F209" s="2114">
        <v>0</v>
      </c>
      <c r="G209" s="2114">
        <v>0</v>
      </c>
      <c r="H209" s="2115">
        <v>54.8</v>
      </c>
      <c r="I209" s="1794">
        <f t="shared" si="39"/>
        <v>54.8</v>
      </c>
      <c r="J209" s="1687">
        <v>20000</v>
      </c>
      <c r="K209" s="2492">
        <f>SUM(I209*J209)</f>
        <v>1096000</v>
      </c>
      <c r="L209" s="45"/>
      <c r="M209" s="61"/>
      <c r="N209" s="50"/>
      <c r="O209" s="1506"/>
      <c r="P209" s="19"/>
      <c r="Q209" s="62"/>
      <c r="R209" s="1718"/>
      <c r="S209" s="18"/>
      <c r="T209" s="20"/>
      <c r="U209" s="1664"/>
      <c r="V209" s="47"/>
      <c r="W209" s="1794">
        <f t="shared" si="40"/>
        <v>1096000</v>
      </c>
      <c r="X209" s="1791">
        <f t="shared" si="41"/>
        <v>1096000</v>
      </c>
      <c r="Y209" s="2474"/>
      <c r="Z209" s="1794">
        <f t="shared" si="42"/>
        <v>1096000</v>
      </c>
      <c r="AA209" s="2497">
        <v>0.3</v>
      </c>
      <c r="AB209" s="2498"/>
      <c r="AC209" s="2491">
        <f t="shared" si="43"/>
        <v>3288</v>
      </c>
      <c r="AD209" s="2536"/>
      <c r="AH209" s="2482"/>
      <c r="AI209"/>
    </row>
    <row r="210" spans="1:35" x14ac:dyDescent="0.2">
      <c r="A210" s="2113">
        <v>106</v>
      </c>
      <c r="B210" s="2113">
        <v>67871</v>
      </c>
      <c r="C210" s="2100" t="s">
        <v>821</v>
      </c>
      <c r="D210" s="2114" t="s">
        <v>245</v>
      </c>
      <c r="E210" s="1508">
        <v>3</v>
      </c>
      <c r="F210" s="2114">
        <v>0</v>
      </c>
      <c r="G210" s="2114">
        <v>0</v>
      </c>
      <c r="H210" s="2115">
        <v>64.900000000000006</v>
      </c>
      <c r="I210" s="1794">
        <f t="shared" si="39"/>
        <v>64.900000000000006</v>
      </c>
      <c r="J210" s="1687">
        <v>20000</v>
      </c>
      <c r="K210" s="2492">
        <f>SUM(I210*J210)</f>
        <v>1298000</v>
      </c>
      <c r="L210" s="45"/>
      <c r="M210" s="61"/>
      <c r="N210" s="50"/>
      <c r="O210" s="1506"/>
      <c r="P210" s="19"/>
      <c r="Q210" s="62"/>
      <c r="R210" s="1718"/>
      <c r="S210" s="18"/>
      <c r="T210" s="20"/>
      <c r="U210" s="1664"/>
      <c r="V210" s="47"/>
      <c r="W210" s="1794">
        <f t="shared" si="40"/>
        <v>1298000</v>
      </c>
      <c r="X210" s="1791">
        <f t="shared" si="41"/>
        <v>1298000</v>
      </c>
      <c r="Y210" s="2474"/>
      <c r="Z210" s="1794">
        <f t="shared" si="42"/>
        <v>1298000</v>
      </c>
      <c r="AA210" s="2497">
        <v>0.3</v>
      </c>
      <c r="AB210" s="2498"/>
      <c r="AC210" s="2491">
        <f t="shared" si="43"/>
        <v>3894</v>
      </c>
      <c r="AD210" s="2536"/>
      <c r="AH210" s="2491"/>
      <c r="AI210"/>
    </row>
    <row r="211" spans="1:35" x14ac:dyDescent="0.2">
      <c r="A211" s="2113">
        <v>107</v>
      </c>
      <c r="B211" s="2113">
        <v>67872</v>
      </c>
      <c r="C211" s="2100" t="s">
        <v>822</v>
      </c>
      <c r="D211" s="2114" t="s">
        <v>245</v>
      </c>
      <c r="E211" s="1508">
        <v>3</v>
      </c>
      <c r="F211" s="2114">
        <v>0</v>
      </c>
      <c r="G211" s="2114">
        <v>0</v>
      </c>
      <c r="H211" s="2115">
        <v>60</v>
      </c>
      <c r="I211" s="1794">
        <f t="shared" si="39"/>
        <v>60</v>
      </c>
      <c r="J211" s="1687">
        <v>20000</v>
      </c>
      <c r="K211" s="2492">
        <f>SUM(I211*J211)</f>
        <v>1200000</v>
      </c>
      <c r="L211" s="45"/>
      <c r="M211" s="61"/>
      <c r="N211" s="50"/>
      <c r="O211" s="1506"/>
      <c r="P211" s="19"/>
      <c r="Q211" s="62"/>
      <c r="R211" s="1718"/>
      <c r="S211" s="18"/>
      <c r="T211" s="20"/>
      <c r="U211" s="1664"/>
      <c r="V211" s="47"/>
      <c r="W211" s="1794">
        <f t="shared" si="40"/>
        <v>1200000</v>
      </c>
      <c r="X211" s="1791">
        <f t="shared" si="41"/>
        <v>1200000</v>
      </c>
      <c r="Y211" s="2474"/>
      <c r="Z211" s="1794">
        <f t="shared" si="42"/>
        <v>1200000</v>
      </c>
      <c r="AA211" s="2497">
        <v>0.3</v>
      </c>
      <c r="AB211" s="2498"/>
      <c r="AC211" s="2491">
        <f t="shared" si="43"/>
        <v>3600</v>
      </c>
      <c r="AD211" s="2536"/>
      <c r="AH211" s="2546"/>
      <c r="AI211"/>
    </row>
    <row r="212" spans="1:35" x14ac:dyDescent="0.2">
      <c r="A212" s="2113">
        <v>108</v>
      </c>
      <c r="B212" s="2113">
        <v>67873</v>
      </c>
      <c r="C212" s="2100" t="s">
        <v>823</v>
      </c>
      <c r="D212" s="2114" t="s">
        <v>245</v>
      </c>
      <c r="E212" s="1508">
        <v>3</v>
      </c>
      <c r="F212" s="2114">
        <v>0</v>
      </c>
      <c r="G212" s="2114">
        <v>0</v>
      </c>
      <c r="H212" s="2115">
        <v>60</v>
      </c>
      <c r="I212" s="1794">
        <f t="shared" si="39"/>
        <v>60</v>
      </c>
      <c r="J212" s="1687">
        <v>20000</v>
      </c>
      <c r="K212" s="2492">
        <f>SUM(I212*J212)</f>
        <v>1200000</v>
      </c>
      <c r="L212" s="45"/>
      <c r="M212" s="61"/>
      <c r="N212" s="50"/>
      <c r="O212" s="1506"/>
      <c r="P212" s="19"/>
      <c r="Q212" s="62"/>
      <c r="R212" s="1718"/>
      <c r="S212" s="18"/>
      <c r="T212" s="20"/>
      <c r="U212" s="1664"/>
      <c r="V212" s="47"/>
      <c r="W212" s="1794">
        <f t="shared" si="40"/>
        <v>1200000</v>
      </c>
      <c r="X212" s="1791">
        <f t="shared" si="41"/>
        <v>1200000</v>
      </c>
      <c r="Y212" s="2474"/>
      <c r="Z212" s="1794">
        <f t="shared" si="42"/>
        <v>1200000</v>
      </c>
      <c r="AA212" s="2497">
        <v>0.3</v>
      </c>
      <c r="AB212" s="2498"/>
      <c r="AC212" s="2491">
        <f t="shared" si="43"/>
        <v>3600</v>
      </c>
      <c r="AD212" s="2536"/>
      <c r="AH212" s="2491"/>
      <c r="AI212"/>
    </row>
    <row r="213" spans="1:35" ht="15" thickBot="1" x14ac:dyDescent="0.25">
      <c r="A213" s="34"/>
      <c r="B213" s="34"/>
      <c r="C213" s="34"/>
      <c r="D213" s="34"/>
      <c r="E213" s="34"/>
      <c r="F213" s="34"/>
      <c r="G213" s="34"/>
      <c r="H213" s="35"/>
      <c r="I213" s="36"/>
      <c r="J213" s="37"/>
      <c r="K213" s="2562"/>
      <c r="L213" s="2562"/>
      <c r="M213" s="2562"/>
      <c r="N213" s="2562"/>
      <c r="O213" s="2562"/>
      <c r="P213" s="2562"/>
      <c r="Q213" s="2562"/>
      <c r="R213" s="2563"/>
      <c r="S213" s="2562"/>
      <c r="T213" s="38"/>
      <c r="U213" s="2564"/>
      <c r="V213" s="2562"/>
      <c r="W213" s="2839"/>
      <c r="X213" s="2840"/>
      <c r="Y213" s="2841"/>
      <c r="Z213" s="2612">
        <f>SUM(Z194:Z212)</f>
        <v>27066000</v>
      </c>
      <c r="AA213" s="2613"/>
      <c r="AB213" s="2613"/>
      <c r="AC213" s="2614">
        <f>SUM(AC194:AC212)</f>
        <v>81198</v>
      </c>
      <c r="AD213" s="2614">
        <f t="shared" ref="AD213:AG213" si="45">SUM(AD194:AD212)</f>
        <v>0</v>
      </c>
      <c r="AE213" s="2614">
        <f t="shared" si="45"/>
        <v>0</v>
      </c>
      <c r="AF213" s="2614">
        <f t="shared" si="45"/>
        <v>0</v>
      </c>
      <c r="AG213" s="2614">
        <f t="shared" si="45"/>
        <v>0</v>
      </c>
      <c r="AH213" s="2614"/>
      <c r="AI213"/>
    </row>
    <row r="214" spans="1:35" ht="16.5" thickTop="1" x14ac:dyDescent="0.25">
      <c r="A214" s="2842" t="s">
        <v>76</v>
      </c>
      <c r="B214" s="2842"/>
      <c r="C214" s="2848" t="s">
        <v>77</v>
      </c>
      <c r="D214" s="2848"/>
      <c r="E214" s="2848"/>
      <c r="F214" s="2848"/>
      <c r="G214" s="2848"/>
      <c r="H214" s="2848"/>
      <c r="I214" s="2567" t="s">
        <v>78</v>
      </c>
      <c r="J214" s="2567"/>
      <c r="K214" s="2567"/>
      <c r="L214" s="2567"/>
      <c r="M214" s="2567"/>
      <c r="N214" s="2567"/>
      <c r="AC214" s="2476"/>
      <c r="AI214"/>
    </row>
    <row r="215" spans="1:35" ht="15.75" x14ac:dyDescent="0.25">
      <c r="A215" s="2568"/>
      <c r="B215" s="2569"/>
      <c r="C215" s="2567"/>
      <c r="D215" s="2567"/>
      <c r="E215" s="2567"/>
      <c r="F215" s="2567"/>
      <c r="G215" s="2567"/>
      <c r="H215" s="2567"/>
      <c r="I215" s="2567" t="s">
        <v>79</v>
      </c>
      <c r="J215" s="2567"/>
      <c r="K215" s="2567"/>
      <c r="L215" s="2567"/>
      <c r="M215" s="2567"/>
      <c r="N215" s="2567"/>
      <c r="AC215" s="2476"/>
      <c r="AI215"/>
    </row>
    <row r="216" spans="1:35" ht="15.75" x14ac:dyDescent="0.25">
      <c r="A216" s="2568"/>
      <c r="B216" s="2569"/>
      <c r="C216" s="2567"/>
      <c r="D216" s="2567"/>
      <c r="E216" s="2567"/>
      <c r="F216" s="2567"/>
      <c r="G216" s="2567"/>
      <c r="H216" s="2567"/>
      <c r="I216" s="2567" t="s">
        <v>80</v>
      </c>
      <c r="J216" s="2567"/>
      <c r="K216" s="2567"/>
      <c r="L216" s="2567"/>
      <c r="M216" s="2567"/>
      <c r="N216" s="2567"/>
      <c r="AC216" s="2476"/>
      <c r="AI216"/>
    </row>
    <row r="217" spans="1:35" ht="15.75" x14ac:dyDescent="0.25">
      <c r="A217" s="2568"/>
      <c r="B217" s="2569"/>
      <c r="C217" s="2567"/>
      <c r="D217" s="2567"/>
      <c r="E217" s="2567"/>
      <c r="F217" s="2567"/>
      <c r="G217" s="2567"/>
      <c r="H217" s="2567"/>
      <c r="I217" s="2567" t="s">
        <v>81</v>
      </c>
      <c r="J217" s="2567"/>
      <c r="K217" s="2567"/>
      <c r="L217" s="2567"/>
      <c r="M217" s="2567"/>
      <c r="N217" s="2567"/>
      <c r="AC217" s="2476"/>
      <c r="AI217"/>
    </row>
    <row r="218" spans="1:35" ht="15.75" x14ac:dyDescent="0.25">
      <c r="A218" s="2568"/>
      <c r="B218" s="2569"/>
      <c r="C218" s="2567"/>
      <c r="D218" s="2567"/>
      <c r="E218" s="2567"/>
      <c r="F218" s="2567"/>
      <c r="G218" s="2567"/>
      <c r="H218" s="2567"/>
      <c r="I218" s="2567" t="s">
        <v>88</v>
      </c>
      <c r="J218" s="2567"/>
      <c r="K218" s="2567"/>
      <c r="L218" s="2567"/>
      <c r="M218" s="2567"/>
      <c r="N218" s="2567"/>
      <c r="AC218" s="2476"/>
      <c r="AI218"/>
    </row>
    <row r="219" spans="1:35" ht="15.75" x14ac:dyDescent="0.25">
      <c r="A219" s="2568"/>
      <c r="B219" s="2569"/>
      <c r="C219" s="2567"/>
      <c r="D219" s="2567"/>
      <c r="E219" s="2567"/>
      <c r="F219" s="2567"/>
      <c r="G219" s="2567"/>
      <c r="H219" s="2567"/>
      <c r="I219" s="2567"/>
      <c r="J219" s="2567"/>
      <c r="K219" s="2567"/>
      <c r="L219" s="2567"/>
      <c r="M219" s="2567"/>
      <c r="N219" s="2567"/>
      <c r="AC219" s="2476"/>
      <c r="AI219"/>
    </row>
    <row r="220" spans="1:35" ht="15.75" x14ac:dyDescent="0.25">
      <c r="A220" s="2568"/>
      <c r="B220" s="2569"/>
      <c r="C220" s="2567"/>
      <c r="D220" s="2567"/>
      <c r="E220" s="2567"/>
      <c r="F220" s="2567"/>
      <c r="G220" s="2567"/>
      <c r="H220" s="2567"/>
      <c r="I220" s="2567"/>
      <c r="J220" s="2567"/>
      <c r="K220" s="2567"/>
      <c r="L220" s="2567"/>
      <c r="M220" s="2567"/>
      <c r="N220" s="2567"/>
      <c r="AC220" s="2476"/>
      <c r="AI220"/>
    </row>
    <row r="221" spans="1:35" ht="15.75" x14ac:dyDescent="0.25">
      <c r="A221" s="2568"/>
      <c r="B221" s="2569"/>
      <c r="C221" s="2567"/>
      <c r="D221" s="2567"/>
      <c r="E221" s="2567"/>
      <c r="F221" s="2567"/>
      <c r="G221" s="2567"/>
      <c r="H221" s="2567"/>
      <c r="I221" s="2567"/>
      <c r="J221" s="2567"/>
      <c r="K221" s="2567"/>
      <c r="L221" s="2567"/>
      <c r="M221" s="2567"/>
      <c r="N221" s="2567"/>
      <c r="AC221" s="2476"/>
      <c r="AI221"/>
    </row>
    <row r="222" spans="1:35" ht="15.75" x14ac:dyDescent="0.25">
      <c r="A222" s="2568"/>
      <c r="B222" s="2569"/>
      <c r="C222" s="2567"/>
      <c r="D222" s="2567"/>
      <c r="E222" s="2567"/>
      <c r="F222" s="2567"/>
      <c r="G222" s="2567"/>
      <c r="H222" s="2567"/>
      <c r="I222" s="2567"/>
      <c r="J222" s="2567"/>
      <c r="K222" s="2567"/>
      <c r="L222" s="2567"/>
      <c r="M222" s="2567"/>
      <c r="N222" s="2567"/>
      <c r="AC222" s="2476"/>
      <c r="AI222"/>
    </row>
    <row r="223" spans="1:35" ht="15.75" x14ac:dyDescent="0.25">
      <c r="A223" s="2568"/>
      <c r="B223" s="2569"/>
      <c r="C223" s="2567"/>
      <c r="D223" s="2567"/>
      <c r="E223" s="2567"/>
      <c r="F223" s="2567"/>
      <c r="G223" s="2567"/>
      <c r="H223" s="2567"/>
      <c r="I223" s="2567"/>
      <c r="J223" s="2567"/>
      <c r="K223" s="2567"/>
      <c r="L223" s="2567"/>
      <c r="M223" s="2567"/>
      <c r="N223" s="2567"/>
      <c r="AC223" s="2476"/>
      <c r="AI223"/>
    </row>
    <row r="224" spans="1:35" ht="15.75" x14ac:dyDescent="0.25">
      <c r="A224" s="2568"/>
      <c r="B224" s="2569"/>
      <c r="C224" s="2567"/>
      <c r="D224" s="2567"/>
      <c r="E224" s="2567"/>
      <c r="F224" s="2567"/>
      <c r="G224" s="2567"/>
      <c r="H224" s="2567"/>
      <c r="I224" s="2567"/>
      <c r="J224" s="2567"/>
      <c r="K224" s="2567"/>
      <c r="L224" s="2567"/>
      <c r="M224" s="2567"/>
      <c r="N224" s="2567"/>
      <c r="AC224" s="2476"/>
      <c r="AI224"/>
    </row>
    <row r="225" spans="1:35" ht="18.75" x14ac:dyDescent="0.25">
      <c r="A225" s="2568"/>
      <c r="B225" s="2569"/>
      <c r="C225" s="2567"/>
      <c r="D225" s="2567"/>
      <c r="E225" s="2567"/>
      <c r="F225" s="2567"/>
      <c r="G225" s="2567"/>
      <c r="H225" s="2567"/>
      <c r="I225" s="2567"/>
      <c r="J225" s="2567"/>
      <c r="K225" s="2567"/>
      <c r="L225" s="2567"/>
      <c r="M225" s="2567"/>
      <c r="N225" s="2567"/>
      <c r="AA225" s="2471" t="s">
        <v>0</v>
      </c>
      <c r="AB225" s="2471"/>
      <c r="AC225" s="2667"/>
      <c r="AD225" s="2471"/>
      <c r="AI225"/>
    </row>
    <row r="226" spans="1:35" ht="18.75" x14ac:dyDescent="0.2">
      <c r="A226" s="2707" t="s">
        <v>1</v>
      </c>
      <c r="B226" s="2707"/>
      <c r="C226" s="2707"/>
      <c r="D226" s="2707"/>
      <c r="E226" s="2707"/>
      <c r="F226" s="2707"/>
      <c r="G226" s="2707"/>
      <c r="H226" s="2707"/>
      <c r="I226" s="2707"/>
      <c r="J226" s="2707"/>
      <c r="K226" s="2707"/>
      <c r="L226" s="2707"/>
      <c r="M226" s="2707"/>
      <c r="N226" s="2707"/>
      <c r="O226" s="2707"/>
      <c r="P226" s="2707"/>
      <c r="Q226" s="2707"/>
      <c r="R226" s="2707"/>
      <c r="S226" s="2707"/>
      <c r="T226" s="2707"/>
      <c r="U226" s="2707"/>
      <c r="V226" s="2707"/>
      <c r="W226" s="2707"/>
      <c r="X226" s="2707"/>
      <c r="Y226" s="2707"/>
      <c r="Z226" s="2707"/>
      <c r="AA226" s="2707"/>
      <c r="AB226" s="2707"/>
      <c r="AC226" s="2707"/>
      <c r="AI226"/>
    </row>
    <row r="227" spans="1:35" ht="18" x14ac:dyDescent="0.2">
      <c r="A227" s="2846" t="s">
        <v>984</v>
      </c>
      <c r="B227" s="2846"/>
      <c r="C227" s="2846"/>
      <c r="D227" s="2846"/>
      <c r="E227" s="2846"/>
      <c r="F227" s="2846"/>
      <c r="G227" s="2846"/>
      <c r="H227" s="2846"/>
      <c r="I227" s="2846"/>
      <c r="J227" s="2846"/>
      <c r="K227" s="2846"/>
      <c r="L227" s="2846"/>
      <c r="M227" s="2846"/>
      <c r="N227" s="2846"/>
      <c r="O227" s="2846"/>
      <c r="P227" s="2846"/>
      <c r="Q227" s="2846"/>
      <c r="R227" s="2846"/>
      <c r="S227" s="2846"/>
      <c r="T227" s="2846"/>
      <c r="U227" s="2846"/>
      <c r="V227" s="2846"/>
      <c r="W227" s="2846"/>
      <c r="X227" s="2846"/>
      <c r="Y227" s="2846"/>
      <c r="Z227" s="2846"/>
      <c r="AA227" s="2846"/>
      <c r="AB227" s="2846"/>
      <c r="AC227" s="2846"/>
      <c r="AD227" s="2192"/>
      <c r="AI227"/>
    </row>
    <row r="228" spans="1:35" ht="15" x14ac:dyDescent="0.25">
      <c r="A228" s="2453" t="s">
        <v>2</v>
      </c>
      <c r="B228" s="2572"/>
      <c r="C228" s="2453" t="s">
        <v>3</v>
      </c>
      <c r="D228" s="2572"/>
      <c r="E228" s="2572"/>
      <c r="F228" s="2668" t="s">
        <v>4</v>
      </c>
      <c r="G228" s="2456"/>
      <c r="H228" s="2456"/>
      <c r="I228" s="2456"/>
      <c r="J228" s="2456"/>
      <c r="K228" s="2669"/>
      <c r="L228" s="2"/>
      <c r="M228" s="2459" t="s">
        <v>5</v>
      </c>
      <c r="N228" s="2459"/>
      <c r="O228" s="2459"/>
      <c r="P228" s="2459"/>
      <c r="Q228" s="2459"/>
      <c r="R228" s="2459"/>
      <c r="S228" s="2459"/>
      <c r="T228" s="2459"/>
      <c r="U228" s="2459"/>
      <c r="V228" s="2460"/>
      <c r="W228" s="2573" t="s">
        <v>6</v>
      </c>
      <c r="X228" s="2574" t="s">
        <v>7</v>
      </c>
      <c r="Y228" s="2575"/>
      <c r="Z228" s="2575"/>
      <c r="AA228" s="2574"/>
      <c r="AB228" s="2574"/>
      <c r="AC228" s="2576"/>
      <c r="AD228" s="2221" t="s">
        <v>8</v>
      </c>
      <c r="AH228" s="2845" t="s">
        <v>76</v>
      </c>
      <c r="AI228"/>
    </row>
    <row r="229" spans="1:35" x14ac:dyDescent="0.2">
      <c r="A229" s="2454"/>
      <c r="B229" s="4"/>
      <c r="C229" s="2454"/>
      <c r="D229" s="2577" t="s">
        <v>9</v>
      </c>
      <c r="E229" s="2578" t="s">
        <v>10</v>
      </c>
      <c r="F229" s="2461" t="s">
        <v>11</v>
      </c>
      <c r="G229" s="2457"/>
      <c r="H229" s="2458"/>
      <c r="I229" s="2572"/>
      <c r="J229" s="2579" t="s">
        <v>12</v>
      </c>
      <c r="K229" s="2572"/>
      <c r="L229" s="141" t="s">
        <v>2</v>
      </c>
      <c r="M229" s="2580"/>
      <c r="N229" s="2580"/>
      <c r="O229" s="2580"/>
      <c r="P229" s="2581"/>
      <c r="Q229" s="2582" t="s">
        <v>13</v>
      </c>
      <c r="R229" s="2583" t="s">
        <v>12</v>
      </c>
      <c r="S229" s="2580" t="s">
        <v>6</v>
      </c>
      <c r="T229" s="2465" t="s">
        <v>14</v>
      </c>
      <c r="U229" s="2466"/>
      <c r="V229" s="2584" t="s">
        <v>7</v>
      </c>
      <c r="W229" s="2585" t="s">
        <v>15</v>
      </c>
      <c r="X229" s="2586" t="s">
        <v>16</v>
      </c>
      <c r="Y229" s="2586" t="s">
        <v>17</v>
      </c>
      <c r="Z229" s="2586" t="s">
        <v>18</v>
      </c>
      <c r="AA229" s="5"/>
      <c r="AB229" s="5"/>
      <c r="AC229" s="55" t="s">
        <v>19</v>
      </c>
      <c r="AD229" s="2223" t="s">
        <v>20</v>
      </c>
      <c r="AH229" s="2845"/>
      <c r="AI229"/>
    </row>
    <row r="230" spans="1:35" x14ac:dyDescent="0.2">
      <c r="A230" s="2454"/>
      <c r="B230" s="2454" t="s">
        <v>23</v>
      </c>
      <c r="C230" s="2454"/>
      <c r="D230" s="2577" t="s">
        <v>24</v>
      </c>
      <c r="E230" s="2578" t="s">
        <v>25</v>
      </c>
      <c r="F230" s="2462"/>
      <c r="G230" s="2463"/>
      <c r="H230" s="2464"/>
      <c r="I230" s="2577" t="s">
        <v>26</v>
      </c>
      <c r="J230" s="2587" t="s">
        <v>15</v>
      </c>
      <c r="K230" s="2588" t="s">
        <v>6</v>
      </c>
      <c r="L230" s="142"/>
      <c r="M230" s="2589" t="s">
        <v>27</v>
      </c>
      <c r="N230" s="2589" t="s">
        <v>10</v>
      </c>
      <c r="O230" s="2590" t="s">
        <v>10</v>
      </c>
      <c r="P230" s="2591" t="s">
        <v>28</v>
      </c>
      <c r="Q230" s="2592" t="s">
        <v>29</v>
      </c>
      <c r="R230" s="2591" t="s">
        <v>15</v>
      </c>
      <c r="S230" s="8" t="s">
        <v>15</v>
      </c>
      <c r="T230" s="2467"/>
      <c r="U230" s="2468"/>
      <c r="V230" s="2584" t="s">
        <v>30</v>
      </c>
      <c r="W230" s="2585" t="s">
        <v>31</v>
      </c>
      <c r="X230" s="2586" t="s">
        <v>30</v>
      </c>
      <c r="Y230" s="2586" t="s">
        <v>32</v>
      </c>
      <c r="Z230" s="2586" t="s">
        <v>7</v>
      </c>
      <c r="AA230" s="5" t="s">
        <v>33</v>
      </c>
      <c r="AB230" s="5"/>
      <c r="AC230" s="55" t="s">
        <v>34</v>
      </c>
      <c r="AD230" s="2223" t="s">
        <v>35</v>
      </c>
      <c r="AH230" s="2845"/>
      <c r="AI230"/>
    </row>
    <row r="231" spans="1:35" x14ac:dyDescent="0.2">
      <c r="A231" s="2454"/>
      <c r="B231" s="2454" t="s">
        <v>39</v>
      </c>
      <c r="C231" s="2454"/>
      <c r="D231" s="2577" t="s">
        <v>40</v>
      </c>
      <c r="E231" s="2578" t="s">
        <v>41</v>
      </c>
      <c r="F231" s="2453" t="s">
        <v>42</v>
      </c>
      <c r="G231" s="2453" t="s">
        <v>43</v>
      </c>
      <c r="H231" s="2469" t="s">
        <v>44</v>
      </c>
      <c r="I231" s="2577" t="s">
        <v>45</v>
      </c>
      <c r="J231" s="2587" t="s">
        <v>46</v>
      </c>
      <c r="K231" s="2588" t="s">
        <v>47</v>
      </c>
      <c r="L231" s="142"/>
      <c r="M231" s="2589" t="s">
        <v>30</v>
      </c>
      <c r="N231" s="2589" t="s">
        <v>30</v>
      </c>
      <c r="O231" s="2590" t="s">
        <v>25</v>
      </c>
      <c r="P231" s="2591" t="s">
        <v>30</v>
      </c>
      <c r="Q231" s="2592" t="s">
        <v>48</v>
      </c>
      <c r="R231" s="2591" t="s">
        <v>49</v>
      </c>
      <c r="S231" s="8" t="s">
        <v>30</v>
      </c>
      <c r="T231" s="2593" t="s">
        <v>50</v>
      </c>
      <c r="U231" s="2594" t="s">
        <v>13</v>
      </c>
      <c r="V231" s="2584" t="s">
        <v>51</v>
      </c>
      <c r="W231" s="2585" t="s">
        <v>52</v>
      </c>
      <c r="X231" s="2586" t="s">
        <v>53</v>
      </c>
      <c r="Y231" s="2586" t="s">
        <v>54</v>
      </c>
      <c r="Z231" s="2586" t="s">
        <v>55</v>
      </c>
      <c r="AA231" s="5" t="s">
        <v>56</v>
      </c>
      <c r="AB231" s="5"/>
      <c r="AC231" s="55" t="s">
        <v>57</v>
      </c>
      <c r="AD231" s="6" t="s">
        <v>58</v>
      </c>
      <c r="AH231" s="2845"/>
      <c r="AI231"/>
    </row>
    <row r="232" spans="1:35" ht="15" x14ac:dyDescent="0.25">
      <c r="A232" s="2454"/>
      <c r="B232" s="2454" t="s">
        <v>61</v>
      </c>
      <c r="C232" s="2454"/>
      <c r="D232" s="2577" t="s">
        <v>62</v>
      </c>
      <c r="E232" s="2578" t="s">
        <v>63</v>
      </c>
      <c r="F232" s="2454"/>
      <c r="G232" s="2454"/>
      <c r="H232" s="2470"/>
      <c r="I232" s="2577" t="s">
        <v>64</v>
      </c>
      <c r="J232" s="2587" t="s">
        <v>59</v>
      </c>
      <c r="K232" s="2588" t="s">
        <v>59</v>
      </c>
      <c r="L232" s="142"/>
      <c r="M232" s="2589"/>
      <c r="N232" s="2589"/>
      <c r="O232" s="2590" t="s">
        <v>41</v>
      </c>
      <c r="P232" s="2591" t="s">
        <v>65</v>
      </c>
      <c r="Q232" s="2592" t="s">
        <v>66</v>
      </c>
      <c r="R232" s="2591" t="s">
        <v>67</v>
      </c>
      <c r="S232" s="8" t="s">
        <v>59</v>
      </c>
      <c r="T232" s="2595" t="s">
        <v>68</v>
      </c>
      <c r="U232" s="2584" t="s">
        <v>14</v>
      </c>
      <c r="V232" s="2584" t="s">
        <v>14</v>
      </c>
      <c r="W232" s="2585" t="s">
        <v>30</v>
      </c>
      <c r="X232" s="2596" t="s">
        <v>69</v>
      </c>
      <c r="Y232" s="2596" t="s">
        <v>70</v>
      </c>
      <c r="Z232" s="2586" t="s">
        <v>71</v>
      </c>
      <c r="AA232" s="5" t="s">
        <v>72</v>
      </c>
      <c r="AB232" s="5"/>
      <c r="AC232" s="2597" t="s">
        <v>59</v>
      </c>
      <c r="AD232" s="6" t="s">
        <v>59</v>
      </c>
      <c r="AH232" s="2845"/>
      <c r="AI232"/>
    </row>
    <row r="233" spans="1:35" x14ac:dyDescent="0.2">
      <c r="A233" s="2455"/>
      <c r="B233" s="9"/>
      <c r="C233" s="2455"/>
      <c r="D233" s="2598"/>
      <c r="E233" s="2599"/>
      <c r="F233" s="9"/>
      <c r="G233" s="9"/>
      <c r="H233" s="10"/>
      <c r="I233" s="2599"/>
      <c r="J233" s="2600"/>
      <c r="K233" s="2601"/>
      <c r="L233" s="143"/>
      <c r="M233" s="2602"/>
      <c r="N233" s="2602"/>
      <c r="O233" s="2602" t="s">
        <v>63</v>
      </c>
      <c r="P233" s="2603"/>
      <c r="Q233" s="2604" t="s">
        <v>72</v>
      </c>
      <c r="R233" s="2605" t="s">
        <v>59</v>
      </c>
      <c r="S233" s="2606"/>
      <c r="T233" s="2605" t="s">
        <v>73</v>
      </c>
      <c r="U233" s="2606" t="s">
        <v>59</v>
      </c>
      <c r="V233" s="2607" t="s">
        <v>59</v>
      </c>
      <c r="W233" s="2608" t="s">
        <v>59</v>
      </c>
      <c r="X233" s="2609" t="s">
        <v>59</v>
      </c>
      <c r="Y233" s="2609" t="s">
        <v>59</v>
      </c>
      <c r="Z233" s="2609" t="s">
        <v>59</v>
      </c>
      <c r="AA233" s="11"/>
      <c r="AB233" s="11"/>
      <c r="AC233" s="56"/>
      <c r="AD233" s="12"/>
      <c r="AH233" s="2845"/>
      <c r="AI233"/>
    </row>
    <row r="234" spans="1:35" x14ac:dyDescent="0.2">
      <c r="A234" s="2674">
        <v>109</v>
      </c>
      <c r="B234" s="2113">
        <v>67874</v>
      </c>
      <c r="C234" s="2100" t="s">
        <v>824</v>
      </c>
      <c r="D234" s="2114" t="s">
        <v>245</v>
      </c>
      <c r="E234" s="1508">
        <v>3</v>
      </c>
      <c r="F234" s="2114">
        <v>0</v>
      </c>
      <c r="G234" s="2114">
        <v>0</v>
      </c>
      <c r="H234" s="2115">
        <v>68.5</v>
      </c>
      <c r="I234" s="1794">
        <f t="shared" ref="I234:I256" si="46">F234*400+G234*100+H234</f>
        <v>68.5</v>
      </c>
      <c r="J234" s="1687">
        <v>20000</v>
      </c>
      <c r="K234" s="2492">
        <f t="shared" ref="K234:K256" si="47">SUM(I234*J234)</f>
        <v>1370000</v>
      </c>
      <c r="L234" s="45"/>
      <c r="M234" s="61"/>
      <c r="N234" s="50"/>
      <c r="O234" s="1506"/>
      <c r="P234" s="19"/>
      <c r="Q234" s="62"/>
      <c r="R234" s="1718"/>
      <c r="S234" s="18"/>
      <c r="T234" s="20"/>
      <c r="U234" s="1664"/>
      <c r="V234" s="47"/>
      <c r="W234" s="1794">
        <f t="shared" ref="W234:W256" si="48">+K234</f>
        <v>1370000</v>
      </c>
      <c r="X234" s="1791">
        <f t="shared" ref="X234:X256" si="49">+W234</f>
        <v>1370000</v>
      </c>
      <c r="Y234" s="2474"/>
      <c r="Z234" s="1794">
        <f t="shared" ref="Z234:Z256" si="50">+X234</f>
        <v>1370000</v>
      </c>
      <c r="AA234" s="2497">
        <v>0.3</v>
      </c>
      <c r="AB234" s="2498"/>
      <c r="AC234" s="2491">
        <f t="shared" ref="AC234:AC256" si="51">+Z234*AA234/100</f>
        <v>4110</v>
      </c>
      <c r="AD234" s="2540"/>
      <c r="AH234" s="2482"/>
      <c r="AI234"/>
    </row>
    <row r="235" spans="1:35" x14ac:dyDescent="0.2">
      <c r="A235" s="2674">
        <v>110</v>
      </c>
      <c r="B235" s="2113">
        <v>67875</v>
      </c>
      <c r="C235" s="2100" t="s">
        <v>825</v>
      </c>
      <c r="D235" s="2114" t="s">
        <v>245</v>
      </c>
      <c r="E235" s="1508">
        <v>3</v>
      </c>
      <c r="F235" s="2114">
        <v>0</v>
      </c>
      <c r="G235" s="2114">
        <v>0</v>
      </c>
      <c r="H235" s="2557">
        <v>74.3</v>
      </c>
      <c r="I235" s="2502">
        <f t="shared" si="46"/>
        <v>74.3</v>
      </c>
      <c r="J235" s="1687">
        <v>20000</v>
      </c>
      <c r="K235" s="2492">
        <f t="shared" si="47"/>
        <v>1486000</v>
      </c>
      <c r="L235" s="45"/>
      <c r="M235" s="61"/>
      <c r="N235" s="50"/>
      <c r="O235" s="1506"/>
      <c r="P235" s="19"/>
      <c r="Q235" s="62"/>
      <c r="R235" s="1718"/>
      <c r="S235" s="18"/>
      <c r="T235" s="20"/>
      <c r="U235" s="1664"/>
      <c r="V235" s="47"/>
      <c r="W235" s="1794">
        <f t="shared" si="48"/>
        <v>1486000</v>
      </c>
      <c r="X235" s="1791">
        <f t="shared" si="49"/>
        <v>1486000</v>
      </c>
      <c r="Y235" s="2474"/>
      <c r="Z235" s="1794">
        <f t="shared" si="50"/>
        <v>1486000</v>
      </c>
      <c r="AA235" s="2497">
        <v>0.3</v>
      </c>
      <c r="AB235" s="2490"/>
      <c r="AC235" s="2491">
        <f t="shared" si="51"/>
        <v>4458</v>
      </c>
      <c r="AD235" s="2558"/>
      <c r="AH235" s="2482"/>
      <c r="AI235"/>
    </row>
    <row r="236" spans="1:35" x14ac:dyDescent="0.2">
      <c r="A236" s="2674">
        <v>111</v>
      </c>
      <c r="B236" s="2113">
        <v>67876</v>
      </c>
      <c r="C236" s="2100" t="s">
        <v>826</v>
      </c>
      <c r="D236" s="2114" t="s">
        <v>245</v>
      </c>
      <c r="E236" s="1508">
        <v>3</v>
      </c>
      <c r="F236" s="2114">
        <v>0</v>
      </c>
      <c r="G236" s="2114">
        <v>0</v>
      </c>
      <c r="H236" s="2557">
        <v>79.400000000000006</v>
      </c>
      <c r="I236" s="2502">
        <f t="shared" si="46"/>
        <v>79.400000000000006</v>
      </c>
      <c r="J236" s="1687">
        <v>20000</v>
      </c>
      <c r="K236" s="2492">
        <f t="shared" si="47"/>
        <v>1588000</v>
      </c>
      <c r="L236" s="45"/>
      <c r="M236" s="61"/>
      <c r="N236" s="50"/>
      <c r="O236" s="1506"/>
      <c r="P236" s="19"/>
      <c r="Q236" s="62"/>
      <c r="R236" s="1718"/>
      <c r="S236" s="18"/>
      <c r="T236" s="20"/>
      <c r="U236" s="1664"/>
      <c r="V236" s="47"/>
      <c r="W236" s="1794">
        <f t="shared" si="48"/>
        <v>1588000</v>
      </c>
      <c r="X236" s="1791">
        <f t="shared" si="49"/>
        <v>1588000</v>
      </c>
      <c r="Y236" s="2474"/>
      <c r="Z236" s="1794">
        <f t="shared" si="50"/>
        <v>1588000</v>
      </c>
      <c r="AA236" s="2497">
        <v>0.3</v>
      </c>
      <c r="AB236" s="2490"/>
      <c r="AC236" s="2491">
        <f t="shared" si="51"/>
        <v>4764</v>
      </c>
      <c r="AD236" s="2558"/>
      <c r="AH236" s="2482"/>
      <c r="AI236"/>
    </row>
    <row r="237" spans="1:35" x14ac:dyDescent="0.2">
      <c r="A237" s="2674">
        <v>112</v>
      </c>
      <c r="B237" s="2113">
        <v>67877</v>
      </c>
      <c r="C237" s="2100" t="s">
        <v>827</v>
      </c>
      <c r="D237" s="2114" t="s">
        <v>245</v>
      </c>
      <c r="E237" s="1508">
        <v>3</v>
      </c>
      <c r="F237" s="2485">
        <v>0</v>
      </c>
      <c r="G237" s="2109">
        <v>0</v>
      </c>
      <c r="H237" s="2486">
        <v>66.2</v>
      </c>
      <c r="I237" s="1794">
        <f t="shared" si="46"/>
        <v>66.2</v>
      </c>
      <c r="J237" s="1687">
        <v>20000</v>
      </c>
      <c r="K237" s="2492">
        <f t="shared" si="47"/>
        <v>1324000</v>
      </c>
      <c r="L237" s="2109"/>
      <c r="M237" s="100"/>
      <c r="N237" s="2109"/>
      <c r="O237" s="2109"/>
      <c r="P237" s="2486"/>
      <c r="Q237" s="2488"/>
      <c r="R237" s="2101"/>
      <c r="S237" s="2102"/>
      <c r="T237" s="2489"/>
      <c r="U237" s="2102"/>
      <c r="V237" s="2102"/>
      <c r="W237" s="1794">
        <f t="shared" si="48"/>
        <v>1324000</v>
      </c>
      <c r="X237" s="1791">
        <f t="shared" si="49"/>
        <v>1324000</v>
      </c>
      <c r="Y237" s="2474"/>
      <c r="Z237" s="1794">
        <f t="shared" si="50"/>
        <v>1324000</v>
      </c>
      <c r="AA237" s="2497">
        <v>0.3</v>
      </c>
      <c r="AB237" s="2498"/>
      <c r="AC237" s="2491">
        <f t="shared" si="51"/>
        <v>3972</v>
      </c>
      <c r="AD237" s="2535"/>
      <c r="AH237" s="2482"/>
      <c r="AI237"/>
    </row>
    <row r="238" spans="1:35" x14ac:dyDescent="0.2">
      <c r="A238" s="2674">
        <v>113</v>
      </c>
      <c r="B238" s="2113">
        <v>67878</v>
      </c>
      <c r="C238" s="2100" t="s">
        <v>828</v>
      </c>
      <c r="D238" s="2114" t="s">
        <v>245</v>
      </c>
      <c r="E238" s="1508">
        <v>3</v>
      </c>
      <c r="F238" s="2485">
        <v>0</v>
      </c>
      <c r="G238" s="2109">
        <v>0</v>
      </c>
      <c r="H238" s="2486">
        <v>60</v>
      </c>
      <c r="I238" s="1794">
        <f t="shared" si="46"/>
        <v>60</v>
      </c>
      <c r="J238" s="1687">
        <v>20000</v>
      </c>
      <c r="K238" s="2492">
        <f t="shared" si="47"/>
        <v>1200000</v>
      </c>
      <c r="L238" s="2109"/>
      <c r="M238" s="100"/>
      <c r="N238" s="2109"/>
      <c r="O238" s="2109"/>
      <c r="P238" s="2486"/>
      <c r="Q238" s="2488"/>
      <c r="R238" s="2101"/>
      <c r="S238" s="2102"/>
      <c r="T238" s="2489"/>
      <c r="U238" s="2102"/>
      <c r="V238" s="2102"/>
      <c r="W238" s="1794">
        <f t="shared" si="48"/>
        <v>1200000</v>
      </c>
      <c r="X238" s="1791">
        <f t="shared" si="49"/>
        <v>1200000</v>
      </c>
      <c r="Y238" s="2474"/>
      <c r="Z238" s="1794">
        <f t="shared" si="50"/>
        <v>1200000</v>
      </c>
      <c r="AA238" s="2497">
        <v>0.3</v>
      </c>
      <c r="AB238" s="2498"/>
      <c r="AC238" s="2491">
        <f t="shared" si="51"/>
        <v>3600</v>
      </c>
      <c r="AD238" s="2536"/>
      <c r="AH238" s="2482"/>
      <c r="AI238"/>
    </row>
    <row r="239" spans="1:35" x14ac:dyDescent="0.2">
      <c r="A239" s="2674">
        <v>114</v>
      </c>
      <c r="B239" s="2113">
        <v>67879</v>
      </c>
      <c r="C239" s="2100" t="s">
        <v>829</v>
      </c>
      <c r="D239" s="2114" t="s">
        <v>245</v>
      </c>
      <c r="E239" s="1508">
        <v>3</v>
      </c>
      <c r="F239" s="2485">
        <v>0</v>
      </c>
      <c r="G239" s="2109">
        <v>0</v>
      </c>
      <c r="H239" s="2486">
        <v>60</v>
      </c>
      <c r="I239" s="1794">
        <f t="shared" si="46"/>
        <v>60</v>
      </c>
      <c r="J239" s="1687">
        <v>20000</v>
      </c>
      <c r="K239" s="2492">
        <f t="shared" si="47"/>
        <v>1200000</v>
      </c>
      <c r="L239" s="2109"/>
      <c r="M239" s="100"/>
      <c r="N239" s="2109"/>
      <c r="O239" s="2109"/>
      <c r="P239" s="2486"/>
      <c r="Q239" s="2488"/>
      <c r="R239" s="2493"/>
      <c r="S239" s="2494"/>
      <c r="T239" s="2495"/>
      <c r="U239" s="2494"/>
      <c r="V239" s="2494"/>
      <c r="W239" s="1794">
        <f t="shared" si="48"/>
        <v>1200000</v>
      </c>
      <c r="X239" s="1791">
        <f t="shared" si="49"/>
        <v>1200000</v>
      </c>
      <c r="Y239" s="2496"/>
      <c r="Z239" s="1794">
        <f t="shared" si="50"/>
        <v>1200000</v>
      </c>
      <c r="AA239" s="2497">
        <v>0.3</v>
      </c>
      <c r="AB239" s="2498"/>
      <c r="AC239" s="2491">
        <f t="shared" si="51"/>
        <v>3600</v>
      </c>
      <c r="AD239" s="2536"/>
      <c r="AH239" s="2482"/>
      <c r="AI239"/>
    </row>
    <row r="240" spans="1:35" x14ac:dyDescent="0.2">
      <c r="A240" s="2674">
        <v>115</v>
      </c>
      <c r="B240" s="2113">
        <v>67880</v>
      </c>
      <c r="C240" s="2100" t="s">
        <v>830</v>
      </c>
      <c r="D240" s="2114" t="s">
        <v>245</v>
      </c>
      <c r="E240" s="1508">
        <v>3</v>
      </c>
      <c r="F240" s="2485">
        <v>0</v>
      </c>
      <c r="G240" s="2109">
        <v>0</v>
      </c>
      <c r="H240" s="2486">
        <v>68.5</v>
      </c>
      <c r="I240" s="1794">
        <f t="shared" si="46"/>
        <v>68.5</v>
      </c>
      <c r="J240" s="1687">
        <v>20000</v>
      </c>
      <c r="K240" s="2492">
        <f t="shared" si="47"/>
        <v>1370000</v>
      </c>
      <c r="L240" s="2109"/>
      <c r="M240" s="100"/>
      <c r="N240" s="2109"/>
      <c r="O240" s="2109"/>
      <c r="P240" s="2486"/>
      <c r="Q240" s="2488"/>
      <c r="R240" s="2493"/>
      <c r="S240" s="2494"/>
      <c r="T240" s="2495"/>
      <c r="U240" s="2494"/>
      <c r="V240" s="2494"/>
      <c r="W240" s="1794">
        <f t="shared" si="48"/>
        <v>1370000</v>
      </c>
      <c r="X240" s="1791">
        <f t="shared" si="49"/>
        <v>1370000</v>
      </c>
      <c r="Y240" s="2496"/>
      <c r="Z240" s="1794">
        <f t="shared" si="50"/>
        <v>1370000</v>
      </c>
      <c r="AA240" s="2497">
        <v>0.3</v>
      </c>
      <c r="AB240" s="2498"/>
      <c r="AC240" s="2491">
        <f t="shared" si="51"/>
        <v>4110</v>
      </c>
      <c r="AD240" s="2536"/>
      <c r="AH240" s="2482"/>
      <c r="AI240"/>
    </row>
    <row r="241" spans="1:35" x14ac:dyDescent="0.2">
      <c r="A241" s="2674">
        <v>116</v>
      </c>
      <c r="B241" s="2113">
        <v>67881</v>
      </c>
      <c r="C241" s="2100" t="s">
        <v>831</v>
      </c>
      <c r="D241" s="2114" t="s">
        <v>245</v>
      </c>
      <c r="E241" s="1508">
        <v>3</v>
      </c>
      <c r="F241" s="2472">
        <v>0</v>
      </c>
      <c r="G241" s="2113">
        <v>0</v>
      </c>
      <c r="H241" s="2477">
        <v>74.400000000000006</v>
      </c>
      <c r="I241" s="1794">
        <f t="shared" si="46"/>
        <v>74.400000000000006</v>
      </c>
      <c r="J241" s="1687">
        <v>20000</v>
      </c>
      <c r="K241" s="2492">
        <f t="shared" si="47"/>
        <v>1488000</v>
      </c>
      <c r="L241" s="2109"/>
      <c r="M241" s="100"/>
      <c r="N241" s="2109"/>
      <c r="O241" s="2109"/>
      <c r="P241" s="2486"/>
      <c r="Q241" s="2488"/>
      <c r="R241" s="2493"/>
      <c r="S241" s="2494"/>
      <c r="T241" s="2495"/>
      <c r="U241" s="2494"/>
      <c r="V241" s="2494"/>
      <c r="W241" s="1794">
        <f t="shared" si="48"/>
        <v>1488000</v>
      </c>
      <c r="X241" s="1791">
        <f t="shared" si="49"/>
        <v>1488000</v>
      </c>
      <c r="Y241" s="2496"/>
      <c r="Z241" s="1794">
        <f t="shared" si="50"/>
        <v>1488000</v>
      </c>
      <c r="AA241" s="2497">
        <v>0.3</v>
      </c>
      <c r="AB241" s="2498"/>
      <c r="AC241" s="2491">
        <f t="shared" si="51"/>
        <v>4464</v>
      </c>
      <c r="AD241" s="2536"/>
      <c r="AH241" s="2482"/>
      <c r="AI241"/>
    </row>
    <row r="242" spans="1:35" x14ac:dyDescent="0.2">
      <c r="A242" s="2674">
        <v>117</v>
      </c>
      <c r="B242" s="2113">
        <v>67882</v>
      </c>
      <c r="C242" s="2100" t="s">
        <v>832</v>
      </c>
      <c r="D242" s="2114" t="s">
        <v>245</v>
      </c>
      <c r="E242" s="1508">
        <v>3</v>
      </c>
      <c r="F242" s="2472">
        <v>0</v>
      </c>
      <c r="G242" s="2113">
        <v>0</v>
      </c>
      <c r="H242" s="2477">
        <v>98.3</v>
      </c>
      <c r="I242" s="1794">
        <f t="shared" si="46"/>
        <v>98.3</v>
      </c>
      <c r="J242" s="1687">
        <v>20000</v>
      </c>
      <c r="K242" s="2492">
        <f t="shared" si="47"/>
        <v>1966000</v>
      </c>
      <c r="L242" s="2109"/>
      <c r="M242" s="100"/>
      <c r="N242" s="2109"/>
      <c r="O242" s="2109"/>
      <c r="P242" s="2486"/>
      <c r="Q242" s="2488"/>
      <c r="R242" s="2493"/>
      <c r="S242" s="2494"/>
      <c r="T242" s="2495"/>
      <c r="U242" s="2494"/>
      <c r="V242" s="2494"/>
      <c r="W242" s="1794">
        <f t="shared" si="48"/>
        <v>1966000</v>
      </c>
      <c r="X242" s="1791">
        <f t="shared" si="49"/>
        <v>1966000</v>
      </c>
      <c r="Y242" s="2496"/>
      <c r="Z242" s="1794">
        <f t="shared" si="50"/>
        <v>1966000</v>
      </c>
      <c r="AA242" s="2497">
        <v>0.3</v>
      </c>
      <c r="AB242" s="2498"/>
      <c r="AC242" s="2491">
        <f t="shared" si="51"/>
        <v>5898</v>
      </c>
      <c r="AD242" s="2536"/>
      <c r="AH242" s="2482"/>
      <c r="AI242"/>
    </row>
    <row r="243" spans="1:35" x14ac:dyDescent="0.2">
      <c r="A243" s="2674">
        <v>118</v>
      </c>
      <c r="B243" s="2113">
        <v>67883</v>
      </c>
      <c r="C243" s="2100" t="s">
        <v>833</v>
      </c>
      <c r="D243" s="2114" t="s">
        <v>245</v>
      </c>
      <c r="E243" s="1508">
        <v>3</v>
      </c>
      <c r="F243" s="2472">
        <v>0</v>
      </c>
      <c r="G243" s="2113">
        <v>0</v>
      </c>
      <c r="H243" s="2477">
        <v>95.4</v>
      </c>
      <c r="I243" s="1794">
        <f t="shared" si="46"/>
        <v>95.4</v>
      </c>
      <c r="J243" s="1687">
        <v>20000</v>
      </c>
      <c r="K243" s="2492">
        <f t="shared" si="47"/>
        <v>1908000</v>
      </c>
      <c r="L243" s="2109"/>
      <c r="M243" s="100"/>
      <c r="N243" s="2109"/>
      <c r="O243" s="2109"/>
      <c r="P243" s="2486"/>
      <c r="Q243" s="2488"/>
      <c r="R243" s="2493"/>
      <c r="S243" s="2494"/>
      <c r="T243" s="2495"/>
      <c r="U243" s="2494"/>
      <c r="V243" s="2494"/>
      <c r="W243" s="1794">
        <f t="shared" si="48"/>
        <v>1908000</v>
      </c>
      <c r="X243" s="1791">
        <f t="shared" si="49"/>
        <v>1908000</v>
      </c>
      <c r="Y243" s="2496"/>
      <c r="Z243" s="1794">
        <f t="shared" si="50"/>
        <v>1908000</v>
      </c>
      <c r="AA243" s="2497">
        <v>0.3</v>
      </c>
      <c r="AB243" s="2498"/>
      <c r="AC243" s="2491">
        <f t="shared" si="51"/>
        <v>5724</v>
      </c>
      <c r="AD243" s="2536"/>
      <c r="AH243" s="2482"/>
      <c r="AI243"/>
    </row>
    <row r="244" spans="1:35" x14ac:dyDescent="0.2">
      <c r="A244" s="2674">
        <v>119</v>
      </c>
      <c r="B244" s="2113">
        <v>67884</v>
      </c>
      <c r="C244" s="2100" t="s">
        <v>834</v>
      </c>
      <c r="D244" s="2114" t="s">
        <v>245</v>
      </c>
      <c r="E244" s="1508">
        <v>3</v>
      </c>
      <c r="F244" s="2472">
        <v>0</v>
      </c>
      <c r="G244" s="2113">
        <v>0</v>
      </c>
      <c r="H244" s="2477">
        <v>63.4</v>
      </c>
      <c r="I244" s="1794">
        <f t="shared" si="46"/>
        <v>63.4</v>
      </c>
      <c r="J244" s="1687">
        <v>20000</v>
      </c>
      <c r="K244" s="2492">
        <f t="shared" si="47"/>
        <v>1268000</v>
      </c>
      <c r="L244" s="2109"/>
      <c r="M244" s="100"/>
      <c r="N244" s="2109"/>
      <c r="O244" s="2109"/>
      <c r="P244" s="2486"/>
      <c r="Q244" s="2488"/>
      <c r="R244" s="2493"/>
      <c r="S244" s="2494"/>
      <c r="T244" s="2495"/>
      <c r="U244" s="2494"/>
      <c r="V244" s="2494"/>
      <c r="W244" s="1794">
        <f t="shared" si="48"/>
        <v>1268000</v>
      </c>
      <c r="X244" s="1791">
        <f t="shared" si="49"/>
        <v>1268000</v>
      </c>
      <c r="Y244" s="2496"/>
      <c r="Z244" s="1794">
        <f t="shared" si="50"/>
        <v>1268000</v>
      </c>
      <c r="AA244" s="2497">
        <v>0.3</v>
      </c>
      <c r="AB244" s="2498"/>
      <c r="AC244" s="2491">
        <f t="shared" si="51"/>
        <v>3804</v>
      </c>
      <c r="AD244" s="2536"/>
      <c r="AH244" s="2482"/>
      <c r="AI244"/>
    </row>
    <row r="245" spans="1:35" x14ac:dyDescent="0.2">
      <c r="A245" s="2674">
        <v>120</v>
      </c>
      <c r="B245" s="2113">
        <v>67885</v>
      </c>
      <c r="C245" s="2100" t="s">
        <v>835</v>
      </c>
      <c r="D245" s="2114" t="s">
        <v>245</v>
      </c>
      <c r="E245" s="1508">
        <v>3</v>
      </c>
      <c r="F245" s="2472">
        <v>0</v>
      </c>
      <c r="G245" s="2113">
        <v>0</v>
      </c>
      <c r="H245" s="2477">
        <v>64.8</v>
      </c>
      <c r="I245" s="1794">
        <f t="shared" si="46"/>
        <v>64.8</v>
      </c>
      <c r="J245" s="1687">
        <v>20000</v>
      </c>
      <c r="K245" s="2492">
        <f t="shared" si="47"/>
        <v>1296000</v>
      </c>
      <c r="L245" s="2109"/>
      <c r="M245" s="100"/>
      <c r="N245" s="2109"/>
      <c r="O245" s="2109"/>
      <c r="P245" s="2486"/>
      <c r="Q245" s="2488"/>
      <c r="R245" s="2493"/>
      <c r="S245" s="2494"/>
      <c r="T245" s="2495"/>
      <c r="U245" s="2494"/>
      <c r="V245" s="2494"/>
      <c r="W245" s="1794">
        <f t="shared" si="48"/>
        <v>1296000</v>
      </c>
      <c r="X245" s="1791">
        <f t="shared" si="49"/>
        <v>1296000</v>
      </c>
      <c r="Y245" s="2496"/>
      <c r="Z245" s="1794">
        <f t="shared" si="50"/>
        <v>1296000</v>
      </c>
      <c r="AA245" s="2497">
        <v>0.3</v>
      </c>
      <c r="AB245" s="2498"/>
      <c r="AC245" s="2491">
        <f t="shared" si="51"/>
        <v>3888</v>
      </c>
      <c r="AD245" s="2536"/>
      <c r="AH245" s="2482"/>
      <c r="AI245"/>
    </row>
    <row r="246" spans="1:35" x14ac:dyDescent="0.2">
      <c r="A246" s="2674">
        <v>121</v>
      </c>
      <c r="B246" s="2113">
        <v>67886</v>
      </c>
      <c r="C246" s="2100" t="s">
        <v>836</v>
      </c>
      <c r="D246" s="2114" t="s">
        <v>245</v>
      </c>
      <c r="E246" s="1508">
        <v>3</v>
      </c>
      <c r="F246" s="2472">
        <v>0</v>
      </c>
      <c r="G246" s="2113">
        <v>0</v>
      </c>
      <c r="H246" s="2477">
        <v>66.099999999999994</v>
      </c>
      <c r="I246" s="1794">
        <f t="shared" si="46"/>
        <v>66.099999999999994</v>
      </c>
      <c r="J246" s="1687">
        <v>20000</v>
      </c>
      <c r="K246" s="2492">
        <f t="shared" si="47"/>
        <v>1322000</v>
      </c>
      <c r="L246" s="2109"/>
      <c r="M246" s="100"/>
      <c r="N246" s="2109"/>
      <c r="O246" s="2109"/>
      <c r="P246" s="2486"/>
      <c r="Q246" s="2488"/>
      <c r="R246" s="2493"/>
      <c r="S246" s="2494"/>
      <c r="T246" s="2495"/>
      <c r="U246" s="2494"/>
      <c r="V246" s="2494"/>
      <c r="W246" s="1794">
        <f t="shared" si="48"/>
        <v>1322000</v>
      </c>
      <c r="X246" s="1791">
        <f t="shared" si="49"/>
        <v>1322000</v>
      </c>
      <c r="Y246" s="2496"/>
      <c r="Z246" s="1794">
        <f t="shared" si="50"/>
        <v>1322000</v>
      </c>
      <c r="AA246" s="2497">
        <v>0.3</v>
      </c>
      <c r="AB246" s="2498"/>
      <c r="AC246" s="2491">
        <f t="shared" si="51"/>
        <v>3966</v>
      </c>
      <c r="AD246" s="2536"/>
      <c r="AH246" s="2482"/>
      <c r="AI246"/>
    </row>
    <row r="247" spans="1:35" x14ac:dyDescent="0.2">
      <c r="A247" s="2674">
        <v>122</v>
      </c>
      <c r="B247" s="2113">
        <v>67887</v>
      </c>
      <c r="C247" s="2100" t="s">
        <v>837</v>
      </c>
      <c r="D247" s="2114" t="s">
        <v>245</v>
      </c>
      <c r="E247" s="1508">
        <v>3</v>
      </c>
      <c r="F247" s="2472">
        <v>0</v>
      </c>
      <c r="G247" s="2113">
        <v>0</v>
      </c>
      <c r="H247" s="2477">
        <v>67.400000000000006</v>
      </c>
      <c r="I247" s="1794">
        <f t="shared" si="46"/>
        <v>67.400000000000006</v>
      </c>
      <c r="J247" s="1687">
        <v>20000</v>
      </c>
      <c r="K247" s="2492">
        <f t="shared" si="47"/>
        <v>1348000</v>
      </c>
      <c r="L247" s="2109"/>
      <c r="M247" s="100"/>
      <c r="N247" s="2109"/>
      <c r="O247" s="2109"/>
      <c r="P247" s="2486"/>
      <c r="Q247" s="2488"/>
      <c r="R247" s="2493"/>
      <c r="S247" s="2494"/>
      <c r="T247" s="2495"/>
      <c r="U247" s="2494"/>
      <c r="V247" s="2494"/>
      <c r="W247" s="1794">
        <f t="shared" si="48"/>
        <v>1348000</v>
      </c>
      <c r="X247" s="1791">
        <f t="shared" si="49"/>
        <v>1348000</v>
      </c>
      <c r="Y247" s="2496"/>
      <c r="Z247" s="1794">
        <f t="shared" si="50"/>
        <v>1348000</v>
      </c>
      <c r="AA247" s="2497">
        <v>0.3</v>
      </c>
      <c r="AB247" s="2498"/>
      <c r="AC247" s="2491">
        <f t="shared" si="51"/>
        <v>4044</v>
      </c>
      <c r="AD247" s="2536"/>
      <c r="AH247" s="2482"/>
      <c r="AI247"/>
    </row>
    <row r="248" spans="1:35" x14ac:dyDescent="0.2">
      <c r="A248" s="2674">
        <v>123</v>
      </c>
      <c r="B248" s="2113">
        <v>67888</v>
      </c>
      <c r="C248" s="2100" t="s">
        <v>838</v>
      </c>
      <c r="D248" s="2114" t="s">
        <v>245</v>
      </c>
      <c r="E248" s="1508">
        <v>3</v>
      </c>
      <c r="F248" s="2114">
        <v>0</v>
      </c>
      <c r="G248" s="2114">
        <v>0</v>
      </c>
      <c r="H248" s="2115">
        <v>92</v>
      </c>
      <c r="I248" s="1794">
        <f t="shared" si="46"/>
        <v>92</v>
      </c>
      <c r="J248" s="1687">
        <v>20000</v>
      </c>
      <c r="K248" s="2492">
        <f t="shared" si="47"/>
        <v>1840000</v>
      </c>
      <c r="L248" s="45"/>
      <c r="M248" s="61"/>
      <c r="N248" s="50"/>
      <c r="O248" s="1506"/>
      <c r="P248" s="19"/>
      <c r="Q248" s="62"/>
      <c r="R248" s="1718"/>
      <c r="S248" s="18"/>
      <c r="T248" s="20"/>
      <c r="U248" s="1664"/>
      <c r="V248" s="47"/>
      <c r="W248" s="1794">
        <f t="shared" si="48"/>
        <v>1840000</v>
      </c>
      <c r="X248" s="1791">
        <f t="shared" si="49"/>
        <v>1840000</v>
      </c>
      <c r="Y248" s="2474"/>
      <c r="Z248" s="1794">
        <f t="shared" si="50"/>
        <v>1840000</v>
      </c>
      <c r="AA248" s="2497">
        <v>0.3</v>
      </c>
      <c r="AB248" s="2498"/>
      <c r="AC248" s="2491">
        <f t="shared" si="51"/>
        <v>5520</v>
      </c>
      <c r="AD248" s="2536"/>
      <c r="AH248" s="2482"/>
      <c r="AI248"/>
    </row>
    <row r="249" spans="1:35" x14ac:dyDescent="0.2">
      <c r="A249" s="2674">
        <v>124</v>
      </c>
      <c r="B249" s="2113">
        <v>67889</v>
      </c>
      <c r="C249" s="2100" t="s">
        <v>839</v>
      </c>
      <c r="D249" s="2114" t="s">
        <v>245</v>
      </c>
      <c r="E249" s="1508">
        <v>3</v>
      </c>
      <c r="F249" s="2114">
        <v>0</v>
      </c>
      <c r="G249" s="2114">
        <v>0</v>
      </c>
      <c r="H249" s="2115">
        <v>75.2</v>
      </c>
      <c r="I249" s="1794">
        <f t="shared" si="46"/>
        <v>75.2</v>
      </c>
      <c r="J249" s="1687">
        <v>20000</v>
      </c>
      <c r="K249" s="2492">
        <f t="shared" si="47"/>
        <v>1504000</v>
      </c>
      <c r="L249" s="45"/>
      <c r="M249" s="61"/>
      <c r="N249" s="50"/>
      <c r="O249" s="1506"/>
      <c r="P249" s="19"/>
      <c r="Q249" s="62"/>
      <c r="R249" s="1718"/>
      <c r="S249" s="18"/>
      <c r="T249" s="20"/>
      <c r="U249" s="1664"/>
      <c r="V249" s="47"/>
      <c r="W249" s="1794">
        <f t="shared" si="48"/>
        <v>1504000</v>
      </c>
      <c r="X249" s="1791">
        <f t="shared" si="49"/>
        <v>1504000</v>
      </c>
      <c r="Y249" s="2474"/>
      <c r="Z249" s="1794">
        <f t="shared" si="50"/>
        <v>1504000</v>
      </c>
      <c r="AA249" s="2497">
        <v>0.3</v>
      </c>
      <c r="AB249" s="2498"/>
      <c r="AC249" s="2491">
        <f t="shared" si="51"/>
        <v>4512</v>
      </c>
      <c r="AD249" s="2536"/>
      <c r="AH249" s="2482"/>
      <c r="AI249"/>
    </row>
    <row r="250" spans="1:35" x14ac:dyDescent="0.2">
      <c r="A250" s="2674">
        <v>125</v>
      </c>
      <c r="B250" s="2113">
        <v>67890</v>
      </c>
      <c r="C250" s="2100" t="s">
        <v>840</v>
      </c>
      <c r="D250" s="2114" t="s">
        <v>245</v>
      </c>
      <c r="E250" s="1508">
        <v>3</v>
      </c>
      <c r="F250" s="2114">
        <v>0</v>
      </c>
      <c r="G250" s="2114">
        <v>1</v>
      </c>
      <c r="H250" s="2115">
        <v>7</v>
      </c>
      <c r="I250" s="1794">
        <f t="shared" si="46"/>
        <v>107</v>
      </c>
      <c r="J250" s="1687">
        <v>20000</v>
      </c>
      <c r="K250" s="2492">
        <f t="shared" si="47"/>
        <v>2140000</v>
      </c>
      <c r="L250" s="45"/>
      <c r="M250" s="61"/>
      <c r="N250" s="50"/>
      <c r="O250" s="1506"/>
      <c r="P250" s="19"/>
      <c r="Q250" s="62"/>
      <c r="R250" s="1718"/>
      <c r="S250" s="18"/>
      <c r="T250" s="20"/>
      <c r="U250" s="1664"/>
      <c r="V250" s="47"/>
      <c r="W250" s="1794">
        <f t="shared" si="48"/>
        <v>2140000</v>
      </c>
      <c r="X250" s="1791">
        <f t="shared" si="49"/>
        <v>2140000</v>
      </c>
      <c r="Y250" s="2474"/>
      <c r="Z250" s="1794">
        <f t="shared" si="50"/>
        <v>2140000</v>
      </c>
      <c r="AA250" s="2497">
        <v>0.3</v>
      </c>
      <c r="AB250" s="2498"/>
      <c r="AC250" s="2491">
        <f t="shared" si="51"/>
        <v>6420</v>
      </c>
      <c r="AD250" s="2536"/>
      <c r="AH250" s="2491"/>
      <c r="AI250"/>
    </row>
    <row r="251" spans="1:35" x14ac:dyDescent="0.2">
      <c r="A251" s="2674">
        <v>126</v>
      </c>
      <c r="B251" s="2113">
        <v>67624</v>
      </c>
      <c r="C251" s="2100" t="s">
        <v>841</v>
      </c>
      <c r="D251" s="2114" t="s">
        <v>245</v>
      </c>
      <c r="E251" s="1508">
        <v>3</v>
      </c>
      <c r="F251" s="2114">
        <v>0</v>
      </c>
      <c r="G251" s="2114">
        <v>0</v>
      </c>
      <c r="H251" s="2115">
        <v>73.5</v>
      </c>
      <c r="I251" s="1794">
        <f t="shared" si="46"/>
        <v>73.5</v>
      </c>
      <c r="J251" s="1687">
        <v>20000</v>
      </c>
      <c r="K251" s="2492">
        <f t="shared" si="47"/>
        <v>1470000</v>
      </c>
      <c r="L251" s="45"/>
      <c r="M251" s="61"/>
      <c r="N251" s="50"/>
      <c r="O251" s="1506"/>
      <c r="P251" s="19"/>
      <c r="Q251" s="62"/>
      <c r="R251" s="1718"/>
      <c r="S251" s="18"/>
      <c r="T251" s="20"/>
      <c r="U251" s="1664"/>
      <c r="V251" s="47"/>
      <c r="W251" s="1794">
        <f t="shared" si="48"/>
        <v>1470000</v>
      </c>
      <c r="X251" s="1791">
        <f t="shared" si="49"/>
        <v>1470000</v>
      </c>
      <c r="Y251" s="2474"/>
      <c r="Z251" s="1794">
        <f t="shared" si="50"/>
        <v>1470000</v>
      </c>
      <c r="AA251" s="2497">
        <v>0.3</v>
      </c>
      <c r="AB251" s="2498"/>
      <c r="AC251" s="2491">
        <f t="shared" si="51"/>
        <v>4410</v>
      </c>
      <c r="AD251" s="2536"/>
      <c r="AH251" s="2491"/>
      <c r="AI251"/>
    </row>
    <row r="252" spans="1:35" x14ac:dyDescent="0.2">
      <c r="A252" s="2674">
        <v>127</v>
      </c>
      <c r="B252" s="2113">
        <v>67625</v>
      </c>
      <c r="C252" s="2100" t="s">
        <v>842</v>
      </c>
      <c r="D252" s="2114" t="s">
        <v>245</v>
      </c>
      <c r="E252" s="1508">
        <v>3</v>
      </c>
      <c r="F252" s="2114">
        <v>0</v>
      </c>
      <c r="G252" s="2114">
        <v>0</v>
      </c>
      <c r="H252" s="2115">
        <v>78.5</v>
      </c>
      <c r="I252" s="1794">
        <f t="shared" si="46"/>
        <v>78.5</v>
      </c>
      <c r="J252" s="1687">
        <v>20000</v>
      </c>
      <c r="K252" s="2492">
        <f t="shared" si="47"/>
        <v>1570000</v>
      </c>
      <c r="L252" s="45"/>
      <c r="M252" s="61"/>
      <c r="N252" s="50"/>
      <c r="O252" s="1506"/>
      <c r="P252" s="19"/>
      <c r="Q252" s="62"/>
      <c r="R252" s="1718"/>
      <c r="S252" s="18"/>
      <c r="T252" s="20"/>
      <c r="U252" s="1664"/>
      <c r="V252" s="47"/>
      <c r="W252" s="1794">
        <f t="shared" si="48"/>
        <v>1570000</v>
      </c>
      <c r="X252" s="1791">
        <f t="shared" si="49"/>
        <v>1570000</v>
      </c>
      <c r="Y252" s="2474"/>
      <c r="Z252" s="1794">
        <f t="shared" si="50"/>
        <v>1570000</v>
      </c>
      <c r="AA252" s="2497">
        <v>0.3</v>
      </c>
      <c r="AB252" s="2498"/>
      <c r="AC252" s="2491">
        <f t="shared" si="51"/>
        <v>4710</v>
      </c>
      <c r="AD252" s="2536"/>
      <c r="AH252" s="2491"/>
      <c r="AI252"/>
    </row>
    <row r="253" spans="1:35" x14ac:dyDescent="0.2">
      <c r="A253" s="2674">
        <v>128</v>
      </c>
      <c r="B253" s="2113">
        <v>67626</v>
      </c>
      <c r="C253" s="2100" t="s">
        <v>843</v>
      </c>
      <c r="D253" s="2114" t="s">
        <v>245</v>
      </c>
      <c r="E253" s="1508">
        <v>3</v>
      </c>
      <c r="F253" s="2114">
        <v>0</v>
      </c>
      <c r="G253" s="2114">
        <v>0</v>
      </c>
      <c r="H253" s="2115">
        <v>68.400000000000006</v>
      </c>
      <c r="I253" s="1794">
        <f t="shared" si="46"/>
        <v>68.400000000000006</v>
      </c>
      <c r="J253" s="1687">
        <v>20000</v>
      </c>
      <c r="K253" s="2492">
        <f t="shared" si="47"/>
        <v>1368000</v>
      </c>
      <c r="L253" s="45"/>
      <c r="M253" s="61"/>
      <c r="N253" s="50"/>
      <c r="O253" s="1506"/>
      <c r="P253" s="19"/>
      <c r="Q253" s="62"/>
      <c r="R253" s="1718"/>
      <c r="S253" s="18"/>
      <c r="T253" s="20"/>
      <c r="U253" s="1664"/>
      <c r="V253" s="47"/>
      <c r="W253" s="1794">
        <f t="shared" si="48"/>
        <v>1368000</v>
      </c>
      <c r="X253" s="1791">
        <f t="shared" si="49"/>
        <v>1368000</v>
      </c>
      <c r="Y253" s="2474"/>
      <c r="Z253" s="1794">
        <f t="shared" si="50"/>
        <v>1368000</v>
      </c>
      <c r="AA253" s="2497">
        <v>0.3</v>
      </c>
      <c r="AB253" s="2498"/>
      <c r="AC253" s="2491">
        <f t="shared" si="51"/>
        <v>4104</v>
      </c>
      <c r="AD253" s="2536"/>
      <c r="AH253" s="2491"/>
      <c r="AI253"/>
    </row>
    <row r="254" spans="1:35" x14ac:dyDescent="0.2">
      <c r="A254" s="2674">
        <v>129</v>
      </c>
      <c r="B254" s="2113">
        <v>67627</v>
      </c>
      <c r="C254" s="2100" t="s">
        <v>844</v>
      </c>
      <c r="D254" s="2114" t="s">
        <v>245</v>
      </c>
      <c r="E254" s="1508">
        <v>3</v>
      </c>
      <c r="F254" s="2114">
        <v>0</v>
      </c>
      <c r="G254" s="2114">
        <v>0</v>
      </c>
      <c r="H254" s="2115">
        <v>56.8</v>
      </c>
      <c r="I254" s="1794">
        <f t="shared" si="46"/>
        <v>56.8</v>
      </c>
      <c r="J254" s="1687">
        <v>20000</v>
      </c>
      <c r="K254" s="2492">
        <f t="shared" si="47"/>
        <v>1136000</v>
      </c>
      <c r="L254" s="45"/>
      <c r="M254" s="61"/>
      <c r="N254" s="50"/>
      <c r="O254" s="1506"/>
      <c r="P254" s="19"/>
      <c r="Q254" s="62"/>
      <c r="R254" s="1718"/>
      <c r="S254" s="18"/>
      <c r="T254" s="20"/>
      <c r="U254" s="1664"/>
      <c r="V254" s="47"/>
      <c r="W254" s="1794">
        <f t="shared" si="48"/>
        <v>1136000</v>
      </c>
      <c r="X254" s="1791">
        <f t="shared" si="49"/>
        <v>1136000</v>
      </c>
      <c r="Y254" s="2474"/>
      <c r="Z254" s="1794">
        <f t="shared" si="50"/>
        <v>1136000</v>
      </c>
      <c r="AA254" s="2497">
        <v>0.3</v>
      </c>
      <c r="AB254" s="2498"/>
      <c r="AC254" s="2491">
        <f t="shared" si="51"/>
        <v>3408</v>
      </c>
      <c r="AD254" s="2536"/>
      <c r="AH254" s="2491"/>
      <c r="AI254"/>
    </row>
    <row r="255" spans="1:35" x14ac:dyDescent="0.2">
      <c r="A255" s="2674">
        <v>130</v>
      </c>
      <c r="B255" s="2113">
        <v>67628</v>
      </c>
      <c r="C255" s="2100" t="s">
        <v>845</v>
      </c>
      <c r="D255" s="2114" t="s">
        <v>245</v>
      </c>
      <c r="E255" s="1508">
        <v>3</v>
      </c>
      <c r="F255" s="2114">
        <v>0</v>
      </c>
      <c r="G255" s="2114">
        <v>0</v>
      </c>
      <c r="H255" s="2115">
        <v>56.8</v>
      </c>
      <c r="I255" s="1794">
        <f t="shared" si="46"/>
        <v>56.8</v>
      </c>
      <c r="J255" s="1687">
        <v>20000</v>
      </c>
      <c r="K255" s="2492">
        <f t="shared" si="47"/>
        <v>1136000</v>
      </c>
      <c r="L255" s="45"/>
      <c r="M255" s="61"/>
      <c r="N255" s="50"/>
      <c r="O255" s="1506"/>
      <c r="P255" s="19"/>
      <c r="Q255" s="62"/>
      <c r="R255" s="1718"/>
      <c r="S255" s="18"/>
      <c r="T255" s="20"/>
      <c r="U255" s="1664"/>
      <c r="V255" s="47"/>
      <c r="W255" s="1794">
        <f t="shared" si="48"/>
        <v>1136000</v>
      </c>
      <c r="X255" s="1791">
        <f t="shared" si="49"/>
        <v>1136000</v>
      </c>
      <c r="Y255" s="2474"/>
      <c r="Z255" s="1794">
        <f t="shared" si="50"/>
        <v>1136000</v>
      </c>
      <c r="AA255" s="2497">
        <v>0.3</v>
      </c>
      <c r="AB255" s="2498"/>
      <c r="AC255" s="2491">
        <f t="shared" si="51"/>
        <v>3408</v>
      </c>
      <c r="AD255" s="2536"/>
      <c r="AH255" s="2546"/>
      <c r="AI255"/>
    </row>
    <row r="256" spans="1:35" x14ac:dyDescent="0.2">
      <c r="A256" s="2674">
        <v>131</v>
      </c>
      <c r="B256" s="2113">
        <v>67629</v>
      </c>
      <c r="C256" s="2100" t="s">
        <v>846</v>
      </c>
      <c r="D256" s="2114" t="s">
        <v>245</v>
      </c>
      <c r="E256" s="1508">
        <v>3</v>
      </c>
      <c r="F256" s="2114">
        <v>0</v>
      </c>
      <c r="G256" s="2114">
        <v>0</v>
      </c>
      <c r="H256" s="2557">
        <v>56.7</v>
      </c>
      <c r="I256" s="1794">
        <f t="shared" si="46"/>
        <v>56.7</v>
      </c>
      <c r="J256" s="1687">
        <v>20000</v>
      </c>
      <c r="K256" s="2492">
        <f t="shared" si="47"/>
        <v>1134000</v>
      </c>
      <c r="L256" s="45"/>
      <c r="M256" s="61"/>
      <c r="N256" s="50"/>
      <c r="O256" s="1506"/>
      <c r="P256" s="19"/>
      <c r="Q256" s="62"/>
      <c r="R256" s="1718"/>
      <c r="S256" s="18"/>
      <c r="T256" s="20"/>
      <c r="U256" s="1664"/>
      <c r="V256" s="47"/>
      <c r="W256" s="1794">
        <f t="shared" si="48"/>
        <v>1134000</v>
      </c>
      <c r="X256" s="1791">
        <f t="shared" si="49"/>
        <v>1134000</v>
      </c>
      <c r="Y256" s="2474"/>
      <c r="Z256" s="1794">
        <f t="shared" si="50"/>
        <v>1134000</v>
      </c>
      <c r="AA256" s="2497">
        <v>0.3</v>
      </c>
      <c r="AB256" s="2498"/>
      <c r="AC256" s="2491">
        <f t="shared" si="51"/>
        <v>3402</v>
      </c>
      <c r="AD256" s="2536"/>
      <c r="AH256" s="2491"/>
      <c r="AI256"/>
    </row>
    <row r="257" spans="1:35" ht="15" thickBot="1" x14ac:dyDescent="0.25">
      <c r="A257" s="34"/>
      <c r="B257" s="34"/>
      <c r="C257" s="34"/>
      <c r="D257" s="34"/>
      <c r="E257" s="34"/>
      <c r="F257" s="34"/>
      <c r="G257" s="34"/>
      <c r="H257" s="35"/>
      <c r="I257" s="36"/>
      <c r="J257" s="37"/>
      <c r="K257" s="2562"/>
      <c r="L257" s="2562"/>
      <c r="M257" s="2562"/>
      <c r="N257" s="2562"/>
      <c r="O257" s="2562"/>
      <c r="P257" s="2562"/>
      <c r="Q257" s="2562"/>
      <c r="R257" s="2563"/>
      <c r="S257" s="2562"/>
      <c r="T257" s="38"/>
      <c r="U257" s="2564"/>
      <c r="V257" s="2562"/>
      <c r="W257" s="2670"/>
      <c r="X257" s="2671"/>
      <c r="Y257" s="2672"/>
      <c r="Z257" s="2612">
        <f>SUM(Z234:Z256)</f>
        <v>33432000</v>
      </c>
      <c r="AA257" s="2613"/>
      <c r="AB257" s="2613"/>
      <c r="AC257" s="2614">
        <f>SUM(AC234:AC256)</f>
        <v>100296</v>
      </c>
      <c r="AD257" s="2614">
        <f>SUM(AD234:AD256)</f>
        <v>0</v>
      </c>
      <c r="AE257" s="2614">
        <f>SUM(AE234:AE256)</f>
        <v>0</v>
      </c>
      <c r="AF257" s="2614">
        <f>SUM(AF234:AF256)</f>
        <v>0</v>
      </c>
      <c r="AG257" s="2614">
        <f>SUM(AG234:AG256)</f>
        <v>0</v>
      </c>
      <c r="AH257" s="2614"/>
      <c r="AI257"/>
    </row>
    <row r="258" spans="1:35" ht="16.5" thickTop="1" x14ac:dyDescent="0.25">
      <c r="A258" s="2847" t="s">
        <v>76</v>
      </c>
      <c r="B258" s="2847"/>
      <c r="C258" s="2848" t="s">
        <v>77</v>
      </c>
      <c r="D258" s="2848"/>
      <c r="E258" s="2848"/>
      <c r="F258" s="2848"/>
      <c r="G258" s="2848"/>
      <c r="H258" s="2848"/>
      <c r="I258" s="2567" t="s">
        <v>78</v>
      </c>
      <c r="J258" s="2567"/>
      <c r="K258" s="2567"/>
      <c r="L258" s="2567"/>
      <c r="M258" s="2567"/>
      <c r="N258" s="2567"/>
      <c r="AC258" s="2476"/>
      <c r="AI258"/>
    </row>
    <row r="259" spans="1:35" ht="15.75" x14ac:dyDescent="0.25">
      <c r="A259" s="2568"/>
      <c r="B259" s="2569"/>
      <c r="C259" s="2567"/>
      <c r="D259" s="2567"/>
      <c r="E259" s="2567"/>
      <c r="F259" s="2567"/>
      <c r="G259" s="2567"/>
      <c r="H259" s="2567"/>
      <c r="I259" s="2567" t="s">
        <v>79</v>
      </c>
      <c r="J259" s="2567"/>
      <c r="K259" s="2567"/>
      <c r="L259" s="2567"/>
      <c r="M259" s="2567"/>
      <c r="N259" s="2567"/>
      <c r="AC259" s="2476"/>
      <c r="AI259"/>
    </row>
    <row r="260" spans="1:35" ht="15.75" x14ac:dyDescent="0.25">
      <c r="A260" s="2568"/>
      <c r="B260" s="2569"/>
      <c r="C260" s="2567"/>
      <c r="D260" s="2567"/>
      <c r="E260" s="2567"/>
      <c r="F260" s="2567"/>
      <c r="G260" s="2567"/>
      <c r="H260" s="2567"/>
      <c r="I260" s="2567" t="s">
        <v>80</v>
      </c>
      <c r="J260" s="2567"/>
      <c r="K260" s="2567"/>
      <c r="L260" s="2567"/>
      <c r="M260" s="2567"/>
      <c r="N260" s="2567"/>
      <c r="AC260" s="2476"/>
      <c r="AI260"/>
    </row>
    <row r="261" spans="1:35" ht="15.75" x14ac:dyDescent="0.25">
      <c r="A261" s="2568"/>
      <c r="B261" s="2569"/>
      <c r="C261" s="2567"/>
      <c r="D261" s="2567"/>
      <c r="E261" s="2567"/>
      <c r="F261" s="2567"/>
      <c r="G261" s="2567"/>
      <c r="H261" s="2567"/>
      <c r="I261" s="2567" t="s">
        <v>81</v>
      </c>
      <c r="J261" s="2567"/>
      <c r="K261" s="2567"/>
      <c r="L261" s="2567"/>
      <c r="M261" s="2567"/>
      <c r="N261" s="2567"/>
      <c r="AC261" s="2476"/>
      <c r="AI261"/>
    </row>
    <row r="262" spans="1:35" ht="15.75" x14ac:dyDescent="0.25">
      <c r="A262" s="2568"/>
      <c r="B262" s="2569"/>
      <c r="C262" s="2567"/>
      <c r="D262" s="2567"/>
      <c r="E262" s="2567"/>
      <c r="F262" s="2567"/>
      <c r="G262" s="2567"/>
      <c r="H262" s="2567"/>
      <c r="I262" s="2567" t="s">
        <v>88</v>
      </c>
      <c r="J262" s="2567"/>
      <c r="K262" s="2567"/>
      <c r="L262" s="2567"/>
      <c r="M262" s="2567"/>
      <c r="N262" s="2567"/>
      <c r="AC262" s="2476"/>
      <c r="AI262"/>
    </row>
    <row r="263" spans="1:35" ht="15.75" x14ac:dyDescent="0.25">
      <c r="A263" s="2568"/>
      <c r="B263" s="2569"/>
      <c r="C263" s="2567"/>
      <c r="D263" s="2567"/>
      <c r="E263" s="2567"/>
      <c r="F263" s="2567"/>
      <c r="G263" s="2567"/>
      <c r="H263" s="2567"/>
      <c r="I263" s="2567"/>
      <c r="J263" s="2567"/>
      <c r="K263" s="2567"/>
      <c r="L263" s="2567"/>
      <c r="M263" s="2567"/>
      <c r="N263" s="2567"/>
      <c r="AC263" s="2476"/>
      <c r="AI263"/>
    </row>
    <row r="264" spans="1:35" ht="15.75" x14ac:dyDescent="0.25">
      <c r="A264" s="2568"/>
      <c r="B264" s="2569"/>
      <c r="C264" s="2567"/>
      <c r="D264" s="2567"/>
      <c r="E264" s="2567"/>
      <c r="F264" s="2567"/>
      <c r="G264" s="2567"/>
      <c r="H264" s="2567"/>
      <c r="I264" s="2567"/>
      <c r="J264" s="2567"/>
      <c r="K264" s="2567"/>
      <c r="L264" s="2567"/>
      <c r="M264" s="2567"/>
      <c r="N264" s="2567"/>
      <c r="AC264" s="2476"/>
      <c r="AI264"/>
    </row>
    <row r="265" spans="1:35" ht="15.75" x14ac:dyDescent="0.25">
      <c r="A265" s="2568"/>
      <c r="B265" s="2569"/>
      <c r="C265" s="2567"/>
      <c r="D265" s="2567"/>
      <c r="E265" s="2567"/>
      <c r="F265" s="2567"/>
      <c r="G265" s="2567"/>
      <c r="H265" s="2567"/>
      <c r="I265" s="2567"/>
      <c r="J265" s="2567"/>
      <c r="K265" s="2567"/>
      <c r="L265" s="2567"/>
      <c r="M265" s="2567"/>
      <c r="N265" s="2567"/>
      <c r="AC265" s="2476"/>
      <c r="AI265"/>
    </row>
    <row r="266" spans="1:35" ht="18.75" x14ac:dyDescent="0.25">
      <c r="A266" s="2568"/>
      <c r="B266" s="2569"/>
      <c r="C266" s="2567"/>
      <c r="D266" s="2567"/>
      <c r="E266" s="2567"/>
      <c r="F266" s="2567"/>
      <c r="G266" s="2567"/>
      <c r="H266" s="2567"/>
      <c r="I266" s="2567"/>
      <c r="J266" s="2567"/>
      <c r="K266" s="2567"/>
      <c r="L266" s="2567"/>
      <c r="M266" s="2567"/>
      <c r="N266" s="2567"/>
      <c r="AA266" s="2471" t="s">
        <v>0</v>
      </c>
      <c r="AB266" s="2471"/>
      <c r="AC266" s="2667"/>
      <c r="AD266" s="2471"/>
      <c r="AI266"/>
    </row>
    <row r="267" spans="1:35" ht="27.75" customHeight="1" x14ac:dyDescent="0.2">
      <c r="A267" s="2707" t="s">
        <v>1</v>
      </c>
      <c r="B267" s="2707"/>
      <c r="C267" s="2707"/>
      <c r="D267" s="2707"/>
      <c r="E267" s="2707"/>
      <c r="F267" s="2707"/>
      <c r="G267" s="2707"/>
      <c r="H267" s="2707"/>
      <c r="I267" s="2707"/>
      <c r="J267" s="2707"/>
      <c r="K267" s="2707"/>
      <c r="L267" s="2707"/>
      <c r="M267" s="2707"/>
      <c r="N267" s="2707"/>
      <c r="O267" s="2707"/>
      <c r="P267" s="2707"/>
      <c r="Q267" s="2707"/>
      <c r="R267" s="2707"/>
      <c r="S267" s="2707"/>
      <c r="T267" s="2707"/>
      <c r="U267" s="2707"/>
      <c r="V267" s="2707"/>
      <c r="W267" s="2707"/>
      <c r="X267" s="2707"/>
      <c r="Y267" s="2707"/>
      <c r="Z267" s="2707"/>
      <c r="AA267" s="2707"/>
      <c r="AB267" s="2707"/>
      <c r="AC267" s="2707"/>
      <c r="AI267"/>
    </row>
    <row r="268" spans="1:35" ht="18" x14ac:dyDescent="0.2">
      <c r="A268" s="2846" t="s">
        <v>984</v>
      </c>
      <c r="B268" s="2846"/>
      <c r="C268" s="2846"/>
      <c r="D268" s="2846"/>
      <c r="E268" s="2846"/>
      <c r="F268" s="2846"/>
      <c r="G268" s="2846"/>
      <c r="H268" s="2846"/>
      <c r="I268" s="2846"/>
      <c r="J268" s="2846"/>
      <c r="K268" s="2846"/>
      <c r="L268" s="2846"/>
      <c r="M268" s="2846"/>
      <c r="N268" s="2846"/>
      <c r="O268" s="2846"/>
      <c r="P268" s="2846"/>
      <c r="Q268" s="2846"/>
      <c r="R268" s="2846"/>
      <c r="S268" s="2846"/>
      <c r="T268" s="2846"/>
      <c r="U268" s="2846"/>
      <c r="V268" s="2846"/>
      <c r="W268" s="2846"/>
      <c r="X268" s="2846"/>
      <c r="Y268" s="2846"/>
      <c r="Z268" s="2846"/>
      <c r="AA268" s="2846"/>
      <c r="AB268" s="2846"/>
      <c r="AC268" s="2846"/>
      <c r="AD268" s="2192"/>
      <c r="AI268"/>
    </row>
    <row r="269" spans="1:35" ht="15" x14ac:dyDescent="0.25">
      <c r="A269" s="2709" t="s">
        <v>2</v>
      </c>
      <c r="B269" s="2572"/>
      <c r="C269" s="2709" t="s">
        <v>3</v>
      </c>
      <c r="D269" s="2572"/>
      <c r="E269" s="2572"/>
      <c r="F269" s="2712" t="s">
        <v>4</v>
      </c>
      <c r="G269" s="2712"/>
      <c r="H269" s="2712"/>
      <c r="I269" s="2713"/>
      <c r="J269" s="2713"/>
      <c r="K269" s="2714"/>
      <c r="L269" s="2"/>
      <c r="M269" s="2715" t="s">
        <v>5</v>
      </c>
      <c r="N269" s="2715"/>
      <c r="O269" s="2715"/>
      <c r="P269" s="2715"/>
      <c r="Q269" s="2716"/>
      <c r="R269" s="2716"/>
      <c r="S269" s="2716"/>
      <c r="T269" s="2716"/>
      <c r="U269" s="2716"/>
      <c r="V269" s="2717"/>
      <c r="W269" s="2573" t="s">
        <v>6</v>
      </c>
      <c r="X269" s="2574" t="s">
        <v>7</v>
      </c>
      <c r="Y269" s="2575"/>
      <c r="Z269" s="2575"/>
      <c r="AA269" s="2574"/>
      <c r="AB269" s="2574"/>
      <c r="AC269" s="2576"/>
      <c r="AD269" s="2221" t="s">
        <v>8</v>
      </c>
      <c r="AH269" s="2845" t="s">
        <v>76</v>
      </c>
      <c r="AI269"/>
    </row>
    <row r="270" spans="1:35" x14ac:dyDescent="0.2">
      <c r="A270" s="2710"/>
      <c r="B270" s="4"/>
      <c r="C270" s="2710"/>
      <c r="D270" s="2577" t="s">
        <v>9</v>
      </c>
      <c r="E270" s="2578" t="s">
        <v>10</v>
      </c>
      <c r="F270" s="2718" t="s">
        <v>11</v>
      </c>
      <c r="G270" s="2713"/>
      <c r="H270" s="2714"/>
      <c r="I270" s="2572"/>
      <c r="J270" s="2579" t="s">
        <v>12</v>
      </c>
      <c r="K270" s="2572"/>
      <c r="L270" s="2715" t="s">
        <v>2</v>
      </c>
      <c r="M270" s="2580"/>
      <c r="N270" s="2580"/>
      <c r="O270" s="2580"/>
      <c r="P270" s="2581"/>
      <c r="Q270" s="2582" t="s">
        <v>13</v>
      </c>
      <c r="R270" s="2583" t="s">
        <v>12</v>
      </c>
      <c r="S270" s="2580" t="s">
        <v>6</v>
      </c>
      <c r="T270" s="2724" t="s">
        <v>14</v>
      </c>
      <c r="U270" s="2725"/>
      <c r="V270" s="2584" t="s">
        <v>7</v>
      </c>
      <c r="W270" s="2585" t="s">
        <v>15</v>
      </c>
      <c r="X270" s="2586" t="s">
        <v>16</v>
      </c>
      <c r="Y270" s="2586" t="s">
        <v>17</v>
      </c>
      <c r="Z270" s="2586" t="s">
        <v>18</v>
      </c>
      <c r="AA270" s="5"/>
      <c r="AB270" s="5"/>
      <c r="AC270" s="55" t="s">
        <v>19</v>
      </c>
      <c r="AD270" s="2223" t="s">
        <v>20</v>
      </c>
      <c r="AH270" s="2845"/>
      <c r="AI270"/>
    </row>
    <row r="271" spans="1:35" x14ac:dyDescent="0.2">
      <c r="A271" s="2710"/>
      <c r="B271" s="2454" t="s">
        <v>23</v>
      </c>
      <c r="C271" s="2710"/>
      <c r="D271" s="2577" t="s">
        <v>24</v>
      </c>
      <c r="E271" s="2578" t="s">
        <v>25</v>
      </c>
      <c r="F271" s="2719"/>
      <c r="G271" s="2720"/>
      <c r="H271" s="2721"/>
      <c r="I271" s="2577" t="s">
        <v>26</v>
      </c>
      <c r="J271" s="2587" t="s">
        <v>15</v>
      </c>
      <c r="K271" s="2588" t="s">
        <v>6</v>
      </c>
      <c r="L271" s="2722"/>
      <c r="M271" s="2589" t="s">
        <v>27</v>
      </c>
      <c r="N271" s="2589" t="s">
        <v>10</v>
      </c>
      <c r="O271" s="2590" t="s">
        <v>10</v>
      </c>
      <c r="P271" s="2591" t="s">
        <v>28</v>
      </c>
      <c r="Q271" s="2592" t="s">
        <v>29</v>
      </c>
      <c r="R271" s="2591" t="s">
        <v>15</v>
      </c>
      <c r="S271" s="8" t="s">
        <v>15</v>
      </c>
      <c r="T271" s="2726"/>
      <c r="U271" s="2727"/>
      <c r="V271" s="2584" t="s">
        <v>30</v>
      </c>
      <c r="W271" s="2585" t="s">
        <v>31</v>
      </c>
      <c r="X271" s="2586" t="s">
        <v>30</v>
      </c>
      <c r="Y271" s="2586" t="s">
        <v>32</v>
      </c>
      <c r="Z271" s="2586" t="s">
        <v>7</v>
      </c>
      <c r="AA271" s="5" t="s">
        <v>33</v>
      </c>
      <c r="AB271" s="5"/>
      <c r="AC271" s="55" t="s">
        <v>34</v>
      </c>
      <c r="AD271" s="2223" t="s">
        <v>35</v>
      </c>
      <c r="AH271" s="2845"/>
      <c r="AI271"/>
    </row>
    <row r="272" spans="1:35" x14ac:dyDescent="0.2">
      <c r="A272" s="2710"/>
      <c r="B272" s="2454" t="s">
        <v>39</v>
      </c>
      <c r="C272" s="2710"/>
      <c r="D272" s="2577" t="s">
        <v>40</v>
      </c>
      <c r="E272" s="2578" t="s">
        <v>41</v>
      </c>
      <c r="F272" s="2709" t="s">
        <v>42</v>
      </c>
      <c r="G272" s="2709" t="s">
        <v>43</v>
      </c>
      <c r="H272" s="2728" t="s">
        <v>44</v>
      </c>
      <c r="I272" s="2577" t="s">
        <v>45</v>
      </c>
      <c r="J272" s="2587" t="s">
        <v>46</v>
      </c>
      <c r="K272" s="2588" t="s">
        <v>47</v>
      </c>
      <c r="L272" s="2722"/>
      <c r="M272" s="2589" t="s">
        <v>30</v>
      </c>
      <c r="N272" s="2589" t="s">
        <v>30</v>
      </c>
      <c r="O272" s="2590" t="s">
        <v>25</v>
      </c>
      <c r="P272" s="2591" t="s">
        <v>30</v>
      </c>
      <c r="Q272" s="2592" t="s">
        <v>48</v>
      </c>
      <c r="R272" s="2591" t="s">
        <v>49</v>
      </c>
      <c r="S272" s="8" t="s">
        <v>30</v>
      </c>
      <c r="T272" s="2593" t="s">
        <v>50</v>
      </c>
      <c r="U272" s="2594" t="s">
        <v>13</v>
      </c>
      <c r="V272" s="2584" t="s">
        <v>51</v>
      </c>
      <c r="W272" s="2585" t="s">
        <v>52</v>
      </c>
      <c r="X272" s="2586" t="s">
        <v>53</v>
      </c>
      <c r="Y272" s="2586" t="s">
        <v>54</v>
      </c>
      <c r="Z272" s="2586" t="s">
        <v>55</v>
      </c>
      <c r="AA272" s="5" t="s">
        <v>56</v>
      </c>
      <c r="AB272" s="5"/>
      <c r="AC272" s="55" t="s">
        <v>57</v>
      </c>
      <c r="AD272" s="6" t="s">
        <v>58</v>
      </c>
      <c r="AH272" s="2845"/>
      <c r="AI272"/>
    </row>
    <row r="273" spans="1:35" ht="15" x14ac:dyDescent="0.25">
      <c r="A273" s="2710"/>
      <c r="B273" s="2454" t="s">
        <v>61</v>
      </c>
      <c r="C273" s="2710"/>
      <c r="D273" s="2577" t="s">
        <v>62</v>
      </c>
      <c r="E273" s="2578" t="s">
        <v>63</v>
      </c>
      <c r="F273" s="2710"/>
      <c r="G273" s="2710"/>
      <c r="H273" s="2729"/>
      <c r="I273" s="2577" t="s">
        <v>64</v>
      </c>
      <c r="J273" s="2587" t="s">
        <v>59</v>
      </c>
      <c r="K273" s="2588" t="s">
        <v>59</v>
      </c>
      <c r="L273" s="2722"/>
      <c r="M273" s="2589"/>
      <c r="N273" s="2589"/>
      <c r="O273" s="2590" t="s">
        <v>41</v>
      </c>
      <c r="P273" s="2591" t="s">
        <v>65</v>
      </c>
      <c r="Q273" s="2592" t="s">
        <v>66</v>
      </c>
      <c r="R273" s="2591" t="s">
        <v>67</v>
      </c>
      <c r="S273" s="8" t="s">
        <v>59</v>
      </c>
      <c r="T273" s="2595" t="s">
        <v>68</v>
      </c>
      <c r="U273" s="2584" t="s">
        <v>14</v>
      </c>
      <c r="V273" s="2584" t="s">
        <v>14</v>
      </c>
      <c r="W273" s="2585" t="s">
        <v>30</v>
      </c>
      <c r="X273" s="2596" t="s">
        <v>69</v>
      </c>
      <c r="Y273" s="2596" t="s">
        <v>70</v>
      </c>
      <c r="Z273" s="2586" t="s">
        <v>71</v>
      </c>
      <c r="AA273" s="5" t="s">
        <v>72</v>
      </c>
      <c r="AB273" s="5"/>
      <c r="AC273" s="2597" t="s">
        <v>59</v>
      </c>
      <c r="AD273" s="6" t="s">
        <v>59</v>
      </c>
      <c r="AH273" s="2845"/>
      <c r="AI273"/>
    </row>
    <row r="274" spans="1:35" x14ac:dyDescent="0.2">
      <c r="A274" s="2711"/>
      <c r="B274" s="9"/>
      <c r="C274" s="2711"/>
      <c r="D274" s="2598"/>
      <c r="E274" s="2599"/>
      <c r="F274" s="9"/>
      <c r="G274" s="9"/>
      <c r="H274" s="10"/>
      <c r="I274" s="2599"/>
      <c r="J274" s="2600"/>
      <c r="K274" s="2601"/>
      <c r="L274" s="2723"/>
      <c r="M274" s="2602"/>
      <c r="N274" s="2602"/>
      <c r="O274" s="2602" t="s">
        <v>63</v>
      </c>
      <c r="P274" s="2603"/>
      <c r="Q274" s="2604" t="s">
        <v>72</v>
      </c>
      <c r="R274" s="2605" t="s">
        <v>59</v>
      </c>
      <c r="S274" s="2606"/>
      <c r="T274" s="2605" t="s">
        <v>73</v>
      </c>
      <c r="U274" s="2606" t="s">
        <v>59</v>
      </c>
      <c r="V274" s="2607" t="s">
        <v>59</v>
      </c>
      <c r="W274" s="2608" t="s">
        <v>59</v>
      </c>
      <c r="X274" s="2609" t="s">
        <v>59</v>
      </c>
      <c r="Y274" s="2609" t="s">
        <v>59</v>
      </c>
      <c r="Z274" s="2609" t="s">
        <v>59</v>
      </c>
      <c r="AA274" s="11"/>
      <c r="AB274" s="11"/>
      <c r="AC274" s="56"/>
      <c r="AD274" s="12"/>
      <c r="AH274" s="2845"/>
      <c r="AI274"/>
    </row>
    <row r="275" spans="1:35" x14ac:dyDescent="0.2">
      <c r="A275" s="2674">
        <v>132</v>
      </c>
      <c r="B275" s="2113">
        <v>67630</v>
      </c>
      <c r="C275" s="2100" t="s">
        <v>847</v>
      </c>
      <c r="D275" s="2114" t="s">
        <v>245</v>
      </c>
      <c r="E275" s="1508">
        <v>3</v>
      </c>
      <c r="F275" s="2114">
        <v>0</v>
      </c>
      <c r="G275" s="2114">
        <v>0</v>
      </c>
      <c r="H275" s="2557">
        <v>56.6</v>
      </c>
      <c r="I275" s="1794">
        <f t="shared" ref="I275:I293" si="52">F275*400+G275*100+H275</f>
        <v>56.6</v>
      </c>
      <c r="J275" s="1687">
        <v>20000</v>
      </c>
      <c r="K275" s="2492">
        <f t="shared" ref="K275:K293" si="53">SUM(I275*J275)</f>
        <v>1132000</v>
      </c>
      <c r="L275" s="45"/>
      <c r="M275" s="61"/>
      <c r="N275" s="50"/>
      <c r="O275" s="1506"/>
      <c r="P275" s="19"/>
      <c r="Q275" s="62"/>
      <c r="R275" s="1718"/>
      <c r="S275" s="18"/>
      <c r="T275" s="20"/>
      <c r="U275" s="1664"/>
      <c r="V275" s="47"/>
      <c r="W275" s="1794">
        <f t="shared" ref="W275:W293" si="54">+K275</f>
        <v>1132000</v>
      </c>
      <c r="X275" s="1791">
        <f t="shared" ref="X275:X293" si="55">+W275</f>
        <v>1132000</v>
      </c>
      <c r="Y275" s="2474"/>
      <c r="Z275" s="1794">
        <f t="shared" ref="Z275:Z293" si="56">+X275</f>
        <v>1132000</v>
      </c>
      <c r="AA275" s="2497">
        <v>0.3</v>
      </c>
      <c r="AB275" s="2498"/>
      <c r="AC275" s="2491">
        <f t="shared" ref="AC275:AC293" si="57">+Z275*AA275/100</f>
        <v>3396</v>
      </c>
      <c r="AD275" s="2540"/>
      <c r="AH275" s="2482"/>
      <c r="AI275"/>
    </row>
    <row r="276" spans="1:35" x14ac:dyDescent="0.2">
      <c r="A276" s="2674">
        <v>133</v>
      </c>
      <c r="B276" s="2113">
        <v>67631</v>
      </c>
      <c r="C276" s="2100" t="s">
        <v>848</v>
      </c>
      <c r="D276" s="2114" t="s">
        <v>245</v>
      </c>
      <c r="E276" s="1508">
        <v>3</v>
      </c>
      <c r="F276" s="2114">
        <v>0</v>
      </c>
      <c r="G276" s="2114">
        <v>0</v>
      </c>
      <c r="H276" s="2559">
        <v>56.5</v>
      </c>
      <c r="I276" s="1794">
        <f t="shared" si="52"/>
        <v>56.5</v>
      </c>
      <c r="J276" s="1687">
        <v>20000</v>
      </c>
      <c r="K276" s="2492">
        <f t="shared" si="53"/>
        <v>1130000</v>
      </c>
      <c r="L276" s="45"/>
      <c r="M276" s="61"/>
      <c r="N276" s="50"/>
      <c r="O276" s="1506"/>
      <c r="P276" s="19"/>
      <c r="Q276" s="62"/>
      <c r="R276" s="1718"/>
      <c r="S276" s="18"/>
      <c r="T276" s="20"/>
      <c r="U276" s="1664"/>
      <c r="V276" s="47"/>
      <c r="W276" s="1794">
        <f t="shared" si="54"/>
        <v>1130000</v>
      </c>
      <c r="X276" s="1791">
        <f t="shared" si="55"/>
        <v>1130000</v>
      </c>
      <c r="Y276" s="2474"/>
      <c r="Z276" s="1794">
        <f t="shared" si="56"/>
        <v>1130000</v>
      </c>
      <c r="AA276" s="2497">
        <v>0.3</v>
      </c>
      <c r="AB276" s="2498"/>
      <c r="AC276" s="2491">
        <f t="shared" si="57"/>
        <v>3390</v>
      </c>
      <c r="AD276" s="2558"/>
      <c r="AH276" s="2482"/>
      <c r="AI276"/>
    </row>
    <row r="277" spans="1:35" x14ac:dyDescent="0.2">
      <c r="A277" s="2674">
        <v>134</v>
      </c>
      <c r="B277" s="2113">
        <v>67632</v>
      </c>
      <c r="C277" s="2100" t="s">
        <v>849</v>
      </c>
      <c r="D277" s="2114" t="s">
        <v>245</v>
      </c>
      <c r="E277" s="1508">
        <v>3</v>
      </c>
      <c r="F277" s="2114">
        <v>0</v>
      </c>
      <c r="G277" s="2114">
        <v>0</v>
      </c>
      <c r="H277" s="2559">
        <v>56.5</v>
      </c>
      <c r="I277" s="1794">
        <f t="shared" si="52"/>
        <v>56.5</v>
      </c>
      <c r="J277" s="1687">
        <v>20000</v>
      </c>
      <c r="K277" s="2492">
        <f t="shared" si="53"/>
        <v>1130000</v>
      </c>
      <c r="L277" s="45"/>
      <c r="M277" s="61"/>
      <c r="N277" s="50"/>
      <c r="O277" s="1506"/>
      <c r="P277" s="19"/>
      <c r="Q277" s="62"/>
      <c r="R277" s="1718"/>
      <c r="S277" s="18"/>
      <c r="T277" s="20"/>
      <c r="U277" s="1664"/>
      <c r="V277" s="47"/>
      <c r="W277" s="1794">
        <f t="shared" si="54"/>
        <v>1130000</v>
      </c>
      <c r="X277" s="1791">
        <f t="shared" si="55"/>
        <v>1130000</v>
      </c>
      <c r="Y277" s="2474"/>
      <c r="Z277" s="1794">
        <f t="shared" si="56"/>
        <v>1130000</v>
      </c>
      <c r="AA277" s="2497">
        <v>0.3</v>
      </c>
      <c r="AB277" s="2498"/>
      <c r="AC277" s="2491">
        <f t="shared" si="57"/>
        <v>3390</v>
      </c>
      <c r="AD277" s="2558"/>
      <c r="AH277" s="2482"/>
      <c r="AI277"/>
    </row>
    <row r="278" spans="1:35" x14ac:dyDescent="0.2">
      <c r="A278" s="2674">
        <v>135</v>
      </c>
      <c r="B278" s="2113">
        <v>67633</v>
      </c>
      <c r="C278" s="2100" t="s">
        <v>850</v>
      </c>
      <c r="D278" s="2114" t="s">
        <v>245</v>
      </c>
      <c r="E278" s="1508">
        <v>3</v>
      </c>
      <c r="F278" s="2485">
        <v>0</v>
      </c>
      <c r="G278" s="2109">
        <v>0</v>
      </c>
      <c r="H278" s="2486">
        <v>56.4</v>
      </c>
      <c r="I278" s="1794">
        <f t="shared" si="52"/>
        <v>56.4</v>
      </c>
      <c r="J278" s="1687">
        <v>20000</v>
      </c>
      <c r="K278" s="2492">
        <f t="shared" si="53"/>
        <v>1128000</v>
      </c>
      <c r="L278" s="2109"/>
      <c r="M278" s="100"/>
      <c r="N278" s="2109"/>
      <c r="O278" s="2109"/>
      <c r="P278" s="2486"/>
      <c r="Q278" s="2488"/>
      <c r="R278" s="2101"/>
      <c r="S278" s="2102"/>
      <c r="T278" s="2489"/>
      <c r="U278" s="2102"/>
      <c r="V278" s="2102"/>
      <c r="W278" s="1794">
        <f t="shared" si="54"/>
        <v>1128000</v>
      </c>
      <c r="X278" s="1791">
        <f t="shared" si="55"/>
        <v>1128000</v>
      </c>
      <c r="Y278" s="2474"/>
      <c r="Z278" s="1794">
        <f t="shared" si="56"/>
        <v>1128000</v>
      </c>
      <c r="AA278" s="2497">
        <v>0.3</v>
      </c>
      <c r="AB278" s="2498"/>
      <c r="AC278" s="2491">
        <f t="shared" si="57"/>
        <v>3384</v>
      </c>
      <c r="AD278" s="2535"/>
      <c r="AH278" s="2482"/>
      <c r="AI278"/>
    </row>
    <row r="279" spans="1:35" x14ac:dyDescent="0.2">
      <c r="A279" s="2674">
        <v>136</v>
      </c>
      <c r="B279" s="2113">
        <v>67634</v>
      </c>
      <c r="C279" s="2100" t="s">
        <v>851</v>
      </c>
      <c r="D279" s="2114" t="s">
        <v>245</v>
      </c>
      <c r="E279" s="1508">
        <v>3</v>
      </c>
      <c r="F279" s="2485">
        <v>0</v>
      </c>
      <c r="G279" s="2109">
        <v>0</v>
      </c>
      <c r="H279" s="2486">
        <v>56.3</v>
      </c>
      <c r="I279" s="1794">
        <f t="shared" si="52"/>
        <v>56.3</v>
      </c>
      <c r="J279" s="1687">
        <v>20000</v>
      </c>
      <c r="K279" s="2492">
        <f t="shared" si="53"/>
        <v>1126000</v>
      </c>
      <c r="L279" s="2109"/>
      <c r="M279" s="100"/>
      <c r="N279" s="2109"/>
      <c r="O279" s="2109"/>
      <c r="P279" s="2486"/>
      <c r="Q279" s="2488"/>
      <c r="R279" s="2101"/>
      <c r="S279" s="2102"/>
      <c r="T279" s="2489"/>
      <c r="U279" s="2102"/>
      <c r="V279" s="2102"/>
      <c r="W279" s="1794">
        <f t="shared" si="54"/>
        <v>1126000</v>
      </c>
      <c r="X279" s="1791">
        <f t="shared" si="55"/>
        <v>1126000</v>
      </c>
      <c r="Y279" s="2474"/>
      <c r="Z279" s="1794">
        <f t="shared" si="56"/>
        <v>1126000</v>
      </c>
      <c r="AA279" s="2497">
        <v>0.3</v>
      </c>
      <c r="AB279" s="2498"/>
      <c r="AC279" s="2491">
        <f t="shared" si="57"/>
        <v>3378</v>
      </c>
      <c r="AD279" s="2536"/>
      <c r="AH279" s="2482"/>
      <c r="AI279"/>
    </row>
    <row r="280" spans="1:35" x14ac:dyDescent="0.2">
      <c r="A280" s="2674">
        <v>137</v>
      </c>
      <c r="B280" s="2113">
        <v>67635</v>
      </c>
      <c r="C280" s="2100" t="s">
        <v>852</v>
      </c>
      <c r="D280" s="2114" t="s">
        <v>245</v>
      </c>
      <c r="E280" s="1508">
        <v>3</v>
      </c>
      <c r="F280" s="2485">
        <v>0</v>
      </c>
      <c r="G280" s="2109">
        <v>0</v>
      </c>
      <c r="H280" s="2486">
        <v>74.8</v>
      </c>
      <c r="I280" s="1794">
        <f t="shared" si="52"/>
        <v>74.8</v>
      </c>
      <c r="J280" s="1687">
        <v>20000</v>
      </c>
      <c r="K280" s="2492">
        <f t="shared" si="53"/>
        <v>1496000</v>
      </c>
      <c r="L280" s="2109"/>
      <c r="M280" s="100"/>
      <c r="N280" s="2109"/>
      <c r="O280" s="2109"/>
      <c r="P280" s="2486"/>
      <c r="Q280" s="2488"/>
      <c r="R280" s="2493"/>
      <c r="S280" s="2494"/>
      <c r="T280" s="2495"/>
      <c r="U280" s="2494"/>
      <c r="V280" s="2494"/>
      <c r="W280" s="1794">
        <f t="shared" si="54"/>
        <v>1496000</v>
      </c>
      <c r="X280" s="1791">
        <f t="shared" si="55"/>
        <v>1496000</v>
      </c>
      <c r="Y280" s="2496"/>
      <c r="Z280" s="1794">
        <f t="shared" si="56"/>
        <v>1496000</v>
      </c>
      <c r="AA280" s="2497">
        <v>0.3</v>
      </c>
      <c r="AB280" s="2498"/>
      <c r="AC280" s="2491">
        <f t="shared" si="57"/>
        <v>4488</v>
      </c>
      <c r="AD280" s="2536"/>
      <c r="AH280" s="2482"/>
      <c r="AI280"/>
    </row>
    <row r="281" spans="1:35" x14ac:dyDescent="0.2">
      <c r="A281" s="2674">
        <v>138</v>
      </c>
      <c r="B281" s="2113">
        <v>67636</v>
      </c>
      <c r="C281" s="2100" t="s">
        <v>853</v>
      </c>
      <c r="D281" s="2114" t="s">
        <v>245</v>
      </c>
      <c r="E281" s="1508">
        <v>3</v>
      </c>
      <c r="F281" s="2485">
        <v>0</v>
      </c>
      <c r="G281" s="2109">
        <v>0</v>
      </c>
      <c r="H281" s="2486">
        <v>65.7</v>
      </c>
      <c r="I281" s="1794">
        <f t="shared" si="52"/>
        <v>65.7</v>
      </c>
      <c r="J281" s="1687">
        <v>20000</v>
      </c>
      <c r="K281" s="2492">
        <f t="shared" si="53"/>
        <v>1314000</v>
      </c>
      <c r="L281" s="2109"/>
      <c r="M281" s="100"/>
      <c r="N281" s="2109"/>
      <c r="O281" s="2109"/>
      <c r="P281" s="2486"/>
      <c r="Q281" s="2488"/>
      <c r="R281" s="2493"/>
      <c r="S281" s="2494"/>
      <c r="T281" s="2495"/>
      <c r="U281" s="2494"/>
      <c r="V281" s="2494"/>
      <c r="W281" s="1794">
        <f t="shared" si="54"/>
        <v>1314000</v>
      </c>
      <c r="X281" s="1791">
        <f t="shared" si="55"/>
        <v>1314000</v>
      </c>
      <c r="Y281" s="2496"/>
      <c r="Z281" s="1794">
        <f t="shared" si="56"/>
        <v>1314000</v>
      </c>
      <c r="AA281" s="2497">
        <v>0.3</v>
      </c>
      <c r="AB281" s="2498"/>
      <c r="AC281" s="2491">
        <f t="shared" si="57"/>
        <v>3942</v>
      </c>
      <c r="AD281" s="2536"/>
      <c r="AH281" s="2482"/>
      <c r="AI281"/>
    </row>
    <row r="282" spans="1:35" x14ac:dyDescent="0.2">
      <c r="A282" s="2674">
        <v>139</v>
      </c>
      <c r="B282" s="2113">
        <v>67637</v>
      </c>
      <c r="C282" s="2100" t="s">
        <v>854</v>
      </c>
      <c r="D282" s="2114" t="s">
        <v>245</v>
      </c>
      <c r="E282" s="1508">
        <v>3</v>
      </c>
      <c r="F282" s="2472">
        <v>0</v>
      </c>
      <c r="G282" s="2113">
        <v>0</v>
      </c>
      <c r="H282" s="2477">
        <v>59.5</v>
      </c>
      <c r="I282" s="1794">
        <f t="shared" si="52"/>
        <v>59.5</v>
      </c>
      <c r="J282" s="1687">
        <v>20000</v>
      </c>
      <c r="K282" s="2492">
        <f t="shared" si="53"/>
        <v>1190000</v>
      </c>
      <c r="L282" s="2109"/>
      <c r="M282" s="100"/>
      <c r="N282" s="2109"/>
      <c r="O282" s="2109"/>
      <c r="P282" s="2486"/>
      <c r="Q282" s="2488"/>
      <c r="R282" s="2493"/>
      <c r="S282" s="2494"/>
      <c r="T282" s="2495"/>
      <c r="U282" s="2494"/>
      <c r="V282" s="2494"/>
      <c r="W282" s="1794">
        <f t="shared" si="54"/>
        <v>1190000</v>
      </c>
      <c r="X282" s="1791">
        <f t="shared" si="55"/>
        <v>1190000</v>
      </c>
      <c r="Y282" s="2496"/>
      <c r="Z282" s="1794">
        <f t="shared" si="56"/>
        <v>1190000</v>
      </c>
      <c r="AA282" s="2497">
        <v>0.3</v>
      </c>
      <c r="AB282" s="2498"/>
      <c r="AC282" s="2491">
        <f t="shared" si="57"/>
        <v>3570</v>
      </c>
      <c r="AD282" s="2536"/>
      <c r="AH282" s="2482"/>
      <c r="AI282"/>
    </row>
    <row r="283" spans="1:35" x14ac:dyDescent="0.2">
      <c r="A283" s="2674">
        <v>140</v>
      </c>
      <c r="B283" s="2113">
        <v>67638</v>
      </c>
      <c r="C283" s="2100" t="s">
        <v>855</v>
      </c>
      <c r="D283" s="2114" t="s">
        <v>245</v>
      </c>
      <c r="E283" s="1508">
        <v>3</v>
      </c>
      <c r="F283" s="2472">
        <v>0</v>
      </c>
      <c r="G283" s="2113">
        <v>0</v>
      </c>
      <c r="H283" s="2477">
        <v>59.6</v>
      </c>
      <c r="I283" s="1794">
        <f t="shared" si="52"/>
        <v>59.6</v>
      </c>
      <c r="J283" s="1687">
        <v>20000</v>
      </c>
      <c r="K283" s="2492">
        <f t="shared" si="53"/>
        <v>1192000</v>
      </c>
      <c r="L283" s="2109"/>
      <c r="M283" s="100"/>
      <c r="N283" s="2109"/>
      <c r="O283" s="2109"/>
      <c r="P283" s="2486"/>
      <c r="Q283" s="2488"/>
      <c r="R283" s="2493"/>
      <c r="S283" s="2494"/>
      <c r="T283" s="2495"/>
      <c r="U283" s="2494"/>
      <c r="V283" s="2494"/>
      <c r="W283" s="1794">
        <f t="shared" si="54"/>
        <v>1192000</v>
      </c>
      <c r="X283" s="1791">
        <f t="shared" si="55"/>
        <v>1192000</v>
      </c>
      <c r="Y283" s="2496"/>
      <c r="Z283" s="1794">
        <f t="shared" si="56"/>
        <v>1192000</v>
      </c>
      <c r="AA283" s="2497">
        <v>0.3</v>
      </c>
      <c r="AB283" s="2498"/>
      <c r="AC283" s="2491">
        <f t="shared" si="57"/>
        <v>3576</v>
      </c>
      <c r="AD283" s="2536"/>
      <c r="AH283" s="2482"/>
      <c r="AI283"/>
    </row>
    <row r="284" spans="1:35" x14ac:dyDescent="0.2">
      <c r="A284" s="2674">
        <v>141</v>
      </c>
      <c r="B284" s="2113">
        <v>67639</v>
      </c>
      <c r="C284" s="2100" t="s">
        <v>856</v>
      </c>
      <c r="D284" s="2114" t="s">
        <v>245</v>
      </c>
      <c r="E284" s="1508">
        <v>3</v>
      </c>
      <c r="F284" s="2472">
        <v>0</v>
      </c>
      <c r="G284" s="2113">
        <v>0</v>
      </c>
      <c r="H284" s="2477">
        <v>59.6</v>
      </c>
      <c r="I284" s="1794">
        <f t="shared" si="52"/>
        <v>59.6</v>
      </c>
      <c r="J284" s="1687">
        <v>20000</v>
      </c>
      <c r="K284" s="2492">
        <f t="shared" si="53"/>
        <v>1192000</v>
      </c>
      <c r="L284" s="2109"/>
      <c r="M284" s="100"/>
      <c r="N284" s="2109"/>
      <c r="O284" s="2109"/>
      <c r="P284" s="2486"/>
      <c r="Q284" s="2488"/>
      <c r="R284" s="2493"/>
      <c r="S284" s="2494"/>
      <c r="T284" s="2495"/>
      <c r="U284" s="2494"/>
      <c r="V284" s="2494"/>
      <c r="W284" s="1794">
        <f t="shared" si="54"/>
        <v>1192000</v>
      </c>
      <c r="X284" s="1791">
        <f t="shared" si="55"/>
        <v>1192000</v>
      </c>
      <c r="Y284" s="2496"/>
      <c r="Z284" s="1794">
        <f t="shared" si="56"/>
        <v>1192000</v>
      </c>
      <c r="AA284" s="2497">
        <v>0.3</v>
      </c>
      <c r="AB284" s="2498"/>
      <c r="AC284" s="2491">
        <f t="shared" si="57"/>
        <v>3576</v>
      </c>
      <c r="AD284" s="2536"/>
      <c r="AH284" s="2482"/>
      <c r="AI284"/>
    </row>
    <row r="285" spans="1:35" x14ac:dyDescent="0.2">
      <c r="A285" s="2674">
        <v>142</v>
      </c>
      <c r="B285" s="2113">
        <v>67640</v>
      </c>
      <c r="C285" s="2100" t="s">
        <v>857</v>
      </c>
      <c r="D285" s="2114" t="s">
        <v>245</v>
      </c>
      <c r="E285" s="1508">
        <v>3</v>
      </c>
      <c r="F285" s="2472">
        <v>0</v>
      </c>
      <c r="G285" s="2113">
        <v>0</v>
      </c>
      <c r="H285" s="2477">
        <v>59.6</v>
      </c>
      <c r="I285" s="1794">
        <f t="shared" si="52"/>
        <v>59.6</v>
      </c>
      <c r="J285" s="1687">
        <v>20000</v>
      </c>
      <c r="K285" s="2492">
        <f t="shared" si="53"/>
        <v>1192000</v>
      </c>
      <c r="L285" s="2109"/>
      <c r="M285" s="100"/>
      <c r="N285" s="2109"/>
      <c r="O285" s="2109"/>
      <c r="P285" s="2486"/>
      <c r="Q285" s="2488"/>
      <c r="R285" s="2493"/>
      <c r="S285" s="2494"/>
      <c r="T285" s="2495"/>
      <c r="U285" s="2494"/>
      <c r="V285" s="2494"/>
      <c r="W285" s="1794">
        <f t="shared" si="54"/>
        <v>1192000</v>
      </c>
      <c r="X285" s="1791">
        <f t="shared" si="55"/>
        <v>1192000</v>
      </c>
      <c r="Y285" s="2496"/>
      <c r="Z285" s="1794">
        <f t="shared" si="56"/>
        <v>1192000</v>
      </c>
      <c r="AA285" s="2497">
        <v>0.3</v>
      </c>
      <c r="AB285" s="2498"/>
      <c r="AC285" s="2491">
        <f t="shared" si="57"/>
        <v>3576</v>
      </c>
      <c r="AD285" s="2536"/>
      <c r="AH285" s="2482"/>
      <c r="AI285"/>
    </row>
    <row r="286" spans="1:35" x14ac:dyDescent="0.2">
      <c r="A286" s="2674">
        <v>143</v>
      </c>
      <c r="B286" s="2113">
        <v>67641</v>
      </c>
      <c r="C286" s="2100" t="s">
        <v>858</v>
      </c>
      <c r="D286" s="2114" t="s">
        <v>245</v>
      </c>
      <c r="E286" s="1508">
        <v>3</v>
      </c>
      <c r="F286" s="2472">
        <v>0</v>
      </c>
      <c r="G286" s="2113">
        <v>0</v>
      </c>
      <c r="H286" s="2477">
        <v>59.6</v>
      </c>
      <c r="I286" s="1794">
        <f t="shared" si="52"/>
        <v>59.6</v>
      </c>
      <c r="J286" s="1687">
        <v>20000</v>
      </c>
      <c r="K286" s="2492">
        <f t="shared" si="53"/>
        <v>1192000</v>
      </c>
      <c r="L286" s="2109"/>
      <c r="M286" s="100"/>
      <c r="N286" s="2109"/>
      <c r="O286" s="2109"/>
      <c r="P286" s="2486"/>
      <c r="Q286" s="2488"/>
      <c r="R286" s="2493"/>
      <c r="S286" s="2494"/>
      <c r="T286" s="2495"/>
      <c r="U286" s="2494"/>
      <c r="V286" s="2494"/>
      <c r="W286" s="1794">
        <f t="shared" si="54"/>
        <v>1192000</v>
      </c>
      <c r="X286" s="1791">
        <f t="shared" si="55"/>
        <v>1192000</v>
      </c>
      <c r="Y286" s="2496"/>
      <c r="Z286" s="1794">
        <f t="shared" si="56"/>
        <v>1192000</v>
      </c>
      <c r="AA286" s="2497">
        <v>0.3</v>
      </c>
      <c r="AB286" s="2498"/>
      <c r="AC286" s="2491">
        <f t="shared" si="57"/>
        <v>3576</v>
      </c>
      <c r="AD286" s="2536"/>
      <c r="AH286" s="2482"/>
      <c r="AI286"/>
    </row>
    <row r="287" spans="1:35" x14ac:dyDescent="0.2">
      <c r="A287" s="2674">
        <v>144</v>
      </c>
      <c r="B287" s="2113">
        <v>67642</v>
      </c>
      <c r="C287" s="2100" t="s">
        <v>859</v>
      </c>
      <c r="D287" s="2114" t="s">
        <v>245</v>
      </c>
      <c r="E287" s="1508">
        <v>3</v>
      </c>
      <c r="F287" s="2472">
        <v>0</v>
      </c>
      <c r="G287" s="2113">
        <v>0</v>
      </c>
      <c r="H287" s="2477">
        <v>59.6</v>
      </c>
      <c r="I287" s="1794">
        <f t="shared" si="52"/>
        <v>59.6</v>
      </c>
      <c r="J287" s="1687">
        <v>20000</v>
      </c>
      <c r="K287" s="2492">
        <f t="shared" si="53"/>
        <v>1192000</v>
      </c>
      <c r="L287" s="2109"/>
      <c r="M287" s="100"/>
      <c r="N287" s="2109"/>
      <c r="O287" s="2109"/>
      <c r="P287" s="2486"/>
      <c r="Q287" s="2488"/>
      <c r="R287" s="2493"/>
      <c r="S287" s="2494"/>
      <c r="T287" s="2495"/>
      <c r="U287" s="2494"/>
      <c r="V287" s="2494"/>
      <c r="W287" s="1794">
        <f t="shared" si="54"/>
        <v>1192000</v>
      </c>
      <c r="X287" s="1791">
        <f t="shared" si="55"/>
        <v>1192000</v>
      </c>
      <c r="Y287" s="2496"/>
      <c r="Z287" s="1794">
        <f t="shared" si="56"/>
        <v>1192000</v>
      </c>
      <c r="AA287" s="2497">
        <v>0.3</v>
      </c>
      <c r="AB287" s="2498"/>
      <c r="AC287" s="2491">
        <f t="shared" si="57"/>
        <v>3576</v>
      </c>
      <c r="AD287" s="2536"/>
      <c r="AH287" s="2482"/>
      <c r="AI287"/>
    </row>
    <row r="288" spans="1:35" x14ac:dyDescent="0.2">
      <c r="A288" s="2674">
        <v>145</v>
      </c>
      <c r="B288" s="2113">
        <v>67643</v>
      </c>
      <c r="C288" s="2100" t="s">
        <v>759</v>
      </c>
      <c r="D288" s="2114" t="s">
        <v>245</v>
      </c>
      <c r="E288" s="1508">
        <v>3</v>
      </c>
      <c r="F288" s="2472">
        <v>0</v>
      </c>
      <c r="G288" s="2113">
        <v>0</v>
      </c>
      <c r="H288" s="2477">
        <v>59.5</v>
      </c>
      <c r="I288" s="1794">
        <f t="shared" si="52"/>
        <v>59.5</v>
      </c>
      <c r="J288" s="1687">
        <v>20000</v>
      </c>
      <c r="K288" s="2492">
        <f t="shared" si="53"/>
        <v>1190000</v>
      </c>
      <c r="L288" s="2109"/>
      <c r="M288" s="100"/>
      <c r="N288" s="2109"/>
      <c r="O288" s="2109"/>
      <c r="P288" s="2486"/>
      <c r="Q288" s="2488"/>
      <c r="R288" s="2493"/>
      <c r="S288" s="2494"/>
      <c r="T288" s="2495"/>
      <c r="U288" s="2494"/>
      <c r="V288" s="2494"/>
      <c r="W288" s="1794">
        <f t="shared" si="54"/>
        <v>1190000</v>
      </c>
      <c r="X288" s="1791">
        <f t="shared" si="55"/>
        <v>1190000</v>
      </c>
      <c r="Y288" s="2496"/>
      <c r="Z288" s="1794">
        <f t="shared" si="56"/>
        <v>1190000</v>
      </c>
      <c r="AA288" s="2497">
        <v>0.3</v>
      </c>
      <c r="AB288" s="2498"/>
      <c r="AC288" s="2491">
        <f t="shared" si="57"/>
        <v>3570</v>
      </c>
      <c r="AD288" s="2536"/>
      <c r="AH288" s="2482"/>
      <c r="AI288"/>
    </row>
    <row r="289" spans="1:35" x14ac:dyDescent="0.2">
      <c r="A289" s="2674">
        <v>146</v>
      </c>
      <c r="B289" s="2113">
        <v>67644</v>
      </c>
      <c r="C289" s="2100" t="s">
        <v>860</v>
      </c>
      <c r="D289" s="2114" t="s">
        <v>245</v>
      </c>
      <c r="E289" s="1508">
        <v>3</v>
      </c>
      <c r="F289" s="2114">
        <v>0</v>
      </c>
      <c r="G289" s="2114">
        <v>0</v>
      </c>
      <c r="H289" s="2115">
        <v>94.5</v>
      </c>
      <c r="I289" s="1794">
        <f t="shared" si="52"/>
        <v>94.5</v>
      </c>
      <c r="J289" s="1687">
        <v>20000</v>
      </c>
      <c r="K289" s="2492">
        <f t="shared" si="53"/>
        <v>1890000</v>
      </c>
      <c r="L289" s="45"/>
      <c r="M289" s="61"/>
      <c r="N289" s="50"/>
      <c r="O289" s="1506"/>
      <c r="P289" s="19"/>
      <c r="Q289" s="62"/>
      <c r="R289" s="1718"/>
      <c r="S289" s="18"/>
      <c r="T289" s="20"/>
      <c r="U289" s="1664"/>
      <c r="V289" s="47"/>
      <c r="W289" s="1794">
        <f t="shared" si="54"/>
        <v>1890000</v>
      </c>
      <c r="X289" s="1791">
        <f t="shared" si="55"/>
        <v>1890000</v>
      </c>
      <c r="Y289" s="2474"/>
      <c r="Z289" s="1794">
        <f t="shared" si="56"/>
        <v>1890000</v>
      </c>
      <c r="AA289" s="2497">
        <v>0.3</v>
      </c>
      <c r="AB289" s="2498"/>
      <c r="AC289" s="2491">
        <f t="shared" si="57"/>
        <v>5670</v>
      </c>
      <c r="AD289" s="2536"/>
      <c r="AH289" s="2482"/>
      <c r="AI289"/>
    </row>
    <row r="290" spans="1:35" x14ac:dyDescent="0.2">
      <c r="A290" s="2674">
        <v>147</v>
      </c>
      <c r="B290" s="2113">
        <v>67645</v>
      </c>
      <c r="C290" s="2100" t="s">
        <v>861</v>
      </c>
      <c r="D290" s="2114" t="s">
        <v>245</v>
      </c>
      <c r="E290" s="1508">
        <v>3</v>
      </c>
      <c r="F290" s="2114">
        <v>0</v>
      </c>
      <c r="G290" s="2114">
        <v>0</v>
      </c>
      <c r="H290" s="2115">
        <v>87.1</v>
      </c>
      <c r="I290" s="1794">
        <f t="shared" si="52"/>
        <v>87.1</v>
      </c>
      <c r="J290" s="1687">
        <v>20000</v>
      </c>
      <c r="K290" s="2492">
        <f t="shared" si="53"/>
        <v>1742000</v>
      </c>
      <c r="L290" s="45"/>
      <c r="M290" s="61"/>
      <c r="N290" s="50"/>
      <c r="O290" s="1506"/>
      <c r="P290" s="19"/>
      <c r="Q290" s="62"/>
      <c r="R290" s="1718"/>
      <c r="S290" s="18"/>
      <c r="T290" s="20"/>
      <c r="U290" s="1664"/>
      <c r="V290" s="47"/>
      <c r="W290" s="1794">
        <f t="shared" si="54"/>
        <v>1742000</v>
      </c>
      <c r="X290" s="1791">
        <f t="shared" si="55"/>
        <v>1742000</v>
      </c>
      <c r="Y290" s="2474"/>
      <c r="Z290" s="1794">
        <f t="shared" si="56"/>
        <v>1742000</v>
      </c>
      <c r="AA290" s="2497">
        <v>0.3</v>
      </c>
      <c r="AB290" s="2498"/>
      <c r="AC290" s="2491">
        <f t="shared" si="57"/>
        <v>5226</v>
      </c>
      <c r="AD290" s="2536"/>
      <c r="AH290" s="2482"/>
      <c r="AI290"/>
    </row>
    <row r="291" spans="1:35" x14ac:dyDescent="0.2">
      <c r="A291" s="2674">
        <v>148</v>
      </c>
      <c r="B291" s="2113">
        <v>67646</v>
      </c>
      <c r="C291" s="2100" t="s">
        <v>862</v>
      </c>
      <c r="D291" s="2114" t="s">
        <v>245</v>
      </c>
      <c r="E291" s="1508">
        <v>3</v>
      </c>
      <c r="F291" s="2114">
        <v>0</v>
      </c>
      <c r="G291" s="2114">
        <v>0</v>
      </c>
      <c r="H291" s="2115">
        <v>71.3</v>
      </c>
      <c r="I291" s="1794">
        <f t="shared" si="52"/>
        <v>71.3</v>
      </c>
      <c r="J291" s="1687">
        <v>20000</v>
      </c>
      <c r="K291" s="2492">
        <f t="shared" si="53"/>
        <v>1426000</v>
      </c>
      <c r="L291" s="45"/>
      <c r="M291" s="61"/>
      <c r="N291" s="50"/>
      <c r="O291" s="1506"/>
      <c r="P291" s="19"/>
      <c r="Q291" s="62"/>
      <c r="R291" s="1718"/>
      <c r="S291" s="18"/>
      <c r="T291" s="20"/>
      <c r="U291" s="1664"/>
      <c r="V291" s="47"/>
      <c r="W291" s="1794">
        <f t="shared" si="54"/>
        <v>1426000</v>
      </c>
      <c r="X291" s="1791">
        <f t="shared" si="55"/>
        <v>1426000</v>
      </c>
      <c r="Y291" s="2474"/>
      <c r="Z291" s="1794">
        <f t="shared" si="56"/>
        <v>1426000</v>
      </c>
      <c r="AA291" s="2497">
        <v>0.3</v>
      </c>
      <c r="AB291" s="2498"/>
      <c r="AC291" s="2491">
        <f t="shared" si="57"/>
        <v>4278</v>
      </c>
      <c r="AD291" s="2536"/>
      <c r="AH291" s="2491"/>
      <c r="AI291"/>
    </row>
    <row r="292" spans="1:35" x14ac:dyDescent="0.2">
      <c r="A292" s="2674">
        <v>149</v>
      </c>
      <c r="B292" s="2113">
        <v>67647</v>
      </c>
      <c r="C292" s="2100" t="s">
        <v>863</v>
      </c>
      <c r="D292" s="2114" t="s">
        <v>245</v>
      </c>
      <c r="E292" s="1508">
        <v>3</v>
      </c>
      <c r="F292" s="2114">
        <v>0</v>
      </c>
      <c r="G292" s="2114">
        <v>0</v>
      </c>
      <c r="H292" s="2115">
        <v>61.9</v>
      </c>
      <c r="I292" s="1794">
        <f t="shared" si="52"/>
        <v>61.9</v>
      </c>
      <c r="J292" s="1687">
        <v>20000</v>
      </c>
      <c r="K292" s="2492">
        <f t="shared" si="53"/>
        <v>1238000</v>
      </c>
      <c r="L292" s="45"/>
      <c r="M292" s="61"/>
      <c r="N292" s="50"/>
      <c r="O292" s="1506"/>
      <c r="P292" s="19"/>
      <c r="Q292" s="62"/>
      <c r="R292" s="1718"/>
      <c r="S292" s="18"/>
      <c r="T292" s="20"/>
      <c r="U292" s="1664"/>
      <c r="V292" s="47"/>
      <c r="W292" s="1794">
        <f t="shared" si="54"/>
        <v>1238000</v>
      </c>
      <c r="X292" s="1791">
        <f t="shared" si="55"/>
        <v>1238000</v>
      </c>
      <c r="Y292" s="2474"/>
      <c r="Z292" s="1794">
        <f t="shared" si="56"/>
        <v>1238000</v>
      </c>
      <c r="AA292" s="2497">
        <v>0.3</v>
      </c>
      <c r="AB292" s="2498"/>
      <c r="AC292" s="2491">
        <f t="shared" si="57"/>
        <v>3714</v>
      </c>
      <c r="AD292" s="2536"/>
      <c r="AH292" s="2546"/>
      <c r="AI292"/>
    </row>
    <row r="293" spans="1:35" x14ac:dyDescent="0.2">
      <c r="A293" s="2674">
        <v>150</v>
      </c>
      <c r="B293" s="2113">
        <v>67648</v>
      </c>
      <c r="C293" s="2100" t="s">
        <v>864</v>
      </c>
      <c r="D293" s="2114" t="s">
        <v>245</v>
      </c>
      <c r="E293" s="1508">
        <v>3</v>
      </c>
      <c r="F293" s="2114">
        <v>0</v>
      </c>
      <c r="G293" s="2114">
        <v>0</v>
      </c>
      <c r="H293" s="2557">
        <v>73.7</v>
      </c>
      <c r="I293" s="1794">
        <f t="shared" si="52"/>
        <v>73.7</v>
      </c>
      <c r="J293" s="1687">
        <v>20000</v>
      </c>
      <c r="K293" s="2492">
        <f t="shared" si="53"/>
        <v>1474000</v>
      </c>
      <c r="L293" s="45"/>
      <c r="M293" s="61"/>
      <c r="N293" s="50"/>
      <c r="O293" s="1506"/>
      <c r="P293" s="19"/>
      <c r="Q293" s="62"/>
      <c r="R293" s="1718"/>
      <c r="S293" s="18"/>
      <c r="T293" s="20"/>
      <c r="U293" s="1664"/>
      <c r="V293" s="47"/>
      <c r="W293" s="1794">
        <f t="shared" si="54"/>
        <v>1474000</v>
      </c>
      <c r="X293" s="1791">
        <f t="shared" si="55"/>
        <v>1474000</v>
      </c>
      <c r="Y293" s="2474"/>
      <c r="Z293" s="1794">
        <f t="shared" si="56"/>
        <v>1474000</v>
      </c>
      <c r="AA293" s="2497">
        <v>0.3</v>
      </c>
      <c r="AB293" s="2498"/>
      <c r="AC293" s="2491">
        <f t="shared" si="57"/>
        <v>4422</v>
      </c>
      <c r="AD293" s="2536"/>
      <c r="AH293" s="2491"/>
      <c r="AI293"/>
    </row>
    <row r="294" spans="1:35" ht="15" thickBot="1" x14ac:dyDescent="0.25">
      <c r="A294" s="34"/>
      <c r="B294" s="34"/>
      <c r="C294" s="34"/>
      <c r="D294" s="34"/>
      <c r="E294" s="34"/>
      <c r="F294" s="34"/>
      <c r="G294" s="34"/>
      <c r="H294" s="35"/>
      <c r="I294" s="36"/>
      <c r="J294" s="37"/>
      <c r="K294" s="2562"/>
      <c r="L294" s="2562"/>
      <c r="M294" s="2562"/>
      <c r="N294" s="2562"/>
      <c r="O294" s="2562"/>
      <c r="P294" s="2562"/>
      <c r="Q294" s="2562"/>
      <c r="R294" s="2563"/>
      <c r="S294" s="2562"/>
      <c r="T294" s="38"/>
      <c r="U294" s="2564"/>
      <c r="V294" s="2562"/>
      <c r="W294" s="2839"/>
      <c r="X294" s="2840"/>
      <c r="Y294" s="2841"/>
      <c r="Z294" s="2612">
        <f>SUM(Z275:Z293)</f>
        <v>24566000</v>
      </c>
      <c r="AA294" s="2613"/>
      <c r="AB294" s="2613"/>
      <c r="AC294" s="2614">
        <f>SUM(AC275:AC293)</f>
        <v>73698</v>
      </c>
      <c r="AD294" s="2614">
        <f t="shared" ref="AD294:AG294" si="58">SUM(AD275:AD293)</f>
        <v>0</v>
      </c>
      <c r="AE294" s="2614">
        <f t="shared" si="58"/>
        <v>0</v>
      </c>
      <c r="AF294" s="2614">
        <f t="shared" si="58"/>
        <v>0</v>
      </c>
      <c r="AG294" s="2614">
        <f t="shared" si="58"/>
        <v>0</v>
      </c>
      <c r="AH294" s="2614"/>
      <c r="AI294"/>
    </row>
    <row r="295" spans="1:35" ht="16.5" thickTop="1" x14ac:dyDescent="0.25">
      <c r="A295" s="2842" t="s">
        <v>76</v>
      </c>
      <c r="B295" s="2842"/>
      <c r="C295" s="2843" t="s">
        <v>77</v>
      </c>
      <c r="D295" s="2843"/>
      <c r="E295" s="2843"/>
      <c r="F295" s="2843"/>
      <c r="G295" s="2843"/>
      <c r="H295" s="2843"/>
      <c r="I295" s="2567" t="s">
        <v>78</v>
      </c>
      <c r="J295" s="2567"/>
      <c r="K295" s="2567"/>
      <c r="L295" s="2567"/>
      <c r="M295" s="2567"/>
      <c r="N295" s="2567"/>
      <c r="AC295" s="2476"/>
      <c r="AI295"/>
    </row>
    <row r="296" spans="1:35" ht="15.75" x14ac:dyDescent="0.25">
      <c r="A296" s="2568"/>
      <c r="B296" s="2569"/>
      <c r="C296" s="2567"/>
      <c r="D296" s="2567"/>
      <c r="E296" s="2567"/>
      <c r="F296" s="2567"/>
      <c r="G296" s="2567"/>
      <c r="H296" s="2567"/>
      <c r="I296" s="2567" t="s">
        <v>79</v>
      </c>
      <c r="J296" s="2567"/>
      <c r="K296" s="2567"/>
      <c r="L296" s="2567"/>
      <c r="M296" s="2567"/>
      <c r="N296" s="2567"/>
      <c r="AC296" s="2476"/>
      <c r="AI296"/>
    </row>
    <row r="297" spans="1:35" ht="15.75" x14ac:dyDescent="0.25">
      <c r="A297" s="2568"/>
      <c r="B297" s="2569"/>
      <c r="C297" s="2567"/>
      <c r="D297" s="2567"/>
      <c r="E297" s="2567"/>
      <c r="F297" s="2567"/>
      <c r="G297" s="2567"/>
      <c r="H297" s="2567"/>
      <c r="I297" s="2567" t="s">
        <v>80</v>
      </c>
      <c r="J297" s="2567"/>
      <c r="K297" s="2567"/>
      <c r="L297" s="2567"/>
      <c r="M297" s="2567"/>
      <c r="N297" s="2567"/>
      <c r="AC297" s="2476"/>
      <c r="AI297"/>
    </row>
    <row r="298" spans="1:35" ht="15.75" x14ac:dyDescent="0.25">
      <c r="A298" s="2568"/>
      <c r="B298" s="2569"/>
      <c r="C298" s="2567"/>
      <c r="D298" s="2567"/>
      <c r="E298" s="2567"/>
      <c r="F298" s="2567"/>
      <c r="G298" s="2567"/>
      <c r="H298" s="2567"/>
      <c r="I298" s="2567" t="s">
        <v>81</v>
      </c>
      <c r="J298" s="2567"/>
      <c r="K298" s="2567"/>
      <c r="L298" s="2567"/>
      <c r="M298" s="2567"/>
      <c r="N298" s="2567"/>
      <c r="AC298" s="2476"/>
      <c r="AI298"/>
    </row>
    <row r="299" spans="1:35" ht="15.75" x14ac:dyDescent="0.25">
      <c r="A299" s="2568"/>
      <c r="B299" s="2569"/>
      <c r="C299" s="2567"/>
      <c r="D299" s="2567"/>
      <c r="E299" s="2567"/>
      <c r="F299" s="2567"/>
      <c r="G299" s="2567"/>
      <c r="H299" s="2567"/>
      <c r="I299" s="2567" t="s">
        <v>88</v>
      </c>
      <c r="J299" s="2567"/>
      <c r="K299" s="2567"/>
      <c r="L299" s="2567"/>
      <c r="M299" s="2567"/>
      <c r="N299" s="2567"/>
      <c r="AC299" s="2476"/>
      <c r="AI299"/>
    </row>
    <row r="300" spans="1:35" ht="15.75" x14ac:dyDescent="0.25">
      <c r="A300" s="2568"/>
      <c r="B300" s="2569"/>
      <c r="C300" s="2567"/>
      <c r="D300" s="2567"/>
      <c r="E300" s="2567"/>
      <c r="F300" s="2567"/>
      <c r="G300" s="2567"/>
      <c r="H300" s="2567"/>
      <c r="I300" s="2567"/>
      <c r="J300" s="2567"/>
      <c r="K300" s="2567"/>
      <c r="L300" s="2567"/>
      <c r="M300" s="2567"/>
      <c r="N300" s="2567"/>
      <c r="AC300" s="2476"/>
      <c r="AI300"/>
    </row>
    <row r="301" spans="1:35" ht="15.75" x14ac:dyDescent="0.25">
      <c r="A301" s="2568"/>
      <c r="B301" s="2569"/>
      <c r="C301" s="2567"/>
      <c r="D301" s="2567"/>
      <c r="E301" s="2567"/>
      <c r="F301" s="2567"/>
      <c r="G301" s="2567"/>
      <c r="H301" s="2567"/>
      <c r="I301" s="2567"/>
      <c r="J301" s="2567"/>
      <c r="K301" s="2567"/>
      <c r="L301" s="2567"/>
      <c r="M301" s="2567"/>
      <c r="N301" s="2567"/>
      <c r="AC301" s="2476"/>
      <c r="AI301"/>
    </row>
    <row r="302" spans="1:35" ht="15.75" x14ac:dyDescent="0.25">
      <c r="A302" s="2568"/>
      <c r="B302" s="2569"/>
      <c r="C302" s="2567"/>
      <c r="D302" s="2567"/>
      <c r="E302" s="2567"/>
      <c r="F302" s="2567"/>
      <c r="G302" s="2567"/>
      <c r="H302" s="2567"/>
      <c r="I302" s="2567"/>
      <c r="J302" s="2567"/>
      <c r="K302" s="2567"/>
      <c r="L302" s="2567"/>
      <c r="M302" s="2567"/>
      <c r="N302" s="2567"/>
      <c r="AC302" s="2476"/>
      <c r="AI302"/>
    </row>
    <row r="303" spans="1:35" ht="15.75" x14ac:dyDescent="0.25">
      <c r="A303" s="2568"/>
      <c r="B303" s="2569"/>
      <c r="C303" s="2567"/>
      <c r="D303" s="2567"/>
      <c r="E303" s="2567"/>
      <c r="F303" s="2567"/>
      <c r="G303" s="2567"/>
      <c r="H303" s="2567"/>
      <c r="I303" s="2567"/>
      <c r="J303" s="2567"/>
      <c r="K303" s="2567"/>
      <c r="L303" s="2567"/>
      <c r="M303" s="2567"/>
      <c r="N303" s="2567"/>
      <c r="AC303" s="2476"/>
      <c r="AI303"/>
    </row>
    <row r="304" spans="1:35" ht="15.75" x14ac:dyDescent="0.25">
      <c r="A304" s="2568"/>
      <c r="B304" s="2569"/>
      <c r="C304" s="2567"/>
      <c r="D304" s="2567"/>
      <c r="E304" s="2567"/>
      <c r="F304" s="2567"/>
      <c r="G304" s="2567"/>
      <c r="H304" s="2567"/>
      <c r="I304" s="2567"/>
      <c r="J304" s="2567"/>
      <c r="K304" s="2567"/>
      <c r="L304" s="2567"/>
      <c r="M304" s="2567"/>
      <c r="N304" s="2567"/>
      <c r="AC304" s="2476"/>
      <c r="AI304"/>
    </row>
    <row r="305" spans="1:35" ht="15.75" x14ac:dyDescent="0.25">
      <c r="A305" s="2568"/>
      <c r="B305" s="2569"/>
      <c r="C305" s="2567"/>
      <c r="D305" s="2567"/>
      <c r="E305" s="2567"/>
      <c r="F305" s="2567"/>
      <c r="G305" s="2567"/>
      <c r="H305" s="2567"/>
      <c r="I305" s="2567"/>
      <c r="J305" s="2567"/>
      <c r="K305" s="2567"/>
      <c r="L305" s="2567"/>
      <c r="M305" s="2567"/>
      <c r="N305" s="2567"/>
      <c r="AC305" s="2476"/>
      <c r="AI305"/>
    </row>
    <row r="306" spans="1:35" ht="15.75" x14ac:dyDescent="0.25">
      <c r="A306" s="2568"/>
      <c r="B306" s="2569"/>
      <c r="C306" s="2567"/>
      <c r="D306" s="2567"/>
      <c r="E306" s="2567"/>
      <c r="F306" s="2567"/>
      <c r="G306" s="2567"/>
      <c r="H306" s="2567"/>
      <c r="I306" s="2567"/>
      <c r="J306" s="2567"/>
      <c r="K306" s="2567"/>
      <c r="L306" s="2567"/>
      <c r="M306" s="2567"/>
      <c r="N306" s="2567"/>
      <c r="AC306" s="2476"/>
      <c r="AI306"/>
    </row>
    <row r="307" spans="1:35" ht="18.75" x14ac:dyDescent="0.25">
      <c r="A307" s="2568"/>
      <c r="B307" s="2569"/>
      <c r="C307" s="2567"/>
      <c r="D307" s="2567"/>
      <c r="E307" s="2567"/>
      <c r="F307" s="2567"/>
      <c r="G307" s="2567"/>
      <c r="H307" s="2567"/>
      <c r="I307" s="2567"/>
      <c r="J307" s="2567"/>
      <c r="K307" s="2567"/>
      <c r="L307" s="2567"/>
      <c r="M307" s="2567"/>
      <c r="N307" s="2567"/>
      <c r="AA307" s="2471" t="s">
        <v>0</v>
      </c>
      <c r="AB307" s="2471"/>
      <c r="AC307" s="2667"/>
      <c r="AD307" s="2471"/>
      <c r="AI307"/>
    </row>
    <row r="308" spans="1:35" ht="18.75" x14ac:dyDescent="0.2">
      <c r="A308" s="2707" t="s">
        <v>1</v>
      </c>
      <c r="B308" s="2707"/>
      <c r="C308" s="2707"/>
      <c r="D308" s="2707"/>
      <c r="E308" s="2707"/>
      <c r="F308" s="2707"/>
      <c r="G308" s="2707"/>
      <c r="H308" s="2707"/>
      <c r="I308" s="2707"/>
      <c r="J308" s="2707"/>
      <c r="K308" s="2707"/>
      <c r="L308" s="2707"/>
      <c r="M308" s="2707"/>
      <c r="N308" s="2707"/>
      <c r="O308" s="2707"/>
      <c r="P308" s="2707"/>
      <c r="Q308" s="2707"/>
      <c r="R308" s="2707"/>
      <c r="S308" s="2707"/>
      <c r="T308" s="2707"/>
      <c r="U308" s="2707"/>
      <c r="V308" s="2707"/>
      <c r="W308" s="2707"/>
      <c r="X308" s="2707"/>
      <c r="Y308" s="2707"/>
      <c r="Z308" s="2707"/>
      <c r="AA308" s="2707"/>
      <c r="AB308" s="2707"/>
      <c r="AC308" s="2707"/>
      <c r="AI308"/>
    </row>
    <row r="309" spans="1:35" ht="18" x14ac:dyDescent="0.2">
      <c r="A309" s="2846" t="s">
        <v>984</v>
      </c>
      <c r="B309" s="2846"/>
      <c r="C309" s="2846"/>
      <c r="D309" s="2846"/>
      <c r="E309" s="2846"/>
      <c r="F309" s="2846"/>
      <c r="G309" s="2846"/>
      <c r="H309" s="2846"/>
      <c r="I309" s="2846"/>
      <c r="J309" s="2846"/>
      <c r="K309" s="2846"/>
      <c r="L309" s="2846"/>
      <c r="M309" s="2846"/>
      <c r="N309" s="2846"/>
      <c r="O309" s="2846"/>
      <c r="P309" s="2846"/>
      <c r="Q309" s="2846"/>
      <c r="R309" s="2846"/>
      <c r="S309" s="2846"/>
      <c r="T309" s="2846"/>
      <c r="U309" s="2846"/>
      <c r="V309" s="2846"/>
      <c r="W309" s="2846"/>
      <c r="X309" s="2846"/>
      <c r="Y309" s="2846"/>
      <c r="Z309" s="2846"/>
      <c r="AA309" s="2846"/>
      <c r="AB309" s="2846"/>
      <c r="AC309" s="2846"/>
      <c r="AD309" s="2192"/>
      <c r="AI309"/>
    </row>
    <row r="310" spans="1:35" ht="15" x14ac:dyDescent="0.25">
      <c r="A310" s="2709" t="s">
        <v>2</v>
      </c>
      <c r="B310" s="2572"/>
      <c r="C310" s="2709" t="s">
        <v>3</v>
      </c>
      <c r="D310" s="2572"/>
      <c r="E310" s="2572"/>
      <c r="F310" s="2712" t="s">
        <v>4</v>
      </c>
      <c r="G310" s="2712"/>
      <c r="H310" s="2712"/>
      <c r="I310" s="2713"/>
      <c r="J310" s="2713"/>
      <c r="K310" s="2714"/>
      <c r="L310" s="2"/>
      <c r="M310" s="2715" t="s">
        <v>5</v>
      </c>
      <c r="N310" s="2715"/>
      <c r="O310" s="2715"/>
      <c r="P310" s="2715"/>
      <c r="Q310" s="2716"/>
      <c r="R310" s="2716"/>
      <c r="S310" s="2716"/>
      <c r="T310" s="2716"/>
      <c r="U310" s="2716"/>
      <c r="V310" s="2717"/>
      <c r="W310" s="2573" t="s">
        <v>6</v>
      </c>
      <c r="X310" s="2574" t="s">
        <v>7</v>
      </c>
      <c r="Y310" s="2575"/>
      <c r="Z310" s="2575"/>
      <c r="AA310" s="2574"/>
      <c r="AB310" s="2574"/>
      <c r="AC310" s="2576"/>
      <c r="AD310" s="2221" t="s">
        <v>8</v>
      </c>
      <c r="AH310" s="2845" t="s">
        <v>76</v>
      </c>
      <c r="AI310"/>
    </row>
    <row r="311" spans="1:35" x14ac:dyDescent="0.2">
      <c r="A311" s="2710"/>
      <c r="B311" s="4"/>
      <c r="C311" s="2710"/>
      <c r="D311" s="2577" t="s">
        <v>9</v>
      </c>
      <c r="E311" s="2578" t="s">
        <v>10</v>
      </c>
      <c r="F311" s="2718" t="s">
        <v>11</v>
      </c>
      <c r="G311" s="2713"/>
      <c r="H311" s="2714"/>
      <c r="I311" s="2572"/>
      <c r="J311" s="2579" t="s">
        <v>12</v>
      </c>
      <c r="K311" s="2572"/>
      <c r="L311" s="2715" t="s">
        <v>2</v>
      </c>
      <c r="M311" s="2580"/>
      <c r="N311" s="2580"/>
      <c r="O311" s="2580"/>
      <c r="P311" s="2581"/>
      <c r="Q311" s="2582" t="s">
        <v>13</v>
      </c>
      <c r="R311" s="2583" t="s">
        <v>12</v>
      </c>
      <c r="S311" s="2580" t="s">
        <v>6</v>
      </c>
      <c r="T311" s="2724" t="s">
        <v>14</v>
      </c>
      <c r="U311" s="2725"/>
      <c r="V311" s="2584" t="s">
        <v>7</v>
      </c>
      <c r="W311" s="2585" t="s">
        <v>15</v>
      </c>
      <c r="X311" s="2586" t="s">
        <v>16</v>
      </c>
      <c r="Y311" s="2586" t="s">
        <v>17</v>
      </c>
      <c r="Z311" s="2586" t="s">
        <v>18</v>
      </c>
      <c r="AA311" s="5"/>
      <c r="AB311" s="5"/>
      <c r="AC311" s="55" t="s">
        <v>19</v>
      </c>
      <c r="AD311" s="2223" t="s">
        <v>20</v>
      </c>
      <c r="AH311" s="2845"/>
      <c r="AI311"/>
    </row>
    <row r="312" spans="1:35" x14ac:dyDescent="0.2">
      <c r="A312" s="2710"/>
      <c r="B312" s="2454" t="s">
        <v>23</v>
      </c>
      <c r="C312" s="2710"/>
      <c r="D312" s="2577" t="s">
        <v>24</v>
      </c>
      <c r="E312" s="2578" t="s">
        <v>25</v>
      </c>
      <c r="F312" s="2719"/>
      <c r="G312" s="2720"/>
      <c r="H312" s="2721"/>
      <c r="I312" s="2577" t="s">
        <v>26</v>
      </c>
      <c r="J312" s="2587" t="s">
        <v>15</v>
      </c>
      <c r="K312" s="2588" t="s">
        <v>6</v>
      </c>
      <c r="L312" s="2722"/>
      <c r="M312" s="2589" t="s">
        <v>27</v>
      </c>
      <c r="N312" s="2589" t="s">
        <v>10</v>
      </c>
      <c r="O312" s="2590" t="s">
        <v>10</v>
      </c>
      <c r="P312" s="2591" t="s">
        <v>28</v>
      </c>
      <c r="Q312" s="2592" t="s">
        <v>29</v>
      </c>
      <c r="R312" s="2591" t="s">
        <v>15</v>
      </c>
      <c r="S312" s="8" t="s">
        <v>15</v>
      </c>
      <c r="T312" s="2726"/>
      <c r="U312" s="2727"/>
      <c r="V312" s="2584" t="s">
        <v>30</v>
      </c>
      <c r="W312" s="2585" t="s">
        <v>31</v>
      </c>
      <c r="X312" s="2586" t="s">
        <v>30</v>
      </c>
      <c r="Y312" s="2586" t="s">
        <v>32</v>
      </c>
      <c r="Z312" s="2586" t="s">
        <v>7</v>
      </c>
      <c r="AA312" s="5" t="s">
        <v>33</v>
      </c>
      <c r="AB312" s="5"/>
      <c r="AC312" s="55" t="s">
        <v>34</v>
      </c>
      <c r="AD312" s="2223" t="s">
        <v>35</v>
      </c>
      <c r="AH312" s="2845"/>
      <c r="AI312"/>
    </row>
    <row r="313" spans="1:35" x14ac:dyDescent="0.2">
      <c r="A313" s="2710"/>
      <c r="B313" s="2454" t="s">
        <v>39</v>
      </c>
      <c r="C313" s="2710"/>
      <c r="D313" s="2577" t="s">
        <v>40</v>
      </c>
      <c r="E313" s="2578" t="s">
        <v>41</v>
      </c>
      <c r="F313" s="2709" t="s">
        <v>42</v>
      </c>
      <c r="G313" s="2709" t="s">
        <v>43</v>
      </c>
      <c r="H313" s="2728" t="s">
        <v>44</v>
      </c>
      <c r="I313" s="2577" t="s">
        <v>45</v>
      </c>
      <c r="J313" s="2587" t="s">
        <v>46</v>
      </c>
      <c r="K313" s="2588" t="s">
        <v>47</v>
      </c>
      <c r="L313" s="2722"/>
      <c r="M313" s="2589" t="s">
        <v>30</v>
      </c>
      <c r="N313" s="2589" t="s">
        <v>30</v>
      </c>
      <c r="O313" s="2590" t="s">
        <v>25</v>
      </c>
      <c r="P313" s="2591" t="s">
        <v>30</v>
      </c>
      <c r="Q313" s="2592" t="s">
        <v>48</v>
      </c>
      <c r="R313" s="2591" t="s">
        <v>49</v>
      </c>
      <c r="S313" s="8" t="s">
        <v>30</v>
      </c>
      <c r="T313" s="2593" t="s">
        <v>50</v>
      </c>
      <c r="U313" s="2594" t="s">
        <v>13</v>
      </c>
      <c r="V313" s="2584" t="s">
        <v>51</v>
      </c>
      <c r="W313" s="2585" t="s">
        <v>52</v>
      </c>
      <c r="X313" s="2586" t="s">
        <v>53</v>
      </c>
      <c r="Y313" s="2586" t="s">
        <v>54</v>
      </c>
      <c r="Z313" s="2586" t="s">
        <v>55</v>
      </c>
      <c r="AA313" s="5" t="s">
        <v>56</v>
      </c>
      <c r="AB313" s="5"/>
      <c r="AC313" s="55" t="s">
        <v>57</v>
      </c>
      <c r="AD313" s="6" t="s">
        <v>58</v>
      </c>
      <c r="AH313" s="2845"/>
      <c r="AI313"/>
    </row>
    <row r="314" spans="1:35" ht="15" x14ac:dyDescent="0.25">
      <c r="A314" s="2710"/>
      <c r="B314" s="2454" t="s">
        <v>61</v>
      </c>
      <c r="C314" s="2710"/>
      <c r="D314" s="2577" t="s">
        <v>62</v>
      </c>
      <c r="E314" s="2578" t="s">
        <v>63</v>
      </c>
      <c r="F314" s="2710"/>
      <c r="G314" s="2710"/>
      <c r="H314" s="2729"/>
      <c r="I314" s="2577" t="s">
        <v>64</v>
      </c>
      <c r="J314" s="2587" t="s">
        <v>59</v>
      </c>
      <c r="K314" s="2588" t="s">
        <v>59</v>
      </c>
      <c r="L314" s="2722"/>
      <c r="M314" s="2589"/>
      <c r="N314" s="2589"/>
      <c r="O314" s="2590" t="s">
        <v>41</v>
      </c>
      <c r="P314" s="2591" t="s">
        <v>65</v>
      </c>
      <c r="Q314" s="2592" t="s">
        <v>66</v>
      </c>
      <c r="R314" s="2591" t="s">
        <v>67</v>
      </c>
      <c r="S314" s="8" t="s">
        <v>59</v>
      </c>
      <c r="T314" s="2595" t="s">
        <v>68</v>
      </c>
      <c r="U314" s="2584" t="s">
        <v>14</v>
      </c>
      <c r="V314" s="2584" t="s">
        <v>14</v>
      </c>
      <c r="W314" s="2585" t="s">
        <v>30</v>
      </c>
      <c r="X314" s="2596" t="s">
        <v>69</v>
      </c>
      <c r="Y314" s="2596" t="s">
        <v>70</v>
      </c>
      <c r="Z314" s="2586" t="s">
        <v>71</v>
      </c>
      <c r="AA314" s="5" t="s">
        <v>72</v>
      </c>
      <c r="AB314" s="5"/>
      <c r="AC314" s="2597" t="s">
        <v>59</v>
      </c>
      <c r="AD314" s="6" t="s">
        <v>59</v>
      </c>
      <c r="AH314" s="2845"/>
      <c r="AI314"/>
    </row>
    <row r="315" spans="1:35" x14ac:dyDescent="0.2">
      <c r="A315" s="2711"/>
      <c r="B315" s="9"/>
      <c r="C315" s="2711"/>
      <c r="D315" s="2598"/>
      <c r="E315" s="2599"/>
      <c r="F315" s="9"/>
      <c r="G315" s="9"/>
      <c r="H315" s="10"/>
      <c r="I315" s="2599"/>
      <c r="J315" s="2600"/>
      <c r="K315" s="2601"/>
      <c r="L315" s="2723"/>
      <c r="M315" s="2602"/>
      <c r="N315" s="2602"/>
      <c r="O315" s="2602" t="s">
        <v>63</v>
      </c>
      <c r="P315" s="2603"/>
      <c r="Q315" s="2604" t="s">
        <v>72</v>
      </c>
      <c r="R315" s="2605" t="s">
        <v>59</v>
      </c>
      <c r="S315" s="2606"/>
      <c r="T315" s="2605" t="s">
        <v>73</v>
      </c>
      <c r="U315" s="2606" t="s">
        <v>59</v>
      </c>
      <c r="V315" s="2607" t="s">
        <v>59</v>
      </c>
      <c r="W315" s="2608" t="s">
        <v>59</v>
      </c>
      <c r="X315" s="2609" t="s">
        <v>59</v>
      </c>
      <c r="Y315" s="2609" t="s">
        <v>59</v>
      </c>
      <c r="Z315" s="2609" t="s">
        <v>59</v>
      </c>
      <c r="AA315" s="11"/>
      <c r="AB315" s="11"/>
      <c r="AC315" s="56"/>
      <c r="AD315" s="12"/>
      <c r="AH315" s="2845"/>
      <c r="AI315"/>
    </row>
    <row r="316" spans="1:35" x14ac:dyDescent="0.2">
      <c r="A316" s="2674">
        <v>151</v>
      </c>
      <c r="B316" s="2113">
        <v>67649</v>
      </c>
      <c r="C316" s="2100" t="s">
        <v>865</v>
      </c>
      <c r="D316" s="2114" t="s">
        <v>245</v>
      </c>
      <c r="E316" s="1508">
        <v>3</v>
      </c>
      <c r="F316" s="2114">
        <v>0</v>
      </c>
      <c r="G316" s="2114">
        <v>0</v>
      </c>
      <c r="H316" s="2557">
        <v>64.3</v>
      </c>
      <c r="I316" s="1794">
        <f t="shared" ref="I316:I334" si="59">F316*400+G316*100+H316</f>
        <v>64.3</v>
      </c>
      <c r="J316" s="1687">
        <v>20000</v>
      </c>
      <c r="K316" s="2492">
        <f t="shared" ref="K316:K334" si="60">SUM(I316*J316)</f>
        <v>1286000</v>
      </c>
      <c r="L316" s="45"/>
      <c r="M316" s="61"/>
      <c r="N316" s="50"/>
      <c r="O316" s="1506"/>
      <c r="P316" s="19"/>
      <c r="Q316" s="62"/>
      <c r="R316" s="1718"/>
      <c r="S316" s="18"/>
      <c r="T316" s="20"/>
      <c r="U316" s="1664"/>
      <c r="V316" s="47"/>
      <c r="W316" s="1794">
        <f t="shared" ref="W316:W334" si="61">+K316</f>
        <v>1286000</v>
      </c>
      <c r="X316" s="1791">
        <f t="shared" ref="X316:X334" si="62">+W316</f>
        <v>1286000</v>
      </c>
      <c r="Y316" s="2474"/>
      <c r="Z316" s="1794">
        <f t="shared" ref="Z316:Z334" si="63">+X316</f>
        <v>1286000</v>
      </c>
      <c r="AA316" s="2497">
        <v>0.3</v>
      </c>
      <c r="AB316" s="2498"/>
      <c r="AC316" s="2491">
        <f t="shared" ref="AC316:AC334" si="64">+Z316*AA316/100</f>
        <v>3858</v>
      </c>
      <c r="AD316" s="2540"/>
      <c r="AH316" s="2482"/>
      <c r="AI316"/>
    </row>
    <row r="317" spans="1:35" x14ac:dyDescent="0.2">
      <c r="A317" s="2674">
        <v>152</v>
      </c>
      <c r="B317" s="2113">
        <v>67650</v>
      </c>
      <c r="C317" s="2100" t="s">
        <v>866</v>
      </c>
      <c r="D317" s="2114" t="s">
        <v>245</v>
      </c>
      <c r="E317" s="1508">
        <v>3</v>
      </c>
      <c r="F317" s="2114">
        <v>0</v>
      </c>
      <c r="G317" s="2114">
        <v>0</v>
      </c>
      <c r="H317" s="2559">
        <v>64.599999999999994</v>
      </c>
      <c r="I317" s="1794">
        <f t="shared" si="59"/>
        <v>64.599999999999994</v>
      </c>
      <c r="J317" s="1687">
        <v>20000</v>
      </c>
      <c r="K317" s="2492">
        <f t="shared" si="60"/>
        <v>1292000</v>
      </c>
      <c r="L317" s="45"/>
      <c r="M317" s="61"/>
      <c r="N317" s="50"/>
      <c r="O317" s="1506"/>
      <c r="P317" s="19"/>
      <c r="Q317" s="62"/>
      <c r="R317" s="1718"/>
      <c r="S317" s="18"/>
      <c r="T317" s="20"/>
      <c r="U317" s="1664"/>
      <c r="V317" s="47"/>
      <c r="W317" s="1794">
        <f t="shared" si="61"/>
        <v>1292000</v>
      </c>
      <c r="X317" s="1791">
        <f t="shared" si="62"/>
        <v>1292000</v>
      </c>
      <c r="Y317" s="2474"/>
      <c r="Z317" s="1794">
        <f t="shared" si="63"/>
        <v>1292000</v>
      </c>
      <c r="AA317" s="2497">
        <v>0.3</v>
      </c>
      <c r="AB317" s="2498"/>
      <c r="AC317" s="2491">
        <f t="shared" si="64"/>
        <v>3876</v>
      </c>
      <c r="AD317" s="2558"/>
      <c r="AH317" s="2482"/>
      <c r="AI317"/>
    </row>
    <row r="318" spans="1:35" x14ac:dyDescent="0.2">
      <c r="A318" s="2674">
        <v>153</v>
      </c>
      <c r="B318" s="2113">
        <v>67651</v>
      </c>
      <c r="C318" s="2100" t="s">
        <v>867</v>
      </c>
      <c r="D318" s="2114" t="s">
        <v>245</v>
      </c>
      <c r="E318" s="1508">
        <v>3</v>
      </c>
      <c r="F318" s="2114">
        <v>0</v>
      </c>
      <c r="G318" s="2114">
        <v>0</v>
      </c>
      <c r="H318" s="2559">
        <v>64.099999999999994</v>
      </c>
      <c r="I318" s="1794">
        <f t="shared" si="59"/>
        <v>64.099999999999994</v>
      </c>
      <c r="J318" s="1687">
        <v>20000</v>
      </c>
      <c r="K318" s="2492">
        <f t="shared" si="60"/>
        <v>1282000</v>
      </c>
      <c r="L318" s="45"/>
      <c r="M318" s="61"/>
      <c r="N318" s="50"/>
      <c r="O318" s="1506"/>
      <c r="P318" s="19"/>
      <c r="Q318" s="62"/>
      <c r="R318" s="1718"/>
      <c r="S318" s="18"/>
      <c r="T318" s="20"/>
      <c r="U318" s="1664"/>
      <c r="V318" s="47"/>
      <c r="W318" s="1794">
        <f t="shared" si="61"/>
        <v>1282000</v>
      </c>
      <c r="X318" s="1791">
        <f t="shared" si="62"/>
        <v>1282000</v>
      </c>
      <c r="Y318" s="2474"/>
      <c r="Z318" s="1794">
        <f t="shared" si="63"/>
        <v>1282000</v>
      </c>
      <c r="AA318" s="2497">
        <v>0.3</v>
      </c>
      <c r="AB318" s="2498"/>
      <c r="AC318" s="2491">
        <f t="shared" si="64"/>
        <v>3846</v>
      </c>
      <c r="AD318" s="2558"/>
      <c r="AH318" s="2482"/>
      <c r="AI318"/>
    </row>
    <row r="319" spans="1:35" x14ac:dyDescent="0.2">
      <c r="A319" s="2674">
        <v>154</v>
      </c>
      <c r="B319" s="2113">
        <v>67652</v>
      </c>
      <c r="C319" s="2100" t="s">
        <v>868</v>
      </c>
      <c r="D319" s="2114" t="s">
        <v>245</v>
      </c>
      <c r="E319" s="1508">
        <v>3</v>
      </c>
      <c r="F319" s="2485">
        <v>0</v>
      </c>
      <c r="G319" s="2109">
        <v>0</v>
      </c>
      <c r="H319" s="2486">
        <v>64.3</v>
      </c>
      <c r="I319" s="1794">
        <f t="shared" si="59"/>
        <v>64.3</v>
      </c>
      <c r="J319" s="1687">
        <v>20000</v>
      </c>
      <c r="K319" s="2492">
        <f t="shared" si="60"/>
        <v>1286000</v>
      </c>
      <c r="L319" s="2109"/>
      <c r="M319" s="100"/>
      <c r="N319" s="2109"/>
      <c r="O319" s="2109"/>
      <c r="P319" s="2486"/>
      <c r="Q319" s="2488"/>
      <c r="R319" s="2101"/>
      <c r="S319" s="2102"/>
      <c r="T319" s="2489"/>
      <c r="U319" s="2102"/>
      <c r="V319" s="2102"/>
      <c r="W319" s="1794">
        <f t="shared" si="61"/>
        <v>1286000</v>
      </c>
      <c r="X319" s="1791">
        <f t="shared" si="62"/>
        <v>1286000</v>
      </c>
      <c r="Y319" s="2474"/>
      <c r="Z319" s="1794">
        <f t="shared" si="63"/>
        <v>1286000</v>
      </c>
      <c r="AA319" s="2497">
        <v>0.3</v>
      </c>
      <c r="AB319" s="2498"/>
      <c r="AC319" s="2491">
        <f t="shared" si="64"/>
        <v>3858</v>
      </c>
      <c r="AD319" s="2535"/>
      <c r="AH319" s="2482"/>
      <c r="AI319"/>
    </row>
    <row r="320" spans="1:35" x14ac:dyDescent="0.2">
      <c r="A320" s="2674">
        <v>155</v>
      </c>
      <c r="B320" s="2113">
        <v>67653</v>
      </c>
      <c r="C320" s="2100" t="s">
        <v>869</v>
      </c>
      <c r="D320" s="2114" t="s">
        <v>245</v>
      </c>
      <c r="E320" s="1508">
        <v>3</v>
      </c>
      <c r="F320" s="2485">
        <v>0</v>
      </c>
      <c r="G320" s="2109">
        <v>0</v>
      </c>
      <c r="H320" s="2486">
        <v>82.3</v>
      </c>
      <c r="I320" s="1794">
        <f t="shared" si="59"/>
        <v>82.3</v>
      </c>
      <c r="J320" s="1687">
        <v>20000</v>
      </c>
      <c r="K320" s="2492">
        <f t="shared" si="60"/>
        <v>1646000</v>
      </c>
      <c r="L320" s="2109"/>
      <c r="M320" s="100"/>
      <c r="N320" s="2109"/>
      <c r="O320" s="2109"/>
      <c r="P320" s="2486"/>
      <c r="Q320" s="2488"/>
      <c r="R320" s="2101"/>
      <c r="S320" s="2102"/>
      <c r="T320" s="2489"/>
      <c r="U320" s="2102"/>
      <c r="V320" s="2102"/>
      <c r="W320" s="1794">
        <f t="shared" si="61"/>
        <v>1646000</v>
      </c>
      <c r="X320" s="1791">
        <f t="shared" si="62"/>
        <v>1646000</v>
      </c>
      <c r="Y320" s="2474"/>
      <c r="Z320" s="1794">
        <f t="shared" si="63"/>
        <v>1646000</v>
      </c>
      <c r="AA320" s="2497">
        <v>0.3</v>
      </c>
      <c r="AB320" s="2498"/>
      <c r="AC320" s="2491">
        <f t="shared" si="64"/>
        <v>4938</v>
      </c>
      <c r="AD320" s="2536"/>
      <c r="AH320" s="2482"/>
      <c r="AI320"/>
    </row>
    <row r="321" spans="1:35" x14ac:dyDescent="0.2">
      <c r="A321" s="2674">
        <v>156</v>
      </c>
      <c r="B321" s="2113">
        <v>67654</v>
      </c>
      <c r="C321" s="2100" t="s">
        <v>870</v>
      </c>
      <c r="D321" s="2114" t="s">
        <v>245</v>
      </c>
      <c r="E321" s="1508">
        <v>3</v>
      </c>
      <c r="F321" s="2485">
        <v>0</v>
      </c>
      <c r="G321" s="2109">
        <v>0</v>
      </c>
      <c r="H321" s="2486">
        <v>75.5</v>
      </c>
      <c r="I321" s="1794">
        <f t="shared" si="59"/>
        <v>75.5</v>
      </c>
      <c r="J321" s="1687">
        <v>20000</v>
      </c>
      <c r="K321" s="2492">
        <f t="shared" si="60"/>
        <v>1510000</v>
      </c>
      <c r="L321" s="2109"/>
      <c r="M321" s="100"/>
      <c r="N321" s="2109"/>
      <c r="O321" s="2109"/>
      <c r="P321" s="2486"/>
      <c r="Q321" s="2488"/>
      <c r="R321" s="2493"/>
      <c r="S321" s="2494"/>
      <c r="T321" s="2495"/>
      <c r="U321" s="2494"/>
      <c r="V321" s="2494"/>
      <c r="W321" s="1794">
        <f t="shared" si="61"/>
        <v>1510000</v>
      </c>
      <c r="X321" s="1791">
        <f t="shared" si="62"/>
        <v>1510000</v>
      </c>
      <c r="Y321" s="2496"/>
      <c r="Z321" s="1794">
        <f t="shared" si="63"/>
        <v>1510000</v>
      </c>
      <c r="AA321" s="2497">
        <v>0.3</v>
      </c>
      <c r="AB321" s="2498"/>
      <c r="AC321" s="2491">
        <f t="shared" si="64"/>
        <v>4530</v>
      </c>
      <c r="AD321" s="2536"/>
      <c r="AH321" s="2482"/>
      <c r="AI321"/>
    </row>
    <row r="322" spans="1:35" x14ac:dyDescent="0.2">
      <c r="A322" s="2674">
        <v>157</v>
      </c>
      <c r="B322" s="2113">
        <v>67655</v>
      </c>
      <c r="C322" s="2100" t="s">
        <v>871</v>
      </c>
      <c r="D322" s="2114" t="s">
        <v>245</v>
      </c>
      <c r="E322" s="1508">
        <v>3</v>
      </c>
      <c r="F322" s="2485">
        <v>0</v>
      </c>
      <c r="G322" s="2109">
        <v>0</v>
      </c>
      <c r="H322" s="2486">
        <v>63</v>
      </c>
      <c r="I322" s="1794">
        <f t="shared" si="59"/>
        <v>63</v>
      </c>
      <c r="J322" s="1687">
        <v>20000</v>
      </c>
      <c r="K322" s="2492">
        <f t="shared" si="60"/>
        <v>1260000</v>
      </c>
      <c r="L322" s="2109"/>
      <c r="M322" s="100"/>
      <c r="N322" s="2109"/>
      <c r="O322" s="2109"/>
      <c r="P322" s="2486"/>
      <c r="Q322" s="2488"/>
      <c r="R322" s="2493"/>
      <c r="S322" s="2494"/>
      <c r="T322" s="2495"/>
      <c r="U322" s="2494"/>
      <c r="V322" s="2494"/>
      <c r="W322" s="1794">
        <f t="shared" si="61"/>
        <v>1260000</v>
      </c>
      <c r="X322" s="1791">
        <f t="shared" si="62"/>
        <v>1260000</v>
      </c>
      <c r="Y322" s="2496"/>
      <c r="Z322" s="1794">
        <f t="shared" si="63"/>
        <v>1260000</v>
      </c>
      <c r="AA322" s="2497">
        <v>0.3</v>
      </c>
      <c r="AB322" s="2498"/>
      <c r="AC322" s="2491">
        <f t="shared" si="64"/>
        <v>3780</v>
      </c>
      <c r="AD322" s="2536"/>
      <c r="AH322" s="2482"/>
      <c r="AI322"/>
    </row>
    <row r="323" spans="1:35" x14ac:dyDescent="0.2">
      <c r="A323" s="2674">
        <v>158</v>
      </c>
      <c r="B323" s="2113">
        <v>67656</v>
      </c>
      <c r="C323" s="2100" t="s">
        <v>872</v>
      </c>
      <c r="D323" s="2114" t="s">
        <v>245</v>
      </c>
      <c r="E323" s="1508">
        <v>3</v>
      </c>
      <c r="F323" s="2472">
        <v>0</v>
      </c>
      <c r="G323" s="2113">
        <v>0</v>
      </c>
      <c r="H323" s="2477">
        <v>71.3</v>
      </c>
      <c r="I323" s="1794">
        <f t="shared" si="59"/>
        <v>71.3</v>
      </c>
      <c r="J323" s="1687">
        <v>20000</v>
      </c>
      <c r="K323" s="2492">
        <f t="shared" si="60"/>
        <v>1426000</v>
      </c>
      <c r="L323" s="2109"/>
      <c r="M323" s="100"/>
      <c r="N323" s="2109"/>
      <c r="O323" s="2109"/>
      <c r="P323" s="2486"/>
      <c r="Q323" s="2488"/>
      <c r="R323" s="2493"/>
      <c r="S323" s="2494"/>
      <c r="T323" s="2495"/>
      <c r="U323" s="2494"/>
      <c r="V323" s="2494"/>
      <c r="W323" s="1794">
        <f t="shared" si="61"/>
        <v>1426000</v>
      </c>
      <c r="X323" s="1791">
        <f t="shared" si="62"/>
        <v>1426000</v>
      </c>
      <c r="Y323" s="2496"/>
      <c r="Z323" s="1794">
        <f t="shared" si="63"/>
        <v>1426000</v>
      </c>
      <c r="AA323" s="2497">
        <v>0.3</v>
      </c>
      <c r="AB323" s="2498"/>
      <c r="AC323" s="2491">
        <f t="shared" si="64"/>
        <v>4278</v>
      </c>
      <c r="AD323" s="2536"/>
      <c r="AH323" s="2482"/>
      <c r="AI323"/>
    </row>
    <row r="324" spans="1:35" x14ac:dyDescent="0.2">
      <c r="A324" s="2674">
        <v>159</v>
      </c>
      <c r="B324" s="2113">
        <v>67657</v>
      </c>
      <c r="C324" s="2100" t="s">
        <v>758</v>
      </c>
      <c r="D324" s="2114" t="s">
        <v>245</v>
      </c>
      <c r="E324" s="1508">
        <v>3</v>
      </c>
      <c r="F324" s="2472">
        <v>0</v>
      </c>
      <c r="G324" s="2113">
        <v>0</v>
      </c>
      <c r="H324" s="2477">
        <v>60</v>
      </c>
      <c r="I324" s="1794">
        <f t="shared" si="59"/>
        <v>60</v>
      </c>
      <c r="J324" s="1687">
        <v>20000</v>
      </c>
      <c r="K324" s="2492">
        <f t="shared" si="60"/>
        <v>1200000</v>
      </c>
      <c r="L324" s="2109"/>
      <c r="M324" s="100"/>
      <c r="N324" s="2109"/>
      <c r="O324" s="2109"/>
      <c r="P324" s="2486"/>
      <c r="Q324" s="2488"/>
      <c r="R324" s="2493"/>
      <c r="S324" s="2494"/>
      <c r="T324" s="2495"/>
      <c r="U324" s="2494"/>
      <c r="V324" s="2494"/>
      <c r="W324" s="1794">
        <f t="shared" si="61"/>
        <v>1200000</v>
      </c>
      <c r="X324" s="1791">
        <f t="shared" si="62"/>
        <v>1200000</v>
      </c>
      <c r="Y324" s="2496"/>
      <c r="Z324" s="1794">
        <f t="shared" si="63"/>
        <v>1200000</v>
      </c>
      <c r="AA324" s="2497">
        <v>0.3</v>
      </c>
      <c r="AB324" s="2498"/>
      <c r="AC324" s="2491">
        <f t="shared" si="64"/>
        <v>3600</v>
      </c>
      <c r="AD324" s="2536"/>
      <c r="AH324" s="2482"/>
      <c r="AI324"/>
    </row>
    <row r="325" spans="1:35" x14ac:dyDescent="0.2">
      <c r="A325" s="2674">
        <v>160</v>
      </c>
      <c r="B325" s="2113">
        <v>67658</v>
      </c>
      <c r="C325" s="2100" t="s">
        <v>873</v>
      </c>
      <c r="D325" s="2114" t="s">
        <v>245</v>
      </c>
      <c r="E325" s="1508">
        <v>3</v>
      </c>
      <c r="F325" s="2472">
        <v>0</v>
      </c>
      <c r="G325" s="2113">
        <v>0</v>
      </c>
      <c r="H325" s="2477">
        <v>60</v>
      </c>
      <c r="I325" s="1794">
        <f t="shared" si="59"/>
        <v>60</v>
      </c>
      <c r="J325" s="1687">
        <v>20000</v>
      </c>
      <c r="K325" s="2492">
        <f t="shared" si="60"/>
        <v>1200000</v>
      </c>
      <c r="L325" s="2109"/>
      <c r="M325" s="100"/>
      <c r="N325" s="2109"/>
      <c r="O325" s="2109"/>
      <c r="P325" s="2486"/>
      <c r="Q325" s="2488"/>
      <c r="R325" s="2493"/>
      <c r="S325" s="2494"/>
      <c r="T325" s="2495"/>
      <c r="U325" s="2494"/>
      <c r="V325" s="2494"/>
      <c r="W325" s="1794">
        <f t="shared" si="61"/>
        <v>1200000</v>
      </c>
      <c r="X325" s="1791">
        <f t="shared" si="62"/>
        <v>1200000</v>
      </c>
      <c r="Y325" s="2496"/>
      <c r="Z325" s="1794">
        <f t="shared" si="63"/>
        <v>1200000</v>
      </c>
      <c r="AA325" s="2497">
        <v>0.3</v>
      </c>
      <c r="AB325" s="2498"/>
      <c r="AC325" s="2491">
        <f t="shared" si="64"/>
        <v>3600</v>
      </c>
      <c r="AD325" s="2536"/>
      <c r="AH325" s="2482"/>
      <c r="AI325"/>
    </row>
    <row r="326" spans="1:35" x14ac:dyDescent="0.2">
      <c r="A326" s="2674">
        <v>161</v>
      </c>
      <c r="B326" s="2113">
        <v>67659</v>
      </c>
      <c r="C326" s="2100" t="s">
        <v>874</v>
      </c>
      <c r="D326" s="2114" t="s">
        <v>245</v>
      </c>
      <c r="E326" s="1508">
        <v>3</v>
      </c>
      <c r="F326" s="2472">
        <v>0</v>
      </c>
      <c r="G326" s="2113">
        <v>0</v>
      </c>
      <c r="H326" s="2477">
        <v>60</v>
      </c>
      <c r="I326" s="1794">
        <f t="shared" si="59"/>
        <v>60</v>
      </c>
      <c r="J326" s="1687">
        <v>20000</v>
      </c>
      <c r="K326" s="2492">
        <f t="shared" si="60"/>
        <v>1200000</v>
      </c>
      <c r="L326" s="2109"/>
      <c r="M326" s="100"/>
      <c r="N326" s="2109"/>
      <c r="O326" s="2109"/>
      <c r="P326" s="2486"/>
      <c r="Q326" s="2488"/>
      <c r="R326" s="2493"/>
      <c r="S326" s="2494"/>
      <c r="T326" s="2495"/>
      <c r="U326" s="2494"/>
      <c r="V326" s="2494"/>
      <c r="W326" s="1794">
        <f t="shared" si="61"/>
        <v>1200000</v>
      </c>
      <c r="X326" s="1791">
        <f t="shared" si="62"/>
        <v>1200000</v>
      </c>
      <c r="Y326" s="2496"/>
      <c r="Z326" s="1794">
        <f t="shared" si="63"/>
        <v>1200000</v>
      </c>
      <c r="AA326" s="2497">
        <v>0.3</v>
      </c>
      <c r="AB326" s="2498"/>
      <c r="AC326" s="2491">
        <f t="shared" si="64"/>
        <v>3600</v>
      </c>
      <c r="AD326" s="2536"/>
      <c r="AH326" s="2482"/>
      <c r="AI326"/>
    </row>
    <row r="327" spans="1:35" x14ac:dyDescent="0.2">
      <c r="A327" s="2674">
        <v>162</v>
      </c>
      <c r="B327" s="2113">
        <v>67660</v>
      </c>
      <c r="C327" s="2100" t="s">
        <v>875</v>
      </c>
      <c r="D327" s="2114" t="s">
        <v>245</v>
      </c>
      <c r="E327" s="1508">
        <v>3</v>
      </c>
      <c r="F327" s="2472">
        <v>0</v>
      </c>
      <c r="G327" s="2113">
        <v>0</v>
      </c>
      <c r="H327" s="2477">
        <v>80.2</v>
      </c>
      <c r="I327" s="1794">
        <f t="shared" si="59"/>
        <v>80.2</v>
      </c>
      <c r="J327" s="1687">
        <v>20000</v>
      </c>
      <c r="K327" s="2492">
        <f t="shared" si="60"/>
        <v>1604000</v>
      </c>
      <c r="L327" s="2109"/>
      <c r="M327" s="100"/>
      <c r="N327" s="2109"/>
      <c r="O327" s="2109"/>
      <c r="P327" s="2486"/>
      <c r="Q327" s="2488"/>
      <c r="R327" s="2493"/>
      <c r="S327" s="2494"/>
      <c r="T327" s="2495"/>
      <c r="U327" s="2494"/>
      <c r="V327" s="2494"/>
      <c r="W327" s="1794">
        <f t="shared" si="61"/>
        <v>1604000</v>
      </c>
      <c r="X327" s="1791">
        <f t="shared" si="62"/>
        <v>1604000</v>
      </c>
      <c r="Y327" s="2496"/>
      <c r="Z327" s="1794">
        <f t="shared" si="63"/>
        <v>1604000</v>
      </c>
      <c r="AA327" s="2497">
        <v>0.3</v>
      </c>
      <c r="AB327" s="2498"/>
      <c r="AC327" s="2491">
        <f t="shared" si="64"/>
        <v>4812</v>
      </c>
      <c r="AD327" s="2536"/>
      <c r="AH327" s="2482"/>
      <c r="AI327"/>
    </row>
    <row r="328" spans="1:35" x14ac:dyDescent="0.2">
      <c r="A328" s="2674">
        <v>163</v>
      </c>
      <c r="B328" s="2113">
        <v>67661</v>
      </c>
      <c r="C328" s="2100" t="s">
        <v>876</v>
      </c>
      <c r="D328" s="2114" t="s">
        <v>245</v>
      </c>
      <c r="E328" s="1508">
        <v>3</v>
      </c>
      <c r="F328" s="2472">
        <v>0</v>
      </c>
      <c r="G328" s="2113">
        <v>0</v>
      </c>
      <c r="H328" s="2477">
        <v>74.2</v>
      </c>
      <c r="I328" s="1794">
        <f t="shared" si="59"/>
        <v>74.2</v>
      </c>
      <c r="J328" s="1687">
        <v>20000</v>
      </c>
      <c r="K328" s="2492">
        <f t="shared" si="60"/>
        <v>1484000</v>
      </c>
      <c r="L328" s="2109"/>
      <c r="M328" s="100"/>
      <c r="N328" s="2109"/>
      <c r="O328" s="2109"/>
      <c r="P328" s="2486"/>
      <c r="Q328" s="2488"/>
      <c r="R328" s="2493"/>
      <c r="S328" s="2494"/>
      <c r="T328" s="2495"/>
      <c r="U328" s="2494"/>
      <c r="V328" s="2494"/>
      <c r="W328" s="1794">
        <f t="shared" si="61"/>
        <v>1484000</v>
      </c>
      <c r="X328" s="1791">
        <f t="shared" si="62"/>
        <v>1484000</v>
      </c>
      <c r="Y328" s="2496"/>
      <c r="Z328" s="1794">
        <f t="shared" si="63"/>
        <v>1484000</v>
      </c>
      <c r="AA328" s="2497">
        <v>0.3</v>
      </c>
      <c r="AB328" s="2498"/>
      <c r="AC328" s="2491">
        <f t="shared" si="64"/>
        <v>4452</v>
      </c>
      <c r="AD328" s="2536"/>
      <c r="AH328" s="2482"/>
      <c r="AI328"/>
    </row>
    <row r="329" spans="1:35" x14ac:dyDescent="0.2">
      <c r="A329" s="2674">
        <v>164</v>
      </c>
      <c r="B329" s="2113">
        <v>67662</v>
      </c>
      <c r="C329" s="2100" t="s">
        <v>877</v>
      </c>
      <c r="D329" s="2114" t="s">
        <v>245</v>
      </c>
      <c r="E329" s="1508">
        <v>3</v>
      </c>
      <c r="F329" s="2472">
        <v>0</v>
      </c>
      <c r="G329" s="2113">
        <v>0</v>
      </c>
      <c r="H329" s="2477">
        <v>68.400000000000006</v>
      </c>
      <c r="I329" s="1794">
        <f t="shared" si="59"/>
        <v>68.400000000000006</v>
      </c>
      <c r="J329" s="1687">
        <v>20000</v>
      </c>
      <c r="K329" s="2492">
        <f t="shared" si="60"/>
        <v>1368000</v>
      </c>
      <c r="L329" s="2109"/>
      <c r="M329" s="100"/>
      <c r="N329" s="2109"/>
      <c r="O329" s="2109"/>
      <c r="P329" s="2486"/>
      <c r="Q329" s="2488"/>
      <c r="R329" s="2493"/>
      <c r="S329" s="2494"/>
      <c r="T329" s="2495"/>
      <c r="U329" s="2494"/>
      <c r="V329" s="2494"/>
      <c r="W329" s="1794">
        <f t="shared" si="61"/>
        <v>1368000</v>
      </c>
      <c r="X329" s="1791">
        <f t="shared" si="62"/>
        <v>1368000</v>
      </c>
      <c r="Y329" s="2496"/>
      <c r="Z329" s="1794">
        <f t="shared" si="63"/>
        <v>1368000</v>
      </c>
      <c r="AA329" s="2497">
        <v>0.3</v>
      </c>
      <c r="AB329" s="2498"/>
      <c r="AC329" s="2491">
        <f t="shared" si="64"/>
        <v>4104</v>
      </c>
      <c r="AD329" s="2536"/>
      <c r="AH329" s="2482"/>
      <c r="AI329"/>
    </row>
    <row r="330" spans="1:35" x14ac:dyDescent="0.2">
      <c r="A330" s="2674">
        <v>165</v>
      </c>
      <c r="B330" s="2113">
        <v>67663</v>
      </c>
      <c r="C330" s="2100" t="s">
        <v>878</v>
      </c>
      <c r="D330" s="2114" t="s">
        <v>245</v>
      </c>
      <c r="E330" s="1508">
        <v>3</v>
      </c>
      <c r="F330" s="2114">
        <v>0</v>
      </c>
      <c r="G330" s="2114">
        <v>0</v>
      </c>
      <c r="H330" s="2115">
        <v>73.900000000000006</v>
      </c>
      <c r="I330" s="1794">
        <f t="shared" si="59"/>
        <v>73.900000000000006</v>
      </c>
      <c r="J330" s="1687">
        <v>20000</v>
      </c>
      <c r="K330" s="2492">
        <f t="shared" si="60"/>
        <v>1478000</v>
      </c>
      <c r="L330" s="45"/>
      <c r="M330" s="61"/>
      <c r="N330" s="50"/>
      <c r="O330" s="1506"/>
      <c r="P330" s="19"/>
      <c r="Q330" s="62"/>
      <c r="R330" s="1718"/>
      <c r="S330" s="18"/>
      <c r="T330" s="20"/>
      <c r="U330" s="1664"/>
      <c r="V330" s="47"/>
      <c r="W330" s="1794">
        <f t="shared" si="61"/>
        <v>1478000</v>
      </c>
      <c r="X330" s="1791">
        <f t="shared" si="62"/>
        <v>1478000</v>
      </c>
      <c r="Y330" s="2474"/>
      <c r="Z330" s="1794">
        <f t="shared" si="63"/>
        <v>1478000</v>
      </c>
      <c r="AA330" s="2497">
        <v>0.3</v>
      </c>
      <c r="AB330" s="2498"/>
      <c r="AC330" s="2491">
        <f t="shared" si="64"/>
        <v>4434</v>
      </c>
      <c r="AD330" s="2536"/>
      <c r="AH330" s="2482"/>
      <c r="AI330"/>
    </row>
    <row r="331" spans="1:35" x14ac:dyDescent="0.2">
      <c r="A331" s="2674">
        <v>166</v>
      </c>
      <c r="B331" s="2113">
        <v>67664</v>
      </c>
      <c r="C331" s="2100" t="s">
        <v>879</v>
      </c>
      <c r="D331" s="2114" t="s">
        <v>245</v>
      </c>
      <c r="E331" s="1508">
        <v>3</v>
      </c>
      <c r="F331" s="2114">
        <v>0</v>
      </c>
      <c r="G331" s="2114">
        <v>0</v>
      </c>
      <c r="H331" s="2115">
        <v>60.8</v>
      </c>
      <c r="I331" s="1794">
        <f t="shared" si="59"/>
        <v>60.8</v>
      </c>
      <c r="J331" s="1687">
        <v>20000</v>
      </c>
      <c r="K331" s="2492">
        <f t="shared" si="60"/>
        <v>1216000</v>
      </c>
      <c r="L331" s="45"/>
      <c r="M331" s="61"/>
      <c r="N331" s="50"/>
      <c r="O331" s="1506"/>
      <c r="P331" s="19"/>
      <c r="Q331" s="62"/>
      <c r="R331" s="1718"/>
      <c r="S331" s="18"/>
      <c r="T331" s="20"/>
      <c r="U331" s="1664"/>
      <c r="V331" s="47"/>
      <c r="W331" s="1794">
        <f t="shared" si="61"/>
        <v>1216000</v>
      </c>
      <c r="X331" s="1791">
        <f t="shared" si="62"/>
        <v>1216000</v>
      </c>
      <c r="Y331" s="2474"/>
      <c r="Z331" s="1794">
        <f t="shared" si="63"/>
        <v>1216000</v>
      </c>
      <c r="AA331" s="2497">
        <v>0.3</v>
      </c>
      <c r="AB331" s="2498"/>
      <c r="AC331" s="2491">
        <f t="shared" si="64"/>
        <v>3648</v>
      </c>
      <c r="AD331" s="2536"/>
      <c r="AH331" s="2482"/>
      <c r="AI331"/>
    </row>
    <row r="332" spans="1:35" x14ac:dyDescent="0.2">
      <c r="A332" s="2674">
        <v>167</v>
      </c>
      <c r="B332" s="2113">
        <v>67665</v>
      </c>
      <c r="C332" s="2100" t="s">
        <v>880</v>
      </c>
      <c r="D332" s="2114" t="s">
        <v>245</v>
      </c>
      <c r="E332" s="1508">
        <v>3</v>
      </c>
      <c r="F332" s="2114">
        <v>0</v>
      </c>
      <c r="G332" s="2114">
        <v>0</v>
      </c>
      <c r="H332" s="2115">
        <v>60.8</v>
      </c>
      <c r="I332" s="1794">
        <f t="shared" si="59"/>
        <v>60.8</v>
      </c>
      <c r="J332" s="1687">
        <v>20000</v>
      </c>
      <c r="K332" s="2492">
        <f t="shared" si="60"/>
        <v>1216000</v>
      </c>
      <c r="L332" s="45"/>
      <c r="M332" s="61"/>
      <c r="N332" s="50"/>
      <c r="O332" s="1506"/>
      <c r="P332" s="19"/>
      <c r="Q332" s="62"/>
      <c r="R332" s="1718"/>
      <c r="S332" s="18"/>
      <c r="T332" s="20"/>
      <c r="U332" s="1664"/>
      <c r="V332" s="47"/>
      <c r="W332" s="1794">
        <f t="shared" si="61"/>
        <v>1216000</v>
      </c>
      <c r="X332" s="1791">
        <f t="shared" si="62"/>
        <v>1216000</v>
      </c>
      <c r="Y332" s="2474"/>
      <c r="Z332" s="1794">
        <f t="shared" si="63"/>
        <v>1216000</v>
      </c>
      <c r="AA332" s="2497">
        <v>0.3</v>
      </c>
      <c r="AB332" s="2498"/>
      <c r="AC332" s="2491">
        <f t="shared" si="64"/>
        <v>3648</v>
      </c>
      <c r="AD332" s="2536"/>
      <c r="AH332" s="2491"/>
      <c r="AI332"/>
    </row>
    <row r="333" spans="1:35" x14ac:dyDescent="0.2">
      <c r="A333" s="2674">
        <v>168</v>
      </c>
      <c r="B333" s="2113">
        <v>67666</v>
      </c>
      <c r="C333" s="2100" t="s">
        <v>881</v>
      </c>
      <c r="D333" s="2114" t="s">
        <v>245</v>
      </c>
      <c r="E333" s="1508">
        <v>3</v>
      </c>
      <c r="F333" s="2114">
        <v>0</v>
      </c>
      <c r="G333" s="2114">
        <v>0</v>
      </c>
      <c r="H333" s="2115">
        <v>60.8</v>
      </c>
      <c r="I333" s="1794">
        <f t="shared" si="59"/>
        <v>60.8</v>
      </c>
      <c r="J333" s="1687">
        <v>20000</v>
      </c>
      <c r="K333" s="2492">
        <f t="shared" si="60"/>
        <v>1216000</v>
      </c>
      <c r="L333" s="45"/>
      <c r="M333" s="61"/>
      <c r="N333" s="50"/>
      <c r="O333" s="1506"/>
      <c r="P333" s="19"/>
      <c r="Q333" s="62"/>
      <c r="R333" s="1718"/>
      <c r="S333" s="18"/>
      <c r="T333" s="20"/>
      <c r="U333" s="1664"/>
      <c r="V333" s="47"/>
      <c r="W333" s="1794">
        <f t="shared" si="61"/>
        <v>1216000</v>
      </c>
      <c r="X333" s="1791">
        <f t="shared" si="62"/>
        <v>1216000</v>
      </c>
      <c r="Y333" s="2474"/>
      <c r="Z333" s="1794">
        <f t="shared" si="63"/>
        <v>1216000</v>
      </c>
      <c r="AA333" s="2497">
        <v>0.3</v>
      </c>
      <c r="AB333" s="2498"/>
      <c r="AC333" s="2491">
        <f t="shared" si="64"/>
        <v>3648</v>
      </c>
      <c r="AD333" s="2536"/>
      <c r="AH333" s="2546"/>
      <c r="AI333"/>
    </row>
    <row r="334" spans="1:35" x14ac:dyDescent="0.2">
      <c r="A334" s="2674">
        <v>169</v>
      </c>
      <c r="B334" s="2113">
        <v>67667</v>
      </c>
      <c r="C334" s="2100" t="s">
        <v>882</v>
      </c>
      <c r="D334" s="2114" t="s">
        <v>245</v>
      </c>
      <c r="E334" s="1508">
        <v>3</v>
      </c>
      <c r="F334" s="2114">
        <v>0</v>
      </c>
      <c r="G334" s="2114">
        <v>0</v>
      </c>
      <c r="H334" s="2557">
        <v>81</v>
      </c>
      <c r="I334" s="1794">
        <f t="shared" si="59"/>
        <v>81</v>
      </c>
      <c r="J334" s="1687">
        <v>20000</v>
      </c>
      <c r="K334" s="2492">
        <f t="shared" si="60"/>
        <v>1620000</v>
      </c>
      <c r="L334" s="45"/>
      <c r="M334" s="61"/>
      <c r="N334" s="50"/>
      <c r="O334" s="1506"/>
      <c r="P334" s="19"/>
      <c r="Q334" s="62"/>
      <c r="R334" s="1718"/>
      <c r="S334" s="18"/>
      <c r="T334" s="20"/>
      <c r="U334" s="1664"/>
      <c r="V334" s="47"/>
      <c r="W334" s="1794">
        <f t="shared" si="61"/>
        <v>1620000</v>
      </c>
      <c r="X334" s="1791">
        <f t="shared" si="62"/>
        <v>1620000</v>
      </c>
      <c r="Y334" s="2474"/>
      <c r="Z334" s="1794">
        <f t="shared" si="63"/>
        <v>1620000</v>
      </c>
      <c r="AA334" s="2497">
        <v>0.3</v>
      </c>
      <c r="AB334" s="2498"/>
      <c r="AC334" s="2491">
        <f t="shared" si="64"/>
        <v>4860</v>
      </c>
      <c r="AD334" s="2536"/>
      <c r="AH334" s="2491"/>
      <c r="AI334"/>
    </row>
    <row r="335" spans="1:35" ht="15" thickBot="1" x14ac:dyDescent="0.25">
      <c r="A335" s="34"/>
      <c r="B335" s="34"/>
      <c r="C335" s="34"/>
      <c r="D335" s="34"/>
      <c r="E335" s="34"/>
      <c r="F335" s="34"/>
      <c r="G335" s="34"/>
      <c r="H335" s="35"/>
      <c r="I335" s="36"/>
      <c r="J335" s="37"/>
      <c r="K335" s="2562"/>
      <c r="L335" s="2562"/>
      <c r="M335" s="2562"/>
      <c r="N335" s="2562"/>
      <c r="O335" s="2562"/>
      <c r="P335" s="2562"/>
      <c r="Q335" s="2562"/>
      <c r="R335" s="2563"/>
      <c r="S335" s="2562"/>
      <c r="T335" s="38"/>
      <c r="U335" s="2564"/>
      <c r="V335" s="2562"/>
      <c r="W335" s="2839"/>
      <c r="X335" s="2840"/>
      <c r="Y335" s="2841"/>
      <c r="Z335" s="2612">
        <f>SUM(Z316:Z334)</f>
        <v>25790000</v>
      </c>
      <c r="AA335" s="2613"/>
      <c r="AB335" s="2613"/>
      <c r="AC335" s="2614">
        <f>SUM(AC316:AC334)</f>
        <v>77370</v>
      </c>
      <c r="AD335" s="2614">
        <f t="shared" ref="AD335:AG335" si="65">SUM(AD316:AD334)</f>
        <v>0</v>
      </c>
      <c r="AE335" s="2614">
        <f t="shared" si="65"/>
        <v>0</v>
      </c>
      <c r="AF335" s="2614">
        <f t="shared" si="65"/>
        <v>0</v>
      </c>
      <c r="AG335" s="2614">
        <f t="shared" si="65"/>
        <v>0</v>
      </c>
      <c r="AH335" s="2614"/>
      <c r="AI335"/>
    </row>
    <row r="336" spans="1:35" ht="16.5" thickTop="1" x14ac:dyDescent="0.25">
      <c r="A336" s="2842" t="s">
        <v>76</v>
      </c>
      <c r="B336" s="2842"/>
      <c r="C336" s="2843" t="s">
        <v>77</v>
      </c>
      <c r="D336" s="2843"/>
      <c r="E336" s="2843"/>
      <c r="F336" s="2843"/>
      <c r="G336" s="2843"/>
      <c r="H336" s="2843"/>
      <c r="I336" s="2567" t="s">
        <v>78</v>
      </c>
      <c r="J336" s="2567"/>
      <c r="K336" s="2567"/>
      <c r="L336" s="2567"/>
      <c r="M336" s="2567"/>
      <c r="N336" s="2567"/>
      <c r="AC336" s="2476"/>
      <c r="AI336"/>
    </row>
    <row r="337" spans="1:35" ht="15.75" x14ac:dyDescent="0.25">
      <c r="A337" s="2568"/>
      <c r="B337" s="2569"/>
      <c r="C337" s="2567"/>
      <c r="D337" s="2567"/>
      <c r="E337" s="2567"/>
      <c r="F337" s="2567"/>
      <c r="G337" s="2567"/>
      <c r="H337" s="2567"/>
      <c r="I337" s="2567" t="s">
        <v>79</v>
      </c>
      <c r="J337" s="2567"/>
      <c r="K337" s="2567"/>
      <c r="L337" s="2567"/>
      <c r="M337" s="2567"/>
      <c r="N337" s="2567"/>
      <c r="AC337" s="2476"/>
      <c r="AI337"/>
    </row>
    <row r="338" spans="1:35" ht="15.75" x14ac:dyDescent="0.25">
      <c r="A338" s="2568"/>
      <c r="B338" s="2569"/>
      <c r="C338" s="2567"/>
      <c r="D338" s="2567"/>
      <c r="E338" s="2567"/>
      <c r="F338" s="2567"/>
      <c r="G338" s="2567"/>
      <c r="H338" s="2567"/>
      <c r="I338" s="2567" t="s">
        <v>80</v>
      </c>
      <c r="J338" s="2567"/>
      <c r="K338" s="2567"/>
      <c r="L338" s="2567"/>
      <c r="M338" s="2567"/>
      <c r="N338" s="2567"/>
      <c r="AC338" s="2476"/>
      <c r="AI338"/>
    </row>
    <row r="339" spans="1:35" ht="15.75" x14ac:dyDescent="0.25">
      <c r="A339" s="2568"/>
      <c r="B339" s="2569"/>
      <c r="C339" s="2567"/>
      <c r="D339" s="2567"/>
      <c r="E339" s="2567"/>
      <c r="F339" s="2567"/>
      <c r="G339" s="2567"/>
      <c r="H339" s="2567"/>
      <c r="I339" s="2567" t="s">
        <v>81</v>
      </c>
      <c r="J339" s="2567"/>
      <c r="K339" s="2567"/>
      <c r="L339" s="2567"/>
      <c r="M339" s="2567"/>
      <c r="N339" s="2567"/>
      <c r="AC339" s="2476"/>
      <c r="AI339"/>
    </row>
    <row r="340" spans="1:35" ht="18" customHeight="1" x14ac:dyDescent="0.25">
      <c r="A340" s="2568"/>
      <c r="B340" s="2569"/>
      <c r="C340" s="2567"/>
      <c r="D340" s="2567"/>
      <c r="E340" s="2567"/>
      <c r="F340" s="2567"/>
      <c r="G340" s="2567"/>
      <c r="H340" s="2567"/>
      <c r="I340" s="2567" t="s">
        <v>88</v>
      </c>
      <c r="J340" s="2567"/>
      <c r="K340" s="2567"/>
      <c r="L340" s="2567"/>
      <c r="M340" s="2567"/>
      <c r="N340" s="2567"/>
      <c r="AC340" s="2476"/>
      <c r="AI340"/>
    </row>
    <row r="341" spans="1:35" ht="18" customHeight="1" x14ac:dyDescent="0.25">
      <c r="A341" s="2568"/>
      <c r="B341" s="2569"/>
      <c r="C341" s="2567"/>
      <c r="D341" s="2567"/>
      <c r="E341" s="2567"/>
      <c r="F341" s="2567"/>
      <c r="G341" s="2567"/>
      <c r="H341" s="2567"/>
      <c r="I341" s="2567"/>
      <c r="J341" s="2567"/>
      <c r="K341" s="2567"/>
      <c r="L341" s="2567"/>
      <c r="M341" s="2567"/>
      <c r="N341" s="2567"/>
      <c r="AC341" s="2476"/>
      <c r="AI341"/>
    </row>
    <row r="342" spans="1:35" ht="18" customHeight="1" x14ac:dyDescent="0.25">
      <c r="A342" s="2568"/>
      <c r="B342" s="2569"/>
      <c r="C342" s="2567"/>
      <c r="D342" s="2567"/>
      <c r="E342" s="2567"/>
      <c r="F342" s="2567"/>
      <c r="G342" s="2567"/>
      <c r="H342" s="2567"/>
      <c r="I342" s="2567"/>
      <c r="J342" s="2567"/>
      <c r="K342" s="2567"/>
      <c r="L342" s="2567"/>
      <c r="M342" s="2567"/>
      <c r="N342" s="2567"/>
      <c r="AC342" s="2476"/>
      <c r="AI342"/>
    </row>
    <row r="343" spans="1:35" ht="18" customHeight="1" x14ac:dyDescent="0.25">
      <c r="A343" s="2568"/>
      <c r="B343" s="2569"/>
      <c r="C343" s="2567"/>
      <c r="D343" s="2567"/>
      <c r="E343" s="2567"/>
      <c r="F343" s="2567"/>
      <c r="G343" s="2567"/>
      <c r="H343" s="2567"/>
      <c r="I343" s="2567"/>
      <c r="J343" s="2567"/>
      <c r="K343" s="2567"/>
      <c r="L343" s="2567"/>
      <c r="M343" s="2567"/>
      <c r="N343" s="2567"/>
      <c r="AC343" s="2476"/>
      <c r="AI343"/>
    </row>
    <row r="344" spans="1:35" ht="18" customHeight="1" x14ac:dyDescent="0.25">
      <c r="A344" s="2568"/>
      <c r="B344" s="2569"/>
      <c r="C344" s="2567"/>
      <c r="D344" s="2567"/>
      <c r="E344" s="2567"/>
      <c r="F344" s="2567"/>
      <c r="G344" s="2567"/>
      <c r="H344" s="2567"/>
      <c r="I344" s="2567"/>
      <c r="J344" s="2567"/>
      <c r="K344" s="2567"/>
      <c r="L344" s="2567"/>
      <c r="M344" s="2567"/>
      <c r="N344" s="2567"/>
      <c r="AC344" s="2476"/>
      <c r="AI344"/>
    </row>
    <row r="345" spans="1:35" ht="18" customHeight="1" x14ac:dyDescent="0.25">
      <c r="A345" s="2568"/>
      <c r="B345" s="2569"/>
      <c r="C345" s="2567"/>
      <c r="D345" s="2567"/>
      <c r="E345" s="2567"/>
      <c r="F345" s="2567"/>
      <c r="G345" s="2567"/>
      <c r="H345" s="2567"/>
      <c r="I345" s="2567"/>
      <c r="J345" s="2567"/>
      <c r="K345" s="2567"/>
      <c r="L345" s="2567"/>
      <c r="M345" s="2567"/>
      <c r="N345" s="2567"/>
      <c r="AC345" s="2476"/>
      <c r="AI345"/>
    </row>
    <row r="346" spans="1:35" ht="18" customHeight="1" x14ac:dyDescent="0.25">
      <c r="A346" s="2568"/>
      <c r="B346" s="2569"/>
      <c r="C346" s="2567"/>
      <c r="D346" s="2567"/>
      <c r="E346" s="2567"/>
      <c r="F346" s="2567"/>
      <c r="G346" s="2567"/>
      <c r="H346" s="2567"/>
      <c r="I346" s="2567"/>
      <c r="J346" s="2567"/>
      <c r="K346" s="2567"/>
      <c r="L346" s="2567"/>
      <c r="M346" s="2567"/>
      <c r="N346" s="2567"/>
      <c r="AC346" s="2476"/>
      <c r="AI346"/>
    </row>
    <row r="347" spans="1:35" ht="18" customHeight="1" x14ac:dyDescent="0.25">
      <c r="A347" s="2568"/>
      <c r="B347" s="2569"/>
      <c r="C347" s="2567"/>
      <c r="D347" s="2567"/>
      <c r="E347" s="2567"/>
      <c r="F347" s="2567"/>
      <c r="G347" s="2567"/>
      <c r="H347" s="2567"/>
      <c r="I347" s="2567"/>
      <c r="J347" s="2567"/>
      <c r="K347" s="2567"/>
      <c r="L347" s="2567"/>
      <c r="M347" s="2567"/>
      <c r="N347" s="2567"/>
      <c r="AC347" s="2476"/>
      <c r="AI347"/>
    </row>
    <row r="348" spans="1:35" ht="18" customHeight="1" x14ac:dyDescent="0.25">
      <c r="A348" s="2568"/>
      <c r="B348" s="2569"/>
      <c r="C348" s="2567"/>
      <c r="D348" s="2567"/>
      <c r="E348" s="2567"/>
      <c r="F348" s="2567"/>
      <c r="G348" s="2567"/>
      <c r="H348" s="2567"/>
      <c r="I348" s="2567"/>
      <c r="J348" s="2567"/>
      <c r="K348" s="2567"/>
      <c r="L348" s="2567"/>
      <c r="M348" s="2567"/>
      <c r="N348" s="2567"/>
      <c r="AC348" s="2476"/>
      <c r="AI348"/>
    </row>
    <row r="349" spans="1:35" ht="18" customHeight="1" x14ac:dyDescent="0.2">
      <c r="A349" s="2707" t="s">
        <v>1</v>
      </c>
      <c r="B349" s="2707"/>
      <c r="C349" s="2707"/>
      <c r="D349" s="2707"/>
      <c r="E349" s="2707"/>
      <c r="F349" s="2707"/>
      <c r="G349" s="2707"/>
      <c r="H349" s="2707"/>
      <c r="I349" s="2707"/>
      <c r="J349" s="2707"/>
      <c r="K349" s="2707"/>
      <c r="L349" s="2707"/>
      <c r="M349" s="2707"/>
      <c r="N349" s="2707"/>
      <c r="O349" s="2707"/>
      <c r="P349" s="2707"/>
      <c r="Q349" s="2707"/>
      <c r="R349" s="2707"/>
      <c r="S349" s="2707"/>
      <c r="T349" s="2707"/>
      <c r="U349" s="2707"/>
      <c r="V349" s="2707"/>
      <c r="W349" s="2707"/>
      <c r="X349" s="2707"/>
      <c r="Y349" s="2707"/>
      <c r="Z349" s="2707"/>
      <c r="AA349" s="2707"/>
      <c r="AB349" s="2707"/>
      <c r="AC349" s="2707"/>
      <c r="AI349"/>
    </row>
    <row r="350" spans="1:35" ht="18" customHeight="1" x14ac:dyDescent="0.2">
      <c r="A350" s="2846" t="s">
        <v>984</v>
      </c>
      <c r="B350" s="2846"/>
      <c r="C350" s="2846"/>
      <c r="D350" s="2846"/>
      <c r="E350" s="2846"/>
      <c r="F350" s="2846"/>
      <c r="G350" s="2846"/>
      <c r="H350" s="2846"/>
      <c r="I350" s="2846"/>
      <c r="J350" s="2846"/>
      <c r="K350" s="2846"/>
      <c r="L350" s="2846"/>
      <c r="M350" s="2846"/>
      <c r="N350" s="2846"/>
      <c r="O350" s="2846"/>
      <c r="P350" s="2846"/>
      <c r="Q350" s="2846"/>
      <c r="R350" s="2846"/>
      <c r="S350" s="2846"/>
      <c r="T350" s="2846"/>
      <c r="U350" s="2846"/>
      <c r="V350" s="2846"/>
      <c r="W350" s="2846"/>
      <c r="X350" s="2846"/>
      <c r="Y350" s="2846"/>
      <c r="Z350" s="2846"/>
      <c r="AA350" s="2846"/>
      <c r="AB350" s="2846"/>
      <c r="AC350" s="2846"/>
      <c r="AD350" s="2192"/>
      <c r="AI350"/>
    </row>
    <row r="351" spans="1:35" ht="18" customHeight="1" x14ac:dyDescent="0.25">
      <c r="A351" s="2709" t="s">
        <v>2</v>
      </c>
      <c r="B351" s="2572"/>
      <c r="C351" s="2709" t="s">
        <v>3</v>
      </c>
      <c r="D351" s="2572"/>
      <c r="E351" s="2572"/>
      <c r="F351" s="2712" t="s">
        <v>4</v>
      </c>
      <c r="G351" s="2712"/>
      <c r="H351" s="2712"/>
      <c r="I351" s="2713"/>
      <c r="J351" s="2713"/>
      <c r="K351" s="2714"/>
      <c r="L351" s="2"/>
      <c r="M351" s="2715" t="s">
        <v>5</v>
      </c>
      <c r="N351" s="2715"/>
      <c r="O351" s="2715"/>
      <c r="P351" s="2715"/>
      <c r="Q351" s="2716"/>
      <c r="R351" s="2716"/>
      <c r="S351" s="2716"/>
      <c r="T351" s="2716"/>
      <c r="U351" s="2716"/>
      <c r="V351" s="2717"/>
      <c r="W351" s="2573" t="s">
        <v>6</v>
      </c>
      <c r="X351" s="2574" t="s">
        <v>7</v>
      </c>
      <c r="Y351" s="2575"/>
      <c r="Z351" s="2575"/>
      <c r="AA351" s="2574"/>
      <c r="AB351" s="2574"/>
      <c r="AC351" s="2576"/>
      <c r="AD351" s="2221" t="s">
        <v>8</v>
      </c>
      <c r="AH351" s="2845" t="s">
        <v>76</v>
      </c>
      <c r="AI351"/>
    </row>
    <row r="352" spans="1:35" ht="18" customHeight="1" x14ac:dyDescent="0.2">
      <c r="A352" s="2710"/>
      <c r="B352" s="4"/>
      <c r="C352" s="2710"/>
      <c r="D352" s="2577" t="s">
        <v>9</v>
      </c>
      <c r="E352" s="2578" t="s">
        <v>10</v>
      </c>
      <c r="F352" s="2718" t="s">
        <v>11</v>
      </c>
      <c r="G352" s="2713"/>
      <c r="H352" s="2714"/>
      <c r="I352" s="2572"/>
      <c r="J352" s="2579" t="s">
        <v>12</v>
      </c>
      <c r="K352" s="2572"/>
      <c r="L352" s="2715" t="s">
        <v>2</v>
      </c>
      <c r="M352" s="2580"/>
      <c r="N352" s="2580"/>
      <c r="O352" s="2580"/>
      <c r="P352" s="2581"/>
      <c r="Q352" s="2582" t="s">
        <v>13</v>
      </c>
      <c r="R352" s="2583" t="s">
        <v>12</v>
      </c>
      <c r="S352" s="2580" t="s">
        <v>6</v>
      </c>
      <c r="T352" s="2724" t="s">
        <v>14</v>
      </c>
      <c r="U352" s="2725"/>
      <c r="V352" s="2584" t="s">
        <v>7</v>
      </c>
      <c r="W352" s="2585" t="s">
        <v>15</v>
      </c>
      <c r="X352" s="2586" t="s">
        <v>16</v>
      </c>
      <c r="Y352" s="2586" t="s">
        <v>17</v>
      </c>
      <c r="Z352" s="2586" t="s">
        <v>18</v>
      </c>
      <c r="AA352" s="5"/>
      <c r="AB352" s="5"/>
      <c r="AC352" s="55" t="s">
        <v>19</v>
      </c>
      <c r="AD352" s="2223" t="s">
        <v>20</v>
      </c>
      <c r="AH352" s="2845"/>
      <c r="AI352"/>
    </row>
    <row r="353" spans="1:36" ht="18" customHeight="1" x14ac:dyDescent="0.2">
      <c r="A353" s="2710"/>
      <c r="B353" s="2454" t="s">
        <v>23</v>
      </c>
      <c r="C353" s="2710"/>
      <c r="D353" s="2577" t="s">
        <v>24</v>
      </c>
      <c r="E353" s="2578" t="s">
        <v>25</v>
      </c>
      <c r="F353" s="2719"/>
      <c r="G353" s="2720"/>
      <c r="H353" s="2721"/>
      <c r="I353" s="2577" t="s">
        <v>26</v>
      </c>
      <c r="J353" s="2587" t="s">
        <v>15</v>
      </c>
      <c r="K353" s="2588" t="s">
        <v>6</v>
      </c>
      <c r="L353" s="2722"/>
      <c r="M353" s="2589" t="s">
        <v>27</v>
      </c>
      <c r="N353" s="2589" t="s">
        <v>10</v>
      </c>
      <c r="O353" s="2590" t="s">
        <v>10</v>
      </c>
      <c r="P353" s="2591" t="s">
        <v>28</v>
      </c>
      <c r="Q353" s="2592" t="s">
        <v>29</v>
      </c>
      <c r="R353" s="2591" t="s">
        <v>15</v>
      </c>
      <c r="S353" s="8" t="s">
        <v>15</v>
      </c>
      <c r="T353" s="2726"/>
      <c r="U353" s="2727"/>
      <c r="V353" s="2584" t="s">
        <v>30</v>
      </c>
      <c r="W353" s="2585" t="s">
        <v>31</v>
      </c>
      <c r="X353" s="2586" t="s">
        <v>30</v>
      </c>
      <c r="Y353" s="2586" t="s">
        <v>32</v>
      </c>
      <c r="Z353" s="2586" t="s">
        <v>7</v>
      </c>
      <c r="AA353" s="5" t="s">
        <v>33</v>
      </c>
      <c r="AB353" s="5"/>
      <c r="AC353" s="55" t="s">
        <v>34</v>
      </c>
      <c r="AD353" s="2223" t="s">
        <v>35</v>
      </c>
      <c r="AH353" s="2845"/>
    </row>
    <row r="354" spans="1:36" ht="18" customHeight="1" x14ac:dyDescent="0.2">
      <c r="A354" s="2710"/>
      <c r="B354" s="2454" t="s">
        <v>39</v>
      </c>
      <c r="C354" s="2710"/>
      <c r="D354" s="2577" t="s">
        <v>40</v>
      </c>
      <c r="E354" s="2578" t="s">
        <v>41</v>
      </c>
      <c r="F354" s="2709" t="s">
        <v>42</v>
      </c>
      <c r="G354" s="2709" t="s">
        <v>43</v>
      </c>
      <c r="H354" s="2728" t="s">
        <v>44</v>
      </c>
      <c r="I354" s="2577" t="s">
        <v>45</v>
      </c>
      <c r="J354" s="2587" t="s">
        <v>46</v>
      </c>
      <c r="K354" s="2588" t="s">
        <v>47</v>
      </c>
      <c r="L354" s="2722"/>
      <c r="M354" s="2589" t="s">
        <v>30</v>
      </c>
      <c r="N354" s="2589" t="s">
        <v>30</v>
      </c>
      <c r="O354" s="2590" t="s">
        <v>25</v>
      </c>
      <c r="P354" s="2591" t="s">
        <v>30</v>
      </c>
      <c r="Q354" s="2592" t="s">
        <v>48</v>
      </c>
      <c r="R354" s="2591" t="s">
        <v>49</v>
      </c>
      <c r="S354" s="8" t="s">
        <v>30</v>
      </c>
      <c r="T354" s="2593" t="s">
        <v>50</v>
      </c>
      <c r="U354" s="2594" t="s">
        <v>13</v>
      </c>
      <c r="V354" s="2584" t="s">
        <v>51</v>
      </c>
      <c r="W354" s="2585" t="s">
        <v>52</v>
      </c>
      <c r="X354" s="2586" t="s">
        <v>53</v>
      </c>
      <c r="Y354" s="2586" t="s">
        <v>54</v>
      </c>
      <c r="Z354" s="2586" t="s">
        <v>55</v>
      </c>
      <c r="AA354" s="5" t="s">
        <v>56</v>
      </c>
      <c r="AB354" s="5"/>
      <c r="AC354" s="55" t="s">
        <v>57</v>
      </c>
      <c r="AD354" s="6" t="s">
        <v>58</v>
      </c>
      <c r="AH354" s="2845"/>
    </row>
    <row r="355" spans="1:36" ht="18" customHeight="1" x14ac:dyDescent="0.25">
      <c r="A355" s="2710"/>
      <c r="B355" s="2454" t="s">
        <v>61</v>
      </c>
      <c r="C355" s="2710"/>
      <c r="D355" s="2577" t="s">
        <v>62</v>
      </c>
      <c r="E355" s="2578" t="s">
        <v>63</v>
      </c>
      <c r="F355" s="2710"/>
      <c r="G355" s="2710"/>
      <c r="H355" s="2729"/>
      <c r="I355" s="2577" t="s">
        <v>64</v>
      </c>
      <c r="J355" s="2587" t="s">
        <v>59</v>
      </c>
      <c r="K355" s="2588" t="s">
        <v>59</v>
      </c>
      <c r="L355" s="2722"/>
      <c r="M355" s="2589"/>
      <c r="N355" s="2589"/>
      <c r="O355" s="2590" t="s">
        <v>41</v>
      </c>
      <c r="P355" s="2591" t="s">
        <v>65</v>
      </c>
      <c r="Q355" s="2592" t="s">
        <v>66</v>
      </c>
      <c r="R355" s="2591" t="s">
        <v>67</v>
      </c>
      <c r="S355" s="8" t="s">
        <v>59</v>
      </c>
      <c r="T355" s="2595" t="s">
        <v>68</v>
      </c>
      <c r="U355" s="2584" t="s">
        <v>14</v>
      </c>
      <c r="V355" s="2584" t="s">
        <v>14</v>
      </c>
      <c r="W355" s="2585" t="s">
        <v>30</v>
      </c>
      <c r="X355" s="2596" t="s">
        <v>69</v>
      </c>
      <c r="Y355" s="2596" t="s">
        <v>70</v>
      </c>
      <c r="Z355" s="2586" t="s">
        <v>71</v>
      </c>
      <c r="AA355" s="5" t="s">
        <v>72</v>
      </c>
      <c r="AB355" s="5"/>
      <c r="AC355" s="2597" t="s">
        <v>59</v>
      </c>
      <c r="AD355" s="6" t="s">
        <v>59</v>
      </c>
      <c r="AH355" s="2845"/>
    </row>
    <row r="356" spans="1:36" ht="18" customHeight="1" x14ac:dyDescent="0.2">
      <c r="A356" s="2711"/>
      <c r="B356" s="9"/>
      <c r="C356" s="2711"/>
      <c r="D356" s="2598"/>
      <c r="E356" s="2599"/>
      <c r="F356" s="9"/>
      <c r="G356" s="9"/>
      <c r="H356" s="10"/>
      <c r="I356" s="2599"/>
      <c r="J356" s="2600"/>
      <c r="K356" s="2601"/>
      <c r="L356" s="2723"/>
      <c r="M356" s="2602"/>
      <c r="N356" s="2602"/>
      <c r="O356" s="2602" t="s">
        <v>63</v>
      </c>
      <c r="P356" s="2603"/>
      <c r="Q356" s="2604" t="s">
        <v>72</v>
      </c>
      <c r="R356" s="2605" t="s">
        <v>59</v>
      </c>
      <c r="S356" s="2606"/>
      <c r="T356" s="2605" t="s">
        <v>73</v>
      </c>
      <c r="U356" s="2606" t="s">
        <v>59</v>
      </c>
      <c r="V356" s="2607" t="s">
        <v>59</v>
      </c>
      <c r="W356" s="2608" t="s">
        <v>59</v>
      </c>
      <c r="X356" s="2609" t="s">
        <v>59</v>
      </c>
      <c r="Y356" s="2609" t="s">
        <v>59</v>
      </c>
      <c r="Z356" s="2609" t="s">
        <v>59</v>
      </c>
      <c r="AA356" s="11"/>
      <c r="AB356" s="11"/>
      <c r="AC356" s="56"/>
      <c r="AD356" s="12"/>
      <c r="AH356" s="2845"/>
      <c r="AI356" s="2537"/>
    </row>
    <row r="357" spans="1:36" ht="18" customHeight="1" x14ac:dyDescent="0.2">
      <c r="A357" s="2674">
        <v>170</v>
      </c>
      <c r="B357" s="2113">
        <v>67668</v>
      </c>
      <c r="C357" s="2100" t="s">
        <v>883</v>
      </c>
      <c r="D357" s="2114" t="s">
        <v>245</v>
      </c>
      <c r="E357" s="1508">
        <v>3</v>
      </c>
      <c r="F357" s="2114">
        <v>0</v>
      </c>
      <c r="G357" s="2114">
        <v>0</v>
      </c>
      <c r="H357" s="2557">
        <v>59</v>
      </c>
      <c r="I357" s="1794">
        <f t="shared" ref="I357:I375" si="66">F357*400+G357*100+H357</f>
        <v>59</v>
      </c>
      <c r="J357" s="1687">
        <v>20000</v>
      </c>
      <c r="K357" s="2492">
        <f t="shared" ref="K357:K375" si="67">SUM(I357*J357)</f>
        <v>1180000</v>
      </c>
      <c r="L357" s="45"/>
      <c r="M357" s="61"/>
      <c r="N357" s="50"/>
      <c r="O357" s="1506"/>
      <c r="P357" s="19"/>
      <c r="Q357" s="62"/>
      <c r="R357" s="1718"/>
      <c r="S357" s="18"/>
      <c r="T357" s="20"/>
      <c r="U357" s="1664"/>
      <c r="V357" s="47"/>
      <c r="W357" s="1794">
        <f t="shared" ref="W357:W375" si="68">+K357</f>
        <v>1180000</v>
      </c>
      <c r="X357" s="1791">
        <f t="shared" ref="X357:X375" si="69">+W357</f>
        <v>1180000</v>
      </c>
      <c r="Y357" s="2474"/>
      <c r="Z357" s="1794">
        <f t="shared" ref="Z357:Z375" si="70">+X357</f>
        <v>1180000</v>
      </c>
      <c r="AA357" s="2497">
        <v>0.3</v>
      </c>
      <c r="AB357" s="2498"/>
      <c r="AC357" s="2491">
        <f>Z357*AA357/100</f>
        <v>3540</v>
      </c>
      <c r="AD357" s="2540"/>
      <c r="AH357" s="2482"/>
    </row>
    <row r="358" spans="1:36" ht="18" customHeight="1" x14ac:dyDescent="0.2">
      <c r="A358" s="2674">
        <v>171</v>
      </c>
      <c r="B358" s="2113">
        <v>67669</v>
      </c>
      <c r="C358" s="2100" t="s">
        <v>884</v>
      </c>
      <c r="D358" s="2114" t="s">
        <v>245</v>
      </c>
      <c r="E358" s="1508">
        <v>3</v>
      </c>
      <c r="F358" s="2114">
        <v>0</v>
      </c>
      <c r="G358" s="2114">
        <v>0</v>
      </c>
      <c r="H358" s="2559">
        <v>60.7</v>
      </c>
      <c r="I358" s="1794">
        <f t="shared" si="66"/>
        <v>60.7</v>
      </c>
      <c r="J358" s="1687">
        <v>20000</v>
      </c>
      <c r="K358" s="2492">
        <f t="shared" si="67"/>
        <v>1214000</v>
      </c>
      <c r="L358" s="45"/>
      <c r="M358" s="61"/>
      <c r="N358" s="50"/>
      <c r="O358" s="1506"/>
      <c r="P358" s="19"/>
      <c r="Q358" s="62"/>
      <c r="R358" s="1718"/>
      <c r="S358" s="18"/>
      <c r="T358" s="20"/>
      <c r="U358" s="1664"/>
      <c r="V358" s="47"/>
      <c r="W358" s="1794">
        <f t="shared" si="68"/>
        <v>1214000</v>
      </c>
      <c r="X358" s="1791">
        <f t="shared" si="69"/>
        <v>1214000</v>
      </c>
      <c r="Y358" s="2474"/>
      <c r="Z358" s="1794">
        <f t="shared" si="70"/>
        <v>1214000</v>
      </c>
      <c r="AA358" s="2497">
        <v>0.3</v>
      </c>
      <c r="AB358" s="2498"/>
      <c r="AC358" s="2491">
        <f t="shared" ref="AC358:AC375" si="71">+Z358*AA358/100</f>
        <v>3642</v>
      </c>
      <c r="AD358" s="2558"/>
      <c r="AH358" s="2482"/>
      <c r="AJ358" s="2539"/>
    </row>
    <row r="359" spans="1:36" ht="18" customHeight="1" x14ac:dyDescent="0.2">
      <c r="A359" s="2674">
        <v>172</v>
      </c>
      <c r="B359" s="2113">
        <v>67670</v>
      </c>
      <c r="C359" s="2100" t="s">
        <v>885</v>
      </c>
      <c r="D359" s="2114" t="s">
        <v>245</v>
      </c>
      <c r="E359" s="1508">
        <v>3</v>
      </c>
      <c r="F359" s="2114">
        <v>0</v>
      </c>
      <c r="G359" s="2114">
        <v>0</v>
      </c>
      <c r="H359" s="2559">
        <v>70.3</v>
      </c>
      <c r="I359" s="1794">
        <f t="shared" si="66"/>
        <v>70.3</v>
      </c>
      <c r="J359" s="1687">
        <v>20000</v>
      </c>
      <c r="K359" s="2492">
        <f t="shared" si="67"/>
        <v>1406000</v>
      </c>
      <c r="L359" s="45"/>
      <c r="M359" s="61"/>
      <c r="N359" s="50"/>
      <c r="O359" s="1506"/>
      <c r="P359" s="19"/>
      <c r="Q359" s="62"/>
      <c r="R359" s="1718"/>
      <c r="S359" s="18"/>
      <c r="T359" s="20"/>
      <c r="U359" s="1664"/>
      <c r="V359" s="47"/>
      <c r="W359" s="1794">
        <f t="shared" si="68"/>
        <v>1406000</v>
      </c>
      <c r="X359" s="1791">
        <f t="shared" si="69"/>
        <v>1406000</v>
      </c>
      <c r="Y359" s="2474"/>
      <c r="Z359" s="1794">
        <f t="shared" si="70"/>
        <v>1406000</v>
      </c>
      <c r="AA359" s="2497">
        <v>0.3</v>
      </c>
      <c r="AB359" s="2498"/>
      <c r="AC359" s="2491">
        <f t="shared" si="71"/>
        <v>4218</v>
      </c>
      <c r="AD359" s="2558"/>
      <c r="AH359" s="2482"/>
    </row>
    <row r="360" spans="1:36" ht="18" customHeight="1" x14ac:dyDescent="0.2">
      <c r="A360" s="2674">
        <v>173</v>
      </c>
      <c r="B360" s="2113">
        <v>67671</v>
      </c>
      <c r="C360" s="2100" t="s">
        <v>757</v>
      </c>
      <c r="D360" s="2114" t="s">
        <v>245</v>
      </c>
      <c r="E360" s="1508">
        <v>3</v>
      </c>
      <c r="F360" s="2485">
        <v>0</v>
      </c>
      <c r="G360" s="2109">
        <v>0</v>
      </c>
      <c r="H360" s="2486">
        <v>60</v>
      </c>
      <c r="I360" s="1794">
        <f t="shared" si="66"/>
        <v>60</v>
      </c>
      <c r="J360" s="1687">
        <v>20000</v>
      </c>
      <c r="K360" s="2492">
        <f t="shared" si="67"/>
        <v>1200000</v>
      </c>
      <c r="L360" s="2109"/>
      <c r="M360" s="100"/>
      <c r="N360" s="2109"/>
      <c r="O360" s="2109"/>
      <c r="P360" s="2486"/>
      <c r="Q360" s="2488"/>
      <c r="R360" s="2101"/>
      <c r="S360" s="2102"/>
      <c r="T360" s="2489"/>
      <c r="U360" s="2102"/>
      <c r="V360" s="2102"/>
      <c r="W360" s="1794">
        <f t="shared" si="68"/>
        <v>1200000</v>
      </c>
      <c r="X360" s="1791">
        <f t="shared" si="69"/>
        <v>1200000</v>
      </c>
      <c r="Y360" s="2474"/>
      <c r="Z360" s="1794">
        <f t="shared" si="70"/>
        <v>1200000</v>
      </c>
      <c r="AA360" s="2497">
        <v>0.3</v>
      </c>
      <c r="AB360" s="2498"/>
      <c r="AC360" s="2491">
        <f t="shared" si="71"/>
        <v>3600</v>
      </c>
      <c r="AD360" s="2535"/>
      <c r="AH360" s="2482"/>
    </row>
    <row r="361" spans="1:36" ht="18" customHeight="1" x14ac:dyDescent="0.2">
      <c r="A361" s="2674">
        <v>174</v>
      </c>
      <c r="B361" s="2113">
        <v>67672</v>
      </c>
      <c r="C361" s="2100" t="s">
        <v>886</v>
      </c>
      <c r="D361" s="2114" t="s">
        <v>245</v>
      </c>
      <c r="E361" s="1508">
        <v>3</v>
      </c>
      <c r="F361" s="2485">
        <v>0</v>
      </c>
      <c r="G361" s="2109">
        <v>0</v>
      </c>
      <c r="H361" s="2486">
        <v>60</v>
      </c>
      <c r="I361" s="1794">
        <f t="shared" si="66"/>
        <v>60</v>
      </c>
      <c r="J361" s="1687">
        <v>20000</v>
      </c>
      <c r="K361" s="2492">
        <f t="shared" si="67"/>
        <v>1200000</v>
      </c>
      <c r="L361" s="2109"/>
      <c r="M361" s="100"/>
      <c r="N361" s="2109"/>
      <c r="O361" s="2109"/>
      <c r="P361" s="2486"/>
      <c r="Q361" s="2488"/>
      <c r="R361" s="2101"/>
      <c r="S361" s="2102"/>
      <c r="T361" s="2489"/>
      <c r="U361" s="2102"/>
      <c r="V361" s="2102"/>
      <c r="W361" s="1794">
        <f t="shared" si="68"/>
        <v>1200000</v>
      </c>
      <c r="X361" s="1791">
        <f t="shared" si="69"/>
        <v>1200000</v>
      </c>
      <c r="Y361" s="2474"/>
      <c r="Z361" s="1794">
        <f t="shared" si="70"/>
        <v>1200000</v>
      </c>
      <c r="AA361" s="2497">
        <v>0.3</v>
      </c>
      <c r="AB361" s="2498"/>
      <c r="AC361" s="2491">
        <f t="shared" si="71"/>
        <v>3600</v>
      </c>
      <c r="AD361" s="2536"/>
      <c r="AH361" s="2482"/>
    </row>
    <row r="362" spans="1:36" ht="18" customHeight="1" x14ac:dyDescent="0.2">
      <c r="A362" s="2674">
        <v>175</v>
      </c>
      <c r="B362" s="2113">
        <v>67673</v>
      </c>
      <c r="C362" s="2100" t="s">
        <v>887</v>
      </c>
      <c r="D362" s="2114" t="s">
        <v>245</v>
      </c>
      <c r="E362" s="1508">
        <v>3</v>
      </c>
      <c r="F362" s="2485">
        <v>0</v>
      </c>
      <c r="G362" s="2109">
        <v>0</v>
      </c>
      <c r="H362" s="2486">
        <v>60</v>
      </c>
      <c r="I362" s="1794">
        <f t="shared" si="66"/>
        <v>60</v>
      </c>
      <c r="J362" s="1687">
        <v>20000</v>
      </c>
      <c r="K362" s="2492">
        <f t="shared" si="67"/>
        <v>1200000</v>
      </c>
      <c r="L362" s="2109"/>
      <c r="M362" s="100"/>
      <c r="N362" s="2109"/>
      <c r="O362" s="2109"/>
      <c r="P362" s="2486"/>
      <c r="Q362" s="2488"/>
      <c r="R362" s="2493"/>
      <c r="S362" s="2494"/>
      <c r="T362" s="2495"/>
      <c r="U362" s="2494"/>
      <c r="V362" s="2494"/>
      <c r="W362" s="1794">
        <f t="shared" si="68"/>
        <v>1200000</v>
      </c>
      <c r="X362" s="1791">
        <f t="shared" si="69"/>
        <v>1200000</v>
      </c>
      <c r="Y362" s="2496"/>
      <c r="Z362" s="1794">
        <f t="shared" si="70"/>
        <v>1200000</v>
      </c>
      <c r="AA362" s="2497">
        <v>0.3</v>
      </c>
      <c r="AB362" s="2498"/>
      <c r="AC362" s="2491">
        <f t="shared" si="71"/>
        <v>3600</v>
      </c>
      <c r="AD362" s="2536"/>
      <c r="AH362" s="2482"/>
    </row>
    <row r="363" spans="1:36" ht="18" customHeight="1" x14ac:dyDescent="0.2">
      <c r="A363" s="2674">
        <v>176</v>
      </c>
      <c r="B363" s="2113">
        <v>67674</v>
      </c>
      <c r="C363" s="2100" t="s">
        <v>888</v>
      </c>
      <c r="D363" s="2114" t="s">
        <v>245</v>
      </c>
      <c r="E363" s="1508">
        <v>3</v>
      </c>
      <c r="F363" s="2485">
        <v>0</v>
      </c>
      <c r="G363" s="2109">
        <v>0</v>
      </c>
      <c r="H363" s="2486">
        <v>80.2</v>
      </c>
      <c r="I363" s="1794">
        <f t="shared" si="66"/>
        <v>80.2</v>
      </c>
      <c r="J363" s="1687">
        <v>20000</v>
      </c>
      <c r="K363" s="2492">
        <f t="shared" si="67"/>
        <v>1604000</v>
      </c>
      <c r="L363" s="2109"/>
      <c r="M363" s="100"/>
      <c r="N363" s="2109"/>
      <c r="O363" s="2109"/>
      <c r="P363" s="2486"/>
      <c r="Q363" s="2488"/>
      <c r="R363" s="2493"/>
      <c r="S363" s="2494"/>
      <c r="T363" s="2495"/>
      <c r="U363" s="2494"/>
      <c r="V363" s="2494"/>
      <c r="W363" s="1794">
        <f t="shared" si="68"/>
        <v>1604000</v>
      </c>
      <c r="X363" s="1791">
        <f t="shared" si="69"/>
        <v>1604000</v>
      </c>
      <c r="Y363" s="2496"/>
      <c r="Z363" s="1794">
        <f t="shared" si="70"/>
        <v>1604000</v>
      </c>
      <c r="AA363" s="2497">
        <v>0.3</v>
      </c>
      <c r="AB363" s="2498"/>
      <c r="AC363" s="2491">
        <f t="shared" si="71"/>
        <v>4812</v>
      </c>
      <c r="AD363" s="2536"/>
      <c r="AH363" s="2482"/>
    </row>
    <row r="364" spans="1:36" ht="18" customHeight="1" x14ac:dyDescent="0.2">
      <c r="A364" s="2674">
        <v>177</v>
      </c>
      <c r="B364" s="2113">
        <v>67675</v>
      </c>
      <c r="C364" s="2100" t="s">
        <v>889</v>
      </c>
      <c r="D364" s="2114" t="s">
        <v>245</v>
      </c>
      <c r="E364" s="1508">
        <v>3</v>
      </c>
      <c r="F364" s="2472">
        <v>0</v>
      </c>
      <c r="G364" s="2113">
        <v>0</v>
      </c>
      <c r="H364" s="2477">
        <v>80.5</v>
      </c>
      <c r="I364" s="1794">
        <f t="shared" si="66"/>
        <v>80.5</v>
      </c>
      <c r="J364" s="1687">
        <v>20000</v>
      </c>
      <c r="K364" s="2492">
        <f t="shared" si="67"/>
        <v>1610000</v>
      </c>
      <c r="L364" s="2109"/>
      <c r="M364" s="100"/>
      <c r="N364" s="2109"/>
      <c r="O364" s="2109"/>
      <c r="P364" s="2486"/>
      <c r="Q364" s="2488"/>
      <c r="R364" s="2493"/>
      <c r="S364" s="2494"/>
      <c r="T364" s="2495"/>
      <c r="U364" s="2494"/>
      <c r="V364" s="2494"/>
      <c r="W364" s="1794">
        <f t="shared" si="68"/>
        <v>1610000</v>
      </c>
      <c r="X364" s="1791">
        <f t="shared" si="69"/>
        <v>1610000</v>
      </c>
      <c r="Y364" s="2496"/>
      <c r="Z364" s="1794">
        <f t="shared" si="70"/>
        <v>1610000</v>
      </c>
      <c r="AA364" s="2497">
        <v>0.3</v>
      </c>
      <c r="AB364" s="2498"/>
      <c r="AC364" s="2491">
        <f t="shared" si="71"/>
        <v>4830</v>
      </c>
      <c r="AD364" s="2536"/>
      <c r="AH364" s="2482"/>
    </row>
    <row r="365" spans="1:36" ht="18" customHeight="1" x14ac:dyDescent="0.2">
      <c r="A365" s="2674">
        <v>178</v>
      </c>
      <c r="B365" s="2113">
        <v>67676</v>
      </c>
      <c r="C365" s="2100" t="s">
        <v>890</v>
      </c>
      <c r="D365" s="2114" t="s">
        <v>245</v>
      </c>
      <c r="E365" s="1508">
        <v>3</v>
      </c>
      <c r="F365" s="2472">
        <v>0</v>
      </c>
      <c r="G365" s="2113">
        <v>0</v>
      </c>
      <c r="H365" s="2477">
        <v>61.8</v>
      </c>
      <c r="I365" s="1794">
        <f t="shared" si="66"/>
        <v>61.8</v>
      </c>
      <c r="J365" s="1687">
        <v>20000</v>
      </c>
      <c r="K365" s="2492">
        <f t="shared" si="67"/>
        <v>1236000</v>
      </c>
      <c r="L365" s="2109"/>
      <c r="M365" s="100"/>
      <c r="N365" s="2109"/>
      <c r="O365" s="2109"/>
      <c r="P365" s="2486"/>
      <c r="Q365" s="2488"/>
      <c r="R365" s="2493"/>
      <c r="S365" s="2494"/>
      <c r="T365" s="2495"/>
      <c r="U365" s="2494"/>
      <c r="V365" s="2494"/>
      <c r="W365" s="1794">
        <f t="shared" si="68"/>
        <v>1236000</v>
      </c>
      <c r="X365" s="1791">
        <f t="shared" si="69"/>
        <v>1236000</v>
      </c>
      <c r="Y365" s="2496"/>
      <c r="Z365" s="1794">
        <f t="shared" si="70"/>
        <v>1236000</v>
      </c>
      <c r="AA365" s="2497">
        <v>0.3</v>
      </c>
      <c r="AB365" s="2498"/>
      <c r="AC365" s="2491">
        <f t="shared" si="71"/>
        <v>3708</v>
      </c>
      <c r="AD365" s="2536"/>
      <c r="AH365" s="2482"/>
    </row>
    <row r="366" spans="1:36" ht="18" customHeight="1" x14ac:dyDescent="0.2">
      <c r="A366" s="2674">
        <v>179</v>
      </c>
      <c r="B366" s="2113">
        <v>67677</v>
      </c>
      <c r="C366" s="2100" t="s">
        <v>891</v>
      </c>
      <c r="D366" s="2114" t="s">
        <v>245</v>
      </c>
      <c r="E366" s="1508">
        <v>3</v>
      </c>
      <c r="F366" s="2472">
        <v>0</v>
      </c>
      <c r="G366" s="2113">
        <v>0</v>
      </c>
      <c r="H366" s="2477">
        <v>72.900000000000006</v>
      </c>
      <c r="I366" s="1794">
        <f t="shared" si="66"/>
        <v>72.900000000000006</v>
      </c>
      <c r="J366" s="1687">
        <v>20000</v>
      </c>
      <c r="K366" s="2492">
        <f t="shared" si="67"/>
        <v>1458000</v>
      </c>
      <c r="L366" s="2109"/>
      <c r="M366" s="100"/>
      <c r="N366" s="2109"/>
      <c r="O366" s="2109"/>
      <c r="P366" s="2486"/>
      <c r="Q366" s="2488"/>
      <c r="R366" s="2493"/>
      <c r="S366" s="2494"/>
      <c r="T366" s="2495"/>
      <c r="U366" s="2494"/>
      <c r="V366" s="2494"/>
      <c r="W366" s="1794">
        <f t="shared" si="68"/>
        <v>1458000</v>
      </c>
      <c r="X366" s="1791">
        <f t="shared" si="69"/>
        <v>1458000</v>
      </c>
      <c r="Y366" s="2496"/>
      <c r="Z366" s="1794">
        <f t="shared" si="70"/>
        <v>1458000</v>
      </c>
      <c r="AA366" s="2497">
        <v>0.3</v>
      </c>
      <c r="AB366" s="2498"/>
      <c r="AC366" s="2491">
        <f t="shared" si="71"/>
        <v>4374</v>
      </c>
      <c r="AD366" s="2536"/>
      <c r="AH366" s="2482"/>
    </row>
    <row r="367" spans="1:36" ht="18" customHeight="1" x14ac:dyDescent="0.2">
      <c r="A367" s="2674">
        <v>180</v>
      </c>
      <c r="B367" s="2113">
        <v>67678</v>
      </c>
      <c r="C367" s="2100" t="s">
        <v>892</v>
      </c>
      <c r="D367" s="2114" t="s">
        <v>245</v>
      </c>
      <c r="E367" s="1508">
        <v>3</v>
      </c>
      <c r="F367" s="2472">
        <v>0</v>
      </c>
      <c r="G367" s="2113">
        <v>0</v>
      </c>
      <c r="H367" s="2477">
        <v>60</v>
      </c>
      <c r="I367" s="1794">
        <f t="shared" si="66"/>
        <v>60</v>
      </c>
      <c r="J367" s="1687">
        <v>20000</v>
      </c>
      <c r="K367" s="2492">
        <f t="shared" si="67"/>
        <v>1200000</v>
      </c>
      <c r="L367" s="2109"/>
      <c r="M367" s="100"/>
      <c r="N367" s="2109"/>
      <c r="O367" s="2109"/>
      <c r="P367" s="2486"/>
      <c r="Q367" s="2488"/>
      <c r="R367" s="2493"/>
      <c r="S367" s="2494"/>
      <c r="T367" s="2495"/>
      <c r="U367" s="2494"/>
      <c r="V367" s="2494"/>
      <c r="W367" s="1794">
        <f t="shared" si="68"/>
        <v>1200000</v>
      </c>
      <c r="X367" s="1791">
        <f t="shared" si="69"/>
        <v>1200000</v>
      </c>
      <c r="Y367" s="2496"/>
      <c r="Z367" s="1794">
        <f t="shared" si="70"/>
        <v>1200000</v>
      </c>
      <c r="AA367" s="2497">
        <v>0.3</v>
      </c>
      <c r="AB367" s="2498"/>
      <c r="AC367" s="2491">
        <f t="shared" si="71"/>
        <v>3600</v>
      </c>
      <c r="AD367" s="2536"/>
      <c r="AH367" s="2482"/>
    </row>
    <row r="368" spans="1:36" ht="18" customHeight="1" x14ac:dyDescent="0.2">
      <c r="A368" s="2674">
        <v>181</v>
      </c>
      <c r="B368" s="2113">
        <v>67679</v>
      </c>
      <c r="C368" s="2100" t="s">
        <v>893</v>
      </c>
      <c r="D368" s="2114" t="s">
        <v>245</v>
      </c>
      <c r="E368" s="1508">
        <v>3</v>
      </c>
      <c r="F368" s="2472">
        <v>0</v>
      </c>
      <c r="G368" s="2113">
        <v>0</v>
      </c>
      <c r="H368" s="2477">
        <v>60</v>
      </c>
      <c r="I368" s="1794">
        <f t="shared" si="66"/>
        <v>60</v>
      </c>
      <c r="J368" s="1687">
        <v>20000</v>
      </c>
      <c r="K368" s="2492">
        <f t="shared" si="67"/>
        <v>1200000</v>
      </c>
      <c r="L368" s="2109"/>
      <c r="M368" s="100"/>
      <c r="N368" s="2109"/>
      <c r="O368" s="2109"/>
      <c r="P368" s="2486"/>
      <c r="Q368" s="2488"/>
      <c r="R368" s="2493"/>
      <c r="S368" s="2494"/>
      <c r="T368" s="2495"/>
      <c r="U368" s="2494"/>
      <c r="V368" s="2494"/>
      <c r="W368" s="1794">
        <f t="shared" si="68"/>
        <v>1200000</v>
      </c>
      <c r="X368" s="1791">
        <f t="shared" si="69"/>
        <v>1200000</v>
      </c>
      <c r="Y368" s="2496"/>
      <c r="Z368" s="1794">
        <f t="shared" si="70"/>
        <v>1200000</v>
      </c>
      <c r="AA368" s="2497">
        <v>0.3</v>
      </c>
      <c r="AB368" s="2498"/>
      <c r="AC368" s="2491">
        <f t="shared" si="71"/>
        <v>3600</v>
      </c>
      <c r="AD368" s="2536"/>
      <c r="AH368" s="2482"/>
    </row>
    <row r="369" spans="1:35" ht="18" customHeight="1" x14ac:dyDescent="0.2">
      <c r="A369" s="2674">
        <v>182</v>
      </c>
      <c r="B369" s="2113">
        <v>67680</v>
      </c>
      <c r="C369" s="2100" t="s">
        <v>894</v>
      </c>
      <c r="D369" s="2114" t="s">
        <v>245</v>
      </c>
      <c r="E369" s="1508">
        <v>3</v>
      </c>
      <c r="F369" s="2472">
        <v>0</v>
      </c>
      <c r="G369" s="2113">
        <v>0</v>
      </c>
      <c r="H369" s="2477">
        <v>60</v>
      </c>
      <c r="I369" s="1794">
        <f t="shared" si="66"/>
        <v>60</v>
      </c>
      <c r="J369" s="1687">
        <v>20000</v>
      </c>
      <c r="K369" s="2492">
        <f t="shared" si="67"/>
        <v>1200000</v>
      </c>
      <c r="L369" s="2109"/>
      <c r="M369" s="100"/>
      <c r="N369" s="2109"/>
      <c r="O369" s="2109"/>
      <c r="P369" s="2486"/>
      <c r="Q369" s="2488"/>
      <c r="R369" s="2493"/>
      <c r="S369" s="2494"/>
      <c r="T369" s="2495"/>
      <c r="U369" s="2494"/>
      <c r="V369" s="2494"/>
      <c r="W369" s="1794">
        <f t="shared" si="68"/>
        <v>1200000</v>
      </c>
      <c r="X369" s="1791">
        <f t="shared" si="69"/>
        <v>1200000</v>
      </c>
      <c r="Y369" s="2496"/>
      <c r="Z369" s="1794">
        <f t="shared" si="70"/>
        <v>1200000</v>
      </c>
      <c r="AA369" s="2497">
        <v>0.3</v>
      </c>
      <c r="AB369" s="2498"/>
      <c r="AC369" s="2491">
        <f t="shared" si="71"/>
        <v>3600</v>
      </c>
      <c r="AD369" s="2536"/>
      <c r="AH369" s="2482"/>
      <c r="AI369"/>
    </row>
    <row r="370" spans="1:35" ht="18" customHeight="1" x14ac:dyDescent="0.2">
      <c r="A370" s="2674">
        <v>183</v>
      </c>
      <c r="B370" s="2113">
        <v>67681</v>
      </c>
      <c r="C370" s="2100" t="s">
        <v>895</v>
      </c>
      <c r="D370" s="2114" t="s">
        <v>245</v>
      </c>
      <c r="E370" s="1508">
        <v>3</v>
      </c>
      <c r="F370" s="2472">
        <v>0</v>
      </c>
      <c r="G370" s="2113">
        <v>0</v>
      </c>
      <c r="H370" s="2477">
        <v>73.8</v>
      </c>
      <c r="I370" s="1794">
        <f t="shared" si="66"/>
        <v>73.8</v>
      </c>
      <c r="J370" s="1687">
        <v>20000</v>
      </c>
      <c r="K370" s="2492">
        <f t="shared" si="67"/>
        <v>1476000</v>
      </c>
      <c r="L370" s="2109"/>
      <c r="M370" s="100"/>
      <c r="N370" s="2109"/>
      <c r="O370" s="2109"/>
      <c r="P370" s="2486"/>
      <c r="Q370" s="2488"/>
      <c r="R370" s="2493"/>
      <c r="S370" s="2494"/>
      <c r="T370" s="2495"/>
      <c r="U370" s="2494"/>
      <c r="V370" s="2494"/>
      <c r="W370" s="1794">
        <f t="shared" si="68"/>
        <v>1476000</v>
      </c>
      <c r="X370" s="1791">
        <f t="shared" si="69"/>
        <v>1476000</v>
      </c>
      <c r="Y370" s="2496"/>
      <c r="Z370" s="1794">
        <f t="shared" si="70"/>
        <v>1476000</v>
      </c>
      <c r="AA370" s="2497">
        <v>0.3</v>
      </c>
      <c r="AB370" s="2498"/>
      <c r="AC370" s="2491">
        <f t="shared" si="71"/>
        <v>4428</v>
      </c>
      <c r="AD370" s="2536"/>
      <c r="AH370" s="2482"/>
      <c r="AI370"/>
    </row>
    <row r="371" spans="1:35" ht="18" customHeight="1" x14ac:dyDescent="0.2">
      <c r="A371" s="2674">
        <v>184</v>
      </c>
      <c r="B371" s="2113">
        <v>67682</v>
      </c>
      <c r="C371" s="2100" t="s">
        <v>896</v>
      </c>
      <c r="D371" s="2114" t="s">
        <v>245</v>
      </c>
      <c r="E371" s="1508">
        <v>3</v>
      </c>
      <c r="F371" s="2114">
        <v>0</v>
      </c>
      <c r="G371" s="2114">
        <v>1</v>
      </c>
      <c r="H371" s="2115">
        <v>47.7</v>
      </c>
      <c r="I371" s="1794">
        <f t="shared" si="66"/>
        <v>147.69999999999999</v>
      </c>
      <c r="J371" s="1687">
        <v>20000</v>
      </c>
      <c r="K371" s="2492">
        <f t="shared" si="67"/>
        <v>2954000</v>
      </c>
      <c r="L371" s="45"/>
      <c r="M371" s="61"/>
      <c r="N371" s="50"/>
      <c r="O371" s="1506"/>
      <c r="P371" s="19"/>
      <c r="Q371" s="62"/>
      <c r="R371" s="1718"/>
      <c r="S371" s="18"/>
      <c r="T371" s="20"/>
      <c r="U371" s="1664"/>
      <c r="V371" s="47"/>
      <c r="W371" s="1794">
        <f t="shared" si="68"/>
        <v>2954000</v>
      </c>
      <c r="X371" s="1791">
        <f t="shared" si="69"/>
        <v>2954000</v>
      </c>
      <c r="Y371" s="2474"/>
      <c r="Z371" s="1794">
        <f t="shared" si="70"/>
        <v>2954000</v>
      </c>
      <c r="AA371" s="2497">
        <v>0.3</v>
      </c>
      <c r="AB371" s="2498"/>
      <c r="AC371" s="2491">
        <f t="shared" si="71"/>
        <v>8862</v>
      </c>
      <c r="AD371" s="2536"/>
      <c r="AH371" s="2482"/>
      <c r="AI371"/>
    </row>
    <row r="372" spans="1:35" ht="18" customHeight="1" x14ac:dyDescent="0.2">
      <c r="A372" s="2674">
        <v>185</v>
      </c>
      <c r="B372" s="2113">
        <v>67683</v>
      </c>
      <c r="C372" s="2100" t="s">
        <v>897</v>
      </c>
      <c r="D372" s="2114" t="s">
        <v>245</v>
      </c>
      <c r="E372" s="1508">
        <v>3</v>
      </c>
      <c r="F372" s="2114">
        <v>0</v>
      </c>
      <c r="G372" s="2114">
        <v>0</v>
      </c>
      <c r="H372" s="2115">
        <v>85.3</v>
      </c>
      <c r="I372" s="1794">
        <f t="shared" si="66"/>
        <v>85.3</v>
      </c>
      <c r="J372" s="1687">
        <v>20000</v>
      </c>
      <c r="K372" s="2492">
        <f t="shared" si="67"/>
        <v>1706000</v>
      </c>
      <c r="L372" s="45"/>
      <c r="M372" s="61"/>
      <c r="N372" s="50"/>
      <c r="O372" s="1506"/>
      <c r="P372" s="19"/>
      <c r="Q372" s="62"/>
      <c r="R372" s="1718"/>
      <c r="S372" s="18"/>
      <c r="T372" s="20"/>
      <c r="U372" s="1664"/>
      <c r="V372" s="47"/>
      <c r="W372" s="1794">
        <f t="shared" si="68"/>
        <v>1706000</v>
      </c>
      <c r="X372" s="1791">
        <f t="shared" si="69"/>
        <v>1706000</v>
      </c>
      <c r="Y372" s="2474"/>
      <c r="Z372" s="1794">
        <f t="shared" si="70"/>
        <v>1706000</v>
      </c>
      <c r="AA372" s="2497">
        <v>0.3</v>
      </c>
      <c r="AB372" s="2498"/>
      <c r="AC372" s="2491">
        <f t="shared" si="71"/>
        <v>5118</v>
      </c>
      <c r="AD372" s="2536"/>
      <c r="AH372" s="2482"/>
      <c r="AI372"/>
    </row>
    <row r="373" spans="1:35" ht="18" customHeight="1" x14ac:dyDescent="0.2">
      <c r="A373" s="2674">
        <v>186</v>
      </c>
      <c r="B373" s="2113">
        <v>67684</v>
      </c>
      <c r="C373" s="2100" t="s">
        <v>898</v>
      </c>
      <c r="D373" s="2114" t="s">
        <v>245</v>
      </c>
      <c r="E373" s="1508">
        <v>3</v>
      </c>
      <c r="F373" s="2114">
        <v>0</v>
      </c>
      <c r="G373" s="2114">
        <v>1</v>
      </c>
      <c r="H373" s="2115">
        <v>3.7</v>
      </c>
      <c r="I373" s="1794">
        <f t="shared" si="66"/>
        <v>103.7</v>
      </c>
      <c r="J373" s="1687">
        <v>20000</v>
      </c>
      <c r="K373" s="2492">
        <f t="shared" si="67"/>
        <v>2074000</v>
      </c>
      <c r="L373" s="45"/>
      <c r="M373" s="61"/>
      <c r="N373" s="50"/>
      <c r="O373" s="1506"/>
      <c r="P373" s="19"/>
      <c r="Q373" s="62"/>
      <c r="R373" s="1718"/>
      <c r="S373" s="18"/>
      <c r="T373" s="20"/>
      <c r="U373" s="1664"/>
      <c r="V373" s="47"/>
      <c r="W373" s="1794">
        <f t="shared" si="68"/>
        <v>2074000</v>
      </c>
      <c r="X373" s="1791">
        <f t="shared" si="69"/>
        <v>2074000</v>
      </c>
      <c r="Y373" s="2474"/>
      <c r="Z373" s="1794">
        <f t="shared" si="70"/>
        <v>2074000</v>
      </c>
      <c r="AA373" s="2497">
        <v>0.3</v>
      </c>
      <c r="AB373" s="2498"/>
      <c r="AC373" s="2491">
        <f t="shared" si="71"/>
        <v>6222</v>
      </c>
      <c r="AD373" s="2536"/>
      <c r="AH373" s="2491"/>
      <c r="AI373"/>
    </row>
    <row r="374" spans="1:35" ht="18" customHeight="1" x14ac:dyDescent="0.2">
      <c r="A374" s="2674">
        <v>187</v>
      </c>
      <c r="B374" s="2113">
        <v>67685</v>
      </c>
      <c r="C374" s="2100" t="s">
        <v>756</v>
      </c>
      <c r="D374" s="2114" t="s">
        <v>245</v>
      </c>
      <c r="E374" s="1508">
        <v>3</v>
      </c>
      <c r="F374" s="2114">
        <v>0</v>
      </c>
      <c r="G374" s="2114">
        <v>0</v>
      </c>
      <c r="H374" s="2115">
        <v>91.7</v>
      </c>
      <c r="I374" s="1794">
        <f t="shared" si="66"/>
        <v>91.7</v>
      </c>
      <c r="J374" s="1687">
        <v>20000</v>
      </c>
      <c r="K374" s="2492">
        <f t="shared" si="67"/>
        <v>1834000</v>
      </c>
      <c r="L374" s="45"/>
      <c r="M374" s="61"/>
      <c r="N374" s="50"/>
      <c r="O374" s="1506"/>
      <c r="P374" s="19"/>
      <c r="Q374" s="62"/>
      <c r="R374" s="1718"/>
      <c r="S374" s="18"/>
      <c r="T374" s="20"/>
      <c r="U374" s="1664"/>
      <c r="V374" s="47"/>
      <c r="W374" s="1794">
        <f t="shared" si="68"/>
        <v>1834000</v>
      </c>
      <c r="X374" s="1791">
        <f t="shared" si="69"/>
        <v>1834000</v>
      </c>
      <c r="Y374" s="2474"/>
      <c r="Z374" s="1794">
        <f t="shared" si="70"/>
        <v>1834000</v>
      </c>
      <c r="AA374" s="2497">
        <v>0.3</v>
      </c>
      <c r="AB374" s="2498"/>
      <c r="AC374" s="2491">
        <f t="shared" si="71"/>
        <v>5502</v>
      </c>
      <c r="AD374" s="2536"/>
      <c r="AH374" s="2546"/>
      <c r="AI374"/>
    </row>
    <row r="375" spans="1:35" ht="18" customHeight="1" x14ac:dyDescent="0.2">
      <c r="A375" s="2674">
        <v>188</v>
      </c>
      <c r="B375" s="2113">
        <v>67686</v>
      </c>
      <c r="C375" s="2100" t="s">
        <v>899</v>
      </c>
      <c r="D375" s="2114" t="s">
        <v>245</v>
      </c>
      <c r="E375" s="1508">
        <v>3</v>
      </c>
      <c r="F375" s="2114">
        <v>0</v>
      </c>
      <c r="G375" s="2114">
        <v>0</v>
      </c>
      <c r="H375" s="2557">
        <v>85</v>
      </c>
      <c r="I375" s="1794">
        <f t="shared" si="66"/>
        <v>85</v>
      </c>
      <c r="J375" s="1687">
        <v>20000</v>
      </c>
      <c r="K375" s="2492">
        <f t="shared" si="67"/>
        <v>1700000</v>
      </c>
      <c r="L375" s="45"/>
      <c r="M375" s="61"/>
      <c r="N375" s="50"/>
      <c r="O375" s="1506"/>
      <c r="P375" s="19"/>
      <c r="Q375" s="62"/>
      <c r="R375" s="1718"/>
      <c r="S375" s="18"/>
      <c r="T375" s="20"/>
      <c r="U375" s="1664"/>
      <c r="V375" s="47"/>
      <c r="W375" s="1794">
        <f t="shared" si="68"/>
        <v>1700000</v>
      </c>
      <c r="X375" s="1791">
        <f t="shared" si="69"/>
        <v>1700000</v>
      </c>
      <c r="Y375" s="2474"/>
      <c r="Z375" s="1794">
        <f t="shared" si="70"/>
        <v>1700000</v>
      </c>
      <c r="AA375" s="2497">
        <v>0.3</v>
      </c>
      <c r="AB375" s="2498"/>
      <c r="AC375" s="2491">
        <f t="shared" si="71"/>
        <v>5100</v>
      </c>
      <c r="AD375" s="2536"/>
      <c r="AH375" s="2491"/>
      <c r="AI375"/>
    </row>
    <row r="376" spans="1:35" ht="18" customHeight="1" thickBot="1" x14ac:dyDescent="0.25">
      <c r="A376" s="34"/>
      <c r="B376" s="34"/>
      <c r="C376" s="34"/>
      <c r="D376" s="34"/>
      <c r="E376" s="34"/>
      <c r="F376" s="34"/>
      <c r="G376" s="34"/>
      <c r="H376" s="35"/>
      <c r="I376" s="36"/>
      <c r="J376" s="37"/>
      <c r="K376" s="2562"/>
      <c r="L376" s="2562"/>
      <c r="M376" s="2562"/>
      <c r="N376" s="2562"/>
      <c r="O376" s="2562"/>
      <c r="P376" s="2562"/>
      <c r="Q376" s="2562"/>
      <c r="R376" s="2563"/>
      <c r="S376" s="2562"/>
      <c r="T376" s="38"/>
      <c r="U376" s="2564"/>
      <c r="V376" s="2562"/>
      <c r="W376" s="2839"/>
      <c r="X376" s="2840"/>
      <c r="Y376" s="2841"/>
      <c r="Z376" s="2612">
        <f>SUM(Z357:Z375)</f>
        <v>28652000</v>
      </c>
      <c r="AA376" s="2613"/>
      <c r="AB376" s="2613"/>
      <c r="AC376" s="2614">
        <f>SUM(AC357:AC375)</f>
        <v>85956</v>
      </c>
      <c r="AD376" s="2614">
        <f t="shared" ref="AD376:AG376" si="72">SUM(AD357:AD375)</f>
        <v>0</v>
      </c>
      <c r="AE376" s="2614">
        <f t="shared" si="72"/>
        <v>0</v>
      </c>
      <c r="AF376" s="2614">
        <f t="shared" si="72"/>
        <v>0</v>
      </c>
      <c r="AG376" s="2614">
        <f t="shared" si="72"/>
        <v>0</v>
      </c>
      <c r="AH376" s="2614"/>
      <c r="AI376"/>
    </row>
    <row r="377" spans="1:35" ht="18" customHeight="1" thickTop="1" x14ac:dyDescent="0.25">
      <c r="A377" s="2842" t="s">
        <v>76</v>
      </c>
      <c r="B377" s="2842"/>
      <c r="C377" s="2843" t="s">
        <v>77</v>
      </c>
      <c r="D377" s="2843"/>
      <c r="E377" s="2843"/>
      <c r="F377" s="2843"/>
      <c r="G377" s="2843"/>
      <c r="H377" s="2843"/>
      <c r="I377" s="2567" t="s">
        <v>78</v>
      </c>
      <c r="J377" s="2567"/>
      <c r="K377" s="2567"/>
      <c r="L377" s="2567"/>
      <c r="M377" s="2567"/>
      <c r="N377" s="2567"/>
      <c r="AC377" s="2476"/>
      <c r="AI377"/>
    </row>
    <row r="378" spans="1:35" ht="18" customHeight="1" x14ac:dyDescent="0.25">
      <c r="A378" s="2568"/>
      <c r="B378" s="2569"/>
      <c r="C378" s="2567"/>
      <c r="D378" s="2567"/>
      <c r="E378" s="2567"/>
      <c r="F378" s="2567"/>
      <c r="G378" s="2567"/>
      <c r="H378" s="2567"/>
      <c r="I378" s="2567" t="s">
        <v>79</v>
      </c>
      <c r="J378" s="2567"/>
      <c r="K378" s="2567"/>
      <c r="L378" s="2567"/>
      <c r="M378" s="2567"/>
      <c r="N378" s="2567"/>
      <c r="AC378" s="2476"/>
      <c r="AI378"/>
    </row>
    <row r="379" spans="1:35" ht="18" customHeight="1" x14ac:dyDescent="0.25">
      <c r="A379" s="2568"/>
      <c r="B379" s="2569"/>
      <c r="C379" s="2567"/>
      <c r="D379" s="2567"/>
      <c r="E379" s="2567"/>
      <c r="F379" s="2567"/>
      <c r="G379" s="2567"/>
      <c r="H379" s="2567"/>
      <c r="I379" s="2567" t="s">
        <v>80</v>
      </c>
      <c r="J379" s="2567"/>
      <c r="K379" s="2567"/>
      <c r="L379" s="2567"/>
      <c r="M379" s="2567"/>
      <c r="N379" s="2567"/>
      <c r="AC379" s="2476"/>
      <c r="AI379"/>
    </row>
    <row r="380" spans="1:35" ht="18" customHeight="1" x14ac:dyDescent="0.25">
      <c r="A380" s="2568"/>
      <c r="B380" s="2569"/>
      <c r="C380" s="2567"/>
      <c r="D380" s="2567"/>
      <c r="E380" s="2567"/>
      <c r="F380" s="2567"/>
      <c r="G380" s="2567"/>
      <c r="H380" s="2567"/>
      <c r="I380" s="2567" t="s">
        <v>81</v>
      </c>
      <c r="J380" s="2567"/>
      <c r="K380" s="2567"/>
      <c r="L380" s="2567"/>
      <c r="M380" s="2567"/>
      <c r="N380" s="2567"/>
      <c r="AC380" s="2476"/>
      <c r="AI380"/>
    </row>
    <row r="381" spans="1:35" ht="18" customHeight="1" x14ac:dyDescent="0.25">
      <c r="A381" s="2568"/>
      <c r="B381" s="2569"/>
      <c r="C381" s="2567"/>
      <c r="D381" s="2567"/>
      <c r="E381" s="2567"/>
      <c r="F381" s="2567"/>
      <c r="G381" s="2567"/>
      <c r="H381" s="2567"/>
      <c r="I381" s="2567" t="s">
        <v>88</v>
      </c>
      <c r="J381" s="2567"/>
      <c r="K381" s="2567"/>
      <c r="L381" s="2567"/>
      <c r="M381" s="2567"/>
      <c r="N381" s="2567"/>
      <c r="AC381" s="2476"/>
      <c r="AI381"/>
    </row>
    <row r="382" spans="1:35" ht="18" customHeight="1" x14ac:dyDescent="0.25">
      <c r="A382" s="2568"/>
      <c r="B382" s="2569"/>
      <c r="C382" s="2567"/>
      <c r="D382" s="2567"/>
      <c r="E382" s="2567"/>
      <c r="F382" s="2567"/>
      <c r="G382" s="2567"/>
      <c r="H382" s="2567"/>
      <c r="I382" s="2567"/>
      <c r="J382" s="2567"/>
      <c r="K382" s="2567"/>
      <c r="L382" s="2567"/>
      <c r="M382" s="2567"/>
      <c r="N382" s="2567"/>
      <c r="AC382" s="2476"/>
      <c r="AI382"/>
    </row>
    <row r="383" spans="1:35" ht="18" customHeight="1" x14ac:dyDescent="0.25">
      <c r="A383" s="2568"/>
      <c r="B383" s="2569"/>
      <c r="C383" s="2567"/>
      <c r="D383" s="2567"/>
      <c r="E383" s="2567"/>
      <c r="F383" s="2567"/>
      <c r="G383" s="2567"/>
      <c r="H383" s="2567"/>
      <c r="I383" s="2567"/>
      <c r="J383" s="2567"/>
      <c r="K383" s="2567"/>
      <c r="L383" s="2567"/>
      <c r="M383" s="2567"/>
      <c r="N383" s="2567"/>
      <c r="AC383" s="2476"/>
      <c r="AI383"/>
    </row>
    <row r="384" spans="1:35" ht="18" customHeight="1" x14ac:dyDescent="0.25">
      <c r="A384" s="2568"/>
      <c r="B384" s="2569"/>
      <c r="C384" s="2567"/>
      <c r="D384" s="2567"/>
      <c r="E384" s="2567"/>
      <c r="F384" s="2567"/>
      <c r="G384" s="2567"/>
      <c r="H384" s="2567"/>
      <c r="I384" s="2567"/>
      <c r="J384" s="2567"/>
      <c r="K384" s="2567"/>
      <c r="L384" s="2567"/>
      <c r="M384" s="2567"/>
      <c r="N384" s="2567"/>
      <c r="AC384" s="2476"/>
      <c r="AI384"/>
    </row>
    <row r="385" spans="1:35" ht="18" customHeight="1" x14ac:dyDescent="0.25">
      <c r="A385" s="2568"/>
      <c r="B385" s="2569"/>
      <c r="C385" s="2567"/>
      <c r="D385" s="2567"/>
      <c r="E385" s="2567"/>
      <c r="F385" s="2567"/>
      <c r="G385" s="2567"/>
      <c r="H385" s="2567"/>
      <c r="I385" s="2567"/>
      <c r="J385" s="2567"/>
      <c r="K385" s="2567"/>
      <c r="L385" s="2567"/>
      <c r="M385" s="2567"/>
      <c r="N385" s="2567"/>
      <c r="AC385" s="2476"/>
      <c r="AI385"/>
    </row>
    <row r="386" spans="1:35" ht="18" customHeight="1" x14ac:dyDescent="0.25">
      <c r="A386" s="2568"/>
      <c r="B386" s="2569"/>
      <c r="C386" s="2567"/>
      <c r="D386" s="2567"/>
      <c r="E386" s="2567"/>
      <c r="F386" s="2567"/>
      <c r="G386" s="2567"/>
      <c r="H386" s="2567"/>
      <c r="I386" s="2567"/>
      <c r="J386" s="2567"/>
      <c r="K386" s="2567"/>
      <c r="L386" s="2567"/>
      <c r="M386" s="2567"/>
      <c r="N386" s="2567"/>
      <c r="AC386" s="2476"/>
      <c r="AI386"/>
    </row>
    <row r="387" spans="1:35" ht="18" customHeight="1" x14ac:dyDescent="0.25">
      <c r="A387" s="2568"/>
      <c r="B387" s="2569"/>
      <c r="C387" s="2567"/>
      <c r="D387" s="2567"/>
      <c r="E387" s="2567"/>
      <c r="F387" s="2567"/>
      <c r="G387" s="2567"/>
      <c r="H387" s="2567"/>
      <c r="I387" s="2567"/>
      <c r="J387" s="2567"/>
      <c r="K387" s="2567"/>
      <c r="L387" s="2567"/>
      <c r="M387" s="2567"/>
      <c r="N387" s="2567"/>
      <c r="AC387" s="2476"/>
      <c r="AI387"/>
    </row>
    <row r="388" spans="1:35" ht="18" customHeight="1" x14ac:dyDescent="0.25">
      <c r="A388" s="2568"/>
      <c r="B388" s="2569"/>
      <c r="C388" s="2567"/>
      <c r="D388" s="2567"/>
      <c r="E388" s="2567"/>
      <c r="F388" s="2567"/>
      <c r="G388" s="2567"/>
      <c r="H388" s="2567"/>
      <c r="I388" s="2567"/>
      <c r="J388" s="2567"/>
      <c r="K388" s="2567"/>
      <c r="L388" s="2567"/>
      <c r="M388" s="2567"/>
      <c r="N388" s="2567"/>
      <c r="AC388" s="2476"/>
      <c r="AI388"/>
    </row>
    <row r="389" spans="1:35" ht="18" customHeight="1" x14ac:dyDescent="0.25">
      <c r="A389" s="2568"/>
      <c r="B389" s="2569"/>
      <c r="C389" s="2567"/>
      <c r="D389" s="2567"/>
      <c r="E389" s="2567"/>
      <c r="F389" s="2567"/>
      <c r="G389" s="2567"/>
      <c r="H389" s="2567"/>
      <c r="I389" s="2567"/>
      <c r="J389" s="2567"/>
      <c r="K389" s="2567"/>
      <c r="L389" s="2567"/>
      <c r="M389" s="2567"/>
      <c r="N389" s="2567"/>
      <c r="AA389" s="2471" t="s">
        <v>0</v>
      </c>
      <c r="AB389" s="2471"/>
      <c r="AC389" s="2667"/>
      <c r="AD389" s="2471"/>
      <c r="AI389"/>
    </row>
    <row r="390" spans="1:35" ht="18" customHeight="1" x14ac:dyDescent="0.2">
      <c r="A390" s="2707" t="s">
        <v>1</v>
      </c>
      <c r="B390" s="2707"/>
      <c r="C390" s="2707"/>
      <c r="D390" s="2707"/>
      <c r="E390" s="2707"/>
      <c r="F390" s="2707"/>
      <c r="G390" s="2707"/>
      <c r="H390" s="2707"/>
      <c r="I390" s="2707"/>
      <c r="J390" s="2707"/>
      <c r="K390" s="2707"/>
      <c r="L390" s="2707"/>
      <c r="M390" s="2707"/>
      <c r="N390" s="2707"/>
      <c r="O390" s="2707"/>
      <c r="P390" s="2707"/>
      <c r="Q390" s="2707"/>
      <c r="R390" s="2707"/>
      <c r="S390" s="2707"/>
      <c r="T390" s="2707"/>
      <c r="U390" s="2707"/>
      <c r="V390" s="2707"/>
      <c r="W390" s="2707"/>
      <c r="X390" s="2707"/>
      <c r="Y390" s="2707"/>
      <c r="Z390" s="2707"/>
      <c r="AA390" s="2707"/>
      <c r="AB390" s="2707"/>
      <c r="AC390" s="2707"/>
      <c r="AI390"/>
    </row>
    <row r="391" spans="1:35" ht="18" customHeight="1" x14ac:dyDescent="0.2">
      <c r="A391" s="2846" t="s">
        <v>984</v>
      </c>
      <c r="B391" s="2846"/>
      <c r="C391" s="2846"/>
      <c r="D391" s="2846"/>
      <c r="E391" s="2846"/>
      <c r="F391" s="2846"/>
      <c r="G391" s="2846"/>
      <c r="H391" s="2846"/>
      <c r="I391" s="2846"/>
      <c r="J391" s="2846"/>
      <c r="K391" s="2846"/>
      <c r="L391" s="2846"/>
      <c r="M391" s="2846"/>
      <c r="N391" s="2846"/>
      <c r="O391" s="2846"/>
      <c r="P391" s="2846"/>
      <c r="Q391" s="2846"/>
      <c r="R391" s="2846"/>
      <c r="S391" s="2846"/>
      <c r="T391" s="2846"/>
      <c r="U391" s="2846"/>
      <c r="V391" s="2846"/>
      <c r="W391" s="2846"/>
      <c r="X391" s="2846"/>
      <c r="Y391" s="2846"/>
      <c r="Z391" s="2846"/>
      <c r="AA391" s="2846"/>
      <c r="AB391" s="2846"/>
      <c r="AC391" s="2846"/>
      <c r="AD391" s="2192"/>
      <c r="AI391"/>
    </row>
    <row r="392" spans="1:35" ht="18" customHeight="1" x14ac:dyDescent="0.25">
      <c r="A392" s="2709" t="s">
        <v>2</v>
      </c>
      <c r="B392" s="2572"/>
      <c r="C392" s="2709" t="s">
        <v>3</v>
      </c>
      <c r="D392" s="2572"/>
      <c r="E392" s="2572"/>
      <c r="F392" s="2712" t="s">
        <v>4</v>
      </c>
      <c r="G392" s="2712"/>
      <c r="H392" s="2712"/>
      <c r="I392" s="2713"/>
      <c r="J392" s="2713"/>
      <c r="K392" s="2714"/>
      <c r="L392" s="2"/>
      <c r="M392" s="2715" t="s">
        <v>5</v>
      </c>
      <c r="N392" s="2715"/>
      <c r="O392" s="2715"/>
      <c r="P392" s="2715"/>
      <c r="Q392" s="2716"/>
      <c r="R392" s="2716"/>
      <c r="S392" s="2716"/>
      <c r="T392" s="2716"/>
      <c r="U392" s="2716"/>
      <c r="V392" s="2717"/>
      <c r="W392" s="2573" t="s">
        <v>6</v>
      </c>
      <c r="X392" s="2574" t="s">
        <v>7</v>
      </c>
      <c r="Y392" s="2575"/>
      <c r="Z392" s="2575"/>
      <c r="AA392" s="2574"/>
      <c r="AB392" s="2574"/>
      <c r="AC392" s="2576"/>
      <c r="AD392" s="2221" t="s">
        <v>8</v>
      </c>
      <c r="AH392" s="2845" t="s">
        <v>76</v>
      </c>
      <c r="AI392"/>
    </row>
    <row r="393" spans="1:35" ht="18" customHeight="1" x14ac:dyDescent="0.2">
      <c r="A393" s="2710"/>
      <c r="B393" s="4"/>
      <c r="C393" s="2710"/>
      <c r="D393" s="2577" t="s">
        <v>9</v>
      </c>
      <c r="E393" s="2578" t="s">
        <v>10</v>
      </c>
      <c r="F393" s="2718" t="s">
        <v>11</v>
      </c>
      <c r="G393" s="2713"/>
      <c r="H393" s="2714"/>
      <c r="I393" s="2572"/>
      <c r="J393" s="2579" t="s">
        <v>12</v>
      </c>
      <c r="K393" s="2572"/>
      <c r="L393" s="2715" t="s">
        <v>2</v>
      </c>
      <c r="M393" s="2580"/>
      <c r="N393" s="2580"/>
      <c r="O393" s="2580"/>
      <c r="P393" s="2581"/>
      <c r="Q393" s="2582" t="s">
        <v>13</v>
      </c>
      <c r="R393" s="2583" t="s">
        <v>12</v>
      </c>
      <c r="S393" s="2580" t="s">
        <v>6</v>
      </c>
      <c r="T393" s="2724" t="s">
        <v>14</v>
      </c>
      <c r="U393" s="2725"/>
      <c r="V393" s="2584" t="s">
        <v>7</v>
      </c>
      <c r="W393" s="2585" t="s">
        <v>15</v>
      </c>
      <c r="X393" s="2586" t="s">
        <v>16</v>
      </c>
      <c r="Y393" s="2586" t="s">
        <v>17</v>
      </c>
      <c r="Z393" s="2586" t="s">
        <v>18</v>
      </c>
      <c r="AA393" s="5"/>
      <c r="AB393" s="5"/>
      <c r="AC393" s="55" t="s">
        <v>19</v>
      </c>
      <c r="AD393" s="2223" t="s">
        <v>20</v>
      </c>
      <c r="AH393" s="2845"/>
      <c r="AI393"/>
    </row>
    <row r="394" spans="1:35" ht="18" customHeight="1" x14ac:dyDescent="0.2">
      <c r="A394" s="2710"/>
      <c r="B394" s="2454" t="s">
        <v>23</v>
      </c>
      <c r="C394" s="2710"/>
      <c r="D394" s="2577" t="s">
        <v>24</v>
      </c>
      <c r="E394" s="2578" t="s">
        <v>25</v>
      </c>
      <c r="F394" s="2719"/>
      <c r="G394" s="2720"/>
      <c r="H394" s="2721"/>
      <c r="I394" s="2577" t="s">
        <v>26</v>
      </c>
      <c r="J394" s="2587" t="s">
        <v>15</v>
      </c>
      <c r="K394" s="2588" t="s">
        <v>6</v>
      </c>
      <c r="L394" s="2722"/>
      <c r="M394" s="2589" t="s">
        <v>27</v>
      </c>
      <c r="N394" s="2589" t="s">
        <v>10</v>
      </c>
      <c r="O394" s="2590" t="s">
        <v>10</v>
      </c>
      <c r="P394" s="2591" t="s">
        <v>28</v>
      </c>
      <c r="Q394" s="2592" t="s">
        <v>29</v>
      </c>
      <c r="R394" s="2591" t="s">
        <v>15</v>
      </c>
      <c r="S394" s="8" t="s">
        <v>15</v>
      </c>
      <c r="T394" s="2726"/>
      <c r="U394" s="2727"/>
      <c r="V394" s="2584" t="s">
        <v>30</v>
      </c>
      <c r="W394" s="2585" t="s">
        <v>31</v>
      </c>
      <c r="X394" s="2586" t="s">
        <v>30</v>
      </c>
      <c r="Y394" s="2586" t="s">
        <v>32</v>
      </c>
      <c r="Z394" s="2586" t="s">
        <v>7</v>
      </c>
      <c r="AA394" s="5" t="s">
        <v>33</v>
      </c>
      <c r="AB394" s="5"/>
      <c r="AC394" s="55" t="s">
        <v>34</v>
      </c>
      <c r="AD394" s="2223" t="s">
        <v>35</v>
      </c>
      <c r="AH394" s="2845"/>
      <c r="AI394"/>
    </row>
    <row r="395" spans="1:35" ht="18" customHeight="1" x14ac:dyDescent="0.2">
      <c r="A395" s="2710"/>
      <c r="B395" s="2454" t="s">
        <v>39</v>
      </c>
      <c r="C395" s="2710"/>
      <c r="D395" s="2577" t="s">
        <v>40</v>
      </c>
      <c r="E395" s="2578" t="s">
        <v>41</v>
      </c>
      <c r="F395" s="2709" t="s">
        <v>42</v>
      </c>
      <c r="G395" s="2709" t="s">
        <v>43</v>
      </c>
      <c r="H395" s="2728" t="s">
        <v>44</v>
      </c>
      <c r="I395" s="2577" t="s">
        <v>45</v>
      </c>
      <c r="J395" s="2587" t="s">
        <v>46</v>
      </c>
      <c r="K395" s="2588" t="s">
        <v>47</v>
      </c>
      <c r="L395" s="2722"/>
      <c r="M395" s="2589" t="s">
        <v>30</v>
      </c>
      <c r="N395" s="2589" t="s">
        <v>30</v>
      </c>
      <c r="O395" s="2590" t="s">
        <v>25</v>
      </c>
      <c r="P395" s="2591" t="s">
        <v>30</v>
      </c>
      <c r="Q395" s="2592" t="s">
        <v>48</v>
      </c>
      <c r="R395" s="2591" t="s">
        <v>49</v>
      </c>
      <c r="S395" s="8" t="s">
        <v>30</v>
      </c>
      <c r="T395" s="2593" t="s">
        <v>50</v>
      </c>
      <c r="U395" s="2594" t="s">
        <v>13</v>
      </c>
      <c r="V395" s="2584" t="s">
        <v>51</v>
      </c>
      <c r="W395" s="2585" t="s">
        <v>52</v>
      </c>
      <c r="X395" s="2586" t="s">
        <v>53</v>
      </c>
      <c r="Y395" s="2586" t="s">
        <v>54</v>
      </c>
      <c r="Z395" s="2586" t="s">
        <v>55</v>
      </c>
      <c r="AA395" s="5" t="s">
        <v>56</v>
      </c>
      <c r="AB395" s="5"/>
      <c r="AC395" s="55" t="s">
        <v>57</v>
      </c>
      <c r="AD395" s="6" t="s">
        <v>58</v>
      </c>
      <c r="AH395" s="2845"/>
      <c r="AI395"/>
    </row>
    <row r="396" spans="1:35" ht="18" customHeight="1" x14ac:dyDescent="0.25">
      <c r="A396" s="2710"/>
      <c r="B396" s="2454" t="s">
        <v>61</v>
      </c>
      <c r="C396" s="2710"/>
      <c r="D396" s="2577" t="s">
        <v>62</v>
      </c>
      <c r="E396" s="2578" t="s">
        <v>63</v>
      </c>
      <c r="F396" s="2710"/>
      <c r="G396" s="2710"/>
      <c r="H396" s="2729"/>
      <c r="I396" s="2577" t="s">
        <v>64</v>
      </c>
      <c r="J396" s="2587" t="s">
        <v>59</v>
      </c>
      <c r="K396" s="2588" t="s">
        <v>59</v>
      </c>
      <c r="L396" s="2722"/>
      <c r="M396" s="2589"/>
      <c r="N396" s="2589"/>
      <c r="O396" s="2590" t="s">
        <v>41</v>
      </c>
      <c r="P396" s="2591" t="s">
        <v>65</v>
      </c>
      <c r="Q396" s="2592" t="s">
        <v>66</v>
      </c>
      <c r="R396" s="2591" t="s">
        <v>67</v>
      </c>
      <c r="S396" s="8" t="s">
        <v>59</v>
      </c>
      <c r="T396" s="2595" t="s">
        <v>68</v>
      </c>
      <c r="U396" s="2584" t="s">
        <v>14</v>
      </c>
      <c r="V396" s="2584" t="s">
        <v>14</v>
      </c>
      <c r="W396" s="2585" t="s">
        <v>30</v>
      </c>
      <c r="X396" s="2596" t="s">
        <v>69</v>
      </c>
      <c r="Y396" s="2596" t="s">
        <v>70</v>
      </c>
      <c r="Z396" s="2586" t="s">
        <v>71</v>
      </c>
      <c r="AA396" s="5" t="s">
        <v>72</v>
      </c>
      <c r="AB396" s="5"/>
      <c r="AC396" s="2597" t="s">
        <v>59</v>
      </c>
      <c r="AD396" s="6" t="s">
        <v>59</v>
      </c>
      <c r="AH396" s="2845"/>
      <c r="AI396"/>
    </row>
    <row r="397" spans="1:35" ht="18" customHeight="1" x14ac:dyDescent="0.2">
      <c r="A397" s="2711"/>
      <c r="B397" s="9"/>
      <c r="C397" s="2711"/>
      <c r="D397" s="2598"/>
      <c r="E397" s="2599"/>
      <c r="F397" s="9"/>
      <c r="G397" s="9"/>
      <c r="H397" s="10"/>
      <c r="I397" s="2599"/>
      <c r="J397" s="2600"/>
      <c r="K397" s="2601"/>
      <c r="L397" s="2723"/>
      <c r="M397" s="2602"/>
      <c r="N397" s="2602"/>
      <c r="O397" s="2602" t="s">
        <v>63</v>
      </c>
      <c r="P397" s="2603"/>
      <c r="Q397" s="2604" t="s">
        <v>72</v>
      </c>
      <c r="R397" s="2605" t="s">
        <v>59</v>
      </c>
      <c r="S397" s="2606"/>
      <c r="T397" s="2605" t="s">
        <v>73</v>
      </c>
      <c r="U397" s="2606" t="s">
        <v>59</v>
      </c>
      <c r="V397" s="2607" t="s">
        <v>59</v>
      </c>
      <c r="W397" s="2608" t="s">
        <v>59</v>
      </c>
      <c r="X397" s="2609" t="s">
        <v>59</v>
      </c>
      <c r="Y397" s="2609" t="s">
        <v>59</v>
      </c>
      <c r="Z397" s="2609" t="s">
        <v>59</v>
      </c>
      <c r="AA397" s="11"/>
      <c r="AB397" s="11"/>
      <c r="AC397" s="56"/>
      <c r="AD397" s="12"/>
      <c r="AH397" s="2845"/>
      <c r="AI397"/>
    </row>
    <row r="398" spans="1:35" ht="18" customHeight="1" x14ac:dyDescent="0.2">
      <c r="A398" s="2674">
        <v>189</v>
      </c>
      <c r="B398" s="2113">
        <v>67687</v>
      </c>
      <c r="C398" s="2100" t="s">
        <v>900</v>
      </c>
      <c r="D398" s="2114" t="s">
        <v>245</v>
      </c>
      <c r="E398" s="1508">
        <v>3</v>
      </c>
      <c r="F398" s="2114">
        <v>0</v>
      </c>
      <c r="G398" s="2114">
        <v>0</v>
      </c>
      <c r="H398" s="2557">
        <v>85</v>
      </c>
      <c r="I398" s="1794">
        <f t="shared" ref="I398:I416" si="73">F398*400+G398*100+H398</f>
        <v>85</v>
      </c>
      <c r="J398" s="1687">
        <v>20000</v>
      </c>
      <c r="K398" s="2492">
        <f t="shared" ref="K398:K416" si="74">SUM(I398*J398)</f>
        <v>1700000</v>
      </c>
      <c r="L398" s="45"/>
      <c r="M398" s="61"/>
      <c r="N398" s="50"/>
      <c r="O398" s="1506"/>
      <c r="P398" s="19"/>
      <c r="Q398" s="62"/>
      <c r="R398" s="1718"/>
      <c r="S398" s="18"/>
      <c r="T398" s="20"/>
      <c r="U398" s="1664"/>
      <c r="V398" s="47"/>
      <c r="W398" s="1794">
        <f t="shared" ref="W398:W416" si="75">+K398</f>
        <v>1700000</v>
      </c>
      <c r="X398" s="1791">
        <f t="shared" ref="X398:X416" si="76">+W398</f>
        <v>1700000</v>
      </c>
      <c r="Y398" s="2474"/>
      <c r="Z398" s="1794">
        <f t="shared" ref="Z398:Z416" si="77">+X398</f>
        <v>1700000</v>
      </c>
      <c r="AA398" s="2497">
        <v>0.3</v>
      </c>
      <c r="AB398" s="2498"/>
      <c r="AC398" s="2491">
        <f t="shared" ref="AC398:AC416" si="78">+Z398*AA398/100</f>
        <v>5100</v>
      </c>
      <c r="AD398" s="2540"/>
      <c r="AH398" s="2482"/>
      <c r="AI398"/>
    </row>
    <row r="399" spans="1:35" ht="18" customHeight="1" x14ac:dyDescent="0.2">
      <c r="A399" s="2674">
        <v>190</v>
      </c>
      <c r="B399" s="2113">
        <v>67688</v>
      </c>
      <c r="C399" s="2100" t="s">
        <v>901</v>
      </c>
      <c r="D399" s="2114" t="s">
        <v>245</v>
      </c>
      <c r="E399" s="1508">
        <v>3</v>
      </c>
      <c r="F399" s="2114">
        <v>0</v>
      </c>
      <c r="G399" s="2114">
        <v>0</v>
      </c>
      <c r="H399" s="2559">
        <v>95.5</v>
      </c>
      <c r="I399" s="1794">
        <f t="shared" si="73"/>
        <v>95.5</v>
      </c>
      <c r="J399" s="1687">
        <v>20000</v>
      </c>
      <c r="K399" s="2492">
        <f t="shared" si="74"/>
        <v>1910000</v>
      </c>
      <c r="L399" s="45"/>
      <c r="M399" s="61"/>
      <c r="N399" s="50"/>
      <c r="O399" s="1506"/>
      <c r="P399" s="19"/>
      <c r="Q399" s="62"/>
      <c r="R399" s="1718"/>
      <c r="S399" s="18"/>
      <c r="T399" s="20"/>
      <c r="U399" s="1664"/>
      <c r="V399" s="47"/>
      <c r="W399" s="1794">
        <f t="shared" si="75"/>
        <v>1910000</v>
      </c>
      <c r="X399" s="1791">
        <f t="shared" si="76"/>
        <v>1910000</v>
      </c>
      <c r="Y399" s="2474"/>
      <c r="Z399" s="1794">
        <f t="shared" si="77"/>
        <v>1910000</v>
      </c>
      <c r="AA399" s="2497">
        <v>0.3</v>
      </c>
      <c r="AB399" s="2498"/>
      <c r="AC399" s="2491">
        <f t="shared" si="78"/>
        <v>5730</v>
      </c>
      <c r="AD399" s="2558"/>
      <c r="AH399" s="2482"/>
      <c r="AI399"/>
    </row>
    <row r="400" spans="1:35" ht="18" customHeight="1" x14ac:dyDescent="0.2">
      <c r="A400" s="2674">
        <v>191</v>
      </c>
      <c r="B400" s="2113">
        <v>67689</v>
      </c>
      <c r="C400" s="2100" t="s">
        <v>902</v>
      </c>
      <c r="D400" s="2114" t="s">
        <v>245</v>
      </c>
      <c r="E400" s="1508">
        <v>3</v>
      </c>
      <c r="F400" s="2114">
        <v>0</v>
      </c>
      <c r="G400" s="2114">
        <v>1</v>
      </c>
      <c r="H400" s="2559">
        <v>77.7</v>
      </c>
      <c r="I400" s="1794">
        <f t="shared" si="73"/>
        <v>177.7</v>
      </c>
      <c r="J400" s="1687">
        <v>20000</v>
      </c>
      <c r="K400" s="2492">
        <f t="shared" si="74"/>
        <v>3554000</v>
      </c>
      <c r="L400" s="45"/>
      <c r="M400" s="61"/>
      <c r="N400" s="50"/>
      <c r="O400" s="1506"/>
      <c r="P400" s="19"/>
      <c r="Q400" s="62"/>
      <c r="R400" s="1718"/>
      <c r="S400" s="18"/>
      <c r="T400" s="20"/>
      <c r="U400" s="1664"/>
      <c r="V400" s="47"/>
      <c r="W400" s="1794">
        <f t="shared" si="75"/>
        <v>3554000</v>
      </c>
      <c r="X400" s="1791">
        <f t="shared" si="76"/>
        <v>3554000</v>
      </c>
      <c r="Y400" s="2474"/>
      <c r="Z400" s="1794">
        <f t="shared" si="77"/>
        <v>3554000</v>
      </c>
      <c r="AA400" s="2497">
        <v>0.3</v>
      </c>
      <c r="AB400" s="2498"/>
      <c r="AC400" s="2491">
        <f t="shared" si="78"/>
        <v>10662</v>
      </c>
      <c r="AD400" s="2558"/>
      <c r="AH400" s="2482"/>
      <c r="AI400"/>
    </row>
    <row r="401" spans="1:35" ht="18" customHeight="1" x14ac:dyDescent="0.2">
      <c r="A401" s="2674">
        <v>192</v>
      </c>
      <c r="B401" s="2113">
        <v>67690</v>
      </c>
      <c r="C401" s="2100" t="s">
        <v>903</v>
      </c>
      <c r="D401" s="2114" t="s">
        <v>245</v>
      </c>
      <c r="E401" s="1508">
        <v>3</v>
      </c>
      <c r="F401" s="2485">
        <v>0</v>
      </c>
      <c r="G401" s="2109">
        <v>1</v>
      </c>
      <c r="H401" s="2486">
        <v>2.6</v>
      </c>
      <c r="I401" s="1794">
        <f t="shared" si="73"/>
        <v>102.6</v>
      </c>
      <c r="J401" s="1687">
        <v>20000</v>
      </c>
      <c r="K401" s="2492">
        <f t="shared" si="74"/>
        <v>2052000</v>
      </c>
      <c r="L401" s="2109"/>
      <c r="M401" s="100"/>
      <c r="N401" s="2109"/>
      <c r="O401" s="2109"/>
      <c r="P401" s="2486"/>
      <c r="Q401" s="2488"/>
      <c r="R401" s="2101"/>
      <c r="S401" s="2102"/>
      <c r="T401" s="2489"/>
      <c r="U401" s="2102"/>
      <c r="V401" s="2102"/>
      <c r="W401" s="1794">
        <f t="shared" si="75"/>
        <v>2052000</v>
      </c>
      <c r="X401" s="1791">
        <f t="shared" si="76"/>
        <v>2052000</v>
      </c>
      <c r="Y401" s="2474"/>
      <c r="Z401" s="1794">
        <f t="shared" si="77"/>
        <v>2052000</v>
      </c>
      <c r="AA401" s="2497">
        <v>0.3</v>
      </c>
      <c r="AB401" s="2498"/>
      <c r="AC401" s="2491">
        <f t="shared" si="78"/>
        <v>6156</v>
      </c>
      <c r="AD401" s="2535"/>
      <c r="AH401" s="2482"/>
      <c r="AI401"/>
    </row>
    <row r="402" spans="1:35" ht="18" customHeight="1" x14ac:dyDescent="0.2">
      <c r="A402" s="2674">
        <v>193</v>
      </c>
      <c r="B402" s="2113">
        <v>67691</v>
      </c>
      <c r="C402" s="2100" t="s">
        <v>904</v>
      </c>
      <c r="D402" s="2114" t="s">
        <v>245</v>
      </c>
      <c r="E402" s="1508">
        <v>3</v>
      </c>
      <c r="F402" s="2485">
        <v>0</v>
      </c>
      <c r="G402" s="2109">
        <v>0</v>
      </c>
      <c r="H402" s="2486">
        <v>94</v>
      </c>
      <c r="I402" s="1794">
        <f t="shared" si="73"/>
        <v>94</v>
      </c>
      <c r="J402" s="1687">
        <v>20000</v>
      </c>
      <c r="K402" s="2492">
        <f t="shared" si="74"/>
        <v>1880000</v>
      </c>
      <c r="L402" s="2109"/>
      <c r="M402" s="100"/>
      <c r="N402" s="2109"/>
      <c r="O402" s="2109"/>
      <c r="P402" s="2486"/>
      <c r="Q402" s="2488"/>
      <c r="R402" s="2101"/>
      <c r="S402" s="2102"/>
      <c r="T402" s="2489"/>
      <c r="U402" s="2102"/>
      <c r="V402" s="2102"/>
      <c r="W402" s="1794">
        <f t="shared" si="75"/>
        <v>1880000</v>
      </c>
      <c r="X402" s="1791">
        <f t="shared" si="76"/>
        <v>1880000</v>
      </c>
      <c r="Y402" s="2474"/>
      <c r="Z402" s="1794">
        <f t="shared" si="77"/>
        <v>1880000</v>
      </c>
      <c r="AA402" s="2497">
        <v>0.3</v>
      </c>
      <c r="AB402" s="2498"/>
      <c r="AC402" s="2491">
        <f t="shared" si="78"/>
        <v>5640</v>
      </c>
      <c r="AD402" s="2536"/>
      <c r="AH402" s="2482"/>
      <c r="AI402"/>
    </row>
    <row r="403" spans="1:35" ht="18" customHeight="1" x14ac:dyDescent="0.2">
      <c r="A403" s="2674">
        <v>194</v>
      </c>
      <c r="B403" s="2113">
        <v>67692</v>
      </c>
      <c r="C403" s="2100" t="s">
        <v>905</v>
      </c>
      <c r="D403" s="2114" t="s">
        <v>245</v>
      </c>
      <c r="E403" s="1508">
        <v>3</v>
      </c>
      <c r="F403" s="2485">
        <v>0</v>
      </c>
      <c r="G403" s="2109">
        <v>1</v>
      </c>
      <c r="H403" s="2486">
        <v>9.1999999999999993</v>
      </c>
      <c r="I403" s="1794">
        <f t="shared" si="73"/>
        <v>109.2</v>
      </c>
      <c r="J403" s="1687">
        <v>20000</v>
      </c>
      <c r="K403" s="2492">
        <f t="shared" si="74"/>
        <v>2184000</v>
      </c>
      <c r="L403" s="2109"/>
      <c r="M403" s="100"/>
      <c r="N403" s="2109"/>
      <c r="O403" s="2109"/>
      <c r="P403" s="2486"/>
      <c r="Q403" s="2488"/>
      <c r="R403" s="2493"/>
      <c r="S403" s="2494"/>
      <c r="T403" s="2495"/>
      <c r="U403" s="2494"/>
      <c r="V403" s="2494"/>
      <c r="W403" s="1794">
        <f t="shared" si="75"/>
        <v>2184000</v>
      </c>
      <c r="X403" s="1791">
        <f t="shared" si="76"/>
        <v>2184000</v>
      </c>
      <c r="Y403" s="2496"/>
      <c r="Z403" s="1794">
        <f t="shared" si="77"/>
        <v>2184000</v>
      </c>
      <c r="AA403" s="2497">
        <v>0.3</v>
      </c>
      <c r="AB403" s="2498"/>
      <c r="AC403" s="2491">
        <f t="shared" si="78"/>
        <v>6552</v>
      </c>
      <c r="AD403" s="2536"/>
      <c r="AH403" s="2482"/>
      <c r="AI403"/>
    </row>
    <row r="404" spans="1:35" ht="18" customHeight="1" x14ac:dyDescent="0.2">
      <c r="A404" s="2674">
        <v>195</v>
      </c>
      <c r="B404" s="2113">
        <v>67693</v>
      </c>
      <c r="C404" s="2100" t="s">
        <v>906</v>
      </c>
      <c r="D404" s="2114" t="s">
        <v>245</v>
      </c>
      <c r="E404" s="1508">
        <v>3</v>
      </c>
      <c r="F404" s="2485">
        <v>0</v>
      </c>
      <c r="G404" s="2109">
        <v>0</v>
      </c>
      <c r="H404" s="2486">
        <v>89.4</v>
      </c>
      <c r="I404" s="1794">
        <f t="shared" si="73"/>
        <v>89.4</v>
      </c>
      <c r="J404" s="1687">
        <v>20000</v>
      </c>
      <c r="K404" s="2492">
        <f t="shared" si="74"/>
        <v>1788000</v>
      </c>
      <c r="L404" s="2109"/>
      <c r="M404" s="100"/>
      <c r="N404" s="2109"/>
      <c r="O404" s="2109"/>
      <c r="P404" s="2486"/>
      <c r="Q404" s="2488"/>
      <c r="R404" s="2493"/>
      <c r="S404" s="2494"/>
      <c r="T404" s="2495"/>
      <c r="U404" s="2494"/>
      <c r="V404" s="2494"/>
      <c r="W404" s="1794">
        <f t="shared" si="75"/>
        <v>1788000</v>
      </c>
      <c r="X404" s="1791">
        <f t="shared" si="76"/>
        <v>1788000</v>
      </c>
      <c r="Y404" s="2496"/>
      <c r="Z404" s="1794">
        <f t="shared" si="77"/>
        <v>1788000</v>
      </c>
      <c r="AA404" s="2497">
        <v>0.3</v>
      </c>
      <c r="AB404" s="2498"/>
      <c r="AC404" s="2491">
        <f t="shared" si="78"/>
        <v>5364</v>
      </c>
      <c r="AD404" s="2536"/>
      <c r="AH404" s="2482"/>
      <c r="AI404"/>
    </row>
    <row r="405" spans="1:35" ht="18" customHeight="1" x14ac:dyDescent="0.2">
      <c r="A405" s="2674">
        <v>196</v>
      </c>
      <c r="B405" s="2113">
        <v>67694</v>
      </c>
      <c r="C405" s="2100" t="s">
        <v>907</v>
      </c>
      <c r="D405" s="2114" t="s">
        <v>245</v>
      </c>
      <c r="E405" s="1508">
        <v>3</v>
      </c>
      <c r="F405" s="2472">
        <v>0</v>
      </c>
      <c r="G405" s="2113">
        <v>0</v>
      </c>
      <c r="H405" s="2477">
        <v>72.3</v>
      </c>
      <c r="I405" s="1794">
        <f t="shared" si="73"/>
        <v>72.3</v>
      </c>
      <c r="J405" s="1687">
        <v>20000</v>
      </c>
      <c r="K405" s="2492">
        <f t="shared" si="74"/>
        <v>1446000</v>
      </c>
      <c r="L405" s="2109"/>
      <c r="M405" s="100"/>
      <c r="N405" s="2109"/>
      <c r="O405" s="2109"/>
      <c r="P405" s="2486"/>
      <c r="Q405" s="2488"/>
      <c r="R405" s="2493"/>
      <c r="S405" s="2494"/>
      <c r="T405" s="2495"/>
      <c r="U405" s="2494"/>
      <c r="V405" s="2494"/>
      <c r="W405" s="1794">
        <f t="shared" si="75"/>
        <v>1446000</v>
      </c>
      <c r="X405" s="1791">
        <f t="shared" si="76"/>
        <v>1446000</v>
      </c>
      <c r="Y405" s="2496"/>
      <c r="Z405" s="1794">
        <f t="shared" si="77"/>
        <v>1446000</v>
      </c>
      <c r="AA405" s="2497">
        <v>0.3</v>
      </c>
      <c r="AB405" s="2498"/>
      <c r="AC405" s="2491">
        <f t="shared" si="78"/>
        <v>4338</v>
      </c>
      <c r="AD405" s="2536"/>
      <c r="AH405" s="2482"/>
      <c r="AI405"/>
    </row>
    <row r="406" spans="1:35" ht="18" customHeight="1" x14ac:dyDescent="0.2">
      <c r="A406" s="2674">
        <v>197</v>
      </c>
      <c r="B406" s="2113">
        <v>67695</v>
      </c>
      <c r="C406" s="2100" t="s">
        <v>908</v>
      </c>
      <c r="D406" s="2114" t="s">
        <v>245</v>
      </c>
      <c r="E406" s="1508">
        <v>3</v>
      </c>
      <c r="F406" s="2472">
        <v>0</v>
      </c>
      <c r="G406" s="2113">
        <v>1</v>
      </c>
      <c r="H406" s="2477">
        <v>19.899999999999999</v>
      </c>
      <c r="I406" s="1794">
        <f t="shared" si="73"/>
        <v>119.9</v>
      </c>
      <c r="J406" s="1687">
        <v>20000</v>
      </c>
      <c r="K406" s="2492">
        <f t="shared" si="74"/>
        <v>2398000</v>
      </c>
      <c r="L406" s="2109"/>
      <c r="M406" s="100"/>
      <c r="N406" s="2109"/>
      <c r="O406" s="2109"/>
      <c r="P406" s="2486"/>
      <c r="Q406" s="2488"/>
      <c r="R406" s="2493"/>
      <c r="S406" s="2494"/>
      <c r="T406" s="2495"/>
      <c r="U406" s="2494"/>
      <c r="V406" s="2494"/>
      <c r="W406" s="1794">
        <f t="shared" si="75"/>
        <v>2398000</v>
      </c>
      <c r="X406" s="1791">
        <f t="shared" si="76"/>
        <v>2398000</v>
      </c>
      <c r="Y406" s="2496"/>
      <c r="Z406" s="1794">
        <f t="shared" si="77"/>
        <v>2398000</v>
      </c>
      <c r="AA406" s="2497">
        <v>0.3</v>
      </c>
      <c r="AB406" s="2498"/>
      <c r="AC406" s="2491">
        <f t="shared" si="78"/>
        <v>7194</v>
      </c>
      <c r="AD406" s="2536"/>
      <c r="AH406" s="2482"/>
      <c r="AI406"/>
    </row>
    <row r="407" spans="1:35" ht="18" customHeight="1" x14ac:dyDescent="0.2">
      <c r="A407" s="2674">
        <v>198</v>
      </c>
      <c r="B407" s="2113">
        <v>67696</v>
      </c>
      <c r="C407" s="2100" t="s">
        <v>909</v>
      </c>
      <c r="D407" s="2114" t="s">
        <v>245</v>
      </c>
      <c r="E407" s="1508">
        <v>3</v>
      </c>
      <c r="F407" s="2472">
        <v>0</v>
      </c>
      <c r="G407" s="2113">
        <v>0</v>
      </c>
      <c r="H407" s="2477">
        <v>59</v>
      </c>
      <c r="I407" s="1794">
        <f t="shared" si="73"/>
        <v>59</v>
      </c>
      <c r="J407" s="1687">
        <v>20000</v>
      </c>
      <c r="K407" s="2492">
        <f t="shared" si="74"/>
        <v>1180000</v>
      </c>
      <c r="L407" s="2109"/>
      <c r="M407" s="100"/>
      <c r="N407" s="2109"/>
      <c r="O407" s="2109"/>
      <c r="P407" s="2486"/>
      <c r="Q407" s="2488"/>
      <c r="R407" s="2493"/>
      <c r="S407" s="2494"/>
      <c r="T407" s="2495"/>
      <c r="U407" s="2494"/>
      <c r="V407" s="2494"/>
      <c r="W407" s="1794">
        <f t="shared" si="75"/>
        <v>1180000</v>
      </c>
      <c r="X407" s="1791">
        <f t="shared" si="76"/>
        <v>1180000</v>
      </c>
      <c r="Y407" s="2496"/>
      <c r="Z407" s="1794">
        <f t="shared" si="77"/>
        <v>1180000</v>
      </c>
      <c r="AA407" s="2497">
        <v>0.3</v>
      </c>
      <c r="AB407" s="2498"/>
      <c r="AC407" s="2491">
        <f t="shared" si="78"/>
        <v>3540</v>
      </c>
      <c r="AD407" s="2536"/>
      <c r="AH407" s="2482"/>
      <c r="AI407"/>
    </row>
    <row r="408" spans="1:35" ht="18" customHeight="1" x14ac:dyDescent="0.2">
      <c r="A408" s="2674">
        <v>199</v>
      </c>
      <c r="B408" s="2113">
        <v>67697</v>
      </c>
      <c r="C408" s="2100" t="s">
        <v>910</v>
      </c>
      <c r="D408" s="2114" t="s">
        <v>245</v>
      </c>
      <c r="E408" s="1508">
        <v>3</v>
      </c>
      <c r="F408" s="2472">
        <v>0</v>
      </c>
      <c r="G408" s="2113">
        <v>0</v>
      </c>
      <c r="H408" s="2477">
        <v>96.5</v>
      </c>
      <c r="I408" s="1794">
        <f t="shared" si="73"/>
        <v>96.5</v>
      </c>
      <c r="J408" s="1687">
        <v>20000</v>
      </c>
      <c r="K408" s="2492">
        <f t="shared" si="74"/>
        <v>1930000</v>
      </c>
      <c r="L408" s="2109"/>
      <c r="M408" s="100"/>
      <c r="N408" s="2109"/>
      <c r="O408" s="2109"/>
      <c r="P408" s="2486"/>
      <c r="Q408" s="2488"/>
      <c r="R408" s="2493"/>
      <c r="S408" s="2494"/>
      <c r="T408" s="2495"/>
      <c r="U408" s="2494"/>
      <c r="V408" s="2494"/>
      <c r="W408" s="1794">
        <f t="shared" si="75"/>
        <v>1930000</v>
      </c>
      <c r="X408" s="1791">
        <f t="shared" si="76"/>
        <v>1930000</v>
      </c>
      <c r="Y408" s="2496"/>
      <c r="Z408" s="1794">
        <f t="shared" si="77"/>
        <v>1930000</v>
      </c>
      <c r="AA408" s="2497">
        <v>0.3</v>
      </c>
      <c r="AB408" s="2498"/>
      <c r="AC408" s="2491">
        <f t="shared" si="78"/>
        <v>5790</v>
      </c>
      <c r="AD408" s="2536"/>
      <c r="AH408" s="2482"/>
      <c r="AI408"/>
    </row>
    <row r="409" spans="1:35" ht="18" customHeight="1" x14ac:dyDescent="0.2">
      <c r="A409" s="2674">
        <v>200</v>
      </c>
      <c r="B409" s="2113">
        <v>67698</v>
      </c>
      <c r="C409" s="2100" t="s">
        <v>911</v>
      </c>
      <c r="D409" s="2114" t="s">
        <v>245</v>
      </c>
      <c r="E409" s="1508">
        <v>3</v>
      </c>
      <c r="F409" s="2472">
        <v>0</v>
      </c>
      <c r="G409" s="2113">
        <v>0</v>
      </c>
      <c r="H409" s="2477">
        <v>79.900000000000006</v>
      </c>
      <c r="I409" s="1794">
        <f t="shared" si="73"/>
        <v>79.900000000000006</v>
      </c>
      <c r="J409" s="1687">
        <v>20000</v>
      </c>
      <c r="K409" s="2492">
        <f t="shared" si="74"/>
        <v>1598000</v>
      </c>
      <c r="L409" s="2109"/>
      <c r="M409" s="100"/>
      <c r="N409" s="2109"/>
      <c r="O409" s="2109"/>
      <c r="P409" s="2486"/>
      <c r="Q409" s="2488"/>
      <c r="R409" s="2493"/>
      <c r="S409" s="2494"/>
      <c r="T409" s="2495"/>
      <c r="U409" s="2494"/>
      <c r="V409" s="2494"/>
      <c r="W409" s="1794">
        <f t="shared" si="75"/>
        <v>1598000</v>
      </c>
      <c r="X409" s="1791">
        <f t="shared" si="76"/>
        <v>1598000</v>
      </c>
      <c r="Y409" s="2496"/>
      <c r="Z409" s="1794">
        <f t="shared" si="77"/>
        <v>1598000</v>
      </c>
      <c r="AA409" s="2497">
        <v>0.3</v>
      </c>
      <c r="AB409" s="2498"/>
      <c r="AC409" s="2491">
        <f t="shared" si="78"/>
        <v>4794</v>
      </c>
      <c r="AD409" s="2536"/>
      <c r="AH409" s="2482"/>
      <c r="AI409"/>
    </row>
    <row r="410" spans="1:35" ht="18" customHeight="1" x14ac:dyDescent="0.2">
      <c r="A410" s="2674">
        <v>201</v>
      </c>
      <c r="B410" s="2113">
        <v>67699</v>
      </c>
      <c r="C410" s="2100" t="s">
        <v>755</v>
      </c>
      <c r="D410" s="2114" t="s">
        <v>245</v>
      </c>
      <c r="E410" s="1508">
        <v>3</v>
      </c>
      <c r="F410" s="2472">
        <v>0</v>
      </c>
      <c r="G410" s="2113">
        <v>0</v>
      </c>
      <c r="H410" s="2477">
        <v>85</v>
      </c>
      <c r="I410" s="1794">
        <f t="shared" si="73"/>
        <v>85</v>
      </c>
      <c r="J410" s="1687">
        <v>20000</v>
      </c>
      <c r="K410" s="2492">
        <f t="shared" si="74"/>
        <v>1700000</v>
      </c>
      <c r="L410" s="2109"/>
      <c r="M410" s="100"/>
      <c r="N410" s="2109"/>
      <c r="O410" s="2109"/>
      <c r="P410" s="2486"/>
      <c r="Q410" s="2488"/>
      <c r="R410" s="2493"/>
      <c r="S410" s="2494"/>
      <c r="T410" s="2495"/>
      <c r="U410" s="2494"/>
      <c r="V410" s="2494"/>
      <c r="W410" s="1794">
        <f t="shared" si="75"/>
        <v>1700000</v>
      </c>
      <c r="X410" s="1791">
        <f t="shared" si="76"/>
        <v>1700000</v>
      </c>
      <c r="Y410" s="2496"/>
      <c r="Z410" s="1794">
        <f t="shared" si="77"/>
        <v>1700000</v>
      </c>
      <c r="AA410" s="2497">
        <v>0.3</v>
      </c>
      <c r="AB410" s="2498"/>
      <c r="AC410" s="2491">
        <f t="shared" si="78"/>
        <v>5100</v>
      </c>
      <c r="AD410" s="2536"/>
      <c r="AH410" s="2482"/>
      <c r="AI410"/>
    </row>
    <row r="411" spans="1:35" ht="18" customHeight="1" x14ac:dyDescent="0.2">
      <c r="A411" s="2674">
        <v>202</v>
      </c>
      <c r="B411" s="2113">
        <v>67700</v>
      </c>
      <c r="C411" s="2100" t="s">
        <v>912</v>
      </c>
      <c r="D411" s="2114" t="s">
        <v>245</v>
      </c>
      <c r="E411" s="1508">
        <v>3</v>
      </c>
      <c r="F411" s="2472">
        <v>0</v>
      </c>
      <c r="G411" s="2113">
        <v>0</v>
      </c>
      <c r="H411" s="2477">
        <v>71.5</v>
      </c>
      <c r="I411" s="1794">
        <f t="shared" si="73"/>
        <v>71.5</v>
      </c>
      <c r="J411" s="1687">
        <v>20000</v>
      </c>
      <c r="K411" s="2492">
        <f t="shared" si="74"/>
        <v>1430000</v>
      </c>
      <c r="L411" s="2109"/>
      <c r="M411" s="100"/>
      <c r="N411" s="2109"/>
      <c r="O411" s="2109"/>
      <c r="P411" s="2486"/>
      <c r="Q411" s="2488"/>
      <c r="R411" s="2493"/>
      <c r="S411" s="2494"/>
      <c r="T411" s="2495"/>
      <c r="U411" s="2494"/>
      <c r="V411" s="2494"/>
      <c r="W411" s="1794">
        <f t="shared" si="75"/>
        <v>1430000</v>
      </c>
      <c r="X411" s="1791">
        <f t="shared" si="76"/>
        <v>1430000</v>
      </c>
      <c r="Y411" s="2496"/>
      <c r="Z411" s="1794">
        <f t="shared" si="77"/>
        <v>1430000</v>
      </c>
      <c r="AA411" s="2497">
        <v>0.3</v>
      </c>
      <c r="AB411" s="2498"/>
      <c r="AC411" s="2491">
        <f t="shared" si="78"/>
        <v>4290</v>
      </c>
      <c r="AD411" s="2536"/>
      <c r="AH411" s="2482"/>
      <c r="AI411"/>
    </row>
    <row r="412" spans="1:35" ht="18" customHeight="1" x14ac:dyDescent="0.2">
      <c r="A412" s="2674">
        <v>203</v>
      </c>
      <c r="B412" s="2113">
        <v>67701</v>
      </c>
      <c r="C412" s="2100" t="s">
        <v>913</v>
      </c>
      <c r="D412" s="2114" t="s">
        <v>245</v>
      </c>
      <c r="E412" s="1508">
        <v>3</v>
      </c>
      <c r="F412" s="2114">
        <v>0</v>
      </c>
      <c r="G412" s="2114">
        <v>0</v>
      </c>
      <c r="H412" s="2115">
        <v>64</v>
      </c>
      <c r="I412" s="1794">
        <f t="shared" si="73"/>
        <v>64</v>
      </c>
      <c r="J412" s="1687">
        <v>20000</v>
      </c>
      <c r="K412" s="2492">
        <f t="shared" si="74"/>
        <v>1280000</v>
      </c>
      <c r="L412" s="45"/>
      <c r="M412" s="61"/>
      <c r="N412" s="50"/>
      <c r="O412" s="1506"/>
      <c r="P412" s="19"/>
      <c r="Q412" s="62"/>
      <c r="R412" s="1718"/>
      <c r="S412" s="18"/>
      <c r="T412" s="20"/>
      <c r="U412" s="1664"/>
      <c r="V412" s="47"/>
      <c r="W412" s="1794">
        <f t="shared" si="75"/>
        <v>1280000</v>
      </c>
      <c r="X412" s="1791">
        <f t="shared" si="76"/>
        <v>1280000</v>
      </c>
      <c r="Y412" s="2474"/>
      <c r="Z412" s="1794">
        <f t="shared" si="77"/>
        <v>1280000</v>
      </c>
      <c r="AA412" s="2497">
        <v>0.3</v>
      </c>
      <c r="AB412" s="2498"/>
      <c r="AC412" s="2491">
        <f t="shared" si="78"/>
        <v>3840</v>
      </c>
      <c r="AD412" s="2536"/>
      <c r="AH412" s="2482"/>
      <c r="AI412"/>
    </row>
    <row r="413" spans="1:35" ht="18" customHeight="1" x14ac:dyDescent="0.2">
      <c r="A413" s="2674">
        <v>204</v>
      </c>
      <c r="B413" s="2113">
        <v>67702</v>
      </c>
      <c r="C413" s="2100" t="s">
        <v>914</v>
      </c>
      <c r="D413" s="2114" t="s">
        <v>245</v>
      </c>
      <c r="E413" s="1508">
        <v>3</v>
      </c>
      <c r="F413" s="2114">
        <v>0</v>
      </c>
      <c r="G413" s="2114">
        <v>0</v>
      </c>
      <c r="H413" s="2115">
        <v>96.6</v>
      </c>
      <c r="I413" s="1794">
        <f t="shared" si="73"/>
        <v>96.6</v>
      </c>
      <c r="J413" s="1687">
        <v>20000</v>
      </c>
      <c r="K413" s="2492">
        <f t="shared" si="74"/>
        <v>1932000</v>
      </c>
      <c r="L413" s="45"/>
      <c r="M413" s="61"/>
      <c r="N413" s="50"/>
      <c r="O413" s="1506"/>
      <c r="P413" s="19"/>
      <c r="Q413" s="62"/>
      <c r="R413" s="1718"/>
      <c r="S413" s="18"/>
      <c r="T413" s="20"/>
      <c r="U413" s="1664"/>
      <c r="V413" s="47"/>
      <c r="W413" s="1794">
        <f t="shared" si="75"/>
        <v>1932000</v>
      </c>
      <c r="X413" s="1791">
        <f t="shared" si="76"/>
        <v>1932000</v>
      </c>
      <c r="Y413" s="2474"/>
      <c r="Z413" s="1794">
        <f t="shared" si="77"/>
        <v>1932000</v>
      </c>
      <c r="AA413" s="2497">
        <v>0.3</v>
      </c>
      <c r="AB413" s="2498"/>
      <c r="AC413" s="2491">
        <f t="shared" si="78"/>
        <v>5796</v>
      </c>
      <c r="AD413" s="2536"/>
      <c r="AH413" s="2482"/>
      <c r="AI413"/>
    </row>
    <row r="414" spans="1:35" ht="18" customHeight="1" x14ac:dyDescent="0.2">
      <c r="A414" s="2674">
        <v>205</v>
      </c>
      <c r="B414" s="2113">
        <v>67703</v>
      </c>
      <c r="C414" s="2100" t="s">
        <v>915</v>
      </c>
      <c r="D414" s="2114" t="s">
        <v>245</v>
      </c>
      <c r="E414" s="1508">
        <v>3</v>
      </c>
      <c r="F414" s="2114">
        <v>0</v>
      </c>
      <c r="G414" s="2114">
        <v>0</v>
      </c>
      <c r="H414" s="2115">
        <v>80.099999999999994</v>
      </c>
      <c r="I414" s="1794">
        <f t="shared" si="73"/>
        <v>80.099999999999994</v>
      </c>
      <c r="J414" s="1687">
        <v>20000</v>
      </c>
      <c r="K414" s="2492">
        <f t="shared" si="74"/>
        <v>1602000</v>
      </c>
      <c r="L414" s="45"/>
      <c r="M414" s="61"/>
      <c r="N414" s="50"/>
      <c r="O414" s="1506"/>
      <c r="P414" s="19"/>
      <c r="Q414" s="62"/>
      <c r="R414" s="1718"/>
      <c r="S414" s="18"/>
      <c r="T414" s="20"/>
      <c r="U414" s="1664"/>
      <c r="V414" s="47"/>
      <c r="W414" s="1794">
        <f t="shared" si="75"/>
        <v>1602000</v>
      </c>
      <c r="X414" s="1791">
        <f t="shared" si="76"/>
        <v>1602000</v>
      </c>
      <c r="Y414" s="2474"/>
      <c r="Z414" s="1794">
        <f t="shared" si="77"/>
        <v>1602000</v>
      </c>
      <c r="AA414" s="2497">
        <v>0.3</v>
      </c>
      <c r="AB414" s="2498"/>
      <c r="AC414" s="2491">
        <f t="shared" si="78"/>
        <v>4806</v>
      </c>
      <c r="AD414" s="2536"/>
      <c r="AH414" s="2491"/>
      <c r="AI414"/>
    </row>
    <row r="415" spans="1:35" ht="18" customHeight="1" x14ac:dyDescent="0.2">
      <c r="A415" s="2674">
        <v>206</v>
      </c>
      <c r="B415" s="2113">
        <v>67704</v>
      </c>
      <c r="C415" s="2100" t="s">
        <v>916</v>
      </c>
      <c r="D415" s="2114" t="s">
        <v>245</v>
      </c>
      <c r="E415" s="1508">
        <v>3</v>
      </c>
      <c r="F415" s="2114">
        <v>0</v>
      </c>
      <c r="G415" s="2114">
        <v>0</v>
      </c>
      <c r="H415" s="2115">
        <v>76.7</v>
      </c>
      <c r="I415" s="1794">
        <f t="shared" si="73"/>
        <v>76.7</v>
      </c>
      <c r="J415" s="1687">
        <v>20000</v>
      </c>
      <c r="K415" s="2492">
        <f t="shared" si="74"/>
        <v>1534000</v>
      </c>
      <c r="L415" s="45"/>
      <c r="M415" s="61"/>
      <c r="N415" s="50"/>
      <c r="O415" s="1506"/>
      <c r="P415" s="19"/>
      <c r="Q415" s="62"/>
      <c r="R415" s="1718"/>
      <c r="S415" s="18"/>
      <c r="T415" s="20"/>
      <c r="U415" s="1664"/>
      <c r="V415" s="47"/>
      <c r="W415" s="1794">
        <f t="shared" si="75"/>
        <v>1534000</v>
      </c>
      <c r="X415" s="1791">
        <f t="shared" si="76"/>
        <v>1534000</v>
      </c>
      <c r="Y415" s="2474"/>
      <c r="Z415" s="1794">
        <f t="shared" si="77"/>
        <v>1534000</v>
      </c>
      <c r="AA415" s="2497">
        <v>0.3</v>
      </c>
      <c r="AB415" s="2498"/>
      <c r="AC415" s="2491">
        <f t="shared" si="78"/>
        <v>4602</v>
      </c>
      <c r="AD415" s="2536"/>
      <c r="AH415" s="2546"/>
      <c r="AI415"/>
    </row>
    <row r="416" spans="1:35" ht="18" customHeight="1" x14ac:dyDescent="0.2">
      <c r="A416" s="2674">
        <v>207</v>
      </c>
      <c r="B416" s="2113">
        <v>67705</v>
      </c>
      <c r="C416" s="2100" t="s">
        <v>917</v>
      </c>
      <c r="D416" s="2114" t="s">
        <v>245</v>
      </c>
      <c r="E416" s="1508">
        <v>3</v>
      </c>
      <c r="F416" s="2114">
        <v>0</v>
      </c>
      <c r="G416" s="2114">
        <v>0</v>
      </c>
      <c r="H416" s="2557">
        <v>98.4</v>
      </c>
      <c r="I416" s="1794">
        <f t="shared" si="73"/>
        <v>98.4</v>
      </c>
      <c r="J416" s="1687">
        <v>20000</v>
      </c>
      <c r="K416" s="2492">
        <f t="shared" si="74"/>
        <v>1968000</v>
      </c>
      <c r="L416" s="45"/>
      <c r="M416" s="61"/>
      <c r="N416" s="50"/>
      <c r="O416" s="1506"/>
      <c r="P416" s="19"/>
      <c r="Q416" s="62"/>
      <c r="R416" s="1718"/>
      <c r="S416" s="18"/>
      <c r="T416" s="20"/>
      <c r="U416" s="1664"/>
      <c r="V416" s="47"/>
      <c r="W416" s="1794">
        <f t="shared" si="75"/>
        <v>1968000</v>
      </c>
      <c r="X416" s="1791">
        <f t="shared" si="76"/>
        <v>1968000</v>
      </c>
      <c r="Y416" s="2474"/>
      <c r="Z416" s="1794">
        <f t="shared" si="77"/>
        <v>1968000</v>
      </c>
      <c r="AA416" s="2497">
        <v>0.3</v>
      </c>
      <c r="AB416" s="2498"/>
      <c r="AC416" s="2491">
        <f t="shared" si="78"/>
        <v>5904</v>
      </c>
      <c r="AD416" s="2536"/>
      <c r="AH416" s="2491"/>
      <c r="AI416"/>
    </row>
    <row r="417" spans="1:35" ht="18" customHeight="1" thickBot="1" x14ac:dyDescent="0.25">
      <c r="A417" s="34"/>
      <c r="B417" s="34"/>
      <c r="C417" s="34"/>
      <c r="D417" s="34"/>
      <c r="E417" s="34"/>
      <c r="F417" s="34"/>
      <c r="G417" s="34"/>
      <c r="H417" s="35"/>
      <c r="I417" s="36"/>
      <c r="J417" s="37"/>
      <c r="K417" s="2562"/>
      <c r="L417" s="2562"/>
      <c r="M417" s="2562"/>
      <c r="N417" s="2562"/>
      <c r="O417" s="2562"/>
      <c r="P417" s="2562"/>
      <c r="Q417" s="2562"/>
      <c r="R417" s="2563"/>
      <c r="S417" s="2562"/>
      <c r="T417" s="38"/>
      <c r="U417" s="2564"/>
      <c r="V417" s="2562"/>
      <c r="W417" s="2839"/>
      <c r="X417" s="2840"/>
      <c r="Y417" s="2841"/>
      <c r="Z417" s="2612">
        <f>SUM(Z398:Z416)</f>
        <v>35066000</v>
      </c>
      <c r="AA417" s="2613"/>
      <c r="AB417" s="2613"/>
      <c r="AC417" s="2614">
        <f>SUM(AC398:AC416)</f>
        <v>105198</v>
      </c>
      <c r="AD417" s="2614">
        <f t="shared" ref="AD417:AG417" si="79">SUM(AD398:AD416)</f>
        <v>0</v>
      </c>
      <c r="AE417" s="2614">
        <f t="shared" si="79"/>
        <v>0</v>
      </c>
      <c r="AF417" s="2614">
        <f t="shared" si="79"/>
        <v>0</v>
      </c>
      <c r="AG417" s="2614">
        <f t="shared" si="79"/>
        <v>0</v>
      </c>
      <c r="AH417" s="2614"/>
      <c r="AI417"/>
    </row>
    <row r="418" spans="1:35" ht="18" customHeight="1" thickTop="1" x14ac:dyDescent="0.25">
      <c r="A418" s="2842" t="s">
        <v>76</v>
      </c>
      <c r="B418" s="2842"/>
      <c r="C418" s="2843" t="s">
        <v>77</v>
      </c>
      <c r="D418" s="2843"/>
      <c r="E418" s="2843"/>
      <c r="F418" s="2843"/>
      <c r="G418" s="2843"/>
      <c r="H418" s="2843"/>
      <c r="I418" s="2567" t="s">
        <v>78</v>
      </c>
      <c r="J418" s="2567"/>
      <c r="K418" s="2567"/>
      <c r="L418" s="2567"/>
      <c r="M418" s="2567"/>
      <c r="N418" s="2567"/>
      <c r="AC418" s="2476"/>
      <c r="AI418"/>
    </row>
    <row r="419" spans="1:35" ht="18" customHeight="1" x14ac:dyDescent="0.25">
      <c r="A419" s="2568"/>
      <c r="B419" s="2569"/>
      <c r="C419" s="2567"/>
      <c r="D419" s="2567"/>
      <c r="E419" s="2567"/>
      <c r="F419" s="2567"/>
      <c r="G419" s="2567"/>
      <c r="H419" s="2567"/>
      <c r="I419" s="2567" t="s">
        <v>79</v>
      </c>
      <c r="J419" s="2567"/>
      <c r="K419" s="2567"/>
      <c r="L419" s="2567"/>
      <c r="M419" s="2567"/>
      <c r="N419" s="2567"/>
      <c r="AC419" s="2476"/>
      <c r="AI419"/>
    </row>
    <row r="420" spans="1:35" ht="18" customHeight="1" x14ac:dyDescent="0.25">
      <c r="A420" s="2568"/>
      <c r="B420" s="2569"/>
      <c r="C420" s="2567"/>
      <c r="D420" s="2567"/>
      <c r="E420" s="2567"/>
      <c r="F420" s="2567"/>
      <c r="G420" s="2567"/>
      <c r="H420" s="2567"/>
      <c r="I420" s="2567" t="s">
        <v>80</v>
      </c>
      <c r="J420" s="2567"/>
      <c r="K420" s="2567"/>
      <c r="L420" s="2567"/>
      <c r="M420" s="2567"/>
      <c r="N420" s="2567"/>
      <c r="AC420" s="2476"/>
      <c r="AI420"/>
    </row>
    <row r="421" spans="1:35" ht="18" customHeight="1" x14ac:dyDescent="0.25">
      <c r="A421" s="2568"/>
      <c r="B421" s="2569"/>
      <c r="C421" s="2567"/>
      <c r="D421" s="2567"/>
      <c r="E421" s="2567"/>
      <c r="F421" s="2567"/>
      <c r="G421" s="2567"/>
      <c r="H421" s="2567"/>
      <c r="I421" s="2567" t="s">
        <v>81</v>
      </c>
      <c r="J421" s="2567"/>
      <c r="K421" s="2567"/>
      <c r="L421" s="2567"/>
      <c r="M421" s="2567"/>
      <c r="N421" s="2567"/>
      <c r="AC421" s="2476"/>
      <c r="AI421"/>
    </row>
    <row r="422" spans="1:35" ht="18" customHeight="1" x14ac:dyDescent="0.25">
      <c r="A422" s="2568"/>
      <c r="B422" s="2569"/>
      <c r="C422" s="2567"/>
      <c r="D422" s="2567"/>
      <c r="E422" s="2567"/>
      <c r="F422" s="2567"/>
      <c r="G422" s="2567"/>
      <c r="H422" s="2567"/>
      <c r="I422" s="2567" t="s">
        <v>88</v>
      </c>
      <c r="J422" s="2567"/>
      <c r="K422" s="2567"/>
      <c r="L422" s="2567"/>
      <c r="M422" s="2567"/>
      <c r="N422" s="2567"/>
      <c r="AC422" s="2476"/>
      <c r="AI422"/>
    </row>
    <row r="423" spans="1:35" ht="18" customHeight="1" x14ac:dyDescent="0.25">
      <c r="A423" s="2568"/>
      <c r="B423" s="2569"/>
      <c r="C423" s="2567"/>
      <c r="D423" s="2567"/>
      <c r="E423" s="2567"/>
      <c r="F423" s="2567"/>
      <c r="G423" s="2567"/>
      <c r="H423" s="2567"/>
      <c r="I423" s="2567"/>
      <c r="J423" s="2567"/>
      <c r="K423" s="2567"/>
      <c r="L423" s="2567"/>
      <c r="M423" s="2567"/>
      <c r="N423" s="2567"/>
      <c r="AC423" s="2476"/>
      <c r="AI423"/>
    </row>
    <row r="424" spans="1:35" ht="18" customHeight="1" x14ac:dyDescent="0.25">
      <c r="A424" s="2568"/>
      <c r="B424" s="2569"/>
      <c r="C424" s="2567"/>
      <c r="D424" s="2567"/>
      <c r="E424" s="2567"/>
      <c r="F424" s="2567"/>
      <c r="G424" s="2567"/>
      <c r="H424" s="2567"/>
      <c r="I424" s="2567"/>
      <c r="J424" s="2567"/>
      <c r="K424" s="2567"/>
      <c r="L424" s="2567"/>
      <c r="M424" s="2567"/>
      <c r="N424" s="2567"/>
      <c r="AC424" s="2476"/>
      <c r="AI424"/>
    </row>
    <row r="425" spans="1:35" ht="18" customHeight="1" x14ac:dyDescent="0.25">
      <c r="A425" s="2568"/>
      <c r="B425" s="2569"/>
      <c r="C425" s="2567"/>
      <c r="D425" s="2567"/>
      <c r="E425" s="2567"/>
      <c r="F425" s="2567"/>
      <c r="G425" s="2567"/>
      <c r="H425" s="2567"/>
      <c r="I425" s="2567"/>
      <c r="J425" s="2567"/>
      <c r="K425" s="2567"/>
      <c r="L425" s="2567"/>
      <c r="M425" s="2567"/>
      <c r="N425" s="2567"/>
      <c r="AC425" s="2476"/>
      <c r="AI425"/>
    </row>
    <row r="426" spans="1:35" ht="18" customHeight="1" x14ac:dyDescent="0.25">
      <c r="A426" s="2568"/>
      <c r="B426" s="2569"/>
      <c r="C426" s="2567"/>
      <c r="D426" s="2567"/>
      <c r="E426" s="2567"/>
      <c r="F426" s="2567"/>
      <c r="G426" s="2567"/>
      <c r="H426" s="2567"/>
      <c r="I426" s="2567"/>
      <c r="J426" s="2567"/>
      <c r="K426" s="2567"/>
      <c r="L426" s="2567"/>
      <c r="M426" s="2567"/>
      <c r="N426" s="2567"/>
      <c r="AC426" s="2476"/>
      <c r="AI426"/>
    </row>
    <row r="427" spans="1:35" ht="18" customHeight="1" x14ac:dyDescent="0.25">
      <c r="A427" s="2568"/>
      <c r="B427" s="2569"/>
      <c r="C427" s="2567"/>
      <c r="D427" s="2567"/>
      <c r="E427" s="2567"/>
      <c r="F427" s="2567"/>
      <c r="G427" s="2567"/>
      <c r="H427" s="2567"/>
      <c r="I427" s="2567"/>
      <c r="J427" s="2567"/>
      <c r="K427" s="2567"/>
      <c r="L427" s="2567"/>
      <c r="M427" s="2567"/>
      <c r="N427" s="2567"/>
      <c r="AC427" s="2476"/>
      <c r="AI427"/>
    </row>
    <row r="428" spans="1:35" ht="18" customHeight="1" x14ac:dyDescent="0.25">
      <c r="A428" s="2568"/>
      <c r="B428" s="2569"/>
      <c r="C428" s="2567"/>
      <c r="D428" s="2567"/>
      <c r="E428" s="2567"/>
      <c r="F428" s="2567"/>
      <c r="G428" s="2567"/>
      <c r="H428" s="2567"/>
      <c r="I428" s="2567"/>
      <c r="J428" s="2567"/>
      <c r="K428" s="2567"/>
      <c r="L428" s="2567"/>
      <c r="M428" s="2567"/>
      <c r="N428" s="2567"/>
      <c r="AC428" s="2476"/>
      <c r="AI428"/>
    </row>
    <row r="429" spans="1:35" ht="18" customHeight="1" x14ac:dyDescent="0.25">
      <c r="A429" s="2568"/>
      <c r="B429" s="2569"/>
      <c r="C429" s="2567"/>
      <c r="D429" s="2567"/>
      <c r="E429" s="2567"/>
      <c r="F429" s="2567"/>
      <c r="G429" s="2567"/>
      <c r="H429" s="2567"/>
      <c r="I429" s="2567"/>
      <c r="J429" s="2567"/>
      <c r="K429" s="2567"/>
      <c r="L429" s="2567"/>
      <c r="M429" s="2567"/>
      <c r="N429" s="2567"/>
      <c r="AC429" s="2476"/>
      <c r="AI429"/>
    </row>
    <row r="430" spans="1:35" ht="18" customHeight="1" x14ac:dyDescent="0.25">
      <c r="A430" s="2568"/>
      <c r="B430" s="2569"/>
      <c r="C430" s="2567"/>
      <c r="D430" s="2567"/>
      <c r="E430" s="2567"/>
      <c r="F430" s="2567"/>
      <c r="G430" s="2567"/>
      <c r="H430" s="2567"/>
      <c r="I430" s="2567"/>
      <c r="J430" s="2567"/>
      <c r="K430" s="2567"/>
      <c r="L430" s="2567"/>
      <c r="M430" s="2567"/>
      <c r="N430" s="2567"/>
      <c r="AA430" s="2471" t="s">
        <v>0</v>
      </c>
      <c r="AB430" s="2471"/>
      <c r="AC430" s="2667"/>
      <c r="AD430" s="2471"/>
      <c r="AI430"/>
    </row>
    <row r="431" spans="1:35" ht="18" customHeight="1" x14ac:dyDescent="0.2">
      <c r="A431" s="2707" t="s">
        <v>1</v>
      </c>
      <c r="B431" s="2707"/>
      <c r="C431" s="2707"/>
      <c r="D431" s="2707"/>
      <c r="E431" s="2707"/>
      <c r="F431" s="2707"/>
      <c r="G431" s="2707"/>
      <c r="H431" s="2707"/>
      <c r="I431" s="2707"/>
      <c r="J431" s="2707"/>
      <c r="K431" s="2707"/>
      <c r="L431" s="2707"/>
      <c r="M431" s="2707"/>
      <c r="N431" s="2707"/>
      <c r="O431" s="2707"/>
      <c r="P431" s="2707"/>
      <c r="Q431" s="2707"/>
      <c r="R431" s="2707"/>
      <c r="S431" s="2707"/>
      <c r="T431" s="2707"/>
      <c r="U431" s="2707"/>
      <c r="V431" s="2707"/>
      <c r="W431" s="2707"/>
      <c r="X431" s="2707"/>
      <c r="Y431" s="2707"/>
      <c r="Z431" s="2707"/>
      <c r="AA431" s="2707"/>
      <c r="AB431" s="2707"/>
      <c r="AC431" s="2707"/>
      <c r="AI431"/>
    </row>
    <row r="432" spans="1:35" ht="18" customHeight="1" x14ac:dyDescent="0.2">
      <c r="A432" s="2846" t="s">
        <v>984</v>
      </c>
      <c r="B432" s="2846"/>
      <c r="C432" s="2846"/>
      <c r="D432" s="2846"/>
      <c r="E432" s="2846"/>
      <c r="F432" s="2846"/>
      <c r="G432" s="2846"/>
      <c r="H432" s="2846"/>
      <c r="I432" s="2846"/>
      <c r="J432" s="2846"/>
      <c r="K432" s="2846"/>
      <c r="L432" s="2846"/>
      <c r="M432" s="2846"/>
      <c r="N432" s="2846"/>
      <c r="O432" s="2846"/>
      <c r="P432" s="2846"/>
      <c r="Q432" s="2846"/>
      <c r="R432" s="2846"/>
      <c r="S432" s="2846"/>
      <c r="T432" s="2846"/>
      <c r="U432" s="2846"/>
      <c r="V432" s="2846"/>
      <c r="W432" s="2846"/>
      <c r="X432" s="2846"/>
      <c r="Y432" s="2846"/>
      <c r="Z432" s="2846"/>
      <c r="AA432" s="2846"/>
      <c r="AB432" s="2846"/>
      <c r="AC432" s="2846"/>
      <c r="AD432" s="2192"/>
      <c r="AI432"/>
    </row>
    <row r="433" spans="1:35" ht="18" customHeight="1" x14ac:dyDescent="0.25">
      <c r="A433" s="2709" t="s">
        <v>2</v>
      </c>
      <c r="B433" s="2572"/>
      <c r="C433" s="2709" t="s">
        <v>3</v>
      </c>
      <c r="D433" s="2572"/>
      <c r="E433" s="2572"/>
      <c r="F433" s="2712" t="s">
        <v>4</v>
      </c>
      <c r="G433" s="2712"/>
      <c r="H433" s="2712"/>
      <c r="I433" s="2713"/>
      <c r="J433" s="2713"/>
      <c r="K433" s="2714"/>
      <c r="L433" s="2"/>
      <c r="M433" s="2715" t="s">
        <v>5</v>
      </c>
      <c r="N433" s="2715"/>
      <c r="O433" s="2715"/>
      <c r="P433" s="2715"/>
      <c r="Q433" s="2716"/>
      <c r="R433" s="2716"/>
      <c r="S433" s="2716"/>
      <c r="T433" s="2716"/>
      <c r="U433" s="2716"/>
      <c r="V433" s="2717"/>
      <c r="W433" s="2573" t="s">
        <v>6</v>
      </c>
      <c r="X433" s="2574" t="s">
        <v>7</v>
      </c>
      <c r="Y433" s="2575"/>
      <c r="Z433" s="2575"/>
      <c r="AA433" s="2574"/>
      <c r="AB433" s="2574"/>
      <c r="AC433" s="2576"/>
      <c r="AD433" s="2221" t="s">
        <v>8</v>
      </c>
      <c r="AH433" s="2845" t="s">
        <v>76</v>
      </c>
      <c r="AI433"/>
    </row>
    <row r="434" spans="1:35" ht="18" customHeight="1" x14ac:dyDescent="0.2">
      <c r="A434" s="2710"/>
      <c r="B434" s="4"/>
      <c r="C434" s="2710"/>
      <c r="D434" s="2577" t="s">
        <v>9</v>
      </c>
      <c r="E434" s="2578" t="s">
        <v>10</v>
      </c>
      <c r="F434" s="2718" t="s">
        <v>11</v>
      </c>
      <c r="G434" s="2713"/>
      <c r="H434" s="2714"/>
      <c r="I434" s="2572"/>
      <c r="J434" s="2579" t="s">
        <v>12</v>
      </c>
      <c r="K434" s="2572"/>
      <c r="L434" s="2715" t="s">
        <v>2</v>
      </c>
      <c r="M434" s="2580"/>
      <c r="N434" s="2580"/>
      <c r="O434" s="2580"/>
      <c r="P434" s="2581"/>
      <c r="Q434" s="2582" t="s">
        <v>13</v>
      </c>
      <c r="R434" s="2583" t="s">
        <v>12</v>
      </c>
      <c r="S434" s="2580" t="s">
        <v>6</v>
      </c>
      <c r="T434" s="2724" t="s">
        <v>14</v>
      </c>
      <c r="U434" s="2725"/>
      <c r="V434" s="2584" t="s">
        <v>7</v>
      </c>
      <c r="W434" s="2585" t="s">
        <v>15</v>
      </c>
      <c r="X434" s="2586" t="s">
        <v>16</v>
      </c>
      <c r="Y434" s="2586" t="s">
        <v>17</v>
      </c>
      <c r="Z434" s="2586" t="s">
        <v>18</v>
      </c>
      <c r="AA434" s="5"/>
      <c r="AB434" s="5"/>
      <c r="AC434" s="55" t="s">
        <v>19</v>
      </c>
      <c r="AD434" s="2223" t="s">
        <v>20</v>
      </c>
      <c r="AH434" s="2845"/>
      <c r="AI434"/>
    </row>
    <row r="435" spans="1:35" ht="18" customHeight="1" x14ac:dyDescent="0.2">
      <c r="A435" s="2710"/>
      <c r="B435" s="2454" t="s">
        <v>23</v>
      </c>
      <c r="C435" s="2710"/>
      <c r="D435" s="2577" t="s">
        <v>24</v>
      </c>
      <c r="E435" s="2578" t="s">
        <v>25</v>
      </c>
      <c r="F435" s="2719"/>
      <c r="G435" s="2720"/>
      <c r="H435" s="2721"/>
      <c r="I435" s="2577" t="s">
        <v>26</v>
      </c>
      <c r="J435" s="2587" t="s">
        <v>15</v>
      </c>
      <c r="K435" s="2588" t="s">
        <v>6</v>
      </c>
      <c r="L435" s="2722"/>
      <c r="M435" s="2589" t="s">
        <v>27</v>
      </c>
      <c r="N435" s="2589" t="s">
        <v>10</v>
      </c>
      <c r="O435" s="2590" t="s">
        <v>10</v>
      </c>
      <c r="P435" s="2591" t="s">
        <v>28</v>
      </c>
      <c r="Q435" s="2592" t="s">
        <v>29</v>
      </c>
      <c r="R435" s="2591" t="s">
        <v>15</v>
      </c>
      <c r="S435" s="8" t="s">
        <v>15</v>
      </c>
      <c r="T435" s="2726"/>
      <c r="U435" s="2727"/>
      <c r="V435" s="2584" t="s">
        <v>30</v>
      </c>
      <c r="W435" s="2585" t="s">
        <v>31</v>
      </c>
      <c r="X435" s="2586" t="s">
        <v>30</v>
      </c>
      <c r="Y435" s="2586" t="s">
        <v>32</v>
      </c>
      <c r="Z435" s="2586" t="s">
        <v>7</v>
      </c>
      <c r="AA435" s="5" t="s">
        <v>33</v>
      </c>
      <c r="AB435" s="5"/>
      <c r="AC435" s="55" t="s">
        <v>34</v>
      </c>
      <c r="AD435" s="2223" t="s">
        <v>35</v>
      </c>
      <c r="AH435" s="2845"/>
      <c r="AI435"/>
    </row>
    <row r="436" spans="1:35" ht="18" customHeight="1" x14ac:dyDescent="0.2">
      <c r="A436" s="2710"/>
      <c r="B436" s="2454" t="s">
        <v>39</v>
      </c>
      <c r="C436" s="2710"/>
      <c r="D436" s="2577" t="s">
        <v>40</v>
      </c>
      <c r="E436" s="2578" t="s">
        <v>41</v>
      </c>
      <c r="F436" s="2709" t="s">
        <v>42</v>
      </c>
      <c r="G436" s="2709" t="s">
        <v>43</v>
      </c>
      <c r="H436" s="2728" t="s">
        <v>44</v>
      </c>
      <c r="I436" s="2577" t="s">
        <v>45</v>
      </c>
      <c r="J436" s="2587" t="s">
        <v>46</v>
      </c>
      <c r="K436" s="2588" t="s">
        <v>47</v>
      </c>
      <c r="L436" s="2722"/>
      <c r="M436" s="2589" t="s">
        <v>30</v>
      </c>
      <c r="N436" s="2589" t="s">
        <v>30</v>
      </c>
      <c r="O436" s="2590" t="s">
        <v>25</v>
      </c>
      <c r="P436" s="2591" t="s">
        <v>30</v>
      </c>
      <c r="Q436" s="2592" t="s">
        <v>48</v>
      </c>
      <c r="R436" s="2591" t="s">
        <v>49</v>
      </c>
      <c r="S436" s="8" t="s">
        <v>30</v>
      </c>
      <c r="T436" s="2593" t="s">
        <v>50</v>
      </c>
      <c r="U436" s="2594" t="s">
        <v>13</v>
      </c>
      <c r="V436" s="2584" t="s">
        <v>51</v>
      </c>
      <c r="W436" s="2585" t="s">
        <v>52</v>
      </c>
      <c r="X436" s="2586" t="s">
        <v>53</v>
      </c>
      <c r="Y436" s="2586" t="s">
        <v>54</v>
      </c>
      <c r="Z436" s="2586" t="s">
        <v>55</v>
      </c>
      <c r="AA436" s="5" t="s">
        <v>56</v>
      </c>
      <c r="AB436" s="5"/>
      <c r="AC436" s="55" t="s">
        <v>57</v>
      </c>
      <c r="AD436" s="6" t="s">
        <v>58</v>
      </c>
      <c r="AH436" s="2845"/>
      <c r="AI436"/>
    </row>
    <row r="437" spans="1:35" ht="18" customHeight="1" x14ac:dyDescent="0.25">
      <c r="A437" s="2710"/>
      <c r="B437" s="2454" t="s">
        <v>61</v>
      </c>
      <c r="C437" s="2710"/>
      <c r="D437" s="2577" t="s">
        <v>62</v>
      </c>
      <c r="E437" s="2578" t="s">
        <v>63</v>
      </c>
      <c r="F437" s="2710"/>
      <c r="G437" s="2710"/>
      <c r="H437" s="2729"/>
      <c r="I437" s="2577" t="s">
        <v>64</v>
      </c>
      <c r="J437" s="2587" t="s">
        <v>59</v>
      </c>
      <c r="K437" s="2588" t="s">
        <v>59</v>
      </c>
      <c r="L437" s="2722"/>
      <c r="M437" s="2589"/>
      <c r="N437" s="2589"/>
      <c r="O437" s="2590" t="s">
        <v>41</v>
      </c>
      <c r="P437" s="2591" t="s">
        <v>65</v>
      </c>
      <c r="Q437" s="2592" t="s">
        <v>66</v>
      </c>
      <c r="R437" s="2591" t="s">
        <v>67</v>
      </c>
      <c r="S437" s="8" t="s">
        <v>59</v>
      </c>
      <c r="T437" s="2595" t="s">
        <v>68</v>
      </c>
      <c r="U437" s="2584" t="s">
        <v>14</v>
      </c>
      <c r="V437" s="2584" t="s">
        <v>14</v>
      </c>
      <c r="W437" s="2585" t="s">
        <v>30</v>
      </c>
      <c r="X437" s="2596" t="s">
        <v>69</v>
      </c>
      <c r="Y437" s="2596" t="s">
        <v>70</v>
      </c>
      <c r="Z437" s="2586" t="s">
        <v>71</v>
      </c>
      <c r="AA437" s="5" t="s">
        <v>72</v>
      </c>
      <c r="AB437" s="5"/>
      <c r="AC437" s="2597" t="s">
        <v>59</v>
      </c>
      <c r="AD437" s="6" t="s">
        <v>59</v>
      </c>
      <c r="AH437" s="2845"/>
      <c r="AI437"/>
    </row>
    <row r="438" spans="1:35" ht="18" customHeight="1" x14ac:dyDescent="0.2">
      <c r="A438" s="2711"/>
      <c r="B438" s="9"/>
      <c r="C438" s="2711"/>
      <c r="D438" s="2598"/>
      <c r="E438" s="2599"/>
      <c r="F438" s="9"/>
      <c r="G438" s="9"/>
      <c r="H438" s="10"/>
      <c r="I438" s="2599"/>
      <c r="J438" s="2600"/>
      <c r="K438" s="2601"/>
      <c r="L438" s="2723"/>
      <c r="M438" s="2602"/>
      <c r="N438" s="2602"/>
      <c r="O438" s="2602" t="s">
        <v>63</v>
      </c>
      <c r="P438" s="2603"/>
      <c r="Q438" s="2604" t="s">
        <v>72</v>
      </c>
      <c r="R438" s="2605" t="s">
        <v>59</v>
      </c>
      <c r="S438" s="2606"/>
      <c r="T438" s="2605" t="s">
        <v>73</v>
      </c>
      <c r="U438" s="2606" t="s">
        <v>59</v>
      </c>
      <c r="V438" s="2607" t="s">
        <v>59</v>
      </c>
      <c r="W438" s="2608" t="s">
        <v>59</v>
      </c>
      <c r="X438" s="2609" t="s">
        <v>59</v>
      </c>
      <c r="Y438" s="2609" t="s">
        <v>59</v>
      </c>
      <c r="Z438" s="2609" t="s">
        <v>59</v>
      </c>
      <c r="AA438" s="11"/>
      <c r="AB438" s="11"/>
      <c r="AC438" s="56"/>
      <c r="AD438" s="12"/>
      <c r="AH438" s="2845"/>
      <c r="AI438"/>
    </row>
    <row r="439" spans="1:35" ht="18" customHeight="1" x14ac:dyDescent="0.2">
      <c r="A439" s="2674">
        <v>208</v>
      </c>
      <c r="B439" s="2113">
        <v>67708</v>
      </c>
      <c r="C439" s="2100" t="s">
        <v>918</v>
      </c>
      <c r="D439" s="2114" t="s">
        <v>245</v>
      </c>
      <c r="E439" s="1508">
        <v>3</v>
      </c>
      <c r="F439" s="2114">
        <v>0</v>
      </c>
      <c r="G439" s="2114">
        <v>0</v>
      </c>
      <c r="H439" s="2559">
        <v>83.6</v>
      </c>
      <c r="I439" s="1794">
        <f t="shared" ref="I439:I457" si="80">F439*400+G439*100+H439</f>
        <v>83.6</v>
      </c>
      <c r="J439" s="1687">
        <v>20000</v>
      </c>
      <c r="K439" s="2492">
        <f t="shared" ref="K439:K457" si="81">SUM(I439*J439)</f>
        <v>1672000</v>
      </c>
      <c r="L439" s="45"/>
      <c r="M439" s="61"/>
      <c r="N439" s="50"/>
      <c r="O439" s="1506"/>
      <c r="P439" s="19"/>
      <c r="Q439" s="62"/>
      <c r="R439" s="1718"/>
      <c r="S439" s="18"/>
      <c r="T439" s="20"/>
      <c r="U439" s="1664"/>
      <c r="V439" s="47"/>
      <c r="W439" s="1794">
        <f t="shared" ref="W439:W457" si="82">+K439</f>
        <v>1672000</v>
      </c>
      <c r="X439" s="1791">
        <f t="shared" ref="X439:X457" si="83">+W439</f>
        <v>1672000</v>
      </c>
      <c r="Y439" s="2474"/>
      <c r="Z439" s="1794">
        <f t="shared" ref="Z439:Z457" si="84">+X439</f>
        <v>1672000</v>
      </c>
      <c r="AA439" s="2497">
        <v>0.3</v>
      </c>
      <c r="AB439" s="2498"/>
      <c r="AC439" s="2491">
        <f t="shared" ref="AC439:AC457" si="85">+Z439*AA439/100</f>
        <v>5016</v>
      </c>
      <c r="AD439" s="2540"/>
      <c r="AH439" s="2482"/>
      <c r="AI439"/>
    </row>
    <row r="440" spans="1:35" ht="18" customHeight="1" x14ac:dyDescent="0.2">
      <c r="A440" s="2674">
        <v>209</v>
      </c>
      <c r="B440" s="2113">
        <v>67709</v>
      </c>
      <c r="C440" s="2100" t="s">
        <v>919</v>
      </c>
      <c r="D440" s="2114" t="s">
        <v>245</v>
      </c>
      <c r="E440" s="1508">
        <v>3</v>
      </c>
      <c r="F440" s="2114">
        <v>0</v>
      </c>
      <c r="G440" s="2114">
        <v>0</v>
      </c>
      <c r="H440" s="2559">
        <v>76</v>
      </c>
      <c r="I440" s="1794">
        <f t="shared" si="80"/>
        <v>76</v>
      </c>
      <c r="J440" s="1687">
        <v>20000</v>
      </c>
      <c r="K440" s="2492">
        <f t="shared" si="81"/>
        <v>1520000</v>
      </c>
      <c r="L440" s="45"/>
      <c r="M440" s="61"/>
      <c r="N440" s="50"/>
      <c r="O440" s="1506"/>
      <c r="P440" s="19"/>
      <c r="Q440" s="62"/>
      <c r="R440" s="1718"/>
      <c r="S440" s="18"/>
      <c r="T440" s="20"/>
      <c r="U440" s="1664"/>
      <c r="V440" s="47"/>
      <c r="W440" s="1794">
        <f t="shared" si="82"/>
        <v>1520000</v>
      </c>
      <c r="X440" s="1791">
        <f t="shared" si="83"/>
        <v>1520000</v>
      </c>
      <c r="Y440" s="2474"/>
      <c r="Z440" s="1794">
        <f t="shared" si="84"/>
        <v>1520000</v>
      </c>
      <c r="AA440" s="2497">
        <v>0.3</v>
      </c>
      <c r="AB440" s="2498"/>
      <c r="AC440" s="2491">
        <f t="shared" si="85"/>
        <v>4560</v>
      </c>
      <c r="AD440" s="2558"/>
      <c r="AH440" s="2482"/>
      <c r="AI440"/>
    </row>
    <row r="441" spans="1:35" ht="18" customHeight="1" x14ac:dyDescent="0.2">
      <c r="A441" s="2674">
        <v>210</v>
      </c>
      <c r="B441" s="2113">
        <v>67710</v>
      </c>
      <c r="C441" s="2100" t="s">
        <v>920</v>
      </c>
      <c r="D441" s="2114" t="s">
        <v>245</v>
      </c>
      <c r="E441" s="1508">
        <v>3</v>
      </c>
      <c r="F441" s="2114">
        <v>0</v>
      </c>
      <c r="G441" s="2114">
        <v>0</v>
      </c>
      <c r="H441" s="2559">
        <v>97.7</v>
      </c>
      <c r="I441" s="1794">
        <f t="shared" si="80"/>
        <v>97.7</v>
      </c>
      <c r="J441" s="1687">
        <v>20000</v>
      </c>
      <c r="K441" s="2492">
        <f t="shared" si="81"/>
        <v>1954000</v>
      </c>
      <c r="L441" s="45"/>
      <c r="M441" s="61"/>
      <c r="N441" s="50"/>
      <c r="O441" s="1506"/>
      <c r="P441" s="19"/>
      <c r="Q441" s="62"/>
      <c r="R441" s="1718"/>
      <c r="S441" s="18"/>
      <c r="T441" s="20"/>
      <c r="U441" s="1664"/>
      <c r="V441" s="47"/>
      <c r="W441" s="1794">
        <f t="shared" si="82"/>
        <v>1954000</v>
      </c>
      <c r="X441" s="1791">
        <f t="shared" si="83"/>
        <v>1954000</v>
      </c>
      <c r="Y441" s="2474"/>
      <c r="Z441" s="1794">
        <f t="shared" si="84"/>
        <v>1954000</v>
      </c>
      <c r="AA441" s="2497">
        <v>0.3</v>
      </c>
      <c r="AB441" s="2498"/>
      <c r="AC441" s="2491">
        <f t="shared" si="85"/>
        <v>5862</v>
      </c>
      <c r="AD441" s="2558"/>
      <c r="AH441" s="2482"/>
      <c r="AI441"/>
    </row>
    <row r="442" spans="1:35" ht="18" customHeight="1" x14ac:dyDescent="0.2">
      <c r="A442" s="2674">
        <v>211</v>
      </c>
      <c r="B442" s="2113">
        <v>67711</v>
      </c>
      <c r="C442" s="2100" t="s">
        <v>921</v>
      </c>
      <c r="D442" s="2114" t="s">
        <v>245</v>
      </c>
      <c r="E442" s="1508">
        <v>3</v>
      </c>
      <c r="F442" s="2485">
        <v>0</v>
      </c>
      <c r="G442" s="2109">
        <v>0</v>
      </c>
      <c r="H442" s="2486">
        <v>79.099999999999994</v>
      </c>
      <c r="I442" s="1794">
        <f t="shared" si="80"/>
        <v>79.099999999999994</v>
      </c>
      <c r="J442" s="1687">
        <v>20000</v>
      </c>
      <c r="K442" s="2492">
        <f t="shared" si="81"/>
        <v>1582000</v>
      </c>
      <c r="L442" s="2109"/>
      <c r="M442" s="100"/>
      <c r="N442" s="2109"/>
      <c r="O442" s="2109"/>
      <c r="P442" s="2486"/>
      <c r="Q442" s="2488"/>
      <c r="R442" s="2101"/>
      <c r="S442" s="2102"/>
      <c r="T442" s="2489"/>
      <c r="U442" s="2102"/>
      <c r="V442" s="2102"/>
      <c r="W442" s="1794">
        <f t="shared" si="82"/>
        <v>1582000</v>
      </c>
      <c r="X442" s="1791">
        <f t="shared" si="83"/>
        <v>1582000</v>
      </c>
      <c r="Y442" s="2474"/>
      <c r="Z442" s="1794">
        <f t="shared" si="84"/>
        <v>1582000</v>
      </c>
      <c r="AA442" s="2497">
        <v>0.3</v>
      </c>
      <c r="AB442" s="2498"/>
      <c r="AC442" s="2491">
        <f t="shared" si="85"/>
        <v>4746</v>
      </c>
      <c r="AD442" s="2535"/>
      <c r="AH442" s="2482"/>
      <c r="AI442"/>
    </row>
    <row r="443" spans="1:35" ht="18" customHeight="1" x14ac:dyDescent="0.2">
      <c r="A443" s="2674">
        <v>212</v>
      </c>
      <c r="B443" s="2113">
        <v>67712</v>
      </c>
      <c r="C443" s="2100" t="s">
        <v>922</v>
      </c>
      <c r="D443" s="2114" t="s">
        <v>245</v>
      </c>
      <c r="E443" s="1508">
        <v>3</v>
      </c>
      <c r="F443" s="2485">
        <v>0</v>
      </c>
      <c r="G443" s="2109">
        <v>0</v>
      </c>
      <c r="H443" s="2486">
        <v>75.8</v>
      </c>
      <c r="I443" s="1794">
        <f t="shared" si="80"/>
        <v>75.8</v>
      </c>
      <c r="J443" s="1687">
        <v>20000</v>
      </c>
      <c r="K443" s="2492">
        <f t="shared" si="81"/>
        <v>1516000</v>
      </c>
      <c r="L443" s="2109"/>
      <c r="M443" s="100"/>
      <c r="N443" s="2109"/>
      <c r="O443" s="2109"/>
      <c r="P443" s="2486"/>
      <c r="Q443" s="2488"/>
      <c r="R443" s="2101"/>
      <c r="S443" s="2102"/>
      <c r="T443" s="2489"/>
      <c r="U443" s="2102"/>
      <c r="V443" s="2102"/>
      <c r="W443" s="1794">
        <f t="shared" si="82"/>
        <v>1516000</v>
      </c>
      <c r="X443" s="1791">
        <f t="shared" si="83"/>
        <v>1516000</v>
      </c>
      <c r="Y443" s="2474"/>
      <c r="Z443" s="1794">
        <f t="shared" si="84"/>
        <v>1516000</v>
      </c>
      <c r="AA443" s="2497">
        <v>0.3</v>
      </c>
      <c r="AB443" s="2498"/>
      <c r="AC443" s="2491">
        <f t="shared" si="85"/>
        <v>4548</v>
      </c>
      <c r="AD443" s="2536"/>
      <c r="AH443" s="2482"/>
      <c r="AI443"/>
    </row>
    <row r="444" spans="1:35" ht="18" customHeight="1" x14ac:dyDescent="0.2">
      <c r="A444" s="2674">
        <v>213</v>
      </c>
      <c r="B444" s="2113">
        <v>67713</v>
      </c>
      <c r="C444" s="2100" t="s">
        <v>754</v>
      </c>
      <c r="D444" s="2114" t="s">
        <v>245</v>
      </c>
      <c r="E444" s="1508">
        <v>3</v>
      </c>
      <c r="F444" s="2485">
        <v>0</v>
      </c>
      <c r="G444" s="2109">
        <v>1</v>
      </c>
      <c r="H444" s="2486">
        <v>3.8</v>
      </c>
      <c r="I444" s="1794">
        <f t="shared" si="80"/>
        <v>103.8</v>
      </c>
      <c r="J444" s="1687">
        <v>20000</v>
      </c>
      <c r="K444" s="2492">
        <f t="shared" si="81"/>
        <v>2076000</v>
      </c>
      <c r="L444" s="2109"/>
      <c r="M444" s="100"/>
      <c r="N444" s="2109"/>
      <c r="O444" s="2109"/>
      <c r="P444" s="2486"/>
      <c r="Q444" s="2488"/>
      <c r="R444" s="2493"/>
      <c r="S444" s="2494"/>
      <c r="T444" s="2495"/>
      <c r="U444" s="2494"/>
      <c r="V444" s="2494"/>
      <c r="W444" s="1794">
        <f t="shared" si="82"/>
        <v>2076000</v>
      </c>
      <c r="X444" s="1791">
        <f t="shared" si="83"/>
        <v>2076000</v>
      </c>
      <c r="Y444" s="2496"/>
      <c r="Z444" s="1794">
        <f t="shared" si="84"/>
        <v>2076000</v>
      </c>
      <c r="AA444" s="2497">
        <v>0.3</v>
      </c>
      <c r="AB444" s="2498"/>
      <c r="AC444" s="2491">
        <f t="shared" si="85"/>
        <v>6228</v>
      </c>
      <c r="AD444" s="2536"/>
      <c r="AH444" s="2482"/>
      <c r="AI444"/>
    </row>
    <row r="445" spans="1:35" ht="18" customHeight="1" x14ac:dyDescent="0.2">
      <c r="A445" s="2674">
        <v>214</v>
      </c>
      <c r="B445" s="2113">
        <v>67714</v>
      </c>
      <c r="C445" s="2100" t="s">
        <v>923</v>
      </c>
      <c r="D445" s="2114" t="s">
        <v>245</v>
      </c>
      <c r="E445" s="1508">
        <v>3</v>
      </c>
      <c r="F445" s="2485">
        <v>0</v>
      </c>
      <c r="G445" s="2109">
        <v>0</v>
      </c>
      <c r="H445" s="2486">
        <v>93.1</v>
      </c>
      <c r="I445" s="1794">
        <f t="shared" si="80"/>
        <v>93.1</v>
      </c>
      <c r="J445" s="1687">
        <v>20000</v>
      </c>
      <c r="K445" s="2492">
        <f t="shared" si="81"/>
        <v>1862000</v>
      </c>
      <c r="L445" s="2109"/>
      <c r="M445" s="100"/>
      <c r="N445" s="2109"/>
      <c r="O445" s="2109"/>
      <c r="P445" s="2486"/>
      <c r="Q445" s="2488"/>
      <c r="R445" s="2493"/>
      <c r="S445" s="2494"/>
      <c r="T445" s="2495"/>
      <c r="U445" s="2494"/>
      <c r="V445" s="2494"/>
      <c r="W445" s="1794">
        <f t="shared" si="82"/>
        <v>1862000</v>
      </c>
      <c r="X445" s="1791">
        <f t="shared" si="83"/>
        <v>1862000</v>
      </c>
      <c r="Y445" s="2496"/>
      <c r="Z445" s="1794">
        <f t="shared" si="84"/>
        <v>1862000</v>
      </c>
      <c r="AA445" s="2497">
        <v>0.3</v>
      </c>
      <c r="AB445" s="2498"/>
      <c r="AC445" s="2491">
        <f t="shared" si="85"/>
        <v>5586</v>
      </c>
      <c r="AD445" s="2536"/>
      <c r="AH445" s="2482"/>
      <c r="AI445"/>
    </row>
    <row r="446" spans="1:35" ht="18" customHeight="1" x14ac:dyDescent="0.2">
      <c r="A446" s="2674">
        <v>215</v>
      </c>
      <c r="B446" s="2113">
        <v>67715</v>
      </c>
      <c r="C446" s="2100" t="s">
        <v>924</v>
      </c>
      <c r="D446" s="2114" t="s">
        <v>245</v>
      </c>
      <c r="E446" s="1508">
        <v>3</v>
      </c>
      <c r="F446" s="2472">
        <v>0</v>
      </c>
      <c r="G446" s="2113">
        <v>0</v>
      </c>
      <c r="H446" s="2477">
        <v>83.7</v>
      </c>
      <c r="I446" s="1794">
        <f t="shared" si="80"/>
        <v>83.7</v>
      </c>
      <c r="J446" s="1687">
        <v>20000</v>
      </c>
      <c r="K446" s="2492">
        <f t="shared" si="81"/>
        <v>1674000</v>
      </c>
      <c r="L446" s="2109"/>
      <c r="M446" s="100"/>
      <c r="N446" s="2109"/>
      <c r="O446" s="2109"/>
      <c r="P446" s="2486"/>
      <c r="Q446" s="2488"/>
      <c r="R446" s="2493"/>
      <c r="S446" s="2494"/>
      <c r="T446" s="2495"/>
      <c r="U446" s="2494"/>
      <c r="V446" s="2494"/>
      <c r="W446" s="1794">
        <f t="shared" si="82"/>
        <v>1674000</v>
      </c>
      <c r="X446" s="1791">
        <f t="shared" si="83"/>
        <v>1674000</v>
      </c>
      <c r="Y446" s="2496"/>
      <c r="Z446" s="1794">
        <f t="shared" si="84"/>
        <v>1674000</v>
      </c>
      <c r="AA446" s="2497">
        <v>0.3</v>
      </c>
      <c r="AB446" s="2498"/>
      <c r="AC446" s="2491">
        <f t="shared" si="85"/>
        <v>5022</v>
      </c>
      <c r="AD446" s="2536"/>
      <c r="AH446" s="2482"/>
      <c r="AI446"/>
    </row>
    <row r="447" spans="1:35" ht="18" customHeight="1" x14ac:dyDescent="0.2">
      <c r="A447" s="2674">
        <v>216</v>
      </c>
      <c r="B447" s="2113">
        <v>67716</v>
      </c>
      <c r="C447" s="2100" t="s">
        <v>925</v>
      </c>
      <c r="D447" s="2114" t="s">
        <v>245</v>
      </c>
      <c r="E447" s="1508">
        <v>3</v>
      </c>
      <c r="F447" s="2472">
        <v>0</v>
      </c>
      <c r="G447" s="2113">
        <v>0</v>
      </c>
      <c r="H447" s="2477">
        <v>90.6</v>
      </c>
      <c r="I447" s="1794">
        <f t="shared" si="80"/>
        <v>90.6</v>
      </c>
      <c r="J447" s="1687">
        <v>20000</v>
      </c>
      <c r="K447" s="2492">
        <f t="shared" si="81"/>
        <v>1812000</v>
      </c>
      <c r="L447" s="2109"/>
      <c r="M447" s="100"/>
      <c r="N447" s="2109"/>
      <c r="O447" s="2109"/>
      <c r="P447" s="2486"/>
      <c r="Q447" s="2488"/>
      <c r="R447" s="2493"/>
      <c r="S447" s="2494"/>
      <c r="T447" s="2495"/>
      <c r="U447" s="2494"/>
      <c r="V447" s="2494"/>
      <c r="W447" s="1794">
        <f t="shared" si="82"/>
        <v>1812000</v>
      </c>
      <c r="X447" s="1791">
        <f t="shared" si="83"/>
        <v>1812000</v>
      </c>
      <c r="Y447" s="2496"/>
      <c r="Z447" s="1794">
        <f t="shared" si="84"/>
        <v>1812000</v>
      </c>
      <c r="AA447" s="2497">
        <v>0.3</v>
      </c>
      <c r="AB447" s="2498"/>
      <c r="AC447" s="2491">
        <f t="shared" si="85"/>
        <v>5436</v>
      </c>
      <c r="AD447" s="2536"/>
      <c r="AH447" s="2482"/>
      <c r="AI447"/>
    </row>
    <row r="448" spans="1:35" ht="18" customHeight="1" x14ac:dyDescent="0.2">
      <c r="A448" s="2674">
        <v>217</v>
      </c>
      <c r="B448" s="2113">
        <v>67717</v>
      </c>
      <c r="C448" s="2100" t="s">
        <v>926</v>
      </c>
      <c r="D448" s="2114" t="s">
        <v>245</v>
      </c>
      <c r="E448" s="1508">
        <v>3</v>
      </c>
      <c r="F448" s="2472">
        <v>0</v>
      </c>
      <c r="G448" s="2113">
        <v>0</v>
      </c>
      <c r="H448" s="2477">
        <v>88.6</v>
      </c>
      <c r="I448" s="1794">
        <f t="shared" si="80"/>
        <v>88.6</v>
      </c>
      <c r="J448" s="1687">
        <v>20000</v>
      </c>
      <c r="K448" s="2492">
        <f t="shared" si="81"/>
        <v>1772000</v>
      </c>
      <c r="L448" s="2109"/>
      <c r="M448" s="100"/>
      <c r="N448" s="2109"/>
      <c r="O448" s="2109"/>
      <c r="P448" s="2486"/>
      <c r="Q448" s="2488"/>
      <c r="R448" s="2493"/>
      <c r="S448" s="2494"/>
      <c r="T448" s="2495"/>
      <c r="U448" s="2494"/>
      <c r="V448" s="2494"/>
      <c r="W448" s="1794">
        <f t="shared" si="82"/>
        <v>1772000</v>
      </c>
      <c r="X448" s="1791">
        <f t="shared" si="83"/>
        <v>1772000</v>
      </c>
      <c r="Y448" s="2496"/>
      <c r="Z448" s="1794">
        <f t="shared" si="84"/>
        <v>1772000</v>
      </c>
      <c r="AA448" s="2497">
        <v>0.3</v>
      </c>
      <c r="AB448" s="2498"/>
      <c r="AC448" s="2491">
        <f t="shared" si="85"/>
        <v>5316</v>
      </c>
      <c r="AD448" s="2536"/>
      <c r="AH448" s="2482"/>
      <c r="AI448"/>
    </row>
    <row r="449" spans="1:35" ht="18" customHeight="1" x14ac:dyDescent="0.2">
      <c r="A449" s="2674">
        <v>218</v>
      </c>
      <c r="B449" s="2113">
        <v>67718</v>
      </c>
      <c r="C449" s="2100" t="s">
        <v>927</v>
      </c>
      <c r="D449" s="2114" t="s">
        <v>245</v>
      </c>
      <c r="E449" s="1508">
        <v>3</v>
      </c>
      <c r="F449" s="2472">
        <v>0</v>
      </c>
      <c r="G449" s="2113">
        <v>0</v>
      </c>
      <c r="H449" s="2477">
        <v>80</v>
      </c>
      <c r="I449" s="1794">
        <f t="shared" si="80"/>
        <v>80</v>
      </c>
      <c r="J449" s="1687">
        <v>20000</v>
      </c>
      <c r="K449" s="2492">
        <f t="shared" si="81"/>
        <v>1600000</v>
      </c>
      <c r="L449" s="2109"/>
      <c r="M449" s="100"/>
      <c r="N449" s="2109"/>
      <c r="O449" s="2109"/>
      <c r="P449" s="2486"/>
      <c r="Q449" s="2488"/>
      <c r="R449" s="2493"/>
      <c r="S449" s="2494"/>
      <c r="T449" s="2495"/>
      <c r="U449" s="2494"/>
      <c r="V449" s="2494"/>
      <c r="W449" s="1794">
        <f t="shared" si="82"/>
        <v>1600000</v>
      </c>
      <c r="X449" s="1791">
        <f t="shared" si="83"/>
        <v>1600000</v>
      </c>
      <c r="Y449" s="2496"/>
      <c r="Z449" s="1794">
        <f t="shared" si="84"/>
        <v>1600000</v>
      </c>
      <c r="AA449" s="2497">
        <v>0.3</v>
      </c>
      <c r="AB449" s="2498"/>
      <c r="AC449" s="2491">
        <f t="shared" si="85"/>
        <v>4800</v>
      </c>
      <c r="AD449" s="2536"/>
      <c r="AH449" s="2482"/>
      <c r="AI449"/>
    </row>
    <row r="450" spans="1:35" ht="18" customHeight="1" x14ac:dyDescent="0.2">
      <c r="A450" s="2674">
        <v>219</v>
      </c>
      <c r="B450" s="2113">
        <v>67719</v>
      </c>
      <c r="C450" s="2100" t="s">
        <v>928</v>
      </c>
      <c r="D450" s="2114" t="s">
        <v>245</v>
      </c>
      <c r="E450" s="1508">
        <v>3</v>
      </c>
      <c r="F450" s="2472">
        <v>0</v>
      </c>
      <c r="G450" s="2113">
        <v>0</v>
      </c>
      <c r="H450" s="2477">
        <v>80</v>
      </c>
      <c r="I450" s="1794">
        <f t="shared" si="80"/>
        <v>80</v>
      </c>
      <c r="J450" s="1687">
        <v>20000</v>
      </c>
      <c r="K450" s="2492">
        <f t="shared" si="81"/>
        <v>1600000</v>
      </c>
      <c r="L450" s="2109"/>
      <c r="M450" s="100"/>
      <c r="N450" s="2109"/>
      <c r="O450" s="2109"/>
      <c r="P450" s="2486"/>
      <c r="Q450" s="2488"/>
      <c r="R450" s="2493"/>
      <c r="S450" s="2494"/>
      <c r="T450" s="2495"/>
      <c r="U450" s="2494"/>
      <c r="V450" s="2494"/>
      <c r="W450" s="1794">
        <f t="shared" si="82"/>
        <v>1600000</v>
      </c>
      <c r="X450" s="1791">
        <f t="shared" si="83"/>
        <v>1600000</v>
      </c>
      <c r="Y450" s="2496"/>
      <c r="Z450" s="1794">
        <f t="shared" si="84"/>
        <v>1600000</v>
      </c>
      <c r="AA450" s="2497">
        <v>0.3</v>
      </c>
      <c r="AB450" s="2498"/>
      <c r="AC450" s="2491">
        <f t="shared" si="85"/>
        <v>4800</v>
      </c>
      <c r="AD450" s="2536"/>
      <c r="AH450" s="2482"/>
      <c r="AI450"/>
    </row>
    <row r="451" spans="1:35" ht="18" customHeight="1" x14ac:dyDescent="0.2">
      <c r="A451" s="2674">
        <v>220</v>
      </c>
      <c r="B451" s="2113">
        <v>67720</v>
      </c>
      <c r="C451" s="2100" t="s">
        <v>929</v>
      </c>
      <c r="D451" s="2114" t="s">
        <v>245</v>
      </c>
      <c r="E451" s="1508">
        <v>3</v>
      </c>
      <c r="F451" s="2472">
        <v>0</v>
      </c>
      <c r="G451" s="2113">
        <v>1</v>
      </c>
      <c r="H451" s="2477">
        <v>44.2</v>
      </c>
      <c r="I451" s="1794">
        <f t="shared" si="80"/>
        <v>144.19999999999999</v>
      </c>
      <c r="J451" s="1687">
        <v>20000</v>
      </c>
      <c r="K451" s="2492">
        <f t="shared" si="81"/>
        <v>2884000</v>
      </c>
      <c r="L451" s="2109"/>
      <c r="M451" s="100"/>
      <c r="N451" s="2109"/>
      <c r="O451" s="2109"/>
      <c r="P451" s="2486"/>
      <c r="Q451" s="2488"/>
      <c r="R451" s="2493"/>
      <c r="S451" s="2494"/>
      <c r="T451" s="2495"/>
      <c r="U451" s="2494"/>
      <c r="V451" s="2494"/>
      <c r="W451" s="1794">
        <f t="shared" si="82"/>
        <v>2884000</v>
      </c>
      <c r="X451" s="1791">
        <f t="shared" si="83"/>
        <v>2884000</v>
      </c>
      <c r="Y451" s="2496"/>
      <c r="Z451" s="1794">
        <f t="shared" si="84"/>
        <v>2884000</v>
      </c>
      <c r="AA451" s="2497">
        <v>0.3</v>
      </c>
      <c r="AB451" s="2498"/>
      <c r="AC451" s="2491">
        <f t="shared" si="85"/>
        <v>8652</v>
      </c>
      <c r="AD451" s="2536"/>
      <c r="AH451" s="2482"/>
      <c r="AI451"/>
    </row>
    <row r="452" spans="1:35" ht="18" customHeight="1" x14ac:dyDescent="0.2">
      <c r="A452" s="2674">
        <v>221</v>
      </c>
      <c r="B452" s="2113">
        <v>67721</v>
      </c>
      <c r="C452" s="2100" t="s">
        <v>930</v>
      </c>
      <c r="D452" s="2114" t="s">
        <v>245</v>
      </c>
      <c r="E452" s="1508">
        <v>3</v>
      </c>
      <c r="F452" s="2472">
        <v>0</v>
      </c>
      <c r="G452" s="2113">
        <v>0</v>
      </c>
      <c r="H452" s="2477">
        <v>85.6</v>
      </c>
      <c r="I452" s="1794">
        <f t="shared" si="80"/>
        <v>85.6</v>
      </c>
      <c r="J452" s="1687">
        <v>20000</v>
      </c>
      <c r="K452" s="2492">
        <f t="shared" si="81"/>
        <v>1712000</v>
      </c>
      <c r="L452" s="2109"/>
      <c r="M452" s="100"/>
      <c r="N452" s="2109"/>
      <c r="O452" s="2109"/>
      <c r="P452" s="2486"/>
      <c r="Q452" s="2488"/>
      <c r="R452" s="2493"/>
      <c r="S452" s="2494"/>
      <c r="T452" s="2495"/>
      <c r="U452" s="2494"/>
      <c r="V452" s="2494"/>
      <c r="W452" s="1794">
        <f t="shared" si="82"/>
        <v>1712000</v>
      </c>
      <c r="X452" s="1791">
        <f t="shared" si="83"/>
        <v>1712000</v>
      </c>
      <c r="Y452" s="2496"/>
      <c r="Z452" s="1794">
        <f t="shared" si="84"/>
        <v>1712000</v>
      </c>
      <c r="AA452" s="2497">
        <v>0.3</v>
      </c>
      <c r="AB452" s="2498"/>
      <c r="AC452" s="2491">
        <f t="shared" si="85"/>
        <v>5136</v>
      </c>
      <c r="AD452" s="2536"/>
      <c r="AH452" s="2482"/>
      <c r="AI452"/>
    </row>
    <row r="453" spans="1:35" ht="18" customHeight="1" x14ac:dyDescent="0.2">
      <c r="A453" s="2674">
        <v>222</v>
      </c>
      <c r="B453" s="2113">
        <v>67722</v>
      </c>
      <c r="C453" s="2100" t="s">
        <v>931</v>
      </c>
      <c r="D453" s="2114" t="s">
        <v>245</v>
      </c>
      <c r="E453" s="1508">
        <v>3</v>
      </c>
      <c r="F453" s="2114">
        <v>0</v>
      </c>
      <c r="G453" s="2114">
        <v>0</v>
      </c>
      <c r="H453" s="2115">
        <v>68.8</v>
      </c>
      <c r="I453" s="1794">
        <f t="shared" si="80"/>
        <v>68.8</v>
      </c>
      <c r="J453" s="1687">
        <v>20000</v>
      </c>
      <c r="K453" s="2492">
        <f t="shared" si="81"/>
        <v>1376000</v>
      </c>
      <c r="L453" s="45"/>
      <c r="M453" s="61"/>
      <c r="N453" s="50"/>
      <c r="O453" s="1506"/>
      <c r="P453" s="19"/>
      <c r="Q453" s="62"/>
      <c r="R453" s="1718"/>
      <c r="S453" s="18"/>
      <c r="T453" s="20"/>
      <c r="U453" s="1664"/>
      <c r="V453" s="47"/>
      <c r="W453" s="1794">
        <f t="shared" si="82"/>
        <v>1376000</v>
      </c>
      <c r="X453" s="1791">
        <f t="shared" si="83"/>
        <v>1376000</v>
      </c>
      <c r="Y453" s="2474"/>
      <c r="Z453" s="1794">
        <f t="shared" si="84"/>
        <v>1376000</v>
      </c>
      <c r="AA453" s="2497">
        <v>0.3</v>
      </c>
      <c r="AB453" s="2498"/>
      <c r="AC453" s="2491">
        <f t="shared" si="85"/>
        <v>4128</v>
      </c>
      <c r="AD453" s="2536"/>
      <c r="AH453" s="2482"/>
      <c r="AI453"/>
    </row>
    <row r="454" spans="1:35" ht="18" customHeight="1" x14ac:dyDescent="0.2">
      <c r="A454" s="2674">
        <v>223</v>
      </c>
      <c r="B454" s="2113">
        <v>67723</v>
      </c>
      <c r="C454" s="2100" t="s">
        <v>932</v>
      </c>
      <c r="D454" s="2114" t="s">
        <v>245</v>
      </c>
      <c r="E454" s="1508">
        <v>3</v>
      </c>
      <c r="F454" s="2114">
        <v>0</v>
      </c>
      <c r="G454" s="2114">
        <v>0</v>
      </c>
      <c r="H454" s="2115">
        <v>72.3</v>
      </c>
      <c r="I454" s="1794">
        <f t="shared" si="80"/>
        <v>72.3</v>
      </c>
      <c r="J454" s="1687">
        <v>20000</v>
      </c>
      <c r="K454" s="2492">
        <f t="shared" si="81"/>
        <v>1446000</v>
      </c>
      <c r="L454" s="45"/>
      <c r="M454" s="61"/>
      <c r="N454" s="50"/>
      <c r="O454" s="1506"/>
      <c r="P454" s="19"/>
      <c r="Q454" s="62"/>
      <c r="R454" s="1718"/>
      <c r="S454" s="18"/>
      <c r="T454" s="20"/>
      <c r="U454" s="1664"/>
      <c r="V454" s="47"/>
      <c r="W454" s="1794">
        <f t="shared" si="82"/>
        <v>1446000</v>
      </c>
      <c r="X454" s="1791">
        <f t="shared" si="83"/>
        <v>1446000</v>
      </c>
      <c r="Y454" s="2474"/>
      <c r="Z454" s="1794">
        <f t="shared" si="84"/>
        <v>1446000</v>
      </c>
      <c r="AA454" s="2497">
        <v>0.3</v>
      </c>
      <c r="AB454" s="2498"/>
      <c r="AC454" s="2491">
        <f t="shared" si="85"/>
        <v>4338</v>
      </c>
      <c r="AD454" s="2536"/>
      <c r="AH454" s="2482"/>
      <c r="AI454"/>
    </row>
    <row r="455" spans="1:35" ht="18" customHeight="1" x14ac:dyDescent="0.2">
      <c r="A455" s="2674">
        <v>224</v>
      </c>
      <c r="B455" s="2113">
        <v>67724</v>
      </c>
      <c r="C455" s="2100" t="s">
        <v>933</v>
      </c>
      <c r="D455" s="2114" t="s">
        <v>245</v>
      </c>
      <c r="E455" s="1508">
        <v>3</v>
      </c>
      <c r="F455" s="2114">
        <v>0</v>
      </c>
      <c r="G455" s="2114">
        <v>0</v>
      </c>
      <c r="H455" s="2115">
        <v>72.900000000000006</v>
      </c>
      <c r="I455" s="1794">
        <f t="shared" si="80"/>
        <v>72.900000000000006</v>
      </c>
      <c r="J455" s="1687">
        <v>20000</v>
      </c>
      <c r="K455" s="2492">
        <f t="shared" si="81"/>
        <v>1458000</v>
      </c>
      <c r="L455" s="45"/>
      <c r="M455" s="61"/>
      <c r="N455" s="50"/>
      <c r="O455" s="1506"/>
      <c r="P455" s="19"/>
      <c r="Q455" s="62"/>
      <c r="R455" s="1718"/>
      <c r="S455" s="18"/>
      <c r="T455" s="20"/>
      <c r="U455" s="1664"/>
      <c r="V455" s="47"/>
      <c r="W455" s="1794">
        <f t="shared" si="82"/>
        <v>1458000</v>
      </c>
      <c r="X455" s="1791">
        <f t="shared" si="83"/>
        <v>1458000</v>
      </c>
      <c r="Y455" s="2474"/>
      <c r="Z455" s="1794">
        <f t="shared" si="84"/>
        <v>1458000</v>
      </c>
      <c r="AA455" s="2497">
        <v>0.3</v>
      </c>
      <c r="AB455" s="2498"/>
      <c r="AC455" s="2491">
        <f t="shared" si="85"/>
        <v>4374</v>
      </c>
      <c r="AD455" s="2536"/>
      <c r="AH455" s="2491"/>
      <c r="AI455"/>
    </row>
    <row r="456" spans="1:35" ht="18" customHeight="1" x14ac:dyDescent="0.2">
      <c r="A456" s="2674">
        <v>225</v>
      </c>
      <c r="B456" s="2113">
        <v>67725</v>
      </c>
      <c r="C456" s="2100" t="s">
        <v>934</v>
      </c>
      <c r="D456" s="2114" t="s">
        <v>245</v>
      </c>
      <c r="E456" s="1508">
        <v>3</v>
      </c>
      <c r="F456" s="2114">
        <v>0</v>
      </c>
      <c r="G456" s="2114">
        <v>0</v>
      </c>
      <c r="H456" s="2115">
        <v>68</v>
      </c>
      <c r="I456" s="1794">
        <f t="shared" si="80"/>
        <v>68</v>
      </c>
      <c r="J456" s="1687">
        <v>20000</v>
      </c>
      <c r="K456" s="2492">
        <f t="shared" si="81"/>
        <v>1360000</v>
      </c>
      <c r="L456" s="45"/>
      <c r="M456" s="61"/>
      <c r="N456" s="50"/>
      <c r="O456" s="1506"/>
      <c r="P456" s="19"/>
      <c r="Q456" s="62"/>
      <c r="R456" s="1718"/>
      <c r="S456" s="18"/>
      <c r="T456" s="20"/>
      <c r="U456" s="1664"/>
      <c r="V456" s="47"/>
      <c r="W456" s="1794">
        <f t="shared" si="82"/>
        <v>1360000</v>
      </c>
      <c r="X456" s="1791">
        <f t="shared" si="83"/>
        <v>1360000</v>
      </c>
      <c r="Y456" s="2474"/>
      <c r="Z456" s="1794">
        <f t="shared" si="84"/>
        <v>1360000</v>
      </c>
      <c r="AA456" s="2497">
        <v>0.3</v>
      </c>
      <c r="AB456" s="2498"/>
      <c r="AC456" s="2491">
        <f t="shared" si="85"/>
        <v>4080</v>
      </c>
      <c r="AD456" s="2536"/>
      <c r="AH456" s="2546"/>
      <c r="AI456"/>
    </row>
    <row r="457" spans="1:35" ht="18" customHeight="1" x14ac:dyDescent="0.2">
      <c r="A457" s="2674">
        <v>226</v>
      </c>
      <c r="B457" s="2113">
        <v>67726</v>
      </c>
      <c r="C457" s="2100" t="s">
        <v>935</v>
      </c>
      <c r="D457" s="2114" t="s">
        <v>245</v>
      </c>
      <c r="E457" s="1508">
        <v>3</v>
      </c>
      <c r="F457" s="2114">
        <v>0</v>
      </c>
      <c r="G457" s="2114">
        <v>0</v>
      </c>
      <c r="H457" s="2557">
        <v>92.1</v>
      </c>
      <c r="I457" s="1794">
        <f t="shared" si="80"/>
        <v>92.1</v>
      </c>
      <c r="J457" s="1687">
        <v>20000</v>
      </c>
      <c r="K457" s="2492">
        <f t="shared" si="81"/>
        <v>1842000</v>
      </c>
      <c r="L457" s="45"/>
      <c r="M457" s="61"/>
      <c r="N457" s="50"/>
      <c r="O457" s="1506"/>
      <c r="P457" s="19"/>
      <c r="Q457" s="62"/>
      <c r="R457" s="1718"/>
      <c r="S457" s="18"/>
      <c r="T457" s="20"/>
      <c r="U457" s="1664"/>
      <c r="V457" s="47"/>
      <c r="W457" s="1794">
        <f t="shared" si="82"/>
        <v>1842000</v>
      </c>
      <c r="X457" s="1791">
        <f t="shared" si="83"/>
        <v>1842000</v>
      </c>
      <c r="Y457" s="2474"/>
      <c r="Z457" s="1794">
        <f t="shared" si="84"/>
        <v>1842000</v>
      </c>
      <c r="AA457" s="2497">
        <v>0.3</v>
      </c>
      <c r="AB457" s="2498"/>
      <c r="AC457" s="2491">
        <f t="shared" si="85"/>
        <v>5526</v>
      </c>
      <c r="AD457" s="2536"/>
      <c r="AH457" s="2491"/>
      <c r="AI457"/>
    </row>
    <row r="458" spans="1:35" ht="18" customHeight="1" thickBot="1" x14ac:dyDescent="0.25">
      <c r="A458" s="34"/>
      <c r="B458" s="34"/>
      <c r="C458" s="34"/>
      <c r="D458" s="34"/>
      <c r="E458" s="34"/>
      <c r="F458" s="34"/>
      <c r="G458" s="34"/>
      <c r="H458" s="35"/>
      <c r="I458" s="36"/>
      <c r="J458" s="37"/>
      <c r="K458" s="2562"/>
      <c r="L458" s="2562"/>
      <c r="M458" s="2562"/>
      <c r="N458" s="2562"/>
      <c r="O458" s="2562"/>
      <c r="P458" s="2562"/>
      <c r="Q458" s="2562"/>
      <c r="R458" s="2563"/>
      <c r="S458" s="2562"/>
      <c r="T458" s="38"/>
      <c r="U458" s="2564"/>
      <c r="V458" s="2562"/>
      <c r="W458" s="2839"/>
      <c r="X458" s="2840"/>
      <c r="Y458" s="2841"/>
      <c r="Z458" s="2612">
        <f>SUM(Z439:Z457)</f>
        <v>32718000</v>
      </c>
      <c r="AA458" s="2613"/>
      <c r="AB458" s="2613"/>
      <c r="AC458" s="2614">
        <f>SUM(AC439:AC457)</f>
        <v>98154</v>
      </c>
      <c r="AD458" s="2614">
        <f t="shared" ref="AD458:AG458" si="86">SUM(AD439:AD457)</f>
        <v>0</v>
      </c>
      <c r="AE458" s="2614">
        <f t="shared" si="86"/>
        <v>0</v>
      </c>
      <c r="AF458" s="2614">
        <f t="shared" si="86"/>
        <v>0</v>
      </c>
      <c r="AG458" s="2614">
        <f t="shared" si="86"/>
        <v>0</v>
      </c>
      <c r="AH458" s="2614"/>
      <c r="AI458"/>
    </row>
    <row r="459" spans="1:35" ht="18" customHeight="1" thickTop="1" x14ac:dyDescent="0.25">
      <c r="A459" s="2842" t="s">
        <v>76</v>
      </c>
      <c r="B459" s="2842"/>
      <c r="C459" s="2843" t="s">
        <v>77</v>
      </c>
      <c r="D459" s="2843"/>
      <c r="E459" s="2843"/>
      <c r="F459" s="2843"/>
      <c r="G459" s="2843"/>
      <c r="H459" s="2843"/>
      <c r="I459" s="2567" t="s">
        <v>78</v>
      </c>
      <c r="J459" s="2567"/>
      <c r="K459" s="2567"/>
      <c r="L459" s="2567"/>
      <c r="M459" s="2567"/>
      <c r="N459" s="2567"/>
      <c r="AC459" s="2476"/>
      <c r="AI459"/>
    </row>
    <row r="460" spans="1:35" ht="18" customHeight="1" x14ac:dyDescent="0.25">
      <c r="A460" s="2568"/>
      <c r="B460" s="2569"/>
      <c r="C460" s="2567"/>
      <c r="D460" s="2567"/>
      <c r="E460" s="2567"/>
      <c r="F460" s="2567"/>
      <c r="G460" s="2567"/>
      <c r="H460" s="2567"/>
      <c r="I460" s="2567" t="s">
        <v>79</v>
      </c>
      <c r="J460" s="2567"/>
      <c r="K460" s="2567"/>
      <c r="L460" s="2567"/>
      <c r="M460" s="2567"/>
      <c r="N460" s="2567"/>
      <c r="AC460" s="2476"/>
      <c r="AI460"/>
    </row>
    <row r="461" spans="1:35" ht="18" customHeight="1" x14ac:dyDescent="0.25">
      <c r="A461" s="2568"/>
      <c r="B461" s="2569"/>
      <c r="C461" s="2567"/>
      <c r="D461" s="2567"/>
      <c r="E461" s="2567"/>
      <c r="F461" s="2567"/>
      <c r="G461" s="2567"/>
      <c r="H461" s="2567"/>
      <c r="I461" s="2567" t="s">
        <v>80</v>
      </c>
      <c r="J461" s="2567"/>
      <c r="K461" s="2567"/>
      <c r="L461" s="2567"/>
      <c r="M461" s="2567"/>
      <c r="N461" s="2567"/>
      <c r="AC461" s="2476"/>
      <c r="AI461"/>
    </row>
    <row r="462" spans="1:35" ht="18" customHeight="1" x14ac:dyDescent="0.25">
      <c r="A462" s="2568"/>
      <c r="B462" s="2569"/>
      <c r="C462" s="2567"/>
      <c r="D462" s="2567"/>
      <c r="E462" s="2567"/>
      <c r="F462" s="2567"/>
      <c r="G462" s="2567"/>
      <c r="H462" s="2567"/>
      <c r="I462" s="2567" t="s">
        <v>81</v>
      </c>
      <c r="J462" s="2567"/>
      <c r="K462" s="2567"/>
      <c r="L462" s="2567"/>
      <c r="M462" s="2567"/>
      <c r="N462" s="2567"/>
      <c r="AC462" s="2476"/>
      <c r="AI462"/>
    </row>
    <row r="463" spans="1:35" ht="18" customHeight="1" x14ac:dyDescent="0.25">
      <c r="A463" s="2568"/>
      <c r="B463" s="2569"/>
      <c r="C463" s="2567"/>
      <c r="D463" s="2567"/>
      <c r="E463" s="2567"/>
      <c r="F463" s="2567"/>
      <c r="G463" s="2567"/>
      <c r="H463" s="2567"/>
      <c r="I463" s="2567" t="s">
        <v>88</v>
      </c>
      <c r="J463" s="2567"/>
      <c r="K463" s="2567"/>
      <c r="L463" s="2567"/>
      <c r="M463" s="2567"/>
      <c r="N463" s="2567"/>
      <c r="AC463" s="2476"/>
      <c r="AI463"/>
    </row>
    <row r="464" spans="1:35" ht="18" customHeight="1" x14ac:dyDescent="0.25">
      <c r="A464" s="2568"/>
      <c r="B464" s="2569"/>
      <c r="C464" s="2567"/>
      <c r="D464" s="2567"/>
      <c r="E464" s="2567"/>
      <c r="F464" s="2567"/>
      <c r="G464" s="2567"/>
      <c r="H464" s="2567"/>
      <c r="I464" s="2567"/>
      <c r="J464" s="2567"/>
      <c r="K464" s="2567"/>
      <c r="L464" s="2567"/>
      <c r="M464" s="2567"/>
      <c r="N464" s="2567"/>
      <c r="AC464" s="2476"/>
      <c r="AI464"/>
    </row>
    <row r="465" spans="1:35" ht="18" customHeight="1" x14ac:dyDescent="0.25">
      <c r="A465" s="2568"/>
      <c r="B465" s="2569"/>
      <c r="C465" s="2567"/>
      <c r="D465" s="2567"/>
      <c r="E465" s="2567"/>
      <c r="F465" s="2567"/>
      <c r="G465" s="2567"/>
      <c r="H465" s="2567"/>
      <c r="I465" s="2567"/>
      <c r="J465" s="2567"/>
      <c r="K465" s="2567"/>
      <c r="L465" s="2567"/>
      <c r="M465" s="2567"/>
      <c r="N465" s="2567"/>
      <c r="AA465" s="2471"/>
      <c r="AB465" s="2471"/>
      <c r="AC465" s="2667"/>
      <c r="AD465" s="2471"/>
      <c r="AI465"/>
    </row>
    <row r="466" spans="1:35" ht="18" customHeight="1" x14ac:dyDescent="0.25">
      <c r="A466" s="2568"/>
      <c r="B466" s="2569"/>
      <c r="C466" s="2567"/>
      <c r="D466" s="2567"/>
      <c r="E466" s="2567"/>
      <c r="F466" s="2567"/>
      <c r="G466" s="2567"/>
      <c r="H466" s="2567"/>
      <c r="I466" s="2567"/>
      <c r="J466" s="2567"/>
      <c r="K466" s="2567"/>
      <c r="L466" s="2567"/>
      <c r="M466" s="2567"/>
      <c r="N466" s="2567"/>
      <c r="AA466" s="2471"/>
      <c r="AB466" s="2471"/>
      <c r="AC466" s="2667"/>
      <c r="AD466" s="2471"/>
      <c r="AI466"/>
    </row>
    <row r="467" spans="1:35" ht="18" customHeight="1" x14ac:dyDescent="0.25">
      <c r="A467" s="2568"/>
      <c r="B467" s="2569"/>
      <c r="C467" s="2567"/>
      <c r="D467" s="2567"/>
      <c r="E467" s="2567"/>
      <c r="F467" s="2567"/>
      <c r="G467" s="2567"/>
      <c r="H467" s="2567"/>
      <c r="I467" s="2567"/>
      <c r="J467" s="2567"/>
      <c r="K467" s="2567"/>
      <c r="L467" s="2567"/>
      <c r="M467" s="2567"/>
      <c r="N467" s="2567"/>
      <c r="AA467" s="2471"/>
      <c r="AB467" s="2471"/>
      <c r="AC467" s="2667"/>
      <c r="AD467" s="2471"/>
      <c r="AI467"/>
    </row>
    <row r="468" spans="1:35" ht="18" customHeight="1" x14ac:dyDescent="0.25">
      <c r="A468" s="2568"/>
      <c r="B468" s="2569"/>
      <c r="C468" s="2567"/>
      <c r="D468" s="2567"/>
      <c r="E468" s="2567"/>
      <c r="F468" s="2567"/>
      <c r="G468" s="2567"/>
      <c r="H468" s="2567"/>
      <c r="I468" s="2567"/>
      <c r="J468" s="2567"/>
      <c r="K468" s="2567"/>
      <c r="L468" s="2567"/>
      <c r="M468" s="2567"/>
      <c r="N468" s="2567"/>
      <c r="AA468" s="2471"/>
      <c r="AB468" s="2471"/>
      <c r="AC468" s="2667"/>
      <c r="AD468" s="2471"/>
      <c r="AI468"/>
    </row>
    <row r="469" spans="1:35" ht="18" customHeight="1" x14ac:dyDescent="0.25">
      <c r="A469" s="2568"/>
      <c r="B469" s="2569"/>
      <c r="C469" s="2567"/>
      <c r="D469" s="2567"/>
      <c r="E469" s="2567"/>
      <c r="F469" s="2567"/>
      <c r="G469" s="2567"/>
      <c r="H469" s="2567"/>
      <c r="I469" s="2567"/>
      <c r="J469" s="2567"/>
      <c r="K469" s="2567"/>
      <c r="L469" s="2567"/>
      <c r="M469" s="2567"/>
      <c r="N469" s="2567"/>
      <c r="AA469" s="2471"/>
      <c r="AB469" s="2471"/>
      <c r="AC469" s="2667"/>
      <c r="AD469" s="2471"/>
      <c r="AI469"/>
    </row>
    <row r="470" spans="1:35" ht="18" customHeight="1" x14ac:dyDescent="0.25">
      <c r="A470" s="2568"/>
      <c r="B470" s="2569"/>
      <c r="C470" s="2567"/>
      <c r="D470" s="2567"/>
      <c r="E470" s="2567"/>
      <c r="F470" s="2567"/>
      <c r="G470" s="2567"/>
      <c r="H470" s="2567"/>
      <c r="I470" s="2567"/>
      <c r="J470" s="2567"/>
      <c r="K470" s="2567"/>
      <c r="L470" s="2567"/>
      <c r="M470" s="2567"/>
      <c r="N470" s="2567"/>
      <c r="AA470" s="2471"/>
      <c r="AB470" s="2471"/>
      <c r="AC470" s="2667"/>
      <c r="AD470" s="2471"/>
      <c r="AI470"/>
    </row>
    <row r="471" spans="1:35" ht="18" customHeight="1" x14ac:dyDescent="0.25">
      <c r="A471" s="2568"/>
      <c r="B471" s="2569"/>
      <c r="C471" s="2567"/>
      <c r="D471" s="2567"/>
      <c r="E471" s="2567"/>
      <c r="F471" s="2567"/>
      <c r="G471" s="2567"/>
      <c r="H471" s="2567"/>
      <c r="I471" s="2567"/>
      <c r="J471" s="2567"/>
      <c r="K471" s="2567"/>
      <c r="L471" s="2567"/>
      <c r="M471" s="2567"/>
      <c r="N471" s="2567"/>
      <c r="AA471" s="2471" t="s">
        <v>0</v>
      </c>
      <c r="AB471" s="2471"/>
      <c r="AC471" s="2667"/>
      <c r="AD471" s="2471"/>
      <c r="AI471"/>
    </row>
    <row r="472" spans="1:35" ht="18" customHeight="1" x14ac:dyDescent="0.2">
      <c r="A472" s="2707" t="s">
        <v>1</v>
      </c>
      <c r="B472" s="2707"/>
      <c r="C472" s="2707"/>
      <c r="D472" s="2707"/>
      <c r="E472" s="2707"/>
      <c r="F472" s="2707"/>
      <c r="G472" s="2707"/>
      <c r="H472" s="2707"/>
      <c r="I472" s="2707"/>
      <c r="J472" s="2707"/>
      <c r="K472" s="2707"/>
      <c r="L472" s="2707"/>
      <c r="M472" s="2707"/>
      <c r="N472" s="2707"/>
      <c r="O472" s="2707"/>
      <c r="P472" s="2707"/>
      <c r="Q472" s="2707"/>
      <c r="R472" s="2707"/>
      <c r="S472" s="2707"/>
      <c r="T472" s="2707"/>
      <c r="U472" s="2707"/>
      <c r="V472" s="2707"/>
      <c r="W472" s="2707"/>
      <c r="X472" s="2707"/>
      <c r="Y472" s="2707"/>
      <c r="Z472" s="2707"/>
      <c r="AA472" s="2707"/>
      <c r="AB472" s="2707"/>
      <c r="AC472" s="2707"/>
      <c r="AI472"/>
    </row>
    <row r="473" spans="1:35" ht="18" customHeight="1" x14ac:dyDescent="0.2">
      <c r="A473" s="2846" t="s">
        <v>984</v>
      </c>
      <c r="B473" s="2846"/>
      <c r="C473" s="2846"/>
      <c r="D473" s="2846"/>
      <c r="E473" s="2846"/>
      <c r="F473" s="2846"/>
      <c r="G473" s="2846"/>
      <c r="H473" s="2846"/>
      <c r="I473" s="2846"/>
      <c r="J473" s="2846"/>
      <c r="K473" s="2846"/>
      <c r="L473" s="2846"/>
      <c r="M473" s="2846"/>
      <c r="N473" s="2846"/>
      <c r="O473" s="2846"/>
      <c r="P473" s="2846"/>
      <c r="Q473" s="2846"/>
      <c r="R473" s="2846"/>
      <c r="S473" s="2846"/>
      <c r="T473" s="2846"/>
      <c r="U473" s="2846"/>
      <c r="V473" s="2846"/>
      <c r="W473" s="2846"/>
      <c r="X473" s="2846"/>
      <c r="Y473" s="2846"/>
      <c r="Z473" s="2846"/>
      <c r="AA473" s="2846"/>
      <c r="AB473" s="2846"/>
      <c r="AC473" s="2846"/>
      <c r="AD473" s="2192"/>
      <c r="AI473"/>
    </row>
    <row r="474" spans="1:35" ht="18" customHeight="1" x14ac:dyDescent="0.25">
      <c r="A474" s="2709" t="s">
        <v>2</v>
      </c>
      <c r="B474" s="2572"/>
      <c r="C474" s="2709" t="s">
        <v>3</v>
      </c>
      <c r="D474" s="2572"/>
      <c r="E474" s="2572"/>
      <c r="F474" s="2712" t="s">
        <v>4</v>
      </c>
      <c r="G474" s="2712"/>
      <c r="H474" s="2712"/>
      <c r="I474" s="2713"/>
      <c r="J474" s="2713"/>
      <c r="K474" s="2714"/>
      <c r="L474" s="2"/>
      <c r="M474" s="2715" t="s">
        <v>5</v>
      </c>
      <c r="N474" s="2715"/>
      <c r="O474" s="2715"/>
      <c r="P474" s="2715"/>
      <c r="Q474" s="2716"/>
      <c r="R474" s="2716"/>
      <c r="S474" s="2716"/>
      <c r="T474" s="2716"/>
      <c r="U474" s="2716"/>
      <c r="V474" s="2717"/>
      <c r="W474" s="2573" t="s">
        <v>6</v>
      </c>
      <c r="X474" s="2574" t="s">
        <v>7</v>
      </c>
      <c r="Y474" s="2575"/>
      <c r="Z474" s="2575"/>
      <c r="AA474" s="2574"/>
      <c r="AB474" s="2574"/>
      <c r="AC474" s="2576"/>
      <c r="AD474" s="2221" t="s">
        <v>8</v>
      </c>
      <c r="AH474" s="2845" t="s">
        <v>76</v>
      </c>
      <c r="AI474"/>
    </row>
    <row r="475" spans="1:35" ht="18" customHeight="1" x14ac:dyDescent="0.2">
      <c r="A475" s="2710"/>
      <c r="B475" s="4"/>
      <c r="C475" s="2710"/>
      <c r="D475" s="2577" t="s">
        <v>9</v>
      </c>
      <c r="E475" s="2578" t="s">
        <v>10</v>
      </c>
      <c r="F475" s="2718" t="s">
        <v>11</v>
      </c>
      <c r="G475" s="2713"/>
      <c r="H475" s="2714"/>
      <c r="I475" s="2572"/>
      <c r="J475" s="2579" t="s">
        <v>12</v>
      </c>
      <c r="K475" s="2572"/>
      <c r="L475" s="2715" t="s">
        <v>2</v>
      </c>
      <c r="M475" s="2580"/>
      <c r="N475" s="2580"/>
      <c r="O475" s="2580"/>
      <c r="P475" s="2581"/>
      <c r="Q475" s="2582" t="s">
        <v>13</v>
      </c>
      <c r="R475" s="2583" t="s">
        <v>12</v>
      </c>
      <c r="S475" s="2580" t="s">
        <v>6</v>
      </c>
      <c r="T475" s="2724" t="s">
        <v>14</v>
      </c>
      <c r="U475" s="2725"/>
      <c r="V475" s="2584" t="s">
        <v>7</v>
      </c>
      <c r="W475" s="2585" t="s">
        <v>15</v>
      </c>
      <c r="X475" s="2586" t="s">
        <v>16</v>
      </c>
      <c r="Y475" s="2586" t="s">
        <v>17</v>
      </c>
      <c r="Z475" s="2586" t="s">
        <v>18</v>
      </c>
      <c r="AA475" s="5"/>
      <c r="AB475" s="5"/>
      <c r="AC475" s="55" t="s">
        <v>19</v>
      </c>
      <c r="AD475" s="2223" t="s">
        <v>20</v>
      </c>
      <c r="AH475" s="2845"/>
      <c r="AI475"/>
    </row>
    <row r="476" spans="1:35" ht="18" customHeight="1" x14ac:dyDescent="0.2">
      <c r="A476" s="2710"/>
      <c r="B476" s="2454" t="s">
        <v>23</v>
      </c>
      <c r="C476" s="2710"/>
      <c r="D476" s="2577" t="s">
        <v>24</v>
      </c>
      <c r="E476" s="2578" t="s">
        <v>25</v>
      </c>
      <c r="F476" s="2719"/>
      <c r="G476" s="2720"/>
      <c r="H476" s="2721"/>
      <c r="I476" s="2577" t="s">
        <v>26</v>
      </c>
      <c r="J476" s="2587" t="s">
        <v>15</v>
      </c>
      <c r="K476" s="2588" t="s">
        <v>6</v>
      </c>
      <c r="L476" s="2722"/>
      <c r="M476" s="2589" t="s">
        <v>27</v>
      </c>
      <c r="N476" s="2589" t="s">
        <v>10</v>
      </c>
      <c r="O476" s="2590" t="s">
        <v>10</v>
      </c>
      <c r="P476" s="2591" t="s">
        <v>28</v>
      </c>
      <c r="Q476" s="2592" t="s">
        <v>29</v>
      </c>
      <c r="R476" s="2591" t="s">
        <v>15</v>
      </c>
      <c r="S476" s="8" t="s">
        <v>15</v>
      </c>
      <c r="T476" s="2726"/>
      <c r="U476" s="2727"/>
      <c r="V476" s="2584" t="s">
        <v>30</v>
      </c>
      <c r="W476" s="2585" t="s">
        <v>31</v>
      </c>
      <c r="X476" s="2586" t="s">
        <v>30</v>
      </c>
      <c r="Y476" s="2586" t="s">
        <v>32</v>
      </c>
      <c r="Z476" s="2586" t="s">
        <v>7</v>
      </c>
      <c r="AA476" s="5" t="s">
        <v>33</v>
      </c>
      <c r="AB476" s="5"/>
      <c r="AC476" s="55" t="s">
        <v>34</v>
      </c>
      <c r="AD476" s="2223" t="s">
        <v>35</v>
      </c>
      <c r="AH476" s="2845"/>
      <c r="AI476"/>
    </row>
    <row r="477" spans="1:35" ht="18" customHeight="1" x14ac:dyDescent="0.2">
      <c r="A477" s="2710"/>
      <c r="B477" s="2454" t="s">
        <v>39</v>
      </c>
      <c r="C477" s="2710"/>
      <c r="D477" s="2577" t="s">
        <v>40</v>
      </c>
      <c r="E477" s="2578" t="s">
        <v>41</v>
      </c>
      <c r="F477" s="2709" t="s">
        <v>42</v>
      </c>
      <c r="G477" s="2709" t="s">
        <v>43</v>
      </c>
      <c r="H477" s="2728" t="s">
        <v>44</v>
      </c>
      <c r="I477" s="2577" t="s">
        <v>45</v>
      </c>
      <c r="J477" s="2587" t="s">
        <v>46</v>
      </c>
      <c r="K477" s="2588" t="s">
        <v>47</v>
      </c>
      <c r="L477" s="2722"/>
      <c r="M477" s="2589" t="s">
        <v>30</v>
      </c>
      <c r="N477" s="2589" t="s">
        <v>30</v>
      </c>
      <c r="O477" s="2590" t="s">
        <v>25</v>
      </c>
      <c r="P477" s="2591" t="s">
        <v>30</v>
      </c>
      <c r="Q477" s="2592" t="s">
        <v>48</v>
      </c>
      <c r="R477" s="2591" t="s">
        <v>49</v>
      </c>
      <c r="S477" s="8" t="s">
        <v>30</v>
      </c>
      <c r="T477" s="2593" t="s">
        <v>50</v>
      </c>
      <c r="U477" s="2594" t="s">
        <v>13</v>
      </c>
      <c r="V477" s="2584" t="s">
        <v>51</v>
      </c>
      <c r="W477" s="2585" t="s">
        <v>52</v>
      </c>
      <c r="X477" s="2586" t="s">
        <v>53</v>
      </c>
      <c r="Y477" s="2586" t="s">
        <v>54</v>
      </c>
      <c r="Z477" s="2586" t="s">
        <v>55</v>
      </c>
      <c r="AA477" s="5" t="s">
        <v>56</v>
      </c>
      <c r="AB477" s="5"/>
      <c r="AC477" s="55" t="s">
        <v>57</v>
      </c>
      <c r="AD477" s="6" t="s">
        <v>58</v>
      </c>
      <c r="AH477" s="2845"/>
      <c r="AI477"/>
    </row>
    <row r="478" spans="1:35" ht="18" customHeight="1" x14ac:dyDescent="0.25">
      <c r="A478" s="2710"/>
      <c r="B478" s="2454" t="s">
        <v>61</v>
      </c>
      <c r="C478" s="2710"/>
      <c r="D478" s="2577" t="s">
        <v>62</v>
      </c>
      <c r="E478" s="2578" t="s">
        <v>63</v>
      </c>
      <c r="F478" s="2710"/>
      <c r="G478" s="2710"/>
      <c r="H478" s="2729"/>
      <c r="I478" s="2577" t="s">
        <v>64</v>
      </c>
      <c r="J478" s="2587" t="s">
        <v>59</v>
      </c>
      <c r="K478" s="2588" t="s">
        <v>59</v>
      </c>
      <c r="L478" s="2722"/>
      <c r="M478" s="2589"/>
      <c r="N478" s="2589"/>
      <c r="O478" s="2590" t="s">
        <v>41</v>
      </c>
      <c r="P478" s="2591" t="s">
        <v>65</v>
      </c>
      <c r="Q478" s="2592" t="s">
        <v>66</v>
      </c>
      <c r="R478" s="2591" t="s">
        <v>67</v>
      </c>
      <c r="S478" s="8" t="s">
        <v>59</v>
      </c>
      <c r="T478" s="2595" t="s">
        <v>68</v>
      </c>
      <c r="U478" s="2584" t="s">
        <v>14</v>
      </c>
      <c r="V478" s="2584" t="s">
        <v>14</v>
      </c>
      <c r="W478" s="2585" t="s">
        <v>30</v>
      </c>
      <c r="X478" s="2596" t="s">
        <v>69</v>
      </c>
      <c r="Y478" s="2596" t="s">
        <v>70</v>
      </c>
      <c r="Z478" s="2586" t="s">
        <v>71</v>
      </c>
      <c r="AA478" s="5" t="s">
        <v>72</v>
      </c>
      <c r="AB478" s="5"/>
      <c r="AC478" s="2597" t="s">
        <v>59</v>
      </c>
      <c r="AD478" s="6" t="s">
        <v>59</v>
      </c>
      <c r="AH478" s="2845"/>
      <c r="AI478"/>
    </row>
    <row r="479" spans="1:35" ht="18" customHeight="1" x14ac:dyDescent="0.2">
      <c r="A479" s="2711"/>
      <c r="B479" s="9"/>
      <c r="C479" s="2711"/>
      <c r="D479" s="2598"/>
      <c r="E479" s="2599"/>
      <c r="F479" s="9"/>
      <c r="G479" s="9"/>
      <c r="H479" s="10"/>
      <c r="I479" s="2599"/>
      <c r="J479" s="2600"/>
      <c r="K479" s="2601"/>
      <c r="L479" s="2723"/>
      <c r="M479" s="2602"/>
      <c r="N479" s="2602"/>
      <c r="O479" s="2602" t="s">
        <v>63</v>
      </c>
      <c r="P479" s="2603"/>
      <c r="Q479" s="2604" t="s">
        <v>72</v>
      </c>
      <c r="R479" s="2605" t="s">
        <v>59</v>
      </c>
      <c r="S479" s="2606"/>
      <c r="T479" s="2605" t="s">
        <v>73</v>
      </c>
      <c r="U479" s="2606" t="s">
        <v>59</v>
      </c>
      <c r="V479" s="2607" t="s">
        <v>59</v>
      </c>
      <c r="W479" s="2608" t="s">
        <v>59</v>
      </c>
      <c r="X479" s="2609" t="s">
        <v>59</v>
      </c>
      <c r="Y479" s="2609" t="s">
        <v>59</v>
      </c>
      <c r="Z479" s="2609" t="s">
        <v>59</v>
      </c>
      <c r="AA479" s="11"/>
      <c r="AB479" s="11"/>
      <c r="AC479" s="56"/>
      <c r="AD479" s="12"/>
      <c r="AH479" s="2845"/>
      <c r="AI479"/>
    </row>
    <row r="480" spans="1:35" ht="18" customHeight="1" x14ac:dyDescent="0.2">
      <c r="A480" s="2674">
        <v>227</v>
      </c>
      <c r="B480" s="2113">
        <v>67727</v>
      </c>
      <c r="C480" s="2100" t="s">
        <v>753</v>
      </c>
      <c r="D480" s="2114" t="s">
        <v>245</v>
      </c>
      <c r="E480" s="1508">
        <v>3</v>
      </c>
      <c r="F480" s="2114">
        <v>0</v>
      </c>
      <c r="G480" s="2114">
        <v>0</v>
      </c>
      <c r="H480" s="2559">
        <v>82.2</v>
      </c>
      <c r="I480" s="1794">
        <f t="shared" ref="I480:I498" si="87">F480*400+G480*100+H480</f>
        <v>82.2</v>
      </c>
      <c r="J480" s="1687">
        <v>20000</v>
      </c>
      <c r="K480" s="2492">
        <f t="shared" ref="K480:K498" si="88">SUM(I480*J480)</f>
        <v>1644000</v>
      </c>
      <c r="L480" s="45"/>
      <c r="M480" s="61"/>
      <c r="N480" s="50"/>
      <c r="O480" s="1506"/>
      <c r="P480" s="19"/>
      <c r="Q480" s="62"/>
      <c r="R480" s="1718"/>
      <c r="S480" s="18"/>
      <c r="T480" s="20"/>
      <c r="U480" s="1664"/>
      <c r="V480" s="47"/>
      <c r="W480" s="1794">
        <f t="shared" ref="W480:W498" si="89">+K480</f>
        <v>1644000</v>
      </c>
      <c r="X480" s="1791">
        <f t="shared" ref="X480:X498" si="90">+W480</f>
        <v>1644000</v>
      </c>
      <c r="Y480" s="2474"/>
      <c r="Z480" s="1794">
        <f t="shared" ref="Z480:Z498" si="91">+X480</f>
        <v>1644000</v>
      </c>
      <c r="AA480" s="2497">
        <v>0.3</v>
      </c>
      <c r="AB480" s="2498"/>
      <c r="AC480" s="2491">
        <f t="shared" ref="AC480:AC498" si="92">+Z480*AA480/100</f>
        <v>4932</v>
      </c>
      <c r="AD480" s="2540"/>
      <c r="AH480" s="2482"/>
      <c r="AI480"/>
    </row>
    <row r="481" spans="1:35" ht="18" customHeight="1" x14ac:dyDescent="0.2">
      <c r="A481" s="2674">
        <v>228</v>
      </c>
      <c r="B481" s="2113">
        <v>67728</v>
      </c>
      <c r="C481" s="2100" t="s">
        <v>936</v>
      </c>
      <c r="D481" s="2114" t="s">
        <v>245</v>
      </c>
      <c r="E481" s="1508">
        <v>3</v>
      </c>
      <c r="F481" s="2114">
        <v>0</v>
      </c>
      <c r="G481" s="2114">
        <v>0</v>
      </c>
      <c r="H481" s="2559">
        <v>68</v>
      </c>
      <c r="I481" s="1794">
        <f t="shared" si="87"/>
        <v>68</v>
      </c>
      <c r="J481" s="1687">
        <v>20000</v>
      </c>
      <c r="K481" s="2492">
        <f t="shared" si="88"/>
        <v>1360000</v>
      </c>
      <c r="L481" s="45"/>
      <c r="M481" s="61"/>
      <c r="N481" s="50"/>
      <c r="O481" s="1506"/>
      <c r="P481" s="19"/>
      <c r="Q481" s="62"/>
      <c r="R481" s="1718"/>
      <c r="S481" s="18"/>
      <c r="T481" s="20"/>
      <c r="U481" s="1664"/>
      <c r="V481" s="47"/>
      <c r="W481" s="1794">
        <f t="shared" si="89"/>
        <v>1360000</v>
      </c>
      <c r="X481" s="1791">
        <f t="shared" si="90"/>
        <v>1360000</v>
      </c>
      <c r="Y481" s="2474"/>
      <c r="Z481" s="1794">
        <f t="shared" si="91"/>
        <v>1360000</v>
      </c>
      <c r="AA481" s="2497">
        <v>0.3</v>
      </c>
      <c r="AB481" s="2498"/>
      <c r="AC481" s="2491">
        <f t="shared" si="92"/>
        <v>4080</v>
      </c>
      <c r="AD481" s="2558"/>
      <c r="AH481" s="2482"/>
      <c r="AI481"/>
    </row>
    <row r="482" spans="1:35" ht="18" customHeight="1" x14ac:dyDescent="0.2">
      <c r="A482" s="2674">
        <v>229</v>
      </c>
      <c r="B482" s="2113">
        <v>67729</v>
      </c>
      <c r="C482" s="2100" t="s">
        <v>937</v>
      </c>
      <c r="D482" s="2114" t="s">
        <v>245</v>
      </c>
      <c r="E482" s="1508">
        <v>3</v>
      </c>
      <c r="F482" s="2114">
        <v>0</v>
      </c>
      <c r="G482" s="2114">
        <v>0</v>
      </c>
      <c r="H482" s="2559">
        <v>84.4</v>
      </c>
      <c r="I482" s="1794">
        <f t="shared" si="87"/>
        <v>84.4</v>
      </c>
      <c r="J482" s="1687">
        <v>20000</v>
      </c>
      <c r="K482" s="2492">
        <f t="shared" si="88"/>
        <v>1688000</v>
      </c>
      <c r="L482" s="45"/>
      <c r="M482" s="61"/>
      <c r="N482" s="50"/>
      <c r="O482" s="1506"/>
      <c r="P482" s="19"/>
      <c r="Q482" s="62"/>
      <c r="R482" s="1718"/>
      <c r="S482" s="18"/>
      <c r="T482" s="20"/>
      <c r="U482" s="1664"/>
      <c r="V482" s="47"/>
      <c r="W482" s="1794">
        <f t="shared" si="89"/>
        <v>1688000</v>
      </c>
      <c r="X482" s="1791">
        <f t="shared" si="90"/>
        <v>1688000</v>
      </c>
      <c r="Y482" s="2474"/>
      <c r="Z482" s="1794">
        <f t="shared" si="91"/>
        <v>1688000</v>
      </c>
      <c r="AA482" s="2497">
        <v>0.3</v>
      </c>
      <c r="AB482" s="2498"/>
      <c r="AC482" s="2491">
        <f t="shared" si="92"/>
        <v>5064</v>
      </c>
      <c r="AD482" s="2558"/>
      <c r="AH482" s="2482"/>
      <c r="AI482"/>
    </row>
    <row r="483" spans="1:35" ht="18" customHeight="1" x14ac:dyDescent="0.2">
      <c r="A483" s="2674">
        <v>230</v>
      </c>
      <c r="B483" s="2113">
        <v>67730</v>
      </c>
      <c r="C483" s="2100" t="s">
        <v>938</v>
      </c>
      <c r="D483" s="2114" t="s">
        <v>245</v>
      </c>
      <c r="E483" s="1508">
        <v>3</v>
      </c>
      <c r="F483" s="2485">
        <v>0</v>
      </c>
      <c r="G483" s="2109">
        <v>0</v>
      </c>
      <c r="H483" s="2486">
        <v>82.5</v>
      </c>
      <c r="I483" s="1794">
        <f t="shared" si="87"/>
        <v>82.5</v>
      </c>
      <c r="J483" s="1687">
        <v>20000</v>
      </c>
      <c r="K483" s="2492">
        <f t="shared" si="88"/>
        <v>1650000</v>
      </c>
      <c r="L483" s="2109"/>
      <c r="M483" s="100"/>
      <c r="N483" s="2109"/>
      <c r="O483" s="2109"/>
      <c r="P483" s="2486"/>
      <c r="Q483" s="2488"/>
      <c r="R483" s="2101"/>
      <c r="S483" s="2102"/>
      <c r="T483" s="2489"/>
      <c r="U483" s="2102"/>
      <c r="V483" s="2102"/>
      <c r="W483" s="1794">
        <f t="shared" si="89"/>
        <v>1650000</v>
      </c>
      <c r="X483" s="1791">
        <f t="shared" si="90"/>
        <v>1650000</v>
      </c>
      <c r="Y483" s="2474"/>
      <c r="Z483" s="1794">
        <f t="shared" si="91"/>
        <v>1650000</v>
      </c>
      <c r="AA483" s="2497">
        <v>0.3</v>
      </c>
      <c r="AB483" s="2498"/>
      <c r="AC483" s="2491">
        <f t="shared" si="92"/>
        <v>4950</v>
      </c>
      <c r="AD483" s="2535"/>
      <c r="AH483" s="2482"/>
      <c r="AI483"/>
    </row>
    <row r="484" spans="1:35" ht="18" customHeight="1" x14ac:dyDescent="0.2">
      <c r="A484" s="2674">
        <v>231</v>
      </c>
      <c r="B484" s="2113">
        <v>67731</v>
      </c>
      <c r="C484" s="2100" t="s">
        <v>939</v>
      </c>
      <c r="D484" s="2114" t="s">
        <v>245</v>
      </c>
      <c r="E484" s="1508">
        <v>3</v>
      </c>
      <c r="F484" s="2485">
        <v>0</v>
      </c>
      <c r="G484" s="2109">
        <v>0</v>
      </c>
      <c r="H484" s="2486">
        <v>84.7</v>
      </c>
      <c r="I484" s="1794">
        <f t="shared" si="87"/>
        <v>84.7</v>
      </c>
      <c r="J484" s="1687">
        <v>20000</v>
      </c>
      <c r="K484" s="2492">
        <f t="shared" si="88"/>
        <v>1694000</v>
      </c>
      <c r="L484" s="2109"/>
      <c r="M484" s="100"/>
      <c r="N484" s="2109"/>
      <c r="O484" s="2109"/>
      <c r="P484" s="2486"/>
      <c r="Q484" s="2488"/>
      <c r="R484" s="2101"/>
      <c r="S484" s="2102"/>
      <c r="T484" s="2489"/>
      <c r="U484" s="2102"/>
      <c r="V484" s="2102"/>
      <c r="W484" s="1794">
        <f t="shared" si="89"/>
        <v>1694000</v>
      </c>
      <c r="X484" s="1791">
        <f t="shared" si="90"/>
        <v>1694000</v>
      </c>
      <c r="Y484" s="2474"/>
      <c r="Z484" s="1794">
        <f t="shared" si="91"/>
        <v>1694000</v>
      </c>
      <c r="AA484" s="2497">
        <v>0.3</v>
      </c>
      <c r="AB484" s="2498"/>
      <c r="AC484" s="2491">
        <f t="shared" si="92"/>
        <v>5082</v>
      </c>
      <c r="AD484" s="2536"/>
      <c r="AH484" s="2482"/>
      <c r="AI484"/>
    </row>
    <row r="485" spans="1:35" ht="18" customHeight="1" x14ac:dyDescent="0.2">
      <c r="A485" s="2674">
        <v>232</v>
      </c>
      <c r="B485" s="2113">
        <v>67732</v>
      </c>
      <c r="C485" s="2100" t="s">
        <v>940</v>
      </c>
      <c r="D485" s="2114" t="s">
        <v>245</v>
      </c>
      <c r="E485" s="1508">
        <v>3</v>
      </c>
      <c r="F485" s="2485">
        <v>0</v>
      </c>
      <c r="G485" s="2109">
        <v>0</v>
      </c>
      <c r="H485" s="2486">
        <v>79.8</v>
      </c>
      <c r="I485" s="1794">
        <f t="shared" si="87"/>
        <v>79.8</v>
      </c>
      <c r="J485" s="1687">
        <v>20000</v>
      </c>
      <c r="K485" s="2492">
        <f t="shared" si="88"/>
        <v>1596000</v>
      </c>
      <c r="L485" s="2109"/>
      <c r="M485" s="100"/>
      <c r="N485" s="2109"/>
      <c r="O485" s="2109"/>
      <c r="P485" s="2486"/>
      <c r="Q485" s="2488"/>
      <c r="R485" s="2493"/>
      <c r="S485" s="2494"/>
      <c r="T485" s="2495"/>
      <c r="U485" s="2494"/>
      <c r="V485" s="2494"/>
      <c r="W485" s="1794">
        <f t="shared" si="89"/>
        <v>1596000</v>
      </c>
      <c r="X485" s="1791">
        <f t="shared" si="90"/>
        <v>1596000</v>
      </c>
      <c r="Y485" s="2496"/>
      <c r="Z485" s="1794">
        <f t="shared" si="91"/>
        <v>1596000</v>
      </c>
      <c r="AA485" s="2497">
        <v>0.3</v>
      </c>
      <c r="AB485" s="2498"/>
      <c r="AC485" s="2491">
        <f t="shared" si="92"/>
        <v>4788</v>
      </c>
      <c r="AD485" s="2536"/>
      <c r="AH485" s="2482"/>
      <c r="AI485"/>
    </row>
    <row r="486" spans="1:35" ht="18" customHeight="1" x14ac:dyDescent="0.2">
      <c r="A486" s="2674">
        <v>233</v>
      </c>
      <c r="B486" s="2113">
        <v>67733</v>
      </c>
      <c r="C486" s="2100" t="s">
        <v>941</v>
      </c>
      <c r="D486" s="2114" t="s">
        <v>245</v>
      </c>
      <c r="E486" s="1508">
        <v>3</v>
      </c>
      <c r="F486" s="2485">
        <v>0</v>
      </c>
      <c r="G486" s="2109">
        <v>0</v>
      </c>
      <c r="H486" s="2486">
        <v>79.400000000000006</v>
      </c>
      <c r="I486" s="1794">
        <f t="shared" si="87"/>
        <v>79.400000000000006</v>
      </c>
      <c r="J486" s="1687">
        <v>20000</v>
      </c>
      <c r="K486" s="2492">
        <f t="shared" si="88"/>
        <v>1588000</v>
      </c>
      <c r="L486" s="2109"/>
      <c r="M486" s="100"/>
      <c r="N486" s="2109"/>
      <c r="O486" s="2109"/>
      <c r="P486" s="2486"/>
      <c r="Q486" s="2488"/>
      <c r="R486" s="2493"/>
      <c r="S486" s="2494"/>
      <c r="T486" s="2495"/>
      <c r="U486" s="2494"/>
      <c r="V486" s="2494"/>
      <c r="W486" s="1794">
        <f t="shared" si="89"/>
        <v>1588000</v>
      </c>
      <c r="X486" s="1791">
        <f t="shared" si="90"/>
        <v>1588000</v>
      </c>
      <c r="Y486" s="2496"/>
      <c r="Z486" s="1794">
        <f t="shared" si="91"/>
        <v>1588000</v>
      </c>
      <c r="AA486" s="2497">
        <v>0.3</v>
      </c>
      <c r="AB486" s="2498"/>
      <c r="AC486" s="2491">
        <f t="shared" si="92"/>
        <v>4764</v>
      </c>
      <c r="AD486" s="2536"/>
      <c r="AH486" s="2482"/>
      <c r="AI486"/>
    </row>
    <row r="487" spans="1:35" ht="18" customHeight="1" x14ac:dyDescent="0.2">
      <c r="A487" s="2674">
        <v>234</v>
      </c>
      <c r="B487" s="2113">
        <v>67734</v>
      </c>
      <c r="C487" s="2100" t="s">
        <v>942</v>
      </c>
      <c r="D487" s="2114" t="s">
        <v>245</v>
      </c>
      <c r="E487" s="1508">
        <v>3</v>
      </c>
      <c r="F487" s="2472">
        <v>0</v>
      </c>
      <c r="G487" s="2113">
        <v>1</v>
      </c>
      <c r="H487" s="2477">
        <v>16.5</v>
      </c>
      <c r="I487" s="1794">
        <f t="shared" si="87"/>
        <v>116.5</v>
      </c>
      <c r="J487" s="1687">
        <v>20000</v>
      </c>
      <c r="K487" s="2492">
        <f t="shared" si="88"/>
        <v>2330000</v>
      </c>
      <c r="L487" s="2109"/>
      <c r="M487" s="100"/>
      <c r="N487" s="2109"/>
      <c r="O487" s="2109"/>
      <c r="P487" s="2486"/>
      <c r="Q487" s="2488"/>
      <c r="R487" s="2493"/>
      <c r="S487" s="2494"/>
      <c r="T487" s="2495"/>
      <c r="U487" s="2494"/>
      <c r="V487" s="2494"/>
      <c r="W487" s="1794">
        <f t="shared" si="89"/>
        <v>2330000</v>
      </c>
      <c r="X487" s="1791">
        <f t="shared" si="90"/>
        <v>2330000</v>
      </c>
      <c r="Y487" s="2496"/>
      <c r="Z487" s="1794">
        <f t="shared" si="91"/>
        <v>2330000</v>
      </c>
      <c r="AA487" s="2497">
        <v>0.3</v>
      </c>
      <c r="AB487" s="2498"/>
      <c r="AC487" s="2491">
        <f t="shared" si="92"/>
        <v>6990</v>
      </c>
      <c r="AD487" s="2536"/>
      <c r="AH487" s="2482"/>
      <c r="AI487"/>
    </row>
    <row r="488" spans="1:35" ht="18" customHeight="1" x14ac:dyDescent="0.2">
      <c r="A488" s="2674">
        <v>235</v>
      </c>
      <c r="B488" s="2113">
        <v>67735</v>
      </c>
      <c r="C488" s="2100" t="s">
        <v>943</v>
      </c>
      <c r="D488" s="2114" t="s">
        <v>245</v>
      </c>
      <c r="E488" s="1508">
        <v>3</v>
      </c>
      <c r="F488" s="2472">
        <v>0</v>
      </c>
      <c r="G488" s="2113">
        <v>0</v>
      </c>
      <c r="H488" s="2477">
        <v>74.8</v>
      </c>
      <c r="I488" s="1794">
        <f t="shared" si="87"/>
        <v>74.8</v>
      </c>
      <c r="J488" s="1687">
        <v>20000</v>
      </c>
      <c r="K488" s="2492">
        <f t="shared" si="88"/>
        <v>1496000</v>
      </c>
      <c r="L488" s="2109"/>
      <c r="M488" s="100"/>
      <c r="N488" s="2109"/>
      <c r="O488" s="2109"/>
      <c r="P488" s="2486"/>
      <c r="Q488" s="2488"/>
      <c r="R488" s="2493"/>
      <c r="S488" s="2494"/>
      <c r="T488" s="2495"/>
      <c r="U488" s="2494"/>
      <c r="V488" s="2494"/>
      <c r="W488" s="1794">
        <f t="shared" si="89"/>
        <v>1496000</v>
      </c>
      <c r="X488" s="1791">
        <f t="shared" si="90"/>
        <v>1496000</v>
      </c>
      <c r="Y488" s="2496"/>
      <c r="Z488" s="1794">
        <f t="shared" si="91"/>
        <v>1496000</v>
      </c>
      <c r="AA488" s="2497">
        <v>0.3</v>
      </c>
      <c r="AB488" s="2498"/>
      <c r="AC488" s="2491">
        <f t="shared" si="92"/>
        <v>4488</v>
      </c>
      <c r="AD488" s="2536"/>
      <c r="AH488" s="2482"/>
      <c r="AI488"/>
    </row>
    <row r="489" spans="1:35" ht="18" customHeight="1" x14ac:dyDescent="0.2">
      <c r="A489" s="2674">
        <v>236</v>
      </c>
      <c r="B489" s="2113">
        <v>67736</v>
      </c>
      <c r="C489" s="2100" t="s">
        <v>944</v>
      </c>
      <c r="D489" s="2114" t="s">
        <v>245</v>
      </c>
      <c r="E489" s="1508">
        <v>3</v>
      </c>
      <c r="F489" s="2472">
        <v>0</v>
      </c>
      <c r="G489" s="2113">
        <v>0</v>
      </c>
      <c r="H489" s="2477">
        <v>84.9</v>
      </c>
      <c r="I489" s="1794">
        <f t="shared" si="87"/>
        <v>84.9</v>
      </c>
      <c r="J489" s="1687">
        <v>20000</v>
      </c>
      <c r="K489" s="2492">
        <f t="shared" si="88"/>
        <v>1698000</v>
      </c>
      <c r="L489" s="2109"/>
      <c r="M489" s="100"/>
      <c r="N489" s="2109"/>
      <c r="O489" s="2109"/>
      <c r="P489" s="2486"/>
      <c r="Q489" s="2488"/>
      <c r="R489" s="2493"/>
      <c r="S489" s="2494"/>
      <c r="T489" s="2495"/>
      <c r="U489" s="2494"/>
      <c r="V489" s="2494"/>
      <c r="W489" s="1794">
        <f t="shared" si="89"/>
        <v>1698000</v>
      </c>
      <c r="X489" s="1791">
        <f t="shared" si="90"/>
        <v>1698000</v>
      </c>
      <c r="Y489" s="2496"/>
      <c r="Z489" s="1794">
        <f t="shared" si="91"/>
        <v>1698000</v>
      </c>
      <c r="AA489" s="2497">
        <v>0.3</v>
      </c>
      <c r="AB489" s="2498"/>
      <c r="AC489" s="2491">
        <f t="shared" si="92"/>
        <v>5094</v>
      </c>
      <c r="AD489" s="2536"/>
      <c r="AH489" s="2482"/>
      <c r="AI489"/>
    </row>
    <row r="490" spans="1:35" ht="18" customHeight="1" x14ac:dyDescent="0.2">
      <c r="A490" s="2674">
        <v>237</v>
      </c>
      <c r="B490" s="2113">
        <v>67737</v>
      </c>
      <c r="C490" s="2100" t="s">
        <v>945</v>
      </c>
      <c r="D490" s="2114" t="s">
        <v>245</v>
      </c>
      <c r="E490" s="1508">
        <v>3</v>
      </c>
      <c r="F490" s="2472">
        <v>0</v>
      </c>
      <c r="G490" s="2113">
        <v>0</v>
      </c>
      <c r="H490" s="2477">
        <v>96.2</v>
      </c>
      <c r="I490" s="1794">
        <f t="shared" si="87"/>
        <v>96.2</v>
      </c>
      <c r="J490" s="1687">
        <v>20000</v>
      </c>
      <c r="K490" s="2492">
        <f t="shared" si="88"/>
        <v>1924000</v>
      </c>
      <c r="L490" s="2109"/>
      <c r="M490" s="100"/>
      <c r="N490" s="2109"/>
      <c r="O490" s="2109"/>
      <c r="P490" s="2486"/>
      <c r="Q490" s="2488"/>
      <c r="R490" s="2493"/>
      <c r="S490" s="2494"/>
      <c r="T490" s="2495"/>
      <c r="U490" s="2494"/>
      <c r="V490" s="2494"/>
      <c r="W490" s="1794">
        <f t="shared" si="89"/>
        <v>1924000</v>
      </c>
      <c r="X490" s="1791">
        <f t="shared" si="90"/>
        <v>1924000</v>
      </c>
      <c r="Y490" s="2496"/>
      <c r="Z490" s="1794">
        <f t="shared" si="91"/>
        <v>1924000</v>
      </c>
      <c r="AA490" s="2497">
        <v>0.3</v>
      </c>
      <c r="AB490" s="2498"/>
      <c r="AC490" s="2491">
        <f t="shared" si="92"/>
        <v>5772</v>
      </c>
      <c r="AD490" s="2536"/>
      <c r="AH490" s="2482"/>
      <c r="AI490"/>
    </row>
    <row r="491" spans="1:35" ht="18" customHeight="1" x14ac:dyDescent="0.2">
      <c r="A491" s="2674">
        <v>238</v>
      </c>
      <c r="B491" s="2113">
        <v>67738</v>
      </c>
      <c r="C491" s="2100" t="s">
        <v>946</v>
      </c>
      <c r="D491" s="2114" t="s">
        <v>245</v>
      </c>
      <c r="E491" s="1508">
        <v>3</v>
      </c>
      <c r="F491" s="2472">
        <v>0</v>
      </c>
      <c r="G491" s="2113">
        <v>0</v>
      </c>
      <c r="H491" s="2477">
        <v>76.099999999999994</v>
      </c>
      <c r="I491" s="1794">
        <f t="shared" si="87"/>
        <v>76.099999999999994</v>
      </c>
      <c r="J491" s="1687">
        <v>20000</v>
      </c>
      <c r="K491" s="2492">
        <f t="shared" si="88"/>
        <v>1522000</v>
      </c>
      <c r="L491" s="2109"/>
      <c r="M491" s="100"/>
      <c r="N491" s="2109"/>
      <c r="O491" s="2109"/>
      <c r="P491" s="2486"/>
      <c r="Q491" s="2488"/>
      <c r="R491" s="2493"/>
      <c r="S491" s="2494"/>
      <c r="T491" s="2495"/>
      <c r="U491" s="2494"/>
      <c r="V491" s="2494"/>
      <c r="W491" s="1794">
        <f t="shared" si="89"/>
        <v>1522000</v>
      </c>
      <c r="X491" s="1791">
        <f t="shared" si="90"/>
        <v>1522000</v>
      </c>
      <c r="Y491" s="2496"/>
      <c r="Z491" s="1794">
        <f t="shared" si="91"/>
        <v>1522000</v>
      </c>
      <c r="AA491" s="2497">
        <v>0.3</v>
      </c>
      <c r="AB491" s="2498"/>
      <c r="AC491" s="2491">
        <f t="shared" si="92"/>
        <v>4566</v>
      </c>
      <c r="AD491" s="2536"/>
      <c r="AH491" s="2482"/>
      <c r="AI491"/>
    </row>
    <row r="492" spans="1:35" ht="18" customHeight="1" x14ac:dyDescent="0.2">
      <c r="A492" s="2674">
        <v>239</v>
      </c>
      <c r="B492" s="2113">
        <v>67739</v>
      </c>
      <c r="C492" s="2100" t="s">
        <v>947</v>
      </c>
      <c r="D492" s="2114" t="s">
        <v>245</v>
      </c>
      <c r="E492" s="1508">
        <v>3</v>
      </c>
      <c r="F492" s="2472">
        <v>0</v>
      </c>
      <c r="G492" s="2113">
        <v>0</v>
      </c>
      <c r="H492" s="2477">
        <v>63</v>
      </c>
      <c r="I492" s="1794">
        <f t="shared" si="87"/>
        <v>63</v>
      </c>
      <c r="J492" s="1687">
        <v>20000</v>
      </c>
      <c r="K492" s="2492">
        <f t="shared" si="88"/>
        <v>1260000</v>
      </c>
      <c r="L492" s="2109"/>
      <c r="M492" s="100"/>
      <c r="N492" s="2109"/>
      <c r="O492" s="2109"/>
      <c r="P492" s="2486"/>
      <c r="Q492" s="2488"/>
      <c r="R492" s="2493"/>
      <c r="S492" s="2494"/>
      <c r="T492" s="2495"/>
      <c r="U492" s="2494"/>
      <c r="V492" s="2494"/>
      <c r="W492" s="1794">
        <f t="shared" si="89"/>
        <v>1260000</v>
      </c>
      <c r="X492" s="1791">
        <f t="shared" si="90"/>
        <v>1260000</v>
      </c>
      <c r="Y492" s="2496"/>
      <c r="Z492" s="1794">
        <f t="shared" si="91"/>
        <v>1260000</v>
      </c>
      <c r="AA492" s="2497">
        <v>0.3</v>
      </c>
      <c r="AB492" s="2498"/>
      <c r="AC492" s="2491">
        <f t="shared" si="92"/>
        <v>3780</v>
      </c>
      <c r="AD492" s="2536"/>
      <c r="AH492" s="2482"/>
      <c r="AI492"/>
    </row>
    <row r="493" spans="1:35" ht="18" customHeight="1" x14ac:dyDescent="0.2">
      <c r="A493" s="2674">
        <v>240</v>
      </c>
      <c r="B493" s="2113">
        <v>67740</v>
      </c>
      <c r="C493" s="2100" t="s">
        <v>948</v>
      </c>
      <c r="D493" s="2114" t="s">
        <v>245</v>
      </c>
      <c r="E493" s="1508">
        <v>3</v>
      </c>
      <c r="F493" s="2472">
        <v>0</v>
      </c>
      <c r="G493" s="2113">
        <v>0</v>
      </c>
      <c r="H493" s="2477">
        <v>68.8</v>
      </c>
      <c r="I493" s="1794">
        <f t="shared" si="87"/>
        <v>68.8</v>
      </c>
      <c r="J493" s="1687">
        <v>20000</v>
      </c>
      <c r="K493" s="2492">
        <f t="shared" si="88"/>
        <v>1376000</v>
      </c>
      <c r="L493" s="2109"/>
      <c r="M493" s="100"/>
      <c r="N493" s="2109"/>
      <c r="O493" s="2109"/>
      <c r="P493" s="2486"/>
      <c r="Q493" s="2488"/>
      <c r="R493" s="2493"/>
      <c r="S493" s="2494"/>
      <c r="T493" s="2495"/>
      <c r="U493" s="2494"/>
      <c r="V493" s="2494"/>
      <c r="W493" s="1794">
        <f t="shared" si="89"/>
        <v>1376000</v>
      </c>
      <c r="X493" s="1791">
        <f t="shared" si="90"/>
        <v>1376000</v>
      </c>
      <c r="Y493" s="2496"/>
      <c r="Z493" s="1794">
        <f t="shared" si="91"/>
        <v>1376000</v>
      </c>
      <c r="AA493" s="2497">
        <v>0.3</v>
      </c>
      <c r="AB493" s="2498"/>
      <c r="AC493" s="2491">
        <f t="shared" si="92"/>
        <v>4128</v>
      </c>
      <c r="AD493" s="2536"/>
      <c r="AH493" s="2482"/>
      <c r="AI493"/>
    </row>
    <row r="494" spans="1:35" ht="18" customHeight="1" x14ac:dyDescent="0.2">
      <c r="A494" s="2674">
        <v>241</v>
      </c>
      <c r="B494" s="2113">
        <v>67741</v>
      </c>
      <c r="C494" s="2100" t="s">
        <v>949</v>
      </c>
      <c r="D494" s="2114" t="s">
        <v>245</v>
      </c>
      <c r="E494" s="1508">
        <v>3</v>
      </c>
      <c r="F494" s="2114">
        <v>0</v>
      </c>
      <c r="G494" s="2114">
        <v>1</v>
      </c>
      <c r="H494" s="2115">
        <v>15.4</v>
      </c>
      <c r="I494" s="1794">
        <f t="shared" si="87"/>
        <v>115.4</v>
      </c>
      <c r="J494" s="1687">
        <v>20000</v>
      </c>
      <c r="K494" s="2492">
        <f t="shared" si="88"/>
        <v>2308000</v>
      </c>
      <c r="L494" s="45"/>
      <c r="M494" s="61"/>
      <c r="N494" s="50"/>
      <c r="O494" s="1506"/>
      <c r="P494" s="19"/>
      <c r="Q494" s="62"/>
      <c r="R494" s="1718"/>
      <c r="S494" s="18"/>
      <c r="T494" s="20"/>
      <c r="U494" s="1664"/>
      <c r="V494" s="47"/>
      <c r="W494" s="1794">
        <f t="shared" si="89"/>
        <v>2308000</v>
      </c>
      <c r="X494" s="1791">
        <f t="shared" si="90"/>
        <v>2308000</v>
      </c>
      <c r="Y494" s="2474"/>
      <c r="Z494" s="1794">
        <f t="shared" si="91"/>
        <v>2308000</v>
      </c>
      <c r="AA494" s="2497">
        <v>0.3</v>
      </c>
      <c r="AB494" s="2498"/>
      <c r="AC494" s="2491">
        <f t="shared" si="92"/>
        <v>6924</v>
      </c>
      <c r="AD494" s="2536"/>
      <c r="AH494" s="2482"/>
      <c r="AI494"/>
    </row>
    <row r="495" spans="1:35" ht="18" customHeight="1" x14ac:dyDescent="0.2">
      <c r="A495" s="2674">
        <v>242</v>
      </c>
      <c r="B495" s="2113">
        <v>67742</v>
      </c>
      <c r="C495" s="2100" t="s">
        <v>950</v>
      </c>
      <c r="D495" s="2114" t="s">
        <v>245</v>
      </c>
      <c r="E495" s="1508">
        <v>3</v>
      </c>
      <c r="F495" s="2114">
        <v>0</v>
      </c>
      <c r="G495" s="2114">
        <v>0</v>
      </c>
      <c r="H495" s="2115">
        <v>71.3</v>
      </c>
      <c r="I495" s="1794">
        <f t="shared" si="87"/>
        <v>71.3</v>
      </c>
      <c r="J495" s="1687">
        <v>20000</v>
      </c>
      <c r="K495" s="2492">
        <f t="shared" si="88"/>
        <v>1426000</v>
      </c>
      <c r="L495" s="45"/>
      <c r="M495" s="61"/>
      <c r="N495" s="50"/>
      <c r="O495" s="1506"/>
      <c r="P495" s="19"/>
      <c r="Q495" s="62"/>
      <c r="R495" s="1718"/>
      <c r="S495" s="18"/>
      <c r="T495" s="20"/>
      <c r="U495" s="1664"/>
      <c r="V495" s="47"/>
      <c r="W495" s="1794">
        <f t="shared" si="89"/>
        <v>1426000</v>
      </c>
      <c r="X495" s="1791">
        <f t="shared" si="90"/>
        <v>1426000</v>
      </c>
      <c r="Y495" s="2474"/>
      <c r="Z495" s="1794">
        <f t="shared" si="91"/>
        <v>1426000</v>
      </c>
      <c r="AA495" s="2497">
        <v>0.3</v>
      </c>
      <c r="AB495" s="2498"/>
      <c r="AC495" s="2491">
        <f t="shared" si="92"/>
        <v>4278</v>
      </c>
      <c r="AD495" s="2536"/>
      <c r="AH495" s="2482"/>
      <c r="AI495"/>
    </row>
    <row r="496" spans="1:35" ht="18" customHeight="1" x14ac:dyDescent="0.2">
      <c r="A496" s="2674">
        <v>243</v>
      </c>
      <c r="B496" s="2113">
        <v>67743</v>
      </c>
      <c r="C496" s="2100" t="s">
        <v>951</v>
      </c>
      <c r="D496" s="2114" t="s">
        <v>245</v>
      </c>
      <c r="E496" s="1508">
        <v>3</v>
      </c>
      <c r="F496" s="2114">
        <v>0</v>
      </c>
      <c r="G496" s="2114">
        <v>0</v>
      </c>
      <c r="H496" s="2115">
        <v>64</v>
      </c>
      <c r="I496" s="1794">
        <f t="shared" si="87"/>
        <v>64</v>
      </c>
      <c r="J496" s="1687">
        <v>20000</v>
      </c>
      <c r="K496" s="2492">
        <f t="shared" si="88"/>
        <v>1280000</v>
      </c>
      <c r="L496" s="45"/>
      <c r="M496" s="61"/>
      <c r="N496" s="50"/>
      <c r="O496" s="1506"/>
      <c r="P496" s="19"/>
      <c r="Q496" s="62"/>
      <c r="R496" s="1718"/>
      <c r="S496" s="18"/>
      <c r="T496" s="20"/>
      <c r="U496" s="1664"/>
      <c r="V496" s="47"/>
      <c r="W496" s="1794">
        <f t="shared" si="89"/>
        <v>1280000</v>
      </c>
      <c r="X496" s="1791">
        <f t="shared" si="90"/>
        <v>1280000</v>
      </c>
      <c r="Y496" s="2474"/>
      <c r="Z496" s="1794">
        <f t="shared" si="91"/>
        <v>1280000</v>
      </c>
      <c r="AA496" s="2497">
        <v>0.3</v>
      </c>
      <c r="AB496" s="2498"/>
      <c r="AC496" s="2491">
        <f t="shared" si="92"/>
        <v>3840</v>
      </c>
      <c r="AD496" s="2536"/>
      <c r="AH496" s="2491"/>
      <c r="AI496"/>
    </row>
    <row r="497" spans="1:35" ht="18" customHeight="1" x14ac:dyDescent="0.2">
      <c r="A497" s="2674">
        <v>244</v>
      </c>
      <c r="B497" s="2113">
        <v>67744</v>
      </c>
      <c r="C497" s="2100" t="s">
        <v>952</v>
      </c>
      <c r="D497" s="2114" t="s">
        <v>245</v>
      </c>
      <c r="E497" s="1508">
        <v>3</v>
      </c>
      <c r="F497" s="2114">
        <v>0</v>
      </c>
      <c r="G497" s="2114">
        <v>0</v>
      </c>
      <c r="H497" s="2115">
        <v>65.2</v>
      </c>
      <c r="I497" s="1794">
        <f t="shared" si="87"/>
        <v>65.2</v>
      </c>
      <c r="J497" s="1687">
        <v>20000</v>
      </c>
      <c r="K497" s="2492">
        <f t="shared" si="88"/>
        <v>1304000</v>
      </c>
      <c r="L497" s="45"/>
      <c r="M497" s="61"/>
      <c r="N497" s="50"/>
      <c r="O497" s="1506"/>
      <c r="P497" s="19"/>
      <c r="Q497" s="62"/>
      <c r="R497" s="1718"/>
      <c r="S497" s="18"/>
      <c r="T497" s="20"/>
      <c r="U497" s="1664"/>
      <c r="V497" s="47"/>
      <c r="W497" s="1794">
        <f t="shared" si="89"/>
        <v>1304000</v>
      </c>
      <c r="X497" s="1791">
        <f t="shared" si="90"/>
        <v>1304000</v>
      </c>
      <c r="Y497" s="2474"/>
      <c r="Z497" s="1794">
        <f t="shared" si="91"/>
        <v>1304000</v>
      </c>
      <c r="AA497" s="2497">
        <v>0.3</v>
      </c>
      <c r="AB497" s="2498"/>
      <c r="AC497" s="2491">
        <f t="shared" si="92"/>
        <v>3912</v>
      </c>
      <c r="AD497" s="2536"/>
      <c r="AH497" s="2546"/>
      <c r="AI497"/>
    </row>
    <row r="498" spans="1:35" ht="18" customHeight="1" x14ac:dyDescent="0.2">
      <c r="A498" s="2674">
        <v>245</v>
      </c>
      <c r="B498" s="2113">
        <v>67745</v>
      </c>
      <c r="C498" s="2100" t="s">
        <v>953</v>
      </c>
      <c r="D498" s="2114" t="s">
        <v>245</v>
      </c>
      <c r="E498" s="1508">
        <v>3</v>
      </c>
      <c r="F498" s="2114">
        <v>0</v>
      </c>
      <c r="G498" s="2114">
        <v>0</v>
      </c>
      <c r="H498" s="2557">
        <v>85.7</v>
      </c>
      <c r="I498" s="1794">
        <f t="shared" si="87"/>
        <v>85.7</v>
      </c>
      <c r="J498" s="1687">
        <v>20000</v>
      </c>
      <c r="K498" s="2492">
        <f t="shared" si="88"/>
        <v>1714000</v>
      </c>
      <c r="L498" s="45"/>
      <c r="M498" s="61"/>
      <c r="N498" s="50"/>
      <c r="O498" s="1506"/>
      <c r="P498" s="19"/>
      <c r="Q498" s="62"/>
      <c r="R498" s="1718"/>
      <c r="S498" s="18"/>
      <c r="T498" s="20"/>
      <c r="U498" s="1664"/>
      <c r="V498" s="47"/>
      <c r="W498" s="1794">
        <f t="shared" si="89"/>
        <v>1714000</v>
      </c>
      <c r="X498" s="1791">
        <f t="shared" si="90"/>
        <v>1714000</v>
      </c>
      <c r="Y498" s="2474"/>
      <c r="Z498" s="1794">
        <f t="shared" si="91"/>
        <v>1714000</v>
      </c>
      <c r="AA498" s="2497">
        <v>0.3</v>
      </c>
      <c r="AB498" s="2498"/>
      <c r="AC498" s="2491">
        <f t="shared" si="92"/>
        <v>5142</v>
      </c>
      <c r="AD498" s="2536"/>
      <c r="AH498" s="2491"/>
      <c r="AI498"/>
    </row>
    <row r="499" spans="1:35" ht="18" customHeight="1" thickBot="1" x14ac:dyDescent="0.25">
      <c r="A499" s="34"/>
      <c r="B499" s="34"/>
      <c r="C499" s="34"/>
      <c r="D499" s="34"/>
      <c r="E499" s="34"/>
      <c r="F499" s="34"/>
      <c r="G499" s="34"/>
      <c r="H499" s="35"/>
      <c r="I499" s="36"/>
      <c r="J499" s="37"/>
      <c r="K499" s="2562"/>
      <c r="L499" s="2562"/>
      <c r="M499" s="2562"/>
      <c r="N499" s="2562"/>
      <c r="O499" s="2562"/>
      <c r="P499" s="2562"/>
      <c r="Q499" s="2562"/>
      <c r="R499" s="2563"/>
      <c r="S499" s="2562"/>
      <c r="T499" s="38"/>
      <c r="U499" s="2564"/>
      <c r="V499" s="2562"/>
      <c r="W499" s="2839"/>
      <c r="X499" s="2840"/>
      <c r="Y499" s="2841"/>
      <c r="Z499" s="2612">
        <f>SUM(Z480:Z498)</f>
        <v>30858000</v>
      </c>
      <c r="AA499" s="2613"/>
      <c r="AB499" s="2613"/>
      <c r="AC499" s="2614">
        <f>SUM(AC480:AC498)</f>
        <v>92574</v>
      </c>
      <c r="AD499" s="2614">
        <f t="shared" ref="AD499:AG499" si="93">SUM(AD480:AD498)</f>
        <v>0</v>
      </c>
      <c r="AE499" s="2614">
        <f t="shared" si="93"/>
        <v>0</v>
      </c>
      <c r="AF499" s="2614">
        <f t="shared" si="93"/>
        <v>0</v>
      </c>
      <c r="AG499" s="2614">
        <f t="shared" si="93"/>
        <v>0</v>
      </c>
      <c r="AH499" s="2614"/>
      <c r="AI499"/>
    </row>
    <row r="500" spans="1:35" ht="18" customHeight="1" thickTop="1" x14ac:dyDescent="0.25">
      <c r="A500" s="2842" t="s">
        <v>76</v>
      </c>
      <c r="B500" s="2842"/>
      <c r="C500" s="2843" t="s">
        <v>77</v>
      </c>
      <c r="D500" s="2843"/>
      <c r="E500" s="2843"/>
      <c r="F500" s="2843"/>
      <c r="G500" s="2843"/>
      <c r="H500" s="2843"/>
      <c r="I500" s="2567" t="s">
        <v>78</v>
      </c>
      <c r="J500" s="2567"/>
      <c r="K500" s="2567"/>
      <c r="L500" s="2567"/>
      <c r="M500" s="2567"/>
      <c r="N500" s="2567"/>
      <c r="AC500" s="2476"/>
      <c r="AI500"/>
    </row>
    <row r="501" spans="1:35" ht="18" customHeight="1" x14ac:dyDescent="0.25">
      <c r="A501" s="2568"/>
      <c r="B501" s="2569"/>
      <c r="C501" s="2567"/>
      <c r="D501" s="2567"/>
      <c r="E501" s="2567"/>
      <c r="F501" s="2567"/>
      <c r="G501" s="2567"/>
      <c r="H501" s="2567"/>
      <c r="I501" s="2567" t="s">
        <v>79</v>
      </c>
      <c r="J501" s="2567"/>
      <c r="K501" s="2567"/>
      <c r="L501" s="2567"/>
      <c r="M501" s="2567"/>
      <c r="N501" s="2567"/>
      <c r="AC501" s="2476"/>
      <c r="AI501"/>
    </row>
    <row r="502" spans="1:35" ht="18" customHeight="1" x14ac:dyDescent="0.25">
      <c r="A502" s="2568"/>
      <c r="B502" s="2569"/>
      <c r="C502" s="2567"/>
      <c r="D502" s="2567"/>
      <c r="E502" s="2567"/>
      <c r="F502" s="2567"/>
      <c r="G502" s="2567"/>
      <c r="H502" s="2567"/>
      <c r="I502" s="2567" t="s">
        <v>80</v>
      </c>
      <c r="J502" s="2567"/>
      <c r="K502" s="2567"/>
      <c r="L502" s="2567"/>
      <c r="M502" s="2567"/>
      <c r="N502" s="2567"/>
      <c r="AC502" s="2476"/>
      <c r="AI502"/>
    </row>
    <row r="503" spans="1:35" ht="18" customHeight="1" x14ac:dyDescent="0.25">
      <c r="A503" s="2568"/>
      <c r="B503" s="2569"/>
      <c r="C503" s="2567"/>
      <c r="D503" s="2567"/>
      <c r="E503" s="2567"/>
      <c r="F503" s="2567"/>
      <c r="G503" s="2567"/>
      <c r="H503" s="2567"/>
      <c r="I503" s="2567" t="s">
        <v>81</v>
      </c>
      <c r="J503" s="2567"/>
      <c r="K503" s="2567"/>
      <c r="L503" s="2567"/>
      <c r="M503" s="2567"/>
      <c r="N503" s="2567"/>
      <c r="AC503" s="2476"/>
      <c r="AI503"/>
    </row>
    <row r="504" spans="1:35" ht="18" customHeight="1" x14ac:dyDescent="0.25">
      <c r="A504" s="2568"/>
      <c r="B504" s="2569"/>
      <c r="C504" s="2567"/>
      <c r="D504" s="2567"/>
      <c r="E504" s="2567"/>
      <c r="F504" s="2567"/>
      <c r="G504" s="2567"/>
      <c r="H504" s="2567"/>
      <c r="I504" s="2567" t="s">
        <v>88</v>
      </c>
      <c r="J504" s="2567"/>
      <c r="K504" s="2567"/>
      <c r="L504" s="2567"/>
      <c r="M504" s="2567"/>
      <c r="N504" s="2567"/>
      <c r="AC504" s="2476"/>
      <c r="AI504"/>
    </row>
    <row r="505" spans="1:35" ht="18" customHeight="1" x14ac:dyDescent="0.25">
      <c r="A505" s="2568"/>
      <c r="B505" s="2569"/>
      <c r="C505" s="2567"/>
      <c r="D505" s="2567"/>
      <c r="E505" s="2567"/>
      <c r="F505" s="2567"/>
      <c r="G505" s="2567"/>
      <c r="H505" s="2567"/>
      <c r="I505" s="2567"/>
      <c r="J505" s="2567"/>
      <c r="K505" s="2567"/>
      <c r="L505" s="2567"/>
      <c r="M505" s="2567"/>
      <c r="N505" s="2567"/>
      <c r="AC505" s="2476"/>
      <c r="AI505"/>
    </row>
    <row r="506" spans="1:35" ht="18" customHeight="1" x14ac:dyDescent="0.25">
      <c r="A506" s="2568"/>
      <c r="B506" s="2569"/>
      <c r="C506" s="2567"/>
      <c r="D506" s="2567"/>
      <c r="E506" s="2567"/>
      <c r="F506" s="2567"/>
      <c r="G506" s="2567"/>
      <c r="H506" s="2567"/>
      <c r="I506" s="2567"/>
      <c r="J506" s="2567"/>
      <c r="K506" s="2567"/>
      <c r="L506" s="2567"/>
      <c r="M506" s="2567"/>
      <c r="N506" s="2567"/>
      <c r="AA506" s="2471"/>
      <c r="AB506" s="2471"/>
      <c r="AC506" s="2667"/>
      <c r="AD506" s="2471"/>
      <c r="AI506"/>
    </row>
    <row r="507" spans="1:35" ht="18" customHeight="1" x14ac:dyDescent="0.25">
      <c r="A507" s="2568"/>
      <c r="B507" s="2569"/>
      <c r="C507" s="2567"/>
      <c r="D507" s="2567"/>
      <c r="E507" s="2567"/>
      <c r="F507" s="2567"/>
      <c r="G507" s="2567"/>
      <c r="H507" s="2567"/>
      <c r="I507" s="2567"/>
      <c r="J507" s="2567"/>
      <c r="K507" s="2567"/>
      <c r="L507" s="2567"/>
      <c r="M507" s="2567"/>
      <c r="N507" s="2567"/>
      <c r="AA507" s="2471"/>
      <c r="AB507" s="2471"/>
      <c r="AC507" s="2667"/>
      <c r="AD507" s="2471"/>
      <c r="AI507"/>
    </row>
    <row r="508" spans="1:35" ht="18" customHeight="1" x14ac:dyDescent="0.25">
      <c r="A508" s="2568"/>
      <c r="B508" s="2569"/>
      <c r="C508" s="2567"/>
      <c r="D508" s="2567"/>
      <c r="E508" s="2567"/>
      <c r="F508" s="2567"/>
      <c r="G508" s="2567"/>
      <c r="H508" s="2567"/>
      <c r="I508" s="2567"/>
      <c r="J508" s="2567"/>
      <c r="K508" s="2567"/>
      <c r="L508" s="2567"/>
      <c r="M508" s="2567"/>
      <c r="N508" s="2567"/>
      <c r="AA508" s="2471"/>
      <c r="AB508" s="2471"/>
      <c r="AC508" s="2667"/>
      <c r="AD508" s="2471"/>
      <c r="AI508"/>
    </row>
    <row r="509" spans="1:35" ht="18" customHeight="1" x14ac:dyDescent="0.25">
      <c r="A509" s="2568"/>
      <c r="B509" s="2569"/>
      <c r="C509" s="2567"/>
      <c r="D509" s="2567"/>
      <c r="E509" s="2567"/>
      <c r="F509" s="2567"/>
      <c r="G509" s="2567"/>
      <c r="H509" s="2567"/>
      <c r="I509" s="2567"/>
      <c r="J509" s="2567"/>
      <c r="K509" s="2567"/>
      <c r="L509" s="2567"/>
      <c r="M509" s="2567"/>
      <c r="N509" s="2567"/>
      <c r="AA509" s="2471"/>
      <c r="AB509" s="2471"/>
      <c r="AC509" s="2667"/>
      <c r="AD509" s="2471"/>
      <c r="AI509"/>
    </row>
    <row r="510" spans="1:35" ht="18" customHeight="1" x14ac:dyDescent="0.25">
      <c r="A510" s="2568"/>
      <c r="B510" s="2569"/>
      <c r="C510" s="2567"/>
      <c r="D510" s="2567"/>
      <c r="E510" s="2567"/>
      <c r="F510" s="2567"/>
      <c r="G510" s="2567"/>
      <c r="H510" s="2567"/>
      <c r="I510" s="2567"/>
      <c r="J510" s="2567"/>
      <c r="K510" s="2567"/>
      <c r="L510" s="2567"/>
      <c r="M510" s="2567"/>
      <c r="N510" s="2567"/>
      <c r="AA510" s="2471"/>
      <c r="AB510" s="2471"/>
      <c r="AC510" s="2667"/>
      <c r="AD510" s="2471"/>
      <c r="AI510"/>
    </row>
    <row r="511" spans="1:35" ht="18" customHeight="1" x14ac:dyDescent="0.25">
      <c r="A511" s="2568"/>
      <c r="B511" s="2569"/>
      <c r="C511" s="2567"/>
      <c r="D511" s="2567"/>
      <c r="E511" s="2567"/>
      <c r="F511" s="2567"/>
      <c r="G511" s="2567"/>
      <c r="H511" s="2567"/>
      <c r="I511" s="2567"/>
      <c r="J511" s="2567"/>
      <c r="K511" s="2567"/>
      <c r="L511" s="2567"/>
      <c r="M511" s="2567"/>
      <c r="N511" s="2567"/>
      <c r="AA511" s="2471"/>
      <c r="AB511" s="2471"/>
      <c r="AC511" s="2667"/>
      <c r="AD511" s="2471"/>
      <c r="AI511"/>
    </row>
    <row r="512" spans="1:35" ht="18" customHeight="1" x14ac:dyDescent="0.25">
      <c r="A512" s="2568"/>
      <c r="B512" s="2569"/>
      <c r="C512" s="2567"/>
      <c r="D512" s="2567"/>
      <c r="E512" s="2567"/>
      <c r="F512" s="2567"/>
      <c r="G512" s="2567"/>
      <c r="H512" s="2567"/>
      <c r="I512" s="2567"/>
      <c r="J512" s="2567"/>
      <c r="K512" s="2567"/>
      <c r="L512" s="2567"/>
      <c r="M512" s="2567"/>
      <c r="N512" s="2567"/>
      <c r="AA512" s="2471" t="s">
        <v>0</v>
      </c>
      <c r="AB512" s="2471"/>
      <c r="AC512" s="2667"/>
      <c r="AD512" s="2471"/>
      <c r="AI512"/>
    </row>
    <row r="513" spans="1:35" ht="18" customHeight="1" x14ac:dyDescent="0.2">
      <c r="A513" s="2707" t="s">
        <v>1</v>
      </c>
      <c r="B513" s="2707"/>
      <c r="C513" s="2707"/>
      <c r="D513" s="2707"/>
      <c r="E513" s="2707"/>
      <c r="F513" s="2707"/>
      <c r="G513" s="2707"/>
      <c r="H513" s="2707"/>
      <c r="I513" s="2707"/>
      <c r="J513" s="2707"/>
      <c r="K513" s="2707"/>
      <c r="L513" s="2707"/>
      <c r="M513" s="2707"/>
      <c r="N513" s="2707"/>
      <c r="O513" s="2707"/>
      <c r="P513" s="2707"/>
      <c r="Q513" s="2707"/>
      <c r="R513" s="2707"/>
      <c r="S513" s="2707"/>
      <c r="T513" s="2707"/>
      <c r="U513" s="2707"/>
      <c r="V513" s="2707"/>
      <c r="W513" s="2707"/>
      <c r="X513" s="2707"/>
      <c r="Y513" s="2707"/>
      <c r="Z513" s="2707"/>
      <c r="AA513" s="2707"/>
      <c r="AB513" s="2707"/>
      <c r="AC513" s="2707"/>
      <c r="AI513"/>
    </row>
    <row r="514" spans="1:35" ht="18" customHeight="1" x14ac:dyDescent="0.2">
      <c r="A514" s="2846" t="s">
        <v>984</v>
      </c>
      <c r="B514" s="2846"/>
      <c r="C514" s="2846"/>
      <c r="D514" s="2846"/>
      <c r="E514" s="2846"/>
      <c r="F514" s="2846"/>
      <c r="G514" s="2846"/>
      <c r="H514" s="2846"/>
      <c r="I514" s="2846"/>
      <c r="J514" s="2846"/>
      <c r="K514" s="2846"/>
      <c r="L514" s="2846"/>
      <c r="M514" s="2846"/>
      <c r="N514" s="2846"/>
      <c r="O514" s="2846"/>
      <c r="P514" s="2846"/>
      <c r="Q514" s="2846"/>
      <c r="R514" s="2846"/>
      <c r="S514" s="2846"/>
      <c r="T514" s="2846"/>
      <c r="U514" s="2846"/>
      <c r="V514" s="2846"/>
      <c r="W514" s="2846"/>
      <c r="X514" s="2846"/>
      <c r="Y514" s="2846"/>
      <c r="Z514" s="2846"/>
      <c r="AA514" s="2846"/>
      <c r="AB514" s="2846"/>
      <c r="AC514" s="2846"/>
      <c r="AD514" s="2192"/>
      <c r="AI514"/>
    </row>
    <row r="515" spans="1:35" ht="18" customHeight="1" x14ac:dyDescent="0.25">
      <c r="A515" s="2709" t="s">
        <v>2</v>
      </c>
      <c r="B515" s="2572"/>
      <c r="C515" s="2709" t="s">
        <v>3</v>
      </c>
      <c r="D515" s="2572"/>
      <c r="E515" s="2572"/>
      <c r="F515" s="2712" t="s">
        <v>4</v>
      </c>
      <c r="G515" s="2712"/>
      <c r="H515" s="2712"/>
      <c r="I515" s="2713"/>
      <c r="J515" s="2713"/>
      <c r="K515" s="2714"/>
      <c r="L515" s="2"/>
      <c r="M515" s="2715" t="s">
        <v>5</v>
      </c>
      <c r="N515" s="2715"/>
      <c r="O515" s="2715"/>
      <c r="P515" s="2715"/>
      <c r="Q515" s="2716"/>
      <c r="R515" s="2716"/>
      <c r="S515" s="2716"/>
      <c r="T515" s="2716"/>
      <c r="U515" s="2716"/>
      <c r="V515" s="2717"/>
      <c r="W515" s="2573" t="s">
        <v>6</v>
      </c>
      <c r="X515" s="2574" t="s">
        <v>7</v>
      </c>
      <c r="Y515" s="2575"/>
      <c r="Z515" s="2575"/>
      <c r="AA515" s="2574"/>
      <c r="AB515" s="2574"/>
      <c r="AC515" s="2576"/>
      <c r="AD515" s="2221" t="s">
        <v>8</v>
      </c>
      <c r="AH515" s="2845" t="s">
        <v>76</v>
      </c>
      <c r="AI515"/>
    </row>
    <row r="516" spans="1:35" ht="18" customHeight="1" x14ac:dyDescent="0.2">
      <c r="A516" s="2710"/>
      <c r="B516" s="4"/>
      <c r="C516" s="2710"/>
      <c r="D516" s="2577" t="s">
        <v>9</v>
      </c>
      <c r="E516" s="2578" t="s">
        <v>10</v>
      </c>
      <c r="F516" s="2718" t="s">
        <v>11</v>
      </c>
      <c r="G516" s="2713"/>
      <c r="H516" s="2714"/>
      <c r="I516" s="2572"/>
      <c r="J516" s="2579" t="s">
        <v>12</v>
      </c>
      <c r="K516" s="2572"/>
      <c r="L516" s="2715" t="s">
        <v>2</v>
      </c>
      <c r="M516" s="2580"/>
      <c r="N516" s="2580"/>
      <c r="O516" s="2580"/>
      <c r="P516" s="2581"/>
      <c r="Q516" s="2582" t="s">
        <v>13</v>
      </c>
      <c r="R516" s="2583" t="s">
        <v>12</v>
      </c>
      <c r="S516" s="2580" t="s">
        <v>6</v>
      </c>
      <c r="T516" s="2724" t="s">
        <v>14</v>
      </c>
      <c r="U516" s="2725"/>
      <c r="V516" s="2584" t="s">
        <v>7</v>
      </c>
      <c r="W516" s="2585" t="s">
        <v>15</v>
      </c>
      <c r="X516" s="2586" t="s">
        <v>16</v>
      </c>
      <c r="Y516" s="2586" t="s">
        <v>17</v>
      </c>
      <c r="Z516" s="2586" t="s">
        <v>18</v>
      </c>
      <c r="AA516" s="5"/>
      <c r="AB516" s="5"/>
      <c r="AC516" s="55" t="s">
        <v>19</v>
      </c>
      <c r="AD516" s="2223" t="s">
        <v>20</v>
      </c>
      <c r="AH516" s="2845"/>
      <c r="AI516"/>
    </row>
    <row r="517" spans="1:35" ht="18" customHeight="1" x14ac:dyDescent="0.2">
      <c r="A517" s="2710"/>
      <c r="B517" s="2454" t="s">
        <v>23</v>
      </c>
      <c r="C517" s="2710"/>
      <c r="D517" s="2577" t="s">
        <v>24</v>
      </c>
      <c r="E517" s="2578" t="s">
        <v>25</v>
      </c>
      <c r="F517" s="2719"/>
      <c r="G517" s="2720"/>
      <c r="H517" s="2721"/>
      <c r="I517" s="2577" t="s">
        <v>26</v>
      </c>
      <c r="J517" s="2587" t="s">
        <v>15</v>
      </c>
      <c r="K517" s="2588" t="s">
        <v>6</v>
      </c>
      <c r="L517" s="2722"/>
      <c r="M517" s="2589" t="s">
        <v>27</v>
      </c>
      <c r="N517" s="2589" t="s">
        <v>10</v>
      </c>
      <c r="O517" s="2590" t="s">
        <v>10</v>
      </c>
      <c r="P517" s="2591" t="s">
        <v>28</v>
      </c>
      <c r="Q517" s="2592" t="s">
        <v>29</v>
      </c>
      <c r="R517" s="2591" t="s">
        <v>15</v>
      </c>
      <c r="S517" s="8" t="s">
        <v>15</v>
      </c>
      <c r="T517" s="2726"/>
      <c r="U517" s="2727"/>
      <c r="V517" s="2584" t="s">
        <v>30</v>
      </c>
      <c r="W517" s="2585" t="s">
        <v>31</v>
      </c>
      <c r="X517" s="2586" t="s">
        <v>30</v>
      </c>
      <c r="Y517" s="2586" t="s">
        <v>32</v>
      </c>
      <c r="Z517" s="2586" t="s">
        <v>7</v>
      </c>
      <c r="AA517" s="5" t="s">
        <v>33</v>
      </c>
      <c r="AB517" s="5"/>
      <c r="AC517" s="55" t="s">
        <v>34</v>
      </c>
      <c r="AD517" s="2223" t="s">
        <v>35</v>
      </c>
      <c r="AH517" s="2845"/>
      <c r="AI517"/>
    </row>
    <row r="518" spans="1:35" ht="18" customHeight="1" x14ac:dyDescent="0.2">
      <c r="A518" s="2710"/>
      <c r="B518" s="2454" t="s">
        <v>39</v>
      </c>
      <c r="C518" s="2710"/>
      <c r="D518" s="2577" t="s">
        <v>40</v>
      </c>
      <c r="E518" s="2578" t="s">
        <v>41</v>
      </c>
      <c r="F518" s="2709" t="s">
        <v>42</v>
      </c>
      <c r="G518" s="2709" t="s">
        <v>43</v>
      </c>
      <c r="H518" s="2728" t="s">
        <v>44</v>
      </c>
      <c r="I518" s="2577" t="s">
        <v>45</v>
      </c>
      <c r="J518" s="2587" t="s">
        <v>46</v>
      </c>
      <c r="K518" s="2588" t="s">
        <v>47</v>
      </c>
      <c r="L518" s="2722"/>
      <c r="M518" s="2589" t="s">
        <v>30</v>
      </c>
      <c r="N518" s="2589" t="s">
        <v>30</v>
      </c>
      <c r="O518" s="2590" t="s">
        <v>25</v>
      </c>
      <c r="P518" s="2591" t="s">
        <v>30</v>
      </c>
      <c r="Q518" s="2592" t="s">
        <v>48</v>
      </c>
      <c r="R518" s="2591" t="s">
        <v>49</v>
      </c>
      <c r="S518" s="8" t="s">
        <v>30</v>
      </c>
      <c r="T518" s="2593" t="s">
        <v>50</v>
      </c>
      <c r="U518" s="2594" t="s">
        <v>13</v>
      </c>
      <c r="V518" s="2584" t="s">
        <v>51</v>
      </c>
      <c r="W518" s="2585" t="s">
        <v>52</v>
      </c>
      <c r="X518" s="2586" t="s">
        <v>53</v>
      </c>
      <c r="Y518" s="2586" t="s">
        <v>54</v>
      </c>
      <c r="Z518" s="2586" t="s">
        <v>55</v>
      </c>
      <c r="AA518" s="5" t="s">
        <v>56</v>
      </c>
      <c r="AB518" s="5"/>
      <c r="AC518" s="55" t="s">
        <v>57</v>
      </c>
      <c r="AD518" s="6" t="s">
        <v>58</v>
      </c>
      <c r="AH518" s="2845"/>
      <c r="AI518"/>
    </row>
    <row r="519" spans="1:35" ht="18" customHeight="1" x14ac:dyDescent="0.25">
      <c r="A519" s="2710"/>
      <c r="B519" s="2454" t="s">
        <v>61</v>
      </c>
      <c r="C519" s="2710"/>
      <c r="D519" s="2577" t="s">
        <v>62</v>
      </c>
      <c r="E519" s="2578" t="s">
        <v>63</v>
      </c>
      <c r="F519" s="2710"/>
      <c r="G519" s="2710"/>
      <c r="H519" s="2729"/>
      <c r="I519" s="2577" t="s">
        <v>64</v>
      </c>
      <c r="J519" s="2587" t="s">
        <v>59</v>
      </c>
      <c r="K519" s="2588" t="s">
        <v>59</v>
      </c>
      <c r="L519" s="2722"/>
      <c r="M519" s="2589"/>
      <c r="N519" s="2589"/>
      <c r="O519" s="2590" t="s">
        <v>41</v>
      </c>
      <c r="P519" s="2591" t="s">
        <v>65</v>
      </c>
      <c r="Q519" s="2592" t="s">
        <v>66</v>
      </c>
      <c r="R519" s="2591" t="s">
        <v>67</v>
      </c>
      <c r="S519" s="8" t="s">
        <v>59</v>
      </c>
      <c r="T519" s="2595" t="s">
        <v>68</v>
      </c>
      <c r="U519" s="2584" t="s">
        <v>14</v>
      </c>
      <c r="V519" s="2584" t="s">
        <v>14</v>
      </c>
      <c r="W519" s="2585" t="s">
        <v>30</v>
      </c>
      <c r="X519" s="2596" t="s">
        <v>69</v>
      </c>
      <c r="Y519" s="2596" t="s">
        <v>70</v>
      </c>
      <c r="Z519" s="2586" t="s">
        <v>71</v>
      </c>
      <c r="AA519" s="5" t="s">
        <v>72</v>
      </c>
      <c r="AB519" s="5"/>
      <c r="AC519" s="2597" t="s">
        <v>59</v>
      </c>
      <c r="AD519" s="6" t="s">
        <v>59</v>
      </c>
      <c r="AH519" s="2845"/>
      <c r="AI519"/>
    </row>
    <row r="520" spans="1:35" ht="18" customHeight="1" x14ac:dyDescent="0.2">
      <c r="A520" s="2711"/>
      <c r="B520" s="9"/>
      <c r="C520" s="2711"/>
      <c r="D520" s="2598"/>
      <c r="E520" s="2599"/>
      <c r="F520" s="9"/>
      <c r="G520" s="9"/>
      <c r="H520" s="10"/>
      <c r="I520" s="2599"/>
      <c r="J520" s="2600"/>
      <c r="K520" s="2601"/>
      <c r="L520" s="2723"/>
      <c r="M520" s="2602"/>
      <c r="N520" s="2602"/>
      <c r="O520" s="2602" t="s">
        <v>63</v>
      </c>
      <c r="P520" s="2603"/>
      <c r="Q520" s="2604" t="s">
        <v>72</v>
      </c>
      <c r="R520" s="2605" t="s">
        <v>59</v>
      </c>
      <c r="S520" s="2606"/>
      <c r="T520" s="2605" t="s">
        <v>73</v>
      </c>
      <c r="U520" s="2606" t="s">
        <v>59</v>
      </c>
      <c r="V520" s="2607" t="s">
        <v>59</v>
      </c>
      <c r="W520" s="2608" t="s">
        <v>59</v>
      </c>
      <c r="X520" s="2609" t="s">
        <v>59</v>
      </c>
      <c r="Y520" s="2609" t="s">
        <v>59</v>
      </c>
      <c r="Z520" s="2609" t="s">
        <v>59</v>
      </c>
      <c r="AA520" s="11"/>
      <c r="AB520" s="11"/>
      <c r="AC520" s="56"/>
      <c r="AD520" s="12"/>
      <c r="AH520" s="2845"/>
      <c r="AI520"/>
    </row>
    <row r="521" spans="1:35" ht="18" customHeight="1" x14ac:dyDescent="0.2">
      <c r="A521" s="2674">
        <v>246</v>
      </c>
      <c r="B521" s="2113">
        <v>67746</v>
      </c>
      <c r="C521" s="2100" t="s">
        <v>954</v>
      </c>
      <c r="D521" s="2114" t="s">
        <v>245</v>
      </c>
      <c r="E521" s="1508">
        <v>3</v>
      </c>
      <c r="F521" s="2114">
        <v>0</v>
      </c>
      <c r="G521" s="2114">
        <v>0</v>
      </c>
      <c r="H521" s="2559">
        <v>99.3</v>
      </c>
      <c r="I521" s="1794">
        <f>F521*400+G521*100+H521</f>
        <v>99.3</v>
      </c>
      <c r="J521" s="1687">
        <v>20000</v>
      </c>
      <c r="K521" s="2492">
        <f>SUM(I521*J521)</f>
        <v>1986000</v>
      </c>
      <c r="L521" s="45"/>
      <c r="M521" s="61"/>
      <c r="N521" s="50"/>
      <c r="O521" s="1506"/>
      <c r="P521" s="19"/>
      <c r="Q521" s="62"/>
      <c r="R521" s="1718"/>
      <c r="S521" s="18"/>
      <c r="T521" s="20"/>
      <c r="U521" s="1664"/>
      <c r="V521" s="47"/>
      <c r="W521" s="1794">
        <f>+K521</f>
        <v>1986000</v>
      </c>
      <c r="X521" s="1791">
        <f>+W521</f>
        <v>1986000</v>
      </c>
      <c r="Y521" s="2474"/>
      <c r="Z521" s="1794">
        <f>+X521</f>
        <v>1986000</v>
      </c>
      <c r="AA521" s="2497">
        <v>0.3</v>
      </c>
      <c r="AB521" s="2498"/>
      <c r="AC521" s="2491">
        <f t="shared" ref="AC521:AC530" si="94">+Z521*AA521/100</f>
        <v>5958</v>
      </c>
      <c r="AD521" s="2540"/>
      <c r="AH521" s="2482"/>
      <c r="AI521"/>
    </row>
    <row r="522" spans="1:35" ht="18" customHeight="1" x14ac:dyDescent="0.2">
      <c r="A522" s="2674">
        <v>247</v>
      </c>
      <c r="B522" s="2113">
        <v>67747</v>
      </c>
      <c r="C522" s="2100" t="s">
        <v>955</v>
      </c>
      <c r="D522" s="2114" t="s">
        <v>245</v>
      </c>
      <c r="E522" s="1508">
        <v>3</v>
      </c>
      <c r="F522" s="2114">
        <v>0</v>
      </c>
      <c r="G522" s="2114">
        <v>1</v>
      </c>
      <c r="H522" s="2559">
        <v>10.199999999999999</v>
      </c>
      <c r="I522" s="1794">
        <f>F522*400+G522*100+H522</f>
        <v>110.2</v>
      </c>
      <c r="J522" s="1687">
        <v>20000</v>
      </c>
      <c r="K522" s="2492">
        <f>SUM(I522*J522)</f>
        <v>2204000</v>
      </c>
      <c r="L522" s="45"/>
      <c r="M522" s="61"/>
      <c r="N522" s="50"/>
      <c r="O522" s="1506"/>
      <c r="P522" s="19"/>
      <c r="Q522" s="62"/>
      <c r="R522" s="1718"/>
      <c r="S522" s="18"/>
      <c r="T522" s="20"/>
      <c r="U522" s="1664"/>
      <c r="V522" s="47"/>
      <c r="W522" s="1794">
        <f>+K522</f>
        <v>2204000</v>
      </c>
      <c r="X522" s="1791">
        <f>+W522</f>
        <v>2204000</v>
      </c>
      <c r="Y522" s="2474"/>
      <c r="Z522" s="1794">
        <f>+X522</f>
        <v>2204000</v>
      </c>
      <c r="AA522" s="2497">
        <v>0.3</v>
      </c>
      <c r="AB522" s="2498"/>
      <c r="AC522" s="2491">
        <f t="shared" si="94"/>
        <v>6612</v>
      </c>
      <c r="AD522" s="2558"/>
      <c r="AH522" s="2482"/>
      <c r="AI522"/>
    </row>
    <row r="523" spans="1:35" ht="18" customHeight="1" x14ac:dyDescent="0.2">
      <c r="A523" s="2674">
        <v>248</v>
      </c>
      <c r="B523" s="2113">
        <v>67748</v>
      </c>
      <c r="C523" s="2100" t="s">
        <v>956</v>
      </c>
      <c r="D523" s="2114" t="s">
        <v>245</v>
      </c>
      <c r="E523" s="1508">
        <v>3</v>
      </c>
      <c r="F523" s="2114">
        <v>0</v>
      </c>
      <c r="G523" s="2114">
        <v>0</v>
      </c>
      <c r="H523" s="2559">
        <v>95.1</v>
      </c>
      <c r="I523" s="1794">
        <f>F523*400+G523*100+H523</f>
        <v>95.1</v>
      </c>
      <c r="J523" s="1687">
        <v>20000</v>
      </c>
      <c r="K523" s="2492">
        <f>SUM(I523*J523)</f>
        <v>1902000</v>
      </c>
      <c r="L523" s="45"/>
      <c r="M523" s="61"/>
      <c r="N523" s="50"/>
      <c r="O523" s="1506"/>
      <c r="P523" s="19"/>
      <c r="Q523" s="62"/>
      <c r="R523" s="1718"/>
      <c r="S523" s="18"/>
      <c r="T523" s="20"/>
      <c r="U523" s="1664"/>
      <c r="V523" s="47"/>
      <c r="W523" s="1794">
        <f>+K523</f>
        <v>1902000</v>
      </c>
      <c r="X523" s="1791">
        <f>+W523</f>
        <v>1902000</v>
      </c>
      <c r="Y523" s="2474"/>
      <c r="Z523" s="1794">
        <f>+X523</f>
        <v>1902000</v>
      </c>
      <c r="AA523" s="2497">
        <v>0.3</v>
      </c>
      <c r="AB523" s="2498"/>
      <c r="AC523" s="2491">
        <f t="shared" si="94"/>
        <v>5706</v>
      </c>
      <c r="AD523" s="2558"/>
      <c r="AH523" s="2482"/>
      <c r="AI523"/>
    </row>
    <row r="524" spans="1:35" ht="18" customHeight="1" x14ac:dyDescent="0.2">
      <c r="A524" s="2674">
        <v>249</v>
      </c>
      <c r="B524" s="2113">
        <v>67749</v>
      </c>
      <c r="C524" s="2100" t="s">
        <v>957</v>
      </c>
      <c r="D524" s="2114" t="s">
        <v>245</v>
      </c>
      <c r="E524" s="1508">
        <v>3</v>
      </c>
      <c r="F524" s="2485">
        <v>0</v>
      </c>
      <c r="G524" s="2109">
        <v>1</v>
      </c>
      <c r="H524" s="2486">
        <v>2.6</v>
      </c>
      <c r="I524" s="1794">
        <f t="shared" ref="I524:I530" si="95">F524*400+G524*100+H524</f>
        <v>102.6</v>
      </c>
      <c r="J524" s="1687">
        <v>20000</v>
      </c>
      <c r="K524" s="2492">
        <f t="shared" ref="K524:K530" si="96">SUM(I524*J524)</f>
        <v>2052000</v>
      </c>
      <c r="L524" s="2109"/>
      <c r="M524" s="100"/>
      <c r="N524" s="2109"/>
      <c r="O524" s="2109"/>
      <c r="P524" s="2486"/>
      <c r="Q524" s="2488"/>
      <c r="R524" s="2101"/>
      <c r="S524" s="2102"/>
      <c r="T524" s="2489"/>
      <c r="U524" s="2102"/>
      <c r="V524" s="2102"/>
      <c r="W524" s="1794">
        <f t="shared" ref="W524:W530" si="97">+K524</f>
        <v>2052000</v>
      </c>
      <c r="X524" s="1791">
        <f t="shared" ref="X524:X530" si="98">+W524</f>
        <v>2052000</v>
      </c>
      <c r="Y524" s="2474"/>
      <c r="Z524" s="1794">
        <f t="shared" ref="Z524:Z530" si="99">+X524</f>
        <v>2052000</v>
      </c>
      <c r="AA524" s="2497">
        <v>0.3</v>
      </c>
      <c r="AB524" s="2498"/>
      <c r="AC524" s="2491">
        <f t="shared" si="94"/>
        <v>6156</v>
      </c>
      <c r="AD524" s="2535"/>
      <c r="AH524" s="2482"/>
      <c r="AI524"/>
    </row>
    <row r="525" spans="1:35" ht="18" customHeight="1" x14ac:dyDescent="0.2">
      <c r="A525" s="2674">
        <v>250</v>
      </c>
      <c r="B525" s="2113">
        <v>67750</v>
      </c>
      <c r="C525" s="2100" t="s">
        <v>958</v>
      </c>
      <c r="D525" s="2114" t="s">
        <v>245</v>
      </c>
      <c r="E525" s="1508">
        <v>3</v>
      </c>
      <c r="F525" s="2485">
        <v>0</v>
      </c>
      <c r="G525" s="2109">
        <v>0</v>
      </c>
      <c r="H525" s="2486">
        <v>71.7</v>
      </c>
      <c r="I525" s="1794">
        <f t="shared" si="95"/>
        <v>71.7</v>
      </c>
      <c r="J525" s="1687">
        <v>20000</v>
      </c>
      <c r="K525" s="2492">
        <f t="shared" si="96"/>
        <v>1434000</v>
      </c>
      <c r="L525" s="2109"/>
      <c r="M525" s="100"/>
      <c r="N525" s="2109"/>
      <c r="O525" s="2109"/>
      <c r="P525" s="2486"/>
      <c r="Q525" s="2488"/>
      <c r="R525" s="2101"/>
      <c r="S525" s="2102"/>
      <c r="T525" s="2489"/>
      <c r="U525" s="2102"/>
      <c r="V525" s="2102"/>
      <c r="W525" s="1794">
        <f t="shared" si="97"/>
        <v>1434000</v>
      </c>
      <c r="X525" s="1791">
        <f t="shared" si="98"/>
        <v>1434000</v>
      </c>
      <c r="Y525" s="2474"/>
      <c r="Z525" s="1794">
        <f t="shared" si="99"/>
        <v>1434000</v>
      </c>
      <c r="AA525" s="2497">
        <v>0.3</v>
      </c>
      <c r="AB525" s="2498"/>
      <c r="AC525" s="2491">
        <f t="shared" si="94"/>
        <v>4302</v>
      </c>
      <c r="AD525" s="2536"/>
      <c r="AH525" s="2482"/>
      <c r="AI525"/>
    </row>
    <row r="526" spans="1:35" ht="18" customHeight="1" x14ac:dyDescent="0.2">
      <c r="A526" s="2674">
        <v>251</v>
      </c>
      <c r="B526" s="2113">
        <v>67751</v>
      </c>
      <c r="C526" s="2100" t="s">
        <v>959</v>
      </c>
      <c r="D526" s="2114" t="s">
        <v>245</v>
      </c>
      <c r="E526" s="1508">
        <v>3</v>
      </c>
      <c r="F526" s="2485">
        <v>0</v>
      </c>
      <c r="G526" s="2109">
        <v>0</v>
      </c>
      <c r="H526" s="2486">
        <v>65.3</v>
      </c>
      <c r="I526" s="1794">
        <f t="shared" si="95"/>
        <v>65.3</v>
      </c>
      <c r="J526" s="1687">
        <v>20000</v>
      </c>
      <c r="K526" s="2492">
        <f t="shared" si="96"/>
        <v>1306000</v>
      </c>
      <c r="L526" s="2109"/>
      <c r="M526" s="100"/>
      <c r="N526" s="2109"/>
      <c r="O526" s="2109"/>
      <c r="P526" s="2486"/>
      <c r="Q526" s="2488"/>
      <c r="R526" s="2493"/>
      <c r="S526" s="2494"/>
      <c r="T526" s="2495"/>
      <c r="U526" s="2494"/>
      <c r="V526" s="2494"/>
      <c r="W526" s="1794">
        <f t="shared" si="97"/>
        <v>1306000</v>
      </c>
      <c r="X526" s="1791">
        <f t="shared" si="98"/>
        <v>1306000</v>
      </c>
      <c r="Y526" s="2496"/>
      <c r="Z526" s="1794">
        <f t="shared" si="99"/>
        <v>1306000</v>
      </c>
      <c r="AA526" s="2497">
        <v>0.3</v>
      </c>
      <c r="AB526" s="2498"/>
      <c r="AC526" s="2491">
        <f t="shared" si="94"/>
        <v>3918</v>
      </c>
      <c r="AD526" s="2536"/>
      <c r="AH526" s="2482"/>
      <c r="AI526"/>
    </row>
    <row r="527" spans="1:35" ht="18" customHeight="1" x14ac:dyDescent="0.2">
      <c r="A527" s="2674">
        <v>252</v>
      </c>
      <c r="B527" s="2113">
        <v>67752</v>
      </c>
      <c r="C527" s="2100" t="s">
        <v>960</v>
      </c>
      <c r="D527" s="2114" t="s">
        <v>245</v>
      </c>
      <c r="E527" s="1508">
        <v>3</v>
      </c>
      <c r="F527" s="2485">
        <v>0</v>
      </c>
      <c r="G527" s="2109">
        <v>0</v>
      </c>
      <c r="H527" s="2486">
        <v>76.2</v>
      </c>
      <c r="I527" s="1794">
        <f t="shared" si="95"/>
        <v>76.2</v>
      </c>
      <c r="J527" s="1687">
        <v>20000</v>
      </c>
      <c r="K527" s="2492">
        <f t="shared" si="96"/>
        <v>1524000</v>
      </c>
      <c r="L527" s="2109"/>
      <c r="M527" s="100"/>
      <c r="N527" s="2109"/>
      <c r="O527" s="2109"/>
      <c r="P527" s="2486"/>
      <c r="Q527" s="2488"/>
      <c r="R527" s="2493"/>
      <c r="S527" s="2494"/>
      <c r="T527" s="2495"/>
      <c r="U527" s="2494"/>
      <c r="V527" s="2494"/>
      <c r="W527" s="1794">
        <f t="shared" si="97"/>
        <v>1524000</v>
      </c>
      <c r="X527" s="1791">
        <f t="shared" si="98"/>
        <v>1524000</v>
      </c>
      <c r="Y527" s="2496"/>
      <c r="Z527" s="1794">
        <f t="shared" si="99"/>
        <v>1524000</v>
      </c>
      <c r="AA527" s="2497">
        <v>0.3</v>
      </c>
      <c r="AB527" s="2498"/>
      <c r="AC527" s="2491">
        <f t="shared" si="94"/>
        <v>4572</v>
      </c>
      <c r="AD527" s="2536"/>
      <c r="AH527" s="2482"/>
      <c r="AI527"/>
    </row>
    <row r="528" spans="1:35" ht="18" customHeight="1" x14ac:dyDescent="0.2">
      <c r="A528" s="2674">
        <v>253</v>
      </c>
      <c r="B528" s="2113">
        <v>67753</v>
      </c>
      <c r="C528" s="2100" t="s">
        <v>961</v>
      </c>
      <c r="D528" s="2114" t="s">
        <v>245</v>
      </c>
      <c r="E528" s="1508">
        <v>3</v>
      </c>
      <c r="F528" s="2472">
        <v>0</v>
      </c>
      <c r="G528" s="2113">
        <v>1</v>
      </c>
      <c r="H528" s="2477">
        <v>9.6</v>
      </c>
      <c r="I528" s="1794">
        <f t="shared" si="95"/>
        <v>109.6</v>
      </c>
      <c r="J528" s="1687">
        <v>20000</v>
      </c>
      <c r="K528" s="2492">
        <f t="shared" si="96"/>
        <v>2192000</v>
      </c>
      <c r="L528" s="2109"/>
      <c r="M528" s="100"/>
      <c r="N528" s="2109"/>
      <c r="O528" s="2109"/>
      <c r="P528" s="2486"/>
      <c r="Q528" s="2488"/>
      <c r="R528" s="2493"/>
      <c r="S528" s="2494"/>
      <c r="T528" s="2495"/>
      <c r="U528" s="2494"/>
      <c r="V528" s="2494"/>
      <c r="W528" s="1794">
        <f t="shared" si="97"/>
        <v>2192000</v>
      </c>
      <c r="X528" s="1791">
        <f t="shared" si="98"/>
        <v>2192000</v>
      </c>
      <c r="Y528" s="2496"/>
      <c r="Z528" s="1794">
        <f t="shared" si="99"/>
        <v>2192000</v>
      </c>
      <c r="AA528" s="2497">
        <v>0.3</v>
      </c>
      <c r="AB528" s="2498"/>
      <c r="AC528" s="2491">
        <f t="shared" si="94"/>
        <v>6576</v>
      </c>
      <c r="AD528" s="2536"/>
      <c r="AH528" s="2482"/>
      <c r="AI528"/>
    </row>
    <row r="529" spans="1:36" ht="18" customHeight="1" x14ac:dyDescent="0.2">
      <c r="A529" s="2674">
        <v>254</v>
      </c>
      <c r="B529" s="2113">
        <v>67754</v>
      </c>
      <c r="C529" s="2100" t="s">
        <v>962</v>
      </c>
      <c r="D529" s="2114" t="s">
        <v>245</v>
      </c>
      <c r="E529" s="1508">
        <v>3</v>
      </c>
      <c r="F529" s="2472">
        <v>0</v>
      </c>
      <c r="G529" s="2113">
        <v>0</v>
      </c>
      <c r="H529" s="2477">
        <v>88</v>
      </c>
      <c r="I529" s="1794">
        <f t="shared" si="95"/>
        <v>88</v>
      </c>
      <c r="J529" s="1687">
        <v>20000</v>
      </c>
      <c r="K529" s="2492">
        <f t="shared" si="96"/>
        <v>1760000</v>
      </c>
      <c r="L529" s="2109"/>
      <c r="M529" s="100"/>
      <c r="N529" s="2109"/>
      <c r="O529" s="2109"/>
      <c r="P529" s="2486"/>
      <c r="Q529" s="2488"/>
      <c r="R529" s="2493"/>
      <c r="S529" s="2494"/>
      <c r="T529" s="2495"/>
      <c r="U529" s="2494"/>
      <c r="V529" s="2494"/>
      <c r="W529" s="1794">
        <f t="shared" si="97"/>
        <v>1760000</v>
      </c>
      <c r="X529" s="1791">
        <f t="shared" si="98"/>
        <v>1760000</v>
      </c>
      <c r="Y529" s="2496"/>
      <c r="Z529" s="1794">
        <f t="shared" si="99"/>
        <v>1760000</v>
      </c>
      <c r="AA529" s="2497">
        <v>0.3</v>
      </c>
      <c r="AB529" s="2498"/>
      <c r="AC529" s="2491">
        <f t="shared" si="94"/>
        <v>5280</v>
      </c>
      <c r="AD529" s="2536"/>
      <c r="AH529" s="2482"/>
    </row>
    <row r="530" spans="1:36" ht="18" customHeight="1" x14ac:dyDescent="0.2">
      <c r="A530" s="2674">
        <v>255</v>
      </c>
      <c r="B530" s="2113">
        <v>67755</v>
      </c>
      <c r="C530" s="2100" t="s">
        <v>963</v>
      </c>
      <c r="D530" s="2114" t="s">
        <v>245</v>
      </c>
      <c r="E530" s="1508">
        <v>3</v>
      </c>
      <c r="F530" s="2472">
        <v>0</v>
      </c>
      <c r="G530" s="2113">
        <v>1</v>
      </c>
      <c r="H530" s="2477">
        <v>0.9</v>
      </c>
      <c r="I530" s="1794">
        <f t="shared" si="95"/>
        <v>100.9</v>
      </c>
      <c r="J530" s="1687">
        <v>20000</v>
      </c>
      <c r="K530" s="2492">
        <f t="shared" si="96"/>
        <v>2018000</v>
      </c>
      <c r="L530" s="2109"/>
      <c r="M530" s="100"/>
      <c r="N530" s="2109"/>
      <c r="O530" s="2109"/>
      <c r="P530" s="2486"/>
      <c r="Q530" s="2488"/>
      <c r="R530" s="2493"/>
      <c r="S530" s="2494"/>
      <c r="T530" s="2495"/>
      <c r="U530" s="2494"/>
      <c r="V530" s="2494"/>
      <c r="W530" s="1794">
        <f t="shared" si="97"/>
        <v>2018000</v>
      </c>
      <c r="X530" s="1791">
        <f t="shared" si="98"/>
        <v>2018000</v>
      </c>
      <c r="Y530" s="2496"/>
      <c r="Z530" s="1794">
        <f t="shared" si="99"/>
        <v>2018000</v>
      </c>
      <c r="AA530" s="2497">
        <v>0.3</v>
      </c>
      <c r="AB530" s="2498"/>
      <c r="AC530" s="2491">
        <f t="shared" si="94"/>
        <v>6054</v>
      </c>
      <c r="AD530" s="2536"/>
      <c r="AH530" s="2482"/>
    </row>
    <row r="531" spans="1:36" ht="18" customHeight="1" thickBot="1" x14ac:dyDescent="0.25">
      <c r="A531" s="2113"/>
      <c r="B531" s="2113"/>
      <c r="C531" s="2100"/>
      <c r="D531" s="2114"/>
      <c r="E531" s="1508"/>
      <c r="F531" s="2472"/>
      <c r="G531" s="2113"/>
      <c r="H531" s="2477"/>
      <c r="I531" s="1794"/>
      <c r="J531" s="1687"/>
      <c r="K531" s="2492"/>
      <c r="L531" s="2109"/>
      <c r="M531" s="100"/>
      <c r="N531" s="2109"/>
      <c r="O531" s="2109"/>
      <c r="P531" s="2486"/>
      <c r="Q531" s="2488"/>
      <c r="R531" s="2493"/>
      <c r="S531" s="2494"/>
      <c r="T531" s="2495"/>
      <c r="U531" s="2494"/>
      <c r="V531" s="2494"/>
      <c r="W531" s="1794"/>
      <c r="X531" s="1791"/>
      <c r="Y531" s="2496"/>
      <c r="Z531" s="1794"/>
      <c r="AA531" s="2497"/>
      <c r="AB531" s="2498"/>
      <c r="AC531" s="2491"/>
      <c r="AD531" s="2536"/>
      <c r="AH531" s="2482"/>
      <c r="AI531" s="2538"/>
      <c r="AJ531" s="2539"/>
    </row>
    <row r="532" spans="1:36" ht="18" customHeight="1" thickTop="1" x14ac:dyDescent="0.2">
      <c r="A532" s="2113"/>
      <c r="B532" s="2113"/>
      <c r="C532" s="2100"/>
      <c r="D532" s="2114"/>
      <c r="E532" s="1508"/>
      <c r="F532" s="2472"/>
      <c r="G532" s="2113"/>
      <c r="H532" s="2477"/>
      <c r="I532" s="1794"/>
      <c r="J532" s="1687"/>
      <c r="K532" s="2492"/>
      <c r="L532" s="2109"/>
      <c r="M532" s="100"/>
      <c r="N532" s="2109"/>
      <c r="O532" s="2109"/>
      <c r="P532" s="2486"/>
      <c r="Q532" s="2488"/>
      <c r="R532" s="2493"/>
      <c r="S532" s="2494"/>
      <c r="T532" s="2495"/>
      <c r="U532" s="2494"/>
      <c r="V532" s="2494"/>
      <c r="W532" s="1794"/>
      <c r="X532" s="1791"/>
      <c r="Y532" s="2496"/>
      <c r="Z532" s="1794"/>
      <c r="AA532" s="2497"/>
      <c r="AB532" s="2498"/>
      <c r="AC532" s="2491"/>
      <c r="AD532" s="2536"/>
      <c r="AH532" s="2482"/>
    </row>
    <row r="533" spans="1:36" ht="18" customHeight="1" x14ac:dyDescent="0.2">
      <c r="A533" s="2113"/>
      <c r="B533" s="2113"/>
      <c r="C533" s="2100"/>
      <c r="D533" s="2114"/>
      <c r="E533" s="1508"/>
      <c r="F533" s="2472"/>
      <c r="G533" s="2113"/>
      <c r="H533" s="2477"/>
      <c r="I533" s="1794"/>
      <c r="J533" s="1687"/>
      <c r="K533" s="2492"/>
      <c r="L533" s="2109"/>
      <c r="M533" s="100"/>
      <c r="N533" s="2109"/>
      <c r="O533" s="2109"/>
      <c r="P533" s="2486"/>
      <c r="Q533" s="2488"/>
      <c r="R533" s="2493"/>
      <c r="S533" s="2494"/>
      <c r="T533" s="2495"/>
      <c r="U533" s="2494"/>
      <c r="V533" s="2494"/>
      <c r="W533" s="1794"/>
      <c r="X533" s="1791"/>
      <c r="Y533" s="2496"/>
      <c r="Z533" s="1794"/>
      <c r="AA533" s="2497"/>
      <c r="AB533" s="2498"/>
      <c r="AC533" s="2491"/>
      <c r="AD533" s="2536"/>
      <c r="AH533" s="2482"/>
    </row>
    <row r="534" spans="1:36" ht="18" customHeight="1" x14ac:dyDescent="0.2">
      <c r="A534" s="2113"/>
      <c r="B534" s="2113"/>
      <c r="C534" s="2100"/>
      <c r="D534" s="2114"/>
      <c r="E534" s="1508"/>
      <c r="F534" s="2472"/>
      <c r="G534" s="2113"/>
      <c r="H534" s="2477"/>
      <c r="I534" s="1794"/>
      <c r="J534" s="1687"/>
      <c r="K534" s="2492"/>
      <c r="L534" s="2109"/>
      <c r="M534" s="100"/>
      <c r="N534" s="2109"/>
      <c r="O534" s="2109"/>
      <c r="P534" s="2486"/>
      <c r="Q534" s="2488"/>
      <c r="R534" s="2493"/>
      <c r="S534" s="2494"/>
      <c r="T534" s="2495"/>
      <c r="U534" s="2494"/>
      <c r="V534" s="2494"/>
      <c r="W534" s="1794"/>
      <c r="X534" s="1791"/>
      <c r="Y534" s="2496"/>
      <c r="Z534" s="1794"/>
      <c r="AA534" s="2497"/>
      <c r="AB534" s="2498"/>
      <c r="AC534" s="2491"/>
      <c r="AD534" s="2536"/>
      <c r="AH534" s="2482"/>
    </row>
    <row r="535" spans="1:36" ht="18" customHeight="1" x14ac:dyDescent="0.2">
      <c r="A535" s="2113"/>
      <c r="B535" s="2113"/>
      <c r="C535" s="2100"/>
      <c r="D535" s="2114"/>
      <c r="E535" s="1508"/>
      <c r="F535" s="2472"/>
      <c r="G535" s="2113"/>
      <c r="H535" s="2477"/>
      <c r="I535" s="1794"/>
      <c r="J535" s="1687"/>
      <c r="K535" s="2492"/>
      <c r="L535" s="2109"/>
      <c r="M535" s="100"/>
      <c r="N535" s="2109"/>
      <c r="O535" s="2109"/>
      <c r="P535" s="2486"/>
      <c r="Q535" s="2488"/>
      <c r="R535" s="2493"/>
      <c r="S535" s="2494"/>
      <c r="T535" s="2495"/>
      <c r="U535" s="2494"/>
      <c r="V535" s="2494"/>
      <c r="W535" s="1794"/>
      <c r="X535" s="1791"/>
      <c r="Y535" s="2496"/>
      <c r="Z535" s="1794"/>
      <c r="AA535" s="2497"/>
      <c r="AB535" s="2498"/>
      <c r="AC535" s="2491"/>
      <c r="AD535" s="2536"/>
      <c r="AH535" s="2482"/>
    </row>
    <row r="536" spans="1:36" ht="18" customHeight="1" x14ac:dyDescent="0.2">
      <c r="A536" s="2113"/>
      <c r="B536" s="2113"/>
      <c r="C536" s="2100"/>
      <c r="D536" s="2114"/>
      <c r="E536" s="1508"/>
      <c r="F536" s="2472"/>
      <c r="G536" s="2113"/>
      <c r="H536" s="2477"/>
      <c r="I536" s="1794"/>
      <c r="J536" s="1687"/>
      <c r="K536" s="2492"/>
      <c r="L536" s="2109"/>
      <c r="M536" s="100"/>
      <c r="N536" s="2109"/>
      <c r="O536" s="2109"/>
      <c r="P536" s="2486"/>
      <c r="Q536" s="2488"/>
      <c r="R536" s="2493"/>
      <c r="S536" s="2494"/>
      <c r="T536" s="2495"/>
      <c r="U536" s="2494"/>
      <c r="V536" s="2494"/>
      <c r="W536" s="1794"/>
      <c r="X536" s="1791"/>
      <c r="Y536" s="2496"/>
      <c r="Z536" s="1794"/>
      <c r="AA536" s="2497"/>
      <c r="AB536" s="2498"/>
      <c r="AC536" s="2491"/>
      <c r="AD536" s="2536"/>
      <c r="AH536" s="2482"/>
    </row>
    <row r="537" spans="1:36" ht="18" customHeight="1" x14ac:dyDescent="0.2">
      <c r="A537" s="2113"/>
      <c r="B537" s="2113"/>
      <c r="C537" s="2100"/>
      <c r="D537" s="2114"/>
      <c r="E537" s="1508"/>
      <c r="F537" s="2472"/>
      <c r="G537" s="2113"/>
      <c r="H537" s="2477"/>
      <c r="I537" s="1794"/>
      <c r="J537" s="1687"/>
      <c r="K537" s="2492"/>
      <c r="L537" s="2109"/>
      <c r="M537" s="100"/>
      <c r="N537" s="2109"/>
      <c r="O537" s="2109"/>
      <c r="P537" s="2486"/>
      <c r="Q537" s="2488"/>
      <c r="R537" s="2493"/>
      <c r="S537" s="2494"/>
      <c r="T537" s="2495"/>
      <c r="U537" s="2494"/>
      <c r="V537" s="2494"/>
      <c r="W537" s="1794"/>
      <c r="X537" s="1791"/>
      <c r="Y537" s="2496"/>
      <c r="Z537" s="1794"/>
      <c r="AA537" s="2497"/>
      <c r="AB537" s="2498"/>
      <c r="AC537" s="2491"/>
      <c r="AD537" s="2536"/>
      <c r="AH537" s="2491"/>
    </row>
    <row r="538" spans="1:36" ht="18" customHeight="1" x14ac:dyDescent="0.2">
      <c r="A538" s="2113"/>
      <c r="B538" s="2113"/>
      <c r="C538" s="2100"/>
      <c r="D538" s="2114"/>
      <c r="E538" s="1508"/>
      <c r="F538" s="2472"/>
      <c r="G538" s="2113"/>
      <c r="H538" s="2477"/>
      <c r="I538" s="1794"/>
      <c r="J538" s="1687"/>
      <c r="K538" s="2492"/>
      <c r="L538" s="2109"/>
      <c r="M538" s="100"/>
      <c r="N538" s="2109"/>
      <c r="O538" s="2109"/>
      <c r="P538" s="2486"/>
      <c r="Q538" s="2488"/>
      <c r="R538" s="2493"/>
      <c r="S538" s="2494"/>
      <c r="T538" s="2495"/>
      <c r="U538" s="2494"/>
      <c r="V538" s="2494"/>
      <c r="W538" s="1794"/>
      <c r="X538" s="1791"/>
      <c r="Y538" s="2496"/>
      <c r="Z538" s="1794"/>
      <c r="AA538" s="2497"/>
      <c r="AB538" s="2498"/>
      <c r="AC538" s="2491"/>
      <c r="AD538" s="2536"/>
      <c r="AH538" s="2546"/>
    </row>
    <row r="539" spans="1:36" ht="18" customHeight="1" x14ac:dyDescent="0.2">
      <c r="A539" s="2113"/>
      <c r="B539" s="2113"/>
      <c r="C539" s="2100"/>
      <c r="D539" s="2114"/>
      <c r="E539" s="1508"/>
      <c r="F539" s="2472"/>
      <c r="G539" s="2113"/>
      <c r="H539" s="2477"/>
      <c r="I539" s="1794"/>
      <c r="J539" s="1687"/>
      <c r="K539" s="2492"/>
      <c r="L539" s="2109"/>
      <c r="M539" s="100"/>
      <c r="N539" s="2109"/>
      <c r="O539" s="2109"/>
      <c r="P539" s="2486"/>
      <c r="Q539" s="2488"/>
      <c r="R539" s="2493"/>
      <c r="S539" s="2494"/>
      <c r="T539" s="2495"/>
      <c r="U539" s="2494"/>
      <c r="V539" s="2494"/>
      <c r="W539" s="1794"/>
      <c r="X539" s="1791"/>
      <c r="Y539" s="2496"/>
      <c r="Z539" s="1794"/>
      <c r="AA539" s="2497"/>
      <c r="AB539" s="2498"/>
      <c r="AC539" s="2491"/>
      <c r="AD539" s="2536"/>
      <c r="AH539" s="2491"/>
    </row>
    <row r="540" spans="1:36" ht="18" customHeight="1" thickBot="1" x14ac:dyDescent="0.25">
      <c r="A540" s="34"/>
      <c r="B540" s="34"/>
      <c r="C540" s="34"/>
      <c r="D540" s="34"/>
      <c r="E540" s="34"/>
      <c r="F540" s="34"/>
      <c r="G540" s="34"/>
      <c r="H540" s="35"/>
      <c r="I540" s="36"/>
      <c r="J540" s="37"/>
      <c r="K540" s="2562"/>
      <c r="L540" s="2562"/>
      <c r="M540" s="2562"/>
      <c r="N540" s="2562"/>
      <c r="O540" s="2562"/>
      <c r="P540" s="2562"/>
      <c r="Q540" s="2562"/>
      <c r="R540" s="2563"/>
      <c r="S540" s="2562"/>
      <c r="T540" s="38"/>
      <c r="U540" s="2564"/>
      <c r="V540" s="2562"/>
      <c r="W540" s="2839"/>
      <c r="X540" s="2840"/>
      <c r="Y540" s="2841"/>
      <c r="Z540" s="2612">
        <f>SUM(Z521:Z539)</f>
        <v>18378000</v>
      </c>
      <c r="AA540" s="2613"/>
      <c r="AB540" s="2613"/>
      <c r="AC540" s="2614">
        <f>SUM(AC521:AC539)</f>
        <v>55134</v>
      </c>
      <c r="AD540" s="2614">
        <f t="shared" ref="AD540:AG540" si="100">SUM(AD521:AD539)</f>
        <v>0</v>
      </c>
      <c r="AE540" s="2614">
        <f t="shared" si="100"/>
        <v>0</v>
      </c>
      <c r="AF540" s="2614">
        <f t="shared" si="100"/>
        <v>0</v>
      </c>
      <c r="AG540" s="2614">
        <f t="shared" si="100"/>
        <v>0</v>
      </c>
      <c r="AH540" s="2614"/>
    </row>
    <row r="541" spans="1:36" ht="18" customHeight="1" thickTop="1" x14ac:dyDescent="0.25">
      <c r="A541" s="2842" t="s">
        <v>76</v>
      </c>
      <c r="B541" s="2842"/>
      <c r="C541" s="2843" t="s">
        <v>77</v>
      </c>
      <c r="D541" s="2843"/>
      <c r="E541" s="2843"/>
      <c r="F541" s="2843"/>
      <c r="G541" s="2843"/>
      <c r="H541" s="2843"/>
      <c r="I541" s="2567" t="s">
        <v>78</v>
      </c>
      <c r="J541" s="2567"/>
      <c r="K541" s="2567"/>
      <c r="L541" s="2567"/>
      <c r="M541" s="2567"/>
      <c r="N541" s="2567"/>
      <c r="AC541" s="2476"/>
    </row>
    <row r="542" spans="1:36" ht="18" customHeight="1" x14ac:dyDescent="0.25">
      <c r="A542" s="2568"/>
      <c r="B542" s="2569"/>
      <c r="C542" s="2567"/>
      <c r="D542" s="2567"/>
      <c r="E542" s="2567"/>
      <c r="F542" s="2567"/>
      <c r="G542" s="2567"/>
      <c r="H542" s="2567"/>
      <c r="I542" s="2567" t="s">
        <v>79</v>
      </c>
      <c r="J542" s="2567"/>
      <c r="K542" s="2567"/>
      <c r="L542" s="2567"/>
      <c r="M542" s="2567"/>
      <c r="N542" s="2567"/>
      <c r="Z542" s="2539"/>
      <c r="AC542" s="2675"/>
    </row>
    <row r="543" spans="1:36" ht="18" customHeight="1" x14ac:dyDescent="0.25">
      <c r="A543" s="2568"/>
      <c r="B543" s="2569"/>
      <c r="C543" s="2567"/>
      <c r="D543" s="2567"/>
      <c r="E543" s="2567"/>
      <c r="F543" s="2567"/>
      <c r="G543" s="2567"/>
      <c r="H543" s="2567"/>
      <c r="I543" s="2567" t="s">
        <v>80</v>
      </c>
      <c r="J543" s="2567"/>
      <c r="K543" s="2567"/>
      <c r="L543" s="2567"/>
      <c r="M543" s="2567"/>
      <c r="N543" s="2567"/>
      <c r="AC543" s="2476"/>
    </row>
    <row r="544" spans="1:36" ht="18" customHeight="1" x14ac:dyDescent="0.25">
      <c r="A544" s="2568"/>
      <c r="B544" s="2569"/>
      <c r="C544" s="2567"/>
      <c r="D544" s="2567"/>
      <c r="E544" s="2567"/>
      <c r="F544" s="2567"/>
      <c r="G544" s="2567"/>
      <c r="H544" s="2567"/>
      <c r="I544" s="2567" t="s">
        <v>81</v>
      </c>
      <c r="J544" s="2567"/>
      <c r="K544" s="2567"/>
      <c r="L544" s="2567"/>
      <c r="M544" s="2567"/>
      <c r="N544" s="2567"/>
      <c r="AC544" s="2476"/>
    </row>
    <row r="545" spans="1:35" ht="18" customHeight="1" x14ac:dyDescent="0.25">
      <c r="A545" s="2568"/>
      <c r="B545" s="2569"/>
      <c r="C545" s="2567"/>
      <c r="D545" s="2567"/>
      <c r="E545" s="2567"/>
      <c r="F545" s="2567"/>
      <c r="G545" s="2567"/>
      <c r="H545" s="2567"/>
      <c r="I545" s="2567" t="s">
        <v>88</v>
      </c>
      <c r="J545" s="2567"/>
      <c r="K545" s="2567"/>
      <c r="L545" s="2567"/>
      <c r="M545" s="2567"/>
      <c r="N545" s="2567"/>
      <c r="AC545" s="2476"/>
      <c r="AI545"/>
    </row>
    <row r="546" spans="1:35" ht="18" customHeight="1" x14ac:dyDescent="0.25">
      <c r="A546" s="2568"/>
      <c r="B546" s="2569"/>
      <c r="C546" s="2567"/>
      <c r="D546" s="2567"/>
      <c r="E546" s="2567"/>
      <c r="F546" s="2567"/>
      <c r="G546" s="2567"/>
      <c r="H546" s="2567"/>
      <c r="I546" s="2567"/>
      <c r="J546" s="2567"/>
      <c r="K546" s="2567"/>
      <c r="L546" s="2567"/>
      <c r="M546" s="2567"/>
      <c r="N546" s="2567"/>
      <c r="AC546" s="2476"/>
      <c r="AI546"/>
    </row>
    <row r="547" spans="1:35" ht="18" customHeight="1" x14ac:dyDescent="0.25">
      <c r="A547" s="2568"/>
      <c r="B547" s="2569"/>
      <c r="C547" s="2567"/>
      <c r="D547" s="2567"/>
      <c r="E547" s="2567"/>
      <c r="F547" s="2567"/>
      <c r="G547" s="2567"/>
      <c r="H547" s="2567"/>
      <c r="I547" s="2567"/>
      <c r="J547" s="2567"/>
      <c r="K547" s="2567"/>
      <c r="L547" s="2567"/>
      <c r="M547" s="2567"/>
      <c r="N547" s="2567"/>
      <c r="AC547" s="2476"/>
      <c r="AI547"/>
    </row>
    <row r="548" spans="1:35" ht="18" customHeight="1" x14ac:dyDescent="0.25">
      <c r="A548" s="2568"/>
      <c r="B548" s="2569"/>
      <c r="C548" s="2567"/>
      <c r="D548" s="2567"/>
      <c r="E548" s="2567"/>
      <c r="F548" s="2567"/>
      <c r="G548" s="2567"/>
      <c r="H548" s="2567"/>
      <c r="I548" s="2567"/>
      <c r="J548" s="2567"/>
      <c r="K548" s="2567"/>
      <c r="L548" s="2567"/>
      <c r="M548" s="2567"/>
      <c r="N548" s="2567"/>
      <c r="AC548" s="2476"/>
      <c r="AI548"/>
    </row>
    <row r="549" spans="1:35" ht="18" customHeight="1" x14ac:dyDescent="0.25">
      <c r="A549" s="2568"/>
      <c r="B549" s="2569"/>
      <c r="C549" s="2567"/>
      <c r="D549" s="2567"/>
      <c r="E549" s="2567"/>
      <c r="F549" s="2567"/>
      <c r="G549" s="2567"/>
      <c r="H549" s="2567"/>
      <c r="I549" s="2567"/>
      <c r="J549" s="2567"/>
      <c r="K549" s="2567"/>
      <c r="L549" s="2567"/>
      <c r="M549" s="2567"/>
      <c r="N549" s="2567"/>
      <c r="AC549" s="2476"/>
      <c r="AI549"/>
    </row>
    <row r="550" spans="1:35" ht="18" customHeight="1" x14ac:dyDescent="0.25">
      <c r="A550" s="2568"/>
      <c r="B550" s="2569"/>
      <c r="C550" s="2567"/>
      <c r="D550" s="2567"/>
      <c r="E550" s="2567"/>
      <c r="F550" s="2567"/>
      <c r="G550" s="2567"/>
      <c r="H550" s="2567"/>
      <c r="I550" s="2567"/>
      <c r="J550" s="2567"/>
      <c r="K550" s="2567"/>
      <c r="L550" s="2567"/>
      <c r="M550" s="2567"/>
      <c r="N550" s="2567"/>
      <c r="AC550" s="2476"/>
      <c r="AI550"/>
    </row>
    <row r="551" spans="1:35" ht="18" customHeight="1" x14ac:dyDescent="0.25">
      <c r="A551" s="2568"/>
      <c r="B551" s="2569"/>
      <c r="C551" s="2567"/>
      <c r="D551" s="2567"/>
      <c r="E551" s="2567"/>
      <c r="F551" s="2567"/>
      <c r="G551" s="2567"/>
      <c r="H551" s="2567"/>
      <c r="I551" s="2567"/>
      <c r="J551" s="2567"/>
      <c r="K551" s="2567"/>
      <c r="L551" s="2567"/>
      <c r="M551" s="2567"/>
      <c r="N551" s="2567"/>
      <c r="AC551" s="2476"/>
      <c r="AI551"/>
    </row>
    <row r="552" spans="1:35" ht="18" customHeight="1" x14ac:dyDescent="0.25">
      <c r="A552" s="2568"/>
      <c r="B552" s="2569"/>
      <c r="C552" s="2567"/>
      <c r="D552" s="2567"/>
      <c r="E552" s="2567"/>
      <c r="F552" s="2567"/>
      <c r="G552" s="2567"/>
      <c r="H552" s="2567"/>
      <c r="I552" s="2567"/>
      <c r="J552" s="2567"/>
      <c r="K552" s="2567"/>
      <c r="L552" s="2567"/>
      <c r="M552" s="2567"/>
      <c r="N552" s="2567"/>
      <c r="AC552" s="2476"/>
      <c r="AI552"/>
    </row>
    <row r="553" spans="1:35" ht="18" customHeight="1" x14ac:dyDescent="0.25">
      <c r="A553" s="2568"/>
      <c r="B553" s="2569"/>
      <c r="C553" s="2567"/>
      <c r="D553" s="2567"/>
      <c r="E553" s="2567"/>
      <c r="F553" s="2567"/>
      <c r="G553" s="2567"/>
      <c r="H553" s="2567"/>
      <c r="I553" s="2567"/>
      <c r="J553" s="2567"/>
      <c r="K553" s="2567"/>
      <c r="L553" s="2567"/>
      <c r="M553" s="2567"/>
      <c r="N553" s="2567"/>
      <c r="AA553" s="2471" t="s">
        <v>0</v>
      </c>
      <c r="AB553" s="2471"/>
      <c r="AC553" s="2667"/>
      <c r="AD553" s="2471"/>
      <c r="AI553"/>
    </row>
    <row r="554" spans="1:35" ht="18" customHeight="1" x14ac:dyDescent="0.2">
      <c r="A554" s="2707" t="s">
        <v>1</v>
      </c>
      <c r="B554" s="2707"/>
      <c r="C554" s="2707"/>
      <c r="D554" s="2707"/>
      <c r="E554" s="2707"/>
      <c r="F554" s="2707"/>
      <c r="G554" s="2707"/>
      <c r="H554" s="2707"/>
      <c r="I554" s="2707"/>
      <c r="J554" s="2707"/>
      <c r="K554" s="2707"/>
      <c r="L554" s="2707"/>
      <c r="M554" s="2707"/>
      <c r="N554" s="2707"/>
      <c r="O554" s="2707"/>
      <c r="P554" s="2707"/>
      <c r="Q554" s="2707"/>
      <c r="R554" s="2707"/>
      <c r="S554" s="2707"/>
      <c r="T554" s="2707"/>
      <c r="U554" s="2707"/>
      <c r="V554" s="2707"/>
      <c r="W554" s="2707"/>
      <c r="X554" s="2707"/>
      <c r="Y554" s="2707"/>
      <c r="Z554" s="2707"/>
      <c r="AA554" s="2707"/>
      <c r="AB554" s="2707"/>
      <c r="AC554" s="2707"/>
      <c r="AI554"/>
    </row>
    <row r="555" spans="1:35" ht="18" customHeight="1" x14ac:dyDescent="0.2">
      <c r="A555" s="2846" t="s">
        <v>984</v>
      </c>
      <c r="B555" s="2846"/>
      <c r="C555" s="2846"/>
      <c r="D555" s="2846"/>
      <c r="E555" s="2846"/>
      <c r="F555" s="2846"/>
      <c r="G555" s="2846"/>
      <c r="H555" s="2846"/>
      <c r="I555" s="2846"/>
      <c r="J555" s="2846"/>
      <c r="K555" s="2846"/>
      <c r="L555" s="2846"/>
      <c r="M555" s="2846"/>
      <c r="N555" s="2846"/>
      <c r="O555" s="2846"/>
      <c r="P555" s="2846"/>
      <c r="Q555" s="2846"/>
      <c r="R555" s="2846"/>
      <c r="S555" s="2846"/>
      <c r="T555" s="2846"/>
      <c r="U555" s="2846"/>
      <c r="V555" s="2846"/>
      <c r="W555" s="2846"/>
      <c r="X555" s="2846"/>
      <c r="Y555" s="2846"/>
      <c r="Z555" s="2846"/>
      <c r="AA555" s="2846"/>
      <c r="AB555" s="2846"/>
      <c r="AC555" s="2846"/>
      <c r="AD555" s="2192"/>
      <c r="AI555"/>
    </row>
    <row r="556" spans="1:35" ht="18" customHeight="1" x14ac:dyDescent="0.25">
      <c r="A556" s="2709" t="s">
        <v>2</v>
      </c>
      <c r="B556" s="2572"/>
      <c r="C556" s="2709" t="s">
        <v>3</v>
      </c>
      <c r="D556" s="2572"/>
      <c r="E556" s="2572"/>
      <c r="F556" s="2712" t="s">
        <v>4</v>
      </c>
      <c r="G556" s="2712"/>
      <c r="H556" s="2712"/>
      <c r="I556" s="2713"/>
      <c r="J556" s="2713"/>
      <c r="K556" s="2714"/>
      <c r="L556" s="2"/>
      <c r="M556" s="2715" t="s">
        <v>5</v>
      </c>
      <c r="N556" s="2715"/>
      <c r="O556" s="2715"/>
      <c r="P556" s="2715"/>
      <c r="Q556" s="2716"/>
      <c r="R556" s="2716"/>
      <c r="S556" s="2716"/>
      <c r="T556" s="2716"/>
      <c r="U556" s="2716"/>
      <c r="V556" s="2717"/>
      <c r="W556" s="2573" t="s">
        <v>6</v>
      </c>
      <c r="X556" s="2574" t="s">
        <v>7</v>
      </c>
      <c r="Y556" s="2575"/>
      <c r="Z556" s="2575"/>
      <c r="AA556" s="2574"/>
      <c r="AB556" s="2574"/>
      <c r="AC556" s="2576"/>
      <c r="AD556" s="2221" t="s">
        <v>8</v>
      </c>
      <c r="AH556" s="2845" t="s">
        <v>76</v>
      </c>
      <c r="AI556"/>
    </row>
    <row r="557" spans="1:35" ht="18" customHeight="1" x14ac:dyDescent="0.2">
      <c r="A557" s="2710"/>
      <c r="B557" s="4"/>
      <c r="C557" s="2710"/>
      <c r="D557" s="2577" t="s">
        <v>9</v>
      </c>
      <c r="E557" s="2578" t="s">
        <v>10</v>
      </c>
      <c r="F557" s="2718" t="s">
        <v>11</v>
      </c>
      <c r="G557" s="2713"/>
      <c r="H557" s="2714"/>
      <c r="I557" s="2572"/>
      <c r="J557" s="2579" t="s">
        <v>12</v>
      </c>
      <c r="K557" s="2572"/>
      <c r="L557" s="2715" t="s">
        <v>2</v>
      </c>
      <c r="M557" s="2580"/>
      <c r="N557" s="2580"/>
      <c r="O557" s="2580"/>
      <c r="P557" s="2581"/>
      <c r="Q557" s="2582" t="s">
        <v>13</v>
      </c>
      <c r="R557" s="2583" t="s">
        <v>12</v>
      </c>
      <c r="S557" s="2580" t="s">
        <v>6</v>
      </c>
      <c r="T557" s="2724" t="s">
        <v>14</v>
      </c>
      <c r="U557" s="2725"/>
      <c r="V557" s="2584" t="s">
        <v>7</v>
      </c>
      <c r="W557" s="2585" t="s">
        <v>15</v>
      </c>
      <c r="X557" s="2586" t="s">
        <v>16</v>
      </c>
      <c r="Y557" s="2586" t="s">
        <v>17</v>
      </c>
      <c r="Z557" s="2586" t="s">
        <v>18</v>
      </c>
      <c r="AA557" s="5"/>
      <c r="AB557" s="5"/>
      <c r="AC557" s="55" t="s">
        <v>19</v>
      </c>
      <c r="AD557" s="2223" t="s">
        <v>20</v>
      </c>
      <c r="AH557" s="2845"/>
      <c r="AI557"/>
    </row>
    <row r="558" spans="1:35" ht="18" customHeight="1" x14ac:dyDescent="0.2">
      <c r="A558" s="2710"/>
      <c r="B558" s="2454" t="s">
        <v>23</v>
      </c>
      <c r="C558" s="2710"/>
      <c r="D558" s="2577" t="s">
        <v>24</v>
      </c>
      <c r="E558" s="2578" t="s">
        <v>25</v>
      </c>
      <c r="F558" s="2719"/>
      <c r="G558" s="2720"/>
      <c r="H558" s="2721"/>
      <c r="I558" s="2577" t="s">
        <v>26</v>
      </c>
      <c r="J558" s="2587" t="s">
        <v>15</v>
      </c>
      <c r="K558" s="2588" t="s">
        <v>6</v>
      </c>
      <c r="L558" s="2722"/>
      <c r="M558" s="2589" t="s">
        <v>27</v>
      </c>
      <c r="N558" s="2589" t="s">
        <v>10</v>
      </c>
      <c r="O558" s="2590" t="s">
        <v>10</v>
      </c>
      <c r="P558" s="2591" t="s">
        <v>28</v>
      </c>
      <c r="Q558" s="2592" t="s">
        <v>29</v>
      </c>
      <c r="R558" s="2591" t="s">
        <v>15</v>
      </c>
      <c r="S558" s="8" t="s">
        <v>15</v>
      </c>
      <c r="T558" s="2726"/>
      <c r="U558" s="2727"/>
      <c r="V558" s="2584" t="s">
        <v>30</v>
      </c>
      <c r="W558" s="2585" t="s">
        <v>31</v>
      </c>
      <c r="X558" s="2586" t="s">
        <v>30</v>
      </c>
      <c r="Y558" s="2586" t="s">
        <v>32</v>
      </c>
      <c r="Z558" s="2586" t="s">
        <v>7</v>
      </c>
      <c r="AA558" s="5" t="s">
        <v>33</v>
      </c>
      <c r="AB558" s="5"/>
      <c r="AC558" s="55" t="s">
        <v>34</v>
      </c>
      <c r="AD558" s="2223" t="s">
        <v>35</v>
      </c>
      <c r="AH558" s="2845"/>
      <c r="AI558"/>
    </row>
    <row r="559" spans="1:35" ht="18" customHeight="1" x14ac:dyDescent="0.2">
      <c r="A559" s="2710"/>
      <c r="B559" s="2454" t="s">
        <v>39</v>
      </c>
      <c r="C559" s="2710"/>
      <c r="D559" s="2577" t="s">
        <v>40</v>
      </c>
      <c r="E559" s="2578" t="s">
        <v>41</v>
      </c>
      <c r="F559" s="2709" t="s">
        <v>42</v>
      </c>
      <c r="G559" s="2709" t="s">
        <v>43</v>
      </c>
      <c r="H559" s="2728" t="s">
        <v>44</v>
      </c>
      <c r="I559" s="2577" t="s">
        <v>45</v>
      </c>
      <c r="J559" s="2587" t="s">
        <v>46</v>
      </c>
      <c r="K559" s="2588" t="s">
        <v>47</v>
      </c>
      <c r="L559" s="2722"/>
      <c r="M559" s="2589" t="s">
        <v>30</v>
      </c>
      <c r="N559" s="2589" t="s">
        <v>30</v>
      </c>
      <c r="O559" s="2590" t="s">
        <v>25</v>
      </c>
      <c r="P559" s="2591" t="s">
        <v>30</v>
      </c>
      <c r="Q559" s="2592" t="s">
        <v>48</v>
      </c>
      <c r="R559" s="2591" t="s">
        <v>49</v>
      </c>
      <c r="S559" s="8" t="s">
        <v>30</v>
      </c>
      <c r="T559" s="2593" t="s">
        <v>50</v>
      </c>
      <c r="U559" s="2594" t="s">
        <v>13</v>
      </c>
      <c r="V559" s="2584" t="s">
        <v>51</v>
      </c>
      <c r="W559" s="2585" t="s">
        <v>52</v>
      </c>
      <c r="X559" s="2586" t="s">
        <v>53</v>
      </c>
      <c r="Y559" s="2586" t="s">
        <v>54</v>
      </c>
      <c r="Z559" s="2586" t="s">
        <v>55</v>
      </c>
      <c r="AA559" s="5" t="s">
        <v>56</v>
      </c>
      <c r="AB559" s="5"/>
      <c r="AC559" s="55" t="s">
        <v>57</v>
      </c>
      <c r="AD559" s="6" t="s">
        <v>58</v>
      </c>
      <c r="AH559" s="2845"/>
      <c r="AI559"/>
    </row>
    <row r="560" spans="1:35" ht="18" customHeight="1" x14ac:dyDescent="0.25">
      <c r="A560" s="2710"/>
      <c r="B560" s="2454" t="s">
        <v>61</v>
      </c>
      <c r="C560" s="2710"/>
      <c r="D560" s="2577" t="s">
        <v>62</v>
      </c>
      <c r="E560" s="2578" t="s">
        <v>63</v>
      </c>
      <c r="F560" s="2710"/>
      <c r="G560" s="2710"/>
      <c r="H560" s="2729"/>
      <c r="I560" s="2577" t="s">
        <v>64</v>
      </c>
      <c r="J560" s="2587" t="s">
        <v>59</v>
      </c>
      <c r="K560" s="2588" t="s">
        <v>59</v>
      </c>
      <c r="L560" s="2722"/>
      <c r="M560" s="2589"/>
      <c r="N560" s="2589"/>
      <c r="O560" s="2590" t="s">
        <v>41</v>
      </c>
      <c r="P560" s="2591" t="s">
        <v>65</v>
      </c>
      <c r="Q560" s="2592" t="s">
        <v>66</v>
      </c>
      <c r="R560" s="2591" t="s">
        <v>67</v>
      </c>
      <c r="S560" s="8" t="s">
        <v>59</v>
      </c>
      <c r="T560" s="2595" t="s">
        <v>68</v>
      </c>
      <c r="U560" s="2584" t="s">
        <v>14</v>
      </c>
      <c r="V560" s="2584" t="s">
        <v>14</v>
      </c>
      <c r="W560" s="2585" t="s">
        <v>30</v>
      </c>
      <c r="X560" s="2596" t="s">
        <v>69</v>
      </c>
      <c r="Y560" s="2596" t="s">
        <v>70</v>
      </c>
      <c r="Z560" s="2586" t="s">
        <v>71</v>
      </c>
      <c r="AA560" s="5" t="s">
        <v>72</v>
      </c>
      <c r="AB560" s="5"/>
      <c r="AC560" s="2597" t="s">
        <v>59</v>
      </c>
      <c r="AD560" s="6" t="s">
        <v>59</v>
      </c>
      <c r="AH560" s="2845"/>
      <c r="AI560"/>
    </row>
    <row r="561" spans="1:35" ht="18" customHeight="1" x14ac:dyDescent="0.2">
      <c r="A561" s="2711"/>
      <c r="B561" s="9"/>
      <c r="C561" s="2711"/>
      <c r="D561" s="2598"/>
      <c r="E561" s="2599"/>
      <c r="F561" s="9"/>
      <c r="G561" s="9"/>
      <c r="H561" s="10"/>
      <c r="I561" s="2599"/>
      <c r="J561" s="2600"/>
      <c r="K561" s="2601"/>
      <c r="L561" s="2723"/>
      <c r="M561" s="2602"/>
      <c r="N561" s="2602"/>
      <c r="O561" s="2602" t="s">
        <v>63</v>
      </c>
      <c r="P561" s="2603"/>
      <c r="Q561" s="2604" t="s">
        <v>72</v>
      </c>
      <c r="R561" s="2605" t="s">
        <v>59</v>
      </c>
      <c r="S561" s="2606"/>
      <c r="T561" s="2605" t="s">
        <v>73</v>
      </c>
      <c r="U561" s="2606" t="s">
        <v>59</v>
      </c>
      <c r="V561" s="2607" t="s">
        <v>59</v>
      </c>
      <c r="W561" s="2608" t="s">
        <v>59</v>
      </c>
      <c r="X561" s="2609" t="s">
        <v>59</v>
      </c>
      <c r="Y561" s="2609" t="s">
        <v>59</v>
      </c>
      <c r="Z561" s="2609" t="s">
        <v>59</v>
      </c>
      <c r="AA561" s="11"/>
      <c r="AB561" s="11"/>
      <c r="AC561" s="56"/>
      <c r="AD561" s="12"/>
      <c r="AH561" s="2845"/>
      <c r="AI561"/>
    </row>
    <row r="562" spans="1:35" ht="18" customHeight="1" x14ac:dyDescent="0.2">
      <c r="A562" s="2674">
        <v>256</v>
      </c>
      <c r="B562" s="2113">
        <v>67756</v>
      </c>
      <c r="C562" s="2100" t="s">
        <v>964</v>
      </c>
      <c r="D562" s="2114" t="s">
        <v>245</v>
      </c>
      <c r="E562" s="1508">
        <v>2</v>
      </c>
      <c r="F562" s="2485">
        <v>0</v>
      </c>
      <c r="G562" s="2109">
        <v>0</v>
      </c>
      <c r="H562" s="2486">
        <v>81.5</v>
      </c>
      <c r="I562" s="1794">
        <f t="shared" ref="I562:I567" si="101">F562*400+G562*100+H562</f>
        <v>81.5</v>
      </c>
      <c r="J562" s="1687">
        <v>20000</v>
      </c>
      <c r="K562" s="2492">
        <f t="shared" ref="K562:K567" si="102">SUM(I562*J562)</f>
        <v>1630000</v>
      </c>
      <c r="L562" s="2109"/>
      <c r="M562" s="100">
        <v>105</v>
      </c>
      <c r="N562" s="2109" t="s">
        <v>74</v>
      </c>
      <c r="O562" s="2109">
        <v>100</v>
      </c>
      <c r="P562" s="2486">
        <v>195</v>
      </c>
      <c r="Q562" s="2488" t="s">
        <v>75</v>
      </c>
      <c r="R562" s="2101">
        <v>8800</v>
      </c>
      <c r="S562" s="2102">
        <f>+P562*R562</f>
        <v>1716000</v>
      </c>
      <c r="T562" s="2489">
        <v>3</v>
      </c>
      <c r="U562" s="2102">
        <f>+S562*T562/100</f>
        <v>51480</v>
      </c>
      <c r="V562" s="2102">
        <f>+S562-U562</f>
        <v>1664520</v>
      </c>
      <c r="W562" s="1794">
        <f>+K562+V562</f>
        <v>3294520</v>
      </c>
      <c r="X562" s="1791">
        <f t="shared" ref="X562:X567" si="103">+W562</f>
        <v>3294520</v>
      </c>
      <c r="Y562" s="2474"/>
      <c r="Z562" s="1794">
        <f t="shared" ref="Z562:Z567" si="104">+X562</f>
        <v>3294520</v>
      </c>
      <c r="AA562" s="2497">
        <v>0.3</v>
      </c>
      <c r="AB562" s="2498"/>
      <c r="AC562" s="2491">
        <f t="shared" ref="AC562:AC567" si="105">+Z562*AA562/100</f>
        <v>9883.56</v>
      </c>
      <c r="AD562" s="2535"/>
      <c r="AH562" s="2482"/>
      <c r="AI562"/>
    </row>
    <row r="563" spans="1:35" ht="18" customHeight="1" x14ac:dyDescent="0.2">
      <c r="A563" s="2674">
        <v>257</v>
      </c>
      <c r="B563" s="2113">
        <v>67757</v>
      </c>
      <c r="C563" s="2100" t="s">
        <v>965</v>
      </c>
      <c r="D563" s="2114" t="s">
        <v>245</v>
      </c>
      <c r="E563" s="1508">
        <v>2</v>
      </c>
      <c r="F563" s="2485">
        <v>0</v>
      </c>
      <c r="G563" s="2109">
        <v>0</v>
      </c>
      <c r="H563" s="2486">
        <v>76.5</v>
      </c>
      <c r="I563" s="1794">
        <f t="shared" si="101"/>
        <v>76.5</v>
      </c>
      <c r="J563" s="1687">
        <v>20000</v>
      </c>
      <c r="K563" s="2492">
        <f t="shared" si="102"/>
        <v>1530000</v>
      </c>
      <c r="L563" s="2109"/>
      <c r="M563" s="100">
        <v>105</v>
      </c>
      <c r="N563" s="2109" t="s">
        <v>74</v>
      </c>
      <c r="O563" s="2109">
        <v>100</v>
      </c>
      <c r="P563" s="2486">
        <v>197</v>
      </c>
      <c r="Q563" s="2488" t="s">
        <v>75</v>
      </c>
      <c r="R563" s="2101">
        <v>8800</v>
      </c>
      <c r="S563" s="2102">
        <f t="shared" ref="S563:S567" si="106">+P563*R563</f>
        <v>1733600</v>
      </c>
      <c r="T563" s="2489">
        <v>3</v>
      </c>
      <c r="U563" s="2102">
        <f t="shared" ref="U563:U567" si="107">+S563*T563/100</f>
        <v>52008</v>
      </c>
      <c r="V563" s="2102">
        <f t="shared" ref="V563:V567" si="108">+S563-U563</f>
        <v>1681592</v>
      </c>
      <c r="W563" s="1794">
        <f t="shared" ref="W563:W567" si="109">+K563+V563</f>
        <v>3211592</v>
      </c>
      <c r="X563" s="1791">
        <f t="shared" si="103"/>
        <v>3211592</v>
      </c>
      <c r="Y563" s="2474"/>
      <c r="Z563" s="1794">
        <f t="shared" si="104"/>
        <v>3211592</v>
      </c>
      <c r="AA563" s="2497">
        <v>0.3</v>
      </c>
      <c r="AB563" s="2498"/>
      <c r="AC563" s="2491">
        <f t="shared" si="105"/>
        <v>9634.7759999999998</v>
      </c>
      <c r="AD563" s="2536"/>
      <c r="AH563" s="2482"/>
      <c r="AI563"/>
    </row>
    <row r="564" spans="1:35" ht="18" customHeight="1" x14ac:dyDescent="0.2">
      <c r="A564" s="2674">
        <v>258</v>
      </c>
      <c r="B564" s="2113">
        <v>67789</v>
      </c>
      <c r="C564" s="2100" t="s">
        <v>963</v>
      </c>
      <c r="D564" s="2114" t="s">
        <v>245</v>
      </c>
      <c r="E564" s="1508">
        <v>2</v>
      </c>
      <c r="F564" s="2472">
        <v>0</v>
      </c>
      <c r="G564" s="2113">
        <v>0</v>
      </c>
      <c r="H564" s="2477">
        <v>62</v>
      </c>
      <c r="I564" s="1794">
        <f t="shared" si="101"/>
        <v>62</v>
      </c>
      <c r="J564" s="1687">
        <v>20000</v>
      </c>
      <c r="K564" s="2492">
        <f t="shared" si="102"/>
        <v>1240000</v>
      </c>
      <c r="L564" s="2109"/>
      <c r="M564" s="100">
        <v>105</v>
      </c>
      <c r="N564" s="2109" t="s">
        <v>74</v>
      </c>
      <c r="O564" s="2109">
        <v>100</v>
      </c>
      <c r="P564" s="2486">
        <v>186</v>
      </c>
      <c r="Q564" s="2488" t="s">
        <v>75</v>
      </c>
      <c r="R564" s="2101">
        <v>8800</v>
      </c>
      <c r="S564" s="2102">
        <f t="shared" si="106"/>
        <v>1636800</v>
      </c>
      <c r="T564" s="2489">
        <v>3</v>
      </c>
      <c r="U564" s="2102">
        <f t="shared" si="107"/>
        <v>49104</v>
      </c>
      <c r="V564" s="2102">
        <f t="shared" si="108"/>
        <v>1587696</v>
      </c>
      <c r="W564" s="1794">
        <f t="shared" si="109"/>
        <v>2827696</v>
      </c>
      <c r="X564" s="1791">
        <f t="shared" si="103"/>
        <v>2827696</v>
      </c>
      <c r="Y564" s="2474"/>
      <c r="Z564" s="1794">
        <f t="shared" si="104"/>
        <v>2827696</v>
      </c>
      <c r="AA564" s="2497">
        <v>0.3</v>
      </c>
      <c r="AB564" s="2498"/>
      <c r="AC564" s="2491">
        <f t="shared" si="105"/>
        <v>8483.0879999999997</v>
      </c>
      <c r="AD564" s="2536"/>
      <c r="AH564" s="2482"/>
      <c r="AI564"/>
    </row>
    <row r="565" spans="1:35" ht="18" customHeight="1" x14ac:dyDescent="0.2">
      <c r="A565" s="2674">
        <v>259</v>
      </c>
      <c r="B565" s="2113">
        <v>67788</v>
      </c>
      <c r="C565" s="2100" t="s">
        <v>740</v>
      </c>
      <c r="D565" s="2114" t="s">
        <v>245</v>
      </c>
      <c r="E565" s="1508">
        <v>2</v>
      </c>
      <c r="F565" s="2472">
        <v>0</v>
      </c>
      <c r="G565" s="2113">
        <v>0</v>
      </c>
      <c r="H565" s="2477">
        <v>60</v>
      </c>
      <c r="I565" s="1794">
        <f t="shared" si="101"/>
        <v>60</v>
      </c>
      <c r="J565" s="1687">
        <v>20000</v>
      </c>
      <c r="K565" s="2492">
        <f t="shared" si="102"/>
        <v>1200000</v>
      </c>
      <c r="L565" s="2109"/>
      <c r="M565" s="100">
        <v>105</v>
      </c>
      <c r="N565" s="2109" t="s">
        <v>74</v>
      </c>
      <c r="O565" s="2109">
        <v>100</v>
      </c>
      <c r="P565" s="2486">
        <v>167</v>
      </c>
      <c r="Q565" s="2488" t="s">
        <v>75</v>
      </c>
      <c r="R565" s="2101">
        <v>8800</v>
      </c>
      <c r="S565" s="2102">
        <f t="shared" si="106"/>
        <v>1469600</v>
      </c>
      <c r="T565" s="2489">
        <v>3</v>
      </c>
      <c r="U565" s="2102">
        <f t="shared" si="107"/>
        <v>44088</v>
      </c>
      <c r="V565" s="2102">
        <f t="shared" si="108"/>
        <v>1425512</v>
      </c>
      <c r="W565" s="1794">
        <f t="shared" si="109"/>
        <v>2625512</v>
      </c>
      <c r="X565" s="1791">
        <f t="shared" si="103"/>
        <v>2625512</v>
      </c>
      <c r="Y565" s="2474"/>
      <c r="Z565" s="1794">
        <f t="shared" si="104"/>
        <v>2625512</v>
      </c>
      <c r="AA565" s="2497">
        <v>0.3</v>
      </c>
      <c r="AB565" s="2498"/>
      <c r="AC565" s="2491">
        <f t="shared" si="105"/>
        <v>7876.5360000000001</v>
      </c>
      <c r="AD565" s="2536"/>
      <c r="AH565" s="2482"/>
      <c r="AI565"/>
    </row>
    <row r="566" spans="1:35" ht="18" customHeight="1" x14ac:dyDescent="0.2">
      <c r="A566" s="2674">
        <v>260</v>
      </c>
      <c r="B566" s="2113">
        <v>67787</v>
      </c>
      <c r="C566" s="2100" t="s">
        <v>966</v>
      </c>
      <c r="D566" s="2114" t="s">
        <v>245</v>
      </c>
      <c r="E566" s="1508">
        <v>2</v>
      </c>
      <c r="F566" s="2472">
        <v>0</v>
      </c>
      <c r="G566" s="2113">
        <v>0</v>
      </c>
      <c r="H566" s="2477">
        <v>60</v>
      </c>
      <c r="I566" s="1794">
        <f t="shared" si="101"/>
        <v>60</v>
      </c>
      <c r="J566" s="1687">
        <v>20000</v>
      </c>
      <c r="K566" s="2492">
        <f t="shared" si="102"/>
        <v>1200000</v>
      </c>
      <c r="L566" s="2109"/>
      <c r="M566" s="100">
        <v>105</v>
      </c>
      <c r="N566" s="2109" t="s">
        <v>74</v>
      </c>
      <c r="O566" s="2109">
        <v>100</v>
      </c>
      <c r="P566" s="2486">
        <v>167</v>
      </c>
      <c r="Q566" s="2488" t="s">
        <v>75</v>
      </c>
      <c r="R566" s="2101">
        <v>8800</v>
      </c>
      <c r="S566" s="2102">
        <f t="shared" si="106"/>
        <v>1469600</v>
      </c>
      <c r="T566" s="2489">
        <v>3</v>
      </c>
      <c r="U566" s="2102">
        <f t="shared" si="107"/>
        <v>44088</v>
      </c>
      <c r="V566" s="2102">
        <f t="shared" si="108"/>
        <v>1425512</v>
      </c>
      <c r="W566" s="1794">
        <f t="shared" si="109"/>
        <v>2625512</v>
      </c>
      <c r="X566" s="1791">
        <f t="shared" si="103"/>
        <v>2625512</v>
      </c>
      <c r="Y566" s="2474"/>
      <c r="Z566" s="1794">
        <f t="shared" si="104"/>
        <v>2625512</v>
      </c>
      <c r="AA566" s="2497">
        <v>0.3</v>
      </c>
      <c r="AB566" s="2498"/>
      <c r="AC566" s="2491">
        <f t="shared" si="105"/>
        <v>7876.5360000000001</v>
      </c>
      <c r="AD566" s="2536"/>
      <c r="AH566" s="2482"/>
      <c r="AI566"/>
    </row>
    <row r="567" spans="1:35" ht="18" customHeight="1" x14ac:dyDescent="0.2">
      <c r="A567" s="2674">
        <v>261</v>
      </c>
      <c r="B567" s="2113">
        <v>67834</v>
      </c>
      <c r="C567" s="2100" t="s">
        <v>967</v>
      </c>
      <c r="D567" s="2114" t="s">
        <v>245</v>
      </c>
      <c r="E567" s="1508">
        <v>2</v>
      </c>
      <c r="F567" s="2472">
        <v>0</v>
      </c>
      <c r="G567" s="2113">
        <v>0</v>
      </c>
      <c r="H567" s="2477">
        <v>60.3</v>
      </c>
      <c r="I567" s="1794">
        <f t="shared" si="101"/>
        <v>60.3</v>
      </c>
      <c r="J567" s="1687">
        <v>20000</v>
      </c>
      <c r="K567" s="2492">
        <f t="shared" si="102"/>
        <v>1206000</v>
      </c>
      <c r="L567" s="2109"/>
      <c r="M567" s="100">
        <v>105</v>
      </c>
      <c r="N567" s="2109" t="s">
        <v>74</v>
      </c>
      <c r="O567" s="2109">
        <v>100</v>
      </c>
      <c r="P567" s="2486">
        <v>153</v>
      </c>
      <c r="Q567" s="2488" t="s">
        <v>75</v>
      </c>
      <c r="R567" s="2101">
        <v>8800</v>
      </c>
      <c r="S567" s="2102">
        <f t="shared" si="106"/>
        <v>1346400</v>
      </c>
      <c r="T567" s="2489">
        <v>3</v>
      </c>
      <c r="U567" s="2102">
        <f t="shared" si="107"/>
        <v>40392</v>
      </c>
      <c r="V567" s="2102">
        <f t="shared" si="108"/>
        <v>1306008</v>
      </c>
      <c r="W567" s="1794">
        <f t="shared" si="109"/>
        <v>2512008</v>
      </c>
      <c r="X567" s="1791">
        <f t="shared" si="103"/>
        <v>2512008</v>
      </c>
      <c r="Y567" s="2474"/>
      <c r="Z567" s="1794">
        <f t="shared" si="104"/>
        <v>2512008</v>
      </c>
      <c r="AA567" s="2497">
        <v>0.3</v>
      </c>
      <c r="AB567" s="2498"/>
      <c r="AC567" s="2491">
        <f t="shared" si="105"/>
        <v>7536.0240000000003</v>
      </c>
      <c r="AD567" s="2558"/>
      <c r="AH567" s="2482"/>
      <c r="AI567"/>
    </row>
    <row r="568" spans="1:35" ht="18" customHeight="1" thickBot="1" x14ac:dyDescent="0.25">
      <c r="A568" s="34"/>
      <c r="B568" s="34"/>
      <c r="C568" s="34"/>
      <c r="D568" s="34"/>
      <c r="E568" s="34"/>
      <c r="F568" s="34"/>
      <c r="G568" s="34"/>
      <c r="H568" s="35"/>
      <c r="I568" s="36"/>
      <c r="J568" s="37"/>
      <c r="K568" s="2562"/>
      <c r="L568" s="2562"/>
      <c r="M568" s="2562"/>
      <c r="N568" s="2562"/>
      <c r="O568" s="2562"/>
      <c r="P568" s="2562"/>
      <c r="Q568" s="2562"/>
      <c r="R568" s="2563"/>
      <c r="S568" s="2562"/>
      <c r="T568" s="38"/>
      <c r="U568" s="2564"/>
      <c r="V568" s="2562"/>
      <c r="W568" s="2839"/>
      <c r="X568" s="2840"/>
      <c r="Y568" s="2841"/>
      <c r="Z568" s="2612">
        <f>SUM(Z562:Z567)</f>
        <v>17096840</v>
      </c>
      <c r="AA568" s="2613"/>
      <c r="AB568" s="2613"/>
      <c r="AC568" s="2614">
        <f>SUM(AC562:AC567)</f>
        <v>51290.52</v>
      </c>
      <c r="AD568" s="2565"/>
      <c r="AH568" s="2614"/>
      <c r="AI568"/>
    </row>
    <row r="569" spans="1:35" ht="18" customHeight="1" thickTop="1" x14ac:dyDescent="0.25">
      <c r="A569" s="2842" t="s">
        <v>76</v>
      </c>
      <c r="B569" s="2842"/>
      <c r="C569" s="2843" t="s">
        <v>77</v>
      </c>
      <c r="D569" s="2843"/>
      <c r="E569" s="2843"/>
      <c r="F569" s="2843"/>
      <c r="G569" s="2843"/>
      <c r="H569" s="2843"/>
      <c r="I569" s="2567" t="s">
        <v>78</v>
      </c>
      <c r="J569" s="2567"/>
      <c r="K569" s="2567"/>
      <c r="L569" s="2567"/>
      <c r="M569" s="2567"/>
      <c r="N569" s="2567"/>
      <c r="AC569" s="2476"/>
      <c r="AH569" s="2630"/>
      <c r="AI569"/>
    </row>
    <row r="570" spans="1:35" ht="18" customHeight="1" x14ac:dyDescent="0.25">
      <c r="A570" s="2568"/>
      <c r="B570" s="2569"/>
      <c r="C570" s="2567"/>
      <c r="D570" s="2567"/>
      <c r="E570" s="2567"/>
      <c r="F570" s="2567"/>
      <c r="G570" s="2567"/>
      <c r="H570" s="2567"/>
      <c r="I570" s="2567" t="s">
        <v>79</v>
      </c>
      <c r="J570" s="2567"/>
      <c r="K570" s="2567"/>
      <c r="L570" s="2567"/>
      <c r="M570" s="2567"/>
      <c r="N570" s="2567"/>
      <c r="AC570" s="2476"/>
      <c r="AH570" s="2630"/>
      <c r="AI570"/>
    </row>
    <row r="571" spans="1:35" ht="18" customHeight="1" x14ac:dyDescent="0.25">
      <c r="A571" s="2568"/>
      <c r="B571" s="2569"/>
      <c r="C571" s="2567"/>
      <c r="D571" s="2567"/>
      <c r="E571" s="2567"/>
      <c r="F571" s="2567"/>
      <c r="G571" s="2567"/>
      <c r="H571" s="2567"/>
      <c r="I571" s="2567" t="s">
        <v>80</v>
      </c>
      <c r="J571" s="2567"/>
      <c r="K571" s="2567"/>
      <c r="L571" s="2567"/>
      <c r="M571" s="2567"/>
      <c r="N571" s="2567"/>
      <c r="AC571" s="2476"/>
      <c r="AH571" s="2630"/>
      <c r="AI571"/>
    </row>
    <row r="572" spans="1:35" ht="18" customHeight="1" x14ac:dyDescent="0.25">
      <c r="A572" s="2568"/>
      <c r="B572" s="2569"/>
      <c r="C572" s="2567"/>
      <c r="D572" s="2567"/>
      <c r="E572" s="2567"/>
      <c r="F572" s="2567"/>
      <c r="G572" s="2567"/>
      <c r="H572" s="2567"/>
      <c r="I572" s="2567" t="s">
        <v>81</v>
      </c>
      <c r="J572" s="2567"/>
      <c r="K572" s="2567"/>
      <c r="L572" s="2567"/>
      <c r="M572" s="2567"/>
      <c r="N572" s="2567"/>
      <c r="AC572" s="2476"/>
      <c r="AH572" s="2630"/>
      <c r="AI572"/>
    </row>
    <row r="573" spans="1:35" ht="18" customHeight="1" x14ac:dyDescent="0.25">
      <c r="A573" s="2568"/>
      <c r="B573" s="2569"/>
      <c r="C573" s="2567"/>
      <c r="D573" s="2567"/>
      <c r="E573" s="2567"/>
      <c r="F573" s="2567"/>
      <c r="G573" s="2567"/>
      <c r="H573" s="2567"/>
      <c r="I573" s="2567" t="s">
        <v>88</v>
      </c>
      <c r="J573" s="2567"/>
      <c r="K573" s="2567"/>
      <c r="L573" s="2567"/>
      <c r="M573" s="2567"/>
      <c r="N573" s="2567"/>
      <c r="AC573" s="2476"/>
      <c r="AH573" s="2630"/>
      <c r="AI573"/>
    </row>
    <row r="574" spans="1:35" ht="18" customHeight="1" x14ac:dyDescent="0.25">
      <c r="A574" s="2568"/>
      <c r="B574" s="2569"/>
      <c r="C574" s="2567"/>
      <c r="D574" s="2567"/>
      <c r="E574" s="2567"/>
      <c r="F574" s="2567"/>
      <c r="G574" s="2567"/>
      <c r="H574" s="2567"/>
      <c r="I574" s="2567"/>
      <c r="J574" s="2567"/>
      <c r="K574" s="2567"/>
      <c r="L574" s="2567"/>
      <c r="M574" s="2567"/>
      <c r="N574" s="2567"/>
      <c r="AA574" s="2471" t="s">
        <v>0</v>
      </c>
      <c r="AB574" s="2471"/>
      <c r="AC574" s="2667"/>
      <c r="AD574" s="2471"/>
      <c r="AH574" s="2630"/>
      <c r="AI574"/>
    </row>
    <row r="575" spans="1:35" ht="18" customHeight="1" x14ac:dyDescent="0.2">
      <c r="A575" s="2707" t="s">
        <v>1</v>
      </c>
      <c r="B575" s="2707"/>
      <c r="C575" s="2707"/>
      <c r="D575" s="2707"/>
      <c r="E575" s="2707"/>
      <c r="F575" s="2707"/>
      <c r="G575" s="2707"/>
      <c r="H575" s="2707"/>
      <c r="I575" s="2707"/>
      <c r="J575" s="2707"/>
      <c r="K575" s="2707"/>
      <c r="L575" s="2707"/>
      <c r="M575" s="2707"/>
      <c r="N575" s="2707"/>
      <c r="O575" s="2707"/>
      <c r="P575" s="2707"/>
      <c r="Q575" s="2707"/>
      <c r="R575" s="2707"/>
      <c r="S575" s="2707"/>
      <c r="T575" s="2707"/>
      <c r="U575" s="2707"/>
      <c r="V575" s="2707"/>
      <c r="W575" s="2707"/>
      <c r="X575" s="2707"/>
      <c r="Y575" s="2707"/>
      <c r="Z575" s="2707"/>
      <c r="AA575" s="2707"/>
      <c r="AB575" s="2707"/>
      <c r="AC575" s="2707"/>
      <c r="AI575"/>
    </row>
    <row r="576" spans="1:35" ht="18" customHeight="1" x14ac:dyDescent="0.2">
      <c r="A576" s="2846" t="s">
        <v>984</v>
      </c>
      <c r="B576" s="2846"/>
      <c r="C576" s="2846"/>
      <c r="D576" s="2846"/>
      <c r="E576" s="2846"/>
      <c r="F576" s="2846"/>
      <c r="G576" s="2846"/>
      <c r="H576" s="2846"/>
      <c r="I576" s="2846"/>
      <c r="J576" s="2846"/>
      <c r="K576" s="2846"/>
      <c r="L576" s="2846"/>
      <c r="M576" s="2846"/>
      <c r="N576" s="2846"/>
      <c r="O576" s="2846"/>
      <c r="P576" s="2846"/>
      <c r="Q576" s="2846"/>
      <c r="R576" s="2846"/>
      <c r="S576" s="2846"/>
      <c r="T576" s="2846"/>
      <c r="U576" s="2846"/>
      <c r="V576" s="2846"/>
      <c r="W576" s="2846"/>
      <c r="X576" s="2846"/>
      <c r="Y576" s="2846"/>
      <c r="Z576" s="2846"/>
      <c r="AA576" s="2846"/>
      <c r="AB576" s="2846"/>
      <c r="AC576" s="2846"/>
      <c r="AD576" s="2192"/>
      <c r="AI576"/>
    </row>
    <row r="577" spans="1:36" ht="18" customHeight="1" x14ac:dyDescent="0.25">
      <c r="A577" s="2709" t="s">
        <v>2</v>
      </c>
      <c r="B577" s="2572"/>
      <c r="C577" s="2709" t="s">
        <v>3</v>
      </c>
      <c r="D577" s="2572"/>
      <c r="E577" s="2572"/>
      <c r="F577" s="2712" t="s">
        <v>4</v>
      </c>
      <c r="G577" s="2712"/>
      <c r="H577" s="2712"/>
      <c r="I577" s="2713"/>
      <c r="J577" s="2713"/>
      <c r="K577" s="2714"/>
      <c r="L577" s="2"/>
      <c r="M577" s="2715" t="s">
        <v>5</v>
      </c>
      <c r="N577" s="2715"/>
      <c r="O577" s="2715"/>
      <c r="P577" s="2715"/>
      <c r="Q577" s="2716"/>
      <c r="R577" s="2716"/>
      <c r="S577" s="2716"/>
      <c r="T577" s="2716"/>
      <c r="U577" s="2716"/>
      <c r="V577" s="2717"/>
      <c r="W577" s="2573" t="s">
        <v>6</v>
      </c>
      <c r="X577" s="2574" t="s">
        <v>7</v>
      </c>
      <c r="Y577" s="2575"/>
      <c r="Z577" s="2575"/>
      <c r="AA577" s="2574"/>
      <c r="AB577" s="2574"/>
      <c r="AC577" s="2576"/>
      <c r="AD577" s="2221" t="s">
        <v>8</v>
      </c>
      <c r="AH577" s="2845" t="s">
        <v>76</v>
      </c>
    </row>
    <row r="578" spans="1:36" ht="18" customHeight="1" x14ac:dyDescent="0.2">
      <c r="A578" s="2710"/>
      <c r="B578" s="4"/>
      <c r="C578" s="2710"/>
      <c r="D578" s="2577" t="s">
        <v>9</v>
      </c>
      <c r="E578" s="2578" t="s">
        <v>10</v>
      </c>
      <c r="F578" s="2718" t="s">
        <v>11</v>
      </c>
      <c r="G578" s="2713"/>
      <c r="H578" s="2714"/>
      <c r="I578" s="2572"/>
      <c r="J578" s="2579" t="s">
        <v>12</v>
      </c>
      <c r="K578" s="2572"/>
      <c r="L578" s="2715" t="s">
        <v>2</v>
      </c>
      <c r="M578" s="2580"/>
      <c r="N578" s="2580"/>
      <c r="O578" s="2580"/>
      <c r="P578" s="2581"/>
      <c r="Q578" s="2582" t="s">
        <v>13</v>
      </c>
      <c r="R578" s="2583" t="s">
        <v>12</v>
      </c>
      <c r="S578" s="2580" t="s">
        <v>6</v>
      </c>
      <c r="T578" s="2724" t="s">
        <v>14</v>
      </c>
      <c r="U578" s="2725"/>
      <c r="V578" s="2584" t="s">
        <v>7</v>
      </c>
      <c r="W578" s="2585" t="s">
        <v>15</v>
      </c>
      <c r="X578" s="2586" t="s">
        <v>16</v>
      </c>
      <c r="Y578" s="2586" t="s">
        <v>17</v>
      </c>
      <c r="Z578" s="2586" t="s">
        <v>18</v>
      </c>
      <c r="AA578" s="5"/>
      <c r="AB578" s="5"/>
      <c r="AC578" s="55" t="s">
        <v>19</v>
      </c>
      <c r="AD578" s="2223" t="s">
        <v>20</v>
      </c>
      <c r="AH578" s="2845"/>
    </row>
    <row r="579" spans="1:36" ht="18" customHeight="1" x14ac:dyDescent="0.2">
      <c r="A579" s="2710"/>
      <c r="B579" s="2454" t="s">
        <v>23</v>
      </c>
      <c r="C579" s="2710"/>
      <c r="D579" s="2577" t="s">
        <v>24</v>
      </c>
      <c r="E579" s="2578" t="s">
        <v>25</v>
      </c>
      <c r="F579" s="2719"/>
      <c r="G579" s="2720"/>
      <c r="H579" s="2721"/>
      <c r="I579" s="2577" t="s">
        <v>26</v>
      </c>
      <c r="J579" s="2587" t="s">
        <v>15</v>
      </c>
      <c r="K579" s="2588" t="s">
        <v>6</v>
      </c>
      <c r="L579" s="2722"/>
      <c r="M579" s="2589" t="s">
        <v>27</v>
      </c>
      <c r="N579" s="2589" t="s">
        <v>10</v>
      </c>
      <c r="O579" s="2590" t="s">
        <v>10</v>
      </c>
      <c r="P579" s="2591" t="s">
        <v>28</v>
      </c>
      <c r="Q579" s="2592" t="s">
        <v>29</v>
      </c>
      <c r="R579" s="2591" t="s">
        <v>15</v>
      </c>
      <c r="S579" s="8" t="s">
        <v>15</v>
      </c>
      <c r="T579" s="2726"/>
      <c r="U579" s="2727"/>
      <c r="V579" s="2584" t="s">
        <v>30</v>
      </c>
      <c r="W579" s="2585" t="s">
        <v>31</v>
      </c>
      <c r="X579" s="2586" t="s">
        <v>30</v>
      </c>
      <c r="Y579" s="2586" t="s">
        <v>32</v>
      </c>
      <c r="Z579" s="2586" t="s">
        <v>7</v>
      </c>
      <c r="AA579" s="5" t="s">
        <v>33</v>
      </c>
      <c r="AB579" s="5"/>
      <c r="AC579" s="55" t="s">
        <v>34</v>
      </c>
      <c r="AD579" s="2223" t="s">
        <v>35</v>
      </c>
      <c r="AH579" s="2845"/>
    </row>
    <row r="580" spans="1:36" ht="18" customHeight="1" x14ac:dyDescent="0.2">
      <c r="A580" s="2710"/>
      <c r="B580" s="2454" t="s">
        <v>39</v>
      </c>
      <c r="C580" s="2710"/>
      <c r="D580" s="2577" t="s">
        <v>40</v>
      </c>
      <c r="E580" s="2578" t="s">
        <v>41</v>
      </c>
      <c r="F580" s="2709" t="s">
        <v>42</v>
      </c>
      <c r="G580" s="2709" t="s">
        <v>43</v>
      </c>
      <c r="H580" s="2728" t="s">
        <v>44</v>
      </c>
      <c r="I580" s="2577" t="s">
        <v>45</v>
      </c>
      <c r="J580" s="2587" t="s">
        <v>46</v>
      </c>
      <c r="K580" s="2588" t="s">
        <v>47</v>
      </c>
      <c r="L580" s="2722"/>
      <c r="M580" s="2589" t="s">
        <v>30</v>
      </c>
      <c r="N580" s="2589" t="s">
        <v>30</v>
      </c>
      <c r="O580" s="2590" t="s">
        <v>25</v>
      </c>
      <c r="P580" s="2591" t="s">
        <v>30</v>
      </c>
      <c r="Q580" s="2592" t="s">
        <v>48</v>
      </c>
      <c r="R580" s="2591" t="s">
        <v>49</v>
      </c>
      <c r="S580" s="8" t="s">
        <v>30</v>
      </c>
      <c r="T580" s="2593" t="s">
        <v>50</v>
      </c>
      <c r="U580" s="2594" t="s">
        <v>13</v>
      </c>
      <c r="V580" s="2584" t="s">
        <v>51</v>
      </c>
      <c r="W580" s="2585" t="s">
        <v>52</v>
      </c>
      <c r="X580" s="2586" t="s">
        <v>53</v>
      </c>
      <c r="Y580" s="2586" t="s">
        <v>54</v>
      </c>
      <c r="Z580" s="2586" t="s">
        <v>55</v>
      </c>
      <c r="AA580" s="5" t="s">
        <v>56</v>
      </c>
      <c r="AB580" s="5"/>
      <c r="AC580" s="55" t="s">
        <v>57</v>
      </c>
      <c r="AD580" s="6" t="s">
        <v>58</v>
      </c>
      <c r="AH580" s="2845"/>
    </row>
    <row r="581" spans="1:36" ht="18" customHeight="1" x14ac:dyDescent="0.25">
      <c r="A581" s="2710"/>
      <c r="B581" s="2454" t="s">
        <v>61</v>
      </c>
      <c r="C581" s="2710"/>
      <c r="D581" s="2577" t="s">
        <v>62</v>
      </c>
      <c r="E581" s="2578" t="s">
        <v>63</v>
      </c>
      <c r="F581" s="2710"/>
      <c r="G581" s="2710"/>
      <c r="H581" s="2729"/>
      <c r="I581" s="2577" t="s">
        <v>64</v>
      </c>
      <c r="J581" s="2587" t="s">
        <v>59</v>
      </c>
      <c r="K581" s="2588" t="s">
        <v>59</v>
      </c>
      <c r="L581" s="2722"/>
      <c r="M581" s="2589"/>
      <c r="N581" s="2589"/>
      <c r="O581" s="2590" t="s">
        <v>41</v>
      </c>
      <c r="P581" s="2591" t="s">
        <v>65</v>
      </c>
      <c r="Q581" s="2592" t="s">
        <v>66</v>
      </c>
      <c r="R581" s="2591" t="s">
        <v>67</v>
      </c>
      <c r="S581" s="8" t="s">
        <v>59</v>
      </c>
      <c r="T581" s="2595" t="s">
        <v>68</v>
      </c>
      <c r="U581" s="2584" t="s">
        <v>14</v>
      </c>
      <c r="V581" s="2584" t="s">
        <v>14</v>
      </c>
      <c r="W581" s="2585" t="s">
        <v>30</v>
      </c>
      <c r="X581" s="2596" t="s">
        <v>69</v>
      </c>
      <c r="Y581" s="2596" t="s">
        <v>70</v>
      </c>
      <c r="Z581" s="2586" t="s">
        <v>71</v>
      </c>
      <c r="AA581" s="5" t="s">
        <v>72</v>
      </c>
      <c r="AB581" s="5"/>
      <c r="AC581" s="2597" t="s">
        <v>59</v>
      </c>
      <c r="AD581" s="6" t="s">
        <v>59</v>
      </c>
      <c r="AH581" s="2845"/>
    </row>
    <row r="582" spans="1:36" ht="18" customHeight="1" x14ac:dyDescent="0.2">
      <c r="A582" s="2711"/>
      <c r="B582" s="9"/>
      <c r="C582" s="2711"/>
      <c r="D582" s="2598"/>
      <c r="E582" s="2599"/>
      <c r="F582" s="9"/>
      <c r="G582" s="9"/>
      <c r="H582" s="10"/>
      <c r="I582" s="2599"/>
      <c r="J582" s="2600"/>
      <c r="K582" s="2601"/>
      <c r="L582" s="2723"/>
      <c r="M582" s="2602"/>
      <c r="N582" s="2602"/>
      <c r="O582" s="2602" t="s">
        <v>63</v>
      </c>
      <c r="P582" s="2603"/>
      <c r="Q582" s="2604" t="s">
        <v>72</v>
      </c>
      <c r="R582" s="2605" t="s">
        <v>59</v>
      </c>
      <c r="S582" s="2606"/>
      <c r="T582" s="2605" t="s">
        <v>73</v>
      </c>
      <c r="U582" s="2606" t="s">
        <v>59</v>
      </c>
      <c r="V582" s="2607" t="s">
        <v>59</v>
      </c>
      <c r="W582" s="2608" t="s">
        <v>59</v>
      </c>
      <c r="X582" s="2609" t="s">
        <v>59</v>
      </c>
      <c r="Y582" s="2609" t="s">
        <v>59</v>
      </c>
      <c r="Z582" s="2609" t="s">
        <v>59</v>
      </c>
      <c r="AA582" s="11"/>
      <c r="AB582" s="11"/>
      <c r="AC582" s="56"/>
      <c r="AD582" s="12"/>
      <c r="AH582" s="2845"/>
    </row>
    <row r="583" spans="1:36" ht="18" customHeight="1" x14ac:dyDescent="0.2">
      <c r="A583" s="2674">
        <v>262</v>
      </c>
      <c r="B583" s="2113">
        <v>67836</v>
      </c>
      <c r="C583" s="2100" t="s">
        <v>968</v>
      </c>
      <c r="D583" s="2114" t="s">
        <v>245</v>
      </c>
      <c r="E583" s="1508">
        <v>2</v>
      </c>
      <c r="F583" s="2485">
        <v>0</v>
      </c>
      <c r="G583" s="2109">
        <v>0</v>
      </c>
      <c r="H583" s="2486">
        <v>60</v>
      </c>
      <c r="I583" s="1794">
        <f>F583*400+G583*100+H583</f>
        <v>60</v>
      </c>
      <c r="J583" s="1687">
        <v>20000</v>
      </c>
      <c r="K583" s="2492">
        <f>SUM(I583*J583)</f>
        <v>1200000</v>
      </c>
      <c r="L583" s="2109"/>
      <c r="M583" s="100">
        <v>105</v>
      </c>
      <c r="N583" s="2109" t="s">
        <v>74</v>
      </c>
      <c r="O583" s="2109">
        <v>100</v>
      </c>
      <c r="P583" s="2486">
        <v>153</v>
      </c>
      <c r="Q583" s="2488" t="s">
        <v>75</v>
      </c>
      <c r="R583" s="2101">
        <v>8800</v>
      </c>
      <c r="S583" s="2102">
        <f t="shared" ref="S583:S589" si="110">+P583*R583</f>
        <v>1346400</v>
      </c>
      <c r="T583" s="2489">
        <v>3</v>
      </c>
      <c r="U583" s="2102">
        <f>+S583*T583/100</f>
        <v>40392</v>
      </c>
      <c r="V583" s="2102">
        <f t="shared" ref="V583:V589" si="111">+S583-U583</f>
        <v>1306008</v>
      </c>
      <c r="W583" s="1794">
        <f t="shared" ref="W583:W589" si="112">+K583+V583</f>
        <v>2506008</v>
      </c>
      <c r="X583" s="1791">
        <f t="shared" ref="X583:X589" si="113">+W583</f>
        <v>2506008</v>
      </c>
      <c r="Y583" s="2474"/>
      <c r="Z583" s="1794">
        <f t="shared" ref="Z583:Z589" si="114">+X583</f>
        <v>2506008</v>
      </c>
      <c r="AA583" s="2497">
        <v>0.3</v>
      </c>
      <c r="AB583" s="2498"/>
      <c r="AC583" s="2491">
        <f t="shared" ref="AC583:AC589" si="115">+Z583*AA583/100</f>
        <v>7518.0240000000003</v>
      </c>
      <c r="AD583" s="2536"/>
      <c r="AH583" s="2482"/>
    </row>
    <row r="584" spans="1:36" ht="18" customHeight="1" x14ac:dyDescent="0.2">
      <c r="A584" s="2674">
        <v>263</v>
      </c>
      <c r="B584" s="2113">
        <v>67843</v>
      </c>
      <c r="C584" s="2100" t="s">
        <v>969</v>
      </c>
      <c r="D584" s="2114" t="s">
        <v>245</v>
      </c>
      <c r="E584" s="1508">
        <v>2</v>
      </c>
      <c r="F584" s="2485">
        <v>0</v>
      </c>
      <c r="G584" s="2109">
        <v>0</v>
      </c>
      <c r="H584" s="2486">
        <v>57.1</v>
      </c>
      <c r="I584" s="1794">
        <f t="shared" ref="I584:I589" si="116">F584*400+G584*100+H584</f>
        <v>57.1</v>
      </c>
      <c r="J584" s="1687">
        <v>20000</v>
      </c>
      <c r="K584" s="2492">
        <f t="shared" ref="K584:K589" si="117">SUM(I584*J584)</f>
        <v>1142000</v>
      </c>
      <c r="L584" s="2109"/>
      <c r="M584" s="100">
        <v>105</v>
      </c>
      <c r="N584" s="2109" t="s">
        <v>74</v>
      </c>
      <c r="O584" s="2109">
        <v>100</v>
      </c>
      <c r="P584" s="2486">
        <v>132.19999999999999</v>
      </c>
      <c r="Q584" s="2488" t="s">
        <v>75</v>
      </c>
      <c r="R584" s="2101">
        <v>8800</v>
      </c>
      <c r="S584" s="2102">
        <f t="shared" si="110"/>
        <v>1163360</v>
      </c>
      <c r="T584" s="2489">
        <v>3</v>
      </c>
      <c r="U584" s="2102">
        <f>+S584*T584/100</f>
        <v>34900.800000000003</v>
      </c>
      <c r="V584" s="2102">
        <f t="shared" si="111"/>
        <v>1128459.2</v>
      </c>
      <c r="W584" s="1794">
        <f t="shared" si="112"/>
        <v>2270459.2000000002</v>
      </c>
      <c r="X584" s="1791">
        <f t="shared" si="113"/>
        <v>2270459.2000000002</v>
      </c>
      <c r="Y584" s="2474"/>
      <c r="Z584" s="1794">
        <f t="shared" si="114"/>
        <v>2270459.2000000002</v>
      </c>
      <c r="AA584" s="2497">
        <v>0.3</v>
      </c>
      <c r="AB584" s="2498"/>
      <c r="AC584" s="2491">
        <f t="shared" si="115"/>
        <v>6811.3775999999998</v>
      </c>
      <c r="AD584" s="2536"/>
      <c r="AH584" s="2482"/>
    </row>
    <row r="585" spans="1:36" ht="18" customHeight="1" x14ac:dyDescent="0.2">
      <c r="A585" s="2674">
        <v>264</v>
      </c>
      <c r="B585" s="2113">
        <v>67844</v>
      </c>
      <c r="C585" s="2100" t="s">
        <v>970</v>
      </c>
      <c r="D585" s="2114" t="s">
        <v>245</v>
      </c>
      <c r="E585" s="1508">
        <v>2</v>
      </c>
      <c r="F585" s="2114">
        <v>0</v>
      </c>
      <c r="G585" s="2114">
        <v>0</v>
      </c>
      <c r="H585" s="2115">
        <v>57.9</v>
      </c>
      <c r="I585" s="1794">
        <f t="shared" si="116"/>
        <v>57.9</v>
      </c>
      <c r="J585" s="1687">
        <v>20000</v>
      </c>
      <c r="K585" s="2492">
        <f t="shared" si="117"/>
        <v>1158000</v>
      </c>
      <c r="L585" s="45"/>
      <c r="M585" s="100">
        <v>105</v>
      </c>
      <c r="N585" s="2109" t="s">
        <v>74</v>
      </c>
      <c r="O585" s="2109">
        <v>100</v>
      </c>
      <c r="P585" s="2486">
        <v>153</v>
      </c>
      <c r="Q585" s="2488" t="s">
        <v>75</v>
      </c>
      <c r="R585" s="2101">
        <v>8800</v>
      </c>
      <c r="S585" s="2102">
        <f t="shared" si="110"/>
        <v>1346400</v>
      </c>
      <c r="T585" s="2489">
        <v>3</v>
      </c>
      <c r="U585" s="2102">
        <f t="shared" ref="U585:U589" si="118">+S585*T585/100</f>
        <v>40392</v>
      </c>
      <c r="V585" s="2102">
        <f t="shared" si="111"/>
        <v>1306008</v>
      </c>
      <c r="W585" s="1794">
        <f t="shared" si="112"/>
        <v>2464008</v>
      </c>
      <c r="X585" s="1791">
        <f t="shared" si="113"/>
        <v>2464008</v>
      </c>
      <c r="Y585" s="2474"/>
      <c r="Z585" s="1794">
        <f t="shared" si="114"/>
        <v>2464008</v>
      </c>
      <c r="AA585" s="2497">
        <v>0.3</v>
      </c>
      <c r="AB585" s="2498"/>
      <c r="AC585" s="2491">
        <f t="shared" si="115"/>
        <v>7392.0240000000003</v>
      </c>
      <c r="AD585" s="2536"/>
      <c r="AH585" s="2482"/>
    </row>
    <row r="586" spans="1:36" ht="18" customHeight="1" x14ac:dyDescent="0.2">
      <c r="A586" s="2674">
        <v>265</v>
      </c>
      <c r="B586" s="2113">
        <v>67845</v>
      </c>
      <c r="C586" s="2100" t="s">
        <v>971</v>
      </c>
      <c r="D586" s="2114" t="s">
        <v>245</v>
      </c>
      <c r="E586" s="1508">
        <v>2</v>
      </c>
      <c r="F586" s="2114">
        <v>0</v>
      </c>
      <c r="G586" s="2114">
        <v>0</v>
      </c>
      <c r="H586" s="2115">
        <v>59.5</v>
      </c>
      <c r="I586" s="1794">
        <f t="shared" si="116"/>
        <v>59.5</v>
      </c>
      <c r="J586" s="1687">
        <v>20000</v>
      </c>
      <c r="K586" s="2492">
        <f t="shared" si="117"/>
        <v>1190000</v>
      </c>
      <c r="L586" s="45"/>
      <c r="M586" s="100">
        <v>105</v>
      </c>
      <c r="N586" s="2109" t="s">
        <v>74</v>
      </c>
      <c r="O586" s="2109">
        <v>100</v>
      </c>
      <c r="P586" s="2486">
        <v>132.19999999999999</v>
      </c>
      <c r="Q586" s="2488" t="s">
        <v>75</v>
      </c>
      <c r="R586" s="2101">
        <v>8800</v>
      </c>
      <c r="S586" s="2102">
        <f t="shared" si="110"/>
        <v>1163360</v>
      </c>
      <c r="T586" s="2489">
        <v>3</v>
      </c>
      <c r="U586" s="2102">
        <f t="shared" si="118"/>
        <v>34900.800000000003</v>
      </c>
      <c r="V586" s="2102">
        <f t="shared" si="111"/>
        <v>1128459.2</v>
      </c>
      <c r="W586" s="1794">
        <f t="shared" si="112"/>
        <v>2318459.2000000002</v>
      </c>
      <c r="X586" s="1791">
        <f t="shared" si="113"/>
        <v>2318459.2000000002</v>
      </c>
      <c r="Y586" s="2474"/>
      <c r="Z586" s="1794">
        <f t="shared" si="114"/>
        <v>2318459.2000000002</v>
      </c>
      <c r="AA586" s="2497">
        <v>0.3</v>
      </c>
      <c r="AB586" s="2498"/>
      <c r="AC586" s="2491">
        <f t="shared" si="115"/>
        <v>6955.3775999999998</v>
      </c>
      <c r="AD586" s="2536"/>
      <c r="AH586" s="2482"/>
    </row>
    <row r="587" spans="1:36" ht="18" customHeight="1" x14ac:dyDescent="0.2">
      <c r="A587" s="2674">
        <v>266</v>
      </c>
      <c r="B587" s="2113">
        <v>67846</v>
      </c>
      <c r="C587" s="2100" t="s">
        <v>972</v>
      </c>
      <c r="D587" s="2114" t="s">
        <v>245</v>
      </c>
      <c r="E587" s="1508">
        <v>2</v>
      </c>
      <c r="F587" s="2114">
        <v>0</v>
      </c>
      <c r="G587" s="2114">
        <v>0</v>
      </c>
      <c r="H587" s="2557">
        <v>63.5</v>
      </c>
      <c r="I587" s="1794">
        <f t="shared" si="116"/>
        <v>63.5</v>
      </c>
      <c r="J587" s="1687">
        <v>20000</v>
      </c>
      <c r="K587" s="2492">
        <f t="shared" si="117"/>
        <v>1270000</v>
      </c>
      <c r="L587" s="2560"/>
      <c r="M587" s="100">
        <v>105</v>
      </c>
      <c r="N587" s="2109" t="s">
        <v>74</v>
      </c>
      <c r="O587" s="2109">
        <v>100</v>
      </c>
      <c r="P587" s="2486">
        <v>153</v>
      </c>
      <c r="Q587" s="2488" t="s">
        <v>75</v>
      </c>
      <c r="R587" s="2101">
        <v>8800</v>
      </c>
      <c r="S587" s="2102">
        <f t="shared" si="110"/>
        <v>1346400</v>
      </c>
      <c r="T587" s="2489">
        <v>3</v>
      </c>
      <c r="U587" s="2102">
        <f t="shared" si="118"/>
        <v>40392</v>
      </c>
      <c r="V587" s="2102">
        <f t="shared" si="111"/>
        <v>1306008</v>
      </c>
      <c r="W587" s="1794">
        <f t="shared" si="112"/>
        <v>2576008</v>
      </c>
      <c r="X587" s="1791">
        <f t="shared" si="113"/>
        <v>2576008</v>
      </c>
      <c r="Y587" s="2474"/>
      <c r="Z587" s="1794">
        <f t="shared" si="114"/>
        <v>2576008</v>
      </c>
      <c r="AA587" s="2497">
        <v>0.3</v>
      </c>
      <c r="AB587" s="2498"/>
      <c r="AC587" s="2491">
        <f t="shared" si="115"/>
        <v>7728.0240000000003</v>
      </c>
      <c r="AD587" s="2536"/>
      <c r="AH587" s="2482"/>
    </row>
    <row r="588" spans="1:36" ht="18" customHeight="1" x14ac:dyDescent="0.2">
      <c r="A588" s="2674">
        <v>267</v>
      </c>
      <c r="B588" s="2113">
        <v>67847</v>
      </c>
      <c r="C588" s="2100" t="s">
        <v>214</v>
      </c>
      <c r="D588" s="2114" t="s">
        <v>245</v>
      </c>
      <c r="E588" s="1508">
        <v>2</v>
      </c>
      <c r="F588" s="2114">
        <v>0</v>
      </c>
      <c r="G588" s="2114">
        <v>0</v>
      </c>
      <c r="H588" s="2559">
        <v>59.3</v>
      </c>
      <c r="I588" s="1794">
        <f t="shared" si="116"/>
        <v>59.3</v>
      </c>
      <c r="J588" s="1687">
        <v>20000</v>
      </c>
      <c r="K588" s="2492">
        <f t="shared" si="117"/>
        <v>1186000</v>
      </c>
      <c r="L588" s="2560"/>
      <c r="M588" s="100">
        <v>105</v>
      </c>
      <c r="N588" s="2109" t="s">
        <v>74</v>
      </c>
      <c r="O588" s="2109">
        <v>100</v>
      </c>
      <c r="P588" s="2486">
        <v>132.19999999999999</v>
      </c>
      <c r="Q588" s="2488" t="s">
        <v>75</v>
      </c>
      <c r="R588" s="2101">
        <v>8800</v>
      </c>
      <c r="S588" s="2102">
        <f t="shared" si="110"/>
        <v>1163360</v>
      </c>
      <c r="T588" s="2489">
        <v>3</v>
      </c>
      <c r="U588" s="2102">
        <f t="shared" si="118"/>
        <v>34900.800000000003</v>
      </c>
      <c r="V588" s="2102">
        <f t="shared" si="111"/>
        <v>1128459.2</v>
      </c>
      <c r="W588" s="1794">
        <f t="shared" si="112"/>
        <v>2314459.2000000002</v>
      </c>
      <c r="X588" s="1791">
        <f t="shared" si="113"/>
        <v>2314459.2000000002</v>
      </c>
      <c r="Y588" s="2474"/>
      <c r="Z588" s="1794">
        <f t="shared" si="114"/>
        <v>2314459.2000000002</v>
      </c>
      <c r="AA588" s="2497">
        <v>0.3</v>
      </c>
      <c r="AB588" s="2498"/>
      <c r="AC588" s="2491">
        <f t="shared" si="115"/>
        <v>6943.3775999999998</v>
      </c>
      <c r="AD588" s="2536"/>
      <c r="AH588" s="2482"/>
    </row>
    <row r="589" spans="1:36" ht="18" customHeight="1" x14ac:dyDescent="0.2">
      <c r="A589" s="2674">
        <v>268</v>
      </c>
      <c r="B589" s="2113">
        <v>67848</v>
      </c>
      <c r="C589" s="2100" t="s">
        <v>973</v>
      </c>
      <c r="D589" s="2114" t="s">
        <v>245</v>
      </c>
      <c r="E589" s="1508">
        <v>2</v>
      </c>
      <c r="F589" s="2114">
        <v>0</v>
      </c>
      <c r="G589" s="2114">
        <v>0</v>
      </c>
      <c r="H589" s="2559">
        <v>67.599999999999994</v>
      </c>
      <c r="I589" s="1794">
        <f t="shared" si="116"/>
        <v>67.599999999999994</v>
      </c>
      <c r="J589" s="1687">
        <v>20000</v>
      </c>
      <c r="K589" s="2492">
        <f t="shared" si="117"/>
        <v>1352000</v>
      </c>
      <c r="L589" s="2560"/>
      <c r="M589" s="100">
        <v>105</v>
      </c>
      <c r="N589" s="2109" t="s">
        <v>74</v>
      </c>
      <c r="O589" s="2109">
        <v>100</v>
      </c>
      <c r="P589" s="2486">
        <v>151</v>
      </c>
      <c r="Q589" s="2488" t="s">
        <v>75</v>
      </c>
      <c r="R589" s="2101">
        <v>8800</v>
      </c>
      <c r="S589" s="2102">
        <f t="shared" si="110"/>
        <v>1328800</v>
      </c>
      <c r="T589" s="2489">
        <v>3</v>
      </c>
      <c r="U589" s="2102">
        <f t="shared" si="118"/>
        <v>39864</v>
      </c>
      <c r="V589" s="2102">
        <f t="shared" si="111"/>
        <v>1288936</v>
      </c>
      <c r="W589" s="1794">
        <f t="shared" si="112"/>
        <v>2640936</v>
      </c>
      <c r="X589" s="1791">
        <f t="shared" si="113"/>
        <v>2640936</v>
      </c>
      <c r="Y589" s="2474"/>
      <c r="Z589" s="1794">
        <f t="shared" si="114"/>
        <v>2640936</v>
      </c>
      <c r="AA589" s="2497">
        <v>0.3</v>
      </c>
      <c r="AB589" s="2498"/>
      <c r="AC589" s="2491">
        <f t="shared" si="115"/>
        <v>7922.8079999999991</v>
      </c>
      <c r="AD589" s="2536"/>
      <c r="AH589" s="2482"/>
    </row>
    <row r="590" spans="1:36" ht="18" customHeight="1" thickBot="1" x14ac:dyDescent="0.25">
      <c r="A590" s="2113"/>
      <c r="B590" s="2113"/>
      <c r="C590" s="2100"/>
      <c r="D590" s="2114"/>
      <c r="E590" s="1508"/>
      <c r="F590" s="2114"/>
      <c r="G590" s="2114"/>
      <c r="H590" s="2559"/>
      <c r="I590" s="1794"/>
      <c r="J590" s="1687"/>
      <c r="K590" s="2492"/>
      <c r="L590" s="2560"/>
      <c r="M590" s="100"/>
      <c r="N590" s="2109"/>
      <c r="O590" s="2109"/>
      <c r="P590" s="2486"/>
      <c r="Q590" s="2488"/>
      <c r="R590" s="2101"/>
      <c r="S590" s="2102"/>
      <c r="T590" s="2489"/>
      <c r="U590" s="2102"/>
      <c r="V590" s="2102"/>
      <c r="W590" s="1794"/>
      <c r="X590" s="1791"/>
      <c r="Y590" s="2474"/>
      <c r="Z590" s="1794"/>
      <c r="AA590" s="2497"/>
      <c r="AB590" s="2498"/>
      <c r="AC590" s="2491"/>
      <c r="AD590" s="2536"/>
      <c r="AH590" s="2482"/>
      <c r="AI590" s="2538"/>
      <c r="AJ590" s="2539"/>
    </row>
    <row r="591" spans="1:36" ht="18" customHeight="1" thickTop="1" thickBot="1" x14ac:dyDescent="0.25">
      <c r="A591" s="2113"/>
      <c r="B591" s="2113"/>
      <c r="C591" s="2100"/>
      <c r="D591" s="2114"/>
      <c r="E591" s="1508"/>
      <c r="F591" s="2114"/>
      <c r="G591" s="2114"/>
      <c r="H591" s="2559"/>
      <c r="I591" s="1794"/>
      <c r="J591" s="1687"/>
      <c r="K591" s="2492"/>
      <c r="L591" s="2560"/>
      <c r="M591" s="100"/>
      <c r="N591" s="2109"/>
      <c r="O591" s="2109"/>
      <c r="P591" s="2486"/>
      <c r="Q591" s="2488"/>
      <c r="R591" s="2101"/>
      <c r="S591" s="2102"/>
      <c r="T591" s="2489"/>
      <c r="U591" s="2102"/>
      <c r="V591" s="2102"/>
      <c r="W591" s="1794"/>
      <c r="X591" s="1791"/>
      <c r="Y591" s="2474"/>
      <c r="Z591" s="1794"/>
      <c r="AA591" s="2497"/>
      <c r="AB591" s="2498"/>
      <c r="AC591" s="2491"/>
      <c r="AD591" s="2536"/>
      <c r="AH591" s="2482"/>
      <c r="AJ591" s="2676"/>
    </row>
    <row r="592" spans="1:36" ht="18" customHeight="1" thickTop="1" x14ac:dyDescent="0.2">
      <c r="A592" s="2113"/>
      <c r="B592" s="2113"/>
      <c r="C592" s="2100"/>
      <c r="D592" s="2114"/>
      <c r="E592" s="1508"/>
      <c r="F592" s="2114"/>
      <c r="G592" s="2114"/>
      <c r="H592" s="2559"/>
      <c r="I592" s="1794"/>
      <c r="J592" s="1687"/>
      <c r="K592" s="2492"/>
      <c r="L592" s="2560"/>
      <c r="M592" s="100"/>
      <c r="N592" s="2109"/>
      <c r="O592" s="2109"/>
      <c r="P592" s="2486"/>
      <c r="Q592" s="2488"/>
      <c r="R592" s="2101"/>
      <c r="S592" s="2102"/>
      <c r="T592" s="2489"/>
      <c r="U592" s="2102"/>
      <c r="V592" s="2102"/>
      <c r="W592" s="1794"/>
      <c r="X592" s="1791"/>
      <c r="Y592" s="2474"/>
      <c r="Z592" s="1794"/>
      <c r="AA592" s="2497"/>
      <c r="AB592" s="2498"/>
      <c r="AC592" s="2491"/>
      <c r="AD592" s="2536"/>
      <c r="AH592" s="2482"/>
    </row>
    <row r="593" spans="1:35" ht="18" customHeight="1" x14ac:dyDescent="0.2">
      <c r="A593" s="2113"/>
      <c r="B593" s="2113"/>
      <c r="C593" s="2100"/>
      <c r="D593" s="2114"/>
      <c r="E593" s="1508"/>
      <c r="F593" s="2114"/>
      <c r="G593" s="2114"/>
      <c r="H593" s="2559"/>
      <c r="I593" s="1794"/>
      <c r="J593" s="1687"/>
      <c r="K593" s="2492"/>
      <c r="L593" s="2560"/>
      <c r="M593" s="100"/>
      <c r="N593" s="2109"/>
      <c r="O593" s="2109"/>
      <c r="P593" s="2486"/>
      <c r="Q593" s="2488"/>
      <c r="R593" s="2101"/>
      <c r="S593" s="2102"/>
      <c r="T593" s="2489"/>
      <c r="U593" s="2102"/>
      <c r="V593" s="2102"/>
      <c r="W593" s="1794"/>
      <c r="X593" s="1791"/>
      <c r="Y593" s="2474"/>
      <c r="Z593" s="1794"/>
      <c r="AA593" s="2497"/>
      <c r="AB593" s="2498"/>
      <c r="AC593" s="2491"/>
      <c r="AD593" s="2536"/>
      <c r="AH593" s="2482"/>
      <c r="AI593"/>
    </row>
    <row r="594" spans="1:35" ht="18" customHeight="1" x14ac:dyDescent="0.2">
      <c r="A594" s="2113"/>
      <c r="B594" s="2113"/>
      <c r="C594" s="2100"/>
      <c r="D594" s="2114"/>
      <c r="E594" s="1508"/>
      <c r="F594" s="2114"/>
      <c r="G594" s="2114"/>
      <c r="H594" s="2559"/>
      <c r="I594" s="1794"/>
      <c r="J594" s="1687"/>
      <c r="K594" s="2492"/>
      <c r="L594" s="2560"/>
      <c r="M594" s="100"/>
      <c r="N594" s="2109"/>
      <c r="O594" s="2109"/>
      <c r="P594" s="2486"/>
      <c r="Q594" s="2488"/>
      <c r="R594" s="2101"/>
      <c r="S594" s="2102"/>
      <c r="T594" s="2489"/>
      <c r="U594" s="2102"/>
      <c r="V594" s="2102"/>
      <c r="W594" s="1794"/>
      <c r="X594" s="1791"/>
      <c r="Y594" s="2474"/>
      <c r="Z594" s="1794"/>
      <c r="AA594" s="2497"/>
      <c r="AB594" s="2498"/>
      <c r="AC594" s="2491"/>
      <c r="AD594" s="2536"/>
      <c r="AH594" s="2482"/>
      <c r="AI594"/>
    </row>
    <row r="595" spans="1:35" ht="18" customHeight="1" x14ac:dyDescent="0.2">
      <c r="A595" s="2113"/>
      <c r="B595" s="2113"/>
      <c r="C595" s="2100"/>
      <c r="D595" s="2114"/>
      <c r="E595" s="1508"/>
      <c r="F595" s="2114"/>
      <c r="G595" s="2114"/>
      <c r="H595" s="2559"/>
      <c r="I595" s="1794"/>
      <c r="J595" s="1687"/>
      <c r="K595" s="2492"/>
      <c r="L595" s="2560"/>
      <c r="M595" s="100"/>
      <c r="N595" s="2109"/>
      <c r="O595" s="2109"/>
      <c r="P595" s="2486"/>
      <c r="Q595" s="2488"/>
      <c r="R595" s="2101"/>
      <c r="S595" s="2102"/>
      <c r="T595" s="2489"/>
      <c r="U595" s="2102"/>
      <c r="V595" s="2102"/>
      <c r="W595" s="1794"/>
      <c r="X595" s="1791"/>
      <c r="Y595" s="2474"/>
      <c r="Z595" s="1794"/>
      <c r="AA595" s="2497"/>
      <c r="AB595" s="2498"/>
      <c r="AC595" s="2491"/>
      <c r="AD595" s="2536"/>
      <c r="AH595" s="2482"/>
      <c r="AI595"/>
    </row>
    <row r="596" spans="1:35" ht="18" customHeight="1" x14ac:dyDescent="0.2">
      <c r="A596" s="2113"/>
      <c r="B596" s="2113"/>
      <c r="C596" s="2100"/>
      <c r="D596" s="2114"/>
      <c r="E596" s="1508"/>
      <c r="F596" s="2114"/>
      <c r="G596" s="2114"/>
      <c r="H596" s="2559"/>
      <c r="I596" s="1794"/>
      <c r="J596" s="1687"/>
      <c r="K596" s="2492"/>
      <c r="L596" s="2560"/>
      <c r="M596" s="100"/>
      <c r="N596" s="2109"/>
      <c r="O596" s="2109"/>
      <c r="P596" s="2486"/>
      <c r="Q596" s="2488"/>
      <c r="R596" s="2101"/>
      <c r="S596" s="2102"/>
      <c r="T596" s="2489"/>
      <c r="U596" s="2102"/>
      <c r="V596" s="2102"/>
      <c r="W596" s="1794"/>
      <c r="X596" s="1791"/>
      <c r="Y596" s="2474"/>
      <c r="Z596" s="1794"/>
      <c r="AA596" s="2497"/>
      <c r="AB596" s="2498"/>
      <c r="AC596" s="2491"/>
      <c r="AD596" s="2536"/>
      <c r="AH596" s="2482"/>
      <c r="AI596"/>
    </row>
    <row r="597" spans="1:35" ht="18" customHeight="1" x14ac:dyDescent="0.2">
      <c r="A597" s="2113"/>
      <c r="B597" s="2113"/>
      <c r="C597" s="2100"/>
      <c r="D597" s="2114"/>
      <c r="E597" s="1508"/>
      <c r="F597" s="2114"/>
      <c r="G597" s="2114"/>
      <c r="H597" s="2559"/>
      <c r="I597" s="1794"/>
      <c r="J597" s="1687"/>
      <c r="K597" s="2492"/>
      <c r="L597" s="2560"/>
      <c r="M597" s="100"/>
      <c r="N597" s="2109"/>
      <c r="O597" s="2109"/>
      <c r="P597" s="2486"/>
      <c r="Q597" s="2488"/>
      <c r="R597" s="2101"/>
      <c r="S597" s="2102"/>
      <c r="T597" s="2489"/>
      <c r="U597" s="2102"/>
      <c r="V597" s="2102"/>
      <c r="W597" s="1794"/>
      <c r="X597" s="1791"/>
      <c r="Y597" s="2474"/>
      <c r="Z597" s="1794"/>
      <c r="AA597" s="2497"/>
      <c r="AB597" s="2498"/>
      <c r="AC597" s="2491"/>
      <c r="AD597" s="2536"/>
      <c r="AH597" s="2482"/>
      <c r="AI597"/>
    </row>
    <row r="598" spans="1:35" ht="18" customHeight="1" x14ac:dyDescent="0.2">
      <c r="A598" s="2113"/>
      <c r="B598" s="2113"/>
      <c r="C598" s="2100"/>
      <c r="D598" s="2114"/>
      <c r="E598" s="1508"/>
      <c r="F598" s="2114"/>
      <c r="G598" s="2114"/>
      <c r="H598" s="2559"/>
      <c r="I598" s="1794"/>
      <c r="J598" s="1687"/>
      <c r="K598" s="2492"/>
      <c r="L598" s="2560"/>
      <c r="M598" s="100"/>
      <c r="N598" s="2109"/>
      <c r="O598" s="2109"/>
      <c r="P598" s="2486"/>
      <c r="Q598" s="2488"/>
      <c r="R598" s="2101"/>
      <c r="S598" s="2102"/>
      <c r="T598" s="2489"/>
      <c r="U598" s="2102"/>
      <c r="V598" s="2102"/>
      <c r="W598" s="1794"/>
      <c r="X598" s="1791"/>
      <c r="Y598" s="2474"/>
      <c r="Z598" s="1794"/>
      <c r="AA598" s="2497"/>
      <c r="AB598" s="2498"/>
      <c r="AC598" s="2491"/>
      <c r="AD598" s="2536"/>
      <c r="AH598" s="2491"/>
      <c r="AI598"/>
    </row>
    <row r="599" spans="1:35" ht="18" customHeight="1" x14ac:dyDescent="0.2">
      <c r="A599" s="2113"/>
      <c r="B599" s="2113"/>
      <c r="C599" s="2100"/>
      <c r="D599" s="2114"/>
      <c r="E599" s="1508"/>
      <c r="F599" s="2114"/>
      <c r="G599" s="2114"/>
      <c r="H599" s="2559"/>
      <c r="I599" s="1794"/>
      <c r="J599" s="1687"/>
      <c r="K599" s="2492"/>
      <c r="L599" s="2560"/>
      <c r="M599" s="100"/>
      <c r="N599" s="2109"/>
      <c r="O599" s="2109"/>
      <c r="P599" s="2486"/>
      <c r="Q599" s="2488"/>
      <c r="R599" s="2101"/>
      <c r="S599" s="2102"/>
      <c r="T599" s="2489"/>
      <c r="U599" s="2102"/>
      <c r="V599" s="2102"/>
      <c r="W599" s="1794"/>
      <c r="X599" s="1791"/>
      <c r="Y599" s="2474"/>
      <c r="Z599" s="1794"/>
      <c r="AA599" s="2497"/>
      <c r="AB599" s="2498"/>
      <c r="AC599" s="2491"/>
      <c r="AD599" s="2536"/>
      <c r="AH599" s="2491"/>
      <c r="AI599"/>
    </row>
    <row r="600" spans="1:35" ht="18" customHeight="1" x14ac:dyDescent="0.2">
      <c r="A600" s="2113"/>
      <c r="B600" s="2113"/>
      <c r="C600" s="2100"/>
      <c r="D600" s="2114"/>
      <c r="E600" s="1508"/>
      <c r="F600" s="2114"/>
      <c r="G600" s="2114"/>
      <c r="H600" s="2559"/>
      <c r="I600" s="1794"/>
      <c r="J600" s="1687"/>
      <c r="K600" s="2492"/>
      <c r="L600" s="2560"/>
      <c r="M600" s="100"/>
      <c r="N600" s="2109"/>
      <c r="O600" s="2109"/>
      <c r="P600" s="2486"/>
      <c r="Q600" s="2488"/>
      <c r="R600" s="2101"/>
      <c r="S600" s="2102"/>
      <c r="T600" s="2489"/>
      <c r="U600" s="2102"/>
      <c r="V600" s="2102"/>
      <c r="W600" s="1794"/>
      <c r="X600" s="1791"/>
      <c r="Y600" s="2474"/>
      <c r="Z600" s="1794"/>
      <c r="AA600" s="2497"/>
      <c r="AB600" s="2498"/>
      <c r="AC600" s="2491"/>
      <c r="AD600" s="2536"/>
      <c r="AH600" s="2546"/>
      <c r="AI600"/>
    </row>
    <row r="601" spans="1:35" ht="18" customHeight="1" x14ac:dyDescent="0.2">
      <c r="A601" s="2113"/>
      <c r="B601" s="2113"/>
      <c r="C601" s="2100"/>
      <c r="D601" s="2114"/>
      <c r="E601" s="1508"/>
      <c r="F601" s="2114"/>
      <c r="G601" s="2114"/>
      <c r="H601" s="2559"/>
      <c r="I601" s="1794"/>
      <c r="J601" s="1687"/>
      <c r="K601" s="2492"/>
      <c r="L601" s="2560"/>
      <c r="M601" s="100"/>
      <c r="N601" s="2109"/>
      <c r="O601" s="2109"/>
      <c r="P601" s="2486"/>
      <c r="Q601" s="2488"/>
      <c r="R601" s="2101"/>
      <c r="S601" s="2102"/>
      <c r="T601" s="2489"/>
      <c r="U601" s="2102"/>
      <c r="V601" s="2102"/>
      <c r="W601" s="1794"/>
      <c r="X601" s="1791"/>
      <c r="Y601" s="2474"/>
      <c r="Z601" s="1794"/>
      <c r="AA601" s="2497"/>
      <c r="AB601" s="2498"/>
      <c r="AC601" s="2491"/>
      <c r="AD601" s="2536"/>
      <c r="AH601" s="2491"/>
      <c r="AI601"/>
    </row>
    <row r="602" spans="1:35" ht="18" customHeight="1" thickBot="1" x14ac:dyDescent="0.25">
      <c r="A602" s="34"/>
      <c r="B602" s="34"/>
      <c r="C602" s="34"/>
      <c r="D602" s="34"/>
      <c r="E602" s="34"/>
      <c r="F602" s="34"/>
      <c r="G602" s="34"/>
      <c r="H602" s="35"/>
      <c r="I602" s="36"/>
      <c r="J602" s="37"/>
      <c r="K602" s="2562"/>
      <c r="L602" s="2562"/>
      <c r="M602" s="2562"/>
      <c r="N602" s="2562"/>
      <c r="O602" s="2562"/>
      <c r="P602" s="2562"/>
      <c r="Q602" s="2562"/>
      <c r="R602" s="2563"/>
      <c r="S602" s="2562"/>
      <c r="T602" s="38"/>
      <c r="U602" s="2564"/>
      <c r="V602" s="2562"/>
      <c r="W602" s="2839"/>
      <c r="X602" s="2840"/>
      <c r="Y602" s="2841"/>
      <c r="Z602" s="2612">
        <f>SUM(Z583:Z601)</f>
        <v>17090337.600000001</v>
      </c>
      <c r="AA602" s="2613"/>
      <c r="AB602" s="2613"/>
      <c r="AC602" s="2614">
        <f>SUM(AC583:AC601)</f>
        <v>51271.012799999997</v>
      </c>
      <c r="AD602" s="2565"/>
      <c r="AH602" s="2614"/>
      <c r="AI602"/>
    </row>
    <row r="603" spans="1:35" ht="18" customHeight="1" thickTop="1" x14ac:dyDescent="0.25">
      <c r="A603" s="2842" t="s">
        <v>76</v>
      </c>
      <c r="B603" s="2842"/>
      <c r="C603" s="2843" t="s">
        <v>77</v>
      </c>
      <c r="D603" s="2843"/>
      <c r="E603" s="2843"/>
      <c r="F603" s="2843"/>
      <c r="G603" s="2843"/>
      <c r="H603" s="2843"/>
      <c r="I603" s="2567" t="s">
        <v>78</v>
      </c>
      <c r="J603" s="2567"/>
      <c r="K603" s="2567"/>
      <c r="L603" s="2567"/>
      <c r="M603" s="2567"/>
      <c r="N603" s="2567"/>
      <c r="AC603" s="2476"/>
      <c r="AH603" s="2677"/>
      <c r="AI603"/>
    </row>
    <row r="604" spans="1:35" ht="18" customHeight="1" x14ac:dyDescent="0.25">
      <c r="A604" s="2568"/>
      <c r="B604" s="2569"/>
      <c r="C604" s="2567"/>
      <c r="D604" s="2567"/>
      <c r="E604" s="2567"/>
      <c r="F604" s="2567"/>
      <c r="G604" s="2567"/>
      <c r="H604" s="2567"/>
      <c r="I604" s="2567" t="s">
        <v>79</v>
      </c>
      <c r="J604" s="2567"/>
      <c r="K604" s="2567"/>
      <c r="L604" s="2567"/>
      <c r="M604" s="2567"/>
      <c r="N604" s="2567"/>
      <c r="AC604" s="2476"/>
      <c r="AI604"/>
    </row>
    <row r="605" spans="1:35" ht="18" customHeight="1" x14ac:dyDescent="0.25">
      <c r="A605" s="2568"/>
      <c r="B605" s="2569"/>
      <c r="C605" s="2567"/>
      <c r="D605" s="2567"/>
      <c r="E605" s="2567"/>
      <c r="F605" s="2567"/>
      <c r="G605" s="2567"/>
      <c r="H605" s="2567"/>
      <c r="I605" s="2567" t="s">
        <v>80</v>
      </c>
      <c r="J605" s="2567"/>
      <c r="K605" s="2567"/>
      <c r="L605" s="2567"/>
      <c r="M605" s="2567"/>
      <c r="N605" s="2567"/>
      <c r="AC605" s="2476"/>
      <c r="AI605"/>
    </row>
    <row r="606" spans="1:35" ht="18" customHeight="1" x14ac:dyDescent="0.25">
      <c r="A606" s="2568"/>
      <c r="B606" s="2569"/>
      <c r="C606" s="2567"/>
      <c r="D606" s="2567"/>
      <c r="E606" s="2567"/>
      <c r="F606" s="2567"/>
      <c r="G606" s="2567"/>
      <c r="H606" s="2567"/>
      <c r="I606" s="2567" t="s">
        <v>81</v>
      </c>
      <c r="J606" s="2567"/>
      <c r="K606" s="2567"/>
      <c r="L606" s="2567"/>
      <c r="M606" s="2567"/>
      <c r="N606" s="2567"/>
      <c r="AC606" s="2476"/>
      <c r="AI606"/>
    </row>
    <row r="607" spans="1:35" ht="18" customHeight="1" x14ac:dyDescent="0.25">
      <c r="A607" s="2568"/>
      <c r="B607" s="2569"/>
      <c r="C607" s="2567"/>
      <c r="D607" s="2567"/>
      <c r="E607" s="2567"/>
      <c r="F607" s="2567"/>
      <c r="G607" s="2567"/>
      <c r="H607" s="2567"/>
      <c r="I607" s="2567" t="s">
        <v>88</v>
      </c>
      <c r="J607" s="2567"/>
      <c r="K607" s="2567"/>
      <c r="L607" s="2567"/>
      <c r="M607" s="2567"/>
      <c r="N607" s="2567"/>
      <c r="AC607" s="2476"/>
      <c r="AI607"/>
    </row>
    <row r="608" spans="1:35" ht="18" customHeight="1" x14ac:dyDescent="0.25">
      <c r="A608" s="2568"/>
      <c r="B608" s="2569"/>
      <c r="C608" s="2567"/>
      <c r="D608" s="2567"/>
      <c r="E608" s="2567"/>
      <c r="F608" s="2567"/>
      <c r="G608" s="2567"/>
      <c r="H608" s="2567"/>
      <c r="I608" s="2567"/>
      <c r="J608" s="2567"/>
      <c r="K608" s="2567"/>
      <c r="L608" s="2567"/>
      <c r="M608" s="2567"/>
      <c r="N608" s="2567"/>
      <c r="AA608" s="2471"/>
      <c r="AB608" s="2471"/>
      <c r="AC608" s="2667"/>
      <c r="AD608" s="2471"/>
      <c r="AI608"/>
    </row>
    <row r="609" spans="1:35" ht="18" customHeight="1" x14ac:dyDescent="0.25">
      <c r="A609" s="2568"/>
      <c r="B609" s="2569"/>
      <c r="C609" s="2567"/>
      <c r="D609" s="2567"/>
      <c r="E609" s="2567"/>
      <c r="F609" s="2567"/>
      <c r="G609" s="2567"/>
      <c r="H609" s="2567"/>
      <c r="I609" s="2567"/>
      <c r="J609" s="2567"/>
      <c r="K609" s="2567"/>
      <c r="L609" s="2567"/>
      <c r="M609" s="2567"/>
      <c r="N609" s="2567"/>
      <c r="AA609" s="2471"/>
      <c r="AB609" s="2471"/>
      <c r="AC609" s="2667"/>
      <c r="AD609" s="2471"/>
      <c r="AI609"/>
    </row>
    <row r="610" spans="1:35" ht="18" customHeight="1" x14ac:dyDescent="0.25">
      <c r="A610" s="2568"/>
      <c r="B610" s="2569"/>
      <c r="C610" s="2567"/>
      <c r="D610" s="2567"/>
      <c r="E610" s="2567"/>
      <c r="F610" s="2567"/>
      <c r="G610" s="2567"/>
      <c r="H610" s="2567"/>
      <c r="I610" s="2567"/>
      <c r="J610" s="2567"/>
      <c r="K610" s="2567"/>
      <c r="L610" s="2567"/>
      <c r="M610" s="2567"/>
      <c r="N610" s="2567"/>
      <c r="AA610" s="2471"/>
      <c r="AB610" s="2471"/>
      <c r="AC610" s="2667"/>
      <c r="AD610" s="2471"/>
      <c r="AI610"/>
    </row>
    <row r="611" spans="1:35" ht="18" customHeight="1" x14ac:dyDescent="0.25">
      <c r="A611" s="2568"/>
      <c r="B611" s="2569"/>
      <c r="C611" s="2567"/>
      <c r="D611" s="2567"/>
      <c r="E611" s="2567"/>
      <c r="F611" s="2567"/>
      <c r="G611" s="2567"/>
      <c r="H611" s="2567"/>
      <c r="I611" s="2567"/>
      <c r="J611" s="2567"/>
      <c r="K611" s="2567"/>
      <c r="L611" s="2567"/>
      <c r="M611" s="2567"/>
      <c r="N611" s="2567"/>
      <c r="AA611" s="2471"/>
      <c r="AB611" s="2471"/>
      <c r="AC611" s="2667"/>
      <c r="AD611" s="2471"/>
      <c r="AI611"/>
    </row>
    <row r="612" spans="1:35" ht="18" customHeight="1" x14ac:dyDescent="0.25">
      <c r="A612" s="2568"/>
      <c r="B612" s="2569"/>
      <c r="C612" s="2567"/>
      <c r="D612" s="2567"/>
      <c r="E612" s="2567"/>
      <c r="F612" s="2567"/>
      <c r="G612" s="2567"/>
      <c r="H612" s="2567"/>
      <c r="I612" s="2567"/>
      <c r="J612" s="2567"/>
      <c r="K612" s="2567"/>
      <c r="L612" s="2567"/>
      <c r="M612" s="2567"/>
      <c r="N612" s="2567"/>
      <c r="AA612" s="2471"/>
      <c r="AB612" s="2471"/>
      <c r="AC612" s="2667"/>
      <c r="AD612" s="2471"/>
      <c r="AI612"/>
    </row>
    <row r="613" spans="1:35" ht="18" customHeight="1" x14ac:dyDescent="0.25">
      <c r="A613" s="2568"/>
      <c r="B613" s="2569"/>
      <c r="C613" s="2567"/>
      <c r="D613" s="2567"/>
      <c r="E613" s="2567"/>
      <c r="F613" s="2567"/>
      <c r="G613" s="2567"/>
      <c r="H613" s="2567"/>
      <c r="I613" s="2567"/>
      <c r="J613" s="2567"/>
      <c r="K613" s="2567"/>
      <c r="L613" s="2567"/>
      <c r="M613" s="2567"/>
      <c r="N613" s="2567"/>
      <c r="AA613" s="2471"/>
      <c r="AB613" s="2471"/>
      <c r="AC613" s="2667"/>
      <c r="AD613" s="2471"/>
      <c r="AI613"/>
    </row>
    <row r="614" spans="1:35" ht="18" customHeight="1" x14ac:dyDescent="0.25">
      <c r="A614" s="2568"/>
      <c r="B614" s="2569"/>
      <c r="C614" s="2567"/>
      <c r="D614" s="2567"/>
      <c r="E614" s="2567"/>
      <c r="F614" s="2567"/>
      <c r="G614" s="2567"/>
      <c r="H614" s="2567"/>
      <c r="I614" s="2567"/>
      <c r="J614" s="2567"/>
      <c r="K614" s="2567"/>
      <c r="L614" s="2567"/>
      <c r="M614" s="2567"/>
      <c r="N614" s="2567"/>
      <c r="AA614" s="2471"/>
      <c r="AB614" s="2471"/>
      <c r="AC614" s="2667"/>
      <c r="AD614" s="2471"/>
      <c r="AI614"/>
    </row>
    <row r="615" spans="1:35" ht="18" customHeight="1" x14ac:dyDescent="0.25">
      <c r="A615" s="2568"/>
      <c r="B615" s="2569"/>
      <c r="C615" s="2567"/>
      <c r="D615" s="2567"/>
      <c r="E615" s="2567"/>
      <c r="F615" s="2567"/>
      <c r="G615" s="2567"/>
      <c r="H615" s="2567"/>
      <c r="I615" s="2567"/>
      <c r="J615" s="2567"/>
      <c r="K615" s="2567"/>
      <c r="L615" s="2567"/>
      <c r="M615" s="2567"/>
      <c r="N615" s="2567"/>
      <c r="AA615" s="2471" t="s">
        <v>0</v>
      </c>
      <c r="AB615" s="2471"/>
      <c r="AC615" s="2667"/>
      <c r="AD615" s="2471"/>
      <c r="AI615"/>
    </row>
    <row r="616" spans="1:35" ht="18" customHeight="1" x14ac:dyDescent="0.2">
      <c r="A616" s="2707" t="s">
        <v>1</v>
      </c>
      <c r="B616" s="2707"/>
      <c r="C616" s="2707"/>
      <c r="D616" s="2707"/>
      <c r="E616" s="2707"/>
      <c r="F616" s="2707"/>
      <c r="G616" s="2707"/>
      <c r="H616" s="2707"/>
      <c r="I616" s="2707"/>
      <c r="J616" s="2707"/>
      <c r="K616" s="2707"/>
      <c r="L616" s="2707"/>
      <c r="M616" s="2707"/>
      <c r="N616" s="2707"/>
      <c r="O616" s="2707"/>
      <c r="P616" s="2707"/>
      <c r="Q616" s="2707"/>
      <c r="R616" s="2707"/>
      <c r="S616" s="2707"/>
      <c r="T616" s="2707"/>
      <c r="U616" s="2707"/>
      <c r="V616" s="2707"/>
      <c r="W616" s="2707"/>
      <c r="X616" s="2707"/>
      <c r="Y616" s="2707"/>
      <c r="Z616" s="2707"/>
      <c r="AA616" s="2707"/>
      <c r="AB616" s="2707"/>
      <c r="AC616" s="2707"/>
      <c r="AI616"/>
    </row>
    <row r="617" spans="1:35" ht="18" customHeight="1" x14ac:dyDescent="0.2">
      <c r="A617" s="2846" t="s">
        <v>984</v>
      </c>
      <c r="B617" s="2846"/>
      <c r="C617" s="2846"/>
      <c r="D617" s="2846"/>
      <c r="E617" s="2846"/>
      <c r="F617" s="2846"/>
      <c r="G617" s="2846"/>
      <c r="H617" s="2846"/>
      <c r="I617" s="2846"/>
      <c r="J617" s="2846"/>
      <c r="K617" s="2846"/>
      <c r="L617" s="2846"/>
      <c r="M617" s="2846"/>
      <c r="N617" s="2846"/>
      <c r="O617" s="2846"/>
      <c r="P617" s="2846"/>
      <c r="Q617" s="2846"/>
      <c r="R617" s="2846"/>
      <c r="S617" s="2846"/>
      <c r="T617" s="2846"/>
      <c r="U617" s="2846"/>
      <c r="V617" s="2846"/>
      <c r="W617" s="2846"/>
      <c r="X617" s="2846"/>
      <c r="Y617" s="2846"/>
      <c r="Z617" s="2846"/>
      <c r="AA617" s="2846"/>
      <c r="AB617" s="2846"/>
      <c r="AC617" s="2846"/>
      <c r="AD617" s="2192"/>
      <c r="AI617"/>
    </row>
    <row r="618" spans="1:35" ht="18" customHeight="1" x14ac:dyDescent="0.25">
      <c r="A618" s="2709" t="s">
        <v>2</v>
      </c>
      <c r="B618" s="2572"/>
      <c r="C618" s="2709" t="s">
        <v>3</v>
      </c>
      <c r="D618" s="2572"/>
      <c r="E618" s="2572"/>
      <c r="F618" s="2712" t="s">
        <v>4</v>
      </c>
      <c r="G618" s="2712"/>
      <c r="H618" s="2712"/>
      <c r="I618" s="2713"/>
      <c r="J618" s="2713"/>
      <c r="K618" s="2714"/>
      <c r="L618" s="2"/>
      <c r="M618" s="2715" t="s">
        <v>5</v>
      </c>
      <c r="N618" s="2715"/>
      <c r="O618" s="2715"/>
      <c r="P618" s="2715"/>
      <c r="Q618" s="2716"/>
      <c r="R618" s="2716"/>
      <c r="S618" s="2716"/>
      <c r="T618" s="2716"/>
      <c r="U618" s="2716"/>
      <c r="V618" s="2717"/>
      <c r="W618" s="2573" t="s">
        <v>6</v>
      </c>
      <c r="X618" s="2574" t="s">
        <v>7</v>
      </c>
      <c r="Y618" s="2575"/>
      <c r="Z618" s="2575"/>
      <c r="AA618" s="2574"/>
      <c r="AB618" s="2574"/>
      <c r="AC618" s="2576"/>
      <c r="AD618" s="2221" t="s">
        <v>8</v>
      </c>
      <c r="AH618" s="2845" t="s">
        <v>76</v>
      </c>
      <c r="AI618"/>
    </row>
    <row r="619" spans="1:35" ht="18" customHeight="1" x14ac:dyDescent="0.2">
      <c r="A619" s="2710"/>
      <c r="B619" s="4"/>
      <c r="C619" s="2710"/>
      <c r="D619" s="2577" t="s">
        <v>9</v>
      </c>
      <c r="E619" s="2578" t="s">
        <v>10</v>
      </c>
      <c r="F619" s="2718" t="s">
        <v>11</v>
      </c>
      <c r="G619" s="2713"/>
      <c r="H619" s="2714"/>
      <c r="I619" s="2572"/>
      <c r="J619" s="2579" t="s">
        <v>12</v>
      </c>
      <c r="K619" s="2572"/>
      <c r="L619" s="2715" t="s">
        <v>2</v>
      </c>
      <c r="M619" s="2580"/>
      <c r="N619" s="2580"/>
      <c r="O619" s="2580"/>
      <c r="P619" s="2581"/>
      <c r="Q619" s="2582" t="s">
        <v>13</v>
      </c>
      <c r="R619" s="2583" t="s">
        <v>12</v>
      </c>
      <c r="S619" s="2580" t="s">
        <v>6</v>
      </c>
      <c r="T619" s="2724" t="s">
        <v>14</v>
      </c>
      <c r="U619" s="2725"/>
      <c r="V619" s="2584" t="s">
        <v>7</v>
      </c>
      <c r="W619" s="2585" t="s">
        <v>15</v>
      </c>
      <c r="X619" s="2586" t="s">
        <v>16</v>
      </c>
      <c r="Y619" s="2586" t="s">
        <v>17</v>
      </c>
      <c r="Z619" s="2586" t="s">
        <v>18</v>
      </c>
      <c r="AA619" s="5"/>
      <c r="AB619" s="5"/>
      <c r="AC619" s="55" t="s">
        <v>19</v>
      </c>
      <c r="AD619" s="2223" t="s">
        <v>20</v>
      </c>
      <c r="AH619" s="2845"/>
      <c r="AI619"/>
    </row>
    <row r="620" spans="1:35" ht="18" customHeight="1" x14ac:dyDescent="0.2">
      <c r="A620" s="2710"/>
      <c r="B620" s="2454" t="s">
        <v>23</v>
      </c>
      <c r="C620" s="2710"/>
      <c r="D620" s="2577" t="s">
        <v>24</v>
      </c>
      <c r="E620" s="2578" t="s">
        <v>25</v>
      </c>
      <c r="F620" s="2719"/>
      <c r="G620" s="2720"/>
      <c r="H620" s="2721"/>
      <c r="I620" s="2577" t="s">
        <v>26</v>
      </c>
      <c r="J620" s="2587" t="s">
        <v>15</v>
      </c>
      <c r="K620" s="2588" t="s">
        <v>6</v>
      </c>
      <c r="L620" s="2722"/>
      <c r="M620" s="2589" t="s">
        <v>27</v>
      </c>
      <c r="N620" s="2589" t="s">
        <v>10</v>
      </c>
      <c r="O620" s="2590" t="s">
        <v>10</v>
      </c>
      <c r="P620" s="2591" t="s">
        <v>28</v>
      </c>
      <c r="Q620" s="2592" t="s">
        <v>29</v>
      </c>
      <c r="R620" s="2591" t="s">
        <v>15</v>
      </c>
      <c r="S620" s="8" t="s">
        <v>15</v>
      </c>
      <c r="T620" s="2726"/>
      <c r="U620" s="2727"/>
      <c r="V620" s="2584" t="s">
        <v>30</v>
      </c>
      <c r="W620" s="2585" t="s">
        <v>31</v>
      </c>
      <c r="X620" s="2586" t="s">
        <v>30</v>
      </c>
      <c r="Y620" s="2586" t="s">
        <v>32</v>
      </c>
      <c r="Z620" s="2586" t="s">
        <v>7</v>
      </c>
      <c r="AA620" s="5" t="s">
        <v>33</v>
      </c>
      <c r="AB620" s="5"/>
      <c r="AC620" s="55" t="s">
        <v>34</v>
      </c>
      <c r="AD620" s="2223" t="s">
        <v>35</v>
      </c>
      <c r="AH620" s="2845"/>
      <c r="AI620"/>
    </row>
    <row r="621" spans="1:35" ht="18" customHeight="1" x14ac:dyDescent="0.2">
      <c r="A621" s="2710"/>
      <c r="B621" s="2454" t="s">
        <v>39</v>
      </c>
      <c r="C621" s="2710"/>
      <c r="D621" s="2577" t="s">
        <v>40</v>
      </c>
      <c r="E621" s="2578" t="s">
        <v>41</v>
      </c>
      <c r="F621" s="2709" t="s">
        <v>42</v>
      </c>
      <c r="G621" s="2709" t="s">
        <v>43</v>
      </c>
      <c r="H621" s="2728" t="s">
        <v>44</v>
      </c>
      <c r="I621" s="2577" t="s">
        <v>45</v>
      </c>
      <c r="J621" s="2587" t="s">
        <v>46</v>
      </c>
      <c r="K621" s="2588" t="s">
        <v>47</v>
      </c>
      <c r="L621" s="2722"/>
      <c r="M621" s="2589" t="s">
        <v>30</v>
      </c>
      <c r="N621" s="2589" t="s">
        <v>30</v>
      </c>
      <c r="O621" s="2590" t="s">
        <v>25</v>
      </c>
      <c r="P621" s="2591" t="s">
        <v>30</v>
      </c>
      <c r="Q621" s="2592" t="s">
        <v>48</v>
      </c>
      <c r="R621" s="2591" t="s">
        <v>49</v>
      </c>
      <c r="S621" s="8" t="s">
        <v>30</v>
      </c>
      <c r="T621" s="2593" t="s">
        <v>50</v>
      </c>
      <c r="U621" s="2594" t="s">
        <v>13</v>
      </c>
      <c r="V621" s="2584" t="s">
        <v>51</v>
      </c>
      <c r="W621" s="2585" t="s">
        <v>52</v>
      </c>
      <c r="X621" s="2586" t="s">
        <v>53</v>
      </c>
      <c r="Y621" s="2586" t="s">
        <v>54</v>
      </c>
      <c r="Z621" s="2586" t="s">
        <v>55</v>
      </c>
      <c r="AA621" s="5" t="s">
        <v>56</v>
      </c>
      <c r="AB621" s="5"/>
      <c r="AC621" s="55" t="s">
        <v>57</v>
      </c>
      <c r="AD621" s="6" t="s">
        <v>58</v>
      </c>
      <c r="AH621" s="2845"/>
      <c r="AI621"/>
    </row>
    <row r="622" spans="1:35" ht="18" customHeight="1" x14ac:dyDescent="0.25">
      <c r="A622" s="2710"/>
      <c r="B622" s="2454" t="s">
        <v>61</v>
      </c>
      <c r="C622" s="2710"/>
      <c r="D622" s="2577" t="s">
        <v>62</v>
      </c>
      <c r="E622" s="2578" t="s">
        <v>63</v>
      </c>
      <c r="F622" s="2710"/>
      <c r="G622" s="2710"/>
      <c r="H622" s="2729"/>
      <c r="I622" s="2577" t="s">
        <v>64</v>
      </c>
      <c r="J622" s="2587" t="s">
        <v>59</v>
      </c>
      <c r="K622" s="2588" t="s">
        <v>59</v>
      </c>
      <c r="L622" s="2722"/>
      <c r="M622" s="2589"/>
      <c r="N622" s="2589"/>
      <c r="O622" s="2590" t="s">
        <v>41</v>
      </c>
      <c r="P622" s="2591" t="s">
        <v>65</v>
      </c>
      <c r="Q622" s="2592" t="s">
        <v>66</v>
      </c>
      <c r="R622" s="2591" t="s">
        <v>67</v>
      </c>
      <c r="S622" s="8" t="s">
        <v>59</v>
      </c>
      <c r="T622" s="2595" t="s">
        <v>68</v>
      </c>
      <c r="U622" s="2584" t="s">
        <v>14</v>
      </c>
      <c r="V622" s="2584" t="s">
        <v>14</v>
      </c>
      <c r="W622" s="2585" t="s">
        <v>30</v>
      </c>
      <c r="X622" s="2596" t="s">
        <v>69</v>
      </c>
      <c r="Y622" s="2596" t="s">
        <v>70</v>
      </c>
      <c r="Z622" s="2586" t="s">
        <v>71</v>
      </c>
      <c r="AA622" s="5" t="s">
        <v>72</v>
      </c>
      <c r="AB622" s="5"/>
      <c r="AC622" s="2597" t="s">
        <v>59</v>
      </c>
      <c r="AD622" s="6" t="s">
        <v>59</v>
      </c>
      <c r="AH622" s="2845"/>
      <c r="AI622"/>
    </row>
    <row r="623" spans="1:35" ht="18" customHeight="1" x14ac:dyDescent="0.2">
      <c r="A623" s="2711"/>
      <c r="B623" s="9"/>
      <c r="C623" s="2711"/>
      <c r="D623" s="2598"/>
      <c r="E623" s="2599"/>
      <c r="F623" s="9"/>
      <c r="G623" s="9"/>
      <c r="H623" s="10"/>
      <c r="I623" s="2599"/>
      <c r="J623" s="2600"/>
      <c r="K623" s="2601"/>
      <c r="L623" s="2723"/>
      <c r="M623" s="2602"/>
      <c r="N623" s="2602"/>
      <c r="O623" s="2602" t="s">
        <v>63</v>
      </c>
      <c r="P623" s="2603"/>
      <c r="Q623" s="2604" t="s">
        <v>72</v>
      </c>
      <c r="R623" s="2605" t="s">
        <v>59</v>
      </c>
      <c r="S623" s="2606"/>
      <c r="T623" s="2605" t="s">
        <v>73</v>
      </c>
      <c r="U623" s="2606" t="s">
        <v>59</v>
      </c>
      <c r="V623" s="2607" t="s">
        <v>59</v>
      </c>
      <c r="W623" s="2608" t="s">
        <v>59</v>
      </c>
      <c r="X623" s="2609" t="s">
        <v>59</v>
      </c>
      <c r="Y623" s="2609" t="s">
        <v>59</v>
      </c>
      <c r="Z623" s="2609" t="s">
        <v>59</v>
      </c>
      <c r="AA623" s="11"/>
      <c r="AB623" s="11"/>
      <c r="AC623" s="56"/>
      <c r="AD623" s="12"/>
      <c r="AH623" s="2845"/>
      <c r="AI623"/>
    </row>
    <row r="624" spans="1:35" ht="18" customHeight="1" x14ac:dyDescent="0.2">
      <c r="A624" s="2674">
        <v>269</v>
      </c>
      <c r="B624" s="2113">
        <v>1881</v>
      </c>
      <c r="C624" s="2100" t="s">
        <v>974</v>
      </c>
      <c r="D624" s="2114" t="s">
        <v>245</v>
      </c>
      <c r="E624" s="1508">
        <v>3</v>
      </c>
      <c r="F624" s="2485">
        <v>7</v>
      </c>
      <c r="G624" s="2109">
        <v>3</v>
      </c>
      <c r="H624" s="2486">
        <v>6.6</v>
      </c>
      <c r="I624" s="1794">
        <f>F624*400+G624*100+H624</f>
        <v>3106.6</v>
      </c>
      <c r="J624" s="1687">
        <v>20000</v>
      </c>
      <c r="K624" s="2492">
        <f>SUM(I624*J624)</f>
        <v>62132000</v>
      </c>
      <c r="L624" s="2109"/>
      <c r="M624" s="100"/>
      <c r="N624" s="2109"/>
      <c r="O624" s="2109"/>
      <c r="P624" s="2486"/>
      <c r="Q624" s="2488"/>
      <c r="R624" s="2493"/>
      <c r="S624" s="2494"/>
      <c r="T624" s="2495"/>
      <c r="U624" s="2494"/>
      <c r="V624" s="2494"/>
      <c r="W624" s="1794">
        <f>+K624</f>
        <v>62132000</v>
      </c>
      <c r="X624" s="1791">
        <f>+W624</f>
        <v>62132000</v>
      </c>
      <c r="Y624" s="2496"/>
      <c r="Z624" s="1794">
        <f>+X624</f>
        <v>62132000</v>
      </c>
      <c r="AA624" s="1678">
        <v>0</v>
      </c>
      <c r="AB624" s="1678"/>
      <c r="AC624" s="2473"/>
      <c r="AD624" s="2536"/>
      <c r="AH624" s="2482"/>
      <c r="AI624"/>
    </row>
    <row r="625" spans="1:35" ht="18" customHeight="1" x14ac:dyDescent="0.2">
      <c r="A625" s="2674">
        <v>270</v>
      </c>
      <c r="B625" s="2113">
        <v>67777</v>
      </c>
      <c r="C625" s="2100" t="s">
        <v>975</v>
      </c>
      <c r="D625" s="2114" t="s">
        <v>245</v>
      </c>
      <c r="E625" s="1508">
        <v>1</v>
      </c>
      <c r="F625" s="2485">
        <v>0</v>
      </c>
      <c r="G625" s="2109">
        <v>0</v>
      </c>
      <c r="H625" s="2486">
        <v>25.6</v>
      </c>
      <c r="I625" s="1794">
        <f t="shared" ref="I625:I636" si="119">F625*400+G625*100+H625</f>
        <v>25.6</v>
      </c>
      <c r="J625" s="1687">
        <v>20000</v>
      </c>
      <c r="K625" s="2492">
        <f t="shared" ref="K625:K636" si="120">SUM(I625*J625)</f>
        <v>512000</v>
      </c>
      <c r="L625" s="2109"/>
      <c r="M625" s="100"/>
      <c r="N625" s="2109"/>
      <c r="O625" s="2109"/>
      <c r="P625" s="2486"/>
      <c r="Q625" s="2488"/>
      <c r="R625" s="2493"/>
      <c r="S625" s="2494"/>
      <c r="T625" s="2495"/>
      <c r="U625" s="2494"/>
      <c r="V625" s="2494"/>
      <c r="W625" s="1794">
        <f t="shared" ref="W625:W636" si="121">+K625</f>
        <v>512000</v>
      </c>
      <c r="X625" s="1791">
        <f t="shared" ref="X625:X636" si="122">+W625</f>
        <v>512000</v>
      </c>
      <c r="Y625" s="2496"/>
      <c r="Z625" s="1794">
        <f t="shared" ref="Z625:Z636" si="123">+X625</f>
        <v>512000</v>
      </c>
      <c r="AA625" s="1678">
        <v>0</v>
      </c>
      <c r="AB625" s="1678"/>
      <c r="AC625" s="2473"/>
      <c r="AD625" s="2536"/>
      <c r="AH625" s="2482"/>
      <c r="AI625"/>
    </row>
    <row r="626" spans="1:35" ht="18" customHeight="1" x14ac:dyDescent="0.2">
      <c r="A626" s="2674">
        <v>271</v>
      </c>
      <c r="B626" s="2113">
        <v>67891</v>
      </c>
      <c r="C626" s="2100" t="s">
        <v>976</v>
      </c>
      <c r="D626" s="2114" t="s">
        <v>245</v>
      </c>
      <c r="E626" s="1508">
        <v>3</v>
      </c>
      <c r="F626" s="2114">
        <v>0</v>
      </c>
      <c r="G626" s="2114">
        <v>2</v>
      </c>
      <c r="H626" s="2115">
        <v>50.3</v>
      </c>
      <c r="I626" s="1794">
        <f t="shared" si="119"/>
        <v>250.3</v>
      </c>
      <c r="J626" s="1687">
        <v>20000</v>
      </c>
      <c r="K626" s="2492">
        <f t="shared" si="120"/>
        <v>5006000</v>
      </c>
      <c r="L626" s="45"/>
      <c r="M626" s="61"/>
      <c r="N626" s="50"/>
      <c r="O626" s="1506"/>
      <c r="P626" s="19"/>
      <c r="Q626" s="62"/>
      <c r="R626" s="1718"/>
      <c r="S626" s="18"/>
      <c r="T626" s="20"/>
      <c r="U626" s="1664"/>
      <c r="V626" s="47"/>
      <c r="W626" s="1794">
        <f t="shared" si="121"/>
        <v>5006000</v>
      </c>
      <c r="X626" s="1791">
        <f t="shared" si="122"/>
        <v>5006000</v>
      </c>
      <c r="Y626" s="2474"/>
      <c r="Z626" s="1794">
        <f t="shared" si="123"/>
        <v>5006000</v>
      </c>
      <c r="AA626" s="1678">
        <v>0</v>
      </c>
      <c r="AB626" s="1678"/>
      <c r="AC626" s="2473"/>
      <c r="AD626" s="2536"/>
      <c r="AH626" s="2482"/>
      <c r="AI626"/>
    </row>
    <row r="627" spans="1:35" ht="18" customHeight="1" x14ac:dyDescent="0.2">
      <c r="A627" s="2674">
        <v>272</v>
      </c>
      <c r="B627" s="2113">
        <v>1878</v>
      </c>
      <c r="C627" s="2100" t="s">
        <v>977</v>
      </c>
      <c r="D627" s="2114" t="s">
        <v>245</v>
      </c>
      <c r="E627" s="1508">
        <v>3</v>
      </c>
      <c r="F627" s="2114">
        <v>6</v>
      </c>
      <c r="G627" s="2114">
        <v>0</v>
      </c>
      <c r="H627" s="2115">
        <v>12.7</v>
      </c>
      <c r="I627" s="1794">
        <f t="shared" si="119"/>
        <v>2412.6999999999998</v>
      </c>
      <c r="J627" s="1687">
        <v>20000</v>
      </c>
      <c r="K627" s="2492">
        <f t="shared" si="120"/>
        <v>48254000</v>
      </c>
      <c r="L627" s="45"/>
      <c r="M627" s="61"/>
      <c r="N627" s="50"/>
      <c r="O627" s="1506"/>
      <c r="P627" s="19"/>
      <c r="Q627" s="62"/>
      <c r="R627" s="1718"/>
      <c r="S627" s="18"/>
      <c r="T627" s="20"/>
      <c r="U627" s="1664"/>
      <c r="V627" s="47"/>
      <c r="W627" s="1794">
        <f t="shared" si="121"/>
        <v>48254000</v>
      </c>
      <c r="X627" s="1791">
        <f t="shared" si="122"/>
        <v>48254000</v>
      </c>
      <c r="Y627" s="2474"/>
      <c r="Z627" s="1794">
        <f t="shared" si="123"/>
        <v>48254000</v>
      </c>
      <c r="AA627" s="1678">
        <v>0</v>
      </c>
      <c r="AB627" s="1678"/>
      <c r="AC627" s="2473"/>
      <c r="AD627" s="2536"/>
      <c r="AH627" s="2482"/>
      <c r="AI627"/>
    </row>
    <row r="628" spans="1:35" ht="18" customHeight="1" x14ac:dyDescent="0.2">
      <c r="A628" s="2674">
        <v>273</v>
      </c>
      <c r="B628" s="2113">
        <v>67706</v>
      </c>
      <c r="C628" s="2100" t="s">
        <v>978</v>
      </c>
      <c r="D628" s="2114" t="s">
        <v>245</v>
      </c>
      <c r="E628" s="1508">
        <v>3</v>
      </c>
      <c r="F628" s="2114">
        <v>0</v>
      </c>
      <c r="G628" s="2114">
        <v>0</v>
      </c>
      <c r="H628" s="2557">
        <v>85</v>
      </c>
      <c r="I628" s="1794">
        <f t="shared" si="119"/>
        <v>85</v>
      </c>
      <c r="J628" s="1687">
        <v>20000</v>
      </c>
      <c r="K628" s="2492">
        <f t="shared" si="120"/>
        <v>1700000</v>
      </c>
      <c r="L628" s="45"/>
      <c r="M628" s="61"/>
      <c r="N628" s="50"/>
      <c r="O628" s="1506"/>
      <c r="P628" s="19"/>
      <c r="Q628" s="62"/>
      <c r="R628" s="1718"/>
      <c r="S628" s="18"/>
      <c r="T628" s="20"/>
      <c r="U628" s="1664"/>
      <c r="V628" s="47"/>
      <c r="W628" s="1794">
        <f t="shared" si="121"/>
        <v>1700000</v>
      </c>
      <c r="X628" s="1791">
        <f t="shared" si="122"/>
        <v>1700000</v>
      </c>
      <c r="Y628" s="2474"/>
      <c r="Z628" s="1794">
        <f t="shared" si="123"/>
        <v>1700000</v>
      </c>
      <c r="AA628" s="1678">
        <v>0</v>
      </c>
      <c r="AB628" s="1678"/>
      <c r="AC628" s="2473"/>
      <c r="AD628" s="2536"/>
      <c r="AH628" s="2482"/>
      <c r="AI628"/>
    </row>
    <row r="629" spans="1:35" ht="18" customHeight="1" x14ac:dyDescent="0.2">
      <c r="A629" s="2674">
        <v>274</v>
      </c>
      <c r="B629" s="2113">
        <v>67764</v>
      </c>
      <c r="C629" s="2100" t="s">
        <v>979</v>
      </c>
      <c r="D629" s="2114" t="s">
        <v>245</v>
      </c>
      <c r="E629" s="1508">
        <v>3</v>
      </c>
      <c r="F629" s="2114">
        <v>1</v>
      </c>
      <c r="G629" s="2114">
        <v>0</v>
      </c>
      <c r="H629" s="2559">
        <v>90</v>
      </c>
      <c r="I629" s="1794">
        <f t="shared" si="119"/>
        <v>490</v>
      </c>
      <c r="J629" s="1687">
        <v>20000</v>
      </c>
      <c r="K629" s="2492">
        <f t="shared" si="120"/>
        <v>9800000</v>
      </c>
      <c r="L629" s="45"/>
      <c r="M629" s="61"/>
      <c r="N629" s="50"/>
      <c r="O629" s="1506"/>
      <c r="P629" s="19"/>
      <c r="Q629" s="62"/>
      <c r="R629" s="1718"/>
      <c r="S629" s="18"/>
      <c r="T629" s="20"/>
      <c r="U629" s="1664"/>
      <c r="V629" s="47"/>
      <c r="W629" s="1794">
        <f t="shared" si="121"/>
        <v>9800000</v>
      </c>
      <c r="X629" s="1791">
        <f t="shared" si="122"/>
        <v>9800000</v>
      </c>
      <c r="Y629" s="2474"/>
      <c r="Z629" s="1794">
        <f t="shared" si="123"/>
        <v>9800000</v>
      </c>
      <c r="AA629" s="1678">
        <v>0</v>
      </c>
      <c r="AB629" s="1678"/>
      <c r="AC629" s="2473"/>
      <c r="AD629" s="2536"/>
      <c r="AH629" s="2482"/>
      <c r="AI629"/>
    </row>
    <row r="630" spans="1:35" ht="18" customHeight="1" x14ac:dyDescent="0.2">
      <c r="A630" s="2674">
        <v>275</v>
      </c>
      <c r="B630" s="2113">
        <v>67765</v>
      </c>
      <c r="C630" s="2100" t="s">
        <v>980</v>
      </c>
      <c r="D630" s="2114" t="s">
        <v>245</v>
      </c>
      <c r="E630" s="1508">
        <v>3</v>
      </c>
      <c r="F630" s="2114">
        <v>1</v>
      </c>
      <c r="G630" s="2114">
        <v>3</v>
      </c>
      <c r="H630" s="2559">
        <v>0.5</v>
      </c>
      <c r="I630" s="1794">
        <f t="shared" si="119"/>
        <v>700.5</v>
      </c>
      <c r="J630" s="1687">
        <v>20000</v>
      </c>
      <c r="K630" s="2492">
        <f t="shared" si="120"/>
        <v>14010000</v>
      </c>
      <c r="L630" s="45"/>
      <c r="M630" s="61"/>
      <c r="N630" s="50"/>
      <c r="O630" s="1506"/>
      <c r="P630" s="19"/>
      <c r="Q630" s="62"/>
      <c r="R630" s="1718"/>
      <c r="S630" s="18"/>
      <c r="T630" s="20"/>
      <c r="U630" s="1664"/>
      <c r="V630" s="47"/>
      <c r="W630" s="1794">
        <f t="shared" si="121"/>
        <v>14010000</v>
      </c>
      <c r="X630" s="1791">
        <f t="shared" si="122"/>
        <v>14010000</v>
      </c>
      <c r="Y630" s="2474"/>
      <c r="Z630" s="1794">
        <f t="shared" si="123"/>
        <v>14010000</v>
      </c>
      <c r="AA630" s="1678">
        <v>0</v>
      </c>
      <c r="AB630" s="1678"/>
      <c r="AC630" s="2473"/>
      <c r="AD630" s="2536"/>
      <c r="AH630" s="2482"/>
      <c r="AI630"/>
    </row>
    <row r="631" spans="1:35" ht="18" customHeight="1" x14ac:dyDescent="0.2">
      <c r="A631" s="2674">
        <v>276</v>
      </c>
      <c r="B631" s="2113">
        <v>67766</v>
      </c>
      <c r="C631" s="2100" t="s">
        <v>981</v>
      </c>
      <c r="D631" s="2114" t="s">
        <v>245</v>
      </c>
      <c r="E631" s="1508">
        <v>3</v>
      </c>
      <c r="F631" s="2114">
        <v>0</v>
      </c>
      <c r="G631" s="2114">
        <v>0</v>
      </c>
      <c r="H631" s="2559">
        <v>20</v>
      </c>
      <c r="I631" s="1794">
        <f t="shared" si="119"/>
        <v>20</v>
      </c>
      <c r="J631" s="1687">
        <v>20000</v>
      </c>
      <c r="K631" s="2492">
        <f t="shared" si="120"/>
        <v>400000</v>
      </c>
      <c r="L631" s="45"/>
      <c r="M631" s="61"/>
      <c r="N631" s="50"/>
      <c r="O631" s="1506"/>
      <c r="P631" s="19"/>
      <c r="Q631" s="62"/>
      <c r="R631" s="1718"/>
      <c r="S631" s="18"/>
      <c r="T631" s="20"/>
      <c r="U631" s="1664"/>
      <c r="V631" s="47"/>
      <c r="W631" s="1794">
        <f t="shared" si="121"/>
        <v>400000</v>
      </c>
      <c r="X631" s="1791">
        <f t="shared" si="122"/>
        <v>400000</v>
      </c>
      <c r="Y631" s="2474"/>
      <c r="Z631" s="1794">
        <f t="shared" si="123"/>
        <v>400000</v>
      </c>
      <c r="AA631" s="1678">
        <v>0</v>
      </c>
      <c r="AB631" s="1678"/>
      <c r="AC631" s="2473"/>
      <c r="AD631" s="2536"/>
      <c r="AH631" s="2482"/>
      <c r="AI631"/>
    </row>
    <row r="632" spans="1:35" ht="18" customHeight="1" x14ac:dyDescent="0.2">
      <c r="A632" s="2674">
        <v>277</v>
      </c>
      <c r="B632" s="2113">
        <v>67767</v>
      </c>
      <c r="C632" s="2100" t="s">
        <v>982</v>
      </c>
      <c r="D632" s="2114" t="s">
        <v>245</v>
      </c>
      <c r="E632" s="1508">
        <v>3</v>
      </c>
      <c r="F632" s="2114">
        <v>0</v>
      </c>
      <c r="G632" s="2114">
        <v>0</v>
      </c>
      <c r="H632" s="2559">
        <v>28.5</v>
      </c>
      <c r="I632" s="1794">
        <f t="shared" si="119"/>
        <v>28.5</v>
      </c>
      <c r="J632" s="1687">
        <v>20000</v>
      </c>
      <c r="K632" s="2492">
        <f t="shared" si="120"/>
        <v>570000</v>
      </c>
      <c r="L632" s="45"/>
      <c r="M632" s="61"/>
      <c r="N632" s="50"/>
      <c r="O632" s="1506"/>
      <c r="P632" s="19"/>
      <c r="Q632" s="62"/>
      <c r="R632" s="1718"/>
      <c r="S632" s="18"/>
      <c r="T632" s="20"/>
      <c r="U632" s="1664"/>
      <c r="V632" s="47"/>
      <c r="W632" s="1794">
        <f t="shared" si="121"/>
        <v>570000</v>
      </c>
      <c r="X632" s="1791">
        <f t="shared" si="122"/>
        <v>570000</v>
      </c>
      <c r="Y632" s="2474"/>
      <c r="Z632" s="1794">
        <f t="shared" si="123"/>
        <v>570000</v>
      </c>
      <c r="AA632" s="1678">
        <v>0</v>
      </c>
      <c r="AB632" s="1678"/>
      <c r="AC632" s="2473"/>
      <c r="AD632" s="2536"/>
      <c r="AH632" s="2482"/>
      <c r="AI632"/>
    </row>
    <row r="633" spans="1:35" ht="18" customHeight="1" x14ac:dyDescent="0.2">
      <c r="A633" s="2674">
        <v>278</v>
      </c>
      <c r="B633" s="2113">
        <v>67768</v>
      </c>
      <c r="C633" s="2100" t="s">
        <v>983</v>
      </c>
      <c r="D633" s="2114" t="s">
        <v>245</v>
      </c>
      <c r="E633" s="1508">
        <v>3</v>
      </c>
      <c r="F633" s="2114">
        <v>0</v>
      </c>
      <c r="G633" s="2114">
        <v>0</v>
      </c>
      <c r="H633" s="2559">
        <v>48.4</v>
      </c>
      <c r="I633" s="1794">
        <f t="shared" si="119"/>
        <v>48.4</v>
      </c>
      <c r="J633" s="1687">
        <v>20000</v>
      </c>
      <c r="K633" s="2492">
        <f t="shared" si="120"/>
        <v>968000</v>
      </c>
      <c r="L633" s="45"/>
      <c r="M633" s="61"/>
      <c r="N633" s="50"/>
      <c r="O633" s="1506"/>
      <c r="P633" s="19"/>
      <c r="Q633" s="62"/>
      <c r="R633" s="1718"/>
      <c r="S633" s="18"/>
      <c r="T633" s="20"/>
      <c r="U633" s="1664"/>
      <c r="V633" s="47"/>
      <c r="W633" s="1794">
        <f t="shared" si="121"/>
        <v>968000</v>
      </c>
      <c r="X633" s="1791">
        <f t="shared" si="122"/>
        <v>968000</v>
      </c>
      <c r="Y633" s="2474"/>
      <c r="Z633" s="1794">
        <f t="shared" si="123"/>
        <v>968000</v>
      </c>
      <c r="AA633" s="1678">
        <v>0</v>
      </c>
      <c r="AB633" s="1678"/>
      <c r="AC633" s="2473"/>
      <c r="AD633" s="2536"/>
      <c r="AH633" s="2482"/>
      <c r="AI633"/>
    </row>
    <row r="634" spans="1:35" ht="18" customHeight="1" x14ac:dyDescent="0.2">
      <c r="A634" s="2674">
        <v>279</v>
      </c>
      <c r="B634" s="2113">
        <v>67769</v>
      </c>
      <c r="C634" s="2100" t="s">
        <v>740</v>
      </c>
      <c r="D634" s="2114" t="s">
        <v>245</v>
      </c>
      <c r="E634" s="1508">
        <v>3</v>
      </c>
      <c r="F634" s="2114">
        <v>0</v>
      </c>
      <c r="G634" s="2114">
        <v>0</v>
      </c>
      <c r="H634" s="2559">
        <v>85.2</v>
      </c>
      <c r="I634" s="1794">
        <f t="shared" si="119"/>
        <v>85.2</v>
      </c>
      <c r="J634" s="1687">
        <v>20000</v>
      </c>
      <c r="K634" s="2492">
        <f t="shared" si="120"/>
        <v>1704000</v>
      </c>
      <c r="L634" s="45"/>
      <c r="M634" s="61"/>
      <c r="N634" s="50"/>
      <c r="O634" s="1506"/>
      <c r="P634" s="19"/>
      <c r="Q634" s="62"/>
      <c r="R634" s="1718"/>
      <c r="S634" s="18"/>
      <c r="T634" s="20"/>
      <c r="U634" s="1664"/>
      <c r="V634" s="47"/>
      <c r="W634" s="1794">
        <f t="shared" si="121"/>
        <v>1704000</v>
      </c>
      <c r="X634" s="1791">
        <f t="shared" si="122"/>
        <v>1704000</v>
      </c>
      <c r="Y634" s="2474"/>
      <c r="Z634" s="1794">
        <f t="shared" si="123"/>
        <v>1704000</v>
      </c>
      <c r="AA634" s="1678">
        <v>0</v>
      </c>
      <c r="AB634" s="1678"/>
      <c r="AC634" s="2473"/>
      <c r="AD634" s="2536"/>
      <c r="AH634" s="2482"/>
      <c r="AI634"/>
    </row>
    <row r="635" spans="1:35" ht="18" customHeight="1" x14ac:dyDescent="0.2">
      <c r="A635" s="2674">
        <v>280</v>
      </c>
      <c r="B635" s="2113">
        <v>67770</v>
      </c>
      <c r="C635" s="2100" t="s">
        <v>741</v>
      </c>
      <c r="D635" s="2114" t="s">
        <v>245</v>
      </c>
      <c r="E635" s="1508">
        <v>3</v>
      </c>
      <c r="F635" s="2114">
        <v>0</v>
      </c>
      <c r="G635" s="2114">
        <v>3</v>
      </c>
      <c r="H635" s="2559">
        <v>62.5</v>
      </c>
      <c r="I635" s="1794">
        <f t="shared" si="119"/>
        <v>362.5</v>
      </c>
      <c r="J635" s="1687">
        <v>20000</v>
      </c>
      <c r="K635" s="2492">
        <f t="shared" si="120"/>
        <v>7250000</v>
      </c>
      <c r="L635" s="45"/>
      <c r="M635" s="61"/>
      <c r="N635" s="50"/>
      <c r="O635" s="1506"/>
      <c r="P635" s="19"/>
      <c r="Q635" s="62"/>
      <c r="R635" s="1718"/>
      <c r="S635" s="18"/>
      <c r="T635" s="20"/>
      <c r="U635" s="1664"/>
      <c r="V635" s="47"/>
      <c r="W635" s="1794">
        <f t="shared" si="121"/>
        <v>7250000</v>
      </c>
      <c r="X635" s="1791">
        <f t="shared" si="122"/>
        <v>7250000</v>
      </c>
      <c r="Y635" s="2474"/>
      <c r="Z635" s="1794">
        <f t="shared" si="123"/>
        <v>7250000</v>
      </c>
      <c r="AA635" s="1678">
        <v>0</v>
      </c>
      <c r="AB635" s="1678"/>
      <c r="AC635" s="2473"/>
      <c r="AD635" s="2536"/>
      <c r="AH635" s="2482"/>
      <c r="AI635"/>
    </row>
    <row r="636" spans="1:35" ht="18" customHeight="1" x14ac:dyDescent="0.2">
      <c r="A636" s="2674">
        <v>281</v>
      </c>
      <c r="B636" s="2113">
        <v>67771</v>
      </c>
      <c r="C636" s="2100" t="s">
        <v>742</v>
      </c>
      <c r="D636" s="2114" t="s">
        <v>245</v>
      </c>
      <c r="E636" s="1508">
        <v>3</v>
      </c>
      <c r="F636" s="2114">
        <v>0</v>
      </c>
      <c r="G636" s="2114">
        <v>1</v>
      </c>
      <c r="H636" s="2559">
        <v>41.9</v>
      </c>
      <c r="I636" s="1794">
        <f t="shared" si="119"/>
        <v>141.9</v>
      </c>
      <c r="J636" s="1687">
        <v>20000</v>
      </c>
      <c r="K636" s="2492">
        <f t="shared" si="120"/>
        <v>2838000</v>
      </c>
      <c r="L636" s="45"/>
      <c r="M636" s="61"/>
      <c r="N636" s="50"/>
      <c r="O636" s="1506"/>
      <c r="P636" s="19"/>
      <c r="Q636" s="62"/>
      <c r="R636" s="1718"/>
      <c r="S636" s="18"/>
      <c r="T636" s="20"/>
      <c r="U636" s="1664"/>
      <c r="V636" s="47"/>
      <c r="W636" s="1794">
        <f t="shared" si="121"/>
        <v>2838000</v>
      </c>
      <c r="X636" s="1791">
        <f t="shared" si="122"/>
        <v>2838000</v>
      </c>
      <c r="Y636" s="2474"/>
      <c r="Z636" s="1794">
        <f t="shared" si="123"/>
        <v>2838000</v>
      </c>
      <c r="AA636" s="1678">
        <v>0</v>
      </c>
      <c r="AB636" s="1678"/>
      <c r="AC636" s="2473"/>
      <c r="AD636" s="2536"/>
      <c r="AH636" s="2482"/>
      <c r="AI636"/>
    </row>
    <row r="637" spans="1:35" ht="18" customHeight="1" x14ac:dyDescent="0.2">
      <c r="A637" s="2113"/>
      <c r="B637" s="2113"/>
      <c r="C637" s="2100"/>
      <c r="D637" s="2114"/>
      <c r="E637" s="1508"/>
      <c r="F637" s="2114"/>
      <c r="G637" s="2114"/>
      <c r="H637" s="2115"/>
      <c r="I637" s="1794"/>
      <c r="J637" s="1687"/>
      <c r="K637" s="2492"/>
      <c r="L637" s="45"/>
      <c r="M637" s="61"/>
      <c r="N637" s="50"/>
      <c r="O637" s="1506"/>
      <c r="P637" s="19"/>
      <c r="Q637" s="62"/>
      <c r="R637" s="1718"/>
      <c r="S637" s="18"/>
      <c r="T637" s="20"/>
      <c r="U637" s="1664"/>
      <c r="V637" s="47"/>
      <c r="W637" s="1794"/>
      <c r="X637" s="1791"/>
      <c r="Y637" s="2474"/>
      <c r="Z637" s="1794"/>
      <c r="AA637" s="2497"/>
      <c r="AB637" s="2498"/>
      <c r="AC637" s="2491"/>
      <c r="AD637" s="2536"/>
      <c r="AH637" s="2482"/>
      <c r="AI637"/>
    </row>
    <row r="638" spans="1:35" ht="18" customHeight="1" x14ac:dyDescent="0.2">
      <c r="A638" s="2113"/>
      <c r="B638" s="2113"/>
      <c r="C638" s="2100"/>
      <c r="D638" s="2114"/>
      <c r="E638" s="1508"/>
      <c r="F638" s="2114"/>
      <c r="G638" s="2114"/>
      <c r="H638" s="2557"/>
      <c r="I638" s="1794"/>
      <c r="J638" s="1687"/>
      <c r="K638" s="2492"/>
      <c r="L638" s="45"/>
      <c r="M638" s="61"/>
      <c r="N638" s="50"/>
      <c r="O638" s="1506"/>
      <c r="P638" s="19"/>
      <c r="Q638" s="62"/>
      <c r="R638" s="1718"/>
      <c r="S638" s="18"/>
      <c r="T638" s="20"/>
      <c r="U638" s="1664"/>
      <c r="V638" s="47"/>
      <c r="W638" s="1794"/>
      <c r="X638" s="1791"/>
      <c r="Y638" s="2474"/>
      <c r="Z638" s="1794"/>
      <c r="AA638" s="2497"/>
      <c r="AB638" s="2500"/>
      <c r="AC638" s="2481"/>
      <c r="AD638" s="2536"/>
      <c r="AH638" s="2482"/>
      <c r="AI638"/>
    </row>
    <row r="639" spans="1:35" ht="18" customHeight="1" x14ac:dyDescent="0.2">
      <c r="A639" s="2113"/>
      <c r="B639" s="2113"/>
      <c r="C639" s="2100"/>
      <c r="D639" s="2114"/>
      <c r="E639" s="1508"/>
      <c r="F639" s="2114"/>
      <c r="G639" s="2114"/>
      <c r="H639" s="2559"/>
      <c r="I639" s="1794"/>
      <c r="J639" s="1687"/>
      <c r="K639" s="2492"/>
      <c r="L639" s="45"/>
      <c r="M639" s="61"/>
      <c r="N639" s="50"/>
      <c r="O639" s="1506"/>
      <c r="P639" s="19"/>
      <c r="Q639" s="62"/>
      <c r="R639" s="1718"/>
      <c r="S639" s="18"/>
      <c r="T639" s="20"/>
      <c r="U639" s="1664"/>
      <c r="V639" s="47"/>
      <c r="W639" s="1794"/>
      <c r="X639" s="1791"/>
      <c r="Y639" s="2474"/>
      <c r="Z639" s="1794"/>
      <c r="AA639" s="2481"/>
      <c r="AB639" s="2498"/>
      <c r="AC639" s="2481"/>
      <c r="AD639" s="2540"/>
      <c r="AH639" s="2491"/>
      <c r="AI639"/>
    </row>
    <row r="640" spans="1:35" ht="18" customHeight="1" x14ac:dyDescent="0.2">
      <c r="A640" s="2113"/>
      <c r="B640" s="2113"/>
      <c r="C640" s="2100"/>
      <c r="D640" s="2114"/>
      <c r="E640" s="1508"/>
      <c r="F640" s="2114"/>
      <c r="G640" s="2114"/>
      <c r="H640" s="2559"/>
      <c r="I640" s="1794"/>
      <c r="J640" s="1687"/>
      <c r="K640" s="2492"/>
      <c r="L640" s="45"/>
      <c r="M640" s="61"/>
      <c r="N640" s="50"/>
      <c r="O640" s="1506"/>
      <c r="P640" s="19"/>
      <c r="Q640" s="62"/>
      <c r="R640" s="1718"/>
      <c r="S640" s="18"/>
      <c r="T640" s="20"/>
      <c r="U640" s="1664"/>
      <c r="V640" s="47"/>
      <c r="W640" s="1794"/>
      <c r="X640" s="1791"/>
      <c r="Y640" s="2474"/>
      <c r="Z640" s="1794"/>
      <c r="AA640" s="2481"/>
      <c r="AB640" s="2481"/>
      <c r="AC640" s="2481" t="s">
        <v>15</v>
      </c>
      <c r="AD640" s="2558"/>
      <c r="AH640" s="2499">
        <f>AC602+AC568+AC540+AC499+AC458+AC417+AC376+AC335+AC294+AC257+AC213+AC171+AC130+AC94+AC61+AC28</f>
        <v>1141149.7484999998</v>
      </c>
      <c r="AI640"/>
    </row>
    <row r="641" spans="1:35" ht="18" customHeight="1" x14ac:dyDescent="0.2">
      <c r="A641" s="2113"/>
      <c r="B641" s="2113"/>
      <c r="C641" s="2100"/>
      <c r="D641" s="2114"/>
      <c r="E641" s="1508"/>
      <c r="F641" s="2114"/>
      <c r="G641" s="2114"/>
      <c r="H641" s="2559"/>
      <c r="I641" s="1794"/>
      <c r="J641" s="1687"/>
      <c r="K641" s="2492"/>
      <c r="L641" s="45"/>
      <c r="M641" s="61"/>
      <c r="N641" s="50"/>
      <c r="O641" s="1506"/>
      <c r="P641" s="19"/>
      <c r="Q641" s="62"/>
      <c r="R641" s="1718"/>
      <c r="S641" s="18"/>
      <c r="T641" s="20"/>
      <c r="U641" s="1664"/>
      <c r="V641" s="47"/>
      <c r="W641" s="1794"/>
      <c r="X641" s="1791"/>
      <c r="Y641" s="2474"/>
      <c r="Z641" s="1794"/>
      <c r="AA641" s="2491"/>
      <c r="AB641" s="2498"/>
      <c r="AC641" s="2491" t="s">
        <v>985</v>
      </c>
      <c r="AD641" s="2558"/>
      <c r="AH641" s="2561">
        <f>AC603+AC569+AC541+AC500+AC459+AC418+AC377+AC336+AC295+AC258+AC214+AC172+AC131+AC95+AC62+AC29</f>
        <v>0</v>
      </c>
      <c r="AI641"/>
    </row>
    <row r="642" spans="1:35" ht="18" customHeight="1" thickBot="1" x14ac:dyDescent="0.3">
      <c r="A642" s="34"/>
      <c r="B642" s="34"/>
      <c r="C642" s="34"/>
      <c r="D642" s="34"/>
      <c r="E642" s="34"/>
      <c r="F642" s="34"/>
      <c r="G642" s="34"/>
      <c r="H642" s="35"/>
      <c r="I642" s="36"/>
      <c r="J642" s="37"/>
      <c r="K642" s="2562"/>
      <c r="L642" s="2562"/>
      <c r="M642" s="2562"/>
      <c r="N642" s="2562"/>
      <c r="O642" s="2562"/>
      <c r="P642" s="2562"/>
      <c r="Q642" s="2562"/>
      <c r="R642" s="2563"/>
      <c r="S642" s="2562"/>
      <c r="T642" s="38"/>
      <c r="U642" s="2564"/>
      <c r="V642" s="2562"/>
      <c r="W642" s="2839"/>
      <c r="X642" s="2840"/>
      <c r="Y642" s="2841"/>
      <c r="Z642" s="2612">
        <f>SUM(Z624:Z641)</f>
        <v>155144000</v>
      </c>
      <c r="AA642" s="2613"/>
      <c r="AB642" s="2613"/>
      <c r="AC642" s="2614"/>
      <c r="AD642" s="2565"/>
      <c r="AH642" s="2566">
        <f>AH640-AH641</f>
        <v>1141149.7484999998</v>
      </c>
      <c r="AI642"/>
    </row>
    <row r="643" spans="1:35" ht="18" customHeight="1" thickTop="1" x14ac:dyDescent="0.25">
      <c r="A643" s="2842" t="s">
        <v>76</v>
      </c>
      <c r="B643" s="2842"/>
      <c r="C643" s="2843" t="s">
        <v>77</v>
      </c>
      <c r="D643" s="2843"/>
      <c r="E643" s="2843"/>
      <c r="F643" s="2843"/>
      <c r="G643" s="2843"/>
      <c r="H643" s="2843"/>
      <c r="I643" s="2567" t="s">
        <v>78</v>
      </c>
      <c r="J643" s="2567"/>
      <c r="K643" s="2567"/>
      <c r="L643" s="2567"/>
      <c r="M643" s="2567"/>
      <c r="N643" s="2567"/>
      <c r="AC643" s="2476"/>
      <c r="AH643" s="2678"/>
      <c r="AI643"/>
    </row>
    <row r="644" spans="1:35" ht="18" customHeight="1" x14ac:dyDescent="0.25">
      <c r="A644" s="2568"/>
      <c r="B644" s="2569"/>
      <c r="C644" s="2567"/>
      <c r="D644" s="2567"/>
      <c r="E644" s="2567"/>
      <c r="F644" s="2567"/>
      <c r="G644" s="2567"/>
      <c r="H644" s="2567"/>
      <c r="I644" s="2567" t="s">
        <v>79</v>
      </c>
      <c r="J644" s="2567"/>
      <c r="K644" s="2567"/>
      <c r="L644" s="2567"/>
      <c r="M644" s="2567"/>
      <c r="N644" s="2567"/>
      <c r="AC644" s="2476"/>
      <c r="AH644" s="2570"/>
      <c r="AI644"/>
    </row>
    <row r="645" spans="1:35" ht="18" customHeight="1" thickBot="1" x14ac:dyDescent="0.3">
      <c r="A645" s="2568"/>
      <c r="B645" s="2569"/>
      <c r="C645" s="2567"/>
      <c r="D645" s="2567"/>
      <c r="E645" s="2567"/>
      <c r="F645" s="2567"/>
      <c r="G645" s="2567"/>
      <c r="H645" s="2567"/>
      <c r="I645" s="2567" t="s">
        <v>80</v>
      </c>
      <c r="J645" s="2567"/>
      <c r="K645" s="2567"/>
      <c r="L645" s="2567"/>
      <c r="M645" s="2567"/>
      <c r="N645" s="2567"/>
      <c r="Z645" s="2844" t="s">
        <v>986</v>
      </c>
      <c r="AA645" s="2844"/>
      <c r="AB645" s="2844"/>
      <c r="AC645" s="2844"/>
      <c r="AD645" s="2844"/>
      <c r="AE645" s="2844"/>
      <c r="AF645" s="2844"/>
      <c r="AG645" s="2844"/>
      <c r="AH645" s="2571">
        <f>AH642-AH644</f>
        <v>1141149.7484999998</v>
      </c>
      <c r="AI645"/>
    </row>
    <row r="646" spans="1:35" ht="18" customHeight="1" thickTop="1" x14ac:dyDescent="0.25">
      <c r="A646" s="2568"/>
      <c r="B646" s="2569"/>
      <c r="C646" s="2567"/>
      <c r="D646" s="2567"/>
      <c r="E646" s="2567"/>
      <c r="F646" s="2567"/>
      <c r="G646" s="2567"/>
      <c r="H646" s="2567"/>
      <c r="I646" s="2567" t="s">
        <v>81</v>
      </c>
      <c r="J646" s="2567"/>
      <c r="K646" s="2567"/>
      <c r="L646" s="2567"/>
      <c r="M646" s="2567"/>
      <c r="N646" s="2567"/>
      <c r="AC646" s="2476"/>
      <c r="AI646"/>
    </row>
    <row r="647" spans="1:35" ht="18" customHeight="1" x14ac:dyDescent="0.25">
      <c r="A647" s="2568"/>
      <c r="B647" s="2569"/>
      <c r="C647" s="2567"/>
      <c r="D647" s="2567"/>
      <c r="E647" s="2567"/>
      <c r="F647" s="2567"/>
      <c r="G647" s="2567"/>
      <c r="H647" s="2567"/>
      <c r="I647" s="2567" t="s">
        <v>88</v>
      </c>
      <c r="J647" s="2567"/>
      <c r="K647" s="2567"/>
      <c r="L647" s="2567"/>
      <c r="M647" s="2567"/>
      <c r="N647" s="2567"/>
      <c r="AC647" s="2476"/>
      <c r="AI647"/>
    </row>
    <row r="648" spans="1:35" ht="18" customHeight="1" x14ac:dyDescent="0.25">
      <c r="A648" s="2568"/>
      <c r="B648" s="2569"/>
      <c r="C648" s="2567"/>
      <c r="D648" s="2567"/>
      <c r="E648" s="2567"/>
      <c r="F648" s="2567"/>
      <c r="G648" s="2567"/>
      <c r="H648" s="2567"/>
      <c r="I648" s="2567"/>
      <c r="J648" s="2567"/>
      <c r="K648" s="2567"/>
      <c r="L648" s="2567"/>
      <c r="M648" s="2567"/>
      <c r="N648" s="2567"/>
      <c r="AC648" s="2476"/>
      <c r="AI648"/>
    </row>
    <row r="649" spans="1:35" ht="18" customHeight="1" x14ac:dyDescent="0.25">
      <c r="A649" s="2568"/>
      <c r="B649" s="2569"/>
      <c r="C649" s="2567"/>
      <c r="D649" s="2567"/>
      <c r="E649" s="2567"/>
      <c r="F649" s="2567"/>
      <c r="G649" s="2567"/>
      <c r="H649" s="2567"/>
      <c r="I649" s="2567"/>
      <c r="J649" s="2567"/>
      <c r="K649" s="2567"/>
      <c r="L649" s="2567"/>
      <c r="M649" s="2567"/>
      <c r="N649" s="2567"/>
      <c r="AC649" s="2476"/>
      <c r="AI649"/>
    </row>
    <row r="650" spans="1:35" ht="18" customHeight="1" x14ac:dyDescent="0.25">
      <c r="A650" s="2568"/>
      <c r="B650" s="2569"/>
      <c r="C650" s="2567"/>
      <c r="D650" s="2567"/>
      <c r="E650" s="2567"/>
      <c r="F650" s="2567"/>
      <c r="G650" s="2567"/>
      <c r="H650" s="2567"/>
      <c r="I650" s="2567"/>
      <c r="J650" s="2567"/>
      <c r="K650" s="2567"/>
      <c r="L650" s="2567"/>
      <c r="M650" s="2567"/>
      <c r="N650" s="2567"/>
      <c r="AC650" s="2476"/>
      <c r="AI650"/>
    </row>
    <row r="651" spans="1:35" ht="18" customHeight="1" x14ac:dyDescent="0.25">
      <c r="A651" s="2568"/>
      <c r="B651" s="2569"/>
      <c r="C651" s="2567"/>
      <c r="D651" s="2567"/>
      <c r="E651" s="2567"/>
      <c r="F651" s="2567"/>
      <c r="G651" s="2567"/>
      <c r="H651" s="2567"/>
      <c r="I651" s="2567"/>
      <c r="J651" s="2567"/>
      <c r="K651" s="2567"/>
      <c r="L651" s="2567"/>
      <c r="M651" s="2567"/>
      <c r="N651" s="2567"/>
      <c r="AC651" s="2476"/>
      <c r="AI651"/>
    </row>
    <row r="652" spans="1:35" ht="18" customHeight="1" x14ac:dyDescent="0.25">
      <c r="A652" s="2568"/>
      <c r="B652" s="2569"/>
      <c r="C652" s="2567"/>
      <c r="D652" s="2567"/>
      <c r="E652" s="2567"/>
      <c r="F652" s="2567"/>
      <c r="G652" s="2567"/>
      <c r="H652" s="2567"/>
      <c r="I652" s="2567"/>
      <c r="J652" s="2567"/>
      <c r="K652" s="2567"/>
      <c r="L652" s="2567"/>
      <c r="M652" s="2567"/>
      <c r="N652" s="2567"/>
      <c r="AC652" s="2476"/>
      <c r="AI652"/>
    </row>
    <row r="653" spans="1:35" ht="18" customHeight="1" x14ac:dyDescent="0.25">
      <c r="A653" s="2568"/>
      <c r="B653" s="2569"/>
      <c r="C653" s="2567"/>
      <c r="D653" s="2567"/>
      <c r="E653" s="2567"/>
      <c r="F653" s="2567"/>
      <c r="G653" s="2567"/>
      <c r="H653" s="2567"/>
      <c r="I653" s="2567"/>
      <c r="J653" s="2567"/>
      <c r="K653" s="2567"/>
      <c r="L653" s="2567"/>
      <c r="M653" s="2567"/>
      <c r="N653" s="2567"/>
      <c r="AC653" s="2476"/>
      <c r="AI653"/>
    </row>
    <row r="654" spans="1:35" ht="18" customHeight="1" x14ac:dyDescent="0.25">
      <c r="A654" s="2568"/>
      <c r="B654" s="2569"/>
      <c r="C654" s="2567"/>
      <c r="D654" s="2567"/>
      <c r="E654" s="2567"/>
      <c r="F654" s="2567"/>
      <c r="G654" s="2567"/>
      <c r="H654" s="2567"/>
      <c r="I654" s="2567"/>
      <c r="J654" s="2567"/>
      <c r="K654" s="2567"/>
      <c r="L654" s="2567"/>
      <c r="M654" s="2567"/>
      <c r="N654" s="2567"/>
      <c r="AC654" s="2476"/>
      <c r="AI654"/>
    </row>
    <row r="655" spans="1:35" ht="18" customHeight="1" x14ac:dyDescent="0.25">
      <c r="A655" s="2568"/>
      <c r="B655" s="2569"/>
      <c r="C655" s="2567"/>
      <c r="D655" s="2567"/>
      <c r="E655" s="2567"/>
      <c r="F655" s="2567"/>
      <c r="G655" s="2567"/>
      <c r="H655" s="2567"/>
      <c r="I655" s="2567"/>
      <c r="J655" s="2567"/>
      <c r="K655" s="2567"/>
      <c r="L655" s="2567"/>
      <c r="M655" s="2567"/>
      <c r="N655" s="2567"/>
      <c r="AC655" s="2476"/>
      <c r="AI655"/>
    </row>
    <row r="656" spans="1:35" ht="18" customHeight="1" x14ac:dyDescent="0.25">
      <c r="A656" s="2568"/>
      <c r="B656" s="2569"/>
      <c r="C656" s="2567"/>
      <c r="D656" s="2567"/>
      <c r="E656" s="2567"/>
      <c r="F656" s="2567"/>
      <c r="G656" s="2567"/>
      <c r="H656" s="2567"/>
      <c r="I656" s="2567"/>
      <c r="J656" s="2567"/>
      <c r="K656" s="2567"/>
      <c r="L656" s="2567"/>
      <c r="M656" s="2567"/>
      <c r="N656" s="2567"/>
      <c r="AC656" s="2476"/>
      <c r="AI656"/>
    </row>
    <row r="657" spans="1:35" ht="18" customHeight="1" x14ac:dyDescent="0.25">
      <c r="A657" s="2568"/>
      <c r="B657" s="2569"/>
      <c r="C657" s="2567"/>
      <c r="D657" s="2567"/>
      <c r="E657" s="2567"/>
      <c r="F657" s="2567"/>
      <c r="G657" s="2567"/>
      <c r="H657" s="2567"/>
      <c r="I657" s="2567"/>
      <c r="J657" s="2567"/>
      <c r="K657" s="2567"/>
      <c r="L657" s="2567"/>
      <c r="M657" s="2567"/>
      <c r="N657" s="2567"/>
      <c r="AC657" s="2476"/>
      <c r="AI657"/>
    </row>
    <row r="658" spans="1:35" ht="18" customHeight="1" x14ac:dyDescent="0.25">
      <c r="A658" s="2568"/>
      <c r="B658" s="2569"/>
      <c r="C658" s="2567"/>
      <c r="D658" s="2567"/>
      <c r="E658" s="2567"/>
      <c r="F658" s="2567"/>
      <c r="G658" s="2567"/>
      <c r="H658" s="2567"/>
      <c r="I658" s="2567"/>
      <c r="J658" s="2567"/>
      <c r="K658" s="2567"/>
      <c r="L658" s="2567"/>
      <c r="M658" s="2567"/>
      <c r="N658" s="2567"/>
      <c r="AC658" s="2476"/>
      <c r="AI658"/>
    </row>
    <row r="659" spans="1:35" ht="18" customHeight="1" x14ac:dyDescent="0.25">
      <c r="A659" s="2568"/>
      <c r="B659" s="2569"/>
      <c r="C659" s="2567"/>
      <c r="D659" s="2567"/>
      <c r="E659" s="2567"/>
      <c r="F659" s="2567"/>
      <c r="G659" s="2567"/>
      <c r="H659" s="2567"/>
      <c r="I659" s="2567"/>
      <c r="J659" s="2567"/>
      <c r="K659" s="2567"/>
      <c r="L659" s="2567"/>
      <c r="M659" s="2567"/>
      <c r="N659" s="2567"/>
      <c r="AC659" s="2476"/>
      <c r="AI659"/>
    </row>
    <row r="660" spans="1:35" ht="18" customHeight="1" x14ac:dyDescent="0.25">
      <c r="A660" s="2568"/>
      <c r="B660" s="2569"/>
      <c r="C660" s="2567"/>
      <c r="D660" s="2567"/>
      <c r="E660" s="2567"/>
      <c r="F660" s="2567"/>
      <c r="G660" s="2567"/>
      <c r="H660" s="2567"/>
      <c r="I660" s="2567"/>
      <c r="J660" s="2567"/>
      <c r="K660" s="2567"/>
      <c r="L660" s="2567"/>
      <c r="M660" s="2567"/>
      <c r="N660" s="2567"/>
      <c r="AC660" s="2476"/>
      <c r="AI660"/>
    </row>
    <row r="661" spans="1:35" ht="18" customHeight="1" x14ac:dyDescent="0.25">
      <c r="A661" s="2568"/>
      <c r="B661" s="2569"/>
      <c r="C661" s="2567"/>
      <c r="D661" s="2567"/>
      <c r="E661" s="2567"/>
      <c r="F661" s="2567"/>
      <c r="G661" s="2567"/>
      <c r="H661" s="2567"/>
      <c r="I661" s="2567"/>
      <c r="J661" s="2567"/>
      <c r="K661" s="2567"/>
      <c r="L661" s="2567"/>
      <c r="M661" s="2567"/>
      <c r="N661" s="2567"/>
      <c r="AC661" s="2476"/>
      <c r="AI661"/>
    </row>
    <row r="662" spans="1:35" ht="18" customHeight="1" x14ac:dyDescent="0.25">
      <c r="A662" s="2568"/>
      <c r="B662" s="2569"/>
      <c r="C662" s="2567"/>
      <c r="D662" s="2567"/>
      <c r="E662" s="2567"/>
      <c r="F662" s="2567"/>
      <c r="G662" s="2567"/>
      <c r="H662" s="2567"/>
      <c r="I662" s="2567"/>
      <c r="J662" s="2567"/>
      <c r="K662" s="2567"/>
      <c r="L662" s="2567"/>
      <c r="M662" s="2567"/>
      <c r="N662" s="2567"/>
      <c r="AC662" s="2476"/>
      <c r="AI662"/>
    </row>
    <row r="663" spans="1:35" ht="18" customHeight="1" x14ac:dyDescent="0.25">
      <c r="A663" s="2568"/>
      <c r="B663" s="2569"/>
      <c r="C663" s="2567"/>
      <c r="D663" s="2567"/>
      <c r="E663" s="2567"/>
      <c r="F663" s="2567"/>
      <c r="G663" s="2567"/>
      <c r="H663" s="2567"/>
      <c r="I663" s="2567"/>
      <c r="J663" s="2567"/>
      <c r="K663" s="2567"/>
      <c r="L663" s="2567"/>
      <c r="M663" s="2567"/>
      <c r="N663" s="2567"/>
      <c r="AC663" s="2476"/>
      <c r="AI663"/>
    </row>
    <row r="664" spans="1:35" ht="18" customHeight="1" x14ac:dyDescent="0.25">
      <c r="A664" s="2568"/>
      <c r="B664" s="2569"/>
      <c r="C664" s="2567"/>
      <c r="D664" s="2567"/>
      <c r="E664" s="2567"/>
      <c r="F664" s="2567"/>
      <c r="G664" s="2567"/>
      <c r="H664" s="2567"/>
      <c r="I664" s="2567"/>
      <c r="J664" s="2567"/>
      <c r="K664" s="2567"/>
      <c r="L664" s="2567"/>
      <c r="M664" s="2567"/>
      <c r="N664" s="2567"/>
      <c r="AC664" s="2476"/>
      <c r="AI664"/>
    </row>
    <row r="665" spans="1:35" ht="18" customHeight="1" x14ac:dyDescent="0.25">
      <c r="A665" s="2568"/>
      <c r="B665" s="2569"/>
      <c r="C665" s="2567"/>
      <c r="D665" s="2567"/>
      <c r="E665" s="2567"/>
      <c r="F665" s="2567"/>
      <c r="G665" s="2567"/>
      <c r="H665" s="2567"/>
      <c r="I665" s="2567"/>
      <c r="J665" s="2567"/>
      <c r="K665" s="2567"/>
      <c r="L665" s="2567"/>
      <c r="M665" s="2567"/>
      <c r="N665" s="2567"/>
      <c r="AC665" s="2476"/>
      <c r="AI665"/>
    </row>
    <row r="666" spans="1:35" ht="18" customHeight="1" x14ac:dyDescent="0.25">
      <c r="A666" s="2568"/>
      <c r="B666" s="2569"/>
      <c r="C666" s="2567"/>
      <c r="D666" s="2567"/>
      <c r="E666" s="2567"/>
      <c r="F666" s="2567"/>
      <c r="G666" s="2567"/>
      <c r="H666" s="2567"/>
      <c r="I666" s="2567"/>
      <c r="J666" s="2567"/>
      <c r="K666" s="2567"/>
      <c r="L666" s="2567"/>
      <c r="M666" s="2567"/>
      <c r="N666" s="2567"/>
      <c r="AC666" s="2476"/>
      <c r="AI666"/>
    </row>
    <row r="667" spans="1:35" ht="18" customHeight="1" x14ac:dyDescent="0.25">
      <c r="A667" s="2568"/>
      <c r="B667" s="2569"/>
      <c r="C667" s="2567"/>
      <c r="D667" s="2567"/>
      <c r="E667" s="2567"/>
      <c r="F667" s="2567"/>
      <c r="G667" s="2567"/>
      <c r="H667" s="2567"/>
      <c r="I667" s="2567"/>
      <c r="J667" s="2567"/>
      <c r="K667" s="2567"/>
      <c r="L667" s="2567"/>
      <c r="M667" s="2567"/>
      <c r="N667" s="2567"/>
      <c r="AC667" s="2476"/>
      <c r="AI667"/>
    </row>
    <row r="668" spans="1:35" ht="18" customHeight="1" x14ac:dyDescent="0.25">
      <c r="A668" s="2568"/>
      <c r="B668" s="2569"/>
      <c r="C668" s="2567"/>
      <c r="D668" s="2567"/>
      <c r="E668" s="2567"/>
      <c r="F668" s="2567"/>
      <c r="G668" s="2567"/>
      <c r="H668" s="2567"/>
      <c r="I668" s="2567"/>
      <c r="J668" s="2567"/>
      <c r="K668" s="2567"/>
      <c r="L668" s="2567"/>
      <c r="M668" s="2567"/>
      <c r="N668" s="2567"/>
      <c r="AC668" s="2476"/>
      <c r="AI668"/>
    </row>
    <row r="669" spans="1:35" ht="18" customHeight="1" x14ac:dyDescent="0.25">
      <c r="A669" s="2568"/>
      <c r="B669" s="2569"/>
      <c r="C669" s="2567"/>
      <c r="D669" s="2567"/>
      <c r="E669" s="2567"/>
      <c r="F669" s="2567"/>
      <c r="G669" s="2567"/>
      <c r="H669" s="2567"/>
      <c r="I669" s="2567"/>
      <c r="J669" s="2567"/>
      <c r="K669" s="2567"/>
      <c r="L669" s="2567"/>
      <c r="M669" s="2567"/>
      <c r="N669" s="2567"/>
      <c r="AC669" s="2476"/>
      <c r="AI669"/>
    </row>
    <row r="670" spans="1:35" ht="18" customHeight="1" x14ac:dyDescent="0.25">
      <c r="A670" s="2568"/>
      <c r="B670" s="2569"/>
      <c r="C670" s="2567"/>
      <c r="D670" s="2567"/>
      <c r="E670" s="2567"/>
      <c r="F670" s="2567"/>
      <c r="G670" s="2567"/>
      <c r="H670" s="2567"/>
      <c r="I670" s="2567"/>
      <c r="J670" s="2567"/>
      <c r="K670" s="2567"/>
      <c r="L670" s="2567"/>
      <c r="M670" s="2567"/>
      <c r="N670" s="2567"/>
      <c r="AC670" s="2476"/>
      <c r="AI670"/>
    </row>
    <row r="671" spans="1:35" ht="18" customHeight="1" x14ac:dyDescent="0.25">
      <c r="A671" s="2568"/>
      <c r="B671" s="2569"/>
      <c r="C671" s="2567"/>
      <c r="D671" s="2567"/>
      <c r="E671" s="2567"/>
      <c r="F671" s="2567"/>
      <c r="G671" s="2567"/>
      <c r="H671" s="2567"/>
      <c r="I671" s="2567"/>
      <c r="J671" s="2567"/>
      <c r="K671" s="2567"/>
      <c r="L671" s="2567"/>
      <c r="M671" s="2567"/>
      <c r="N671" s="2567"/>
      <c r="AC671" s="2476"/>
      <c r="AI671"/>
    </row>
    <row r="672" spans="1:35" ht="18" customHeight="1" x14ac:dyDescent="0.25">
      <c r="A672" s="2568"/>
      <c r="B672" s="2569"/>
      <c r="C672" s="2567"/>
      <c r="D672" s="2567"/>
      <c r="E672" s="2567"/>
      <c r="F672" s="2567"/>
      <c r="G672" s="2567"/>
      <c r="H672" s="2567"/>
      <c r="I672" s="2567"/>
      <c r="J672" s="2567"/>
      <c r="K672" s="2567"/>
      <c r="L672" s="2567"/>
      <c r="M672" s="2567"/>
      <c r="N672" s="2567"/>
      <c r="AC672" s="2476"/>
      <c r="AI672"/>
    </row>
    <row r="673" spans="1:35" ht="18" customHeight="1" x14ac:dyDescent="0.25">
      <c r="A673" s="2568"/>
      <c r="B673" s="2569"/>
      <c r="C673" s="2567"/>
      <c r="D673" s="2567"/>
      <c r="E673" s="2567"/>
      <c r="F673" s="2567"/>
      <c r="G673" s="2567"/>
      <c r="H673" s="2567"/>
      <c r="I673" s="2567"/>
      <c r="J673" s="2567"/>
      <c r="K673" s="2567"/>
      <c r="L673" s="2567"/>
      <c r="M673" s="2567"/>
      <c r="N673" s="2567"/>
      <c r="AC673" s="2476"/>
      <c r="AI673"/>
    </row>
    <row r="674" spans="1:35" ht="18" customHeight="1" x14ac:dyDescent="0.25">
      <c r="A674" s="2568"/>
      <c r="B674" s="2569"/>
      <c r="C674" s="2567"/>
      <c r="D674" s="2567"/>
      <c r="E674" s="2567"/>
      <c r="F674" s="2567"/>
      <c r="G674" s="2567"/>
      <c r="H674" s="2567"/>
      <c r="I674" s="2567"/>
      <c r="J674" s="2567"/>
      <c r="K674" s="2567"/>
      <c r="L674" s="2567"/>
      <c r="M674" s="2567"/>
      <c r="N674" s="2567"/>
      <c r="AC674" s="2476"/>
      <c r="AI674"/>
    </row>
    <row r="675" spans="1:35" ht="18" customHeight="1" x14ac:dyDescent="0.25">
      <c r="A675" s="2568"/>
      <c r="B675" s="2569"/>
      <c r="C675" s="2567"/>
      <c r="D675" s="2567"/>
      <c r="E675" s="2567"/>
      <c r="F675" s="2567"/>
      <c r="G675" s="2567"/>
      <c r="H675" s="2567"/>
      <c r="I675" s="2567"/>
      <c r="J675" s="2567"/>
      <c r="K675" s="2567"/>
      <c r="L675" s="2567"/>
      <c r="M675" s="2567"/>
      <c r="N675" s="2567"/>
      <c r="AC675" s="2476"/>
      <c r="AI675"/>
    </row>
    <row r="676" spans="1:35" ht="18" customHeight="1" x14ac:dyDescent="0.25">
      <c r="A676" s="2568"/>
      <c r="B676" s="2569"/>
      <c r="C676" s="2567"/>
      <c r="D676" s="2567"/>
      <c r="E676" s="2567"/>
      <c r="F676" s="2567"/>
      <c r="G676" s="2567"/>
      <c r="H676" s="2567"/>
      <c r="I676" s="2567"/>
      <c r="J676" s="2567"/>
      <c r="K676" s="2567"/>
      <c r="L676" s="2567"/>
      <c r="M676" s="2567"/>
      <c r="N676" s="2567"/>
      <c r="AC676" s="2476"/>
      <c r="AI676"/>
    </row>
    <row r="677" spans="1:35" ht="18" customHeight="1" x14ac:dyDescent="0.25">
      <c r="A677" s="2568"/>
      <c r="B677" s="2569"/>
      <c r="C677" s="2567"/>
      <c r="D677" s="2567"/>
      <c r="E677" s="2567"/>
      <c r="F677" s="2567"/>
      <c r="G677" s="2567"/>
      <c r="H677" s="2567"/>
      <c r="I677" s="2567"/>
      <c r="J677" s="2567"/>
      <c r="K677" s="2567"/>
      <c r="L677" s="2567"/>
      <c r="M677" s="2567"/>
      <c r="N677" s="2567"/>
      <c r="AC677" s="2476"/>
      <c r="AI677"/>
    </row>
    <row r="678" spans="1:35" ht="18" customHeight="1" x14ac:dyDescent="0.25">
      <c r="A678" s="2568"/>
      <c r="B678" s="2569"/>
      <c r="C678" s="2567"/>
      <c r="D678" s="2567"/>
      <c r="E678" s="2567"/>
      <c r="F678" s="2567"/>
      <c r="G678" s="2567"/>
      <c r="H678" s="2567"/>
      <c r="I678" s="2567"/>
      <c r="J678" s="2567"/>
      <c r="K678" s="2567"/>
      <c r="L678" s="2567"/>
      <c r="M678" s="2567"/>
      <c r="N678" s="2567"/>
      <c r="AC678" s="2476"/>
      <c r="AI678"/>
    </row>
    <row r="679" spans="1:35" ht="18" customHeight="1" x14ac:dyDescent="0.25">
      <c r="A679" s="2568"/>
      <c r="B679" s="2569"/>
      <c r="C679" s="2567"/>
      <c r="D679" s="2567"/>
      <c r="E679" s="2567"/>
      <c r="F679" s="2567"/>
      <c r="G679" s="2567"/>
      <c r="H679" s="2567"/>
      <c r="I679" s="2567"/>
      <c r="J679" s="2567"/>
      <c r="K679" s="2567"/>
      <c r="L679" s="2567"/>
      <c r="M679" s="2567"/>
      <c r="N679" s="2567"/>
      <c r="AC679" s="2476"/>
      <c r="AI679"/>
    </row>
    <row r="680" spans="1:35" ht="18" customHeight="1" x14ac:dyDescent="0.25">
      <c r="A680" s="2568"/>
      <c r="B680" s="2569"/>
      <c r="C680" s="2567"/>
      <c r="D680" s="2567"/>
      <c r="E680" s="2567"/>
      <c r="F680" s="2567"/>
      <c r="G680" s="2567"/>
      <c r="H680" s="2567"/>
      <c r="I680" s="2567"/>
      <c r="J680" s="2567"/>
      <c r="K680" s="2567"/>
      <c r="L680" s="2567"/>
      <c r="M680" s="2567"/>
      <c r="N680" s="2567"/>
      <c r="AC680" s="2476"/>
      <c r="AI680"/>
    </row>
    <row r="681" spans="1:35" ht="18" customHeight="1" x14ac:dyDescent="0.25">
      <c r="A681" s="2568"/>
      <c r="B681" s="2569"/>
      <c r="C681" s="2567"/>
      <c r="D681" s="2567"/>
      <c r="E681" s="2567"/>
      <c r="F681" s="2567"/>
      <c r="G681" s="2567"/>
      <c r="H681" s="2567"/>
      <c r="I681" s="2567"/>
      <c r="J681" s="2567"/>
      <c r="K681" s="2567"/>
      <c r="L681" s="2567"/>
      <c r="M681" s="2567"/>
      <c r="N681" s="2567"/>
      <c r="AC681" s="2476"/>
      <c r="AI681"/>
    </row>
    <row r="682" spans="1:35" ht="18" customHeight="1" x14ac:dyDescent="0.25">
      <c r="A682" s="2568"/>
      <c r="B682" s="2569"/>
      <c r="C682" s="2567"/>
      <c r="D682" s="2567"/>
      <c r="E682" s="2567"/>
      <c r="F682" s="2567"/>
      <c r="G682" s="2567"/>
      <c r="H682" s="2567"/>
      <c r="I682" s="2567"/>
      <c r="J682" s="2567"/>
      <c r="K682" s="2567"/>
      <c r="L682" s="2567"/>
      <c r="M682" s="2567"/>
      <c r="N682" s="2567"/>
      <c r="AC682" s="2476"/>
      <c r="AI682"/>
    </row>
    <row r="683" spans="1:35" ht="18" customHeight="1" x14ac:dyDescent="0.25">
      <c r="A683" s="2568"/>
      <c r="B683" s="2569"/>
      <c r="C683" s="2567"/>
      <c r="D683" s="2567"/>
      <c r="E683" s="2567"/>
      <c r="F683" s="2567"/>
      <c r="G683" s="2567"/>
      <c r="H683" s="2567"/>
      <c r="I683" s="2567"/>
      <c r="J683" s="2567"/>
      <c r="K683" s="2567"/>
      <c r="L683" s="2567"/>
      <c r="M683" s="2567"/>
      <c r="N683" s="2567"/>
      <c r="AC683" s="2476"/>
      <c r="AI683"/>
    </row>
    <row r="684" spans="1:35" ht="18" customHeight="1" x14ac:dyDescent="0.25">
      <c r="A684" s="2568"/>
      <c r="B684" s="2569"/>
      <c r="C684" s="2567"/>
      <c r="D684" s="2567"/>
      <c r="E684" s="2567"/>
      <c r="F684" s="2567"/>
      <c r="G684" s="2567"/>
      <c r="H684" s="2567"/>
      <c r="I684" s="2567"/>
      <c r="J684" s="2567"/>
      <c r="K684" s="2567"/>
      <c r="L684" s="2567"/>
      <c r="M684" s="2567"/>
      <c r="N684" s="2567"/>
      <c r="AC684" s="2476"/>
      <c r="AI684"/>
    </row>
    <row r="685" spans="1:35" ht="18" customHeight="1" x14ac:dyDescent="0.25">
      <c r="A685" s="2568"/>
      <c r="B685" s="2569"/>
      <c r="C685" s="2567"/>
      <c r="D685" s="2567"/>
      <c r="E685" s="2567"/>
      <c r="F685" s="2567"/>
      <c r="G685" s="2567"/>
      <c r="H685" s="2567"/>
      <c r="I685" s="2567"/>
      <c r="J685" s="2567"/>
      <c r="K685" s="2567"/>
      <c r="L685" s="2567"/>
      <c r="M685" s="2567"/>
      <c r="N685" s="2567"/>
      <c r="AC685" s="2476"/>
      <c r="AI685"/>
    </row>
    <row r="686" spans="1:35" ht="18" customHeight="1" x14ac:dyDescent="0.25">
      <c r="A686" s="2568"/>
      <c r="B686" s="2569"/>
      <c r="C686" s="2567"/>
      <c r="D686" s="2567"/>
      <c r="E686" s="2567"/>
      <c r="F686" s="2567"/>
      <c r="G686" s="2567"/>
      <c r="H686" s="2567"/>
      <c r="I686" s="2567"/>
      <c r="J686" s="2567"/>
      <c r="K686" s="2567"/>
      <c r="L686" s="2567"/>
      <c r="M686" s="2567"/>
      <c r="N686" s="2567"/>
      <c r="AC686" s="2476"/>
      <c r="AI686"/>
    </row>
    <row r="687" spans="1:35" ht="18" customHeight="1" x14ac:dyDescent="0.25">
      <c r="A687" s="2568"/>
      <c r="B687" s="2569"/>
      <c r="C687" s="2567"/>
      <c r="D687" s="2567"/>
      <c r="E687" s="2567"/>
      <c r="F687" s="2567"/>
      <c r="G687" s="2567"/>
      <c r="H687" s="2567"/>
      <c r="I687" s="2567"/>
      <c r="J687" s="2567"/>
      <c r="K687" s="2567"/>
      <c r="L687" s="2567"/>
      <c r="M687" s="2567"/>
      <c r="N687" s="2567"/>
      <c r="AC687" s="2476"/>
      <c r="AI687"/>
    </row>
    <row r="688" spans="1:35" ht="18" customHeight="1" x14ac:dyDescent="0.25">
      <c r="A688" s="2568"/>
      <c r="B688" s="2569"/>
      <c r="C688" s="2567"/>
      <c r="D688" s="2567"/>
      <c r="E688" s="2567"/>
      <c r="F688" s="2567"/>
      <c r="G688" s="2567"/>
      <c r="H688" s="2567"/>
      <c r="I688" s="2567"/>
      <c r="J688" s="2567"/>
      <c r="K688" s="2567"/>
      <c r="L688" s="2567"/>
      <c r="M688" s="2567"/>
      <c r="N688" s="2567"/>
      <c r="AC688" s="2476"/>
      <c r="AI688"/>
    </row>
    <row r="689" spans="1:35" ht="18" customHeight="1" x14ac:dyDescent="0.25">
      <c r="A689" s="2568"/>
      <c r="B689" s="2569"/>
      <c r="C689" s="2567"/>
      <c r="D689" s="2567"/>
      <c r="E689" s="2567"/>
      <c r="F689" s="2567"/>
      <c r="G689" s="2567"/>
      <c r="H689" s="2567"/>
      <c r="I689" s="2567"/>
      <c r="J689" s="2567"/>
      <c r="K689" s="2567"/>
      <c r="L689" s="2567"/>
      <c r="M689" s="2567"/>
      <c r="N689" s="2567"/>
      <c r="AC689" s="2476"/>
      <c r="AI689"/>
    </row>
    <row r="690" spans="1:35" ht="18" customHeight="1" x14ac:dyDescent="0.25">
      <c r="A690" s="2568"/>
      <c r="B690" s="2569"/>
      <c r="C690" s="2567"/>
      <c r="D690" s="2567"/>
      <c r="E690" s="2567"/>
      <c r="F690" s="2567"/>
      <c r="G690" s="2567"/>
      <c r="H690" s="2567"/>
      <c r="I690" s="2567"/>
      <c r="J690" s="2567"/>
      <c r="K690" s="2567"/>
      <c r="L690" s="2567"/>
      <c r="M690" s="2567"/>
      <c r="N690" s="2567"/>
      <c r="AC690" s="2476"/>
      <c r="AI690"/>
    </row>
    <row r="691" spans="1:35" ht="18" customHeight="1" x14ac:dyDescent="0.25">
      <c r="A691" s="2568"/>
      <c r="B691" s="2569"/>
      <c r="C691" s="2567"/>
      <c r="D691" s="2567"/>
      <c r="E691" s="2567"/>
      <c r="F691" s="2567"/>
      <c r="G691" s="2567"/>
      <c r="H691" s="2567"/>
      <c r="I691" s="2567"/>
      <c r="J691" s="2567"/>
      <c r="K691" s="2567"/>
      <c r="L691" s="2567"/>
      <c r="M691" s="2567"/>
      <c r="N691" s="2567"/>
      <c r="AC691" s="2476"/>
      <c r="AI691"/>
    </row>
    <row r="692" spans="1:35" ht="18" customHeight="1" x14ac:dyDescent="0.25">
      <c r="A692" s="2568"/>
      <c r="B692" s="2569"/>
      <c r="C692" s="2567"/>
      <c r="D692" s="2567"/>
      <c r="E692" s="2567"/>
      <c r="F692" s="2567"/>
      <c r="G692" s="2567"/>
      <c r="H692" s="2567"/>
      <c r="I692" s="2567"/>
      <c r="J692" s="2567"/>
      <c r="K692" s="2567"/>
      <c r="L692" s="2567"/>
      <c r="M692" s="2567"/>
      <c r="N692" s="2567"/>
      <c r="AC692" s="2476"/>
      <c r="AI692"/>
    </row>
    <row r="693" spans="1:35" ht="18" customHeight="1" x14ac:dyDescent="0.25">
      <c r="A693" s="2568"/>
      <c r="B693" s="2569"/>
      <c r="C693" s="2567"/>
      <c r="D693" s="2567"/>
      <c r="E693" s="2567"/>
      <c r="F693" s="2567"/>
      <c r="G693" s="2567"/>
      <c r="H693" s="2567"/>
      <c r="I693" s="2567"/>
      <c r="J693" s="2567"/>
      <c r="K693" s="2567"/>
      <c r="L693" s="2567"/>
      <c r="M693" s="2567"/>
      <c r="N693" s="2567"/>
      <c r="AC693" s="2476"/>
      <c r="AI693"/>
    </row>
    <row r="694" spans="1:35" ht="18" customHeight="1" x14ac:dyDescent="0.25">
      <c r="A694" s="2568"/>
      <c r="B694" s="2569"/>
      <c r="C694" s="2567"/>
      <c r="D694" s="2567"/>
      <c r="E694" s="2567"/>
      <c r="F694" s="2567"/>
      <c r="G694" s="2567"/>
      <c r="H694" s="2567"/>
      <c r="I694" s="2567"/>
      <c r="J694" s="2567"/>
      <c r="K694" s="2567"/>
      <c r="L694" s="2567"/>
      <c r="M694" s="2567"/>
      <c r="N694" s="2567"/>
      <c r="AC694" s="2476"/>
      <c r="AI694"/>
    </row>
  </sheetData>
  <mergeCells count="252">
    <mergeCell ref="AH3:AH8"/>
    <mergeCell ref="F4:H5"/>
    <mergeCell ref="L4:L8"/>
    <mergeCell ref="T4:U5"/>
    <mergeCell ref="F6:F7"/>
    <mergeCell ref="G6:G7"/>
    <mergeCell ref="H6:H7"/>
    <mergeCell ref="A1:AC1"/>
    <mergeCell ref="A2:AC2"/>
    <mergeCell ref="A3:A8"/>
    <mergeCell ref="C3:C8"/>
    <mergeCell ref="F3:K3"/>
    <mergeCell ref="M3:V3"/>
    <mergeCell ref="AH37:AH42"/>
    <mergeCell ref="F38:H39"/>
    <mergeCell ref="L38:L42"/>
    <mergeCell ref="T38:U39"/>
    <mergeCell ref="F40:F41"/>
    <mergeCell ref="G40:G41"/>
    <mergeCell ref="W28:Y28"/>
    <mergeCell ref="A29:B29"/>
    <mergeCell ref="C29:H29"/>
    <mergeCell ref="AA34:AD34"/>
    <mergeCell ref="A35:AC35"/>
    <mergeCell ref="A36:AC36"/>
    <mergeCell ref="H40:H41"/>
    <mergeCell ref="A63:B63"/>
    <mergeCell ref="C63:H63"/>
    <mergeCell ref="AA68:AD68"/>
    <mergeCell ref="A69:AC69"/>
    <mergeCell ref="A70:AC70"/>
    <mergeCell ref="A37:A42"/>
    <mergeCell ref="C37:C42"/>
    <mergeCell ref="F37:K37"/>
    <mergeCell ref="M37:V37"/>
    <mergeCell ref="AH105:AH110"/>
    <mergeCell ref="F106:H107"/>
    <mergeCell ref="L106:L110"/>
    <mergeCell ref="T106:U107"/>
    <mergeCell ref="F108:F109"/>
    <mergeCell ref="G108:G109"/>
    <mergeCell ref="H74:H75"/>
    <mergeCell ref="A95:B95"/>
    <mergeCell ref="C95:H95"/>
    <mergeCell ref="AA102:AD102"/>
    <mergeCell ref="A103:AC103"/>
    <mergeCell ref="A104:AC104"/>
    <mergeCell ref="A71:A76"/>
    <mergeCell ref="C71:C76"/>
    <mergeCell ref="F71:K71"/>
    <mergeCell ref="M71:V71"/>
    <mergeCell ref="AH71:AH76"/>
    <mergeCell ref="F72:H73"/>
    <mergeCell ref="L72:L76"/>
    <mergeCell ref="T72:U73"/>
    <mergeCell ref="F74:F75"/>
    <mergeCell ref="G74:G75"/>
    <mergeCell ref="H108:H109"/>
    <mergeCell ref="W130:Y130"/>
    <mergeCell ref="A131:B131"/>
    <mergeCell ref="C131:H131"/>
    <mergeCell ref="A144:AC144"/>
    <mergeCell ref="A145:AC145"/>
    <mergeCell ref="A105:A110"/>
    <mergeCell ref="C105:C110"/>
    <mergeCell ref="F105:K105"/>
    <mergeCell ref="M105:V105"/>
    <mergeCell ref="AH146:AH151"/>
    <mergeCell ref="A172:B172"/>
    <mergeCell ref="C172:H172"/>
    <mergeCell ref="A186:AC186"/>
    <mergeCell ref="A187:AC187"/>
    <mergeCell ref="A188:A193"/>
    <mergeCell ref="C188:C193"/>
    <mergeCell ref="F188:K188"/>
    <mergeCell ref="M188:V188"/>
    <mergeCell ref="AH188:AH193"/>
    <mergeCell ref="W213:Y213"/>
    <mergeCell ref="A214:B214"/>
    <mergeCell ref="C214:H214"/>
    <mergeCell ref="A226:AC226"/>
    <mergeCell ref="A227:AC227"/>
    <mergeCell ref="AH228:AH233"/>
    <mergeCell ref="F189:H190"/>
    <mergeCell ref="L189:L193"/>
    <mergeCell ref="T189:U190"/>
    <mergeCell ref="F191:F192"/>
    <mergeCell ref="G191:G192"/>
    <mergeCell ref="H191:H192"/>
    <mergeCell ref="AH269:AH274"/>
    <mergeCell ref="F270:H271"/>
    <mergeCell ref="L270:L274"/>
    <mergeCell ref="T270:U271"/>
    <mergeCell ref="F272:F273"/>
    <mergeCell ref="G272:G273"/>
    <mergeCell ref="H272:H273"/>
    <mergeCell ref="A258:B258"/>
    <mergeCell ref="C258:H258"/>
    <mergeCell ref="A267:AC267"/>
    <mergeCell ref="A268:AC268"/>
    <mergeCell ref="A269:A274"/>
    <mergeCell ref="C269:C274"/>
    <mergeCell ref="F269:K269"/>
    <mergeCell ref="M269:V269"/>
    <mergeCell ref="AH310:AH315"/>
    <mergeCell ref="F311:H312"/>
    <mergeCell ref="L311:L315"/>
    <mergeCell ref="T311:U312"/>
    <mergeCell ref="F313:F314"/>
    <mergeCell ref="G313:G314"/>
    <mergeCell ref="H313:H314"/>
    <mergeCell ref="W294:Y294"/>
    <mergeCell ref="A295:B295"/>
    <mergeCell ref="C295:H295"/>
    <mergeCell ref="A308:AC308"/>
    <mergeCell ref="A309:AC309"/>
    <mergeCell ref="A310:A315"/>
    <mergeCell ref="C310:C315"/>
    <mergeCell ref="F310:K310"/>
    <mergeCell ref="M310:V310"/>
    <mergeCell ref="AH351:AH356"/>
    <mergeCell ref="F352:H353"/>
    <mergeCell ref="L352:L356"/>
    <mergeCell ref="T352:U353"/>
    <mergeCell ref="F354:F355"/>
    <mergeCell ref="G354:G355"/>
    <mergeCell ref="H354:H355"/>
    <mergeCell ref="W335:Y335"/>
    <mergeCell ref="A336:B336"/>
    <mergeCell ref="C336:H336"/>
    <mergeCell ref="A349:AC349"/>
    <mergeCell ref="A350:AC350"/>
    <mergeCell ref="A351:A356"/>
    <mergeCell ref="C351:C356"/>
    <mergeCell ref="F351:K351"/>
    <mergeCell ref="M351:V351"/>
    <mergeCell ref="AH392:AH397"/>
    <mergeCell ref="F393:H394"/>
    <mergeCell ref="L393:L397"/>
    <mergeCell ref="T393:U394"/>
    <mergeCell ref="F395:F396"/>
    <mergeCell ref="G395:G396"/>
    <mergeCell ref="H395:H396"/>
    <mergeCell ref="W376:Y376"/>
    <mergeCell ref="A377:B377"/>
    <mergeCell ref="C377:H377"/>
    <mergeCell ref="A390:AC390"/>
    <mergeCell ref="A391:AC391"/>
    <mergeCell ref="A392:A397"/>
    <mergeCell ref="C392:C397"/>
    <mergeCell ref="F392:K392"/>
    <mergeCell ref="M392:V392"/>
    <mergeCell ref="AH433:AH438"/>
    <mergeCell ref="F434:H435"/>
    <mergeCell ref="L434:L438"/>
    <mergeCell ref="T434:U435"/>
    <mergeCell ref="F436:F437"/>
    <mergeCell ref="G436:G437"/>
    <mergeCell ref="H436:H437"/>
    <mergeCell ref="W417:Y417"/>
    <mergeCell ref="A418:B418"/>
    <mergeCell ref="C418:H418"/>
    <mergeCell ref="A431:AC431"/>
    <mergeCell ref="A432:AC432"/>
    <mergeCell ref="A433:A438"/>
    <mergeCell ref="C433:C438"/>
    <mergeCell ref="F433:K433"/>
    <mergeCell ref="M433:V433"/>
    <mergeCell ref="AH474:AH479"/>
    <mergeCell ref="F475:H476"/>
    <mergeCell ref="L475:L479"/>
    <mergeCell ref="T475:U476"/>
    <mergeCell ref="F477:F478"/>
    <mergeCell ref="G477:G478"/>
    <mergeCell ref="H477:H478"/>
    <mergeCell ref="W458:Y458"/>
    <mergeCell ref="A459:B459"/>
    <mergeCell ref="C459:H459"/>
    <mergeCell ref="A472:AC472"/>
    <mergeCell ref="A473:AC473"/>
    <mergeCell ref="A474:A479"/>
    <mergeCell ref="C474:C479"/>
    <mergeCell ref="F474:K474"/>
    <mergeCell ref="M474:V474"/>
    <mergeCell ref="AH515:AH520"/>
    <mergeCell ref="F516:H517"/>
    <mergeCell ref="L516:L520"/>
    <mergeCell ref="T516:U517"/>
    <mergeCell ref="F518:F519"/>
    <mergeCell ref="G518:G519"/>
    <mergeCell ref="H518:H519"/>
    <mergeCell ref="W499:Y499"/>
    <mergeCell ref="A500:B500"/>
    <mergeCell ref="C500:H500"/>
    <mergeCell ref="A513:AC513"/>
    <mergeCell ref="A514:AC514"/>
    <mergeCell ref="A515:A520"/>
    <mergeCell ref="C515:C520"/>
    <mergeCell ref="F515:K515"/>
    <mergeCell ref="M515:V515"/>
    <mergeCell ref="AH556:AH561"/>
    <mergeCell ref="F557:H558"/>
    <mergeCell ref="L557:L561"/>
    <mergeCell ref="T557:U558"/>
    <mergeCell ref="F559:F560"/>
    <mergeCell ref="G559:G560"/>
    <mergeCell ref="H559:H560"/>
    <mergeCell ref="W540:Y540"/>
    <mergeCell ref="A541:B541"/>
    <mergeCell ref="C541:H541"/>
    <mergeCell ref="A554:AC554"/>
    <mergeCell ref="A555:AC555"/>
    <mergeCell ref="A556:A561"/>
    <mergeCell ref="C556:C561"/>
    <mergeCell ref="F556:K556"/>
    <mergeCell ref="M556:V556"/>
    <mergeCell ref="AH577:AH582"/>
    <mergeCell ref="F578:H579"/>
    <mergeCell ref="L578:L582"/>
    <mergeCell ref="T578:U579"/>
    <mergeCell ref="F580:F581"/>
    <mergeCell ref="G580:G581"/>
    <mergeCell ref="H580:H581"/>
    <mergeCell ref="W568:Y568"/>
    <mergeCell ref="A569:B569"/>
    <mergeCell ref="C569:H569"/>
    <mergeCell ref="A575:AC575"/>
    <mergeCell ref="A576:AC576"/>
    <mergeCell ref="A577:A582"/>
    <mergeCell ref="C577:C582"/>
    <mergeCell ref="F577:K577"/>
    <mergeCell ref="M577:V577"/>
    <mergeCell ref="W602:Y602"/>
    <mergeCell ref="A603:B603"/>
    <mergeCell ref="C603:H603"/>
    <mergeCell ref="A616:AC616"/>
    <mergeCell ref="A617:AC617"/>
    <mergeCell ref="A618:A623"/>
    <mergeCell ref="C618:C623"/>
    <mergeCell ref="F618:K618"/>
    <mergeCell ref="M618:V618"/>
    <mergeCell ref="W642:Y642"/>
    <mergeCell ref="A643:B643"/>
    <mergeCell ref="C643:H643"/>
    <mergeCell ref="Z645:AG645"/>
    <mergeCell ref="AH618:AH623"/>
    <mergeCell ref="F619:H620"/>
    <mergeCell ref="L619:L623"/>
    <mergeCell ref="T619:U620"/>
    <mergeCell ref="F621:F622"/>
    <mergeCell ref="G621:G622"/>
    <mergeCell ref="H621:H62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9</vt:i4>
      </vt:variant>
      <vt:variant>
        <vt:lpstr>ช่วงที่มีชื่อ</vt:lpstr>
      </vt:variant>
      <vt:variant>
        <vt:i4>4</vt:i4>
      </vt:variant>
    </vt:vector>
  </HeadingPairs>
  <TitlesOfParts>
    <vt:vector size="13" baseType="lpstr">
      <vt:lpstr>ม.1</vt:lpstr>
      <vt:lpstr>ม.2</vt:lpstr>
      <vt:lpstr>ม.3</vt:lpstr>
      <vt:lpstr>ม.4</vt:lpstr>
      <vt:lpstr>ม.5</vt:lpstr>
      <vt:lpstr>ม.6</vt:lpstr>
      <vt:lpstr>ม.7</vt:lpstr>
      <vt:lpstr>ม.8</vt:lpstr>
      <vt:lpstr>ม.6-8 อรสิริน</vt:lpstr>
      <vt:lpstr>ม.2!Print_Area</vt:lpstr>
      <vt:lpstr>ม.4!Print_Area</vt:lpstr>
      <vt:lpstr>ม.5!Print_Area</vt:lpstr>
      <vt:lpstr>ม.6!Print_Area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K-02</dc:creator>
  <cp:lastModifiedBy>K-01</cp:lastModifiedBy>
  <cp:lastPrinted>2024-06-11T08:54:20Z</cp:lastPrinted>
  <dcterms:created xsi:type="dcterms:W3CDTF">2020-07-10T06:56:31Z</dcterms:created>
  <dcterms:modified xsi:type="dcterms:W3CDTF">2024-06-14T03:08:48Z</dcterms:modified>
</cp:coreProperties>
</file>